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pivotTables/pivotTable55.xml" ContentType="application/vnd.openxmlformats-officedocument.spreadsheetml.pivotTable+xml"/>
  <Override PartName="/xl/pivotTables/pivotTable56.xml" ContentType="application/vnd.openxmlformats-officedocument.spreadsheetml.pivotTable+xml"/>
  <Override PartName="/xl/pivotTables/pivotTable57.xml" ContentType="application/vnd.openxmlformats-officedocument.spreadsheetml.pivotTable+xml"/>
  <Override PartName="/xl/pivotTables/pivotTable58.xml" ContentType="application/vnd.openxmlformats-officedocument.spreadsheetml.pivotTable+xml"/>
  <Override PartName="/xl/pivotTables/pivotTable59.xml" ContentType="application/vnd.openxmlformats-officedocument.spreadsheetml.pivotTable+xml"/>
  <Override PartName="/xl/pivotTables/pivotTable60.xml" ContentType="application/vnd.openxmlformats-officedocument.spreadsheetml.pivotTable+xml"/>
  <Override PartName="/xl/pivotTables/pivotTable61.xml" ContentType="application/vnd.openxmlformats-officedocument.spreadsheetml.pivotTable+xml"/>
  <Override PartName="/xl/pivotTables/pivotTable62.xml" ContentType="application/vnd.openxmlformats-officedocument.spreadsheetml.pivotTable+xml"/>
  <Override PartName="/xl/drawings/drawing4.xml" ContentType="application/vnd.openxmlformats-officedocument.drawing+xml"/>
  <Override PartName="/xl/slicers/slicer1.xml" ContentType="application/vnd.ms-excel.slicer+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pivotTables/pivotTable63.xml" ContentType="application/vnd.openxmlformats-officedocument.spreadsheetml.pivotTable+xml"/>
  <Override PartName="/xl/drawings/drawing5.xml" ContentType="application/vnd.openxmlformats-officedocument.drawing+xml"/>
  <Override PartName="/xl/slicers/slicer2.xml" ContentType="application/vnd.ms-excel.slicer+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tables/table3.xml" ContentType="application/vnd.openxmlformats-officedocument.spreadsheetml.tab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chart88.xml" ContentType="application/vnd.openxmlformats-officedocument.drawingml.chart+xml"/>
  <Override PartName="/xl/charts/style87.xml" ContentType="application/vnd.ms-office.chartstyle+xml"/>
  <Override PartName="/xl/charts/colors87.xml" ContentType="application/vnd.ms-office.chartcolorstyle+xml"/>
  <Override PartName="/xl/charts/chart89.xml" ContentType="application/vnd.openxmlformats-officedocument.drawingml.chart+xml"/>
  <Override PartName="/xl/charts/style88.xml" ContentType="application/vnd.ms-office.chartstyle+xml"/>
  <Override PartName="/xl/charts/colors88.xml" ContentType="application/vnd.ms-office.chartcolorstyle+xml"/>
  <Override PartName="/xl/charts/chart90.xml" ContentType="application/vnd.openxmlformats-officedocument.drawingml.chart+xml"/>
  <Override PartName="/xl/charts/style89.xml" ContentType="application/vnd.ms-office.chartstyle+xml"/>
  <Override PartName="/xl/charts/colors89.xml" ContentType="application/vnd.ms-office.chartcolorstyle+xml"/>
  <Override PartName="/xl/charts/chart91.xml" ContentType="application/vnd.openxmlformats-officedocument.drawingml.chart+xml"/>
  <Override PartName="/xl/charts/style90.xml" ContentType="application/vnd.ms-office.chartstyle+xml"/>
  <Override PartName="/xl/charts/colors90.xml" ContentType="application/vnd.ms-office.chartcolorstyle+xml"/>
  <Override PartName="/xl/charts/chart92.xml" ContentType="application/vnd.openxmlformats-officedocument.drawingml.chart+xml"/>
  <Override PartName="/xl/charts/style91.xml" ContentType="application/vnd.ms-office.chartstyle+xml"/>
  <Override PartName="/xl/charts/colors91.xml" ContentType="application/vnd.ms-office.chartcolorstyle+xml"/>
  <Override PartName="/xl/charts/chart93.xml" ContentType="application/vnd.openxmlformats-officedocument.drawingml.chart+xml"/>
  <Override PartName="/xl/charts/style92.xml" ContentType="application/vnd.ms-office.chartstyle+xml"/>
  <Override PartName="/xl/charts/colors92.xml" ContentType="application/vnd.ms-office.chartcolorstyle+xml"/>
  <Override PartName="/xl/charts/chart94.xml" ContentType="application/vnd.openxmlformats-officedocument.drawingml.chart+xml"/>
  <Override PartName="/xl/charts/style93.xml" ContentType="application/vnd.ms-office.chartstyle+xml"/>
  <Override PartName="/xl/charts/colors93.xml" ContentType="application/vnd.ms-office.chartcolorstyle+xml"/>
  <Override PartName="/xl/charts/chart95.xml" ContentType="application/vnd.openxmlformats-officedocument.drawingml.chart+xml"/>
  <Override PartName="/xl/charts/style94.xml" ContentType="application/vnd.ms-office.chartstyle+xml"/>
  <Override PartName="/xl/charts/colors94.xml" ContentType="application/vnd.ms-office.chartcolorstyle+xml"/>
  <Override PartName="/xl/charts/chart96.xml" ContentType="application/vnd.openxmlformats-officedocument.drawingml.chart+xml"/>
  <Override PartName="/xl/charts/style95.xml" ContentType="application/vnd.ms-office.chartstyle+xml"/>
  <Override PartName="/xl/charts/colors95.xml" ContentType="application/vnd.ms-office.chartcolorstyle+xml"/>
  <Override PartName="/xl/charts/chart97.xml" ContentType="application/vnd.openxmlformats-officedocument.drawingml.chart+xml"/>
  <Override PartName="/xl/charts/style96.xml" ContentType="application/vnd.ms-office.chartstyle+xml"/>
  <Override PartName="/xl/charts/colors96.xml" ContentType="application/vnd.ms-office.chartcolorstyle+xml"/>
  <Override PartName="/xl/drawings/drawing8.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harts/chart98.xml" ContentType="application/vnd.openxmlformats-officedocument.drawingml.chart+xml"/>
  <Override PartName="/xl/charts/style97.xml" ContentType="application/vnd.ms-office.chartstyle+xml"/>
  <Override PartName="/xl/charts/colors97.xml" ContentType="application/vnd.ms-office.chartcolorstyle+xml"/>
  <Override PartName="/xl/charts/chart99.xml" ContentType="application/vnd.openxmlformats-officedocument.drawingml.chart+xml"/>
  <Override PartName="/xl/charts/style98.xml" ContentType="application/vnd.ms-office.chartstyle+xml"/>
  <Override PartName="/xl/charts/colors98.xml" ContentType="application/vnd.ms-office.chartcolorstyle+xml"/>
  <Override PartName="/xl/charts/chart100.xml" ContentType="application/vnd.openxmlformats-officedocument.drawingml.chart+xml"/>
  <Override PartName="/xl/charts/style99.xml" ContentType="application/vnd.ms-office.chartstyle+xml"/>
  <Override PartName="/xl/charts/colors99.xml" ContentType="application/vnd.ms-office.chartcolorstyle+xml"/>
  <Override PartName="/xl/charts/chart101.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2.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3.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4.xml" ContentType="application/vnd.openxmlformats-officedocument.drawingml.chart+xml"/>
  <Override PartName="/xl/charts/chart105.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6.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7.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8.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9.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10.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11.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2.xml" ContentType="application/vnd.openxmlformats-officedocument.drawingml.chart+xml"/>
  <Override PartName="/xl/charts/style110.xml" ContentType="application/vnd.ms-office.chartstyle+xml"/>
  <Override PartName="/xl/charts/colors110.xml" ContentType="application/vnd.ms-office.chartcolorstyle+xml"/>
  <Override PartName="/xl/theme/themeOverride1.xml" ContentType="application/vnd.openxmlformats-officedocument.themeOverride+xml"/>
  <Override PartName="/xl/charts/chart113.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4.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5.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6.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7.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8.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9.xml" ContentType="application/vnd.openxmlformats-officedocument.drawingml.chart+xml"/>
  <Override PartName="/xl/charts/style117.xml" ContentType="application/vnd.ms-office.chartstyle+xml"/>
  <Override PartName="/xl/charts/colors117.xml" ContentType="application/vnd.ms-office.chartcolorstyle+xml"/>
  <Override PartName="/xl/drawings/drawing9.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harts/chart120.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21.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2.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3.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4.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5.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6.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7.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8.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9.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30.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31.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2.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3.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4.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5.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6.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7.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8.xml" ContentType="application/vnd.openxmlformats-officedocument.drawingml.chart+xml"/>
  <Override PartName="/xl/charts/style136.xml" ContentType="application/vnd.ms-office.chartstyle+xml"/>
  <Override PartName="/xl/charts/colors136.xml" ContentType="application/vnd.ms-office.chartcolorstyle+xml"/>
  <Override PartName="/xl/charts/chart139.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40.xml" ContentType="application/vnd.openxmlformats-officedocument.drawingml.chart+xml"/>
  <Override PartName="/xl/charts/style138.xml" ContentType="application/vnd.ms-office.chartstyle+xml"/>
  <Override PartName="/xl/charts/colors138.xml" ContentType="application/vnd.ms-office.chartcolorstyle+xml"/>
  <Override PartName="/xl/pivotTables/pivotTable64.xml" ContentType="application/vnd.openxmlformats-officedocument.spreadsheetml.pivotTable+xml"/>
  <Override PartName="/xl/drawings/drawing10.xml" ContentType="application/vnd.openxmlformats-officedocument.drawing+xml"/>
  <Override PartName="/xl/slicers/slicer3.xml" ContentType="application/vnd.ms-excel.slicer+xml"/>
  <Override PartName="/xl/charts/chart141.xml" ContentType="application/vnd.openxmlformats-officedocument.drawingml.chart+xml"/>
  <Override PartName="/xl/charts/style139.xml" ContentType="application/vnd.ms-office.chartstyle+xml"/>
  <Override PartName="/xl/charts/colors139.xml" ContentType="application/vnd.ms-office.chartcolorstyle+xml"/>
  <Override PartName="/xl/pivotTables/pivotTable65.xml" ContentType="application/vnd.openxmlformats-officedocument.spreadsheetml.pivotTable+xml"/>
  <Override PartName="/xl/drawings/drawing11.xml" ContentType="application/vnd.openxmlformats-officedocument.drawing+xml"/>
  <Override PartName="/xl/slicers/slicer4.xml" ContentType="application/vnd.ms-excel.slicer+xml"/>
  <Override PartName="/xl/charts/chart142.xml" ContentType="application/vnd.openxmlformats-officedocument.drawingml.chart+xml"/>
  <Override PartName="/xl/charts/style140.xml" ContentType="application/vnd.ms-office.chartstyle+xml"/>
  <Override PartName="/xl/charts/colors140.xml" ContentType="application/vnd.ms-office.chartcolorstyle+xml"/>
  <Override PartName="/xl/drawings/drawing12.xml" ContentType="application/vnd.openxmlformats-officedocument.drawing+xml"/>
  <Override PartName="/xl/tables/table9.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updateLinks="never" codeName="ThisWorkbook" hidePivotFieldList="1"/>
  <mc:AlternateContent xmlns:mc="http://schemas.openxmlformats.org/markup-compatibility/2006">
    <mc:Choice Requires="x15">
      <x15ac:absPath xmlns:x15ac="http://schemas.microsoft.com/office/spreadsheetml/2010/11/ac" url="C:\Users\mthaw\Mee Mee\2. Information Management\B_ 4 W\002. 4Ws matrix\004.Yangon\Final\2019\2019_Q1\"/>
    </mc:Choice>
  </mc:AlternateContent>
  <xr:revisionPtr revIDLastSave="0" documentId="10_ncr:100000_{1E5DB749-34EF-4A2E-B5E2-5F91F4987ED9}" xr6:coauthVersionLast="31" xr6:coauthVersionMax="31" xr10:uidLastSave="{00000000-0000-0000-0000-000000000000}"/>
  <bookViews>
    <workbookView xWindow="0" yWindow="0" windowWidth="29070" windowHeight="15870" tabRatio="756" activeTab="2" xr2:uid="{00000000-000D-0000-FFFF-FFFF00000000}"/>
  </bookViews>
  <sheets>
    <sheet name="Guide" sheetId="81" r:id="rId1"/>
    <sheet name="Sheet2" sheetId="121" state="hidden" r:id="rId2"/>
    <sheet name="DATABASE" sheetId="25" r:id="rId3"/>
    <sheet name="Site_DB" sheetId="91" r:id="rId4"/>
    <sheet name="Indicator Summary  Eng" sheetId="119" r:id="rId5"/>
    <sheet name="Indicator Summary  MM" sheetId="120" r:id="rId6"/>
    <sheet name="HRP Calculations" sheetId="116" r:id="rId7"/>
    <sheet name="HRP" sheetId="89" r:id="rId8"/>
    <sheet name="Sheet1" sheetId="113" state="hidden" r:id="rId9"/>
    <sheet name="Analysis" sheetId="92" r:id="rId10"/>
    <sheet name="Quarterly Dashboard" sheetId="100" r:id="rId11"/>
    <sheet name="Kachin" sheetId="111" r:id="rId12"/>
    <sheet name="Rakhine" sheetId="112" r:id="rId13"/>
    <sheet name="Shan(n)" sheetId="110" r:id="rId14"/>
    <sheet name="By Camps" sheetId="102" r:id="rId15"/>
    <sheet name="Tracking Dashboard" sheetId="114" r:id="rId16"/>
    <sheet name="Lookup" sheetId="32" state="hidden" r:id="rId17"/>
  </sheets>
  <externalReferences>
    <externalReference r:id="rId18"/>
    <externalReference r:id="rId19"/>
    <externalReference r:id="rId20"/>
    <externalReference r:id="rId21"/>
    <externalReference r:id="rId22"/>
  </externalReferences>
  <definedNames>
    <definedName name="_Fill" localSheetId="14" hidden="1">#REF!</definedName>
    <definedName name="_Fill" localSheetId="6" hidden="1">#REF!</definedName>
    <definedName name="_Fill" localSheetId="4" hidden="1">#REF!</definedName>
    <definedName name="_Fill" localSheetId="11" hidden="1">#REF!</definedName>
    <definedName name="_Fill" localSheetId="12" hidden="1">#REF!</definedName>
    <definedName name="_Fill" localSheetId="13" hidden="1">#REF!</definedName>
    <definedName name="_Fill" hidden="1">#REF!</definedName>
    <definedName name="_xlnm._FilterDatabase" localSheetId="2" hidden="1">DATABASE!#REF!</definedName>
    <definedName name="_xlnm._FilterDatabase" localSheetId="4" hidden="1">'Indicator Summary  Eng'!$A$2:$I$70</definedName>
    <definedName name="_xlnm._FilterDatabase" localSheetId="16" hidden="1">Lookup!$A$3:$AA$457</definedName>
    <definedName name="_Key1" localSheetId="14" hidden="1">[1]Data!#REF!</definedName>
    <definedName name="_Key1" localSheetId="6" hidden="1">[1]Data!#REF!</definedName>
    <definedName name="_Key1" localSheetId="4" hidden="1">[1]Data!#REF!</definedName>
    <definedName name="_Key1" localSheetId="11" hidden="1">[1]Data!#REF!</definedName>
    <definedName name="_Key1" localSheetId="12" hidden="1">[1]Data!#REF!</definedName>
    <definedName name="_Key1" localSheetId="13" hidden="1">[1]Data!#REF!</definedName>
    <definedName name="_Key1" hidden="1">[1]Data!#REF!</definedName>
    <definedName name="_Order1" hidden="1">255</definedName>
    <definedName name="a" hidden="1">#REF!</definedName>
    <definedName name="_xlnm.Print_Area" localSheetId="6">'HRP Calculations'!$A$1:$F$11</definedName>
    <definedName name="_xlnm.Print_Area" localSheetId="4">'Indicator Summary  Eng'!$A$1:$F$70</definedName>
    <definedName name="_xlnm.Print_Area" localSheetId="5">'Indicator Summary  MM'!$A$2:$F$70</definedName>
    <definedName name="_xlnm.Print_Area" localSheetId="11">Kachin!$B$1:$S$108</definedName>
    <definedName name="_xlnm.Print_Area" localSheetId="12">Rakhine!$A$1:$U$114</definedName>
    <definedName name="_xlnm.Print_Area" localSheetId="13">'Shan(n)'!$A$1:$S$105</definedName>
    <definedName name="_xlnm.Print_Titles" localSheetId="4">'Indicator Summary  Eng'!$1:$2</definedName>
    <definedName name="_xlnm.Print_Titles" localSheetId="5">'Indicator Summary  MM'!$1:$2</definedName>
    <definedName name="Sasha" localSheetId="6" hidden="1">{#N/A,#N/A,FALSE,"Truck Rent"}</definedName>
    <definedName name="Sasha" localSheetId="4" hidden="1">{#N/A,#N/A,FALSE,"Truck Rent"}</definedName>
    <definedName name="Sasha" hidden="1">{#N/A,#N/A,FALSE,"Truck Rent"}</definedName>
    <definedName name="Slicer_Location_Type">#N/A</definedName>
    <definedName name="Slicer_Location_Type_1">#N/A</definedName>
    <definedName name="Slicer_Location_Type1">#N/A</definedName>
    <definedName name="Slicer_Location_Type2">#N/A</definedName>
    <definedName name="Slicer_Reporting_Period">#N/A</definedName>
    <definedName name="Slicer_State">#N/A</definedName>
    <definedName name="Slicer_State1">#N/A</definedName>
    <definedName name="Slicer_State11">#N/A</definedName>
    <definedName name="Slicer_State2">#N/A</definedName>
    <definedName name="Slicer_Township">#N/A</definedName>
    <definedName name="Slicer_Township1">#N/A</definedName>
    <definedName name="Slicer_Township2">#N/A</definedName>
    <definedName name="Slicer_Type_of_accommodation">#N/A</definedName>
    <definedName name="Slicer_WASH_implementing_agency">#N/A</definedName>
    <definedName name="Slicer_WASH_implementing_agency1">#N/A</definedName>
    <definedName name="Slicer_WASH_project_agency">#N/A</definedName>
    <definedName name="State_list">Lookup!$AB$4:$AB$83</definedName>
    <definedName name="Statestart_1">Lookup!$AB$3</definedName>
    <definedName name="Township_list" localSheetId="11">SiteDB6[Township]</definedName>
    <definedName name="Township_list" localSheetId="12">SiteDB6[Township]</definedName>
    <definedName name="Township_list" localSheetId="13">SiteDB6[Township]</definedName>
    <definedName name="Township_list">SiteDB6[Township]</definedName>
    <definedName name="Township_start" localSheetId="11">SiteDB6[[#Headers],[Township]]</definedName>
    <definedName name="Township_start" localSheetId="12">SiteDB6[[#Headers],[Township]]</definedName>
    <definedName name="Township_start" localSheetId="13">SiteDB6[[#Headers],[Township]]</definedName>
    <definedName name="Township_start">SiteDB6[[#Headers],[Township]]</definedName>
    <definedName name="TSps">Lookup!$AC$3:$AC$83</definedName>
    <definedName name="wrn.MUSA._.TRUCKS." localSheetId="6" hidden="1">{#N/A,#N/A,FALSE,"Truck Rent"}</definedName>
    <definedName name="wrn.MUSA._.TRUCKS." localSheetId="4" hidden="1">{#N/A,#N/A,FALSE,"Truck Rent"}</definedName>
    <definedName name="wrn.MUSA._.TRUCKS." hidden="1">{#N/A,#N/A,FALSE,"Truck Rent"}</definedName>
  </definedNames>
  <calcPr calcId="179017"/>
  <pivotCaches>
    <pivotCache cacheId="0" r:id="rId23"/>
  </pivotCaches>
  <extLst>
    <ext xmlns:x14="http://schemas.microsoft.com/office/spreadsheetml/2009/9/main" uri="{BBE1A952-AA13-448e-AADC-164F8A28A991}">
      <x14:slicerCaches>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 r:id="rId3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3" i="112" l="1"/>
  <c r="D83" i="112"/>
  <c r="E522" i="92"/>
  <c r="D522" i="92"/>
  <c r="E521" i="92"/>
  <c r="D521" i="92"/>
  <c r="E520" i="92"/>
  <c r="D520" i="92"/>
  <c r="Y66" i="92" l="1"/>
  <c r="Y67" i="92"/>
  <c r="Y65" i="92"/>
  <c r="K66" i="92"/>
  <c r="K67" i="92"/>
  <c r="K68" i="92"/>
  <c r="K65" i="92"/>
  <c r="G483" i="25"/>
  <c r="G484" i="25"/>
  <c r="BQ483" i="25"/>
  <c r="BQ484" i="25"/>
  <c r="BR483" i="25"/>
  <c r="BR484" i="25"/>
  <c r="BT483" i="25"/>
  <c r="BT484" i="25"/>
  <c r="BU483" i="25"/>
  <c r="BU484" i="25"/>
  <c r="BV483" i="25"/>
  <c r="BV484" i="25"/>
  <c r="BW483" i="25"/>
  <c r="BW484" i="25"/>
  <c r="BX483" i="25"/>
  <c r="BX484" i="25"/>
  <c r="CC483" i="25"/>
  <c r="CD483" i="25" s="1"/>
  <c r="CC484" i="25"/>
  <c r="CD484" i="25" s="1"/>
  <c r="CK483" i="25"/>
  <c r="CK484" i="25"/>
  <c r="CL483" i="25"/>
  <c r="CL484" i="25"/>
  <c r="CT483" i="25"/>
  <c r="CT484" i="25"/>
  <c r="CU483" i="25"/>
  <c r="DB483" i="25" s="1"/>
  <c r="CU484" i="25"/>
  <c r="DB484" i="25" s="1"/>
  <c r="CV483" i="25"/>
  <c r="CV484" i="25"/>
  <c r="CW483" i="25"/>
  <c r="CW484" i="25"/>
  <c r="DC483" i="25"/>
  <c r="DC484" i="25"/>
  <c r="DD483" i="25"/>
  <c r="DD484" i="25"/>
  <c r="DE483" i="25"/>
  <c r="DH483" i="25" s="1"/>
  <c r="DE484" i="25"/>
  <c r="DH484" i="25" s="1"/>
  <c r="DF483" i="25"/>
  <c r="DF484" i="25"/>
  <c r="DG483" i="25"/>
  <c r="DG484" i="25"/>
  <c r="DI483" i="25"/>
  <c r="DI484" i="25"/>
  <c r="DJ483" i="25"/>
  <c r="DJ484" i="25"/>
  <c r="DK483" i="25"/>
  <c r="DK484" i="25"/>
  <c r="DL483" i="25"/>
  <c r="CO483" i="25" s="1"/>
  <c r="DL484" i="25"/>
  <c r="CO484" i="25" s="1"/>
  <c r="DM483" i="25"/>
  <c r="DM484" i="25"/>
  <c r="DN483" i="25"/>
  <c r="DN484" i="25"/>
  <c r="DO483" i="25"/>
  <c r="DO484" i="25"/>
  <c r="DP483" i="25"/>
  <c r="DP484" i="25"/>
  <c r="DQ483" i="25"/>
  <c r="DQ484" i="25"/>
  <c r="DR483" i="25"/>
  <c r="DR484" i="25"/>
  <c r="G485" i="25"/>
  <c r="G486" i="25"/>
  <c r="G487" i="25"/>
  <c r="G488" i="25"/>
  <c r="G489" i="25"/>
  <c r="G490" i="25"/>
  <c r="G491" i="25"/>
  <c r="G492" i="25"/>
  <c r="G493" i="25"/>
  <c r="G494" i="25"/>
  <c r="G495" i="25"/>
  <c r="G496" i="25"/>
  <c r="G497" i="25"/>
  <c r="G498" i="25"/>
  <c r="G499" i="25"/>
  <c r="G500" i="25"/>
  <c r="G501" i="25"/>
  <c r="G502" i="25"/>
  <c r="G503" i="25"/>
  <c r="G504" i="25"/>
  <c r="BQ485" i="25"/>
  <c r="BQ486" i="25"/>
  <c r="BQ487" i="25"/>
  <c r="BQ488" i="25"/>
  <c r="BQ489" i="25"/>
  <c r="BQ490" i="25"/>
  <c r="BQ491" i="25"/>
  <c r="BQ492" i="25"/>
  <c r="BQ493" i="25"/>
  <c r="BQ494" i="25"/>
  <c r="BQ495" i="25"/>
  <c r="BQ496" i="25"/>
  <c r="BQ497" i="25"/>
  <c r="BQ498" i="25"/>
  <c r="BQ499" i="25"/>
  <c r="BQ500" i="25"/>
  <c r="BQ501" i="25"/>
  <c r="BQ502" i="25"/>
  <c r="BQ503" i="25"/>
  <c r="BQ504" i="25"/>
  <c r="BR485" i="25"/>
  <c r="BR486" i="25"/>
  <c r="BR487" i="25"/>
  <c r="BR488" i="25"/>
  <c r="BR489" i="25"/>
  <c r="BR490" i="25"/>
  <c r="BR491" i="25"/>
  <c r="BR492" i="25"/>
  <c r="BR493" i="25"/>
  <c r="BR494" i="25"/>
  <c r="BR495" i="25"/>
  <c r="BR496" i="25"/>
  <c r="BR497" i="25"/>
  <c r="BR498" i="25"/>
  <c r="BR499" i="25"/>
  <c r="BR500" i="25"/>
  <c r="BR501" i="25"/>
  <c r="BR502" i="25"/>
  <c r="BR503" i="25"/>
  <c r="BR504" i="25"/>
  <c r="BT485" i="25"/>
  <c r="BT486" i="25"/>
  <c r="BT487" i="25"/>
  <c r="BT488" i="25"/>
  <c r="BT489" i="25"/>
  <c r="BT490" i="25"/>
  <c r="BT491" i="25"/>
  <c r="BT492" i="25"/>
  <c r="BT493" i="25"/>
  <c r="BT494" i="25"/>
  <c r="BT495" i="25"/>
  <c r="BT496" i="25"/>
  <c r="BT497" i="25"/>
  <c r="BT498" i="25"/>
  <c r="BT499" i="25"/>
  <c r="BT500" i="25"/>
  <c r="BT501" i="25"/>
  <c r="BT502" i="25"/>
  <c r="BT503" i="25"/>
  <c r="BT504" i="25"/>
  <c r="BU485" i="25"/>
  <c r="BU486" i="25"/>
  <c r="BU487" i="25"/>
  <c r="BU488" i="25"/>
  <c r="BU489" i="25"/>
  <c r="BU490" i="25"/>
  <c r="BU491" i="25"/>
  <c r="BU492" i="25"/>
  <c r="BU493" i="25"/>
  <c r="BU494" i="25"/>
  <c r="BU495" i="25"/>
  <c r="BU496" i="25"/>
  <c r="BU497" i="25"/>
  <c r="BU498" i="25"/>
  <c r="BU499" i="25"/>
  <c r="BU500" i="25"/>
  <c r="BU501" i="25"/>
  <c r="BU502" i="25"/>
  <c r="BU503" i="25"/>
  <c r="BU504" i="25"/>
  <c r="BV485" i="25"/>
  <c r="BV486" i="25"/>
  <c r="BV487" i="25"/>
  <c r="BV488" i="25"/>
  <c r="BV489" i="25"/>
  <c r="BV490" i="25"/>
  <c r="BV491" i="25"/>
  <c r="BV492" i="25"/>
  <c r="BV493" i="25"/>
  <c r="BV494" i="25"/>
  <c r="BV495" i="25"/>
  <c r="BV496" i="25"/>
  <c r="BV497" i="25"/>
  <c r="BV498" i="25"/>
  <c r="BV499" i="25"/>
  <c r="BV500" i="25"/>
  <c r="BV501" i="25"/>
  <c r="BV502" i="25"/>
  <c r="BV503" i="25"/>
  <c r="BV504" i="25"/>
  <c r="BW485" i="25"/>
  <c r="BW486" i="25"/>
  <c r="BW487" i="25"/>
  <c r="BW488" i="25"/>
  <c r="BW489" i="25"/>
  <c r="BW490" i="25"/>
  <c r="BW491" i="25"/>
  <c r="BW492" i="25"/>
  <c r="BW493" i="25"/>
  <c r="BW494" i="25"/>
  <c r="BW495" i="25"/>
  <c r="BW496" i="25"/>
  <c r="BW497" i="25"/>
  <c r="BW498" i="25"/>
  <c r="BW499" i="25"/>
  <c r="BW500" i="25"/>
  <c r="BW501" i="25"/>
  <c r="BW502" i="25"/>
  <c r="BW503" i="25"/>
  <c r="BW504" i="25"/>
  <c r="BX485" i="25"/>
  <c r="BX486" i="25"/>
  <c r="BX487" i="25"/>
  <c r="BX488" i="25"/>
  <c r="BX489" i="25"/>
  <c r="BX490" i="25"/>
  <c r="BX491" i="25"/>
  <c r="BX492" i="25"/>
  <c r="BX493" i="25"/>
  <c r="BX494" i="25"/>
  <c r="BX495" i="25"/>
  <c r="BX496" i="25"/>
  <c r="BX497" i="25"/>
  <c r="BX498" i="25"/>
  <c r="BX499" i="25"/>
  <c r="BX500" i="25"/>
  <c r="BX501" i="25"/>
  <c r="BX502" i="25"/>
  <c r="BX503" i="25"/>
  <c r="BX504" i="25"/>
  <c r="CC485" i="25"/>
  <c r="CC486" i="25"/>
  <c r="CD486" i="25" s="1"/>
  <c r="CC487" i="25"/>
  <c r="CD487" i="25" s="1"/>
  <c r="CC488" i="25"/>
  <c r="CC489" i="25"/>
  <c r="CC490" i="25"/>
  <c r="CD490" i="25" s="1"/>
  <c r="CC491" i="25"/>
  <c r="CD491" i="25" s="1"/>
  <c r="CC492" i="25"/>
  <c r="CD492" i="25" s="1"/>
  <c r="CC493" i="25"/>
  <c r="CC494" i="25"/>
  <c r="CD494" i="25" s="1"/>
  <c r="CC495" i="25"/>
  <c r="CD495" i="25" s="1"/>
  <c r="CC496" i="25"/>
  <c r="CC497" i="25"/>
  <c r="CD497" i="25" s="1"/>
  <c r="CC498" i="25"/>
  <c r="CD498" i="25" s="1"/>
  <c r="CC499" i="25"/>
  <c r="CD499" i="25" s="1"/>
  <c r="CC500" i="25"/>
  <c r="CD500" i="25" s="1"/>
  <c r="CC501" i="25"/>
  <c r="CC502" i="25"/>
  <c r="CD502" i="25" s="1"/>
  <c r="CC503" i="25"/>
  <c r="CD503" i="25" s="1"/>
  <c r="CC504" i="25"/>
  <c r="CK485" i="25"/>
  <c r="CK486" i="25"/>
  <c r="CK487" i="25"/>
  <c r="CK488" i="25"/>
  <c r="CK489" i="25"/>
  <c r="CK490" i="25"/>
  <c r="CK491" i="25"/>
  <c r="CK492" i="25"/>
  <c r="CK493" i="25"/>
  <c r="CK494" i="25"/>
  <c r="CK495" i="25"/>
  <c r="CK496" i="25"/>
  <c r="CK497" i="25"/>
  <c r="CK498" i="25"/>
  <c r="CK499" i="25"/>
  <c r="CK500" i="25"/>
  <c r="CK501" i="25"/>
  <c r="CK502" i="25"/>
  <c r="CK503" i="25"/>
  <c r="CK504" i="25"/>
  <c r="CL485" i="25"/>
  <c r="CL486" i="25"/>
  <c r="CL487" i="25"/>
  <c r="CL488" i="25"/>
  <c r="CL489" i="25"/>
  <c r="CL490" i="25"/>
  <c r="CL491" i="25"/>
  <c r="CL492" i="25"/>
  <c r="CL493" i="25"/>
  <c r="CL494" i="25"/>
  <c r="CL495" i="25"/>
  <c r="CL496" i="25"/>
  <c r="CL497" i="25"/>
  <c r="CL498" i="25"/>
  <c r="CL499" i="25"/>
  <c r="CL500" i="25"/>
  <c r="CL501" i="25"/>
  <c r="CL502" i="25"/>
  <c r="CL503" i="25"/>
  <c r="CL504" i="25"/>
  <c r="CT485" i="25"/>
  <c r="CT486" i="25"/>
  <c r="CT487" i="25"/>
  <c r="CT488" i="25"/>
  <c r="CT489" i="25"/>
  <c r="CT490" i="25"/>
  <c r="CT491" i="25"/>
  <c r="CT492" i="25"/>
  <c r="CT493" i="25"/>
  <c r="CT494" i="25"/>
  <c r="CT495" i="25"/>
  <c r="CT496" i="25"/>
  <c r="CT497" i="25"/>
  <c r="CT498" i="25"/>
  <c r="CT499" i="25"/>
  <c r="CT500" i="25"/>
  <c r="CT501" i="25"/>
  <c r="CT502" i="25"/>
  <c r="CT503" i="25"/>
  <c r="CT504" i="25"/>
  <c r="CU485" i="25"/>
  <c r="DB485" i="25" s="1"/>
  <c r="CU486" i="25"/>
  <c r="DB486" i="25" s="1"/>
  <c r="CU487" i="25"/>
  <c r="DB487" i="25" s="1"/>
  <c r="CU488" i="25"/>
  <c r="DB488" i="25" s="1"/>
  <c r="CU489" i="25"/>
  <c r="DB489" i="25" s="1"/>
  <c r="CU490" i="25"/>
  <c r="DB490" i="25" s="1"/>
  <c r="CU491" i="25"/>
  <c r="DB491" i="25" s="1"/>
  <c r="CU492" i="25"/>
  <c r="DB492" i="25" s="1"/>
  <c r="CU493" i="25"/>
  <c r="DB493" i="25" s="1"/>
  <c r="CU494" i="25"/>
  <c r="DB494" i="25" s="1"/>
  <c r="CU495" i="25"/>
  <c r="DB495" i="25" s="1"/>
  <c r="CU496" i="25"/>
  <c r="DB496" i="25" s="1"/>
  <c r="CU497" i="25"/>
  <c r="DB497" i="25" s="1"/>
  <c r="CU498" i="25"/>
  <c r="DB498" i="25" s="1"/>
  <c r="CU499" i="25"/>
  <c r="DB499" i="25" s="1"/>
  <c r="CU500" i="25"/>
  <c r="DB500" i="25" s="1"/>
  <c r="CU501" i="25"/>
  <c r="DB501" i="25" s="1"/>
  <c r="CU502" i="25"/>
  <c r="DB502" i="25" s="1"/>
  <c r="CU503" i="25"/>
  <c r="DB503" i="25" s="1"/>
  <c r="CU504" i="25"/>
  <c r="DB504" i="25" s="1"/>
  <c r="CV485" i="25"/>
  <c r="CV486" i="25"/>
  <c r="CV487" i="25"/>
  <c r="CV488" i="25"/>
  <c r="CV489" i="25"/>
  <c r="CV490" i="25"/>
  <c r="CV491" i="25"/>
  <c r="CV492" i="25"/>
  <c r="CV493" i="25"/>
  <c r="CV494" i="25"/>
  <c r="CV495" i="25"/>
  <c r="CV496" i="25"/>
  <c r="CV497" i="25"/>
  <c r="CV498" i="25"/>
  <c r="CV499" i="25"/>
  <c r="CV500" i="25"/>
  <c r="CV501" i="25"/>
  <c r="CV502" i="25"/>
  <c r="CV503" i="25"/>
  <c r="CV504" i="25"/>
  <c r="CW485" i="25"/>
  <c r="CW486" i="25"/>
  <c r="CW487" i="25"/>
  <c r="CW488" i="25"/>
  <c r="CW489" i="25"/>
  <c r="CW490" i="25"/>
  <c r="CW491" i="25"/>
  <c r="CW492" i="25"/>
  <c r="CW493" i="25"/>
  <c r="CW494" i="25"/>
  <c r="CW495" i="25"/>
  <c r="CW496" i="25"/>
  <c r="CW497" i="25"/>
  <c r="CW498" i="25"/>
  <c r="CW499" i="25"/>
  <c r="CW500" i="25"/>
  <c r="CW501" i="25"/>
  <c r="CW502" i="25"/>
  <c r="CW503" i="25"/>
  <c r="CW504" i="25"/>
  <c r="DC485" i="25"/>
  <c r="DC486" i="25"/>
  <c r="DC487" i="25"/>
  <c r="DC488" i="25"/>
  <c r="DC489" i="25"/>
  <c r="DC490" i="25"/>
  <c r="DC491" i="25"/>
  <c r="DC492" i="25"/>
  <c r="DC493" i="25"/>
  <c r="DC494" i="25"/>
  <c r="DC495" i="25"/>
  <c r="DC496" i="25"/>
  <c r="DC497" i="25"/>
  <c r="DC498" i="25"/>
  <c r="DC499" i="25"/>
  <c r="DC500" i="25"/>
  <c r="DC501" i="25"/>
  <c r="DC502" i="25"/>
  <c r="DC503" i="25"/>
  <c r="DC504" i="25"/>
  <c r="DD485" i="25"/>
  <c r="DD486" i="25"/>
  <c r="DD487" i="25"/>
  <c r="DD488" i="25"/>
  <c r="DD489" i="25"/>
  <c r="DD490" i="25"/>
  <c r="DD491" i="25"/>
  <c r="DD492" i="25"/>
  <c r="DD493" i="25"/>
  <c r="DD494" i="25"/>
  <c r="DD495" i="25"/>
  <c r="DD496" i="25"/>
  <c r="DD497" i="25"/>
  <c r="DD498" i="25"/>
  <c r="DD499" i="25"/>
  <c r="DD500" i="25"/>
  <c r="DD501" i="25"/>
  <c r="DD502" i="25"/>
  <c r="DD503" i="25"/>
  <c r="DD504" i="25"/>
  <c r="DE485" i="25"/>
  <c r="DH485" i="25" s="1"/>
  <c r="DE486" i="25"/>
  <c r="DH486" i="25" s="1"/>
  <c r="DE487" i="25"/>
  <c r="DH487" i="25" s="1"/>
  <c r="DE488" i="25"/>
  <c r="DH488" i="25" s="1"/>
  <c r="DE489" i="25"/>
  <c r="DE490" i="25"/>
  <c r="DE491" i="25"/>
  <c r="DH491" i="25" s="1"/>
  <c r="DE492" i="25"/>
  <c r="DH492" i="25" s="1"/>
  <c r="DE493" i="25"/>
  <c r="DH493" i="25" s="1"/>
  <c r="DE494" i="25"/>
  <c r="DH494" i="25" s="1"/>
  <c r="DE495" i="25"/>
  <c r="DH495" i="25" s="1"/>
  <c r="DE496" i="25"/>
  <c r="DH496" i="25" s="1"/>
  <c r="DE497" i="25"/>
  <c r="DH497" i="25" s="1"/>
  <c r="DE498" i="25"/>
  <c r="DH498" i="25" s="1"/>
  <c r="DE499" i="25"/>
  <c r="DH499" i="25" s="1"/>
  <c r="DE500" i="25"/>
  <c r="DH500" i="25" s="1"/>
  <c r="DE501" i="25"/>
  <c r="DH501" i="25" s="1"/>
  <c r="DE502" i="25"/>
  <c r="DH502" i="25" s="1"/>
  <c r="DE503" i="25"/>
  <c r="DH503" i="25" s="1"/>
  <c r="DE504" i="25"/>
  <c r="DH504" i="25" s="1"/>
  <c r="DF485" i="25"/>
  <c r="DF486" i="25"/>
  <c r="DF487" i="25"/>
  <c r="DF488" i="25"/>
  <c r="DF489" i="25"/>
  <c r="DF490" i="25"/>
  <c r="DF491" i="25"/>
  <c r="DF492" i="25"/>
  <c r="DF493" i="25"/>
  <c r="DF494" i="25"/>
  <c r="DF495" i="25"/>
  <c r="DF496" i="25"/>
  <c r="DF497" i="25"/>
  <c r="DF498" i="25"/>
  <c r="DF499" i="25"/>
  <c r="DF500" i="25"/>
  <c r="DF501" i="25"/>
  <c r="DF502" i="25"/>
  <c r="DF503" i="25"/>
  <c r="DF504" i="25"/>
  <c r="DG485" i="25"/>
  <c r="DG486" i="25"/>
  <c r="DG487" i="25"/>
  <c r="DG488" i="25"/>
  <c r="DG489" i="25"/>
  <c r="DG490" i="25"/>
  <c r="DG491" i="25"/>
  <c r="DG492" i="25"/>
  <c r="DG493" i="25"/>
  <c r="DG494" i="25"/>
  <c r="DG495" i="25"/>
  <c r="DG496" i="25"/>
  <c r="DG497" i="25"/>
  <c r="DG498" i="25"/>
  <c r="DG499" i="25"/>
  <c r="DG500" i="25"/>
  <c r="DG501" i="25"/>
  <c r="DG502" i="25"/>
  <c r="DG503" i="25"/>
  <c r="DG504" i="25"/>
  <c r="DH489" i="25"/>
  <c r="DH490" i="25"/>
  <c r="DI485" i="25"/>
  <c r="DI486" i="25"/>
  <c r="DI487" i="25"/>
  <c r="DI488" i="25"/>
  <c r="DI489" i="25"/>
  <c r="DI490" i="25"/>
  <c r="DI491" i="25"/>
  <c r="DI492" i="25"/>
  <c r="DI493" i="25"/>
  <c r="DI494" i="25"/>
  <c r="DI495" i="25"/>
  <c r="DI496" i="25"/>
  <c r="DI497" i="25"/>
  <c r="DI498" i="25"/>
  <c r="DI499" i="25"/>
  <c r="DI500" i="25"/>
  <c r="DI501" i="25"/>
  <c r="DI502" i="25"/>
  <c r="DI503" i="25"/>
  <c r="DI504" i="25"/>
  <c r="DJ485" i="25"/>
  <c r="DJ486" i="25"/>
  <c r="DJ487" i="25"/>
  <c r="DJ488" i="25"/>
  <c r="DJ489" i="25"/>
  <c r="DJ490" i="25"/>
  <c r="DJ491" i="25"/>
  <c r="DJ492" i="25"/>
  <c r="DJ493" i="25"/>
  <c r="DJ494" i="25"/>
  <c r="DJ495" i="25"/>
  <c r="DJ496" i="25"/>
  <c r="DJ497" i="25"/>
  <c r="DJ498" i="25"/>
  <c r="DJ499" i="25"/>
  <c r="DJ500" i="25"/>
  <c r="DJ501" i="25"/>
  <c r="DJ502" i="25"/>
  <c r="DJ503" i="25"/>
  <c r="DJ504" i="25"/>
  <c r="DK485" i="25"/>
  <c r="DK486" i="25"/>
  <c r="DK487" i="25"/>
  <c r="DK488" i="25"/>
  <c r="DK489" i="25"/>
  <c r="DK490" i="25"/>
  <c r="DK491" i="25"/>
  <c r="DK492" i="25"/>
  <c r="DK493" i="25"/>
  <c r="DK494" i="25"/>
  <c r="DK495" i="25"/>
  <c r="DK496" i="25"/>
  <c r="DK497" i="25"/>
  <c r="DK498" i="25"/>
  <c r="DK499" i="25"/>
  <c r="DK500" i="25"/>
  <c r="DK501" i="25"/>
  <c r="DK502" i="25"/>
  <c r="DK503" i="25"/>
  <c r="DK504" i="25"/>
  <c r="DL485" i="25"/>
  <c r="DL486" i="25"/>
  <c r="DL487" i="25"/>
  <c r="CO487" i="25" s="1"/>
  <c r="DL488" i="25"/>
  <c r="CO488" i="25" s="1"/>
  <c r="DL489" i="25"/>
  <c r="CP489" i="25" s="1"/>
  <c r="DL490" i="25"/>
  <c r="CP490" i="25" s="1"/>
  <c r="DL491" i="25"/>
  <c r="DL492" i="25"/>
  <c r="DL493" i="25"/>
  <c r="DL494" i="25"/>
  <c r="DL495" i="25"/>
  <c r="CO495" i="25" s="1"/>
  <c r="DL496" i="25"/>
  <c r="CO496" i="25" s="1"/>
  <c r="DL497" i="25"/>
  <c r="CP497" i="25" s="1"/>
  <c r="DL498" i="25"/>
  <c r="CP498" i="25" s="1"/>
  <c r="DL499" i="25"/>
  <c r="DL500" i="25"/>
  <c r="DL501" i="25"/>
  <c r="DL502" i="25"/>
  <c r="DL503" i="25"/>
  <c r="CO503" i="25" s="1"/>
  <c r="DL504" i="25"/>
  <c r="CO504" i="25" s="1"/>
  <c r="DM485" i="25"/>
  <c r="DM486" i="25"/>
  <c r="DM487" i="25"/>
  <c r="DM488" i="25"/>
  <c r="DM489" i="25"/>
  <c r="DM490" i="25"/>
  <c r="DM491" i="25"/>
  <c r="DM492" i="25"/>
  <c r="DM493" i="25"/>
  <c r="DM494" i="25"/>
  <c r="DM495" i="25"/>
  <c r="DM496" i="25"/>
  <c r="DM497" i="25"/>
  <c r="DM498" i="25"/>
  <c r="DM499" i="25"/>
  <c r="DM500" i="25"/>
  <c r="DM501" i="25"/>
  <c r="DM502" i="25"/>
  <c r="DM503" i="25"/>
  <c r="DM504" i="25"/>
  <c r="DN485" i="25"/>
  <c r="DN486" i="25"/>
  <c r="DN487" i="25"/>
  <c r="DN488" i="25"/>
  <c r="DN489" i="25"/>
  <c r="DN490" i="25"/>
  <c r="DN491" i="25"/>
  <c r="DN492" i="25"/>
  <c r="DN493" i="25"/>
  <c r="DN494" i="25"/>
  <c r="DN495" i="25"/>
  <c r="DN496" i="25"/>
  <c r="DN497" i="25"/>
  <c r="DN498" i="25"/>
  <c r="DN499" i="25"/>
  <c r="DN500" i="25"/>
  <c r="DN501" i="25"/>
  <c r="DN502" i="25"/>
  <c r="DN503" i="25"/>
  <c r="DN504" i="25"/>
  <c r="DO485" i="25"/>
  <c r="DO486" i="25"/>
  <c r="DO487" i="25"/>
  <c r="DO488" i="25"/>
  <c r="DO489" i="25"/>
  <c r="DO490" i="25"/>
  <c r="DO491" i="25"/>
  <c r="DO492" i="25"/>
  <c r="DO493" i="25"/>
  <c r="DO494" i="25"/>
  <c r="DO495" i="25"/>
  <c r="DO496" i="25"/>
  <c r="DO497" i="25"/>
  <c r="DO498" i="25"/>
  <c r="DO499" i="25"/>
  <c r="DO500" i="25"/>
  <c r="DO501" i="25"/>
  <c r="DO502" i="25"/>
  <c r="DO503" i="25"/>
  <c r="DO504" i="25"/>
  <c r="DP485" i="25"/>
  <c r="DP486" i="25"/>
  <c r="DP487" i="25"/>
  <c r="DP488" i="25"/>
  <c r="DP489" i="25"/>
  <c r="DP490" i="25"/>
  <c r="DP491" i="25"/>
  <c r="DP492" i="25"/>
  <c r="DP493" i="25"/>
  <c r="DP494" i="25"/>
  <c r="DP495" i="25"/>
  <c r="DP496" i="25"/>
  <c r="DP497" i="25"/>
  <c r="DP498" i="25"/>
  <c r="DP499" i="25"/>
  <c r="DP500" i="25"/>
  <c r="DP501" i="25"/>
  <c r="DP502" i="25"/>
  <c r="DP503" i="25"/>
  <c r="DP504" i="25"/>
  <c r="DQ485" i="25"/>
  <c r="DQ486" i="25"/>
  <c r="DQ487" i="25"/>
  <c r="DQ488" i="25"/>
  <c r="DQ489" i="25"/>
  <c r="DQ490" i="25"/>
  <c r="DQ491" i="25"/>
  <c r="DQ492" i="25"/>
  <c r="DQ493" i="25"/>
  <c r="DQ494" i="25"/>
  <c r="DQ495" i="25"/>
  <c r="DQ496" i="25"/>
  <c r="DQ497" i="25"/>
  <c r="DQ498" i="25"/>
  <c r="DQ499" i="25"/>
  <c r="DQ500" i="25"/>
  <c r="DQ501" i="25"/>
  <c r="DQ502" i="25"/>
  <c r="DQ503" i="25"/>
  <c r="DQ504" i="25"/>
  <c r="DR485" i="25"/>
  <c r="DR486" i="25"/>
  <c r="DR487" i="25"/>
  <c r="DR488" i="25"/>
  <c r="DR489" i="25"/>
  <c r="DR490" i="25"/>
  <c r="DR491" i="25"/>
  <c r="DR492" i="25"/>
  <c r="DR493" i="25"/>
  <c r="DR494" i="25"/>
  <c r="DR495" i="25"/>
  <c r="DR496" i="25"/>
  <c r="DR497" i="25"/>
  <c r="DR498" i="25"/>
  <c r="DR499" i="25"/>
  <c r="DR500" i="25"/>
  <c r="DR501" i="25"/>
  <c r="DR502" i="25"/>
  <c r="DR503" i="25"/>
  <c r="DR504" i="25"/>
  <c r="BZ499" i="25" l="1"/>
  <c r="CA499" i="25" s="1"/>
  <c r="CB499" i="25" s="1"/>
  <c r="CF499" i="25" s="1"/>
  <c r="CG499" i="25" s="1"/>
  <c r="CJ499" i="25" s="1"/>
  <c r="BY497" i="25"/>
  <c r="BS497" i="25"/>
  <c r="CX498" i="25"/>
  <c r="CY498" i="25" s="1"/>
  <c r="CZ498" i="25" s="1"/>
  <c r="DA498" i="25" s="1"/>
  <c r="CX502" i="25"/>
  <c r="CY502" i="25" s="1"/>
  <c r="CZ502" i="25" s="1"/>
  <c r="DA502" i="25" s="1"/>
  <c r="CX494" i="25"/>
  <c r="CY494" i="25" s="1"/>
  <c r="CZ494" i="25" s="1"/>
  <c r="DA494" i="25" s="1"/>
  <c r="CX486" i="25"/>
  <c r="CY486" i="25" s="1"/>
  <c r="CZ486" i="25" s="1"/>
  <c r="DA486" i="25" s="1"/>
  <c r="BY492" i="25"/>
  <c r="CM484" i="25"/>
  <c r="CS484" i="25" s="1"/>
  <c r="BY483" i="25"/>
  <c r="CM501" i="25"/>
  <c r="CS501" i="25" s="1"/>
  <c r="BS483" i="25"/>
  <c r="BS502" i="25"/>
  <c r="BS494" i="25"/>
  <c r="BS486" i="25"/>
  <c r="BZ497" i="25"/>
  <c r="CA497" i="25" s="1"/>
  <c r="CN484" i="25"/>
  <c r="BZ494" i="25"/>
  <c r="CA494" i="25" s="1"/>
  <c r="CB494" i="25" s="1"/>
  <c r="CF494" i="25" s="1"/>
  <c r="CG494" i="25" s="1"/>
  <c r="CJ494" i="25" s="1"/>
  <c r="BZ486" i="25"/>
  <c r="CA486" i="25" s="1"/>
  <c r="CX503" i="25"/>
  <c r="CY503" i="25" s="1"/>
  <c r="CZ503" i="25" s="1"/>
  <c r="DA503" i="25" s="1"/>
  <c r="CX495" i="25"/>
  <c r="CY495" i="25" s="1"/>
  <c r="CZ495" i="25" s="1"/>
  <c r="DA495" i="25" s="1"/>
  <c r="CX487" i="25"/>
  <c r="CY487" i="25" s="1"/>
  <c r="CZ487" i="25" s="1"/>
  <c r="DA487" i="25" s="1"/>
  <c r="CX499" i="25"/>
  <c r="CY499" i="25" s="1"/>
  <c r="CZ499" i="25" s="1"/>
  <c r="DA499" i="25" s="1"/>
  <c r="BY485" i="25"/>
  <c r="BZ495" i="25"/>
  <c r="CA495" i="25" s="1"/>
  <c r="CB495" i="25" s="1"/>
  <c r="CF495" i="25" s="1"/>
  <c r="CG495" i="25" s="1"/>
  <c r="CJ495" i="25" s="1"/>
  <c r="CM493" i="25"/>
  <c r="CS493" i="25" s="1"/>
  <c r="CM485" i="25"/>
  <c r="CS485" i="25" s="1"/>
  <c r="BZ498" i="25"/>
  <c r="CA498" i="25" s="1"/>
  <c r="CB498" i="25" s="1"/>
  <c r="CF498" i="25" s="1"/>
  <c r="CG498" i="25" s="1"/>
  <c r="CJ498" i="25" s="1"/>
  <c r="BZ490" i="25"/>
  <c r="CA490" i="25" s="1"/>
  <c r="CB490" i="25" s="1"/>
  <c r="CF490" i="25" s="1"/>
  <c r="CG490" i="25" s="1"/>
  <c r="CJ490" i="25" s="1"/>
  <c r="CX491" i="25"/>
  <c r="CY491" i="25" s="1"/>
  <c r="CZ491" i="25" s="1"/>
  <c r="DA491" i="25" s="1"/>
  <c r="CX490" i="25"/>
  <c r="CY490" i="25" s="1"/>
  <c r="CZ490" i="25" s="1"/>
  <c r="DA490" i="25" s="1"/>
  <c r="CX484" i="25"/>
  <c r="CY484" i="25" s="1"/>
  <c r="CZ484" i="25" s="1"/>
  <c r="DA484" i="25" s="1"/>
  <c r="CX497" i="25"/>
  <c r="CY497" i="25" s="1"/>
  <c r="CZ497" i="25" s="1"/>
  <c r="DA497" i="25" s="1"/>
  <c r="CX489" i="25"/>
  <c r="CY489" i="25" s="1"/>
  <c r="CZ489" i="25" s="1"/>
  <c r="DA489" i="25" s="1"/>
  <c r="BS498" i="25"/>
  <c r="BS490" i="25"/>
  <c r="BS499" i="25"/>
  <c r="BZ504" i="25"/>
  <c r="CA504" i="25" s="1"/>
  <c r="CB504" i="25" s="1"/>
  <c r="BY496" i="25"/>
  <c r="BY488" i="25"/>
  <c r="BS492" i="25"/>
  <c r="BS504" i="25"/>
  <c r="BS496" i="25"/>
  <c r="BS488" i="25"/>
  <c r="BZ483" i="25"/>
  <c r="CA483" i="25" s="1"/>
  <c r="CB483" i="25" s="1"/>
  <c r="CF483" i="25" s="1"/>
  <c r="CG483" i="25" s="1"/>
  <c r="CJ483" i="25" s="1"/>
  <c r="BZ502" i="25"/>
  <c r="CA502" i="25" s="1"/>
  <c r="BS500" i="25"/>
  <c r="BY501" i="25"/>
  <c r="BZ491" i="25"/>
  <c r="CA491" i="25" s="1"/>
  <c r="BS491" i="25"/>
  <c r="BY500" i="25"/>
  <c r="BS484" i="25"/>
  <c r="BS489" i="25"/>
  <c r="BZ484" i="25"/>
  <c r="BZ501" i="25"/>
  <c r="CA501" i="25" s="1"/>
  <c r="CB501" i="25" s="1"/>
  <c r="BY493" i="25"/>
  <c r="BZ485" i="25"/>
  <c r="CA485" i="25" s="1"/>
  <c r="BZ488" i="25"/>
  <c r="CA488" i="25" s="1"/>
  <c r="CB488" i="25" s="1"/>
  <c r="BZ496" i="25"/>
  <c r="CA496" i="25" s="1"/>
  <c r="CB496" i="25" s="1"/>
  <c r="BY504" i="25"/>
  <c r="BY499" i="25"/>
  <c r="BY491" i="25"/>
  <c r="BY489" i="25"/>
  <c r="BY503" i="25"/>
  <c r="BY495" i="25"/>
  <c r="BY487" i="25"/>
  <c r="BY484" i="25"/>
  <c r="CA484" i="25" s="1"/>
  <c r="CB484" i="25" s="1"/>
  <c r="CF484" i="25" s="1"/>
  <c r="CG484" i="25" s="1"/>
  <c r="CJ484" i="25" s="1"/>
  <c r="BZ487" i="25"/>
  <c r="CA487" i="25" s="1"/>
  <c r="CB487" i="25" s="1"/>
  <c r="CF487" i="25" s="1"/>
  <c r="CG487" i="25" s="1"/>
  <c r="CJ487" i="25" s="1"/>
  <c r="BZ500" i="25"/>
  <c r="CA500" i="25" s="1"/>
  <c r="CE500" i="25" s="1"/>
  <c r="CH500" i="25" s="1"/>
  <c r="CI500" i="25" s="1"/>
  <c r="BZ492" i="25"/>
  <c r="CA492" i="25" s="1"/>
  <c r="BZ503" i="25"/>
  <c r="CA503" i="25" s="1"/>
  <c r="CB503" i="25" s="1"/>
  <c r="CF503" i="25" s="1"/>
  <c r="CG503" i="25" s="1"/>
  <c r="CJ503" i="25" s="1"/>
  <c r="BY502" i="25"/>
  <c r="BY494" i="25"/>
  <c r="BY486" i="25"/>
  <c r="BY498" i="25"/>
  <c r="BY490" i="25"/>
  <c r="BZ493" i="25"/>
  <c r="CA493" i="25" s="1"/>
  <c r="BZ489" i="25"/>
  <c r="CA489" i="25" s="1"/>
  <c r="CB489" i="25" s="1"/>
  <c r="CN504" i="25"/>
  <c r="CN496" i="25"/>
  <c r="CN488" i="25"/>
  <c r="CM502" i="25"/>
  <c r="CS502" i="25" s="1"/>
  <c r="CM494" i="25"/>
  <c r="CS494" i="25" s="1"/>
  <c r="CM486" i="25"/>
  <c r="CS486" i="25" s="1"/>
  <c r="CX483" i="25"/>
  <c r="CY483" i="25" s="1"/>
  <c r="CZ483" i="25" s="1"/>
  <c r="DA483" i="25" s="1"/>
  <c r="CN483" i="25"/>
  <c r="CN503" i="25"/>
  <c r="CN495" i="25"/>
  <c r="CN487" i="25"/>
  <c r="CX500" i="25"/>
  <c r="CY500" i="25" s="1"/>
  <c r="CZ500" i="25" s="1"/>
  <c r="DA500" i="25" s="1"/>
  <c r="CX492" i="25"/>
  <c r="CY492" i="25" s="1"/>
  <c r="CZ492" i="25" s="1"/>
  <c r="DA492" i="25" s="1"/>
  <c r="CN502" i="25"/>
  <c r="CN494" i="25"/>
  <c r="CN486" i="25"/>
  <c r="CM500" i="25"/>
  <c r="CS500" i="25" s="1"/>
  <c r="CM492" i="25"/>
  <c r="CS492" i="25" s="1"/>
  <c r="CM483" i="25"/>
  <c r="CS483" i="25" s="1"/>
  <c r="CN501" i="25"/>
  <c r="CN493" i="25"/>
  <c r="CN485" i="25"/>
  <c r="CM499" i="25"/>
  <c r="CS499" i="25" s="1"/>
  <c r="CM491" i="25"/>
  <c r="CS491" i="25" s="1"/>
  <c r="CX504" i="25"/>
  <c r="CY504" i="25" s="1"/>
  <c r="CZ504" i="25" s="1"/>
  <c r="DA504" i="25" s="1"/>
  <c r="CX496" i="25"/>
  <c r="CY496" i="25" s="1"/>
  <c r="CZ496" i="25" s="1"/>
  <c r="DA496" i="25" s="1"/>
  <c r="CX488" i="25"/>
  <c r="CY488" i="25" s="1"/>
  <c r="CZ488" i="25" s="1"/>
  <c r="DA488" i="25" s="1"/>
  <c r="CQ489" i="25"/>
  <c r="CR489" i="25" s="1"/>
  <c r="CN500" i="25"/>
  <c r="CN492" i="25"/>
  <c r="CM498" i="25"/>
  <c r="CS498" i="25" s="1"/>
  <c r="CM490" i="25"/>
  <c r="CS490" i="25" s="1"/>
  <c r="CP487" i="25"/>
  <c r="CN499" i="25"/>
  <c r="CN491" i="25"/>
  <c r="CM497" i="25"/>
  <c r="CS497" i="25" s="1"/>
  <c r="CM489" i="25"/>
  <c r="CS489" i="25" s="1"/>
  <c r="CN498" i="25"/>
  <c r="CN490" i="25"/>
  <c r="CM504" i="25"/>
  <c r="CS504" i="25" s="1"/>
  <c r="CM496" i="25"/>
  <c r="CS496" i="25" s="1"/>
  <c r="CM488" i="25"/>
  <c r="CS488" i="25" s="1"/>
  <c r="CQ483" i="25"/>
  <c r="CR483" i="25" s="1"/>
  <c r="CN497" i="25"/>
  <c r="CN489" i="25"/>
  <c r="CM503" i="25"/>
  <c r="CS503" i="25" s="1"/>
  <c r="CM495" i="25"/>
  <c r="CS495" i="25" s="1"/>
  <c r="CM487" i="25"/>
  <c r="CS487" i="25" s="1"/>
  <c r="CQ497" i="25"/>
  <c r="CR497" i="25" s="1"/>
  <c r="CD489" i="25"/>
  <c r="CQ484" i="25"/>
  <c r="CR484" i="25" s="1"/>
  <c r="CP503" i="25"/>
  <c r="CP484" i="25"/>
  <c r="CP495" i="25"/>
  <c r="BS503" i="25"/>
  <c r="BS495" i="25"/>
  <c r="BS487" i="25"/>
  <c r="BS501" i="25"/>
  <c r="BS493" i="25"/>
  <c r="BS485" i="25"/>
  <c r="CP483" i="25"/>
  <c r="CO501" i="25"/>
  <c r="CX501" i="25"/>
  <c r="CY501" i="25" s="1"/>
  <c r="CZ501" i="25" s="1"/>
  <c r="DA501" i="25" s="1"/>
  <c r="CX493" i="25"/>
  <c r="CY493" i="25" s="1"/>
  <c r="CZ493" i="25" s="1"/>
  <c r="DA493" i="25" s="1"/>
  <c r="CX485" i="25"/>
  <c r="CY485" i="25" s="1"/>
  <c r="CZ485" i="25" s="1"/>
  <c r="DA485" i="25" s="1"/>
  <c r="CO493" i="25"/>
  <c r="CO485" i="25"/>
  <c r="CQ498" i="25"/>
  <c r="CR498" i="25" s="1"/>
  <c r="CQ490" i="25"/>
  <c r="CR490" i="25" s="1"/>
  <c r="CP504" i="25"/>
  <c r="CP496" i="25"/>
  <c r="CP488" i="25"/>
  <c r="CO502" i="25"/>
  <c r="CO494" i="25"/>
  <c r="CO486" i="25"/>
  <c r="CD504" i="25"/>
  <c r="CD496" i="25"/>
  <c r="CD488" i="25"/>
  <c r="CQ504" i="25"/>
  <c r="CR504" i="25" s="1"/>
  <c r="CQ496" i="25"/>
  <c r="CR496" i="25" s="1"/>
  <c r="CQ488" i="25"/>
  <c r="CR488" i="25" s="1"/>
  <c r="CP502" i="25"/>
  <c r="CP494" i="25"/>
  <c r="CP486" i="25"/>
  <c r="CO500" i="25"/>
  <c r="CO492" i="25"/>
  <c r="CQ503" i="25"/>
  <c r="CR503" i="25" s="1"/>
  <c r="CQ495" i="25"/>
  <c r="CR495" i="25" s="1"/>
  <c r="CQ487" i="25"/>
  <c r="CR487" i="25" s="1"/>
  <c r="CP501" i="25"/>
  <c r="CP493" i="25"/>
  <c r="CP485" i="25"/>
  <c r="CO499" i="25"/>
  <c r="CO491" i="25"/>
  <c r="CD501" i="25"/>
  <c r="CD493" i="25"/>
  <c r="CD485" i="25"/>
  <c r="CQ502" i="25"/>
  <c r="CR502" i="25" s="1"/>
  <c r="CQ494" i="25"/>
  <c r="CR494" i="25" s="1"/>
  <c r="CQ486" i="25"/>
  <c r="CR486" i="25" s="1"/>
  <c r="CP500" i="25"/>
  <c r="CP492" i="25"/>
  <c r="CO498" i="25"/>
  <c r="CO490" i="25"/>
  <c r="CQ501" i="25"/>
  <c r="CR501" i="25" s="1"/>
  <c r="CQ493" i="25"/>
  <c r="CR493" i="25" s="1"/>
  <c r="CQ485" i="25"/>
  <c r="CR485" i="25" s="1"/>
  <c r="CP499" i="25"/>
  <c r="CP491" i="25"/>
  <c r="CO497" i="25"/>
  <c r="CO489" i="25"/>
  <c r="CQ500" i="25"/>
  <c r="CR500" i="25" s="1"/>
  <c r="CQ492" i="25"/>
  <c r="CR492" i="25" s="1"/>
  <c r="CQ499" i="25"/>
  <c r="CR499" i="25" s="1"/>
  <c r="CQ491" i="25"/>
  <c r="CR491" i="25" s="1"/>
  <c r="DM457" i="25"/>
  <c r="DL457" i="25"/>
  <c r="AP132" i="89"/>
  <c r="I37" i="92"/>
  <c r="I38" i="92" l="1"/>
  <c r="CB492" i="25"/>
  <c r="CF492" i="25" s="1"/>
  <c r="CG492" i="25" s="1"/>
  <c r="CJ492" i="25" s="1"/>
  <c r="CE492" i="25"/>
  <c r="CH492" i="25" s="1"/>
  <c r="CI492" i="25" s="1"/>
  <c r="CB502" i="25"/>
  <c r="CF502" i="25" s="1"/>
  <c r="CG502" i="25" s="1"/>
  <c r="CJ502" i="25" s="1"/>
  <c r="CE502" i="25"/>
  <c r="CH502" i="25" s="1"/>
  <c r="CI502" i="25" s="1"/>
  <c r="CB491" i="25"/>
  <c r="CF491" i="25" s="1"/>
  <c r="CG491" i="25" s="1"/>
  <c r="CJ491" i="25" s="1"/>
  <c r="CE491" i="25"/>
  <c r="CH491" i="25" s="1"/>
  <c r="CI491" i="25" s="1"/>
  <c r="CB486" i="25"/>
  <c r="CF486" i="25" s="1"/>
  <c r="CG486" i="25" s="1"/>
  <c r="CJ486" i="25" s="1"/>
  <c r="CE486" i="25"/>
  <c r="CH486" i="25" s="1"/>
  <c r="CI486" i="25" s="1"/>
  <c r="CF501" i="25"/>
  <c r="CG501" i="25" s="1"/>
  <c r="CJ501" i="25" s="1"/>
  <c r="CE501" i="25"/>
  <c r="CH501" i="25" s="1"/>
  <c r="CI501" i="25" s="1"/>
  <c r="CE499" i="25"/>
  <c r="CH499" i="25" s="1"/>
  <c r="CI499" i="25" s="1"/>
  <c r="CB485" i="25"/>
  <c r="CF485" i="25" s="1"/>
  <c r="CG485" i="25" s="1"/>
  <c r="CJ485" i="25" s="1"/>
  <c r="CE485" i="25"/>
  <c r="CH485" i="25" s="1"/>
  <c r="CI485" i="25" s="1"/>
  <c r="CB493" i="25"/>
  <c r="CF493" i="25" s="1"/>
  <c r="CG493" i="25" s="1"/>
  <c r="CJ493" i="25" s="1"/>
  <c r="CE493" i="25"/>
  <c r="CH493" i="25" s="1"/>
  <c r="CI493" i="25" s="1"/>
  <c r="CE494" i="25"/>
  <c r="CH494" i="25" s="1"/>
  <c r="CI494" i="25" s="1"/>
  <c r="CE496" i="25"/>
  <c r="CH496" i="25" s="1"/>
  <c r="CI496" i="25" s="1"/>
  <c r="CB500" i="25"/>
  <c r="CF500" i="25" s="1"/>
  <c r="CG500" i="25" s="1"/>
  <c r="CJ500" i="25" s="1"/>
  <c r="CE483" i="25"/>
  <c r="CH483" i="25" s="1"/>
  <c r="CI483" i="25" s="1"/>
  <c r="CF504" i="25"/>
  <c r="CG504" i="25" s="1"/>
  <c r="CJ504" i="25" s="1"/>
  <c r="CE490" i="25"/>
  <c r="CH490" i="25" s="1"/>
  <c r="CI490" i="25" s="1"/>
  <c r="CE489" i="25"/>
  <c r="CH489" i="25" s="1"/>
  <c r="CI489" i="25" s="1"/>
  <c r="CE504" i="25"/>
  <c r="CH504" i="25" s="1"/>
  <c r="CI504" i="25" s="1"/>
  <c r="CE484" i="25"/>
  <c r="CH484" i="25" s="1"/>
  <c r="CI484" i="25" s="1"/>
  <c r="CF496" i="25"/>
  <c r="CG496" i="25" s="1"/>
  <c r="CJ496" i="25" s="1"/>
  <c r="CE495" i="25"/>
  <c r="CH495" i="25" s="1"/>
  <c r="CI495" i="25" s="1"/>
  <c r="CB497" i="25"/>
  <c r="CF497" i="25" s="1"/>
  <c r="CG497" i="25" s="1"/>
  <c r="CJ497" i="25" s="1"/>
  <c r="CE497" i="25"/>
  <c r="CH497" i="25" s="1"/>
  <c r="CI497" i="25" s="1"/>
  <c r="CE487" i="25"/>
  <c r="CH487" i="25" s="1"/>
  <c r="CI487" i="25" s="1"/>
  <c r="CF489" i="25"/>
  <c r="CG489" i="25" s="1"/>
  <c r="CJ489" i="25" s="1"/>
  <c r="CE498" i="25"/>
  <c r="CH498" i="25" s="1"/>
  <c r="CI498" i="25" s="1"/>
  <c r="CF488" i="25"/>
  <c r="CG488" i="25" s="1"/>
  <c r="CJ488" i="25" s="1"/>
  <c r="CE503" i="25"/>
  <c r="CH503" i="25" s="1"/>
  <c r="CI503" i="25" s="1"/>
  <c r="CE488" i="25"/>
  <c r="CH488" i="25" s="1"/>
  <c r="CI488" i="25" s="1"/>
  <c r="G390" i="25" l="1"/>
  <c r="G391" i="25"/>
  <c r="G392" i="25"/>
  <c r="G393" i="25"/>
  <c r="G394" i="25"/>
  <c r="G395" i="25"/>
  <c r="G396" i="25"/>
  <c r="G397" i="25"/>
  <c r="G398" i="25"/>
  <c r="G399" i="25"/>
  <c r="G400" i="25"/>
  <c r="G401" i="25"/>
  <c r="G402" i="25"/>
  <c r="G403" i="25"/>
  <c r="G404" i="25"/>
  <c r="G405" i="25"/>
  <c r="G406" i="25"/>
  <c r="G408" i="25"/>
  <c r="G409" i="25"/>
  <c r="G410" i="25"/>
  <c r="G412" i="25"/>
  <c r="G413" i="25"/>
  <c r="G414" i="25"/>
  <c r="G415" i="25"/>
  <c r="G416" i="25"/>
  <c r="G417" i="25"/>
  <c r="G418" i="25"/>
  <c r="G419" i="25"/>
  <c r="G420" i="25"/>
  <c r="G421" i="25"/>
  <c r="G422" i="25"/>
  <c r="G423" i="25"/>
  <c r="G424" i="25"/>
  <c r="G425" i="25"/>
  <c r="G426" i="25"/>
  <c r="G427" i="25"/>
  <c r="G428" i="25"/>
  <c r="G429" i="25"/>
  <c r="G430" i="25"/>
  <c r="G431" i="25"/>
  <c r="G432" i="25"/>
  <c r="G433" i="25"/>
  <c r="G434" i="25"/>
  <c r="G435" i="25"/>
  <c r="G436" i="25"/>
  <c r="G437" i="25"/>
  <c r="G438" i="25"/>
  <c r="G439" i="25"/>
  <c r="G440" i="25"/>
  <c r="G441" i="25"/>
  <c r="G443" i="25"/>
  <c r="G444" i="25"/>
  <c r="G445" i="25"/>
  <c r="G446" i="25"/>
  <c r="G447" i="25"/>
  <c r="G448" i="25"/>
  <c r="G449" i="25"/>
  <c r="G450" i="25"/>
  <c r="G451" i="25"/>
  <c r="G452" i="25"/>
  <c r="G453" i="25"/>
  <c r="G454" i="25"/>
  <c r="G455" i="25"/>
  <c r="G456" i="25"/>
  <c r="G181" i="25"/>
  <c r="G463" i="25"/>
  <c r="G461" i="25"/>
  <c r="G458" i="25"/>
  <c r="G465" i="25"/>
  <c r="G462" i="25"/>
  <c r="G464" i="25"/>
  <c r="G466" i="25"/>
  <c r="G460" i="25"/>
  <c r="G467" i="25"/>
  <c r="G468" i="25"/>
  <c r="G469" i="25"/>
  <c r="G470" i="25"/>
  <c r="G471" i="25"/>
  <c r="G472" i="25"/>
  <c r="G473" i="25"/>
  <c r="G474" i="25"/>
  <c r="G476" i="25"/>
  <c r="G477" i="25"/>
  <c r="G478" i="25"/>
  <c r="G479" i="25"/>
  <c r="G480" i="25"/>
  <c r="G481" i="25"/>
  <c r="G482" i="25"/>
  <c r="BQ390" i="25"/>
  <c r="BQ391" i="25"/>
  <c r="BQ392" i="25"/>
  <c r="BQ393" i="25"/>
  <c r="BQ394" i="25"/>
  <c r="BQ395" i="25"/>
  <c r="BQ396" i="25"/>
  <c r="BQ397" i="25"/>
  <c r="BQ398" i="25"/>
  <c r="BQ399" i="25"/>
  <c r="BQ400" i="25"/>
  <c r="BQ401" i="25"/>
  <c r="BQ402" i="25"/>
  <c r="BQ403" i="25"/>
  <c r="BQ404" i="25"/>
  <c r="BQ405" i="25"/>
  <c r="BQ406" i="25"/>
  <c r="BQ407" i="25"/>
  <c r="BQ408" i="25"/>
  <c r="BQ409" i="25"/>
  <c r="BQ410" i="25"/>
  <c r="BQ411" i="25"/>
  <c r="BQ412" i="25"/>
  <c r="BQ413" i="25"/>
  <c r="BQ414" i="25"/>
  <c r="BQ415" i="25"/>
  <c r="BQ416" i="25"/>
  <c r="BQ417" i="25"/>
  <c r="BQ418" i="25"/>
  <c r="BQ419" i="25"/>
  <c r="BQ420" i="25"/>
  <c r="BQ421" i="25"/>
  <c r="BQ422" i="25"/>
  <c r="BQ423" i="25"/>
  <c r="BQ424" i="25"/>
  <c r="BQ425" i="25"/>
  <c r="BQ426" i="25"/>
  <c r="BQ427" i="25"/>
  <c r="BQ428" i="25"/>
  <c r="BQ429" i="25"/>
  <c r="BQ430" i="25"/>
  <c r="BQ431" i="25"/>
  <c r="BQ432" i="25"/>
  <c r="BQ433" i="25"/>
  <c r="BQ434" i="25"/>
  <c r="BQ435" i="25"/>
  <c r="BQ436" i="25"/>
  <c r="BQ437" i="25"/>
  <c r="BQ438" i="25"/>
  <c r="BQ439" i="25"/>
  <c r="BQ440" i="25"/>
  <c r="BQ441" i="25"/>
  <c r="BQ442" i="25"/>
  <c r="BQ443" i="25"/>
  <c r="BQ444" i="25"/>
  <c r="BQ445" i="25"/>
  <c r="BQ446" i="25"/>
  <c r="BQ447" i="25"/>
  <c r="BQ448" i="25"/>
  <c r="BQ449" i="25"/>
  <c r="BQ450" i="25"/>
  <c r="BQ451" i="25"/>
  <c r="BQ452" i="25"/>
  <c r="BQ453" i="25"/>
  <c r="BQ454" i="25"/>
  <c r="BQ455" i="25"/>
  <c r="BQ456" i="25"/>
  <c r="BQ181" i="25"/>
  <c r="BQ463" i="25"/>
  <c r="BQ461" i="25"/>
  <c r="BQ458" i="25"/>
  <c r="BQ465" i="25"/>
  <c r="BQ462" i="25"/>
  <c r="BQ464" i="25"/>
  <c r="BQ466" i="25"/>
  <c r="BQ457" i="25"/>
  <c r="BQ460" i="25"/>
  <c r="BQ467" i="25"/>
  <c r="BQ468" i="25"/>
  <c r="BQ469" i="25"/>
  <c r="BQ470" i="25"/>
  <c r="BQ471" i="25"/>
  <c r="BQ472" i="25"/>
  <c r="BQ473" i="25"/>
  <c r="BQ474" i="25"/>
  <c r="BQ475" i="25"/>
  <c r="BQ476" i="25"/>
  <c r="BQ477" i="25"/>
  <c r="BQ478" i="25"/>
  <c r="BQ479" i="25"/>
  <c r="BQ480" i="25"/>
  <c r="BQ481" i="25"/>
  <c r="BQ482" i="25"/>
  <c r="BR390" i="25"/>
  <c r="BR391" i="25"/>
  <c r="BR392" i="25"/>
  <c r="BR393" i="25"/>
  <c r="BR394" i="25"/>
  <c r="BR395" i="25"/>
  <c r="BR396" i="25"/>
  <c r="BR397" i="25"/>
  <c r="BR398" i="25"/>
  <c r="BR399" i="25"/>
  <c r="BR400" i="25"/>
  <c r="BR401" i="25"/>
  <c r="BR402" i="25"/>
  <c r="BR403" i="25"/>
  <c r="BR404" i="25"/>
  <c r="BR405" i="25"/>
  <c r="BR406" i="25"/>
  <c r="BR407" i="25"/>
  <c r="BR408" i="25"/>
  <c r="BR409" i="25"/>
  <c r="BR410" i="25"/>
  <c r="BR411" i="25"/>
  <c r="BR412" i="25"/>
  <c r="BR413" i="25"/>
  <c r="BR414" i="25"/>
  <c r="BR415" i="25"/>
  <c r="BR416" i="25"/>
  <c r="BR417" i="25"/>
  <c r="BR418" i="25"/>
  <c r="BR419" i="25"/>
  <c r="BR420" i="25"/>
  <c r="BR421" i="25"/>
  <c r="BR422" i="25"/>
  <c r="BR423" i="25"/>
  <c r="BR424" i="25"/>
  <c r="BR425" i="25"/>
  <c r="BR426" i="25"/>
  <c r="BR427" i="25"/>
  <c r="BR428" i="25"/>
  <c r="BR429" i="25"/>
  <c r="BR430" i="25"/>
  <c r="BR431" i="25"/>
  <c r="BR432" i="25"/>
  <c r="BR433" i="25"/>
  <c r="BR434" i="25"/>
  <c r="BR435" i="25"/>
  <c r="BR436" i="25"/>
  <c r="BR437" i="25"/>
  <c r="BR438" i="25"/>
  <c r="BR439" i="25"/>
  <c r="BR440" i="25"/>
  <c r="BR441" i="25"/>
  <c r="BR442" i="25"/>
  <c r="BR443" i="25"/>
  <c r="BR444" i="25"/>
  <c r="BR445" i="25"/>
  <c r="BR446" i="25"/>
  <c r="BR447" i="25"/>
  <c r="BR448" i="25"/>
  <c r="BR449" i="25"/>
  <c r="BR450" i="25"/>
  <c r="BR451" i="25"/>
  <c r="BR452" i="25"/>
  <c r="BR453" i="25"/>
  <c r="BR454" i="25"/>
  <c r="BR455" i="25"/>
  <c r="BR456" i="25"/>
  <c r="BR181" i="25"/>
  <c r="BR463" i="25"/>
  <c r="BR461" i="25"/>
  <c r="BR458" i="25"/>
  <c r="BR465" i="25"/>
  <c r="BR462" i="25"/>
  <c r="BR464" i="25"/>
  <c r="BR466" i="25"/>
  <c r="BR457" i="25"/>
  <c r="BR460" i="25"/>
  <c r="BR467" i="25"/>
  <c r="BR468" i="25"/>
  <c r="BR469" i="25"/>
  <c r="BR470" i="25"/>
  <c r="BR471" i="25"/>
  <c r="BR472" i="25"/>
  <c r="BR473" i="25"/>
  <c r="BR474" i="25"/>
  <c r="BR475" i="25"/>
  <c r="BR476" i="25"/>
  <c r="BR477" i="25"/>
  <c r="BR478" i="25"/>
  <c r="BR479" i="25"/>
  <c r="BR480" i="25"/>
  <c r="BR481" i="25"/>
  <c r="BR482" i="25"/>
  <c r="BT390" i="25"/>
  <c r="BT391" i="25"/>
  <c r="BT392" i="25"/>
  <c r="BT393" i="25"/>
  <c r="BT394" i="25"/>
  <c r="BT395" i="25"/>
  <c r="BT396" i="25"/>
  <c r="BT397" i="25"/>
  <c r="BT398" i="25"/>
  <c r="BT399" i="25"/>
  <c r="BT400" i="25"/>
  <c r="BT401" i="25"/>
  <c r="BT402" i="25"/>
  <c r="BT403" i="25"/>
  <c r="BT404" i="25"/>
  <c r="BT405" i="25"/>
  <c r="BT406" i="25"/>
  <c r="BT407" i="25"/>
  <c r="BT408" i="25"/>
  <c r="BT409" i="25"/>
  <c r="BT410" i="25"/>
  <c r="BT411" i="25"/>
  <c r="BT412" i="25"/>
  <c r="BT413" i="25"/>
  <c r="BT414" i="25"/>
  <c r="BT415" i="25"/>
  <c r="BT416" i="25"/>
  <c r="BT417" i="25"/>
  <c r="BT418" i="25"/>
  <c r="BT419" i="25"/>
  <c r="BT420" i="25"/>
  <c r="BT421" i="25"/>
  <c r="BT422" i="25"/>
  <c r="BT423" i="25"/>
  <c r="BT424" i="25"/>
  <c r="BT425" i="25"/>
  <c r="BT426" i="25"/>
  <c r="BT427" i="25"/>
  <c r="BT428" i="25"/>
  <c r="BT429" i="25"/>
  <c r="BT430" i="25"/>
  <c r="BT431" i="25"/>
  <c r="BT432" i="25"/>
  <c r="BT433" i="25"/>
  <c r="BT434" i="25"/>
  <c r="BT435" i="25"/>
  <c r="BT436" i="25"/>
  <c r="BT437" i="25"/>
  <c r="BT438" i="25"/>
  <c r="BT439" i="25"/>
  <c r="BT440" i="25"/>
  <c r="BT441" i="25"/>
  <c r="BT442" i="25"/>
  <c r="BT443" i="25"/>
  <c r="BT444" i="25"/>
  <c r="BT445" i="25"/>
  <c r="BT446" i="25"/>
  <c r="BT447" i="25"/>
  <c r="BT448" i="25"/>
  <c r="BT449" i="25"/>
  <c r="BT450" i="25"/>
  <c r="BT451" i="25"/>
  <c r="BT452" i="25"/>
  <c r="BT453" i="25"/>
  <c r="BT454" i="25"/>
  <c r="BT455" i="25"/>
  <c r="BT456" i="25"/>
  <c r="BT181" i="25"/>
  <c r="BT463" i="25"/>
  <c r="BT461" i="25"/>
  <c r="BT458" i="25"/>
  <c r="BT465" i="25"/>
  <c r="BT462" i="25"/>
  <c r="BT464" i="25"/>
  <c r="BT466" i="25"/>
  <c r="BT457" i="25"/>
  <c r="BT460" i="25"/>
  <c r="BT467" i="25"/>
  <c r="BT468" i="25"/>
  <c r="BT469" i="25"/>
  <c r="BT470" i="25"/>
  <c r="BT471" i="25"/>
  <c r="BT472" i="25"/>
  <c r="BT473" i="25"/>
  <c r="BT474" i="25"/>
  <c r="BT475" i="25"/>
  <c r="BT476" i="25"/>
  <c r="BT477" i="25"/>
  <c r="BT478" i="25"/>
  <c r="BT479" i="25"/>
  <c r="BT480" i="25"/>
  <c r="BT481" i="25"/>
  <c r="BT482" i="25"/>
  <c r="BU390" i="25"/>
  <c r="BU391" i="25"/>
  <c r="BU392" i="25"/>
  <c r="BU393" i="25"/>
  <c r="BU394" i="25"/>
  <c r="BU395" i="25"/>
  <c r="BU396" i="25"/>
  <c r="BU397" i="25"/>
  <c r="BU398" i="25"/>
  <c r="BU399" i="25"/>
  <c r="BU400" i="25"/>
  <c r="BU401" i="25"/>
  <c r="BU402" i="25"/>
  <c r="BU403" i="25"/>
  <c r="BU404" i="25"/>
  <c r="BU405" i="25"/>
  <c r="BU406" i="25"/>
  <c r="BU407" i="25"/>
  <c r="BU408" i="25"/>
  <c r="BU409" i="25"/>
  <c r="BU410" i="25"/>
  <c r="BU411" i="25"/>
  <c r="BU412" i="25"/>
  <c r="BU413" i="25"/>
  <c r="BU414" i="25"/>
  <c r="BU415" i="25"/>
  <c r="BU416" i="25"/>
  <c r="BU417" i="25"/>
  <c r="BU418" i="25"/>
  <c r="BU419" i="25"/>
  <c r="BU420" i="25"/>
  <c r="BU421" i="25"/>
  <c r="BU422" i="25"/>
  <c r="BU423" i="25"/>
  <c r="BU424" i="25"/>
  <c r="BU425" i="25"/>
  <c r="BU426" i="25"/>
  <c r="BU427" i="25"/>
  <c r="BU428" i="25"/>
  <c r="BU429" i="25"/>
  <c r="BU430" i="25"/>
  <c r="BU431" i="25"/>
  <c r="BU432" i="25"/>
  <c r="BU433" i="25"/>
  <c r="BU434" i="25"/>
  <c r="BU435" i="25"/>
  <c r="BU436" i="25"/>
  <c r="BU437" i="25"/>
  <c r="BU438" i="25"/>
  <c r="BU439" i="25"/>
  <c r="BU440" i="25"/>
  <c r="BU441" i="25"/>
  <c r="BU442" i="25"/>
  <c r="BU443" i="25"/>
  <c r="BU444" i="25"/>
  <c r="BU445" i="25"/>
  <c r="BU446" i="25"/>
  <c r="BU447" i="25"/>
  <c r="BU448" i="25"/>
  <c r="BU449" i="25"/>
  <c r="BU450" i="25"/>
  <c r="BU451" i="25"/>
  <c r="BU452" i="25"/>
  <c r="BU453" i="25"/>
  <c r="BU454" i="25"/>
  <c r="BU455" i="25"/>
  <c r="BU456" i="25"/>
  <c r="BU181" i="25"/>
  <c r="BU463" i="25"/>
  <c r="BU461" i="25"/>
  <c r="BU458" i="25"/>
  <c r="BU465" i="25"/>
  <c r="BU462" i="25"/>
  <c r="BU464" i="25"/>
  <c r="BU466" i="25"/>
  <c r="BU457" i="25"/>
  <c r="BU460" i="25"/>
  <c r="BU467" i="25"/>
  <c r="BU468" i="25"/>
  <c r="BU469" i="25"/>
  <c r="BU470" i="25"/>
  <c r="BU471" i="25"/>
  <c r="BU472" i="25"/>
  <c r="BU473" i="25"/>
  <c r="BU474" i="25"/>
  <c r="BU475" i="25"/>
  <c r="BU476" i="25"/>
  <c r="BU477" i="25"/>
  <c r="BU478" i="25"/>
  <c r="BU479" i="25"/>
  <c r="BU480" i="25"/>
  <c r="BU481" i="25"/>
  <c r="BU482" i="25"/>
  <c r="BV390" i="25"/>
  <c r="BV391" i="25"/>
  <c r="BV392" i="25"/>
  <c r="BV393" i="25"/>
  <c r="BV394" i="25"/>
  <c r="BV395" i="25"/>
  <c r="BV396" i="25"/>
  <c r="BV397" i="25"/>
  <c r="BV398" i="25"/>
  <c r="BV399" i="25"/>
  <c r="BV400" i="25"/>
  <c r="BV401" i="25"/>
  <c r="BV402" i="25"/>
  <c r="BV403" i="25"/>
  <c r="BV404" i="25"/>
  <c r="BV405" i="25"/>
  <c r="BV406" i="25"/>
  <c r="BV407" i="25"/>
  <c r="BV408" i="25"/>
  <c r="BV409" i="25"/>
  <c r="BV410" i="25"/>
  <c r="BV411" i="25"/>
  <c r="BV412" i="25"/>
  <c r="BV413" i="25"/>
  <c r="BV414" i="25"/>
  <c r="BV415" i="25"/>
  <c r="BV416" i="25"/>
  <c r="BV417" i="25"/>
  <c r="BV418" i="25"/>
  <c r="BV419" i="25"/>
  <c r="BV420" i="25"/>
  <c r="BV421" i="25"/>
  <c r="BV422" i="25"/>
  <c r="BV423" i="25"/>
  <c r="BV424" i="25"/>
  <c r="BV425" i="25"/>
  <c r="BV426" i="25"/>
  <c r="BV427" i="25"/>
  <c r="BV428" i="25"/>
  <c r="BV429" i="25"/>
  <c r="BV430" i="25"/>
  <c r="BV431" i="25"/>
  <c r="BV432" i="25"/>
  <c r="BV433" i="25"/>
  <c r="BV434" i="25"/>
  <c r="BV435" i="25"/>
  <c r="BV436" i="25"/>
  <c r="BV437" i="25"/>
  <c r="BV438" i="25"/>
  <c r="BV439" i="25"/>
  <c r="BV440" i="25"/>
  <c r="BV441" i="25"/>
  <c r="BV442" i="25"/>
  <c r="BV443" i="25"/>
  <c r="BV444" i="25"/>
  <c r="BV445" i="25"/>
  <c r="BV446" i="25"/>
  <c r="BV447" i="25"/>
  <c r="BV448" i="25"/>
  <c r="BV449" i="25"/>
  <c r="BV450" i="25"/>
  <c r="BV451" i="25"/>
  <c r="BV452" i="25"/>
  <c r="BV453" i="25"/>
  <c r="BV454" i="25"/>
  <c r="BV455" i="25"/>
  <c r="BV456" i="25"/>
  <c r="BV181" i="25"/>
  <c r="BV463" i="25"/>
  <c r="BV461" i="25"/>
  <c r="BV458" i="25"/>
  <c r="BV465" i="25"/>
  <c r="BV462" i="25"/>
  <c r="BV464" i="25"/>
  <c r="BV466" i="25"/>
  <c r="BV457" i="25"/>
  <c r="BV460" i="25"/>
  <c r="BV467" i="25"/>
  <c r="BV468" i="25"/>
  <c r="BV469" i="25"/>
  <c r="BV470" i="25"/>
  <c r="BV471" i="25"/>
  <c r="BV472" i="25"/>
  <c r="BV473" i="25"/>
  <c r="BV474" i="25"/>
  <c r="BV475" i="25"/>
  <c r="BV476" i="25"/>
  <c r="BV477" i="25"/>
  <c r="BV478" i="25"/>
  <c r="BV479" i="25"/>
  <c r="BV480" i="25"/>
  <c r="BV481" i="25"/>
  <c r="BV482" i="25"/>
  <c r="BW390" i="25"/>
  <c r="BW391" i="25"/>
  <c r="BW392" i="25"/>
  <c r="BW393" i="25"/>
  <c r="BW394" i="25"/>
  <c r="BW395" i="25"/>
  <c r="BW396" i="25"/>
  <c r="BW397" i="25"/>
  <c r="BW398" i="25"/>
  <c r="BW399" i="25"/>
  <c r="BW400" i="25"/>
  <c r="BW401" i="25"/>
  <c r="BW402" i="25"/>
  <c r="BW403" i="25"/>
  <c r="BW404" i="25"/>
  <c r="BW405" i="25"/>
  <c r="BW406" i="25"/>
  <c r="BW407" i="25"/>
  <c r="BW408" i="25"/>
  <c r="BW409" i="25"/>
  <c r="BW410" i="25"/>
  <c r="BW411" i="25"/>
  <c r="BW412" i="25"/>
  <c r="BW413" i="25"/>
  <c r="BW414" i="25"/>
  <c r="BW415" i="25"/>
  <c r="BW416" i="25"/>
  <c r="BW417" i="25"/>
  <c r="BW418" i="25"/>
  <c r="BW419" i="25"/>
  <c r="BW420" i="25"/>
  <c r="BW421" i="25"/>
  <c r="BW422" i="25"/>
  <c r="BW423" i="25"/>
  <c r="BW424" i="25"/>
  <c r="BW425" i="25"/>
  <c r="BW426" i="25"/>
  <c r="BW427" i="25"/>
  <c r="BW428" i="25"/>
  <c r="BW429" i="25"/>
  <c r="BW430" i="25"/>
  <c r="BW431" i="25"/>
  <c r="BW432" i="25"/>
  <c r="BW433" i="25"/>
  <c r="BW434" i="25"/>
  <c r="BW435" i="25"/>
  <c r="BW436" i="25"/>
  <c r="BW437" i="25"/>
  <c r="BW438" i="25"/>
  <c r="BW439" i="25"/>
  <c r="BW440" i="25"/>
  <c r="BW441" i="25"/>
  <c r="BW442" i="25"/>
  <c r="BW443" i="25"/>
  <c r="BW444" i="25"/>
  <c r="BW445" i="25"/>
  <c r="BW446" i="25"/>
  <c r="BW447" i="25"/>
  <c r="BW448" i="25"/>
  <c r="BW449" i="25"/>
  <c r="BW450" i="25"/>
  <c r="BW451" i="25"/>
  <c r="BW452" i="25"/>
  <c r="BW453" i="25"/>
  <c r="BW454" i="25"/>
  <c r="BW455" i="25"/>
  <c r="BW456" i="25"/>
  <c r="BW181" i="25"/>
  <c r="BW463" i="25"/>
  <c r="BW461" i="25"/>
  <c r="BW458" i="25"/>
  <c r="BW465" i="25"/>
  <c r="BW462" i="25"/>
  <c r="BW464" i="25"/>
  <c r="BW466" i="25"/>
  <c r="BW457" i="25"/>
  <c r="BW460" i="25"/>
  <c r="BW467" i="25"/>
  <c r="BW468" i="25"/>
  <c r="BW469" i="25"/>
  <c r="BW470" i="25"/>
  <c r="BW471" i="25"/>
  <c r="BW472" i="25"/>
  <c r="BW473" i="25"/>
  <c r="BW474" i="25"/>
  <c r="BW475" i="25"/>
  <c r="BW476" i="25"/>
  <c r="BW477" i="25"/>
  <c r="BW478" i="25"/>
  <c r="BW479" i="25"/>
  <c r="BW480" i="25"/>
  <c r="BW481" i="25"/>
  <c r="BW482" i="25"/>
  <c r="BX390" i="25"/>
  <c r="BX391" i="25"/>
  <c r="BX392" i="25"/>
  <c r="BX393" i="25"/>
  <c r="BX394" i="25"/>
  <c r="BX395" i="25"/>
  <c r="BX396" i="25"/>
  <c r="BX397" i="25"/>
  <c r="BX398" i="25"/>
  <c r="BX399" i="25"/>
  <c r="BX400" i="25"/>
  <c r="BX401" i="25"/>
  <c r="BX402" i="25"/>
  <c r="BX403" i="25"/>
  <c r="BX404" i="25"/>
  <c r="BX405" i="25"/>
  <c r="BX406" i="25"/>
  <c r="BX407" i="25"/>
  <c r="BX408" i="25"/>
  <c r="BX409" i="25"/>
  <c r="BX410" i="25"/>
  <c r="BX411" i="25"/>
  <c r="BX412" i="25"/>
  <c r="BX413" i="25"/>
  <c r="BX414" i="25"/>
  <c r="BX415" i="25"/>
  <c r="BX416" i="25"/>
  <c r="BX417" i="25"/>
  <c r="BX418" i="25"/>
  <c r="BX419" i="25"/>
  <c r="BX420" i="25"/>
  <c r="BX421" i="25"/>
  <c r="BX422" i="25"/>
  <c r="BX423" i="25"/>
  <c r="BX424" i="25"/>
  <c r="BX425" i="25"/>
  <c r="BX426" i="25"/>
  <c r="BX427" i="25"/>
  <c r="BX428" i="25"/>
  <c r="BX429" i="25"/>
  <c r="BX430" i="25"/>
  <c r="BX431" i="25"/>
  <c r="BX432" i="25"/>
  <c r="BX433" i="25"/>
  <c r="BX434" i="25"/>
  <c r="BX435" i="25"/>
  <c r="BX436" i="25"/>
  <c r="BX437" i="25"/>
  <c r="BX438" i="25"/>
  <c r="BX439" i="25"/>
  <c r="BX440" i="25"/>
  <c r="BX441" i="25"/>
  <c r="BX442" i="25"/>
  <c r="BX443" i="25"/>
  <c r="BX444" i="25"/>
  <c r="BX445" i="25"/>
  <c r="BX446" i="25"/>
  <c r="BX447" i="25"/>
  <c r="BX448" i="25"/>
  <c r="BX449" i="25"/>
  <c r="BX450" i="25"/>
  <c r="BX451" i="25"/>
  <c r="BX452" i="25"/>
  <c r="BX453" i="25"/>
  <c r="BX454" i="25"/>
  <c r="BX455" i="25"/>
  <c r="BX456" i="25"/>
  <c r="BX181" i="25"/>
  <c r="BX463" i="25"/>
  <c r="BX461" i="25"/>
  <c r="BX458" i="25"/>
  <c r="BX465" i="25"/>
  <c r="BX462" i="25"/>
  <c r="BX464" i="25"/>
  <c r="BX466" i="25"/>
  <c r="BX457" i="25"/>
  <c r="BX460" i="25"/>
  <c r="BX467" i="25"/>
  <c r="BX468" i="25"/>
  <c r="BX469" i="25"/>
  <c r="BX470" i="25"/>
  <c r="BX471" i="25"/>
  <c r="BX472" i="25"/>
  <c r="BX473" i="25"/>
  <c r="BX474" i="25"/>
  <c r="BX475" i="25"/>
  <c r="BX476" i="25"/>
  <c r="BX477" i="25"/>
  <c r="BX478" i="25"/>
  <c r="BX479" i="25"/>
  <c r="BX480" i="25"/>
  <c r="BX481" i="25"/>
  <c r="BX482" i="25"/>
  <c r="CC390" i="25"/>
  <c r="CD390" i="25" s="1"/>
  <c r="CC391" i="25"/>
  <c r="CD391" i="25" s="1"/>
  <c r="CC392" i="25"/>
  <c r="CD392" i="25" s="1"/>
  <c r="CC393" i="25"/>
  <c r="CD393" i="25" s="1"/>
  <c r="CC394" i="25"/>
  <c r="CC395" i="25"/>
  <c r="CD395" i="25" s="1"/>
  <c r="CC396" i="25"/>
  <c r="CD396" i="25" s="1"/>
  <c r="CC397" i="25"/>
  <c r="CC398" i="25"/>
  <c r="CD398" i="25" s="1"/>
  <c r="CC399" i="25"/>
  <c r="CD399" i="25" s="1"/>
  <c r="CC400" i="25"/>
  <c r="CD400" i="25" s="1"/>
  <c r="CC401" i="25"/>
  <c r="CD401" i="25" s="1"/>
  <c r="CC402" i="25"/>
  <c r="CC403" i="25"/>
  <c r="CD403" i="25" s="1"/>
  <c r="CC404" i="25"/>
  <c r="CD404" i="25" s="1"/>
  <c r="CC405" i="25"/>
  <c r="CC406" i="25"/>
  <c r="CD406" i="25" s="1"/>
  <c r="CC407" i="25"/>
  <c r="CD407" i="25" s="1"/>
  <c r="CC408" i="25"/>
  <c r="CD408" i="25" s="1"/>
  <c r="CC409" i="25"/>
  <c r="CD409" i="25" s="1"/>
  <c r="CC410" i="25"/>
  <c r="CC411" i="25"/>
  <c r="CD411" i="25" s="1"/>
  <c r="CC412" i="25"/>
  <c r="CD412" i="25" s="1"/>
  <c r="CC413" i="25"/>
  <c r="CC414" i="25"/>
  <c r="CD414" i="25" s="1"/>
  <c r="CC415" i="25"/>
  <c r="CD415" i="25" s="1"/>
  <c r="CC416" i="25"/>
  <c r="CD416" i="25" s="1"/>
  <c r="CC417" i="25"/>
  <c r="CD417" i="25" s="1"/>
  <c r="CC418" i="25"/>
  <c r="CC419" i="25"/>
  <c r="CD419" i="25" s="1"/>
  <c r="CC420" i="25"/>
  <c r="CD420" i="25" s="1"/>
  <c r="CC421" i="25"/>
  <c r="CC422" i="25"/>
  <c r="CD422" i="25" s="1"/>
  <c r="CC423" i="25"/>
  <c r="CD423" i="25" s="1"/>
  <c r="CC424" i="25"/>
  <c r="CD424" i="25" s="1"/>
  <c r="CC425" i="25"/>
  <c r="CD425" i="25" s="1"/>
  <c r="CC426" i="25"/>
  <c r="CD426" i="25" s="1"/>
  <c r="CC427" i="25"/>
  <c r="CD427" i="25" s="1"/>
  <c r="CC428" i="25"/>
  <c r="CD428" i="25" s="1"/>
  <c r="CC429" i="25"/>
  <c r="CC430" i="25"/>
  <c r="CD430" i="25" s="1"/>
  <c r="CC431" i="25"/>
  <c r="CD431" i="25" s="1"/>
  <c r="CC432" i="25"/>
  <c r="CD432" i="25" s="1"/>
  <c r="CC433" i="25"/>
  <c r="CD433" i="25" s="1"/>
  <c r="CC434" i="25"/>
  <c r="CD434" i="25" s="1"/>
  <c r="CC435" i="25"/>
  <c r="CC436" i="25"/>
  <c r="CD436" i="25" s="1"/>
  <c r="CC437" i="25"/>
  <c r="CC438" i="25"/>
  <c r="CD438" i="25" s="1"/>
  <c r="CC439" i="25"/>
  <c r="CD439" i="25" s="1"/>
  <c r="CC440" i="25"/>
  <c r="CD440" i="25" s="1"/>
  <c r="CC441" i="25"/>
  <c r="CD441" i="25" s="1"/>
  <c r="CC442" i="25"/>
  <c r="CC443" i="25"/>
  <c r="CD443" i="25" s="1"/>
  <c r="CC444" i="25"/>
  <c r="CD444" i="25" s="1"/>
  <c r="CC445" i="25"/>
  <c r="CC446" i="25"/>
  <c r="CD446" i="25" s="1"/>
  <c r="CC447" i="25"/>
  <c r="CD447" i="25" s="1"/>
  <c r="CC448" i="25"/>
  <c r="CD448" i="25" s="1"/>
  <c r="CC449" i="25"/>
  <c r="CD449" i="25" s="1"/>
  <c r="CC450" i="25"/>
  <c r="CC451" i="25"/>
  <c r="CD451" i="25" s="1"/>
  <c r="CC452" i="25"/>
  <c r="CD452" i="25" s="1"/>
  <c r="CC453" i="25"/>
  <c r="CC454" i="25"/>
  <c r="CD454" i="25" s="1"/>
  <c r="CC455" i="25"/>
  <c r="CD455" i="25" s="1"/>
  <c r="CC456" i="25"/>
  <c r="CD456" i="25" s="1"/>
  <c r="CC181" i="25"/>
  <c r="CD181" i="25" s="1"/>
  <c r="CC463" i="25"/>
  <c r="CD463" i="25" s="1"/>
  <c r="CC461" i="25"/>
  <c r="CD461" i="25" s="1"/>
  <c r="CC458" i="25"/>
  <c r="CC465" i="25"/>
  <c r="CD465" i="25" s="1"/>
  <c r="CC462" i="25"/>
  <c r="CD462" i="25" s="1"/>
  <c r="CC464" i="25"/>
  <c r="CD464" i="25" s="1"/>
  <c r="CC466" i="25"/>
  <c r="CD466" i="25" s="1"/>
  <c r="CC457" i="25"/>
  <c r="CD457" i="25" s="1"/>
  <c r="CC460" i="25"/>
  <c r="CC467" i="25"/>
  <c r="CD467" i="25" s="1"/>
  <c r="CC468" i="25"/>
  <c r="CD468" i="25" s="1"/>
  <c r="CC469" i="25"/>
  <c r="CC470" i="25"/>
  <c r="CD470" i="25" s="1"/>
  <c r="CC471" i="25"/>
  <c r="CC472" i="25"/>
  <c r="CD472" i="25" s="1"/>
  <c r="CC473" i="25"/>
  <c r="CD473" i="25" s="1"/>
  <c r="CC474" i="25"/>
  <c r="CC475" i="25"/>
  <c r="CD475" i="25" s="1"/>
  <c r="CC476" i="25"/>
  <c r="CD476" i="25" s="1"/>
  <c r="CC477" i="25"/>
  <c r="CC478" i="25"/>
  <c r="CD478" i="25" s="1"/>
  <c r="CC479" i="25"/>
  <c r="CC480" i="25"/>
  <c r="CD480" i="25" s="1"/>
  <c r="CC481" i="25"/>
  <c r="CD481" i="25" s="1"/>
  <c r="CC482" i="25"/>
  <c r="CK390" i="25"/>
  <c r="CK391" i="25"/>
  <c r="CK392" i="25"/>
  <c r="CK393" i="25"/>
  <c r="CK394" i="25"/>
  <c r="CK395" i="25"/>
  <c r="CK396" i="25"/>
  <c r="CK397" i="25"/>
  <c r="CK398" i="25"/>
  <c r="CK399" i="25"/>
  <c r="CK400" i="25"/>
  <c r="CK401" i="25"/>
  <c r="CK402" i="25"/>
  <c r="CK403" i="25"/>
  <c r="CK404" i="25"/>
  <c r="CK405" i="25"/>
  <c r="CK406" i="25"/>
  <c r="CK407" i="25"/>
  <c r="CK408" i="25"/>
  <c r="CK409" i="25"/>
  <c r="CK410" i="25"/>
  <c r="CK411" i="25"/>
  <c r="CK412" i="25"/>
  <c r="CK413" i="25"/>
  <c r="CK414" i="25"/>
  <c r="CK415" i="25"/>
  <c r="CK416" i="25"/>
  <c r="CK417" i="25"/>
  <c r="CK418" i="25"/>
  <c r="CK419" i="25"/>
  <c r="CK420" i="25"/>
  <c r="CK421" i="25"/>
  <c r="CK422" i="25"/>
  <c r="CK423" i="25"/>
  <c r="CK424" i="25"/>
  <c r="CK425" i="25"/>
  <c r="CK426" i="25"/>
  <c r="CK427" i="25"/>
  <c r="CK428" i="25"/>
  <c r="CK429" i="25"/>
  <c r="CK430" i="25"/>
  <c r="CK431" i="25"/>
  <c r="CK432" i="25"/>
  <c r="CK433" i="25"/>
  <c r="CK434" i="25"/>
  <c r="CK435" i="25"/>
  <c r="CK436" i="25"/>
  <c r="CK437" i="25"/>
  <c r="CK438" i="25"/>
  <c r="CK439" i="25"/>
  <c r="CK440" i="25"/>
  <c r="CK441" i="25"/>
  <c r="CK442" i="25"/>
  <c r="CK443" i="25"/>
  <c r="CK444" i="25"/>
  <c r="CK445" i="25"/>
  <c r="CK446" i="25"/>
  <c r="CK447" i="25"/>
  <c r="CK448" i="25"/>
  <c r="CK449" i="25"/>
  <c r="CK450" i="25"/>
  <c r="CK451" i="25"/>
  <c r="CK452" i="25"/>
  <c r="CK453" i="25"/>
  <c r="CK454" i="25"/>
  <c r="CK455" i="25"/>
  <c r="CK456" i="25"/>
  <c r="CK181" i="25"/>
  <c r="CK463" i="25"/>
  <c r="CK461" i="25"/>
  <c r="CK458" i="25"/>
  <c r="CK465" i="25"/>
  <c r="CK462" i="25"/>
  <c r="CK464" i="25"/>
  <c r="CK466" i="25"/>
  <c r="CK457" i="25"/>
  <c r="CK460" i="25"/>
  <c r="CK467" i="25"/>
  <c r="CK468" i="25"/>
  <c r="CK469" i="25"/>
  <c r="CK470" i="25"/>
  <c r="CK471" i="25"/>
  <c r="CK472" i="25"/>
  <c r="CK473" i="25"/>
  <c r="CK474" i="25"/>
  <c r="CK475" i="25"/>
  <c r="CK476" i="25"/>
  <c r="CK477" i="25"/>
  <c r="CK478" i="25"/>
  <c r="CK479" i="25"/>
  <c r="CK480" i="25"/>
  <c r="CK481" i="25"/>
  <c r="CK482" i="25"/>
  <c r="CL390" i="25"/>
  <c r="CL391" i="25"/>
  <c r="CL392" i="25"/>
  <c r="CL393" i="25"/>
  <c r="CL394" i="25"/>
  <c r="CL395" i="25"/>
  <c r="CL396" i="25"/>
  <c r="CL397" i="25"/>
  <c r="CL398" i="25"/>
  <c r="CL399" i="25"/>
  <c r="CL400" i="25"/>
  <c r="CL401" i="25"/>
  <c r="CL402" i="25"/>
  <c r="CL403" i="25"/>
  <c r="CL404" i="25"/>
  <c r="CL405" i="25"/>
  <c r="CL406" i="25"/>
  <c r="CL407" i="25"/>
  <c r="CL408" i="25"/>
  <c r="CL409" i="25"/>
  <c r="CL410" i="25"/>
  <c r="CL411" i="25"/>
  <c r="CL412" i="25"/>
  <c r="CL413" i="25"/>
  <c r="CL414" i="25"/>
  <c r="CL415" i="25"/>
  <c r="CL416" i="25"/>
  <c r="CL417" i="25"/>
  <c r="CL418" i="25"/>
  <c r="CL419" i="25"/>
  <c r="CL420" i="25"/>
  <c r="CL421" i="25"/>
  <c r="CL422" i="25"/>
  <c r="CL423" i="25"/>
  <c r="CL424" i="25"/>
  <c r="CL425" i="25"/>
  <c r="CL426" i="25"/>
  <c r="CL427" i="25"/>
  <c r="CL428" i="25"/>
  <c r="CL429" i="25"/>
  <c r="CL430" i="25"/>
  <c r="CL431" i="25"/>
  <c r="CL432" i="25"/>
  <c r="CL433" i="25"/>
  <c r="CL434" i="25"/>
  <c r="CL435" i="25"/>
  <c r="CL436" i="25"/>
  <c r="CL437" i="25"/>
  <c r="CL438" i="25"/>
  <c r="CL439" i="25"/>
  <c r="CL440" i="25"/>
  <c r="CL441" i="25"/>
  <c r="CL442" i="25"/>
  <c r="CL443" i="25"/>
  <c r="CL444" i="25"/>
  <c r="CL445" i="25"/>
  <c r="CL446" i="25"/>
  <c r="CL447" i="25"/>
  <c r="CL448" i="25"/>
  <c r="CL449" i="25"/>
  <c r="CL450" i="25"/>
  <c r="CL451" i="25"/>
  <c r="CL452" i="25"/>
  <c r="CL453" i="25"/>
  <c r="CL454" i="25"/>
  <c r="CL455" i="25"/>
  <c r="CL456" i="25"/>
  <c r="CL181" i="25"/>
  <c r="CL463" i="25"/>
  <c r="CL461" i="25"/>
  <c r="CL458" i="25"/>
  <c r="CL465" i="25"/>
  <c r="CL462" i="25"/>
  <c r="CL464" i="25"/>
  <c r="CL466" i="25"/>
  <c r="CL457" i="25"/>
  <c r="CN457" i="25" s="1"/>
  <c r="CL460" i="25"/>
  <c r="CL467" i="25"/>
  <c r="CL468" i="25"/>
  <c r="CL469" i="25"/>
  <c r="CL470" i="25"/>
  <c r="CL471" i="25"/>
  <c r="CL472" i="25"/>
  <c r="CL473" i="25"/>
  <c r="CL474" i="25"/>
  <c r="CL475" i="25"/>
  <c r="CL476" i="25"/>
  <c r="CL477" i="25"/>
  <c r="CL478" i="25"/>
  <c r="CL479" i="25"/>
  <c r="CL480" i="25"/>
  <c r="CL481" i="25"/>
  <c r="CL482" i="25"/>
  <c r="CT390" i="25"/>
  <c r="CT391" i="25"/>
  <c r="CT392" i="25"/>
  <c r="CT393" i="25"/>
  <c r="CT394" i="25"/>
  <c r="CT395" i="25"/>
  <c r="CT396" i="25"/>
  <c r="CT397" i="25"/>
  <c r="CT398" i="25"/>
  <c r="CT399" i="25"/>
  <c r="CT400" i="25"/>
  <c r="CT401" i="25"/>
  <c r="CT402" i="25"/>
  <c r="CT403" i="25"/>
  <c r="CT404" i="25"/>
  <c r="CT405" i="25"/>
  <c r="CT406" i="25"/>
  <c r="CT407" i="25"/>
  <c r="CT408" i="25"/>
  <c r="CT409" i="25"/>
  <c r="CT410" i="25"/>
  <c r="CT411" i="25"/>
  <c r="CT412" i="25"/>
  <c r="CT413" i="25"/>
  <c r="CT414" i="25"/>
  <c r="CT415" i="25"/>
  <c r="CT416" i="25"/>
  <c r="CT417" i="25"/>
  <c r="CT418" i="25"/>
  <c r="CT419" i="25"/>
  <c r="CT420" i="25"/>
  <c r="CT421" i="25"/>
  <c r="CT422" i="25"/>
  <c r="CT423" i="25"/>
  <c r="CT424" i="25"/>
  <c r="CT425" i="25"/>
  <c r="CT426" i="25"/>
  <c r="CT427" i="25"/>
  <c r="CT428" i="25"/>
  <c r="CT429" i="25"/>
  <c r="CT430" i="25"/>
  <c r="CT431" i="25"/>
  <c r="CT432" i="25"/>
  <c r="CT433" i="25"/>
  <c r="CT434" i="25"/>
  <c r="CT435" i="25"/>
  <c r="CT436" i="25"/>
  <c r="CT437" i="25"/>
  <c r="CT438" i="25"/>
  <c r="CT439" i="25"/>
  <c r="CT440" i="25"/>
  <c r="CT441" i="25"/>
  <c r="CT442" i="25"/>
  <c r="CT443" i="25"/>
  <c r="CT444" i="25"/>
  <c r="CT445" i="25"/>
  <c r="CT446" i="25"/>
  <c r="CT447" i="25"/>
  <c r="CT448" i="25"/>
  <c r="CT449" i="25"/>
  <c r="CT450" i="25"/>
  <c r="CT451" i="25"/>
  <c r="CT452" i="25"/>
  <c r="CT453" i="25"/>
  <c r="CT454" i="25"/>
  <c r="CT455" i="25"/>
  <c r="CT456" i="25"/>
  <c r="CT181" i="25"/>
  <c r="CT463" i="25"/>
  <c r="CT461" i="25"/>
  <c r="CT458" i="25"/>
  <c r="CT465" i="25"/>
  <c r="CT462" i="25"/>
  <c r="CT464" i="25"/>
  <c r="CT466" i="25"/>
  <c r="CT457" i="25"/>
  <c r="CT460" i="25"/>
  <c r="CT467" i="25"/>
  <c r="CT468" i="25"/>
  <c r="CT469" i="25"/>
  <c r="CT470" i="25"/>
  <c r="CT471" i="25"/>
  <c r="CT472" i="25"/>
  <c r="CT473" i="25"/>
  <c r="CT474" i="25"/>
  <c r="CT475" i="25"/>
  <c r="CT476" i="25"/>
  <c r="CT477" i="25"/>
  <c r="CT478" i="25"/>
  <c r="CT479" i="25"/>
  <c r="CT480" i="25"/>
  <c r="CT481" i="25"/>
  <c r="CT482" i="25"/>
  <c r="CU390" i="25"/>
  <c r="DB390" i="25" s="1"/>
  <c r="CU391" i="25"/>
  <c r="DB391" i="25" s="1"/>
  <c r="CU392" i="25"/>
  <c r="DB392" i="25" s="1"/>
  <c r="CU393" i="25"/>
  <c r="DB393" i="25" s="1"/>
  <c r="CU394" i="25"/>
  <c r="DB394" i="25" s="1"/>
  <c r="CU395" i="25"/>
  <c r="CU396" i="25"/>
  <c r="DB396" i="25" s="1"/>
  <c r="CU397" i="25"/>
  <c r="DB397" i="25" s="1"/>
  <c r="CU398" i="25"/>
  <c r="DB398" i="25" s="1"/>
  <c r="CU399" i="25"/>
  <c r="DB399" i="25" s="1"/>
  <c r="CU400" i="25"/>
  <c r="DB400" i="25" s="1"/>
  <c r="CU401" i="25"/>
  <c r="DB401" i="25" s="1"/>
  <c r="CU402" i="25"/>
  <c r="CU403" i="25"/>
  <c r="DB403" i="25" s="1"/>
  <c r="CU404" i="25"/>
  <c r="DB404" i="25" s="1"/>
  <c r="CU405" i="25"/>
  <c r="DB405" i="25" s="1"/>
  <c r="CU406" i="25"/>
  <c r="DB406" i="25" s="1"/>
  <c r="CU407" i="25"/>
  <c r="DB407" i="25" s="1"/>
  <c r="CU408" i="25"/>
  <c r="DB408" i="25" s="1"/>
  <c r="CU409" i="25"/>
  <c r="DB409" i="25" s="1"/>
  <c r="CU410" i="25"/>
  <c r="DB410" i="25" s="1"/>
  <c r="CU411" i="25"/>
  <c r="DB411" i="25" s="1"/>
  <c r="CU412" i="25"/>
  <c r="DB412" i="25" s="1"/>
  <c r="CU413" i="25"/>
  <c r="DB413" i="25" s="1"/>
  <c r="CU414" i="25"/>
  <c r="DB414" i="25" s="1"/>
  <c r="CU415" i="25"/>
  <c r="DB415" i="25" s="1"/>
  <c r="CU416" i="25"/>
  <c r="DB416" i="25" s="1"/>
  <c r="CU417" i="25"/>
  <c r="DB417" i="25" s="1"/>
  <c r="CU418" i="25"/>
  <c r="DB418" i="25" s="1"/>
  <c r="CU419" i="25"/>
  <c r="DB419" i="25" s="1"/>
  <c r="CU420" i="25"/>
  <c r="DB420" i="25" s="1"/>
  <c r="CU421" i="25"/>
  <c r="DB421" i="25" s="1"/>
  <c r="CU422" i="25"/>
  <c r="DB422" i="25" s="1"/>
  <c r="CU423" i="25"/>
  <c r="DB423" i="25" s="1"/>
  <c r="CU424" i="25"/>
  <c r="DB424" i="25" s="1"/>
  <c r="CU425" i="25"/>
  <c r="DB425" i="25" s="1"/>
  <c r="CU426" i="25"/>
  <c r="DB426" i="25" s="1"/>
  <c r="CU427" i="25"/>
  <c r="DB427" i="25" s="1"/>
  <c r="CU428" i="25"/>
  <c r="DB428" i="25" s="1"/>
  <c r="CU429" i="25"/>
  <c r="DB429" i="25" s="1"/>
  <c r="CU430" i="25"/>
  <c r="DB430" i="25" s="1"/>
  <c r="CU431" i="25"/>
  <c r="DB431" i="25" s="1"/>
  <c r="CU432" i="25"/>
  <c r="DB432" i="25" s="1"/>
  <c r="CU433" i="25"/>
  <c r="CU434" i="25"/>
  <c r="DB434" i="25" s="1"/>
  <c r="CU435" i="25"/>
  <c r="DB435" i="25" s="1"/>
  <c r="CU436" i="25"/>
  <c r="DB436" i="25" s="1"/>
  <c r="CU437" i="25"/>
  <c r="DB437" i="25" s="1"/>
  <c r="CU438" i="25"/>
  <c r="DB438" i="25" s="1"/>
  <c r="CU439" i="25"/>
  <c r="DB439" i="25" s="1"/>
  <c r="CU440" i="25"/>
  <c r="DB440" i="25" s="1"/>
  <c r="CU441" i="25"/>
  <c r="DB441" i="25" s="1"/>
  <c r="CU442" i="25"/>
  <c r="DB442" i="25" s="1"/>
  <c r="CU443" i="25"/>
  <c r="DB443" i="25" s="1"/>
  <c r="CU444" i="25"/>
  <c r="DB444" i="25" s="1"/>
  <c r="CU445" i="25"/>
  <c r="DB445" i="25" s="1"/>
  <c r="CU446" i="25"/>
  <c r="DB446" i="25" s="1"/>
  <c r="CU447" i="25"/>
  <c r="DB447" i="25" s="1"/>
  <c r="CU448" i="25"/>
  <c r="DB448" i="25" s="1"/>
  <c r="CU449" i="25"/>
  <c r="CU450" i="25"/>
  <c r="DB450" i="25" s="1"/>
  <c r="CU451" i="25"/>
  <c r="DB451" i="25" s="1"/>
  <c r="CU452" i="25"/>
  <c r="DB452" i="25" s="1"/>
  <c r="CU453" i="25"/>
  <c r="DB453" i="25" s="1"/>
  <c r="CU454" i="25"/>
  <c r="DB454" i="25" s="1"/>
  <c r="CU455" i="25"/>
  <c r="DB455" i="25" s="1"/>
  <c r="CU456" i="25"/>
  <c r="CU181" i="25"/>
  <c r="DB181" i="25" s="1"/>
  <c r="CU463" i="25"/>
  <c r="DB463" i="25" s="1"/>
  <c r="CU461" i="25"/>
  <c r="DB461" i="25" s="1"/>
  <c r="CU458" i="25"/>
  <c r="DB458" i="25" s="1"/>
  <c r="CU465" i="25"/>
  <c r="DB465" i="25" s="1"/>
  <c r="CU462" i="25"/>
  <c r="DB462" i="25" s="1"/>
  <c r="CU464" i="25"/>
  <c r="DB464" i="25" s="1"/>
  <c r="CU466" i="25"/>
  <c r="DB466" i="25" s="1"/>
  <c r="CU457" i="25"/>
  <c r="DB457" i="25" s="1"/>
  <c r="CU460" i="25"/>
  <c r="DB460" i="25" s="1"/>
  <c r="CU467" i="25"/>
  <c r="DB467" i="25" s="1"/>
  <c r="CU468" i="25"/>
  <c r="DB468" i="25" s="1"/>
  <c r="CU469" i="25"/>
  <c r="DB469" i="25" s="1"/>
  <c r="CU470" i="25"/>
  <c r="DB470" i="25" s="1"/>
  <c r="CU471" i="25"/>
  <c r="DB471" i="25" s="1"/>
  <c r="CU472" i="25"/>
  <c r="DB472" i="25" s="1"/>
  <c r="CU473" i="25"/>
  <c r="DB473" i="25" s="1"/>
  <c r="CU474" i="25"/>
  <c r="DB474" i="25" s="1"/>
  <c r="CU475" i="25"/>
  <c r="DB475" i="25" s="1"/>
  <c r="CU476" i="25"/>
  <c r="DB476" i="25" s="1"/>
  <c r="CU477" i="25"/>
  <c r="DB477" i="25" s="1"/>
  <c r="CU478" i="25"/>
  <c r="DB478" i="25" s="1"/>
  <c r="CU479" i="25"/>
  <c r="DB479" i="25" s="1"/>
  <c r="CU480" i="25"/>
  <c r="DB480" i="25" s="1"/>
  <c r="CU481" i="25"/>
  <c r="DB481" i="25" s="1"/>
  <c r="CU482" i="25"/>
  <c r="DB482" i="25" s="1"/>
  <c r="CV390" i="25"/>
  <c r="CV391" i="25"/>
  <c r="CV392" i="25"/>
  <c r="CV393" i="25"/>
  <c r="CV394" i="25"/>
  <c r="CV395" i="25"/>
  <c r="CV396" i="25"/>
  <c r="CV397" i="25"/>
  <c r="CV398" i="25"/>
  <c r="CV399" i="25"/>
  <c r="CV400" i="25"/>
  <c r="CV401" i="25"/>
  <c r="CV402" i="25"/>
  <c r="CV403" i="25"/>
  <c r="CV404" i="25"/>
  <c r="CV405" i="25"/>
  <c r="CV406" i="25"/>
  <c r="CV407" i="25"/>
  <c r="CV408" i="25"/>
  <c r="CV409" i="25"/>
  <c r="CV410" i="25"/>
  <c r="CV411" i="25"/>
  <c r="CV412" i="25"/>
  <c r="CV413" i="25"/>
  <c r="CV414" i="25"/>
  <c r="CV415" i="25"/>
  <c r="CV416" i="25"/>
  <c r="CV417" i="25"/>
  <c r="CV418" i="25"/>
  <c r="CV419" i="25"/>
  <c r="CV420" i="25"/>
  <c r="CV421" i="25"/>
  <c r="CV422" i="25"/>
  <c r="CV423" i="25"/>
  <c r="CV424" i="25"/>
  <c r="CV425" i="25"/>
  <c r="CV426" i="25"/>
  <c r="CV427" i="25"/>
  <c r="CV428" i="25"/>
  <c r="CV429" i="25"/>
  <c r="CV430" i="25"/>
  <c r="CV431" i="25"/>
  <c r="CV432" i="25"/>
  <c r="CV433" i="25"/>
  <c r="CV434" i="25"/>
  <c r="CV435" i="25"/>
  <c r="CV436" i="25"/>
  <c r="CV437" i="25"/>
  <c r="CV438" i="25"/>
  <c r="CV439" i="25"/>
  <c r="CV440" i="25"/>
  <c r="CV441" i="25"/>
  <c r="CV442" i="25"/>
  <c r="CV443" i="25"/>
  <c r="CV444" i="25"/>
  <c r="CV445" i="25"/>
  <c r="CV446" i="25"/>
  <c r="CV447" i="25"/>
  <c r="CV448" i="25"/>
  <c r="CV449" i="25"/>
  <c r="CV450" i="25"/>
  <c r="CV451" i="25"/>
  <c r="CV452" i="25"/>
  <c r="CV453" i="25"/>
  <c r="CV454" i="25"/>
  <c r="CV455" i="25"/>
  <c r="CV456" i="25"/>
  <c r="CV181" i="25"/>
  <c r="CV463" i="25"/>
  <c r="CV461" i="25"/>
  <c r="CV458" i="25"/>
  <c r="CV465" i="25"/>
  <c r="CV462" i="25"/>
  <c r="CV464" i="25"/>
  <c r="CV466" i="25"/>
  <c r="CV457" i="25"/>
  <c r="CV460" i="25"/>
  <c r="CV467" i="25"/>
  <c r="CV468" i="25"/>
  <c r="CV469" i="25"/>
  <c r="CV470" i="25"/>
  <c r="CV471" i="25"/>
  <c r="CV472" i="25"/>
  <c r="CV473" i="25"/>
  <c r="CV474" i="25"/>
  <c r="CV475" i="25"/>
  <c r="CV476" i="25"/>
  <c r="CV477" i="25"/>
  <c r="CV478" i="25"/>
  <c r="CV479" i="25"/>
  <c r="CV480" i="25"/>
  <c r="CV481" i="25"/>
  <c r="CV482" i="25"/>
  <c r="CW390" i="25"/>
  <c r="CW391" i="25"/>
  <c r="CW392" i="25"/>
  <c r="CW393" i="25"/>
  <c r="CW394" i="25"/>
  <c r="CW395" i="25"/>
  <c r="CW396" i="25"/>
  <c r="CW397" i="25"/>
  <c r="CW398" i="25"/>
  <c r="CW399" i="25"/>
  <c r="CW400" i="25"/>
  <c r="CW401" i="25"/>
  <c r="CW402" i="25"/>
  <c r="CW403" i="25"/>
  <c r="CW404" i="25"/>
  <c r="CW405" i="25"/>
  <c r="CW406" i="25"/>
  <c r="CW407" i="25"/>
  <c r="CW408" i="25"/>
  <c r="CW409" i="25"/>
  <c r="CW410" i="25"/>
  <c r="CW411" i="25"/>
  <c r="CW412" i="25"/>
  <c r="CW413" i="25"/>
  <c r="CW414" i="25"/>
  <c r="CW415" i="25"/>
  <c r="CW416" i="25"/>
  <c r="CW417" i="25"/>
  <c r="CW418" i="25"/>
  <c r="CW419" i="25"/>
  <c r="CW420" i="25"/>
  <c r="CW421" i="25"/>
  <c r="CW422" i="25"/>
  <c r="CW423" i="25"/>
  <c r="CW424" i="25"/>
  <c r="CW425" i="25"/>
  <c r="CW426" i="25"/>
  <c r="CW427" i="25"/>
  <c r="CW428" i="25"/>
  <c r="CW429" i="25"/>
  <c r="CW430" i="25"/>
  <c r="CW431" i="25"/>
  <c r="CW432" i="25"/>
  <c r="CW433" i="25"/>
  <c r="CW434" i="25"/>
  <c r="CW435" i="25"/>
  <c r="CW436" i="25"/>
  <c r="CW437" i="25"/>
  <c r="CW438" i="25"/>
  <c r="CW439" i="25"/>
  <c r="CW440" i="25"/>
  <c r="CW441" i="25"/>
  <c r="CW442" i="25"/>
  <c r="CW443" i="25"/>
  <c r="CW444" i="25"/>
  <c r="CW445" i="25"/>
  <c r="CW446" i="25"/>
  <c r="CW447" i="25"/>
  <c r="CW448" i="25"/>
  <c r="CW449" i="25"/>
  <c r="CW450" i="25"/>
  <c r="CW451" i="25"/>
  <c r="CW452" i="25"/>
  <c r="CW453" i="25"/>
  <c r="CW454" i="25"/>
  <c r="CW455" i="25"/>
  <c r="CW456" i="25"/>
  <c r="CW181" i="25"/>
  <c r="CW463" i="25"/>
  <c r="CW461" i="25"/>
  <c r="CW458" i="25"/>
  <c r="CW465" i="25"/>
  <c r="CW462" i="25"/>
  <c r="CW464" i="25"/>
  <c r="CW466" i="25"/>
  <c r="CW457" i="25"/>
  <c r="CW460" i="25"/>
  <c r="CW467" i="25"/>
  <c r="CW468" i="25"/>
  <c r="CW469" i="25"/>
  <c r="CW470" i="25"/>
  <c r="CW471" i="25"/>
  <c r="CW472" i="25"/>
  <c r="CW473" i="25"/>
  <c r="CW474" i="25"/>
  <c r="CW475" i="25"/>
  <c r="CW476" i="25"/>
  <c r="CW477" i="25"/>
  <c r="CW478" i="25"/>
  <c r="CW479" i="25"/>
  <c r="CW480" i="25"/>
  <c r="CW481" i="25"/>
  <c r="CW482" i="25"/>
  <c r="DC390" i="25"/>
  <c r="DC391" i="25"/>
  <c r="DC392" i="25"/>
  <c r="DC393" i="25"/>
  <c r="DC394" i="25"/>
  <c r="DC395" i="25"/>
  <c r="DC396" i="25"/>
  <c r="DC397" i="25"/>
  <c r="DC398" i="25"/>
  <c r="DC399" i="25"/>
  <c r="DC400" i="25"/>
  <c r="DC401" i="25"/>
  <c r="DC402" i="25"/>
  <c r="DC403" i="25"/>
  <c r="DC404" i="25"/>
  <c r="DC405" i="25"/>
  <c r="DC406" i="25"/>
  <c r="DC407" i="25"/>
  <c r="DC408" i="25"/>
  <c r="DC409" i="25"/>
  <c r="DC410" i="25"/>
  <c r="DC411" i="25"/>
  <c r="DC412" i="25"/>
  <c r="DC413" i="25"/>
  <c r="DC414" i="25"/>
  <c r="DC415" i="25"/>
  <c r="DC416" i="25"/>
  <c r="DC417" i="25"/>
  <c r="DC418" i="25"/>
  <c r="DC419" i="25"/>
  <c r="DC420" i="25"/>
  <c r="DC421" i="25"/>
  <c r="DC422" i="25"/>
  <c r="DC423" i="25"/>
  <c r="DC424" i="25"/>
  <c r="DC425" i="25"/>
  <c r="DC426" i="25"/>
  <c r="DC427" i="25"/>
  <c r="DC428" i="25"/>
  <c r="DC429" i="25"/>
  <c r="DC430" i="25"/>
  <c r="DC431" i="25"/>
  <c r="DC432" i="25"/>
  <c r="DC433" i="25"/>
  <c r="DC434" i="25"/>
  <c r="DC435" i="25"/>
  <c r="DC436" i="25"/>
  <c r="DC437" i="25"/>
  <c r="DC438" i="25"/>
  <c r="DC439" i="25"/>
  <c r="DC440" i="25"/>
  <c r="DC441" i="25"/>
  <c r="DC442" i="25"/>
  <c r="DC443" i="25"/>
  <c r="DC444" i="25"/>
  <c r="DC445" i="25"/>
  <c r="DC446" i="25"/>
  <c r="DC447" i="25"/>
  <c r="DC448" i="25"/>
  <c r="DC449" i="25"/>
  <c r="DC450" i="25"/>
  <c r="DC451" i="25"/>
  <c r="DC452" i="25"/>
  <c r="DC453" i="25"/>
  <c r="DC454" i="25"/>
  <c r="DC455" i="25"/>
  <c r="DC456" i="25"/>
  <c r="DC181" i="25"/>
  <c r="DC463" i="25"/>
  <c r="DC461" i="25"/>
  <c r="DC458" i="25"/>
  <c r="DC465" i="25"/>
  <c r="DC462" i="25"/>
  <c r="DC464" i="25"/>
  <c r="DC466" i="25"/>
  <c r="DC457" i="25"/>
  <c r="DC460" i="25"/>
  <c r="DC467" i="25"/>
  <c r="DC468" i="25"/>
  <c r="DC469" i="25"/>
  <c r="DC470" i="25"/>
  <c r="DC471" i="25"/>
  <c r="DC472" i="25"/>
  <c r="DC473" i="25"/>
  <c r="DC474" i="25"/>
  <c r="DC475" i="25"/>
  <c r="DC476" i="25"/>
  <c r="DC477" i="25"/>
  <c r="DC478" i="25"/>
  <c r="DC479" i="25"/>
  <c r="DC480" i="25"/>
  <c r="DC481" i="25"/>
  <c r="DC482" i="25"/>
  <c r="DD390" i="25"/>
  <c r="DD391" i="25"/>
  <c r="DD392" i="25"/>
  <c r="DD393" i="25"/>
  <c r="DD394" i="25"/>
  <c r="DD395" i="25"/>
  <c r="DD396" i="25"/>
  <c r="DD397" i="25"/>
  <c r="DD398" i="25"/>
  <c r="DD399" i="25"/>
  <c r="DD400" i="25"/>
  <c r="DD401" i="25"/>
  <c r="DD402" i="25"/>
  <c r="DD403" i="25"/>
  <c r="DD404" i="25"/>
  <c r="DD405" i="25"/>
  <c r="DD406" i="25"/>
  <c r="DD407" i="25"/>
  <c r="DD408" i="25"/>
  <c r="DD409" i="25"/>
  <c r="DD410" i="25"/>
  <c r="DD411" i="25"/>
  <c r="DD412" i="25"/>
  <c r="DD413" i="25"/>
  <c r="DD414" i="25"/>
  <c r="DD415" i="25"/>
  <c r="DD416" i="25"/>
  <c r="DD417" i="25"/>
  <c r="DD418" i="25"/>
  <c r="DD419" i="25"/>
  <c r="DD420" i="25"/>
  <c r="DD421" i="25"/>
  <c r="DD422" i="25"/>
  <c r="DD423" i="25"/>
  <c r="DD424" i="25"/>
  <c r="DD425" i="25"/>
  <c r="DD426" i="25"/>
  <c r="DD427" i="25"/>
  <c r="DD428" i="25"/>
  <c r="DD429" i="25"/>
  <c r="DD430" i="25"/>
  <c r="DD431" i="25"/>
  <c r="DD432" i="25"/>
  <c r="DD433" i="25"/>
  <c r="DD434" i="25"/>
  <c r="DD435" i="25"/>
  <c r="DD436" i="25"/>
  <c r="DD437" i="25"/>
  <c r="DD438" i="25"/>
  <c r="DD439" i="25"/>
  <c r="DD440" i="25"/>
  <c r="DD441" i="25"/>
  <c r="DD442" i="25"/>
  <c r="DD443" i="25"/>
  <c r="DD444" i="25"/>
  <c r="DD445" i="25"/>
  <c r="DD446" i="25"/>
  <c r="DD447" i="25"/>
  <c r="DD448" i="25"/>
  <c r="DD449" i="25"/>
  <c r="DD450" i="25"/>
  <c r="DD451" i="25"/>
  <c r="DD452" i="25"/>
  <c r="DD453" i="25"/>
  <c r="DD454" i="25"/>
  <c r="DD455" i="25"/>
  <c r="DD456" i="25"/>
  <c r="DD181" i="25"/>
  <c r="DD463" i="25"/>
  <c r="DD461" i="25"/>
  <c r="DD458" i="25"/>
  <c r="DD465" i="25"/>
  <c r="DD462" i="25"/>
  <c r="DD464" i="25"/>
  <c r="DD466" i="25"/>
  <c r="DD457" i="25"/>
  <c r="DD460" i="25"/>
  <c r="DD467" i="25"/>
  <c r="DD468" i="25"/>
  <c r="DD469" i="25"/>
  <c r="DD470" i="25"/>
  <c r="DD471" i="25"/>
  <c r="DD472" i="25"/>
  <c r="DD473" i="25"/>
  <c r="DD474" i="25"/>
  <c r="DD475" i="25"/>
  <c r="DD476" i="25"/>
  <c r="DD477" i="25"/>
  <c r="DD478" i="25"/>
  <c r="DD479" i="25"/>
  <c r="DD480" i="25"/>
  <c r="DD481" i="25"/>
  <c r="DD482" i="25"/>
  <c r="DE390" i="25"/>
  <c r="DH390" i="25" s="1"/>
  <c r="DE391" i="25"/>
  <c r="DH391" i="25" s="1"/>
  <c r="DE392" i="25"/>
  <c r="DH392" i="25" s="1"/>
  <c r="DE393" i="25"/>
  <c r="DH393" i="25" s="1"/>
  <c r="DE394" i="25"/>
  <c r="DH394" i="25" s="1"/>
  <c r="DE395" i="25"/>
  <c r="DH395" i="25" s="1"/>
  <c r="DE396" i="25"/>
  <c r="DH396" i="25" s="1"/>
  <c r="DE397" i="25"/>
  <c r="DH397" i="25" s="1"/>
  <c r="DE398" i="25"/>
  <c r="DH398" i="25" s="1"/>
  <c r="DE399" i="25"/>
  <c r="DH399" i="25" s="1"/>
  <c r="DE400" i="25"/>
  <c r="DH400" i="25" s="1"/>
  <c r="DE401" i="25"/>
  <c r="DH401" i="25" s="1"/>
  <c r="DE402" i="25"/>
  <c r="DH402" i="25" s="1"/>
  <c r="DE403" i="25"/>
  <c r="DH403" i="25" s="1"/>
  <c r="DE404" i="25"/>
  <c r="DH404" i="25" s="1"/>
  <c r="DE405" i="25"/>
  <c r="DH405" i="25" s="1"/>
  <c r="DE406" i="25"/>
  <c r="DH406" i="25" s="1"/>
  <c r="DE407" i="25"/>
  <c r="DH407" i="25" s="1"/>
  <c r="DE408" i="25"/>
  <c r="DH408" i="25" s="1"/>
  <c r="DE409" i="25"/>
  <c r="DH409" i="25" s="1"/>
  <c r="DE410" i="25"/>
  <c r="DH410" i="25" s="1"/>
  <c r="DE411" i="25"/>
  <c r="DH411" i="25" s="1"/>
  <c r="DE412" i="25"/>
  <c r="DH412" i="25" s="1"/>
  <c r="DE413" i="25"/>
  <c r="DH413" i="25" s="1"/>
  <c r="DE414" i="25"/>
  <c r="DH414" i="25" s="1"/>
  <c r="DE415" i="25"/>
  <c r="DH415" i="25" s="1"/>
  <c r="DE416" i="25"/>
  <c r="DH416" i="25" s="1"/>
  <c r="DE417" i="25"/>
  <c r="DH417" i="25" s="1"/>
  <c r="DE418" i="25"/>
  <c r="DH418" i="25" s="1"/>
  <c r="DE419" i="25"/>
  <c r="DH419" i="25" s="1"/>
  <c r="DE420" i="25"/>
  <c r="DH420" i="25" s="1"/>
  <c r="DE421" i="25"/>
  <c r="DH421" i="25" s="1"/>
  <c r="DE422" i="25"/>
  <c r="DH422" i="25" s="1"/>
  <c r="DE423" i="25"/>
  <c r="DH423" i="25" s="1"/>
  <c r="DE424" i="25"/>
  <c r="DH424" i="25" s="1"/>
  <c r="DE425" i="25"/>
  <c r="DH425" i="25" s="1"/>
  <c r="DE426" i="25"/>
  <c r="DH426" i="25" s="1"/>
  <c r="DE427" i="25"/>
  <c r="DH427" i="25" s="1"/>
  <c r="DE428" i="25"/>
  <c r="DH428" i="25" s="1"/>
  <c r="DE429" i="25"/>
  <c r="DH429" i="25" s="1"/>
  <c r="DE430" i="25"/>
  <c r="DH430" i="25" s="1"/>
  <c r="DE431" i="25"/>
  <c r="DH431" i="25" s="1"/>
  <c r="DE432" i="25"/>
  <c r="DH432" i="25" s="1"/>
  <c r="DE433" i="25"/>
  <c r="DH433" i="25" s="1"/>
  <c r="DE434" i="25"/>
  <c r="DH434" i="25" s="1"/>
  <c r="DE435" i="25"/>
  <c r="DH435" i="25" s="1"/>
  <c r="DE436" i="25"/>
  <c r="DH436" i="25" s="1"/>
  <c r="DE437" i="25"/>
  <c r="DH437" i="25" s="1"/>
  <c r="DE438" i="25"/>
  <c r="DH438" i="25" s="1"/>
  <c r="DE439" i="25"/>
  <c r="DH439" i="25" s="1"/>
  <c r="DE440" i="25"/>
  <c r="DH440" i="25" s="1"/>
  <c r="DE441" i="25"/>
  <c r="DH441" i="25" s="1"/>
  <c r="DE442" i="25"/>
  <c r="DH442" i="25" s="1"/>
  <c r="DE443" i="25"/>
  <c r="DH443" i="25" s="1"/>
  <c r="DE444" i="25"/>
  <c r="DH444" i="25" s="1"/>
  <c r="DE445" i="25"/>
  <c r="DH445" i="25" s="1"/>
  <c r="DE446" i="25"/>
  <c r="DH446" i="25" s="1"/>
  <c r="DE447" i="25"/>
  <c r="DH447" i="25" s="1"/>
  <c r="DE448" i="25"/>
  <c r="DH448" i="25" s="1"/>
  <c r="DE449" i="25"/>
  <c r="DH449" i="25" s="1"/>
  <c r="DE450" i="25"/>
  <c r="DH450" i="25" s="1"/>
  <c r="DE451" i="25"/>
  <c r="DH451" i="25" s="1"/>
  <c r="DE452" i="25"/>
  <c r="DH452" i="25" s="1"/>
  <c r="DE453" i="25"/>
  <c r="DH453" i="25" s="1"/>
  <c r="DE454" i="25"/>
  <c r="DH454" i="25" s="1"/>
  <c r="DE455" i="25"/>
  <c r="DH455" i="25" s="1"/>
  <c r="DE456" i="25"/>
  <c r="DH456" i="25" s="1"/>
  <c r="DE181" i="25"/>
  <c r="DH181" i="25" s="1"/>
  <c r="DE463" i="25"/>
  <c r="DH463" i="25" s="1"/>
  <c r="DE461" i="25"/>
  <c r="DH461" i="25" s="1"/>
  <c r="DE458" i="25"/>
  <c r="DH458" i="25" s="1"/>
  <c r="DE465" i="25"/>
  <c r="DH465" i="25" s="1"/>
  <c r="DE462" i="25"/>
  <c r="DH462" i="25" s="1"/>
  <c r="DE464" i="25"/>
  <c r="DH464" i="25" s="1"/>
  <c r="DE466" i="25"/>
  <c r="DH466" i="25" s="1"/>
  <c r="DE457" i="25"/>
  <c r="DH457" i="25" s="1"/>
  <c r="DE460" i="25"/>
  <c r="DH460" i="25" s="1"/>
  <c r="DE467" i="25"/>
  <c r="DH467" i="25" s="1"/>
  <c r="DE468" i="25"/>
  <c r="DH468" i="25" s="1"/>
  <c r="DE469" i="25"/>
  <c r="DH469" i="25" s="1"/>
  <c r="DE470" i="25"/>
  <c r="DH470" i="25" s="1"/>
  <c r="DE471" i="25"/>
  <c r="DH471" i="25" s="1"/>
  <c r="DE472" i="25"/>
  <c r="DH472" i="25" s="1"/>
  <c r="DE473" i="25"/>
  <c r="DH473" i="25" s="1"/>
  <c r="DE474" i="25"/>
  <c r="DH474" i="25" s="1"/>
  <c r="DE475" i="25"/>
  <c r="DH475" i="25" s="1"/>
  <c r="DE476" i="25"/>
  <c r="DH476" i="25" s="1"/>
  <c r="DE477" i="25"/>
  <c r="DH477" i="25" s="1"/>
  <c r="DE478" i="25"/>
  <c r="DH478" i="25" s="1"/>
  <c r="DE479" i="25"/>
  <c r="DH479" i="25" s="1"/>
  <c r="DE480" i="25"/>
  <c r="DH480" i="25" s="1"/>
  <c r="DE481" i="25"/>
  <c r="DH481" i="25" s="1"/>
  <c r="DE482" i="25"/>
  <c r="DH482" i="25" s="1"/>
  <c r="DF390" i="25"/>
  <c r="DF391" i="25"/>
  <c r="DF392" i="25"/>
  <c r="DF393" i="25"/>
  <c r="DF394" i="25"/>
  <c r="DF395" i="25"/>
  <c r="DF396" i="25"/>
  <c r="DF397" i="25"/>
  <c r="DF398" i="25"/>
  <c r="DF399" i="25"/>
  <c r="DF400" i="25"/>
  <c r="DF401" i="25"/>
  <c r="DF402" i="25"/>
  <c r="DF403" i="25"/>
  <c r="DF404" i="25"/>
  <c r="DF405" i="25"/>
  <c r="DF406" i="25"/>
  <c r="DF407" i="25"/>
  <c r="DF408" i="25"/>
  <c r="DF409" i="25"/>
  <c r="DF410" i="25"/>
  <c r="DF411" i="25"/>
  <c r="DF412" i="25"/>
  <c r="DF413" i="25"/>
  <c r="DF414" i="25"/>
  <c r="DF415" i="25"/>
  <c r="DF416" i="25"/>
  <c r="DF417" i="25"/>
  <c r="DF418" i="25"/>
  <c r="DF419" i="25"/>
  <c r="DF420" i="25"/>
  <c r="DF421" i="25"/>
  <c r="DF422" i="25"/>
  <c r="DF423" i="25"/>
  <c r="DF424" i="25"/>
  <c r="DF425" i="25"/>
  <c r="DF426" i="25"/>
  <c r="DF427" i="25"/>
  <c r="DF428" i="25"/>
  <c r="DF429" i="25"/>
  <c r="DF430" i="25"/>
  <c r="DF431" i="25"/>
  <c r="DF432" i="25"/>
  <c r="DF433" i="25"/>
  <c r="DF434" i="25"/>
  <c r="DF435" i="25"/>
  <c r="DF436" i="25"/>
  <c r="DF437" i="25"/>
  <c r="DF438" i="25"/>
  <c r="DF439" i="25"/>
  <c r="DF440" i="25"/>
  <c r="DF441" i="25"/>
  <c r="DF442" i="25"/>
  <c r="DF443" i="25"/>
  <c r="DF444" i="25"/>
  <c r="DF445" i="25"/>
  <c r="DF446" i="25"/>
  <c r="DF447" i="25"/>
  <c r="DF448" i="25"/>
  <c r="DF449" i="25"/>
  <c r="DF450" i="25"/>
  <c r="DF451" i="25"/>
  <c r="DF452" i="25"/>
  <c r="DF453" i="25"/>
  <c r="DF454" i="25"/>
  <c r="DF455" i="25"/>
  <c r="DF456" i="25"/>
  <c r="DF181" i="25"/>
  <c r="DF463" i="25"/>
  <c r="DF461" i="25"/>
  <c r="DF458" i="25"/>
  <c r="DF465" i="25"/>
  <c r="DF462" i="25"/>
  <c r="DF464" i="25"/>
  <c r="DF466" i="25"/>
  <c r="DF457" i="25"/>
  <c r="DF460" i="25"/>
  <c r="DF467" i="25"/>
  <c r="DF468" i="25"/>
  <c r="DF469" i="25"/>
  <c r="DF470" i="25"/>
  <c r="DF471" i="25"/>
  <c r="DF472" i="25"/>
  <c r="DF473" i="25"/>
  <c r="DF474" i="25"/>
  <c r="DF475" i="25"/>
  <c r="DF476" i="25"/>
  <c r="DF477" i="25"/>
  <c r="DF478" i="25"/>
  <c r="DF479" i="25"/>
  <c r="DF480" i="25"/>
  <c r="DF481" i="25"/>
  <c r="DF482" i="25"/>
  <c r="DG390" i="25"/>
  <c r="DG391" i="25"/>
  <c r="DG392" i="25"/>
  <c r="DG393" i="25"/>
  <c r="DG394" i="25"/>
  <c r="DG395" i="25"/>
  <c r="DG396" i="25"/>
  <c r="DG397" i="25"/>
  <c r="DG398" i="25"/>
  <c r="DG399" i="25"/>
  <c r="DG400" i="25"/>
  <c r="DG401" i="25"/>
  <c r="DG402" i="25"/>
  <c r="DG403" i="25"/>
  <c r="DG404" i="25"/>
  <c r="DG405" i="25"/>
  <c r="DG406" i="25"/>
  <c r="DG407" i="25"/>
  <c r="DG408" i="25"/>
  <c r="DG409" i="25"/>
  <c r="DG410" i="25"/>
  <c r="DG411" i="25"/>
  <c r="DG412" i="25"/>
  <c r="DG413" i="25"/>
  <c r="DG414" i="25"/>
  <c r="DG415" i="25"/>
  <c r="DG416" i="25"/>
  <c r="DG417" i="25"/>
  <c r="DG418" i="25"/>
  <c r="DG419" i="25"/>
  <c r="DG420" i="25"/>
  <c r="DG421" i="25"/>
  <c r="DG422" i="25"/>
  <c r="DG423" i="25"/>
  <c r="DG424" i="25"/>
  <c r="DG425" i="25"/>
  <c r="DG426" i="25"/>
  <c r="DG427" i="25"/>
  <c r="DG428" i="25"/>
  <c r="DG429" i="25"/>
  <c r="DG430" i="25"/>
  <c r="DG431" i="25"/>
  <c r="DG432" i="25"/>
  <c r="DG433" i="25"/>
  <c r="DG434" i="25"/>
  <c r="DG435" i="25"/>
  <c r="DG436" i="25"/>
  <c r="DG437" i="25"/>
  <c r="DG438" i="25"/>
  <c r="DG439" i="25"/>
  <c r="DG440" i="25"/>
  <c r="DG441" i="25"/>
  <c r="DG442" i="25"/>
  <c r="DG443" i="25"/>
  <c r="DG444" i="25"/>
  <c r="DG445" i="25"/>
  <c r="DG446" i="25"/>
  <c r="DG447" i="25"/>
  <c r="DG448" i="25"/>
  <c r="DG449" i="25"/>
  <c r="DG450" i="25"/>
  <c r="DG451" i="25"/>
  <c r="DG452" i="25"/>
  <c r="DG453" i="25"/>
  <c r="DG454" i="25"/>
  <c r="DG455" i="25"/>
  <c r="DG456" i="25"/>
  <c r="DG181" i="25"/>
  <c r="DG463" i="25"/>
  <c r="DG461" i="25"/>
  <c r="DG458" i="25"/>
  <c r="DG465" i="25"/>
  <c r="DG462" i="25"/>
  <c r="DG464" i="25"/>
  <c r="DG466" i="25"/>
  <c r="DG457" i="25"/>
  <c r="DG460" i="25"/>
  <c r="DG467" i="25"/>
  <c r="DG468" i="25"/>
  <c r="DG469" i="25"/>
  <c r="DG470" i="25"/>
  <c r="DG471" i="25"/>
  <c r="DG472" i="25"/>
  <c r="DG473" i="25"/>
  <c r="DG474" i="25"/>
  <c r="DG475" i="25"/>
  <c r="DG476" i="25"/>
  <c r="DG477" i="25"/>
  <c r="DG478" i="25"/>
  <c r="DG479" i="25"/>
  <c r="DG480" i="25"/>
  <c r="DG481" i="25"/>
  <c r="DG482" i="25"/>
  <c r="DI390" i="25"/>
  <c r="DI391" i="25"/>
  <c r="DI392" i="25"/>
  <c r="DI393" i="25"/>
  <c r="DI394" i="25"/>
  <c r="DI395" i="25"/>
  <c r="DI396" i="25"/>
  <c r="DI397" i="25"/>
  <c r="DI398" i="25"/>
  <c r="DI399" i="25"/>
  <c r="DI400" i="25"/>
  <c r="DI401" i="25"/>
  <c r="DI402" i="25"/>
  <c r="DI403" i="25"/>
  <c r="DI404" i="25"/>
  <c r="DI405" i="25"/>
  <c r="DI406" i="25"/>
  <c r="DI407" i="25"/>
  <c r="DI408" i="25"/>
  <c r="DI409" i="25"/>
  <c r="DI410" i="25"/>
  <c r="DI411" i="25"/>
  <c r="DI412" i="25"/>
  <c r="DI413" i="25"/>
  <c r="DI414" i="25"/>
  <c r="DI415" i="25"/>
  <c r="DI416" i="25"/>
  <c r="DI417" i="25"/>
  <c r="DI418" i="25"/>
  <c r="DI419" i="25"/>
  <c r="DI420" i="25"/>
  <c r="DI421" i="25"/>
  <c r="DI422" i="25"/>
  <c r="DI423" i="25"/>
  <c r="DI424" i="25"/>
  <c r="DI425" i="25"/>
  <c r="DI426" i="25"/>
  <c r="DI427" i="25"/>
  <c r="DI428" i="25"/>
  <c r="DI429" i="25"/>
  <c r="DI430" i="25"/>
  <c r="DI431" i="25"/>
  <c r="DI432" i="25"/>
  <c r="DI433" i="25"/>
  <c r="DI434" i="25"/>
  <c r="DI435" i="25"/>
  <c r="DI436" i="25"/>
  <c r="DI437" i="25"/>
  <c r="DI438" i="25"/>
  <c r="DI439" i="25"/>
  <c r="DI440" i="25"/>
  <c r="DI441" i="25"/>
  <c r="DI442" i="25"/>
  <c r="DI443" i="25"/>
  <c r="DI444" i="25"/>
  <c r="DI445" i="25"/>
  <c r="DI446" i="25"/>
  <c r="DI447" i="25"/>
  <c r="DI448" i="25"/>
  <c r="DI449" i="25"/>
  <c r="DI450" i="25"/>
  <c r="DI451" i="25"/>
  <c r="DI452" i="25"/>
  <c r="DI453" i="25"/>
  <c r="DI454" i="25"/>
  <c r="DI455" i="25"/>
  <c r="DI456" i="25"/>
  <c r="DI181" i="25"/>
  <c r="DI463" i="25"/>
  <c r="DI461" i="25"/>
  <c r="DI458" i="25"/>
  <c r="DI465" i="25"/>
  <c r="DI462" i="25"/>
  <c r="DI464" i="25"/>
  <c r="DI466" i="25"/>
  <c r="DI457" i="25"/>
  <c r="DI460" i="25"/>
  <c r="DI467" i="25"/>
  <c r="DI468" i="25"/>
  <c r="DI469" i="25"/>
  <c r="DI470" i="25"/>
  <c r="DI471" i="25"/>
  <c r="DI472" i="25"/>
  <c r="DI473" i="25"/>
  <c r="DI474" i="25"/>
  <c r="DI475" i="25"/>
  <c r="DI476" i="25"/>
  <c r="DI477" i="25"/>
  <c r="DI478" i="25"/>
  <c r="DI479" i="25"/>
  <c r="DI480" i="25"/>
  <c r="DI481" i="25"/>
  <c r="DI482" i="25"/>
  <c r="DJ390" i="25"/>
  <c r="DJ391" i="25"/>
  <c r="DJ392" i="25"/>
  <c r="DJ393" i="25"/>
  <c r="DJ394" i="25"/>
  <c r="DJ395" i="25"/>
  <c r="DJ396" i="25"/>
  <c r="DJ397" i="25"/>
  <c r="DJ398" i="25"/>
  <c r="DJ399" i="25"/>
  <c r="DJ400" i="25"/>
  <c r="DJ401" i="25"/>
  <c r="DJ402" i="25"/>
  <c r="DJ403" i="25"/>
  <c r="DJ404" i="25"/>
  <c r="DJ405" i="25"/>
  <c r="DJ406" i="25"/>
  <c r="DJ407" i="25"/>
  <c r="DJ408" i="25"/>
  <c r="DJ409" i="25"/>
  <c r="DJ410" i="25"/>
  <c r="DJ411" i="25"/>
  <c r="DJ412" i="25"/>
  <c r="DJ413" i="25"/>
  <c r="DJ414" i="25"/>
  <c r="DJ415" i="25"/>
  <c r="DJ416" i="25"/>
  <c r="DJ417" i="25"/>
  <c r="DJ418" i="25"/>
  <c r="DJ419" i="25"/>
  <c r="DJ420" i="25"/>
  <c r="DJ421" i="25"/>
  <c r="DJ422" i="25"/>
  <c r="DJ423" i="25"/>
  <c r="DJ424" i="25"/>
  <c r="DJ425" i="25"/>
  <c r="DJ426" i="25"/>
  <c r="DJ427" i="25"/>
  <c r="DJ428" i="25"/>
  <c r="DJ429" i="25"/>
  <c r="DJ430" i="25"/>
  <c r="DJ431" i="25"/>
  <c r="DJ432" i="25"/>
  <c r="DJ433" i="25"/>
  <c r="DJ434" i="25"/>
  <c r="DJ435" i="25"/>
  <c r="DJ436" i="25"/>
  <c r="DJ437" i="25"/>
  <c r="DJ438" i="25"/>
  <c r="DJ439" i="25"/>
  <c r="DJ440" i="25"/>
  <c r="DJ441" i="25"/>
  <c r="DJ442" i="25"/>
  <c r="DJ443" i="25"/>
  <c r="DJ444" i="25"/>
  <c r="DJ445" i="25"/>
  <c r="DJ446" i="25"/>
  <c r="DJ447" i="25"/>
  <c r="DJ448" i="25"/>
  <c r="DJ449" i="25"/>
  <c r="DJ450" i="25"/>
  <c r="DJ451" i="25"/>
  <c r="DJ452" i="25"/>
  <c r="DJ453" i="25"/>
  <c r="DJ454" i="25"/>
  <c r="DJ455" i="25"/>
  <c r="DJ456" i="25"/>
  <c r="DJ181" i="25"/>
  <c r="DJ463" i="25"/>
  <c r="DJ461" i="25"/>
  <c r="DJ458" i="25"/>
  <c r="DJ465" i="25"/>
  <c r="DJ462" i="25"/>
  <c r="DJ464" i="25"/>
  <c r="DJ466" i="25"/>
  <c r="DJ457" i="25"/>
  <c r="DJ460" i="25"/>
  <c r="DJ467" i="25"/>
  <c r="DJ468" i="25"/>
  <c r="DJ469" i="25"/>
  <c r="DJ470" i="25"/>
  <c r="DJ471" i="25"/>
  <c r="DJ472" i="25"/>
  <c r="DJ473" i="25"/>
  <c r="DJ474" i="25"/>
  <c r="DJ475" i="25"/>
  <c r="DJ476" i="25"/>
  <c r="DJ477" i="25"/>
  <c r="DJ478" i="25"/>
  <c r="DJ479" i="25"/>
  <c r="DJ480" i="25"/>
  <c r="DJ481" i="25"/>
  <c r="DJ482" i="25"/>
  <c r="DK390" i="25"/>
  <c r="DK391" i="25"/>
  <c r="DK392" i="25"/>
  <c r="DK393" i="25"/>
  <c r="DK394" i="25"/>
  <c r="DK395" i="25"/>
  <c r="DK396" i="25"/>
  <c r="DK397" i="25"/>
  <c r="DK398" i="25"/>
  <c r="DK399" i="25"/>
  <c r="DK400" i="25"/>
  <c r="DK401" i="25"/>
  <c r="DK402" i="25"/>
  <c r="DK403" i="25"/>
  <c r="DK404" i="25"/>
  <c r="DK405" i="25"/>
  <c r="DK406" i="25"/>
  <c r="DK407" i="25"/>
  <c r="DK408" i="25"/>
  <c r="DK409" i="25"/>
  <c r="DK410" i="25"/>
  <c r="DK411" i="25"/>
  <c r="DK412" i="25"/>
  <c r="DK413" i="25"/>
  <c r="DK414" i="25"/>
  <c r="DK415" i="25"/>
  <c r="DK416" i="25"/>
  <c r="DK417" i="25"/>
  <c r="DK418" i="25"/>
  <c r="DK419" i="25"/>
  <c r="DK420" i="25"/>
  <c r="DK421" i="25"/>
  <c r="DK422" i="25"/>
  <c r="DK423" i="25"/>
  <c r="DK424" i="25"/>
  <c r="DK425" i="25"/>
  <c r="DK426" i="25"/>
  <c r="DK427" i="25"/>
  <c r="DK428" i="25"/>
  <c r="DK429" i="25"/>
  <c r="DK430" i="25"/>
  <c r="DK431" i="25"/>
  <c r="DK432" i="25"/>
  <c r="DK433" i="25"/>
  <c r="DK434" i="25"/>
  <c r="DK435" i="25"/>
  <c r="DK436" i="25"/>
  <c r="DK437" i="25"/>
  <c r="DK438" i="25"/>
  <c r="DK439" i="25"/>
  <c r="DK440" i="25"/>
  <c r="DK441" i="25"/>
  <c r="DK442" i="25"/>
  <c r="DK443" i="25"/>
  <c r="DK444" i="25"/>
  <c r="DK445" i="25"/>
  <c r="DK446" i="25"/>
  <c r="DK447" i="25"/>
  <c r="DK448" i="25"/>
  <c r="DK449" i="25"/>
  <c r="DK450" i="25"/>
  <c r="DK451" i="25"/>
  <c r="DK452" i="25"/>
  <c r="DK453" i="25"/>
  <c r="DK454" i="25"/>
  <c r="DK455" i="25"/>
  <c r="DK456" i="25"/>
  <c r="DK181" i="25"/>
  <c r="DK463" i="25"/>
  <c r="DK461" i="25"/>
  <c r="DK458" i="25"/>
  <c r="DK465" i="25"/>
  <c r="DK462" i="25"/>
  <c r="DK464" i="25"/>
  <c r="DK466" i="25"/>
  <c r="DK457" i="25"/>
  <c r="DK460" i="25"/>
  <c r="DK467" i="25"/>
  <c r="DK468" i="25"/>
  <c r="DK469" i="25"/>
  <c r="DK470" i="25"/>
  <c r="DK471" i="25"/>
  <c r="DK472" i="25"/>
  <c r="DK473" i="25"/>
  <c r="DK474" i="25"/>
  <c r="DK475" i="25"/>
  <c r="DK476" i="25"/>
  <c r="DK477" i="25"/>
  <c r="DK478" i="25"/>
  <c r="DK479" i="25"/>
  <c r="DK480" i="25"/>
  <c r="DK481" i="25"/>
  <c r="DK482" i="25"/>
  <c r="DL390" i="25"/>
  <c r="DL391" i="25"/>
  <c r="DL392" i="25"/>
  <c r="DL393" i="25"/>
  <c r="DL394" i="25"/>
  <c r="DL395" i="25"/>
  <c r="DL396" i="25"/>
  <c r="DL397" i="25"/>
  <c r="CQ397" i="25" s="1"/>
  <c r="CR397" i="25" s="1"/>
  <c r="DL398" i="25"/>
  <c r="DL399" i="25"/>
  <c r="CO399" i="25" s="1"/>
  <c r="DL400" i="25"/>
  <c r="DL401" i="25"/>
  <c r="DL402" i="25"/>
  <c r="DL403" i="25"/>
  <c r="DL404" i="25"/>
  <c r="DL405" i="25"/>
  <c r="CQ405" i="25" s="1"/>
  <c r="CR405" i="25" s="1"/>
  <c r="DL406" i="25"/>
  <c r="DL407" i="25"/>
  <c r="CP407" i="25" s="1"/>
  <c r="DL408" i="25"/>
  <c r="DL409" i="25"/>
  <c r="CQ409" i="25" s="1"/>
  <c r="CR409" i="25" s="1"/>
  <c r="DL410" i="25"/>
  <c r="CO410" i="25" s="1"/>
  <c r="DL411" i="25"/>
  <c r="DL412" i="25"/>
  <c r="DL413" i="25"/>
  <c r="CQ413" i="25" s="1"/>
  <c r="CR413" i="25" s="1"/>
  <c r="DL414" i="25"/>
  <c r="DL415" i="25"/>
  <c r="CP415" i="25" s="1"/>
  <c r="DL416" i="25"/>
  <c r="DL417" i="25"/>
  <c r="CQ417" i="25" s="1"/>
  <c r="CR417" i="25" s="1"/>
  <c r="DL418" i="25"/>
  <c r="DL419" i="25"/>
  <c r="CP419" i="25" s="1"/>
  <c r="DL420" i="25"/>
  <c r="DL421" i="25"/>
  <c r="DL422" i="25"/>
  <c r="DL423" i="25"/>
  <c r="DL424" i="25"/>
  <c r="DL425" i="25"/>
  <c r="DL426" i="25"/>
  <c r="DL427" i="25"/>
  <c r="DL428" i="25"/>
  <c r="DL429" i="25"/>
  <c r="CQ429" i="25" s="1"/>
  <c r="CR429" i="25" s="1"/>
  <c r="DL430" i="25"/>
  <c r="DL431" i="25"/>
  <c r="DL432" i="25"/>
  <c r="DL433" i="25"/>
  <c r="DL434" i="25"/>
  <c r="DL435" i="25"/>
  <c r="DL436" i="25"/>
  <c r="DL437" i="25"/>
  <c r="CQ437" i="25" s="1"/>
  <c r="CR437" i="25" s="1"/>
  <c r="DL438" i="25"/>
  <c r="DL439" i="25"/>
  <c r="CP439" i="25" s="1"/>
  <c r="DL440" i="25"/>
  <c r="DL441" i="25"/>
  <c r="CQ441" i="25" s="1"/>
  <c r="CR441" i="25" s="1"/>
  <c r="DL442" i="25"/>
  <c r="DL443" i="25"/>
  <c r="DL444" i="25"/>
  <c r="DL445" i="25"/>
  <c r="CO445" i="25" s="1"/>
  <c r="DL446" i="25"/>
  <c r="DL447" i="25"/>
  <c r="CP447" i="25" s="1"/>
  <c r="DL448" i="25"/>
  <c r="DL449" i="25"/>
  <c r="CP449" i="25" s="1"/>
  <c r="DL450" i="25"/>
  <c r="DL451" i="25"/>
  <c r="CP451" i="25" s="1"/>
  <c r="DL452" i="25"/>
  <c r="DL453" i="25"/>
  <c r="CO453" i="25" s="1"/>
  <c r="DL454" i="25"/>
  <c r="DL455" i="25"/>
  <c r="DL456" i="25"/>
  <c r="DL181" i="25"/>
  <c r="CN181" i="25" s="1"/>
  <c r="DL463" i="25"/>
  <c r="DL461" i="25"/>
  <c r="DL458" i="25"/>
  <c r="CO458" i="25" s="1"/>
  <c r="DL465" i="25"/>
  <c r="DL462" i="25"/>
  <c r="DL464" i="25"/>
  <c r="DL466" i="25"/>
  <c r="DL460" i="25"/>
  <c r="CO460" i="25" s="1"/>
  <c r="DL467" i="25"/>
  <c r="DL468" i="25"/>
  <c r="CP468" i="25" s="1"/>
  <c r="DL469" i="25"/>
  <c r="DL470" i="25"/>
  <c r="CQ470" i="25" s="1"/>
  <c r="CR470" i="25" s="1"/>
  <c r="DL471" i="25"/>
  <c r="DL472" i="25"/>
  <c r="DL473" i="25"/>
  <c r="DL474" i="25"/>
  <c r="CO474" i="25" s="1"/>
  <c r="DL475" i="25"/>
  <c r="DL476" i="25"/>
  <c r="CP476" i="25" s="1"/>
  <c r="DL477" i="25"/>
  <c r="DL478" i="25"/>
  <c r="CO478" i="25" s="1"/>
  <c r="DL479" i="25"/>
  <c r="DL480" i="25"/>
  <c r="CP480" i="25" s="1"/>
  <c r="DL481" i="25"/>
  <c r="DL482" i="25"/>
  <c r="CO482" i="25" s="1"/>
  <c r="DM390" i="25"/>
  <c r="DM391" i="25"/>
  <c r="DM392" i="25"/>
  <c r="DM393" i="25"/>
  <c r="DM394" i="25"/>
  <c r="DM395" i="25"/>
  <c r="DM396" i="25"/>
  <c r="DM397" i="25"/>
  <c r="DM398" i="25"/>
  <c r="DM399" i="25"/>
  <c r="DM400" i="25"/>
  <c r="DM401" i="25"/>
  <c r="DM402" i="25"/>
  <c r="DM403" i="25"/>
  <c r="DM404" i="25"/>
  <c r="DM405" i="25"/>
  <c r="DM406" i="25"/>
  <c r="DM407" i="25"/>
  <c r="DM408" i="25"/>
  <c r="DM409" i="25"/>
  <c r="DM410" i="25"/>
  <c r="DM411" i="25"/>
  <c r="DM412" i="25"/>
  <c r="DM413" i="25"/>
  <c r="DM414" i="25"/>
  <c r="DM415" i="25"/>
  <c r="DM416" i="25"/>
  <c r="DM417" i="25"/>
  <c r="DM418" i="25"/>
  <c r="DM419" i="25"/>
  <c r="DM420" i="25"/>
  <c r="DM421" i="25"/>
  <c r="DM422" i="25"/>
  <c r="DM423" i="25"/>
  <c r="DM424" i="25"/>
  <c r="DM425" i="25"/>
  <c r="DM426" i="25"/>
  <c r="DM427" i="25"/>
  <c r="DM428" i="25"/>
  <c r="DM429" i="25"/>
  <c r="DM430" i="25"/>
  <c r="DM431" i="25"/>
  <c r="DM432" i="25"/>
  <c r="DM433" i="25"/>
  <c r="DM434" i="25"/>
  <c r="DM435" i="25"/>
  <c r="DM436" i="25"/>
  <c r="DM437" i="25"/>
  <c r="DM438" i="25"/>
  <c r="DM439" i="25"/>
  <c r="DM440" i="25"/>
  <c r="DM441" i="25"/>
  <c r="DM442" i="25"/>
  <c r="DM443" i="25"/>
  <c r="DM444" i="25"/>
  <c r="DM445" i="25"/>
  <c r="DM446" i="25"/>
  <c r="DM447" i="25"/>
  <c r="DM448" i="25"/>
  <c r="DM449" i="25"/>
  <c r="DM450" i="25"/>
  <c r="DM451" i="25"/>
  <c r="DM452" i="25"/>
  <c r="DM453" i="25"/>
  <c r="DM454" i="25"/>
  <c r="DM455" i="25"/>
  <c r="DM456" i="25"/>
  <c r="DM181" i="25"/>
  <c r="DM463" i="25"/>
  <c r="DM461" i="25"/>
  <c r="DM458" i="25"/>
  <c r="DM465" i="25"/>
  <c r="DM462" i="25"/>
  <c r="DM464" i="25"/>
  <c r="DM466" i="25"/>
  <c r="DM460" i="25"/>
  <c r="DM467" i="25"/>
  <c r="DM468" i="25"/>
  <c r="DM469" i="25"/>
  <c r="DM470" i="25"/>
  <c r="DM471" i="25"/>
  <c r="DM472" i="25"/>
  <c r="DM473" i="25"/>
  <c r="DM474" i="25"/>
  <c r="DM475" i="25"/>
  <c r="DM476" i="25"/>
  <c r="DM477" i="25"/>
  <c r="DM478" i="25"/>
  <c r="DM479" i="25"/>
  <c r="DM480" i="25"/>
  <c r="DM481" i="25"/>
  <c r="DM482" i="25"/>
  <c r="DN390" i="25"/>
  <c r="DN391" i="25"/>
  <c r="DN392" i="25"/>
  <c r="DN393" i="25"/>
  <c r="DN394" i="25"/>
  <c r="DN395" i="25"/>
  <c r="DN396" i="25"/>
  <c r="DN397" i="25"/>
  <c r="DN398" i="25"/>
  <c r="DN399" i="25"/>
  <c r="DN400" i="25"/>
  <c r="DN401" i="25"/>
  <c r="DN402" i="25"/>
  <c r="DN403" i="25"/>
  <c r="DN404" i="25"/>
  <c r="DN405" i="25"/>
  <c r="DN406" i="25"/>
  <c r="DN407" i="25"/>
  <c r="DN408" i="25"/>
  <c r="DN409" i="25"/>
  <c r="DN410" i="25"/>
  <c r="DN411" i="25"/>
  <c r="DN412" i="25"/>
  <c r="DN413" i="25"/>
  <c r="DN414" i="25"/>
  <c r="DN415" i="25"/>
  <c r="DN416" i="25"/>
  <c r="DN417" i="25"/>
  <c r="DN418" i="25"/>
  <c r="DN419" i="25"/>
  <c r="DN420" i="25"/>
  <c r="DN421" i="25"/>
  <c r="DN422" i="25"/>
  <c r="DN423" i="25"/>
  <c r="DN424" i="25"/>
  <c r="DN425" i="25"/>
  <c r="DN426" i="25"/>
  <c r="DN427" i="25"/>
  <c r="DN428" i="25"/>
  <c r="DN429" i="25"/>
  <c r="DN430" i="25"/>
  <c r="DN431" i="25"/>
  <c r="DN432" i="25"/>
  <c r="DN433" i="25"/>
  <c r="DN434" i="25"/>
  <c r="DN435" i="25"/>
  <c r="DN436" i="25"/>
  <c r="DN437" i="25"/>
  <c r="DN438" i="25"/>
  <c r="DN439" i="25"/>
  <c r="DN440" i="25"/>
  <c r="DN441" i="25"/>
  <c r="DN442" i="25"/>
  <c r="DN443" i="25"/>
  <c r="DN444" i="25"/>
  <c r="DN445" i="25"/>
  <c r="DN446" i="25"/>
  <c r="DN447" i="25"/>
  <c r="DN448" i="25"/>
  <c r="DN449" i="25"/>
  <c r="DN450" i="25"/>
  <c r="DN451" i="25"/>
  <c r="DN452" i="25"/>
  <c r="DN453" i="25"/>
  <c r="DN454" i="25"/>
  <c r="DN455" i="25"/>
  <c r="DN456" i="25"/>
  <c r="DN181" i="25"/>
  <c r="DN463" i="25"/>
  <c r="DN461" i="25"/>
  <c r="DN458" i="25"/>
  <c r="DN465" i="25"/>
  <c r="DN462" i="25"/>
  <c r="DN464" i="25"/>
  <c r="DN466" i="25"/>
  <c r="DN457" i="25"/>
  <c r="DN460" i="25"/>
  <c r="DN467" i="25"/>
  <c r="DN468" i="25"/>
  <c r="DN469" i="25"/>
  <c r="DN470" i="25"/>
  <c r="DN471" i="25"/>
  <c r="DN472" i="25"/>
  <c r="DN473" i="25"/>
  <c r="DN474" i="25"/>
  <c r="DN475" i="25"/>
  <c r="DN476" i="25"/>
  <c r="DN477" i="25"/>
  <c r="DN478" i="25"/>
  <c r="DN479" i="25"/>
  <c r="DN480" i="25"/>
  <c r="DN481" i="25"/>
  <c r="DN482" i="25"/>
  <c r="DO390" i="25"/>
  <c r="DO391" i="25"/>
  <c r="DO392" i="25"/>
  <c r="DO393" i="25"/>
  <c r="DO394" i="25"/>
  <c r="DO395" i="25"/>
  <c r="DO396" i="25"/>
  <c r="DO397" i="25"/>
  <c r="DO398" i="25"/>
  <c r="DO399" i="25"/>
  <c r="DO400" i="25"/>
  <c r="DO401" i="25"/>
  <c r="DO402" i="25"/>
  <c r="DO403" i="25"/>
  <c r="DO404" i="25"/>
  <c r="DO405" i="25"/>
  <c r="DO406" i="25"/>
  <c r="DO407" i="25"/>
  <c r="DO408" i="25"/>
  <c r="DO409" i="25"/>
  <c r="DO410" i="25"/>
  <c r="DO411" i="25"/>
  <c r="DO412" i="25"/>
  <c r="DO413" i="25"/>
  <c r="DO414" i="25"/>
  <c r="DO415" i="25"/>
  <c r="DO416" i="25"/>
  <c r="DO417" i="25"/>
  <c r="DO418" i="25"/>
  <c r="DO419" i="25"/>
  <c r="DO420" i="25"/>
  <c r="DO421" i="25"/>
  <c r="DO422" i="25"/>
  <c r="DO423" i="25"/>
  <c r="DO424" i="25"/>
  <c r="DO425" i="25"/>
  <c r="DO426" i="25"/>
  <c r="DO427" i="25"/>
  <c r="DO428" i="25"/>
  <c r="DO429" i="25"/>
  <c r="DO430" i="25"/>
  <c r="DO431" i="25"/>
  <c r="DO432" i="25"/>
  <c r="DO433" i="25"/>
  <c r="DO434" i="25"/>
  <c r="DO435" i="25"/>
  <c r="DO436" i="25"/>
  <c r="DO437" i="25"/>
  <c r="DO438" i="25"/>
  <c r="DO439" i="25"/>
  <c r="DO440" i="25"/>
  <c r="DO441" i="25"/>
  <c r="DO442" i="25"/>
  <c r="DO443" i="25"/>
  <c r="DO444" i="25"/>
  <c r="DO445" i="25"/>
  <c r="DO446" i="25"/>
  <c r="DO447" i="25"/>
  <c r="DO448" i="25"/>
  <c r="DO449" i="25"/>
  <c r="DO450" i="25"/>
  <c r="DO451" i="25"/>
  <c r="DO452" i="25"/>
  <c r="DO453" i="25"/>
  <c r="DO454" i="25"/>
  <c r="DO455" i="25"/>
  <c r="DO456" i="25"/>
  <c r="DO181" i="25"/>
  <c r="DO463" i="25"/>
  <c r="DO461" i="25"/>
  <c r="DO458" i="25"/>
  <c r="DO465" i="25"/>
  <c r="DO462" i="25"/>
  <c r="DO464" i="25"/>
  <c r="DO466" i="25"/>
  <c r="DO457" i="25"/>
  <c r="DO460" i="25"/>
  <c r="DO467" i="25"/>
  <c r="DO468" i="25"/>
  <c r="DO469" i="25"/>
  <c r="DO470" i="25"/>
  <c r="DO471" i="25"/>
  <c r="DO472" i="25"/>
  <c r="DO473" i="25"/>
  <c r="DO474" i="25"/>
  <c r="DO475" i="25"/>
  <c r="DO476" i="25"/>
  <c r="DO477" i="25"/>
  <c r="DO478" i="25"/>
  <c r="DO479" i="25"/>
  <c r="DO480" i="25"/>
  <c r="DO481" i="25"/>
  <c r="DO482" i="25"/>
  <c r="DP390" i="25"/>
  <c r="DP391" i="25"/>
  <c r="DP392" i="25"/>
  <c r="DP393" i="25"/>
  <c r="DP394" i="25"/>
  <c r="DP395" i="25"/>
  <c r="DP396" i="25"/>
  <c r="DP397" i="25"/>
  <c r="DP398" i="25"/>
  <c r="DP399" i="25"/>
  <c r="DP400" i="25"/>
  <c r="DP401" i="25"/>
  <c r="DP402" i="25"/>
  <c r="DP403" i="25"/>
  <c r="DP404" i="25"/>
  <c r="DP405" i="25"/>
  <c r="DP406" i="25"/>
  <c r="DP407" i="25"/>
  <c r="DP408" i="25"/>
  <c r="DP409" i="25"/>
  <c r="DP410" i="25"/>
  <c r="DP411" i="25"/>
  <c r="DP412" i="25"/>
  <c r="DP413" i="25"/>
  <c r="DP414" i="25"/>
  <c r="DP415" i="25"/>
  <c r="DP416" i="25"/>
  <c r="DP417" i="25"/>
  <c r="DP418" i="25"/>
  <c r="DP419" i="25"/>
  <c r="DP420" i="25"/>
  <c r="DP421" i="25"/>
  <c r="DP422" i="25"/>
  <c r="DP423" i="25"/>
  <c r="DP424" i="25"/>
  <c r="DP425" i="25"/>
  <c r="DP426" i="25"/>
  <c r="DP427" i="25"/>
  <c r="DP428" i="25"/>
  <c r="DP429" i="25"/>
  <c r="DP430" i="25"/>
  <c r="DP431" i="25"/>
  <c r="DP432" i="25"/>
  <c r="DP433" i="25"/>
  <c r="DP434" i="25"/>
  <c r="DP435" i="25"/>
  <c r="DP436" i="25"/>
  <c r="DP437" i="25"/>
  <c r="DP438" i="25"/>
  <c r="DP439" i="25"/>
  <c r="DP440" i="25"/>
  <c r="DP441" i="25"/>
  <c r="DP442" i="25"/>
  <c r="DP443" i="25"/>
  <c r="DP444" i="25"/>
  <c r="DP445" i="25"/>
  <c r="DP446" i="25"/>
  <c r="DP447" i="25"/>
  <c r="DP448" i="25"/>
  <c r="DP449" i="25"/>
  <c r="DP450" i="25"/>
  <c r="DP451" i="25"/>
  <c r="DP452" i="25"/>
  <c r="DP453" i="25"/>
  <c r="DP454" i="25"/>
  <c r="DP455" i="25"/>
  <c r="DP456" i="25"/>
  <c r="DP181" i="25"/>
  <c r="DP463" i="25"/>
  <c r="DP461" i="25"/>
  <c r="DP458" i="25"/>
  <c r="DP465" i="25"/>
  <c r="DP462" i="25"/>
  <c r="DP464" i="25"/>
  <c r="DP466" i="25"/>
  <c r="DP457" i="25"/>
  <c r="DP460" i="25"/>
  <c r="DP467" i="25"/>
  <c r="DP468" i="25"/>
  <c r="DP469" i="25"/>
  <c r="DP470" i="25"/>
  <c r="DP471" i="25"/>
  <c r="DP472" i="25"/>
  <c r="DP473" i="25"/>
  <c r="DP474" i="25"/>
  <c r="DP475" i="25"/>
  <c r="DP476" i="25"/>
  <c r="DP477" i="25"/>
  <c r="DP478" i="25"/>
  <c r="DP479" i="25"/>
  <c r="DP480" i="25"/>
  <c r="DP481" i="25"/>
  <c r="DP482" i="25"/>
  <c r="DQ390" i="25"/>
  <c r="DQ391" i="25"/>
  <c r="DQ392" i="25"/>
  <c r="DQ393" i="25"/>
  <c r="DQ394" i="25"/>
  <c r="DQ395" i="25"/>
  <c r="DQ396" i="25"/>
  <c r="DQ397" i="25"/>
  <c r="DQ398" i="25"/>
  <c r="DQ399" i="25"/>
  <c r="DQ400" i="25"/>
  <c r="DQ401" i="25"/>
  <c r="DQ402" i="25"/>
  <c r="DQ403" i="25"/>
  <c r="DQ404" i="25"/>
  <c r="DQ405" i="25"/>
  <c r="DQ406" i="25"/>
  <c r="DQ407" i="25"/>
  <c r="DQ408" i="25"/>
  <c r="DQ409" i="25"/>
  <c r="DQ410" i="25"/>
  <c r="DQ411" i="25"/>
  <c r="DQ412" i="25"/>
  <c r="DQ413" i="25"/>
  <c r="DQ414" i="25"/>
  <c r="DQ415" i="25"/>
  <c r="DQ416" i="25"/>
  <c r="DQ417" i="25"/>
  <c r="DQ418" i="25"/>
  <c r="DQ419" i="25"/>
  <c r="DQ420" i="25"/>
  <c r="DQ421" i="25"/>
  <c r="DQ422" i="25"/>
  <c r="DQ423" i="25"/>
  <c r="DQ424" i="25"/>
  <c r="DQ425" i="25"/>
  <c r="DQ426" i="25"/>
  <c r="DQ427" i="25"/>
  <c r="DQ428" i="25"/>
  <c r="DQ429" i="25"/>
  <c r="DQ430" i="25"/>
  <c r="DQ431" i="25"/>
  <c r="DQ432" i="25"/>
  <c r="DQ433" i="25"/>
  <c r="DQ434" i="25"/>
  <c r="DQ435" i="25"/>
  <c r="DQ436" i="25"/>
  <c r="DQ437" i="25"/>
  <c r="DQ438" i="25"/>
  <c r="DQ439" i="25"/>
  <c r="DQ440" i="25"/>
  <c r="DQ441" i="25"/>
  <c r="DQ442" i="25"/>
  <c r="DQ443" i="25"/>
  <c r="DQ444" i="25"/>
  <c r="DQ445" i="25"/>
  <c r="DQ446" i="25"/>
  <c r="DQ447" i="25"/>
  <c r="DQ448" i="25"/>
  <c r="DQ449" i="25"/>
  <c r="DQ450" i="25"/>
  <c r="DQ451" i="25"/>
  <c r="DQ452" i="25"/>
  <c r="DQ453" i="25"/>
  <c r="DQ454" i="25"/>
  <c r="DQ455" i="25"/>
  <c r="DQ456" i="25"/>
  <c r="DQ181" i="25"/>
  <c r="DQ463" i="25"/>
  <c r="DQ461" i="25"/>
  <c r="DQ458" i="25"/>
  <c r="DQ465" i="25"/>
  <c r="DQ462" i="25"/>
  <c r="DQ464" i="25"/>
  <c r="DQ466" i="25"/>
  <c r="DQ457" i="25"/>
  <c r="DQ460" i="25"/>
  <c r="DQ467" i="25"/>
  <c r="DQ468" i="25"/>
  <c r="DQ469" i="25"/>
  <c r="DQ470" i="25"/>
  <c r="DQ471" i="25"/>
  <c r="DQ472" i="25"/>
  <c r="DQ473" i="25"/>
  <c r="DQ474" i="25"/>
  <c r="DQ475" i="25"/>
  <c r="DQ476" i="25"/>
  <c r="DQ477" i="25"/>
  <c r="DQ478" i="25"/>
  <c r="DQ479" i="25"/>
  <c r="DQ480" i="25"/>
  <c r="DQ481" i="25"/>
  <c r="DQ482" i="25"/>
  <c r="DR390" i="25"/>
  <c r="DR391" i="25"/>
  <c r="DR392" i="25"/>
  <c r="DR393" i="25"/>
  <c r="DR394" i="25"/>
  <c r="DR395" i="25"/>
  <c r="DR396" i="25"/>
  <c r="DR397" i="25"/>
  <c r="DR398" i="25"/>
  <c r="DR399" i="25"/>
  <c r="DR400" i="25"/>
  <c r="DR401" i="25"/>
  <c r="DR402" i="25"/>
  <c r="DR403" i="25"/>
  <c r="DR404" i="25"/>
  <c r="DR405" i="25"/>
  <c r="DR406" i="25"/>
  <c r="DR407" i="25"/>
  <c r="DR408" i="25"/>
  <c r="DR409" i="25"/>
  <c r="DR410" i="25"/>
  <c r="DR411" i="25"/>
  <c r="DR412" i="25"/>
  <c r="DR413" i="25"/>
  <c r="DR414" i="25"/>
  <c r="DR415" i="25"/>
  <c r="DR416" i="25"/>
  <c r="DR417" i="25"/>
  <c r="DR418" i="25"/>
  <c r="DR419" i="25"/>
  <c r="DR420" i="25"/>
  <c r="DR421" i="25"/>
  <c r="DR422" i="25"/>
  <c r="DR423" i="25"/>
  <c r="DR424" i="25"/>
  <c r="DR425" i="25"/>
  <c r="DR426" i="25"/>
  <c r="DR427" i="25"/>
  <c r="DR428" i="25"/>
  <c r="DR429" i="25"/>
  <c r="DR430" i="25"/>
  <c r="DR431" i="25"/>
  <c r="DR432" i="25"/>
  <c r="DR433" i="25"/>
  <c r="DR434" i="25"/>
  <c r="DR435" i="25"/>
  <c r="DR436" i="25"/>
  <c r="DR437" i="25"/>
  <c r="DR438" i="25"/>
  <c r="DR439" i="25"/>
  <c r="DR440" i="25"/>
  <c r="DR441" i="25"/>
  <c r="DR442" i="25"/>
  <c r="DR443" i="25"/>
  <c r="DR444" i="25"/>
  <c r="DR445" i="25"/>
  <c r="DR446" i="25"/>
  <c r="DR447" i="25"/>
  <c r="DR448" i="25"/>
  <c r="DR449" i="25"/>
  <c r="DR450" i="25"/>
  <c r="DR451" i="25"/>
  <c r="DR452" i="25"/>
  <c r="DR453" i="25"/>
  <c r="DR454" i="25"/>
  <c r="DR455" i="25"/>
  <c r="DR456" i="25"/>
  <c r="DR181" i="25"/>
  <c r="DR463" i="25"/>
  <c r="DR461" i="25"/>
  <c r="DR458" i="25"/>
  <c r="DR465" i="25"/>
  <c r="DR462" i="25"/>
  <c r="DR464" i="25"/>
  <c r="DR466" i="25"/>
  <c r="DR457" i="25"/>
  <c r="DR460" i="25"/>
  <c r="DR467" i="25"/>
  <c r="DR468" i="25"/>
  <c r="DR469" i="25"/>
  <c r="DR470" i="25"/>
  <c r="DR471" i="25"/>
  <c r="DR472" i="25"/>
  <c r="DR473" i="25"/>
  <c r="DR474" i="25"/>
  <c r="DR475" i="25"/>
  <c r="DR476" i="25"/>
  <c r="DR477" i="25"/>
  <c r="DR478" i="25"/>
  <c r="DR479" i="25"/>
  <c r="DR480" i="25"/>
  <c r="DR481" i="25"/>
  <c r="DR482" i="25"/>
  <c r="CN411" i="25" l="1"/>
  <c r="CM464" i="25"/>
  <c r="CS464" i="25" s="1"/>
  <c r="CN455" i="25"/>
  <c r="CM431" i="25"/>
  <c r="CS431" i="25" s="1"/>
  <c r="CM423" i="25"/>
  <c r="CS423" i="25" s="1"/>
  <c r="CN391" i="25"/>
  <c r="CN479" i="25"/>
  <c r="CN471" i="25"/>
  <c r="CN475" i="25"/>
  <c r="BS439" i="25"/>
  <c r="BS391" i="25"/>
  <c r="CM477" i="25"/>
  <c r="CS477" i="25" s="1"/>
  <c r="CM469" i="25"/>
  <c r="CS469" i="25" s="1"/>
  <c r="CN462" i="25"/>
  <c r="BS438" i="25"/>
  <c r="BS390" i="25"/>
  <c r="CM448" i="25"/>
  <c r="CS448" i="25" s="1"/>
  <c r="CM440" i="25"/>
  <c r="CS440" i="25" s="1"/>
  <c r="CM432" i="25"/>
  <c r="CS432" i="25" s="1"/>
  <c r="CM424" i="25"/>
  <c r="CS424" i="25" s="1"/>
  <c r="CM416" i="25"/>
  <c r="CS416" i="25" s="1"/>
  <c r="CM408" i="25"/>
  <c r="CS408" i="25" s="1"/>
  <c r="CM400" i="25"/>
  <c r="CS400" i="25" s="1"/>
  <c r="CM392" i="25"/>
  <c r="CS392" i="25" s="1"/>
  <c r="CN450" i="25"/>
  <c r="CN442" i="25"/>
  <c r="CN434" i="25"/>
  <c r="CN426" i="25"/>
  <c r="CN418" i="25"/>
  <c r="CN402" i="25"/>
  <c r="CM394" i="25"/>
  <c r="CS394" i="25" s="1"/>
  <c r="BY402" i="25"/>
  <c r="CA402" i="25" s="1"/>
  <c r="CB402" i="25" s="1"/>
  <c r="BY393" i="25"/>
  <c r="CA393" i="25" s="1"/>
  <c r="BS455" i="25"/>
  <c r="BY400" i="25"/>
  <c r="CA400" i="25" s="1"/>
  <c r="BY392" i="25"/>
  <c r="CA392" i="25" s="1"/>
  <c r="BY395" i="25"/>
  <c r="CA395" i="25" s="1"/>
  <c r="CB395" i="25" s="1"/>
  <c r="CF395" i="25" s="1"/>
  <c r="CG395" i="25" s="1"/>
  <c r="CJ395" i="25" s="1"/>
  <c r="CX420" i="25"/>
  <c r="CY420" i="25" s="1"/>
  <c r="CZ420" i="25" s="1"/>
  <c r="DA420" i="25" s="1"/>
  <c r="BY401" i="25"/>
  <c r="CA401" i="25" s="1"/>
  <c r="BY394" i="25"/>
  <c r="CA394" i="25" s="1"/>
  <c r="CB394" i="25" s="1"/>
  <c r="BY398" i="25"/>
  <c r="CA398" i="25" s="1"/>
  <c r="BY390" i="25"/>
  <c r="BS431" i="25"/>
  <c r="BS423" i="25"/>
  <c r="BY399" i="25"/>
  <c r="CA399" i="25" s="1"/>
  <c r="BY391" i="25"/>
  <c r="CA391" i="25" s="1"/>
  <c r="CX481" i="25"/>
  <c r="CY481" i="25" s="1"/>
  <c r="CZ481" i="25" s="1"/>
  <c r="DA481" i="25" s="1"/>
  <c r="CX473" i="25"/>
  <c r="CY473" i="25" s="1"/>
  <c r="CZ473" i="25" s="1"/>
  <c r="DA473" i="25" s="1"/>
  <c r="BY397" i="25"/>
  <c r="CA397" i="25" s="1"/>
  <c r="CB397" i="25" s="1"/>
  <c r="BZ408" i="25"/>
  <c r="BZ423" i="25"/>
  <c r="BY396" i="25"/>
  <c r="CA396" i="25" s="1"/>
  <c r="BS478" i="25"/>
  <c r="BS470" i="25"/>
  <c r="BS466" i="25"/>
  <c r="BS456" i="25"/>
  <c r="BS448" i="25"/>
  <c r="BS440" i="25"/>
  <c r="BS432" i="25"/>
  <c r="BS424" i="25"/>
  <c r="BS416" i="25"/>
  <c r="BS408" i="25"/>
  <c r="BS400" i="25"/>
  <c r="BS392" i="25"/>
  <c r="BY471" i="25"/>
  <c r="CA471" i="25" s="1"/>
  <c r="CB471" i="25" s="1"/>
  <c r="BS449" i="25"/>
  <c r="BS441" i="25"/>
  <c r="BS433" i="25"/>
  <c r="BS425" i="25"/>
  <c r="BS417" i="25"/>
  <c r="BS409" i="25"/>
  <c r="BS401" i="25"/>
  <c r="BS393" i="25"/>
  <c r="BS477" i="25"/>
  <c r="BS469" i="25"/>
  <c r="BS464" i="25"/>
  <c r="BY422" i="25"/>
  <c r="CA422" i="25" s="1"/>
  <c r="CM466" i="25"/>
  <c r="CS466" i="25" s="1"/>
  <c r="CM456" i="25"/>
  <c r="CS456" i="25" s="1"/>
  <c r="CM433" i="25"/>
  <c r="CS433" i="25" s="1"/>
  <c r="CM425" i="25"/>
  <c r="CS425" i="25" s="1"/>
  <c r="CM401" i="25"/>
  <c r="CS401" i="25" s="1"/>
  <c r="CM393" i="25"/>
  <c r="CS393" i="25" s="1"/>
  <c r="CN467" i="25"/>
  <c r="CN465" i="25"/>
  <c r="CN454" i="25"/>
  <c r="CN446" i="25"/>
  <c r="CM438" i="25"/>
  <c r="CS438" i="25" s="1"/>
  <c r="CM430" i="25"/>
  <c r="CS430" i="25" s="1"/>
  <c r="CM422" i="25"/>
  <c r="CS422" i="25" s="1"/>
  <c r="CM414" i="25"/>
  <c r="CS414" i="25" s="1"/>
  <c r="CM406" i="25"/>
  <c r="CS406" i="25" s="1"/>
  <c r="CN398" i="25"/>
  <c r="CN390" i="25"/>
  <c r="CN472" i="25"/>
  <c r="CN463" i="25"/>
  <c r="CN443" i="25"/>
  <c r="CN435" i="25"/>
  <c r="CN427" i="25"/>
  <c r="CN403" i="25"/>
  <c r="CM395" i="25"/>
  <c r="CS395" i="25" s="1"/>
  <c r="BY437" i="25"/>
  <c r="CA437" i="25" s="1"/>
  <c r="CB437" i="25" s="1"/>
  <c r="BZ397" i="25"/>
  <c r="BY460" i="25"/>
  <c r="CA460" i="25" s="1"/>
  <c r="CB460" i="25" s="1"/>
  <c r="BY458" i="25"/>
  <c r="CA458" i="25" s="1"/>
  <c r="CB458" i="25" s="1"/>
  <c r="BY421" i="25"/>
  <c r="CA421" i="25" s="1"/>
  <c r="CB421" i="25" s="1"/>
  <c r="BY477" i="25"/>
  <c r="CA477" i="25" s="1"/>
  <c r="CB477" i="25" s="1"/>
  <c r="BS468" i="25"/>
  <c r="BS415" i="25"/>
  <c r="BZ406" i="25"/>
  <c r="BY445" i="25"/>
  <c r="CA445" i="25" s="1"/>
  <c r="CB445" i="25" s="1"/>
  <c r="BY443" i="25"/>
  <c r="CA443" i="25" s="1"/>
  <c r="CB443" i="25" s="1"/>
  <c r="CF443" i="25" s="1"/>
  <c r="CG443" i="25" s="1"/>
  <c r="CJ443" i="25" s="1"/>
  <c r="BZ464" i="25"/>
  <c r="BY432" i="25"/>
  <c r="CA432" i="25" s="1"/>
  <c r="BY408" i="25"/>
  <c r="CA408" i="25" s="1"/>
  <c r="BZ400" i="25"/>
  <c r="BZ392" i="25"/>
  <c r="BZ432" i="25"/>
  <c r="BZ455" i="25"/>
  <c r="BZ398" i="25"/>
  <c r="BS476" i="25"/>
  <c r="BS407" i="25"/>
  <c r="BY479" i="25"/>
  <c r="CA479" i="25" s="1"/>
  <c r="CB479" i="25" s="1"/>
  <c r="BY442" i="25"/>
  <c r="BY418" i="25"/>
  <c r="CA418" i="25" s="1"/>
  <c r="CB418" i="25" s="1"/>
  <c r="BY454" i="25"/>
  <c r="CA454" i="25" s="1"/>
  <c r="BY430" i="25"/>
  <c r="CA430" i="25" s="1"/>
  <c r="BZ390" i="25"/>
  <c r="BY482" i="25"/>
  <c r="CA482" i="25" s="1"/>
  <c r="CB482" i="25" s="1"/>
  <c r="BY429" i="25"/>
  <c r="CA429" i="25" s="1"/>
  <c r="CB429" i="25" s="1"/>
  <c r="BY405" i="25"/>
  <c r="BS462" i="25"/>
  <c r="BS406" i="25"/>
  <c r="BZ477" i="25"/>
  <c r="BZ469" i="25"/>
  <c r="BY464" i="25"/>
  <c r="CA464" i="25" s="1"/>
  <c r="BY448" i="25"/>
  <c r="CA448" i="25" s="1"/>
  <c r="BZ440" i="25"/>
  <c r="BZ424" i="25"/>
  <c r="BY416" i="25"/>
  <c r="CA416" i="25" s="1"/>
  <c r="BY469" i="25"/>
  <c r="CA469" i="25" s="1"/>
  <c r="BZ476" i="25"/>
  <c r="BZ468" i="25"/>
  <c r="BZ462" i="25"/>
  <c r="BZ447" i="25"/>
  <c r="BZ439" i="25"/>
  <c r="BZ431" i="25"/>
  <c r="BZ415" i="25"/>
  <c r="BZ407" i="25"/>
  <c r="BZ448" i="25"/>
  <c r="BZ416" i="25"/>
  <c r="BY480" i="25"/>
  <c r="CA480" i="25" s="1"/>
  <c r="BY472" i="25"/>
  <c r="CA472" i="25" s="1"/>
  <c r="CB472" i="25" s="1"/>
  <c r="CF472" i="25" s="1"/>
  <c r="CG472" i="25" s="1"/>
  <c r="CJ472" i="25" s="1"/>
  <c r="BY463" i="25"/>
  <c r="CA463" i="25" s="1"/>
  <c r="CB463" i="25" s="1"/>
  <c r="CF463" i="25" s="1"/>
  <c r="CG463" i="25" s="1"/>
  <c r="CJ463" i="25" s="1"/>
  <c r="BZ451" i="25"/>
  <c r="BZ443" i="25"/>
  <c r="BZ435" i="25"/>
  <c r="BZ427" i="25"/>
  <c r="BY419" i="25"/>
  <c r="CA419" i="25" s="1"/>
  <c r="CB419" i="25" s="1"/>
  <c r="CF419" i="25" s="1"/>
  <c r="CG419" i="25" s="1"/>
  <c r="CJ419" i="25" s="1"/>
  <c r="BY411" i="25"/>
  <c r="CA411" i="25" s="1"/>
  <c r="CB411" i="25" s="1"/>
  <c r="CF411" i="25" s="1"/>
  <c r="CG411" i="25" s="1"/>
  <c r="CJ411" i="25" s="1"/>
  <c r="BZ395" i="25"/>
  <c r="BY410" i="25"/>
  <c r="CA410" i="25" s="1"/>
  <c r="CB410" i="25" s="1"/>
  <c r="BY181" i="25"/>
  <c r="CA181" i="25" s="1"/>
  <c r="CB181" i="25" s="1"/>
  <c r="CF181" i="25" s="1"/>
  <c r="CG181" i="25" s="1"/>
  <c r="CJ181" i="25" s="1"/>
  <c r="BZ402" i="25"/>
  <c r="BZ394" i="25"/>
  <c r="BY424" i="25"/>
  <c r="CA424" i="25" s="1"/>
  <c r="BS454" i="25"/>
  <c r="BY440" i="25"/>
  <c r="CA440" i="25" s="1"/>
  <c r="BY475" i="25"/>
  <c r="CA475" i="25" s="1"/>
  <c r="BY467" i="25"/>
  <c r="CA467" i="25" s="1"/>
  <c r="BY465" i="25"/>
  <c r="CA465" i="25" s="1"/>
  <c r="BZ454" i="25"/>
  <c r="BY446" i="25"/>
  <c r="CA446" i="25" s="1"/>
  <c r="BZ438" i="25"/>
  <c r="BZ430" i="25"/>
  <c r="BZ422" i="25"/>
  <c r="BY414" i="25"/>
  <c r="CA414" i="25" s="1"/>
  <c r="BY406" i="25"/>
  <c r="CA406" i="25" s="1"/>
  <c r="BY474" i="25"/>
  <c r="CA474" i="25" s="1"/>
  <c r="CB474" i="25" s="1"/>
  <c r="BY453" i="25"/>
  <c r="CA453" i="25" s="1"/>
  <c r="CB453" i="25" s="1"/>
  <c r="BY413" i="25"/>
  <c r="CA413" i="25" s="1"/>
  <c r="CB413" i="25" s="1"/>
  <c r="BZ479" i="25"/>
  <c r="BZ471" i="25"/>
  <c r="BZ457" i="25"/>
  <c r="BZ181" i="25"/>
  <c r="BZ450" i="25"/>
  <c r="BZ442" i="25"/>
  <c r="BZ434" i="25"/>
  <c r="BZ426" i="25"/>
  <c r="BZ418" i="25"/>
  <c r="BZ410" i="25"/>
  <c r="BZ475" i="25"/>
  <c r="BZ465" i="25"/>
  <c r="BZ446" i="25"/>
  <c r="BZ414" i="25"/>
  <c r="BY457" i="25"/>
  <c r="BY427" i="25"/>
  <c r="CA427" i="25" s="1"/>
  <c r="CB427" i="25" s="1"/>
  <c r="CF427" i="25" s="1"/>
  <c r="CG427" i="25" s="1"/>
  <c r="CJ427" i="25" s="1"/>
  <c r="BZ478" i="25"/>
  <c r="BZ470" i="25"/>
  <c r="BZ466" i="25"/>
  <c r="BZ456" i="25"/>
  <c r="BZ449" i="25"/>
  <c r="BZ441" i="25"/>
  <c r="BZ433" i="25"/>
  <c r="BZ425" i="25"/>
  <c r="BZ417" i="25"/>
  <c r="BZ409" i="25"/>
  <c r="BZ401" i="25"/>
  <c r="BZ393" i="25"/>
  <c r="BS447" i="25"/>
  <c r="BS399" i="25"/>
  <c r="BZ472" i="25"/>
  <c r="BZ463" i="25"/>
  <c r="BZ411" i="25"/>
  <c r="BY451" i="25"/>
  <c r="CA451" i="25" s="1"/>
  <c r="CB451" i="25" s="1"/>
  <c r="CF451" i="25" s="1"/>
  <c r="CG451" i="25" s="1"/>
  <c r="CJ451" i="25" s="1"/>
  <c r="BY438" i="25"/>
  <c r="CA438" i="25" s="1"/>
  <c r="BY426" i="25"/>
  <c r="CA426" i="25" s="1"/>
  <c r="CB426" i="25" s="1"/>
  <c r="CF426" i="25" s="1"/>
  <c r="CG426" i="25" s="1"/>
  <c r="CJ426" i="25" s="1"/>
  <c r="BY450" i="25"/>
  <c r="CA450" i="25" s="1"/>
  <c r="CB450" i="25" s="1"/>
  <c r="BZ399" i="25"/>
  <c r="BZ391" i="25"/>
  <c r="BY476" i="25"/>
  <c r="CA476" i="25" s="1"/>
  <c r="BY468" i="25"/>
  <c r="CA468" i="25" s="1"/>
  <c r="BY462" i="25"/>
  <c r="CA462" i="25" s="1"/>
  <c r="BY455" i="25"/>
  <c r="CA455" i="25" s="1"/>
  <c r="BY447" i="25"/>
  <c r="CA447" i="25" s="1"/>
  <c r="BY439" i="25"/>
  <c r="CA439" i="25" s="1"/>
  <c r="BY431" i="25"/>
  <c r="CA431" i="25" s="1"/>
  <c r="BY423" i="25"/>
  <c r="CA423" i="25" s="1"/>
  <c r="BY415" i="25"/>
  <c r="CA415" i="25" s="1"/>
  <c r="BY407" i="25"/>
  <c r="BY435" i="25"/>
  <c r="CA435" i="25" s="1"/>
  <c r="CB435" i="25" s="1"/>
  <c r="BZ467" i="25"/>
  <c r="BY434" i="25"/>
  <c r="CA434" i="25" s="1"/>
  <c r="CB434" i="25" s="1"/>
  <c r="CF434" i="25" s="1"/>
  <c r="CG434" i="25" s="1"/>
  <c r="CJ434" i="25" s="1"/>
  <c r="BZ482" i="25"/>
  <c r="BZ474" i="25"/>
  <c r="BZ460" i="25"/>
  <c r="BZ458" i="25"/>
  <c r="BZ453" i="25"/>
  <c r="BZ445" i="25"/>
  <c r="BZ437" i="25"/>
  <c r="BZ429" i="25"/>
  <c r="BZ421" i="25"/>
  <c r="BZ413" i="25"/>
  <c r="BZ405" i="25"/>
  <c r="BZ480" i="25"/>
  <c r="BZ419" i="25"/>
  <c r="BZ481" i="25"/>
  <c r="BZ473" i="25"/>
  <c r="BZ461" i="25"/>
  <c r="BZ452" i="25"/>
  <c r="BZ444" i="25"/>
  <c r="BZ436" i="25"/>
  <c r="BZ428" i="25"/>
  <c r="BZ420" i="25"/>
  <c r="BZ412" i="25"/>
  <c r="BZ404" i="25"/>
  <c r="BZ396" i="25"/>
  <c r="BY478" i="25"/>
  <c r="CA478" i="25" s="1"/>
  <c r="BY470" i="25"/>
  <c r="CA470" i="25" s="1"/>
  <c r="BY466" i="25"/>
  <c r="CA466" i="25" s="1"/>
  <c r="BY456" i="25"/>
  <c r="CA456" i="25" s="1"/>
  <c r="BY449" i="25"/>
  <c r="CA449" i="25" s="1"/>
  <c r="BY441" i="25"/>
  <c r="CA441" i="25" s="1"/>
  <c r="BY433" i="25"/>
  <c r="CA433" i="25" s="1"/>
  <c r="BY425" i="25"/>
  <c r="CA425" i="25" s="1"/>
  <c r="BY417" i="25"/>
  <c r="CA417" i="25" s="1"/>
  <c r="BY409" i="25"/>
  <c r="CA409" i="25" s="1"/>
  <c r="BS465" i="25"/>
  <c r="BS430" i="25"/>
  <c r="BS398" i="25"/>
  <c r="BS461" i="25"/>
  <c r="BS428" i="25"/>
  <c r="BS404" i="25"/>
  <c r="BY481" i="25"/>
  <c r="CA481" i="25" s="1"/>
  <c r="BY473" i="25"/>
  <c r="CA473" i="25" s="1"/>
  <c r="BY461" i="25"/>
  <c r="CA461" i="25" s="1"/>
  <c r="BY452" i="25"/>
  <c r="CA452" i="25" s="1"/>
  <c r="BY444" i="25"/>
  <c r="CA444" i="25" s="1"/>
  <c r="BY436" i="25"/>
  <c r="CA436" i="25" s="1"/>
  <c r="BY428" i="25"/>
  <c r="CA428" i="25" s="1"/>
  <c r="BY420" i="25"/>
  <c r="CA420" i="25" s="1"/>
  <c r="BY412" i="25"/>
  <c r="CA412" i="25" s="1"/>
  <c r="BY404" i="25"/>
  <c r="CA404" i="25" s="1"/>
  <c r="BZ403" i="25"/>
  <c r="BY403" i="25"/>
  <c r="CA403" i="25" s="1"/>
  <c r="CB403" i="25" s="1"/>
  <c r="CF403" i="25" s="1"/>
  <c r="CG403" i="25" s="1"/>
  <c r="CJ403" i="25" s="1"/>
  <c r="CX402" i="25"/>
  <c r="CY402" i="25" s="1"/>
  <c r="CZ402" i="25" s="1"/>
  <c r="DA402" i="25" s="1"/>
  <c r="BS467" i="25"/>
  <c r="BS446" i="25"/>
  <c r="BS422" i="25"/>
  <c r="BS444" i="25"/>
  <c r="BS396" i="25"/>
  <c r="CM421" i="25"/>
  <c r="CS421" i="25" s="1"/>
  <c r="CX412" i="25"/>
  <c r="CY412" i="25" s="1"/>
  <c r="CZ412" i="25" s="1"/>
  <c r="DA412" i="25" s="1"/>
  <c r="CN481" i="25"/>
  <c r="CN473" i="25"/>
  <c r="CN461" i="25"/>
  <c r="CN452" i="25"/>
  <c r="CN444" i="25"/>
  <c r="CN436" i="25"/>
  <c r="CN428" i="25"/>
  <c r="CN420" i="25"/>
  <c r="CN412" i="25"/>
  <c r="CN404" i="25"/>
  <c r="CM396" i="25"/>
  <c r="CS396" i="25" s="1"/>
  <c r="BS475" i="25"/>
  <c r="BS414" i="25"/>
  <c r="CX460" i="25"/>
  <c r="CY460" i="25" s="1"/>
  <c r="CZ460" i="25" s="1"/>
  <c r="DA460" i="25" s="1"/>
  <c r="BS481" i="25"/>
  <c r="BS473" i="25"/>
  <c r="BS452" i="25"/>
  <c r="BS436" i="25"/>
  <c r="BS420" i="25"/>
  <c r="BS412" i="25"/>
  <c r="BS480" i="25"/>
  <c r="BS472" i="25"/>
  <c r="BS463" i="25"/>
  <c r="BS451" i="25"/>
  <c r="BS443" i="25"/>
  <c r="BS435" i="25"/>
  <c r="BS427" i="25"/>
  <c r="BS419" i="25"/>
  <c r="BS411" i="25"/>
  <c r="BS403" i="25"/>
  <c r="BS395" i="25"/>
  <c r="CX482" i="25"/>
  <c r="CY482" i="25" s="1"/>
  <c r="CZ482" i="25" s="1"/>
  <c r="DA482" i="25" s="1"/>
  <c r="CX429" i="25"/>
  <c r="CY429" i="25" s="1"/>
  <c r="CZ429" i="25" s="1"/>
  <c r="DA429" i="25" s="1"/>
  <c r="CX421" i="25"/>
  <c r="CY421" i="25" s="1"/>
  <c r="CZ421" i="25" s="1"/>
  <c r="DA421" i="25" s="1"/>
  <c r="CX405" i="25"/>
  <c r="CY405" i="25" s="1"/>
  <c r="CZ405" i="25" s="1"/>
  <c r="DA405" i="25" s="1"/>
  <c r="BS479" i="25"/>
  <c r="BS471" i="25"/>
  <c r="BS457" i="25"/>
  <c r="BS181" i="25"/>
  <c r="BS450" i="25"/>
  <c r="BS442" i="25"/>
  <c r="BS434" i="25"/>
  <c r="BS426" i="25"/>
  <c r="BS418" i="25"/>
  <c r="BS410" i="25"/>
  <c r="BS402" i="25"/>
  <c r="BS394" i="25"/>
  <c r="CX479" i="25"/>
  <c r="CY479" i="25" s="1"/>
  <c r="CZ479" i="25" s="1"/>
  <c r="DA479" i="25" s="1"/>
  <c r="CX471" i="25"/>
  <c r="CY471" i="25" s="1"/>
  <c r="CZ471" i="25" s="1"/>
  <c r="DA471" i="25" s="1"/>
  <c r="CX457" i="25"/>
  <c r="CY457" i="25" s="1"/>
  <c r="CZ457" i="25" s="1"/>
  <c r="DA457" i="25" s="1"/>
  <c r="CX181" i="25"/>
  <c r="CY181" i="25" s="1"/>
  <c r="CZ181" i="25" s="1"/>
  <c r="DA181" i="25" s="1"/>
  <c r="CX450" i="25"/>
  <c r="CY450" i="25" s="1"/>
  <c r="CZ450" i="25" s="1"/>
  <c r="DA450" i="25" s="1"/>
  <c r="CX442" i="25"/>
  <c r="CY442" i="25" s="1"/>
  <c r="CZ442" i="25" s="1"/>
  <c r="DA442" i="25" s="1"/>
  <c r="CX434" i="25"/>
  <c r="CY434" i="25" s="1"/>
  <c r="CZ434" i="25" s="1"/>
  <c r="DA434" i="25" s="1"/>
  <c r="CX426" i="25"/>
  <c r="CY426" i="25" s="1"/>
  <c r="CZ426" i="25" s="1"/>
  <c r="DA426" i="25" s="1"/>
  <c r="CX418" i="25"/>
  <c r="CY418" i="25" s="1"/>
  <c r="CZ418" i="25" s="1"/>
  <c r="DA418" i="25" s="1"/>
  <c r="CX410" i="25"/>
  <c r="CY410" i="25" s="1"/>
  <c r="CZ410" i="25" s="1"/>
  <c r="DA410" i="25" s="1"/>
  <c r="CX394" i="25"/>
  <c r="CY394" i="25" s="1"/>
  <c r="CZ394" i="25" s="1"/>
  <c r="DA394" i="25" s="1"/>
  <c r="CX448" i="25"/>
  <c r="CY448" i="25" s="1"/>
  <c r="CZ448" i="25" s="1"/>
  <c r="DA448" i="25" s="1"/>
  <c r="CX440" i="25"/>
  <c r="CY440" i="25" s="1"/>
  <c r="CZ440" i="25" s="1"/>
  <c r="DA440" i="25" s="1"/>
  <c r="BS482" i="25"/>
  <c r="BS474" i="25"/>
  <c r="BS460" i="25"/>
  <c r="BS458" i="25"/>
  <c r="BS453" i="25"/>
  <c r="BS445" i="25"/>
  <c r="BS437" i="25"/>
  <c r="BS429" i="25"/>
  <c r="BS421" i="25"/>
  <c r="BS413" i="25"/>
  <c r="BS405" i="25"/>
  <c r="BS397" i="25"/>
  <c r="CN456" i="25"/>
  <c r="CM447" i="25"/>
  <c r="CS447" i="25" s="1"/>
  <c r="CN449" i="25"/>
  <c r="CN478" i="25"/>
  <c r="CM462" i="25"/>
  <c r="CS462" i="25" s="1"/>
  <c r="CN470" i="25"/>
  <c r="CN466" i="25"/>
  <c r="CM455" i="25"/>
  <c r="CS455" i="25" s="1"/>
  <c r="CM476" i="25"/>
  <c r="CS476" i="25" s="1"/>
  <c r="CM468" i="25"/>
  <c r="CS468" i="25" s="1"/>
  <c r="CX461" i="25"/>
  <c r="CY461" i="25" s="1"/>
  <c r="CZ461" i="25" s="1"/>
  <c r="DA461" i="25" s="1"/>
  <c r="CN477" i="25"/>
  <c r="CN469" i="25"/>
  <c r="CN464" i="25"/>
  <c r="CN448" i="25"/>
  <c r="CM475" i="25"/>
  <c r="CS475" i="25" s="1"/>
  <c r="CM467" i="25"/>
  <c r="CS467" i="25" s="1"/>
  <c r="CM465" i="25"/>
  <c r="CS465" i="25" s="1"/>
  <c r="CM454" i="25"/>
  <c r="CS454" i="25" s="1"/>
  <c r="CM446" i="25"/>
  <c r="CS446" i="25" s="1"/>
  <c r="CX480" i="25"/>
  <c r="CY480" i="25" s="1"/>
  <c r="CZ480" i="25" s="1"/>
  <c r="DA480" i="25" s="1"/>
  <c r="CX472" i="25"/>
  <c r="CY472" i="25" s="1"/>
  <c r="CZ472" i="25" s="1"/>
  <c r="DA472" i="25" s="1"/>
  <c r="CX463" i="25"/>
  <c r="CY463" i="25" s="1"/>
  <c r="CZ463" i="25" s="1"/>
  <c r="DA463" i="25" s="1"/>
  <c r="CX451" i="25"/>
  <c r="CY451" i="25" s="1"/>
  <c r="CZ451" i="25" s="1"/>
  <c r="DA451" i="25" s="1"/>
  <c r="CX443" i="25"/>
  <c r="CY443" i="25" s="1"/>
  <c r="CZ443" i="25" s="1"/>
  <c r="DA443" i="25" s="1"/>
  <c r="CX435" i="25"/>
  <c r="CY435" i="25" s="1"/>
  <c r="CZ435" i="25" s="1"/>
  <c r="DA435" i="25" s="1"/>
  <c r="CX427" i="25"/>
  <c r="CY427" i="25" s="1"/>
  <c r="CZ427" i="25" s="1"/>
  <c r="DA427" i="25" s="1"/>
  <c r="CX419" i="25"/>
  <c r="CY419" i="25" s="1"/>
  <c r="CZ419" i="25" s="1"/>
  <c r="DA419" i="25" s="1"/>
  <c r="CX411" i="25"/>
  <c r="CY411" i="25" s="1"/>
  <c r="CZ411" i="25" s="1"/>
  <c r="DA411" i="25" s="1"/>
  <c r="CX403" i="25"/>
  <c r="CY403" i="25" s="1"/>
  <c r="CZ403" i="25" s="1"/>
  <c r="DA403" i="25" s="1"/>
  <c r="CX395" i="25"/>
  <c r="CY395" i="25" s="1"/>
  <c r="CZ395" i="25" s="1"/>
  <c r="DA395" i="25" s="1"/>
  <c r="CN476" i="25"/>
  <c r="CN468" i="25"/>
  <c r="CN447" i="25"/>
  <c r="CM482" i="25"/>
  <c r="CS482" i="25" s="1"/>
  <c r="CM474" i="25"/>
  <c r="CS474" i="25" s="1"/>
  <c r="CM460" i="25"/>
  <c r="CS460" i="25" s="1"/>
  <c r="CM458" i="25"/>
  <c r="CS458" i="25" s="1"/>
  <c r="CM453" i="25"/>
  <c r="CS453" i="25" s="1"/>
  <c r="CM445" i="25"/>
  <c r="CS445" i="25" s="1"/>
  <c r="CM481" i="25"/>
  <c r="CS481" i="25" s="1"/>
  <c r="CM473" i="25"/>
  <c r="CS473" i="25" s="1"/>
  <c r="CM461" i="25"/>
  <c r="CS461" i="25" s="1"/>
  <c r="CM452" i="25"/>
  <c r="CS452" i="25" s="1"/>
  <c r="CM444" i="25"/>
  <c r="CS444" i="25" s="1"/>
  <c r="CX439" i="25"/>
  <c r="CY439" i="25" s="1"/>
  <c r="CZ439" i="25" s="1"/>
  <c r="DA439" i="25" s="1"/>
  <c r="CN482" i="25"/>
  <c r="CN474" i="25"/>
  <c r="CN460" i="25"/>
  <c r="CN458" i="25"/>
  <c r="CN453" i="25"/>
  <c r="CN445" i="25"/>
  <c r="CM480" i="25"/>
  <c r="CS480" i="25" s="1"/>
  <c r="CM472" i="25"/>
  <c r="CS472" i="25" s="1"/>
  <c r="CM463" i="25"/>
  <c r="CS463" i="25" s="1"/>
  <c r="CM451" i="25"/>
  <c r="CS451" i="25" s="1"/>
  <c r="CM443" i="25"/>
  <c r="CS443" i="25" s="1"/>
  <c r="CM479" i="25"/>
  <c r="CS479" i="25" s="1"/>
  <c r="CM471" i="25"/>
  <c r="CS471" i="25" s="1"/>
  <c r="CM457" i="25"/>
  <c r="CS457" i="25" s="1"/>
  <c r="CM181" i="25"/>
  <c r="CS181" i="25" s="1"/>
  <c r="CM450" i="25"/>
  <c r="CS450" i="25" s="1"/>
  <c r="CM442" i="25"/>
  <c r="CS442" i="25" s="1"/>
  <c r="CN480" i="25"/>
  <c r="CN451" i="25"/>
  <c r="CM478" i="25"/>
  <c r="CS478" i="25" s="1"/>
  <c r="CM470" i="25"/>
  <c r="CS470" i="25" s="1"/>
  <c r="CM449" i="25"/>
  <c r="CS449" i="25" s="1"/>
  <c r="CN441" i="25"/>
  <c r="CN433" i="25"/>
  <c r="CM437" i="25"/>
  <c r="CS437" i="25" s="1"/>
  <c r="CM410" i="25"/>
  <c r="CS410" i="25" s="1"/>
  <c r="CX474" i="25"/>
  <c r="CY474" i="25" s="1"/>
  <c r="CZ474" i="25" s="1"/>
  <c r="DA474" i="25" s="1"/>
  <c r="CX458" i="25"/>
  <c r="CY458" i="25" s="1"/>
  <c r="CZ458" i="25" s="1"/>
  <c r="DA458" i="25" s="1"/>
  <c r="CX453" i="25"/>
  <c r="CY453" i="25" s="1"/>
  <c r="CZ453" i="25" s="1"/>
  <c r="DA453" i="25" s="1"/>
  <c r="CX445" i="25"/>
  <c r="CY445" i="25" s="1"/>
  <c r="CZ445" i="25" s="1"/>
  <c r="DA445" i="25" s="1"/>
  <c r="CX437" i="25"/>
  <c r="CY437" i="25" s="1"/>
  <c r="CZ437" i="25" s="1"/>
  <c r="DA437" i="25" s="1"/>
  <c r="CX413" i="25"/>
  <c r="CY413" i="25" s="1"/>
  <c r="CZ413" i="25" s="1"/>
  <c r="DA413" i="25" s="1"/>
  <c r="CX397" i="25"/>
  <c r="CY397" i="25" s="1"/>
  <c r="CZ397" i="25" s="1"/>
  <c r="DA397" i="25" s="1"/>
  <c r="CX468" i="25"/>
  <c r="CY468" i="25" s="1"/>
  <c r="CZ468" i="25" s="1"/>
  <c r="DA468" i="25" s="1"/>
  <c r="CX462" i="25"/>
  <c r="CY462" i="25" s="1"/>
  <c r="CZ462" i="25" s="1"/>
  <c r="DA462" i="25" s="1"/>
  <c r="CX447" i="25"/>
  <c r="CY447" i="25" s="1"/>
  <c r="CZ447" i="25" s="1"/>
  <c r="DA447" i="25" s="1"/>
  <c r="CX423" i="25"/>
  <c r="CY423" i="25" s="1"/>
  <c r="CZ423" i="25" s="1"/>
  <c r="DA423" i="25" s="1"/>
  <c r="CX407" i="25"/>
  <c r="CY407" i="25" s="1"/>
  <c r="CZ407" i="25" s="1"/>
  <c r="DA407" i="25" s="1"/>
  <c r="CN440" i="25"/>
  <c r="CN432" i="25"/>
  <c r="CM436" i="25"/>
  <c r="CS436" i="25" s="1"/>
  <c r="CM402" i="25"/>
  <c r="CS402" i="25" s="1"/>
  <c r="CN439" i="25"/>
  <c r="CN424" i="25"/>
  <c r="CM435" i="25"/>
  <c r="CS435" i="25" s="1"/>
  <c r="CN438" i="25"/>
  <c r="CN416" i="25"/>
  <c r="CM434" i="25"/>
  <c r="CS434" i="25" s="1"/>
  <c r="CN437" i="25"/>
  <c r="CN408" i="25"/>
  <c r="CM441" i="25"/>
  <c r="CS441" i="25" s="1"/>
  <c r="CN400" i="25"/>
  <c r="CX477" i="25"/>
  <c r="CY477" i="25" s="1"/>
  <c r="CZ477" i="25" s="1"/>
  <c r="DA477" i="25" s="1"/>
  <c r="CX469" i="25"/>
  <c r="CY469" i="25" s="1"/>
  <c r="CZ469" i="25" s="1"/>
  <c r="DA469" i="25" s="1"/>
  <c r="CX464" i="25"/>
  <c r="CY464" i="25" s="1"/>
  <c r="CZ464" i="25" s="1"/>
  <c r="DA464" i="25" s="1"/>
  <c r="CX432" i="25"/>
  <c r="CY432" i="25" s="1"/>
  <c r="CZ432" i="25" s="1"/>
  <c r="DA432" i="25" s="1"/>
  <c r="CX424" i="25"/>
  <c r="CY424" i="25" s="1"/>
  <c r="CZ424" i="25" s="1"/>
  <c r="DA424" i="25" s="1"/>
  <c r="CX416" i="25"/>
  <c r="CY416" i="25" s="1"/>
  <c r="CZ416" i="25" s="1"/>
  <c r="DA416" i="25" s="1"/>
  <c r="CX408" i="25"/>
  <c r="CY408" i="25" s="1"/>
  <c r="CZ408" i="25" s="1"/>
  <c r="DA408" i="25" s="1"/>
  <c r="CX400" i="25"/>
  <c r="CY400" i="25" s="1"/>
  <c r="CZ400" i="25" s="1"/>
  <c r="DA400" i="25" s="1"/>
  <c r="CX392" i="25"/>
  <c r="CY392" i="25" s="1"/>
  <c r="CZ392" i="25" s="1"/>
  <c r="DA392" i="25" s="1"/>
  <c r="CM439" i="25"/>
  <c r="CS439" i="25" s="1"/>
  <c r="CM426" i="25"/>
  <c r="CS426" i="25" s="1"/>
  <c r="CX456" i="25"/>
  <c r="CY456" i="25" s="1"/>
  <c r="CZ456" i="25" s="1"/>
  <c r="DA456" i="25" s="1"/>
  <c r="CX401" i="25"/>
  <c r="CY401" i="25" s="1"/>
  <c r="CZ401" i="25" s="1"/>
  <c r="DA401" i="25" s="1"/>
  <c r="CM418" i="25"/>
  <c r="CS418" i="25" s="1"/>
  <c r="CN410" i="25"/>
  <c r="CM428" i="25"/>
  <c r="CS428" i="25" s="1"/>
  <c r="CM420" i="25"/>
  <c r="CS420" i="25" s="1"/>
  <c r="CM412" i="25"/>
  <c r="CS412" i="25" s="1"/>
  <c r="CM404" i="25"/>
  <c r="CS404" i="25" s="1"/>
  <c r="DB402" i="25"/>
  <c r="CX452" i="25"/>
  <c r="CY452" i="25" s="1"/>
  <c r="CZ452" i="25" s="1"/>
  <c r="DA452" i="25" s="1"/>
  <c r="CX444" i="25"/>
  <c r="CY444" i="25" s="1"/>
  <c r="CZ444" i="25" s="1"/>
  <c r="DA444" i="25" s="1"/>
  <c r="CX436" i="25"/>
  <c r="CY436" i="25" s="1"/>
  <c r="CZ436" i="25" s="1"/>
  <c r="DA436" i="25" s="1"/>
  <c r="CX428" i="25"/>
  <c r="CY428" i="25" s="1"/>
  <c r="CZ428" i="25" s="1"/>
  <c r="DA428" i="25" s="1"/>
  <c r="CX404" i="25"/>
  <c r="CY404" i="25" s="1"/>
  <c r="CZ404" i="25" s="1"/>
  <c r="DA404" i="25" s="1"/>
  <c r="CX396" i="25"/>
  <c r="CY396" i="25" s="1"/>
  <c r="CZ396" i="25" s="1"/>
  <c r="DA396" i="25" s="1"/>
  <c r="CN425" i="25"/>
  <c r="CN417" i="25"/>
  <c r="CN409" i="25"/>
  <c r="CN401" i="25"/>
  <c r="CM427" i="25"/>
  <c r="CS427" i="25" s="1"/>
  <c r="CM419" i="25"/>
  <c r="CS419" i="25" s="1"/>
  <c r="CM411" i="25"/>
  <c r="CS411" i="25" s="1"/>
  <c r="CM403" i="25"/>
  <c r="CS403" i="25" s="1"/>
  <c r="CN431" i="25"/>
  <c r="CN423" i="25"/>
  <c r="CN415" i="25"/>
  <c r="CN407" i="25"/>
  <c r="CN399" i="25"/>
  <c r="CM417" i="25"/>
  <c r="CS417" i="25" s="1"/>
  <c r="CM409" i="25"/>
  <c r="CS409" i="25" s="1"/>
  <c r="CX476" i="25"/>
  <c r="CY476" i="25" s="1"/>
  <c r="CZ476" i="25" s="1"/>
  <c r="DA476" i="25" s="1"/>
  <c r="CX455" i="25"/>
  <c r="CY455" i="25" s="1"/>
  <c r="CZ455" i="25" s="1"/>
  <c r="DA455" i="25" s="1"/>
  <c r="CX431" i="25"/>
  <c r="CY431" i="25" s="1"/>
  <c r="CZ431" i="25" s="1"/>
  <c r="DA431" i="25" s="1"/>
  <c r="CX415" i="25"/>
  <c r="CY415" i="25" s="1"/>
  <c r="CZ415" i="25" s="1"/>
  <c r="DA415" i="25" s="1"/>
  <c r="CX399" i="25"/>
  <c r="CY399" i="25" s="1"/>
  <c r="CZ399" i="25" s="1"/>
  <c r="DA399" i="25" s="1"/>
  <c r="CX391" i="25"/>
  <c r="CY391" i="25" s="1"/>
  <c r="CZ391" i="25" s="1"/>
  <c r="DA391" i="25" s="1"/>
  <c r="CX478" i="25"/>
  <c r="CY478" i="25" s="1"/>
  <c r="CZ478" i="25" s="1"/>
  <c r="DA478" i="25" s="1"/>
  <c r="CX470" i="25"/>
  <c r="CY470" i="25" s="1"/>
  <c r="CZ470" i="25" s="1"/>
  <c r="DA470" i="25" s="1"/>
  <c r="CX466" i="25"/>
  <c r="CY466" i="25" s="1"/>
  <c r="CZ466" i="25" s="1"/>
  <c r="DA466" i="25" s="1"/>
  <c r="CX449" i="25"/>
  <c r="CY449" i="25" s="1"/>
  <c r="CZ449" i="25" s="1"/>
  <c r="DA449" i="25" s="1"/>
  <c r="CX441" i="25"/>
  <c r="CY441" i="25" s="1"/>
  <c r="CZ441" i="25" s="1"/>
  <c r="DA441" i="25" s="1"/>
  <c r="CX433" i="25"/>
  <c r="CY433" i="25" s="1"/>
  <c r="CZ433" i="25" s="1"/>
  <c r="DA433" i="25" s="1"/>
  <c r="CX425" i="25"/>
  <c r="CY425" i="25" s="1"/>
  <c r="CZ425" i="25" s="1"/>
  <c r="DA425" i="25" s="1"/>
  <c r="CX417" i="25"/>
  <c r="CY417" i="25" s="1"/>
  <c r="CZ417" i="25" s="1"/>
  <c r="DA417" i="25" s="1"/>
  <c r="CX409" i="25"/>
  <c r="CY409" i="25" s="1"/>
  <c r="CZ409" i="25" s="1"/>
  <c r="DA409" i="25" s="1"/>
  <c r="CN430" i="25"/>
  <c r="CN422" i="25"/>
  <c r="CN414" i="25"/>
  <c r="CN406" i="25"/>
  <c r="CN397" i="25"/>
  <c r="CN429" i="25"/>
  <c r="CN421" i="25"/>
  <c r="CN413" i="25"/>
  <c r="CN405" i="25"/>
  <c r="CM415" i="25"/>
  <c r="CS415" i="25" s="1"/>
  <c r="CM407" i="25"/>
  <c r="CS407" i="25" s="1"/>
  <c r="CM399" i="25"/>
  <c r="CS399" i="25" s="1"/>
  <c r="CM391" i="25"/>
  <c r="CS391" i="25" s="1"/>
  <c r="CN419" i="25"/>
  <c r="CM429" i="25"/>
  <c r="CS429" i="25" s="1"/>
  <c r="CM413" i="25"/>
  <c r="CS413" i="25" s="1"/>
  <c r="CM405" i="25"/>
  <c r="CS405" i="25" s="1"/>
  <c r="DB395" i="25"/>
  <c r="CN396" i="25"/>
  <c r="CM398" i="25"/>
  <c r="CS398" i="25" s="1"/>
  <c r="CM390" i="25"/>
  <c r="CS390" i="25" s="1"/>
  <c r="CN395" i="25"/>
  <c r="CM397" i="25"/>
  <c r="CS397" i="25" s="1"/>
  <c r="DB456" i="25"/>
  <c r="DB449" i="25"/>
  <c r="DB433" i="25"/>
  <c r="CX475" i="25"/>
  <c r="CY475" i="25" s="1"/>
  <c r="CZ475" i="25" s="1"/>
  <c r="DA475" i="25" s="1"/>
  <c r="CX467" i="25"/>
  <c r="CY467" i="25" s="1"/>
  <c r="CZ467" i="25" s="1"/>
  <c r="DA467" i="25" s="1"/>
  <c r="CX465" i="25"/>
  <c r="CY465" i="25" s="1"/>
  <c r="CZ465" i="25" s="1"/>
  <c r="DA465" i="25" s="1"/>
  <c r="CX454" i="25"/>
  <c r="CY454" i="25" s="1"/>
  <c r="CZ454" i="25" s="1"/>
  <c r="DA454" i="25" s="1"/>
  <c r="CX446" i="25"/>
  <c r="CY446" i="25" s="1"/>
  <c r="CZ446" i="25" s="1"/>
  <c r="DA446" i="25" s="1"/>
  <c r="CX438" i="25"/>
  <c r="CY438" i="25" s="1"/>
  <c r="CZ438" i="25" s="1"/>
  <c r="DA438" i="25" s="1"/>
  <c r="CX430" i="25"/>
  <c r="CY430" i="25" s="1"/>
  <c r="CZ430" i="25" s="1"/>
  <c r="DA430" i="25" s="1"/>
  <c r="CX422" i="25"/>
  <c r="CY422" i="25" s="1"/>
  <c r="CZ422" i="25" s="1"/>
  <c r="DA422" i="25" s="1"/>
  <c r="CX414" i="25"/>
  <c r="CY414" i="25" s="1"/>
  <c r="CZ414" i="25" s="1"/>
  <c r="DA414" i="25" s="1"/>
  <c r="CX406" i="25"/>
  <c r="CY406" i="25" s="1"/>
  <c r="CZ406" i="25" s="1"/>
  <c r="DA406" i="25" s="1"/>
  <c r="CX398" i="25"/>
  <c r="CY398" i="25" s="1"/>
  <c r="CZ398" i="25" s="1"/>
  <c r="DA398" i="25" s="1"/>
  <c r="CX390" i="25"/>
  <c r="CY390" i="25" s="1"/>
  <c r="CZ390" i="25" s="1"/>
  <c r="DA390" i="25" s="1"/>
  <c r="CN394" i="25"/>
  <c r="CN393" i="25"/>
  <c r="CQ478" i="25"/>
  <c r="CR478" i="25" s="1"/>
  <c r="CO415" i="25"/>
  <c r="CN392" i="25"/>
  <c r="CX393" i="25"/>
  <c r="CY393" i="25" s="1"/>
  <c r="CZ393" i="25" s="1"/>
  <c r="DA393" i="25" s="1"/>
  <c r="CQ449" i="25"/>
  <c r="CR449" i="25" s="1"/>
  <c r="CO452" i="25"/>
  <c r="CP452" i="25"/>
  <c r="CQ452" i="25"/>
  <c r="CR452" i="25" s="1"/>
  <c r="CP404" i="25"/>
  <c r="CQ404" i="25"/>
  <c r="CR404" i="25" s="1"/>
  <c r="CO404" i="25"/>
  <c r="CP420" i="25"/>
  <c r="CQ420" i="25"/>
  <c r="CR420" i="25" s="1"/>
  <c r="CO420" i="25"/>
  <c r="CP436" i="25"/>
  <c r="CQ436" i="25"/>
  <c r="CR436" i="25" s="1"/>
  <c r="CO436" i="25"/>
  <c r="CO461" i="25"/>
  <c r="CP461" i="25"/>
  <c r="CQ461" i="25"/>
  <c r="CR461" i="25" s="1"/>
  <c r="CO412" i="25"/>
  <c r="CP412" i="25"/>
  <c r="CQ412" i="25"/>
  <c r="CR412" i="25" s="1"/>
  <c r="CO473" i="25"/>
  <c r="CP473" i="25"/>
  <c r="CQ473" i="25"/>
  <c r="CR473" i="25" s="1"/>
  <c r="CP428" i="25"/>
  <c r="CO428" i="25"/>
  <c r="CQ428" i="25"/>
  <c r="CR428" i="25" s="1"/>
  <c r="CO481" i="25"/>
  <c r="CP481" i="25"/>
  <c r="CQ481" i="25"/>
  <c r="CR481" i="25" s="1"/>
  <c r="CO444" i="25"/>
  <c r="CP444" i="25"/>
  <c r="CQ444" i="25"/>
  <c r="CR444" i="25" s="1"/>
  <c r="CP396" i="25"/>
  <c r="CO396" i="25"/>
  <c r="CQ396" i="25"/>
  <c r="CR396" i="25" s="1"/>
  <c r="CO480" i="25"/>
  <c r="CQ480" i="25"/>
  <c r="CR480" i="25" s="1"/>
  <c r="CO472" i="25"/>
  <c r="CQ472" i="25"/>
  <c r="CR472" i="25" s="1"/>
  <c r="CO463" i="25"/>
  <c r="CQ463" i="25"/>
  <c r="CR463" i="25" s="1"/>
  <c r="CO451" i="25"/>
  <c r="CQ451" i="25"/>
  <c r="CR451" i="25" s="1"/>
  <c r="CO443" i="25"/>
  <c r="CQ443" i="25"/>
  <c r="CR443" i="25" s="1"/>
  <c r="CO435" i="25"/>
  <c r="CQ435" i="25"/>
  <c r="CR435" i="25" s="1"/>
  <c r="CO427" i="25"/>
  <c r="CQ427" i="25"/>
  <c r="CR427" i="25" s="1"/>
  <c r="CQ419" i="25"/>
  <c r="CR419" i="25" s="1"/>
  <c r="CO419" i="25"/>
  <c r="CO411" i="25"/>
  <c r="CQ411" i="25"/>
  <c r="CR411" i="25" s="1"/>
  <c r="CO403" i="25"/>
  <c r="CQ403" i="25"/>
  <c r="CR403" i="25" s="1"/>
  <c r="CO395" i="25"/>
  <c r="CQ395" i="25"/>
  <c r="CR395" i="25" s="1"/>
  <c r="CQ474" i="25"/>
  <c r="CR474" i="25" s="1"/>
  <c r="CQ445" i="25"/>
  <c r="CR445" i="25" s="1"/>
  <c r="CO449" i="25"/>
  <c r="CO479" i="25"/>
  <c r="CP479" i="25"/>
  <c r="CQ479" i="25"/>
  <c r="CR479" i="25" s="1"/>
  <c r="CO471" i="25"/>
  <c r="CP471" i="25"/>
  <c r="CQ471" i="25"/>
  <c r="CR471" i="25" s="1"/>
  <c r="CO457" i="25"/>
  <c r="CP457" i="25"/>
  <c r="CQ457" i="25"/>
  <c r="CR457" i="25" s="1"/>
  <c r="CO181" i="25"/>
  <c r="CP181" i="25"/>
  <c r="CQ181" i="25"/>
  <c r="CR181" i="25" s="1"/>
  <c r="CO450" i="25"/>
  <c r="CP450" i="25"/>
  <c r="CQ450" i="25"/>
  <c r="CR450" i="25" s="1"/>
  <c r="CO442" i="25"/>
  <c r="CP442" i="25"/>
  <c r="CQ442" i="25"/>
  <c r="CR442" i="25" s="1"/>
  <c r="CO434" i="25"/>
  <c r="CP434" i="25"/>
  <c r="CQ434" i="25"/>
  <c r="CR434" i="25" s="1"/>
  <c r="CP426" i="25"/>
  <c r="CQ426" i="25"/>
  <c r="CR426" i="25" s="1"/>
  <c r="CP418" i="25"/>
  <c r="CQ418" i="25"/>
  <c r="CR418" i="25" s="1"/>
  <c r="CO418" i="25"/>
  <c r="CP410" i="25"/>
  <c r="CQ410" i="25"/>
  <c r="CR410" i="25" s="1"/>
  <c r="CO402" i="25"/>
  <c r="CP402" i="25"/>
  <c r="CQ402" i="25"/>
  <c r="CR402" i="25" s="1"/>
  <c r="CP394" i="25"/>
  <c r="CO394" i="25"/>
  <c r="CQ394" i="25"/>
  <c r="CR394" i="25" s="1"/>
  <c r="CP472" i="25"/>
  <c r="CP443" i="25"/>
  <c r="CP411" i="25"/>
  <c r="CP478" i="25"/>
  <c r="CP470" i="25"/>
  <c r="CP466" i="25"/>
  <c r="CP456" i="25"/>
  <c r="CP441" i="25"/>
  <c r="CO433" i="25"/>
  <c r="CP433" i="25"/>
  <c r="CO425" i="25"/>
  <c r="CP425" i="25"/>
  <c r="CO417" i="25"/>
  <c r="CP417" i="25"/>
  <c r="CO409" i="25"/>
  <c r="CP409" i="25"/>
  <c r="CO401" i="25"/>
  <c r="CP401" i="25"/>
  <c r="CO393" i="25"/>
  <c r="CP393" i="25"/>
  <c r="CQ460" i="25"/>
  <c r="CR460" i="25" s="1"/>
  <c r="CO470" i="25"/>
  <c r="CO441" i="25"/>
  <c r="CP477" i="25"/>
  <c r="CQ477" i="25"/>
  <c r="CR477" i="25" s="1"/>
  <c r="CO477" i="25"/>
  <c r="CP469" i="25"/>
  <c r="CQ469" i="25"/>
  <c r="CR469" i="25" s="1"/>
  <c r="CO469" i="25"/>
  <c r="CP464" i="25"/>
  <c r="CQ464" i="25"/>
  <c r="CR464" i="25" s="1"/>
  <c r="CO464" i="25"/>
  <c r="CP448" i="25"/>
  <c r="CQ448" i="25"/>
  <c r="CR448" i="25" s="1"/>
  <c r="CO448" i="25"/>
  <c r="CP440" i="25"/>
  <c r="CQ440" i="25"/>
  <c r="CR440" i="25" s="1"/>
  <c r="CO440" i="25"/>
  <c r="CO432" i="25"/>
  <c r="CP432" i="25"/>
  <c r="CQ432" i="25"/>
  <c r="CR432" i="25" s="1"/>
  <c r="CP424" i="25"/>
  <c r="CO424" i="25"/>
  <c r="CQ424" i="25"/>
  <c r="CR424" i="25" s="1"/>
  <c r="CP416" i="25"/>
  <c r="CQ416" i="25"/>
  <c r="CR416" i="25" s="1"/>
  <c r="CO416" i="25"/>
  <c r="CP408" i="25"/>
  <c r="CQ408" i="25"/>
  <c r="CR408" i="25" s="1"/>
  <c r="CO408" i="25"/>
  <c r="CO400" i="25"/>
  <c r="CP400" i="25"/>
  <c r="CQ400" i="25"/>
  <c r="CR400" i="25" s="1"/>
  <c r="CP392" i="25"/>
  <c r="CO392" i="25"/>
  <c r="CQ392" i="25"/>
  <c r="CR392" i="25" s="1"/>
  <c r="CQ466" i="25"/>
  <c r="CR466" i="25" s="1"/>
  <c r="CQ433" i="25"/>
  <c r="CR433" i="25" s="1"/>
  <c r="CQ401" i="25"/>
  <c r="CR401" i="25" s="1"/>
  <c r="CP435" i="25"/>
  <c r="CP403" i="25"/>
  <c r="CQ476" i="25"/>
  <c r="CR476" i="25" s="1"/>
  <c r="CO476" i="25"/>
  <c r="CQ468" i="25"/>
  <c r="CR468" i="25" s="1"/>
  <c r="CO468" i="25"/>
  <c r="CQ462" i="25"/>
  <c r="CR462" i="25" s="1"/>
  <c r="CO462" i="25"/>
  <c r="CQ455" i="25"/>
  <c r="CR455" i="25" s="1"/>
  <c r="CO455" i="25"/>
  <c r="CQ447" i="25"/>
  <c r="CR447" i="25" s="1"/>
  <c r="CO447" i="25"/>
  <c r="CQ439" i="25"/>
  <c r="CR439" i="25" s="1"/>
  <c r="CO439" i="25"/>
  <c r="CQ431" i="25"/>
  <c r="CR431" i="25" s="1"/>
  <c r="CO423" i="25"/>
  <c r="CQ423" i="25"/>
  <c r="CR423" i="25" s="1"/>
  <c r="CQ415" i="25"/>
  <c r="CR415" i="25" s="1"/>
  <c r="CQ407" i="25"/>
  <c r="CR407" i="25" s="1"/>
  <c r="CO407" i="25"/>
  <c r="CQ399" i="25"/>
  <c r="CR399" i="25" s="1"/>
  <c r="CO391" i="25"/>
  <c r="CQ391" i="25"/>
  <c r="CR391" i="25" s="1"/>
  <c r="CQ458" i="25"/>
  <c r="CR458" i="25" s="1"/>
  <c r="CP462" i="25"/>
  <c r="CP431" i="25"/>
  <c r="CP399" i="25"/>
  <c r="CO466" i="25"/>
  <c r="CO431" i="25"/>
  <c r="CQ475" i="25"/>
  <c r="CR475" i="25" s="1"/>
  <c r="CO475" i="25"/>
  <c r="CP475" i="25"/>
  <c r="CQ467" i="25"/>
  <c r="CR467" i="25" s="1"/>
  <c r="CO467" i="25"/>
  <c r="CP467" i="25"/>
  <c r="CQ465" i="25"/>
  <c r="CR465" i="25" s="1"/>
  <c r="CO465" i="25"/>
  <c r="CP465" i="25"/>
  <c r="CQ454" i="25"/>
  <c r="CR454" i="25" s="1"/>
  <c r="CO454" i="25"/>
  <c r="CP454" i="25"/>
  <c r="CQ446" i="25"/>
  <c r="CR446" i="25" s="1"/>
  <c r="CO446" i="25"/>
  <c r="CP446" i="25"/>
  <c r="CO438" i="25"/>
  <c r="CQ438" i="25"/>
  <c r="CR438" i="25" s="1"/>
  <c r="CP438" i="25"/>
  <c r="CO430" i="25"/>
  <c r="CQ430" i="25"/>
  <c r="CR430" i="25" s="1"/>
  <c r="CP430" i="25"/>
  <c r="CO422" i="25"/>
  <c r="CQ422" i="25"/>
  <c r="CR422" i="25" s="1"/>
  <c r="CP422" i="25"/>
  <c r="CO414" i="25"/>
  <c r="CQ414" i="25"/>
  <c r="CR414" i="25" s="1"/>
  <c r="CP414" i="25"/>
  <c r="CO406" i="25"/>
  <c r="CQ406" i="25"/>
  <c r="CR406" i="25" s="1"/>
  <c r="CP406" i="25"/>
  <c r="CO398" i="25"/>
  <c r="CQ398" i="25"/>
  <c r="CR398" i="25" s="1"/>
  <c r="CP398" i="25"/>
  <c r="CA390" i="25"/>
  <c r="CO390" i="25"/>
  <c r="CQ390" i="25"/>
  <c r="CR390" i="25" s="1"/>
  <c r="CP390" i="25"/>
  <c r="CQ456" i="25"/>
  <c r="CR456" i="25" s="1"/>
  <c r="CQ425" i="25"/>
  <c r="CR425" i="25" s="1"/>
  <c r="CQ393" i="25"/>
  <c r="CR393" i="25" s="1"/>
  <c r="CP463" i="25"/>
  <c r="CP427" i="25"/>
  <c r="CP395" i="25"/>
  <c r="CO426" i="25"/>
  <c r="CP482" i="25"/>
  <c r="CP474" i="25"/>
  <c r="CP460" i="25"/>
  <c r="CP458" i="25"/>
  <c r="CP453" i="25"/>
  <c r="CP445" i="25"/>
  <c r="CO437" i="25"/>
  <c r="CP437" i="25"/>
  <c r="CP429" i="25"/>
  <c r="CO429" i="25"/>
  <c r="CO421" i="25"/>
  <c r="CP421" i="25"/>
  <c r="CO413" i="25"/>
  <c r="CP413" i="25"/>
  <c r="CA405" i="25"/>
  <c r="CB405" i="25" s="1"/>
  <c r="CO405" i="25"/>
  <c r="CP405" i="25"/>
  <c r="CP397" i="25"/>
  <c r="CO397" i="25"/>
  <c r="CQ482" i="25"/>
  <c r="CR482" i="25" s="1"/>
  <c r="CQ453" i="25"/>
  <c r="CR453" i="25" s="1"/>
  <c r="CQ421" i="25"/>
  <c r="CR421" i="25" s="1"/>
  <c r="CP455" i="25"/>
  <c r="CP423" i="25"/>
  <c r="CP391" i="25"/>
  <c r="CO456" i="25"/>
  <c r="CD469" i="25"/>
  <c r="CD477" i="25"/>
  <c r="CD479" i="25"/>
  <c r="CD471" i="25"/>
  <c r="CD450" i="25"/>
  <c r="CD442" i="25"/>
  <c r="CD418" i="25"/>
  <c r="CD410" i="25"/>
  <c r="CD402" i="25"/>
  <c r="CD394" i="25"/>
  <c r="CD482" i="25"/>
  <c r="CD474" i="25"/>
  <c r="CD460" i="25"/>
  <c r="CD458" i="25"/>
  <c r="CD453" i="25"/>
  <c r="CD445" i="25"/>
  <c r="CD437" i="25"/>
  <c r="CD429" i="25"/>
  <c r="CD421" i="25"/>
  <c r="CD413" i="25"/>
  <c r="CD405" i="25"/>
  <c r="CD397" i="25"/>
  <c r="CD435" i="25"/>
  <c r="CA442" i="25" l="1"/>
  <c r="CE442" i="25" s="1"/>
  <c r="CH442" i="25" s="1"/>
  <c r="CI442" i="25" s="1"/>
  <c r="CA457" i="25"/>
  <c r="CB457" i="25" s="1"/>
  <c r="CF457" i="25" s="1"/>
  <c r="CG457" i="25" s="1"/>
  <c r="CJ457" i="25" s="1"/>
  <c r="CA407" i="25"/>
  <c r="CE407" i="25" s="1"/>
  <c r="CH407" i="25" s="1"/>
  <c r="CI407" i="25" s="1"/>
  <c r="CE181" i="25"/>
  <c r="CH181" i="25" s="1"/>
  <c r="CI181" i="25" s="1"/>
  <c r="CE411" i="25"/>
  <c r="CH411" i="25" s="1"/>
  <c r="CI411" i="25" s="1"/>
  <c r="CE451" i="25"/>
  <c r="CH451" i="25" s="1"/>
  <c r="CI451" i="25" s="1"/>
  <c r="CE472" i="25"/>
  <c r="CH472" i="25" s="1"/>
  <c r="CI472" i="25" s="1"/>
  <c r="CE471" i="25"/>
  <c r="CH471" i="25" s="1"/>
  <c r="CI471" i="25" s="1"/>
  <c r="CE463" i="25"/>
  <c r="CH463" i="25" s="1"/>
  <c r="CI463" i="25" s="1"/>
  <c r="CE426" i="25"/>
  <c r="CH426" i="25" s="1"/>
  <c r="CI426" i="25" s="1"/>
  <c r="CB480" i="25"/>
  <c r="CF480" i="25" s="1"/>
  <c r="CG480" i="25" s="1"/>
  <c r="CJ480" i="25" s="1"/>
  <c r="CE480" i="25"/>
  <c r="CH480" i="25" s="1"/>
  <c r="CI480" i="25" s="1"/>
  <c r="CB469" i="25"/>
  <c r="CF469" i="25" s="1"/>
  <c r="CG469" i="25" s="1"/>
  <c r="CJ469" i="25" s="1"/>
  <c r="CE469" i="25"/>
  <c r="CH469" i="25" s="1"/>
  <c r="CI469" i="25" s="1"/>
  <c r="CE419" i="25"/>
  <c r="CH419" i="25" s="1"/>
  <c r="CI419" i="25" s="1"/>
  <c r="CE395" i="25"/>
  <c r="CH395" i="25" s="1"/>
  <c r="CI395" i="25" s="1"/>
  <c r="CE394" i="25"/>
  <c r="CH394" i="25" s="1"/>
  <c r="CI394" i="25" s="1"/>
  <c r="CE403" i="25"/>
  <c r="CH403" i="25" s="1"/>
  <c r="CI403" i="25" s="1"/>
  <c r="CE445" i="25"/>
  <c r="CH445" i="25" s="1"/>
  <c r="CI445" i="25" s="1"/>
  <c r="CE410" i="25"/>
  <c r="CH410" i="25" s="1"/>
  <c r="CI410" i="25" s="1"/>
  <c r="CE435" i="25"/>
  <c r="CH435" i="25" s="1"/>
  <c r="CI435" i="25" s="1"/>
  <c r="CE427" i="25"/>
  <c r="CH427" i="25" s="1"/>
  <c r="CI427" i="25" s="1"/>
  <c r="CE402" i="25"/>
  <c r="CH402" i="25" s="1"/>
  <c r="CI402" i="25" s="1"/>
  <c r="CE421" i="25"/>
  <c r="CH421" i="25" s="1"/>
  <c r="CI421" i="25" s="1"/>
  <c r="CE474" i="25"/>
  <c r="CH474" i="25" s="1"/>
  <c r="CI474" i="25" s="1"/>
  <c r="CE413" i="25"/>
  <c r="CH413" i="25" s="1"/>
  <c r="CI413" i="25" s="1"/>
  <c r="CE482" i="25"/>
  <c r="CH482" i="25" s="1"/>
  <c r="CI482" i="25" s="1"/>
  <c r="CE405" i="25"/>
  <c r="CH405" i="25" s="1"/>
  <c r="CI405" i="25" s="1"/>
  <c r="CF460" i="25"/>
  <c r="CG460" i="25" s="1"/>
  <c r="CJ460" i="25" s="1"/>
  <c r="CE458" i="25"/>
  <c r="CH458" i="25" s="1"/>
  <c r="CI458" i="25" s="1"/>
  <c r="CF437" i="25"/>
  <c r="CG437" i="25" s="1"/>
  <c r="CJ437" i="25" s="1"/>
  <c r="CF477" i="25"/>
  <c r="CG477" i="25" s="1"/>
  <c r="CJ477" i="25" s="1"/>
  <c r="CF450" i="25"/>
  <c r="CG450" i="25" s="1"/>
  <c r="CJ450" i="25" s="1"/>
  <c r="CF479" i="25"/>
  <c r="CG479" i="25" s="1"/>
  <c r="CJ479" i="25" s="1"/>
  <c r="CE429" i="25"/>
  <c r="CH429" i="25" s="1"/>
  <c r="CI429" i="25" s="1"/>
  <c r="CE397" i="25"/>
  <c r="CH397" i="25" s="1"/>
  <c r="CI397" i="25" s="1"/>
  <c r="CF405" i="25"/>
  <c r="CG405" i="25" s="1"/>
  <c r="CJ405" i="25" s="1"/>
  <c r="CE453" i="25"/>
  <c r="CH453" i="25" s="1"/>
  <c r="CI453" i="25" s="1"/>
  <c r="CE418" i="25"/>
  <c r="CH418" i="25" s="1"/>
  <c r="CI418" i="25" s="1"/>
  <c r="CE415" i="25"/>
  <c r="CH415" i="25" s="1"/>
  <c r="CI415" i="25" s="1"/>
  <c r="CB415" i="25"/>
  <c r="CF415" i="25" s="1"/>
  <c r="CG415" i="25" s="1"/>
  <c r="CJ415" i="25" s="1"/>
  <c r="CE434" i="25"/>
  <c r="CH434" i="25" s="1"/>
  <c r="CI434" i="25" s="1"/>
  <c r="CF397" i="25"/>
  <c r="CG397" i="25" s="1"/>
  <c r="CJ397" i="25" s="1"/>
  <c r="CB430" i="25"/>
  <c r="CF430" i="25" s="1"/>
  <c r="CG430" i="25" s="1"/>
  <c r="CJ430" i="25" s="1"/>
  <c r="CE430" i="25"/>
  <c r="CH430" i="25" s="1"/>
  <c r="CI430" i="25" s="1"/>
  <c r="CB446" i="25"/>
  <c r="CF446" i="25" s="1"/>
  <c r="CG446" i="25" s="1"/>
  <c r="CJ446" i="25" s="1"/>
  <c r="CE446" i="25"/>
  <c r="CH446" i="25" s="1"/>
  <c r="CI446" i="25" s="1"/>
  <c r="CB391" i="25"/>
  <c r="CF391" i="25" s="1"/>
  <c r="CG391" i="25" s="1"/>
  <c r="CJ391" i="25" s="1"/>
  <c r="CE391" i="25"/>
  <c r="CH391" i="25" s="1"/>
  <c r="CI391" i="25" s="1"/>
  <c r="CB423" i="25"/>
  <c r="CF423" i="25" s="1"/>
  <c r="CG423" i="25" s="1"/>
  <c r="CJ423" i="25" s="1"/>
  <c r="CE423" i="25"/>
  <c r="CH423" i="25" s="1"/>
  <c r="CI423" i="25" s="1"/>
  <c r="CB462" i="25"/>
  <c r="CF462" i="25" s="1"/>
  <c r="CG462" i="25" s="1"/>
  <c r="CJ462" i="25" s="1"/>
  <c r="CE462" i="25"/>
  <c r="CH462" i="25" s="1"/>
  <c r="CI462" i="25" s="1"/>
  <c r="CB456" i="25"/>
  <c r="CF456" i="25" s="1"/>
  <c r="CG456" i="25" s="1"/>
  <c r="CJ456" i="25" s="1"/>
  <c r="CE456" i="25"/>
  <c r="CH456" i="25" s="1"/>
  <c r="CI456" i="25" s="1"/>
  <c r="CF418" i="25"/>
  <c r="CG418" i="25" s="1"/>
  <c r="CJ418" i="25" s="1"/>
  <c r="CB449" i="25"/>
  <c r="CF449" i="25" s="1"/>
  <c r="CG449" i="25" s="1"/>
  <c r="CJ449" i="25" s="1"/>
  <c r="CE449" i="25"/>
  <c r="CH449" i="25" s="1"/>
  <c r="CI449" i="25" s="1"/>
  <c r="CB439" i="25"/>
  <c r="CF439" i="25" s="1"/>
  <c r="CG439" i="25" s="1"/>
  <c r="CJ439" i="25" s="1"/>
  <c r="CE439" i="25"/>
  <c r="CH439" i="25" s="1"/>
  <c r="CI439" i="25" s="1"/>
  <c r="CB416" i="25"/>
  <c r="CF416" i="25" s="1"/>
  <c r="CG416" i="25" s="1"/>
  <c r="CJ416" i="25" s="1"/>
  <c r="CE416" i="25"/>
  <c r="CH416" i="25" s="1"/>
  <c r="CI416" i="25" s="1"/>
  <c r="CE437" i="25"/>
  <c r="CH437" i="25" s="1"/>
  <c r="CI437" i="25" s="1"/>
  <c r="CE460" i="25"/>
  <c r="CH460" i="25" s="1"/>
  <c r="CI460" i="25" s="1"/>
  <c r="CF421" i="25"/>
  <c r="CG421" i="25" s="1"/>
  <c r="CJ421" i="25" s="1"/>
  <c r="CF445" i="25"/>
  <c r="CG445" i="25" s="1"/>
  <c r="CJ445" i="25" s="1"/>
  <c r="CF474" i="25"/>
  <c r="CG474" i="25" s="1"/>
  <c r="CJ474" i="25" s="1"/>
  <c r="CB425" i="25"/>
  <c r="CF425" i="25" s="1"/>
  <c r="CG425" i="25" s="1"/>
  <c r="CJ425" i="25" s="1"/>
  <c r="CE425" i="25"/>
  <c r="CH425" i="25" s="1"/>
  <c r="CI425" i="25" s="1"/>
  <c r="CF402" i="25"/>
  <c r="CG402" i="25" s="1"/>
  <c r="CJ402" i="25" s="1"/>
  <c r="CE443" i="25"/>
  <c r="CH443" i="25" s="1"/>
  <c r="CI443" i="25" s="1"/>
  <c r="CE479" i="25"/>
  <c r="CH479" i="25" s="1"/>
  <c r="CI479" i="25" s="1"/>
  <c r="CB398" i="25"/>
  <c r="CF398" i="25" s="1"/>
  <c r="CG398" i="25" s="1"/>
  <c r="CJ398" i="25" s="1"/>
  <c r="CE398" i="25"/>
  <c r="CH398" i="25" s="1"/>
  <c r="CI398" i="25" s="1"/>
  <c r="CB414" i="25"/>
  <c r="CF414" i="25" s="1"/>
  <c r="CG414" i="25" s="1"/>
  <c r="CJ414" i="25" s="1"/>
  <c r="CE414" i="25"/>
  <c r="CH414" i="25" s="1"/>
  <c r="CI414" i="25" s="1"/>
  <c r="CB465" i="25"/>
  <c r="CF465" i="25" s="1"/>
  <c r="CG465" i="25" s="1"/>
  <c r="CJ465" i="25" s="1"/>
  <c r="CE465" i="25"/>
  <c r="CH465" i="25" s="1"/>
  <c r="CI465" i="25" s="1"/>
  <c r="CB475" i="25"/>
  <c r="CF475" i="25" s="1"/>
  <c r="CG475" i="25" s="1"/>
  <c r="CJ475" i="25" s="1"/>
  <c r="CE475" i="25"/>
  <c r="CH475" i="25" s="1"/>
  <c r="CI475" i="25" s="1"/>
  <c r="CB399" i="25"/>
  <c r="CF399" i="25" s="1"/>
  <c r="CG399" i="25" s="1"/>
  <c r="CJ399" i="25" s="1"/>
  <c r="CE399" i="25"/>
  <c r="CH399" i="25" s="1"/>
  <c r="CI399" i="25" s="1"/>
  <c r="CE447" i="25"/>
  <c r="CH447" i="25" s="1"/>
  <c r="CI447" i="25" s="1"/>
  <c r="CB447" i="25"/>
  <c r="CF447" i="25" s="1"/>
  <c r="CG447" i="25" s="1"/>
  <c r="CJ447" i="25" s="1"/>
  <c r="CB409" i="25"/>
  <c r="CF409" i="25" s="1"/>
  <c r="CG409" i="25" s="1"/>
  <c r="CJ409" i="25" s="1"/>
  <c r="CE409" i="25"/>
  <c r="CH409" i="25" s="1"/>
  <c r="CI409" i="25" s="1"/>
  <c r="CB466" i="25"/>
  <c r="CF466" i="25" s="1"/>
  <c r="CG466" i="25" s="1"/>
  <c r="CJ466" i="25" s="1"/>
  <c r="CE466" i="25"/>
  <c r="CH466" i="25" s="1"/>
  <c r="CI466" i="25" s="1"/>
  <c r="CE396" i="25"/>
  <c r="CH396" i="25" s="1"/>
  <c r="CI396" i="25" s="1"/>
  <c r="CB396" i="25"/>
  <c r="CF396" i="25" s="1"/>
  <c r="CG396" i="25" s="1"/>
  <c r="CJ396" i="25" s="1"/>
  <c r="CB481" i="25"/>
  <c r="CF481" i="25" s="1"/>
  <c r="CG481" i="25" s="1"/>
  <c r="CJ481" i="25" s="1"/>
  <c r="CE481" i="25"/>
  <c r="CH481" i="25" s="1"/>
  <c r="CI481" i="25" s="1"/>
  <c r="CE473" i="25"/>
  <c r="CH473" i="25" s="1"/>
  <c r="CI473" i="25" s="1"/>
  <c r="CB473" i="25"/>
  <c r="CF473" i="25" s="1"/>
  <c r="CG473" i="25" s="1"/>
  <c r="CJ473" i="25" s="1"/>
  <c r="CE461" i="25"/>
  <c r="CH461" i="25" s="1"/>
  <c r="CI461" i="25" s="1"/>
  <c r="CB461" i="25"/>
  <c r="CF461" i="25" s="1"/>
  <c r="CG461" i="25" s="1"/>
  <c r="CJ461" i="25" s="1"/>
  <c r="CB420" i="25"/>
  <c r="CF420" i="25" s="1"/>
  <c r="CG420" i="25" s="1"/>
  <c r="CJ420" i="25" s="1"/>
  <c r="CE420" i="25"/>
  <c r="CH420" i="25" s="1"/>
  <c r="CI420" i="25" s="1"/>
  <c r="CE404" i="25"/>
  <c r="CH404" i="25" s="1"/>
  <c r="CI404" i="25" s="1"/>
  <c r="CB404" i="25"/>
  <c r="CF404" i="25" s="1"/>
  <c r="CG404" i="25" s="1"/>
  <c r="CJ404" i="25" s="1"/>
  <c r="CB400" i="25"/>
  <c r="CF400" i="25" s="1"/>
  <c r="CG400" i="25" s="1"/>
  <c r="CJ400" i="25" s="1"/>
  <c r="CE400" i="25"/>
  <c r="CH400" i="25" s="1"/>
  <c r="CI400" i="25" s="1"/>
  <c r="CB464" i="25"/>
  <c r="CF464" i="25" s="1"/>
  <c r="CG464" i="25" s="1"/>
  <c r="CJ464" i="25" s="1"/>
  <c r="CE464" i="25"/>
  <c r="CH464" i="25" s="1"/>
  <c r="CI464" i="25" s="1"/>
  <c r="CE477" i="25"/>
  <c r="CH477" i="25" s="1"/>
  <c r="CI477" i="25" s="1"/>
  <c r="CF453" i="25"/>
  <c r="CG453" i="25" s="1"/>
  <c r="CJ453" i="25" s="1"/>
  <c r="CF482" i="25"/>
  <c r="CG482" i="25" s="1"/>
  <c r="CJ482" i="25" s="1"/>
  <c r="CE468" i="25"/>
  <c r="CH468" i="25" s="1"/>
  <c r="CI468" i="25" s="1"/>
  <c r="CB468" i="25"/>
  <c r="CF468" i="25" s="1"/>
  <c r="CG468" i="25" s="1"/>
  <c r="CJ468" i="25" s="1"/>
  <c r="CB392" i="25"/>
  <c r="CF392" i="25" s="1"/>
  <c r="CG392" i="25" s="1"/>
  <c r="CJ392" i="25" s="1"/>
  <c r="CE392" i="25"/>
  <c r="CH392" i="25" s="1"/>
  <c r="CI392" i="25" s="1"/>
  <c r="CB408" i="25"/>
  <c r="CF408" i="25" s="1"/>
  <c r="CG408" i="25" s="1"/>
  <c r="CJ408" i="25" s="1"/>
  <c r="CE408" i="25"/>
  <c r="CH408" i="25" s="1"/>
  <c r="CI408" i="25" s="1"/>
  <c r="CB424" i="25"/>
  <c r="CF424" i="25" s="1"/>
  <c r="CG424" i="25" s="1"/>
  <c r="CJ424" i="25" s="1"/>
  <c r="CE424" i="25"/>
  <c r="CH424" i="25" s="1"/>
  <c r="CI424" i="25" s="1"/>
  <c r="CB440" i="25"/>
  <c r="CF440" i="25" s="1"/>
  <c r="CG440" i="25" s="1"/>
  <c r="CJ440" i="25" s="1"/>
  <c r="CE440" i="25"/>
  <c r="CH440" i="25" s="1"/>
  <c r="CI440" i="25" s="1"/>
  <c r="CB393" i="25"/>
  <c r="CF393" i="25" s="1"/>
  <c r="CG393" i="25" s="1"/>
  <c r="CJ393" i="25" s="1"/>
  <c r="CE393" i="25"/>
  <c r="CH393" i="25" s="1"/>
  <c r="CI393" i="25" s="1"/>
  <c r="CB433" i="25"/>
  <c r="CF433" i="25" s="1"/>
  <c r="CG433" i="25" s="1"/>
  <c r="CJ433" i="25" s="1"/>
  <c r="CE433" i="25"/>
  <c r="CH433" i="25" s="1"/>
  <c r="CI433" i="25" s="1"/>
  <c r="CF471" i="25"/>
  <c r="CG471" i="25" s="1"/>
  <c r="CJ471" i="25" s="1"/>
  <c r="CB432" i="25"/>
  <c r="CF432" i="25" s="1"/>
  <c r="CG432" i="25" s="1"/>
  <c r="CJ432" i="25" s="1"/>
  <c r="CE432" i="25"/>
  <c r="CH432" i="25" s="1"/>
  <c r="CI432" i="25" s="1"/>
  <c r="CE450" i="25"/>
  <c r="CH450" i="25" s="1"/>
  <c r="CI450" i="25" s="1"/>
  <c r="CF429" i="25"/>
  <c r="CG429" i="25" s="1"/>
  <c r="CJ429" i="25" s="1"/>
  <c r="CE431" i="25"/>
  <c r="CH431" i="25" s="1"/>
  <c r="CI431" i="25" s="1"/>
  <c r="CB431" i="25"/>
  <c r="CF431" i="25" s="1"/>
  <c r="CG431" i="25" s="1"/>
  <c r="CJ431" i="25" s="1"/>
  <c r="CB470" i="25"/>
  <c r="CF470" i="25" s="1"/>
  <c r="CG470" i="25" s="1"/>
  <c r="CJ470" i="25" s="1"/>
  <c r="CE470" i="25"/>
  <c r="CH470" i="25" s="1"/>
  <c r="CI470" i="25" s="1"/>
  <c r="CF410" i="25"/>
  <c r="CG410" i="25" s="1"/>
  <c r="CJ410" i="25" s="1"/>
  <c r="CF435" i="25"/>
  <c r="CG435" i="25" s="1"/>
  <c r="CJ435" i="25" s="1"/>
  <c r="CB448" i="25"/>
  <c r="CF448" i="25" s="1"/>
  <c r="CG448" i="25" s="1"/>
  <c r="CJ448" i="25" s="1"/>
  <c r="CE448" i="25"/>
  <c r="CH448" i="25" s="1"/>
  <c r="CI448" i="25" s="1"/>
  <c r="CF458" i="25"/>
  <c r="CG458" i="25" s="1"/>
  <c r="CJ458" i="25" s="1"/>
  <c r="CB422" i="25"/>
  <c r="CF422" i="25" s="1"/>
  <c r="CG422" i="25" s="1"/>
  <c r="CJ422" i="25" s="1"/>
  <c r="CE422" i="25"/>
  <c r="CH422" i="25" s="1"/>
  <c r="CI422" i="25" s="1"/>
  <c r="CB455" i="25"/>
  <c r="CF455" i="25" s="1"/>
  <c r="CG455" i="25" s="1"/>
  <c r="CJ455" i="25" s="1"/>
  <c r="CE455" i="25"/>
  <c r="CH455" i="25" s="1"/>
  <c r="CI455" i="25" s="1"/>
  <c r="CB417" i="25"/>
  <c r="CF417" i="25" s="1"/>
  <c r="CG417" i="25" s="1"/>
  <c r="CJ417" i="25" s="1"/>
  <c r="CE417" i="25"/>
  <c r="CH417" i="25" s="1"/>
  <c r="CI417" i="25" s="1"/>
  <c r="CF394" i="25"/>
  <c r="CG394" i="25" s="1"/>
  <c r="CJ394" i="25" s="1"/>
  <c r="CF413" i="25"/>
  <c r="CG413" i="25" s="1"/>
  <c r="CJ413" i="25" s="1"/>
  <c r="CB390" i="25"/>
  <c r="CF390" i="25" s="1"/>
  <c r="CG390" i="25" s="1"/>
  <c r="CJ390" i="25" s="1"/>
  <c r="CE390" i="25"/>
  <c r="CH390" i="25" s="1"/>
  <c r="CI390" i="25" s="1"/>
  <c r="CB406" i="25"/>
  <c r="CF406" i="25" s="1"/>
  <c r="CG406" i="25" s="1"/>
  <c r="CJ406" i="25" s="1"/>
  <c r="CE406" i="25"/>
  <c r="CH406" i="25" s="1"/>
  <c r="CI406" i="25" s="1"/>
  <c r="CB438" i="25"/>
  <c r="CF438" i="25" s="1"/>
  <c r="CG438" i="25" s="1"/>
  <c r="CJ438" i="25" s="1"/>
  <c r="CE438" i="25"/>
  <c r="CH438" i="25" s="1"/>
  <c r="CI438" i="25" s="1"/>
  <c r="CB454" i="25"/>
  <c r="CF454" i="25" s="1"/>
  <c r="CG454" i="25" s="1"/>
  <c r="CJ454" i="25" s="1"/>
  <c r="CE454" i="25"/>
  <c r="CH454" i="25" s="1"/>
  <c r="CI454" i="25" s="1"/>
  <c r="CB467" i="25"/>
  <c r="CF467" i="25" s="1"/>
  <c r="CG467" i="25" s="1"/>
  <c r="CJ467" i="25" s="1"/>
  <c r="CE467" i="25"/>
  <c r="CH467" i="25" s="1"/>
  <c r="CI467" i="25" s="1"/>
  <c r="CB476" i="25"/>
  <c r="CF476" i="25" s="1"/>
  <c r="CG476" i="25" s="1"/>
  <c r="CJ476" i="25" s="1"/>
  <c r="CE476" i="25"/>
  <c r="CH476" i="25" s="1"/>
  <c r="CI476" i="25" s="1"/>
  <c r="CB401" i="25"/>
  <c r="CF401" i="25" s="1"/>
  <c r="CG401" i="25" s="1"/>
  <c r="CJ401" i="25" s="1"/>
  <c r="CE401" i="25"/>
  <c r="CH401" i="25" s="1"/>
  <c r="CI401" i="25" s="1"/>
  <c r="CB441" i="25"/>
  <c r="CF441" i="25" s="1"/>
  <c r="CG441" i="25" s="1"/>
  <c r="CJ441" i="25" s="1"/>
  <c r="CE441" i="25"/>
  <c r="CH441" i="25" s="1"/>
  <c r="CI441" i="25" s="1"/>
  <c r="CB478" i="25"/>
  <c r="CF478" i="25" s="1"/>
  <c r="CG478" i="25" s="1"/>
  <c r="CJ478" i="25" s="1"/>
  <c r="CE478" i="25"/>
  <c r="CH478" i="25" s="1"/>
  <c r="CI478" i="25" s="1"/>
  <c r="CB444" i="25"/>
  <c r="CF444" i="25" s="1"/>
  <c r="CG444" i="25" s="1"/>
  <c r="CJ444" i="25" s="1"/>
  <c r="CE444" i="25"/>
  <c r="CH444" i="25" s="1"/>
  <c r="CI444" i="25" s="1"/>
  <c r="CB428" i="25"/>
  <c r="CF428" i="25" s="1"/>
  <c r="CG428" i="25" s="1"/>
  <c r="CJ428" i="25" s="1"/>
  <c r="CE428" i="25"/>
  <c r="CH428" i="25" s="1"/>
  <c r="CI428" i="25" s="1"/>
  <c r="CE412" i="25"/>
  <c r="CH412" i="25" s="1"/>
  <c r="CI412" i="25" s="1"/>
  <c r="CB412" i="25"/>
  <c r="CF412" i="25" s="1"/>
  <c r="CG412" i="25" s="1"/>
  <c r="CJ412" i="25" s="1"/>
  <c r="CB436" i="25"/>
  <c r="CF436" i="25" s="1"/>
  <c r="CG436" i="25" s="1"/>
  <c r="CJ436" i="25" s="1"/>
  <c r="CE436" i="25"/>
  <c r="CH436" i="25" s="1"/>
  <c r="CI436" i="25" s="1"/>
  <c r="CB452" i="25"/>
  <c r="CF452" i="25" s="1"/>
  <c r="CG452" i="25" s="1"/>
  <c r="CJ452" i="25" s="1"/>
  <c r="CE452" i="25"/>
  <c r="CH452" i="25" s="1"/>
  <c r="CI452" i="25" s="1"/>
  <c r="CB442" i="25" l="1"/>
  <c r="CF442" i="25" s="1"/>
  <c r="CG442" i="25" s="1"/>
  <c r="CJ442" i="25" s="1"/>
  <c r="CE457" i="25"/>
  <c r="CH457" i="25" s="1"/>
  <c r="CI457" i="25" s="1"/>
  <c r="CB407" i="25"/>
  <c r="CF407" i="25" s="1"/>
  <c r="CG407" i="25" s="1"/>
  <c r="CJ407" i="25" s="1"/>
  <c r="G333" i="25" l="1"/>
  <c r="BQ333" i="25"/>
  <c r="BR333" i="25"/>
  <c r="BT333" i="25"/>
  <c r="BU333" i="25"/>
  <c r="BV333" i="25"/>
  <c r="BW333" i="25"/>
  <c r="BX333" i="25"/>
  <c r="CC333" i="25"/>
  <c r="CD333" i="25" s="1"/>
  <c r="CK333" i="25"/>
  <c r="CL333" i="25"/>
  <c r="CT333" i="25"/>
  <c r="CU333" i="25"/>
  <c r="CV333" i="25"/>
  <c r="CW333" i="25"/>
  <c r="DC333" i="25"/>
  <c r="DD333" i="25"/>
  <c r="DE333" i="25"/>
  <c r="DH333" i="25" s="1"/>
  <c r="DF333" i="25"/>
  <c r="DG333" i="25"/>
  <c r="DI333" i="25"/>
  <c r="DJ333" i="25"/>
  <c r="DK333" i="25"/>
  <c r="DL333" i="25"/>
  <c r="CO333" i="25" s="1"/>
  <c r="DM333" i="25"/>
  <c r="DN333" i="25"/>
  <c r="DO333" i="25"/>
  <c r="DP333" i="25"/>
  <c r="DQ333" i="25"/>
  <c r="DR333" i="25"/>
  <c r="BS333" i="25" l="1"/>
  <c r="CX333" i="25"/>
  <c r="CY333" i="25" s="1"/>
  <c r="CZ333" i="25" s="1"/>
  <c r="DA333" i="25" s="1"/>
  <c r="BY333" i="25"/>
  <c r="BZ333" i="25"/>
  <c r="CA333" i="25" s="1"/>
  <c r="CN333" i="25"/>
  <c r="CM333" i="25"/>
  <c r="CS333" i="25" s="1"/>
  <c r="DB333" i="25"/>
  <c r="CQ333" i="25"/>
  <c r="CR333" i="25" s="1"/>
  <c r="CP333" i="25"/>
  <c r="J257" i="92"/>
  <c r="B271" i="92"/>
  <c r="C271" i="92"/>
  <c r="J258" i="92"/>
  <c r="CE333" i="25" l="1"/>
  <c r="CH333" i="25" s="1"/>
  <c r="CI333" i="25" s="1"/>
  <c r="CB333" i="25"/>
  <c r="CF333" i="25" s="1"/>
  <c r="CG333" i="25" s="1"/>
  <c r="CJ333" i="25" s="1"/>
  <c r="D271" i="92"/>
  <c r="E271" i="92" s="1"/>
  <c r="W131" i="89"/>
  <c r="W130" i="89"/>
  <c r="W129" i="89"/>
  <c r="DI8" i="25" l="1"/>
  <c r="DI9" i="25"/>
  <c r="DI10" i="25"/>
  <c r="DI11" i="25"/>
  <c r="DI12" i="25"/>
  <c r="DI13" i="25"/>
  <c r="DI14" i="25"/>
  <c r="DI15" i="25"/>
  <c r="DI16" i="25"/>
  <c r="DI17" i="25"/>
  <c r="DI18" i="25"/>
  <c r="DI19" i="25"/>
  <c r="DI20" i="25"/>
  <c r="DI21" i="25"/>
  <c r="DI22" i="25"/>
  <c r="DI23" i="25"/>
  <c r="DI24" i="25"/>
  <c r="DI25" i="25"/>
  <c r="DI26" i="25"/>
  <c r="DI27" i="25"/>
  <c r="DI28" i="25"/>
  <c r="DI29" i="25"/>
  <c r="DI30" i="25"/>
  <c r="DI31" i="25"/>
  <c r="DI32" i="25"/>
  <c r="DI33" i="25"/>
  <c r="DI34" i="25"/>
  <c r="DI35" i="25"/>
  <c r="DI36" i="25"/>
  <c r="DI37" i="25"/>
  <c r="DI38" i="25"/>
  <c r="DI39" i="25"/>
  <c r="DI40" i="25"/>
  <c r="DI41" i="25"/>
  <c r="DI42" i="25"/>
  <c r="DI43" i="25"/>
  <c r="DI44" i="25"/>
  <c r="DI45" i="25"/>
  <c r="DI46" i="25"/>
  <c r="DI47" i="25"/>
  <c r="DI48" i="25"/>
  <c r="DI49" i="25"/>
  <c r="DI50" i="25"/>
  <c r="DI51" i="25"/>
  <c r="DI52" i="25"/>
  <c r="DI53" i="25"/>
  <c r="DI54" i="25"/>
  <c r="DI55" i="25"/>
  <c r="DI56" i="25"/>
  <c r="DI57" i="25"/>
  <c r="DI58" i="25"/>
  <c r="DI59" i="25"/>
  <c r="DI60" i="25"/>
  <c r="DI61" i="25"/>
  <c r="DI62" i="25"/>
  <c r="DI63" i="25"/>
  <c r="DI64" i="25"/>
  <c r="DI65" i="25"/>
  <c r="DI66" i="25"/>
  <c r="DI67" i="25"/>
  <c r="DI68" i="25"/>
  <c r="DI69" i="25"/>
  <c r="DI70" i="25"/>
  <c r="DI71" i="25"/>
  <c r="DI72" i="25"/>
  <c r="DI73" i="25"/>
  <c r="DI74" i="25"/>
  <c r="DI75" i="25"/>
  <c r="DI76" i="25"/>
  <c r="DI77" i="25"/>
  <c r="DI78" i="25"/>
  <c r="DI79" i="25"/>
  <c r="DI80" i="25"/>
  <c r="DI81" i="25"/>
  <c r="DI82" i="25"/>
  <c r="DI83" i="25"/>
  <c r="DI84" i="25"/>
  <c r="DI85" i="25"/>
  <c r="DI86" i="25"/>
  <c r="DI87" i="25"/>
  <c r="DI88" i="25"/>
  <c r="DI89" i="25"/>
  <c r="DI90" i="25"/>
  <c r="DI91" i="25"/>
  <c r="DI92" i="25"/>
  <c r="DI93" i="25"/>
  <c r="DI94" i="25"/>
  <c r="DI95" i="25"/>
  <c r="DI96" i="25"/>
  <c r="DI97" i="25"/>
  <c r="DI98" i="25"/>
  <c r="DI99" i="25"/>
  <c r="DI100" i="25"/>
  <c r="DI101" i="25"/>
  <c r="DI102" i="25"/>
  <c r="DI103" i="25"/>
  <c r="DI104" i="25"/>
  <c r="DI105" i="25"/>
  <c r="DI106" i="25"/>
  <c r="DI107" i="25"/>
  <c r="DI108" i="25"/>
  <c r="DI109" i="25"/>
  <c r="DI110" i="25"/>
  <c r="DI111" i="25"/>
  <c r="DI112" i="25"/>
  <c r="DI113" i="25"/>
  <c r="DI114" i="25"/>
  <c r="DI115" i="25"/>
  <c r="DI116" i="25"/>
  <c r="DI117" i="25"/>
  <c r="DI118" i="25"/>
  <c r="DI119" i="25"/>
  <c r="DI120" i="25"/>
  <c r="DI121" i="25"/>
  <c r="DI122" i="25"/>
  <c r="DI123" i="25"/>
  <c r="DI124" i="25"/>
  <c r="DI125" i="25"/>
  <c r="DI126" i="25"/>
  <c r="DI127" i="25"/>
  <c r="DI128" i="25"/>
  <c r="DI129" i="25"/>
  <c r="DI130" i="25"/>
  <c r="DI131" i="25"/>
  <c r="DI132" i="25"/>
  <c r="DI133" i="25"/>
  <c r="DI134" i="25"/>
  <c r="DI135" i="25"/>
  <c r="DI136" i="25"/>
  <c r="DI137" i="25"/>
  <c r="DI138" i="25"/>
  <c r="DI139" i="25"/>
  <c r="DI140" i="25"/>
  <c r="DI141" i="25"/>
  <c r="DI142" i="25"/>
  <c r="DI143" i="25"/>
  <c r="DI144" i="25"/>
  <c r="DI145" i="25"/>
  <c r="DI146" i="25"/>
  <c r="DI147" i="25"/>
  <c r="DI148" i="25"/>
  <c r="DI149" i="25"/>
  <c r="DI150" i="25"/>
  <c r="DI151" i="25"/>
  <c r="DI152" i="25"/>
  <c r="DI153" i="25"/>
  <c r="DI154" i="25"/>
  <c r="DI155" i="25"/>
  <c r="DI156" i="25"/>
  <c r="DI157" i="25"/>
  <c r="DI158" i="25"/>
  <c r="DI159" i="25"/>
  <c r="DI160" i="25"/>
  <c r="DI161" i="25"/>
  <c r="DI162" i="25"/>
  <c r="DI163" i="25"/>
  <c r="DI164" i="25"/>
  <c r="DI165" i="25"/>
  <c r="DI166" i="25"/>
  <c r="DI167" i="25"/>
  <c r="DI168" i="25"/>
  <c r="DI205" i="25"/>
  <c r="DI170" i="25"/>
  <c r="DI207" i="25"/>
  <c r="DI208" i="25"/>
  <c r="DI179" i="25"/>
  <c r="DI173" i="25"/>
  <c r="DI184" i="25"/>
  <c r="DI192" i="25"/>
  <c r="DI185" i="25"/>
  <c r="DI188" i="25"/>
  <c r="DI187" i="25"/>
  <c r="DI180" i="25"/>
  <c r="DI175" i="25"/>
  <c r="DI174" i="25"/>
  <c r="DI177" i="25"/>
  <c r="DI178" i="25"/>
  <c r="DI190" i="25"/>
  <c r="DI176" i="25"/>
  <c r="DI191" i="25"/>
  <c r="DI183" i="25"/>
  <c r="DI459" i="25"/>
  <c r="DI189" i="25"/>
  <c r="DI182" i="25"/>
  <c r="DI186" i="25"/>
  <c r="DI193" i="25"/>
  <c r="DI194" i="25"/>
  <c r="DI195" i="25"/>
  <c r="DI196" i="25"/>
  <c r="DI197" i="25"/>
  <c r="DI198" i="25"/>
  <c r="DI199" i="25"/>
  <c r="DI200" i="25"/>
  <c r="DI201" i="25"/>
  <c r="DI202" i="25"/>
  <c r="DI169" i="25"/>
  <c r="DI210" i="25"/>
  <c r="DI211" i="25"/>
  <c r="DI209" i="25"/>
  <c r="DI204" i="25"/>
  <c r="DI344" i="25"/>
  <c r="DI172" i="25"/>
  <c r="DI212" i="25"/>
  <c r="DI203" i="25"/>
  <c r="DI171" i="25"/>
  <c r="DI213" i="25"/>
  <c r="DI214" i="25"/>
  <c r="DI215" i="25"/>
  <c r="DI216" i="25"/>
  <c r="DI217" i="25"/>
  <c r="DI218" i="25"/>
  <c r="DI219" i="25"/>
  <c r="DI220" i="25"/>
  <c r="DI221" i="25"/>
  <c r="DI222" i="25"/>
  <c r="DI223" i="25"/>
  <c r="DI224" i="25"/>
  <c r="DI225" i="25"/>
  <c r="DI226" i="25"/>
  <c r="DI227" i="25"/>
  <c r="DI228" i="25"/>
  <c r="DI229" i="25"/>
  <c r="DI230" i="25"/>
  <c r="DI231" i="25"/>
  <c r="DI232" i="25"/>
  <c r="DI233" i="25"/>
  <c r="DI234" i="25"/>
  <c r="DI235" i="25"/>
  <c r="DI236" i="25"/>
  <c r="DI237" i="25"/>
  <c r="DI238" i="25"/>
  <c r="DI239" i="25"/>
  <c r="DI240" i="25"/>
  <c r="DI241" i="25"/>
  <c r="DI242" i="25"/>
  <c r="DI243" i="25"/>
  <c r="DI244" i="25"/>
  <c r="DI245" i="25"/>
  <c r="DI246" i="25"/>
  <c r="DI247" i="25"/>
  <c r="DI248" i="25"/>
  <c r="DI249" i="25"/>
  <c r="DI250" i="25"/>
  <c r="DI251" i="25"/>
  <c r="DI252" i="25"/>
  <c r="DI253" i="25"/>
  <c r="DI254" i="25"/>
  <c r="DI255" i="25"/>
  <c r="DI256" i="25"/>
  <c r="DI257" i="25"/>
  <c r="DI258" i="25"/>
  <c r="DI259" i="25"/>
  <c r="DI260" i="25"/>
  <c r="DI261" i="25"/>
  <c r="DI262" i="25"/>
  <c r="DI263" i="25"/>
  <c r="DI264" i="25"/>
  <c r="DI265" i="25"/>
  <c r="DI266" i="25"/>
  <c r="DI267" i="25"/>
  <c r="DI268" i="25"/>
  <c r="DI269" i="25"/>
  <c r="DI270" i="25"/>
  <c r="DI271" i="25"/>
  <c r="DI272" i="25"/>
  <c r="DI273" i="25"/>
  <c r="DI274" i="25"/>
  <c r="DI275" i="25"/>
  <c r="DI276" i="25"/>
  <c r="DI277" i="25"/>
  <c r="DI278" i="25"/>
  <c r="DI279" i="25"/>
  <c r="DI280" i="25"/>
  <c r="DI281" i="25"/>
  <c r="DI282" i="25"/>
  <c r="DI283" i="25"/>
  <c r="DI284" i="25"/>
  <c r="DI285" i="25"/>
  <c r="DI286" i="25"/>
  <c r="DI287" i="25"/>
  <c r="DI288" i="25"/>
  <c r="DI289" i="25"/>
  <c r="DI290" i="25"/>
  <c r="DI291" i="25"/>
  <c r="DI292" i="25"/>
  <c r="DI293" i="25"/>
  <c r="DI294" i="25"/>
  <c r="DI295" i="25"/>
  <c r="DI296" i="25"/>
  <c r="DI297" i="25"/>
  <c r="DI298" i="25"/>
  <c r="DI299" i="25"/>
  <c r="DI300" i="25"/>
  <c r="DI301" i="25"/>
  <c r="DI302" i="25"/>
  <c r="DI303" i="25"/>
  <c r="DI304" i="25"/>
  <c r="DI305" i="25"/>
  <c r="DI306" i="25"/>
  <c r="DI307" i="25"/>
  <c r="DI308" i="25"/>
  <c r="DI309" i="25"/>
  <c r="DI310" i="25"/>
  <c r="DI311" i="25"/>
  <c r="DI312" i="25"/>
  <c r="DI313" i="25"/>
  <c r="DI314" i="25"/>
  <c r="DI315" i="25"/>
  <c r="DI316" i="25"/>
  <c r="DI317" i="25"/>
  <c r="DI318" i="25"/>
  <c r="DI319" i="25"/>
  <c r="DI320" i="25"/>
  <c r="DI321" i="25"/>
  <c r="DI322" i="25"/>
  <c r="DI323" i="25"/>
  <c r="DI324" i="25"/>
  <c r="DI325" i="25"/>
  <c r="DI326" i="25"/>
  <c r="DI327" i="25"/>
  <c r="DI328" i="25"/>
  <c r="DI329" i="25"/>
  <c r="DI330" i="25"/>
  <c r="DI331" i="25"/>
  <c r="DI332" i="25"/>
  <c r="DI334" i="25"/>
  <c r="DI335" i="25"/>
  <c r="DI336" i="25"/>
  <c r="DI337" i="25"/>
  <c r="DI338" i="25"/>
  <c r="DI339" i="25"/>
  <c r="DI340" i="25"/>
  <c r="DI341" i="25"/>
  <c r="DI342" i="25"/>
  <c r="DI343" i="25"/>
  <c r="DI206" i="25"/>
  <c r="DI345" i="25"/>
  <c r="DI346" i="25"/>
  <c r="DI347" i="25"/>
  <c r="DI348" i="25"/>
  <c r="DI349" i="25"/>
  <c r="DI350" i="25"/>
  <c r="DI351" i="25"/>
  <c r="DI352" i="25"/>
  <c r="DI353" i="25"/>
  <c r="DI354" i="25"/>
  <c r="DI355" i="25"/>
  <c r="DI356" i="25"/>
  <c r="DI357" i="25"/>
  <c r="DI358" i="25"/>
  <c r="DI359" i="25"/>
  <c r="DI360" i="25"/>
  <c r="DI361" i="25"/>
  <c r="DI362" i="25"/>
  <c r="DI363" i="25"/>
  <c r="DI364" i="25"/>
  <c r="DI365" i="25"/>
  <c r="DI366" i="25"/>
  <c r="DI367" i="25"/>
  <c r="DI368" i="25"/>
  <c r="DI369" i="25"/>
  <c r="DI370" i="25"/>
  <c r="DI371" i="25"/>
  <c r="DI372" i="25"/>
  <c r="DI373" i="25"/>
  <c r="DI374" i="25"/>
  <c r="DI375" i="25"/>
  <c r="DI376" i="25"/>
  <c r="DI377" i="25"/>
  <c r="DI378" i="25"/>
  <c r="DI379" i="25"/>
  <c r="DI380" i="25"/>
  <c r="DI381" i="25"/>
  <c r="DI382" i="25"/>
  <c r="DI383" i="25"/>
  <c r="DI384" i="25"/>
  <c r="DI385" i="25"/>
  <c r="DI386" i="25"/>
  <c r="DI387" i="25"/>
  <c r="DI388" i="25"/>
  <c r="DI389" i="25"/>
  <c r="DI505" i="25"/>
  <c r="DI506" i="25"/>
  <c r="DI507" i="25"/>
  <c r="DI508" i="25"/>
  <c r="DI509" i="25"/>
  <c r="DI510" i="25"/>
  <c r="DI511" i="25"/>
  <c r="DI512" i="25"/>
  <c r="DI513" i="25"/>
  <c r="DI514" i="25"/>
  <c r="DI515" i="25"/>
  <c r="DI516" i="25"/>
  <c r="DI517" i="25"/>
  <c r="DI518" i="25"/>
  <c r="DI519" i="25"/>
  <c r="DI520" i="25"/>
  <c r="DI521" i="25"/>
  <c r="DI522" i="25"/>
  <c r="DI523" i="25"/>
  <c r="DI524" i="25"/>
  <c r="DI525" i="25"/>
  <c r="DI526" i="25"/>
  <c r="DI527" i="25"/>
  <c r="DI528" i="25"/>
  <c r="DI529" i="25"/>
  <c r="DI530" i="25"/>
  <c r="DI531" i="25"/>
  <c r="DI532" i="25"/>
  <c r="DI533" i="25"/>
  <c r="DI534" i="25"/>
  <c r="DI535" i="25"/>
  <c r="DI536" i="25"/>
  <c r="DI537" i="25"/>
  <c r="DI538" i="25"/>
  <c r="DI539" i="25"/>
  <c r="DI540" i="25"/>
  <c r="DI541" i="25"/>
  <c r="DI542" i="25"/>
  <c r="DI543" i="25"/>
  <c r="DI544" i="25"/>
  <c r="D60" i="110" l="1"/>
  <c r="D56" i="110"/>
  <c r="D62" i="112"/>
  <c r="D61" i="111"/>
  <c r="H36" i="113"/>
  <c r="H35" i="113"/>
  <c r="H33" i="113"/>
  <c r="H32" i="113"/>
  <c r="H29" i="113"/>
  <c r="H23" i="113"/>
  <c r="H21" i="113"/>
  <c r="L20" i="113"/>
  <c r="H19" i="113"/>
  <c r="L18" i="113"/>
  <c r="L15" i="113"/>
  <c r="H15" i="113"/>
  <c r="L13" i="113"/>
  <c r="H12" i="113"/>
  <c r="H9" i="113"/>
  <c r="L8" i="113"/>
  <c r="L6" i="113"/>
  <c r="H6" i="113"/>
  <c r="W105" i="89"/>
  <c r="W103" i="89"/>
  <c r="W102" i="89"/>
  <c r="W101" i="89"/>
  <c r="P91" i="89"/>
  <c r="N91" i="89"/>
  <c r="L91" i="89"/>
  <c r="H91" i="89"/>
  <c r="F91" i="89"/>
  <c r="D91" i="89"/>
  <c r="P90" i="89"/>
  <c r="N90" i="89"/>
  <c r="L90" i="89"/>
  <c r="H90" i="89"/>
  <c r="F90" i="89"/>
  <c r="D90" i="89"/>
  <c r="P89" i="89"/>
  <c r="N89" i="89"/>
  <c r="L89" i="89"/>
  <c r="H89" i="89"/>
  <c r="F89" i="89"/>
  <c r="D89" i="89"/>
  <c r="DQ204" i="25"/>
  <c r="DR544" i="25"/>
  <c r="DQ544" i="25"/>
  <c r="DP544" i="25"/>
  <c r="DO544" i="25"/>
  <c r="DN544" i="25"/>
  <c r="DM544" i="25"/>
  <c r="DL544" i="25"/>
  <c r="CQ544" i="25" s="1"/>
  <c r="CR544" i="25" s="1"/>
  <c r="DK544" i="25"/>
  <c r="DJ544" i="25"/>
  <c r="DG544" i="25"/>
  <c r="DE544" i="25"/>
  <c r="DF544" i="25" s="1"/>
  <c r="DD544" i="25"/>
  <c r="DC544" i="25"/>
  <c r="CW544" i="25"/>
  <c r="CV544" i="25"/>
  <c r="CU544" i="25"/>
  <c r="CT544" i="25"/>
  <c r="CL544" i="25"/>
  <c r="CK544" i="25"/>
  <c r="CC544" i="25"/>
  <c r="CD544" i="25" s="1"/>
  <c r="BX544" i="25"/>
  <c r="BW544" i="25"/>
  <c r="BV544" i="25"/>
  <c r="BU544" i="25"/>
  <c r="BT544" i="25"/>
  <c r="BR544" i="25"/>
  <c r="BQ544" i="25"/>
  <c r="G544" i="25"/>
  <c r="DR543" i="25"/>
  <c r="DQ543" i="25"/>
  <c r="DP543" i="25"/>
  <c r="DO543" i="25"/>
  <c r="DN543" i="25"/>
  <c r="DM543" i="25"/>
  <c r="DL543" i="25"/>
  <c r="CO543" i="25" s="1"/>
  <c r="DK543" i="25"/>
  <c r="DJ543" i="25"/>
  <c r="DG543" i="25"/>
  <c r="DE543" i="25"/>
  <c r="DH543" i="25" s="1"/>
  <c r="DD543" i="25"/>
  <c r="DC543" i="25"/>
  <c r="CW543" i="25"/>
  <c r="CV543" i="25"/>
  <c r="CU543" i="25"/>
  <c r="DB543" i="25" s="1"/>
  <c r="CT543" i="25"/>
  <c r="CL543" i="25"/>
  <c r="CK543" i="25"/>
  <c r="CC543" i="25"/>
  <c r="BX543" i="25"/>
  <c r="BW543" i="25"/>
  <c r="BV543" i="25"/>
  <c r="BU543" i="25"/>
  <c r="BT543" i="25"/>
  <c r="BR543" i="25"/>
  <c r="BQ543" i="25"/>
  <c r="G543" i="25"/>
  <c r="DR542" i="25"/>
  <c r="DQ542" i="25"/>
  <c r="DP542" i="25"/>
  <c r="DO542" i="25"/>
  <c r="DN542" i="25"/>
  <c r="DM542" i="25"/>
  <c r="DL542" i="25"/>
  <c r="CP542" i="25" s="1"/>
  <c r="DK542" i="25"/>
  <c r="DJ542" i="25"/>
  <c r="DG542" i="25"/>
  <c r="DE542" i="25"/>
  <c r="DF542" i="25" s="1"/>
  <c r="DD542" i="25"/>
  <c r="DC542" i="25"/>
  <c r="CW542" i="25"/>
  <c r="CV542" i="25"/>
  <c r="CU542" i="25"/>
  <c r="CT542" i="25"/>
  <c r="CL542" i="25"/>
  <c r="CK542" i="25"/>
  <c r="CC542" i="25"/>
  <c r="BX542" i="25"/>
  <c r="BW542" i="25"/>
  <c r="BV542" i="25"/>
  <c r="BU542" i="25"/>
  <c r="BT542" i="25"/>
  <c r="BR542" i="25"/>
  <c r="BQ542" i="25"/>
  <c r="G542" i="25"/>
  <c r="DR541" i="25"/>
  <c r="DQ541" i="25"/>
  <c r="DP541" i="25"/>
  <c r="DO541" i="25"/>
  <c r="DN541" i="25"/>
  <c r="DM541" i="25"/>
  <c r="DL541" i="25"/>
  <c r="CO541" i="25" s="1"/>
  <c r="DK541" i="25"/>
  <c r="DJ541" i="25"/>
  <c r="DG541" i="25"/>
  <c r="DE541" i="25"/>
  <c r="DH541" i="25" s="1"/>
  <c r="DD541" i="25"/>
  <c r="DC541" i="25"/>
  <c r="CW541" i="25"/>
  <c r="CV541" i="25"/>
  <c r="CU541" i="25"/>
  <c r="DB541" i="25" s="1"/>
  <c r="CT541" i="25"/>
  <c r="CL541" i="25"/>
  <c r="CK541" i="25"/>
  <c r="CC541" i="25"/>
  <c r="CD541" i="25" s="1"/>
  <c r="BX541" i="25"/>
  <c r="BW541" i="25"/>
  <c r="BV541" i="25"/>
  <c r="BU541" i="25"/>
  <c r="BT541" i="25"/>
  <c r="BR541" i="25"/>
  <c r="BQ541" i="25"/>
  <c r="G541" i="25"/>
  <c r="DR540" i="25"/>
  <c r="DQ540" i="25"/>
  <c r="DP540" i="25"/>
  <c r="DO540" i="25"/>
  <c r="DN540" i="25"/>
  <c r="DM540" i="25"/>
  <c r="DL540" i="25"/>
  <c r="CQ540" i="25" s="1"/>
  <c r="CR540" i="25" s="1"/>
  <c r="DK540" i="25"/>
  <c r="DJ540" i="25"/>
  <c r="DG540" i="25"/>
  <c r="DE540" i="25"/>
  <c r="DH540" i="25" s="1"/>
  <c r="DD540" i="25"/>
  <c r="DC540" i="25"/>
  <c r="CW540" i="25"/>
  <c r="CV540" i="25"/>
  <c r="CU540" i="25"/>
  <c r="DB540" i="25" s="1"/>
  <c r="CT540" i="25"/>
  <c r="CL540" i="25"/>
  <c r="CK540" i="25"/>
  <c r="CC540" i="25"/>
  <c r="CD540" i="25" s="1"/>
  <c r="BX540" i="25"/>
  <c r="BW540" i="25"/>
  <c r="BV540" i="25"/>
  <c r="BU540" i="25"/>
  <c r="BT540" i="25"/>
  <c r="BR540" i="25"/>
  <c r="BQ540" i="25"/>
  <c r="G540" i="25"/>
  <c r="DR539" i="25"/>
  <c r="DQ539" i="25"/>
  <c r="DP539" i="25"/>
  <c r="DO539" i="25"/>
  <c r="DN539" i="25"/>
  <c r="DM539" i="25"/>
  <c r="DL539" i="25"/>
  <c r="CO539" i="25" s="1"/>
  <c r="DK539" i="25"/>
  <c r="DJ539" i="25"/>
  <c r="DG539" i="25"/>
  <c r="DE539" i="25"/>
  <c r="DH539" i="25" s="1"/>
  <c r="DD539" i="25"/>
  <c r="DC539" i="25"/>
  <c r="CW539" i="25"/>
  <c r="CV539" i="25"/>
  <c r="CU539" i="25"/>
  <c r="DB539" i="25" s="1"/>
  <c r="CT539" i="25"/>
  <c r="CL539" i="25"/>
  <c r="CK539" i="25"/>
  <c r="CC539" i="25"/>
  <c r="BX539" i="25"/>
  <c r="BW539" i="25"/>
  <c r="BV539" i="25"/>
  <c r="BU539" i="25"/>
  <c r="BT539" i="25"/>
  <c r="BR539" i="25"/>
  <c r="BQ539" i="25"/>
  <c r="G539" i="25"/>
  <c r="DR538" i="25"/>
  <c r="DQ538" i="25"/>
  <c r="DP538" i="25"/>
  <c r="DO538" i="25"/>
  <c r="DN538" i="25"/>
  <c r="DM538" i="25"/>
  <c r="DL538" i="25"/>
  <c r="CQ538" i="25" s="1"/>
  <c r="CR538" i="25" s="1"/>
  <c r="DK538" i="25"/>
  <c r="DJ538" i="25"/>
  <c r="DG538" i="25"/>
  <c r="DE538" i="25"/>
  <c r="DH538" i="25" s="1"/>
  <c r="DD538" i="25"/>
  <c r="DC538" i="25"/>
  <c r="CW538" i="25"/>
  <c r="CV538" i="25"/>
  <c r="CU538" i="25"/>
  <c r="DB538" i="25" s="1"/>
  <c r="CT538" i="25"/>
  <c r="CL538" i="25"/>
  <c r="CK538" i="25"/>
  <c r="CC538" i="25"/>
  <c r="CD538" i="25" s="1"/>
  <c r="BX538" i="25"/>
  <c r="BW538" i="25"/>
  <c r="BV538" i="25"/>
  <c r="BU538" i="25"/>
  <c r="BT538" i="25"/>
  <c r="BR538" i="25"/>
  <c r="BQ538" i="25"/>
  <c r="G538" i="25"/>
  <c r="DR537" i="25"/>
  <c r="DQ537" i="25"/>
  <c r="DP537" i="25"/>
  <c r="DO537" i="25"/>
  <c r="DN537" i="25"/>
  <c r="DM537" i="25"/>
  <c r="DL537" i="25"/>
  <c r="CO537" i="25" s="1"/>
  <c r="DK537" i="25"/>
  <c r="DJ537" i="25"/>
  <c r="DG537" i="25"/>
  <c r="DE537" i="25"/>
  <c r="DF537" i="25" s="1"/>
  <c r="DD537" i="25"/>
  <c r="DC537" i="25"/>
  <c r="CW537" i="25"/>
  <c r="CV537" i="25"/>
  <c r="CU537" i="25"/>
  <c r="DB537" i="25" s="1"/>
  <c r="CT537" i="25"/>
  <c r="CL537" i="25"/>
  <c r="CK537" i="25"/>
  <c r="CC537" i="25"/>
  <c r="CD537" i="25" s="1"/>
  <c r="BX537" i="25"/>
  <c r="BW537" i="25"/>
  <c r="BV537" i="25"/>
  <c r="BU537" i="25"/>
  <c r="BT537" i="25"/>
  <c r="BR537" i="25"/>
  <c r="BQ537" i="25"/>
  <c r="G537" i="25"/>
  <c r="DR536" i="25"/>
  <c r="DQ536" i="25"/>
  <c r="DP536" i="25"/>
  <c r="DO536" i="25"/>
  <c r="DN536" i="25"/>
  <c r="DM536" i="25"/>
  <c r="DL536" i="25"/>
  <c r="CQ536" i="25" s="1"/>
  <c r="CR536" i="25" s="1"/>
  <c r="DK536" i="25"/>
  <c r="DJ536" i="25"/>
  <c r="DG536" i="25"/>
  <c r="DE536" i="25"/>
  <c r="DH536" i="25" s="1"/>
  <c r="DD536" i="25"/>
  <c r="DC536" i="25"/>
  <c r="CW536" i="25"/>
  <c r="CV536" i="25"/>
  <c r="CU536" i="25"/>
  <c r="DB536" i="25" s="1"/>
  <c r="CT536" i="25"/>
  <c r="CL536" i="25"/>
  <c r="CK536" i="25"/>
  <c r="CC536" i="25"/>
  <c r="CD536" i="25" s="1"/>
  <c r="BX536" i="25"/>
  <c r="BW536" i="25"/>
  <c r="BV536" i="25"/>
  <c r="BU536" i="25"/>
  <c r="BT536" i="25"/>
  <c r="BR536" i="25"/>
  <c r="BQ536" i="25"/>
  <c r="DR535" i="25"/>
  <c r="DQ535" i="25"/>
  <c r="DP535" i="25"/>
  <c r="DO535" i="25"/>
  <c r="DN535" i="25"/>
  <c r="DM535" i="25"/>
  <c r="DL535" i="25"/>
  <c r="CP535" i="25" s="1"/>
  <c r="DK535" i="25"/>
  <c r="DJ535" i="25"/>
  <c r="DG535" i="25"/>
  <c r="DE535" i="25"/>
  <c r="DF535" i="25" s="1"/>
  <c r="DD535" i="25"/>
  <c r="DC535" i="25"/>
  <c r="CW535" i="25"/>
  <c r="CV535" i="25"/>
  <c r="CU535" i="25"/>
  <c r="DB535" i="25" s="1"/>
  <c r="CT535" i="25"/>
  <c r="CL535" i="25"/>
  <c r="CK535" i="25"/>
  <c r="CC535" i="25"/>
  <c r="CD535" i="25" s="1"/>
  <c r="BX535" i="25"/>
  <c r="BW535" i="25"/>
  <c r="BV535" i="25"/>
  <c r="BU535" i="25"/>
  <c r="BT535" i="25"/>
  <c r="BR535" i="25"/>
  <c r="BQ535" i="25"/>
  <c r="G535" i="25"/>
  <c r="DR534" i="25"/>
  <c r="DQ534" i="25"/>
  <c r="DP534" i="25"/>
  <c r="DO534" i="25"/>
  <c r="DN534" i="25"/>
  <c r="DM534" i="25"/>
  <c r="DL534" i="25"/>
  <c r="CO534" i="25" s="1"/>
  <c r="DK534" i="25"/>
  <c r="DJ534" i="25"/>
  <c r="DG534" i="25"/>
  <c r="DE534" i="25"/>
  <c r="DH534" i="25" s="1"/>
  <c r="DD534" i="25"/>
  <c r="DC534" i="25"/>
  <c r="CW534" i="25"/>
  <c r="CV534" i="25"/>
  <c r="CU534" i="25"/>
  <c r="DB534" i="25" s="1"/>
  <c r="CT534" i="25"/>
  <c r="CL534" i="25"/>
  <c r="CK534" i="25"/>
  <c r="CC534" i="25"/>
  <c r="BX534" i="25"/>
  <c r="BW534" i="25"/>
  <c r="BV534" i="25"/>
  <c r="BU534" i="25"/>
  <c r="BT534" i="25"/>
  <c r="BR534" i="25"/>
  <c r="BQ534" i="25"/>
  <c r="G534" i="25"/>
  <c r="DR533" i="25"/>
  <c r="DQ533" i="25"/>
  <c r="DP533" i="25"/>
  <c r="DO533" i="25"/>
  <c r="DN533" i="25"/>
  <c r="DM533" i="25"/>
  <c r="DL533" i="25"/>
  <c r="CP533" i="25" s="1"/>
  <c r="DK533" i="25"/>
  <c r="DJ533" i="25"/>
  <c r="DG533" i="25"/>
  <c r="DE533" i="25"/>
  <c r="DH533" i="25" s="1"/>
  <c r="DD533" i="25"/>
  <c r="DC533" i="25"/>
  <c r="CW533" i="25"/>
  <c r="CV533" i="25"/>
  <c r="CU533" i="25"/>
  <c r="DB533" i="25" s="1"/>
  <c r="CT533" i="25"/>
  <c r="CL533" i="25"/>
  <c r="CK533" i="25"/>
  <c r="CC533" i="25"/>
  <c r="CD533" i="25" s="1"/>
  <c r="BX533" i="25"/>
  <c r="BW533" i="25"/>
  <c r="BV533" i="25"/>
  <c r="BU533" i="25"/>
  <c r="BT533" i="25"/>
  <c r="BR533" i="25"/>
  <c r="BQ533" i="25"/>
  <c r="G533" i="25"/>
  <c r="DR532" i="25"/>
  <c r="DQ532" i="25"/>
  <c r="DP532" i="25"/>
  <c r="DO532" i="25"/>
  <c r="DN532" i="25"/>
  <c r="DM532" i="25"/>
  <c r="DL532" i="25"/>
  <c r="CP532" i="25" s="1"/>
  <c r="DK532" i="25"/>
  <c r="DJ532" i="25"/>
  <c r="DG532" i="25"/>
  <c r="DE532" i="25"/>
  <c r="DH532" i="25" s="1"/>
  <c r="DD532" i="25"/>
  <c r="DC532" i="25"/>
  <c r="CW532" i="25"/>
  <c r="CV532" i="25"/>
  <c r="CU532" i="25"/>
  <c r="DB532" i="25" s="1"/>
  <c r="CT532" i="25"/>
  <c r="CL532" i="25"/>
  <c r="CK532" i="25"/>
  <c r="CC532" i="25"/>
  <c r="BX532" i="25"/>
  <c r="BW532" i="25"/>
  <c r="BV532" i="25"/>
  <c r="BU532" i="25"/>
  <c r="BT532" i="25"/>
  <c r="BR532" i="25"/>
  <c r="BQ532" i="25"/>
  <c r="G532" i="25"/>
  <c r="DR531" i="25"/>
  <c r="DQ531" i="25"/>
  <c r="DP531" i="25"/>
  <c r="DO531" i="25"/>
  <c r="DN531" i="25"/>
  <c r="DM531" i="25"/>
  <c r="DL531" i="25"/>
  <c r="CP531" i="25" s="1"/>
  <c r="DK531" i="25"/>
  <c r="DJ531" i="25"/>
  <c r="DG531" i="25"/>
  <c r="DE531" i="25"/>
  <c r="DF531" i="25" s="1"/>
  <c r="DD531" i="25"/>
  <c r="DC531" i="25"/>
  <c r="CW531" i="25"/>
  <c r="CV531" i="25"/>
  <c r="CU531" i="25"/>
  <c r="DB531" i="25" s="1"/>
  <c r="CT531" i="25"/>
  <c r="CL531" i="25"/>
  <c r="CK531" i="25"/>
  <c r="CC531" i="25"/>
  <c r="CD531" i="25" s="1"/>
  <c r="BX531" i="25"/>
  <c r="BW531" i="25"/>
  <c r="BV531" i="25"/>
  <c r="BU531" i="25"/>
  <c r="BT531" i="25"/>
  <c r="BR531" i="25"/>
  <c r="BQ531" i="25"/>
  <c r="DR530" i="25"/>
  <c r="DQ530" i="25"/>
  <c r="DP530" i="25"/>
  <c r="DO530" i="25"/>
  <c r="DN530" i="25"/>
  <c r="DM530" i="25"/>
  <c r="DL530" i="25"/>
  <c r="CQ530" i="25" s="1"/>
  <c r="CR530" i="25" s="1"/>
  <c r="DK530" i="25"/>
  <c r="DJ530" i="25"/>
  <c r="DG530" i="25"/>
  <c r="DE530" i="25"/>
  <c r="DF530" i="25" s="1"/>
  <c r="DD530" i="25"/>
  <c r="DC530" i="25"/>
  <c r="CW530" i="25"/>
  <c r="CV530" i="25"/>
  <c r="CU530" i="25"/>
  <c r="CT530" i="25"/>
  <c r="CL530" i="25"/>
  <c r="CK530" i="25"/>
  <c r="CC530" i="25"/>
  <c r="CD530" i="25" s="1"/>
  <c r="BX530" i="25"/>
  <c r="BW530" i="25"/>
  <c r="BV530" i="25"/>
  <c r="BU530" i="25"/>
  <c r="BT530" i="25"/>
  <c r="BR530" i="25"/>
  <c r="BQ530" i="25"/>
  <c r="DR529" i="25"/>
  <c r="DQ529" i="25"/>
  <c r="DP529" i="25"/>
  <c r="DO529" i="25"/>
  <c r="DN529" i="25"/>
  <c r="DM529" i="25"/>
  <c r="DL529" i="25"/>
  <c r="CP529" i="25" s="1"/>
  <c r="DK529" i="25"/>
  <c r="DJ529" i="25"/>
  <c r="DG529" i="25"/>
  <c r="DE529" i="25"/>
  <c r="DH529" i="25" s="1"/>
  <c r="DD529" i="25"/>
  <c r="DC529" i="25"/>
  <c r="CW529" i="25"/>
  <c r="CV529" i="25"/>
  <c r="CU529" i="25"/>
  <c r="DB529" i="25" s="1"/>
  <c r="CT529" i="25"/>
  <c r="CL529" i="25"/>
  <c r="CK529" i="25"/>
  <c r="CC529" i="25"/>
  <c r="BX529" i="25"/>
  <c r="BW529" i="25"/>
  <c r="BV529" i="25"/>
  <c r="BU529" i="25"/>
  <c r="BT529" i="25"/>
  <c r="BR529" i="25"/>
  <c r="BQ529" i="25"/>
  <c r="DR528" i="25"/>
  <c r="DQ528" i="25"/>
  <c r="DP528" i="25"/>
  <c r="DO528" i="25"/>
  <c r="DN528" i="25"/>
  <c r="DM528" i="25"/>
  <c r="DL528" i="25"/>
  <c r="CQ528" i="25" s="1"/>
  <c r="CR528" i="25" s="1"/>
  <c r="DK528" i="25"/>
  <c r="DJ528" i="25"/>
  <c r="DG528" i="25"/>
  <c r="DE528" i="25"/>
  <c r="DH528" i="25" s="1"/>
  <c r="DD528" i="25"/>
  <c r="DC528" i="25"/>
  <c r="CW528" i="25"/>
  <c r="CV528" i="25"/>
  <c r="CU528" i="25"/>
  <c r="DB528" i="25" s="1"/>
  <c r="CT528" i="25"/>
  <c r="CL528" i="25"/>
  <c r="CK528" i="25"/>
  <c r="CC528" i="25"/>
  <c r="CD528" i="25" s="1"/>
  <c r="BX528" i="25"/>
  <c r="BW528" i="25"/>
  <c r="BV528" i="25"/>
  <c r="BU528" i="25"/>
  <c r="BT528" i="25"/>
  <c r="BR528" i="25"/>
  <c r="BQ528" i="25"/>
  <c r="DR527" i="25"/>
  <c r="DQ527" i="25"/>
  <c r="DP527" i="25"/>
  <c r="DO527" i="25"/>
  <c r="DN527" i="25"/>
  <c r="DM527" i="25"/>
  <c r="DL527" i="25"/>
  <c r="CP527" i="25" s="1"/>
  <c r="DK527" i="25"/>
  <c r="DJ527" i="25"/>
  <c r="DG527" i="25"/>
  <c r="DE527" i="25"/>
  <c r="DH527" i="25" s="1"/>
  <c r="DD527" i="25"/>
  <c r="DC527" i="25"/>
  <c r="CW527" i="25"/>
  <c r="CV527" i="25"/>
  <c r="CU527" i="25"/>
  <c r="DB527" i="25" s="1"/>
  <c r="CT527" i="25"/>
  <c r="CL527" i="25"/>
  <c r="CK527" i="25"/>
  <c r="CC527" i="25"/>
  <c r="CD527" i="25" s="1"/>
  <c r="BX527" i="25"/>
  <c r="BW527" i="25"/>
  <c r="BV527" i="25"/>
  <c r="BU527" i="25"/>
  <c r="BT527" i="25"/>
  <c r="BR527" i="25"/>
  <c r="BQ527" i="25"/>
  <c r="DR526" i="25"/>
  <c r="DQ526" i="25"/>
  <c r="DP526" i="25"/>
  <c r="DO526" i="25"/>
  <c r="DN526" i="25"/>
  <c r="DM526" i="25"/>
  <c r="DL526" i="25"/>
  <c r="CQ526" i="25" s="1"/>
  <c r="CR526" i="25" s="1"/>
  <c r="DK526" i="25"/>
  <c r="DJ526" i="25"/>
  <c r="DG526" i="25"/>
  <c r="DE526" i="25"/>
  <c r="DH526" i="25" s="1"/>
  <c r="DD526" i="25"/>
  <c r="DC526" i="25"/>
  <c r="CW526" i="25"/>
  <c r="CV526" i="25"/>
  <c r="CU526" i="25"/>
  <c r="CT526" i="25"/>
  <c r="CL526" i="25"/>
  <c r="CK526" i="25"/>
  <c r="CC526" i="25"/>
  <c r="BX526" i="25"/>
  <c r="BW526" i="25"/>
  <c r="BV526" i="25"/>
  <c r="BU526" i="25"/>
  <c r="BT526" i="25"/>
  <c r="BR526" i="25"/>
  <c r="BQ526" i="25"/>
  <c r="G526" i="25"/>
  <c r="DR525" i="25"/>
  <c r="DQ525" i="25"/>
  <c r="DP525" i="25"/>
  <c r="DO525" i="25"/>
  <c r="DN525" i="25"/>
  <c r="DM525" i="25"/>
  <c r="DL525" i="25"/>
  <c r="CQ525" i="25" s="1"/>
  <c r="CR525" i="25" s="1"/>
  <c r="DK525" i="25"/>
  <c r="DJ525" i="25"/>
  <c r="DG525" i="25"/>
  <c r="DE525" i="25"/>
  <c r="DH525" i="25" s="1"/>
  <c r="DD525" i="25"/>
  <c r="DC525" i="25"/>
  <c r="CW525" i="25"/>
  <c r="CV525" i="25"/>
  <c r="CU525" i="25"/>
  <c r="DB525" i="25" s="1"/>
  <c r="CT525" i="25"/>
  <c r="CL525" i="25"/>
  <c r="CK525" i="25"/>
  <c r="CC525" i="25"/>
  <c r="CD525" i="25" s="1"/>
  <c r="BX525" i="25"/>
  <c r="BW525" i="25"/>
  <c r="BV525" i="25"/>
  <c r="BU525" i="25"/>
  <c r="BT525" i="25"/>
  <c r="BR525" i="25"/>
  <c r="BQ525" i="25"/>
  <c r="DR524" i="25"/>
  <c r="DQ524" i="25"/>
  <c r="DP524" i="25"/>
  <c r="DO524" i="25"/>
  <c r="DN524" i="25"/>
  <c r="DM524" i="25"/>
  <c r="DL524" i="25"/>
  <c r="CP524" i="25" s="1"/>
  <c r="DK524" i="25"/>
  <c r="DJ524" i="25"/>
  <c r="DG524" i="25"/>
  <c r="DE524" i="25"/>
  <c r="DH524" i="25" s="1"/>
  <c r="DD524" i="25"/>
  <c r="DC524" i="25"/>
  <c r="CW524" i="25"/>
  <c r="CV524" i="25"/>
  <c r="CU524" i="25"/>
  <c r="DB524" i="25" s="1"/>
  <c r="CT524" i="25"/>
  <c r="CL524" i="25"/>
  <c r="CK524" i="25"/>
  <c r="CC524" i="25"/>
  <c r="CD524" i="25" s="1"/>
  <c r="BX524" i="25"/>
  <c r="BW524" i="25"/>
  <c r="BV524" i="25"/>
  <c r="BU524" i="25"/>
  <c r="BT524" i="25"/>
  <c r="BR524" i="25"/>
  <c r="BQ524" i="25"/>
  <c r="DR523" i="25"/>
  <c r="DQ523" i="25"/>
  <c r="DP523" i="25"/>
  <c r="DO523" i="25"/>
  <c r="DN523" i="25"/>
  <c r="DM523" i="25"/>
  <c r="DL523" i="25"/>
  <c r="CQ523" i="25" s="1"/>
  <c r="CR523" i="25" s="1"/>
  <c r="DK523" i="25"/>
  <c r="DJ523" i="25"/>
  <c r="DG523" i="25"/>
  <c r="DE523" i="25"/>
  <c r="DF523" i="25" s="1"/>
  <c r="DD523" i="25"/>
  <c r="DC523" i="25"/>
  <c r="CW523" i="25"/>
  <c r="CV523" i="25"/>
  <c r="CU523" i="25"/>
  <c r="CT523" i="25"/>
  <c r="CL523" i="25"/>
  <c r="CK523" i="25"/>
  <c r="CC523" i="25"/>
  <c r="CD523" i="25" s="1"/>
  <c r="BX523" i="25"/>
  <c r="BW523" i="25"/>
  <c r="BV523" i="25"/>
  <c r="BU523" i="25"/>
  <c r="BT523" i="25"/>
  <c r="BR523" i="25"/>
  <c r="BQ523" i="25"/>
  <c r="G523" i="25"/>
  <c r="DR522" i="25"/>
  <c r="DQ522" i="25"/>
  <c r="DP522" i="25"/>
  <c r="DO522" i="25"/>
  <c r="DN522" i="25"/>
  <c r="DM522" i="25"/>
  <c r="DL522" i="25"/>
  <c r="CQ522" i="25" s="1"/>
  <c r="CR522" i="25" s="1"/>
  <c r="DK522" i="25"/>
  <c r="DJ522" i="25"/>
  <c r="DG522" i="25"/>
  <c r="DE522" i="25"/>
  <c r="DH522" i="25" s="1"/>
  <c r="DD522" i="25"/>
  <c r="DC522" i="25"/>
  <c r="CW522" i="25"/>
  <c r="CV522" i="25"/>
  <c r="CU522" i="25"/>
  <c r="DB522" i="25" s="1"/>
  <c r="CT522" i="25"/>
  <c r="CL522" i="25"/>
  <c r="CK522" i="25"/>
  <c r="CC522" i="25"/>
  <c r="CD522" i="25" s="1"/>
  <c r="BX522" i="25"/>
  <c r="BW522" i="25"/>
  <c r="BV522" i="25"/>
  <c r="BU522" i="25"/>
  <c r="BT522" i="25"/>
  <c r="BR522" i="25"/>
  <c r="BQ522" i="25"/>
  <c r="G522" i="25"/>
  <c r="DR521" i="25"/>
  <c r="DQ521" i="25"/>
  <c r="DP521" i="25"/>
  <c r="DO521" i="25"/>
  <c r="DN521" i="25"/>
  <c r="DM521" i="25"/>
  <c r="DL521" i="25"/>
  <c r="CP521" i="25" s="1"/>
  <c r="DK521" i="25"/>
  <c r="DJ521" i="25"/>
  <c r="DG521" i="25"/>
  <c r="DE521" i="25"/>
  <c r="DF521" i="25" s="1"/>
  <c r="DD521" i="25"/>
  <c r="DC521" i="25"/>
  <c r="CW521" i="25"/>
  <c r="CV521" i="25"/>
  <c r="CU521" i="25"/>
  <c r="DB521" i="25" s="1"/>
  <c r="CT521" i="25"/>
  <c r="CL521" i="25"/>
  <c r="CK521" i="25"/>
  <c r="CC521" i="25"/>
  <c r="CD521" i="25" s="1"/>
  <c r="BX521" i="25"/>
  <c r="BW521" i="25"/>
  <c r="BV521" i="25"/>
  <c r="BU521" i="25"/>
  <c r="BT521" i="25"/>
  <c r="BR521" i="25"/>
  <c r="BQ521" i="25"/>
  <c r="G521" i="25"/>
  <c r="DR520" i="25"/>
  <c r="DQ520" i="25"/>
  <c r="DP520" i="25"/>
  <c r="DO520" i="25"/>
  <c r="DN520" i="25"/>
  <c r="DM520" i="25"/>
  <c r="DL520" i="25"/>
  <c r="DK520" i="25"/>
  <c r="DJ520" i="25"/>
  <c r="DG520" i="25"/>
  <c r="DE520" i="25"/>
  <c r="DH520" i="25" s="1"/>
  <c r="DD520" i="25"/>
  <c r="DC520" i="25"/>
  <c r="CW520" i="25"/>
  <c r="CV520" i="25"/>
  <c r="CU520" i="25"/>
  <c r="DB520" i="25" s="1"/>
  <c r="CT520" i="25"/>
  <c r="CL520" i="25"/>
  <c r="CK520" i="25"/>
  <c r="CC520" i="25"/>
  <c r="BX520" i="25"/>
  <c r="BW520" i="25"/>
  <c r="BV520" i="25"/>
  <c r="BU520" i="25"/>
  <c r="BT520" i="25"/>
  <c r="BR520" i="25"/>
  <c r="BQ520" i="25"/>
  <c r="DR519" i="25"/>
  <c r="DQ519" i="25"/>
  <c r="DP519" i="25"/>
  <c r="DO519" i="25"/>
  <c r="DN519" i="25"/>
  <c r="DM519" i="25"/>
  <c r="DL519" i="25"/>
  <c r="CP519" i="25" s="1"/>
  <c r="DK519" i="25"/>
  <c r="DJ519" i="25"/>
  <c r="DG519" i="25"/>
  <c r="DE519" i="25"/>
  <c r="DH519" i="25" s="1"/>
  <c r="DD519" i="25"/>
  <c r="DC519" i="25"/>
  <c r="CW519" i="25"/>
  <c r="CV519" i="25"/>
  <c r="CU519" i="25"/>
  <c r="DB519" i="25" s="1"/>
  <c r="CT519" i="25"/>
  <c r="CL519" i="25"/>
  <c r="CK519" i="25"/>
  <c r="CC519" i="25"/>
  <c r="CD519" i="25" s="1"/>
  <c r="BX519" i="25"/>
  <c r="BW519" i="25"/>
  <c r="BV519" i="25"/>
  <c r="BU519" i="25"/>
  <c r="BT519" i="25"/>
  <c r="BR519" i="25"/>
  <c r="BQ519" i="25"/>
  <c r="G519" i="25"/>
  <c r="DR518" i="25"/>
  <c r="DQ518" i="25"/>
  <c r="DP518" i="25"/>
  <c r="DO518" i="25"/>
  <c r="DN518" i="25"/>
  <c r="DM518" i="25"/>
  <c r="DL518" i="25"/>
  <c r="DK518" i="25"/>
  <c r="DJ518" i="25"/>
  <c r="DG518" i="25"/>
  <c r="DE518" i="25"/>
  <c r="DH518" i="25" s="1"/>
  <c r="DD518" i="25"/>
  <c r="DC518" i="25"/>
  <c r="CW518" i="25"/>
  <c r="CV518" i="25"/>
  <c r="CU518" i="25"/>
  <c r="CT518" i="25"/>
  <c r="CL518" i="25"/>
  <c r="CK518" i="25"/>
  <c r="CC518" i="25"/>
  <c r="CD518" i="25" s="1"/>
  <c r="BX518" i="25"/>
  <c r="BW518" i="25"/>
  <c r="BV518" i="25"/>
  <c r="BU518" i="25"/>
  <c r="BT518" i="25"/>
  <c r="BR518" i="25"/>
  <c r="BQ518" i="25"/>
  <c r="DR517" i="25"/>
  <c r="DQ517" i="25"/>
  <c r="DP517" i="25"/>
  <c r="DO517" i="25"/>
  <c r="DN517" i="25"/>
  <c r="DM517" i="25"/>
  <c r="DL517" i="25"/>
  <c r="CP517" i="25" s="1"/>
  <c r="DK517" i="25"/>
  <c r="DJ517" i="25"/>
  <c r="DG517" i="25"/>
  <c r="DE517" i="25"/>
  <c r="DH517" i="25" s="1"/>
  <c r="DD517" i="25"/>
  <c r="DC517" i="25"/>
  <c r="CW517" i="25"/>
  <c r="CV517" i="25"/>
  <c r="CU517" i="25"/>
  <c r="DB517" i="25" s="1"/>
  <c r="CT517" i="25"/>
  <c r="CL517" i="25"/>
  <c r="CK517" i="25"/>
  <c r="CC517" i="25"/>
  <c r="BX517" i="25"/>
  <c r="BW517" i="25"/>
  <c r="BV517" i="25"/>
  <c r="BU517" i="25"/>
  <c r="BT517" i="25"/>
  <c r="BR517" i="25"/>
  <c r="BQ517" i="25"/>
  <c r="DR516" i="25"/>
  <c r="DQ516" i="25"/>
  <c r="DP516" i="25"/>
  <c r="DO516" i="25"/>
  <c r="DN516" i="25"/>
  <c r="DM516" i="25"/>
  <c r="DL516" i="25"/>
  <c r="CO516" i="25" s="1"/>
  <c r="DK516" i="25"/>
  <c r="DJ516" i="25"/>
  <c r="DG516" i="25"/>
  <c r="DE516" i="25"/>
  <c r="DH516" i="25" s="1"/>
  <c r="DD516" i="25"/>
  <c r="DC516" i="25"/>
  <c r="CW516" i="25"/>
  <c r="CV516" i="25"/>
  <c r="CU516" i="25"/>
  <c r="DB516" i="25" s="1"/>
  <c r="CT516" i="25"/>
  <c r="CL516" i="25"/>
  <c r="CK516" i="25"/>
  <c r="CC516" i="25"/>
  <c r="BX516" i="25"/>
  <c r="BW516" i="25"/>
  <c r="BV516" i="25"/>
  <c r="BU516" i="25"/>
  <c r="BT516" i="25"/>
  <c r="BR516" i="25"/>
  <c r="BQ516" i="25"/>
  <c r="G516" i="25"/>
  <c r="DR515" i="25"/>
  <c r="DQ515" i="25"/>
  <c r="DP515" i="25"/>
  <c r="DO515" i="25"/>
  <c r="DN515" i="25"/>
  <c r="DM515" i="25"/>
  <c r="DL515" i="25"/>
  <c r="CQ515" i="25" s="1"/>
  <c r="CR515" i="25" s="1"/>
  <c r="DK515" i="25"/>
  <c r="DJ515" i="25"/>
  <c r="DG515" i="25"/>
  <c r="DE515" i="25"/>
  <c r="DH515" i="25" s="1"/>
  <c r="DD515" i="25"/>
  <c r="DC515" i="25"/>
  <c r="CW515" i="25"/>
  <c r="CV515" i="25"/>
  <c r="CU515" i="25"/>
  <c r="DB515" i="25" s="1"/>
  <c r="CT515" i="25"/>
  <c r="CL515" i="25"/>
  <c r="CK515" i="25"/>
  <c r="CC515" i="25"/>
  <c r="CD515" i="25" s="1"/>
  <c r="BX515" i="25"/>
  <c r="BW515" i="25"/>
  <c r="BV515" i="25"/>
  <c r="BU515" i="25"/>
  <c r="BT515" i="25"/>
  <c r="BR515" i="25"/>
  <c r="BQ515" i="25"/>
  <c r="G515" i="25"/>
  <c r="DR514" i="25"/>
  <c r="DQ514" i="25"/>
  <c r="DP514" i="25"/>
  <c r="DO514" i="25"/>
  <c r="DN514" i="25"/>
  <c r="DM514" i="25"/>
  <c r="DL514" i="25"/>
  <c r="CQ514" i="25" s="1"/>
  <c r="CR514" i="25" s="1"/>
  <c r="DK514" i="25"/>
  <c r="DJ514" i="25"/>
  <c r="DG514" i="25"/>
  <c r="DE514" i="25"/>
  <c r="DH514" i="25" s="1"/>
  <c r="DD514" i="25"/>
  <c r="DC514" i="25"/>
  <c r="CW514" i="25"/>
  <c r="CV514" i="25"/>
  <c r="CU514" i="25"/>
  <c r="CT514" i="25"/>
  <c r="CL514" i="25"/>
  <c r="CK514" i="25"/>
  <c r="CC514" i="25"/>
  <c r="CD514" i="25" s="1"/>
  <c r="BX514" i="25"/>
  <c r="BW514" i="25"/>
  <c r="BV514" i="25"/>
  <c r="BU514" i="25"/>
  <c r="BT514" i="25"/>
  <c r="BR514" i="25"/>
  <c r="BQ514" i="25"/>
  <c r="DR513" i="25"/>
  <c r="DQ513" i="25"/>
  <c r="DP513" i="25"/>
  <c r="DO513" i="25"/>
  <c r="DN513" i="25"/>
  <c r="DM513" i="25"/>
  <c r="DL513" i="25"/>
  <c r="DK513" i="25"/>
  <c r="DJ513" i="25"/>
  <c r="DG513" i="25"/>
  <c r="DE513" i="25"/>
  <c r="DF513" i="25" s="1"/>
  <c r="DD513" i="25"/>
  <c r="DC513" i="25"/>
  <c r="CW513" i="25"/>
  <c r="CV513" i="25"/>
  <c r="CU513" i="25"/>
  <c r="DB513" i="25" s="1"/>
  <c r="CT513" i="25"/>
  <c r="CL513" i="25"/>
  <c r="CK513" i="25"/>
  <c r="CC513" i="25"/>
  <c r="CD513" i="25" s="1"/>
  <c r="BX513" i="25"/>
  <c r="BW513" i="25"/>
  <c r="BV513" i="25"/>
  <c r="BU513" i="25"/>
  <c r="BT513" i="25"/>
  <c r="BR513" i="25"/>
  <c r="BQ513" i="25"/>
  <c r="DR512" i="25"/>
  <c r="DQ512" i="25"/>
  <c r="DP512" i="25"/>
  <c r="DO512" i="25"/>
  <c r="DN512" i="25"/>
  <c r="DM512" i="25"/>
  <c r="DL512" i="25"/>
  <c r="CO512" i="25" s="1"/>
  <c r="DK512" i="25"/>
  <c r="DJ512" i="25"/>
  <c r="DG512" i="25"/>
  <c r="DE512" i="25"/>
  <c r="DH512" i="25" s="1"/>
  <c r="DD512" i="25"/>
  <c r="DC512" i="25"/>
  <c r="CW512" i="25"/>
  <c r="CV512" i="25"/>
  <c r="CU512" i="25"/>
  <c r="DB512" i="25" s="1"/>
  <c r="CT512" i="25"/>
  <c r="CL512" i="25"/>
  <c r="CK512" i="25"/>
  <c r="CC512" i="25"/>
  <c r="CD512" i="25" s="1"/>
  <c r="BX512" i="25"/>
  <c r="BW512" i="25"/>
  <c r="BV512" i="25"/>
  <c r="BU512" i="25"/>
  <c r="BT512" i="25"/>
  <c r="BR512" i="25"/>
  <c r="BQ512" i="25"/>
  <c r="G512" i="25"/>
  <c r="DR511" i="25"/>
  <c r="DQ511" i="25"/>
  <c r="DP511" i="25"/>
  <c r="DO511" i="25"/>
  <c r="DN511" i="25"/>
  <c r="DM511" i="25"/>
  <c r="DL511" i="25"/>
  <c r="CP511" i="25" s="1"/>
  <c r="DK511" i="25"/>
  <c r="DJ511" i="25"/>
  <c r="DG511" i="25"/>
  <c r="DE511" i="25"/>
  <c r="DH511" i="25" s="1"/>
  <c r="DD511" i="25"/>
  <c r="DC511" i="25"/>
  <c r="CW511" i="25"/>
  <c r="CV511" i="25"/>
  <c r="CU511" i="25"/>
  <c r="DB511" i="25" s="1"/>
  <c r="CT511" i="25"/>
  <c r="CL511" i="25"/>
  <c r="CK511" i="25"/>
  <c r="CC511" i="25"/>
  <c r="CD511" i="25" s="1"/>
  <c r="BX511" i="25"/>
  <c r="BW511" i="25"/>
  <c r="BV511" i="25"/>
  <c r="BU511" i="25"/>
  <c r="BT511" i="25"/>
  <c r="BR511" i="25"/>
  <c r="BQ511" i="25"/>
  <c r="G511" i="25"/>
  <c r="DR510" i="25"/>
  <c r="DQ510" i="25"/>
  <c r="DP510" i="25"/>
  <c r="DO510" i="25"/>
  <c r="DN510" i="25"/>
  <c r="DM510" i="25"/>
  <c r="DL510" i="25"/>
  <c r="CQ510" i="25" s="1"/>
  <c r="CR510" i="25" s="1"/>
  <c r="DK510" i="25"/>
  <c r="DJ510" i="25"/>
  <c r="DG510" i="25"/>
  <c r="DE510" i="25"/>
  <c r="DF510" i="25" s="1"/>
  <c r="DD510" i="25"/>
  <c r="DC510" i="25"/>
  <c r="CW510" i="25"/>
  <c r="CV510" i="25"/>
  <c r="CU510" i="25"/>
  <c r="DB510" i="25" s="1"/>
  <c r="CT510" i="25"/>
  <c r="CL510" i="25"/>
  <c r="CK510" i="25"/>
  <c r="CC510" i="25"/>
  <c r="CD510" i="25" s="1"/>
  <c r="BX510" i="25"/>
  <c r="BW510" i="25"/>
  <c r="BV510" i="25"/>
  <c r="BU510" i="25"/>
  <c r="BT510" i="25"/>
  <c r="BR510" i="25"/>
  <c r="BQ510" i="25"/>
  <c r="G510" i="25"/>
  <c r="DR509" i="25"/>
  <c r="DQ509" i="25"/>
  <c r="DP509" i="25"/>
  <c r="DO509" i="25"/>
  <c r="DN509" i="25"/>
  <c r="DM509" i="25"/>
  <c r="DL509" i="25"/>
  <c r="DK509" i="25"/>
  <c r="DJ509" i="25"/>
  <c r="DG509" i="25"/>
  <c r="DE509" i="25"/>
  <c r="DF509" i="25" s="1"/>
  <c r="DD509" i="25"/>
  <c r="DC509" i="25"/>
  <c r="CW509" i="25"/>
  <c r="CV509" i="25"/>
  <c r="CU509" i="25"/>
  <c r="DB509" i="25" s="1"/>
  <c r="CT509" i="25"/>
  <c r="CL509" i="25"/>
  <c r="CK509" i="25"/>
  <c r="CC509" i="25"/>
  <c r="CD509" i="25" s="1"/>
  <c r="BX509" i="25"/>
  <c r="BW509" i="25"/>
  <c r="BV509" i="25"/>
  <c r="BU509" i="25"/>
  <c r="BT509" i="25"/>
  <c r="BR509" i="25"/>
  <c r="BQ509" i="25"/>
  <c r="G509" i="25"/>
  <c r="DR508" i="25"/>
  <c r="DQ508" i="25"/>
  <c r="DP508" i="25"/>
  <c r="DO508" i="25"/>
  <c r="DN508" i="25"/>
  <c r="DM508" i="25"/>
  <c r="DL508" i="25"/>
  <c r="CQ508" i="25" s="1"/>
  <c r="CR508" i="25" s="1"/>
  <c r="DK508" i="25"/>
  <c r="DJ508" i="25"/>
  <c r="DG508" i="25"/>
  <c r="DE508" i="25"/>
  <c r="DH508" i="25" s="1"/>
  <c r="DD508" i="25"/>
  <c r="DC508" i="25"/>
  <c r="CW508" i="25"/>
  <c r="CV508" i="25"/>
  <c r="CU508" i="25"/>
  <c r="DB508" i="25" s="1"/>
  <c r="CT508" i="25"/>
  <c r="CL508" i="25"/>
  <c r="CK508" i="25"/>
  <c r="CC508" i="25"/>
  <c r="BX508" i="25"/>
  <c r="BW508" i="25"/>
  <c r="BV508" i="25"/>
  <c r="BU508" i="25"/>
  <c r="BT508" i="25"/>
  <c r="BR508" i="25"/>
  <c r="BQ508" i="25"/>
  <c r="G508" i="25"/>
  <c r="DR507" i="25"/>
  <c r="DQ507" i="25"/>
  <c r="DP507" i="25"/>
  <c r="DO507" i="25"/>
  <c r="DN507" i="25"/>
  <c r="DM507" i="25"/>
  <c r="DL507" i="25"/>
  <c r="DK507" i="25"/>
  <c r="DJ507" i="25"/>
  <c r="DG507" i="25"/>
  <c r="DE507" i="25"/>
  <c r="DH507" i="25" s="1"/>
  <c r="DD507" i="25"/>
  <c r="DC507" i="25"/>
  <c r="CW507" i="25"/>
  <c r="CV507" i="25"/>
  <c r="CU507" i="25"/>
  <c r="DB507" i="25" s="1"/>
  <c r="CT507" i="25"/>
  <c r="CL507" i="25"/>
  <c r="CK507" i="25"/>
  <c r="CC507" i="25"/>
  <c r="CD507" i="25" s="1"/>
  <c r="BX507" i="25"/>
  <c r="BW507" i="25"/>
  <c r="BV507" i="25"/>
  <c r="BU507" i="25"/>
  <c r="BT507" i="25"/>
  <c r="BR507" i="25"/>
  <c r="BQ507" i="25"/>
  <c r="G507" i="25"/>
  <c r="DR506" i="25"/>
  <c r="DQ506" i="25"/>
  <c r="DP506" i="25"/>
  <c r="DO506" i="25"/>
  <c r="DN506" i="25"/>
  <c r="DM506" i="25"/>
  <c r="DL506" i="25"/>
  <c r="CQ506" i="25" s="1"/>
  <c r="CR506" i="25" s="1"/>
  <c r="DK506" i="25"/>
  <c r="DJ506" i="25"/>
  <c r="DG506" i="25"/>
  <c r="DE506" i="25"/>
  <c r="DD506" i="25"/>
  <c r="DC506" i="25"/>
  <c r="CW506" i="25"/>
  <c r="CV506" i="25"/>
  <c r="CU506" i="25"/>
  <c r="DB506" i="25" s="1"/>
  <c r="CT506" i="25"/>
  <c r="CL506" i="25"/>
  <c r="CK506" i="25"/>
  <c r="CC506" i="25"/>
  <c r="CD506" i="25" s="1"/>
  <c r="BX506" i="25"/>
  <c r="BW506" i="25"/>
  <c r="BV506" i="25"/>
  <c r="BU506" i="25"/>
  <c r="BT506" i="25"/>
  <c r="BR506" i="25"/>
  <c r="BQ506" i="25"/>
  <c r="G506" i="25"/>
  <c r="DR505" i="25"/>
  <c r="DQ505" i="25"/>
  <c r="DP505" i="25"/>
  <c r="DO505" i="25"/>
  <c r="DN505" i="25"/>
  <c r="DM505" i="25"/>
  <c r="DL505" i="25"/>
  <c r="CO505" i="25" s="1"/>
  <c r="DK505" i="25"/>
  <c r="DJ505" i="25"/>
  <c r="DG505" i="25"/>
  <c r="DE505" i="25"/>
  <c r="DH505" i="25" s="1"/>
  <c r="DD505" i="25"/>
  <c r="DC505" i="25"/>
  <c r="CW505" i="25"/>
  <c r="CV505" i="25"/>
  <c r="CU505" i="25"/>
  <c r="CT505" i="25"/>
  <c r="CL505" i="25"/>
  <c r="CK505" i="25"/>
  <c r="CC505" i="25"/>
  <c r="CD505" i="25" s="1"/>
  <c r="BX505" i="25"/>
  <c r="BW505" i="25"/>
  <c r="BV505" i="25"/>
  <c r="BU505" i="25"/>
  <c r="BT505" i="25"/>
  <c r="BR505" i="25"/>
  <c r="BQ505" i="25"/>
  <c r="DR389" i="25"/>
  <c r="DQ389" i="25"/>
  <c r="DP389" i="25"/>
  <c r="DO389" i="25"/>
  <c r="DN389" i="25"/>
  <c r="DM389" i="25"/>
  <c r="DL389" i="25"/>
  <c r="CQ389" i="25" s="1"/>
  <c r="CR389" i="25" s="1"/>
  <c r="DK389" i="25"/>
  <c r="DJ389" i="25"/>
  <c r="DG389" i="25"/>
  <c r="DE389" i="25"/>
  <c r="DH389" i="25" s="1"/>
  <c r="DD389" i="25"/>
  <c r="DC389" i="25"/>
  <c r="CW389" i="25"/>
  <c r="CV389" i="25"/>
  <c r="CU389" i="25"/>
  <c r="DB389" i="25" s="1"/>
  <c r="CT389" i="25"/>
  <c r="CL389" i="25"/>
  <c r="CK389" i="25"/>
  <c r="CC389" i="25"/>
  <c r="CD389" i="25" s="1"/>
  <c r="BX389" i="25"/>
  <c r="BW389" i="25"/>
  <c r="BV389" i="25"/>
  <c r="BU389" i="25"/>
  <c r="BT389" i="25"/>
  <c r="BR389" i="25"/>
  <c r="BQ389" i="25"/>
  <c r="G389" i="25"/>
  <c r="DR388" i="25"/>
  <c r="DQ388" i="25"/>
  <c r="DP388" i="25"/>
  <c r="DO388" i="25"/>
  <c r="DN388" i="25"/>
  <c r="DM388" i="25"/>
  <c r="DL388" i="25"/>
  <c r="CQ388" i="25" s="1"/>
  <c r="CR388" i="25" s="1"/>
  <c r="DK388" i="25"/>
  <c r="DJ388" i="25"/>
  <c r="DG388" i="25"/>
  <c r="DE388" i="25"/>
  <c r="DH388" i="25" s="1"/>
  <c r="DD388" i="25"/>
  <c r="DC388" i="25"/>
  <c r="CW388" i="25"/>
  <c r="CV388" i="25"/>
  <c r="CU388" i="25"/>
  <c r="CT388" i="25"/>
  <c r="CL388" i="25"/>
  <c r="CK388" i="25"/>
  <c r="CC388" i="25"/>
  <c r="BX388" i="25"/>
  <c r="BW388" i="25"/>
  <c r="BV388" i="25"/>
  <c r="BU388" i="25"/>
  <c r="BT388" i="25"/>
  <c r="BR388" i="25"/>
  <c r="BQ388" i="25"/>
  <c r="G388" i="25"/>
  <c r="DR387" i="25"/>
  <c r="DQ387" i="25"/>
  <c r="DP387" i="25"/>
  <c r="DO387" i="25"/>
  <c r="DN387" i="25"/>
  <c r="DM387" i="25"/>
  <c r="DL387" i="25"/>
  <c r="DK387" i="25"/>
  <c r="DJ387" i="25"/>
  <c r="DG387" i="25"/>
  <c r="DE387" i="25"/>
  <c r="DF387" i="25" s="1"/>
  <c r="DD387" i="25"/>
  <c r="DC387" i="25"/>
  <c r="CW387" i="25"/>
  <c r="CV387" i="25"/>
  <c r="CU387" i="25"/>
  <c r="DB387" i="25" s="1"/>
  <c r="CT387" i="25"/>
  <c r="CL387" i="25"/>
  <c r="CK387" i="25"/>
  <c r="CC387" i="25"/>
  <c r="BX387" i="25"/>
  <c r="BW387" i="25"/>
  <c r="BV387" i="25"/>
  <c r="BU387" i="25"/>
  <c r="BT387" i="25"/>
  <c r="BR387" i="25"/>
  <c r="BQ387" i="25"/>
  <c r="G387" i="25"/>
  <c r="DR386" i="25"/>
  <c r="DQ386" i="25"/>
  <c r="DP386" i="25"/>
  <c r="DO386" i="25"/>
  <c r="DN386" i="25"/>
  <c r="DM386" i="25"/>
  <c r="DL386" i="25"/>
  <c r="DK386" i="25"/>
  <c r="DJ386" i="25"/>
  <c r="DG386" i="25"/>
  <c r="DE386" i="25"/>
  <c r="DD386" i="25"/>
  <c r="DC386" i="25"/>
  <c r="CW386" i="25"/>
  <c r="CV386" i="25"/>
  <c r="CU386" i="25"/>
  <c r="DB386" i="25" s="1"/>
  <c r="CT386" i="25"/>
  <c r="CL386" i="25"/>
  <c r="CK386" i="25"/>
  <c r="CC386" i="25"/>
  <c r="BX386" i="25"/>
  <c r="BW386" i="25"/>
  <c r="BV386" i="25"/>
  <c r="BU386" i="25"/>
  <c r="BT386" i="25"/>
  <c r="BR386" i="25"/>
  <c r="BQ386" i="25"/>
  <c r="G386" i="25"/>
  <c r="DR385" i="25"/>
  <c r="DQ385" i="25"/>
  <c r="DP385" i="25"/>
  <c r="DO385" i="25"/>
  <c r="DN385" i="25"/>
  <c r="DM385" i="25"/>
  <c r="DL385" i="25"/>
  <c r="CO385" i="25" s="1"/>
  <c r="DK385" i="25"/>
  <c r="DJ385" i="25"/>
  <c r="DG385" i="25"/>
  <c r="DE385" i="25"/>
  <c r="DD385" i="25"/>
  <c r="DC385" i="25"/>
  <c r="CW385" i="25"/>
  <c r="CV385" i="25"/>
  <c r="CU385" i="25"/>
  <c r="DB385" i="25" s="1"/>
  <c r="CT385" i="25"/>
  <c r="CL385" i="25"/>
  <c r="CK385" i="25"/>
  <c r="CC385" i="25"/>
  <c r="CD385" i="25" s="1"/>
  <c r="BX385" i="25"/>
  <c r="BW385" i="25"/>
  <c r="BV385" i="25"/>
  <c r="BU385" i="25"/>
  <c r="BT385" i="25"/>
  <c r="BR385" i="25"/>
  <c r="BQ385" i="25"/>
  <c r="G385" i="25"/>
  <c r="DR384" i="25"/>
  <c r="DQ384" i="25"/>
  <c r="DP384" i="25"/>
  <c r="DO384" i="25"/>
  <c r="DN384" i="25"/>
  <c r="DM384" i="25"/>
  <c r="DL384" i="25"/>
  <c r="DK384" i="25"/>
  <c r="DJ384" i="25"/>
  <c r="DG384" i="25"/>
  <c r="DE384" i="25"/>
  <c r="DF384" i="25" s="1"/>
  <c r="DD384" i="25"/>
  <c r="DC384" i="25"/>
  <c r="CW384" i="25"/>
  <c r="CV384" i="25"/>
  <c r="CU384" i="25"/>
  <c r="CT384" i="25"/>
  <c r="CL384" i="25"/>
  <c r="CK384" i="25"/>
  <c r="CC384" i="25"/>
  <c r="CD384" i="25" s="1"/>
  <c r="BX384" i="25"/>
  <c r="BW384" i="25"/>
  <c r="BV384" i="25"/>
  <c r="BU384" i="25"/>
  <c r="BT384" i="25"/>
  <c r="BR384" i="25"/>
  <c r="BQ384" i="25"/>
  <c r="G384" i="25"/>
  <c r="DR383" i="25"/>
  <c r="DQ383" i="25"/>
  <c r="DP383" i="25"/>
  <c r="DO383" i="25"/>
  <c r="DN383" i="25"/>
  <c r="DM383" i="25"/>
  <c r="DL383" i="25"/>
  <c r="DK383" i="25"/>
  <c r="DJ383" i="25"/>
  <c r="DG383" i="25"/>
  <c r="DE383" i="25"/>
  <c r="DH383" i="25" s="1"/>
  <c r="DD383" i="25"/>
  <c r="DC383" i="25"/>
  <c r="CW383" i="25"/>
  <c r="CV383" i="25"/>
  <c r="CU383" i="25"/>
  <c r="DB383" i="25" s="1"/>
  <c r="CT383" i="25"/>
  <c r="CL383" i="25"/>
  <c r="CK383" i="25"/>
  <c r="CC383" i="25"/>
  <c r="CD383" i="25" s="1"/>
  <c r="BX383" i="25"/>
  <c r="BW383" i="25"/>
  <c r="BV383" i="25"/>
  <c r="BU383" i="25"/>
  <c r="BT383" i="25"/>
  <c r="BR383" i="25"/>
  <c r="BQ383" i="25"/>
  <c r="G383" i="25"/>
  <c r="DR382" i="25"/>
  <c r="DQ382" i="25"/>
  <c r="DP382" i="25"/>
  <c r="DO382" i="25"/>
  <c r="DN382" i="25"/>
  <c r="DM382" i="25"/>
  <c r="DL382" i="25"/>
  <c r="CO382" i="25" s="1"/>
  <c r="DK382" i="25"/>
  <c r="DJ382" i="25"/>
  <c r="DG382" i="25"/>
  <c r="DE382" i="25"/>
  <c r="DD382" i="25"/>
  <c r="DC382" i="25"/>
  <c r="CW382" i="25"/>
  <c r="CV382" i="25"/>
  <c r="CU382" i="25"/>
  <c r="DB382" i="25" s="1"/>
  <c r="CT382" i="25"/>
  <c r="CL382" i="25"/>
  <c r="CK382" i="25"/>
  <c r="CC382" i="25"/>
  <c r="BX382" i="25"/>
  <c r="BW382" i="25"/>
  <c r="BV382" i="25"/>
  <c r="BU382" i="25"/>
  <c r="BT382" i="25"/>
  <c r="BR382" i="25"/>
  <c r="BQ382" i="25"/>
  <c r="G382" i="25"/>
  <c r="DR381" i="25"/>
  <c r="DQ381" i="25"/>
  <c r="DP381" i="25"/>
  <c r="DO381" i="25"/>
  <c r="DN381" i="25"/>
  <c r="DM381" i="25"/>
  <c r="DL381" i="25"/>
  <c r="CQ381" i="25" s="1"/>
  <c r="CR381" i="25" s="1"/>
  <c r="DK381" i="25"/>
  <c r="DJ381" i="25"/>
  <c r="DG381" i="25"/>
  <c r="DE381" i="25"/>
  <c r="DH381" i="25" s="1"/>
  <c r="DD381" i="25"/>
  <c r="DC381" i="25"/>
  <c r="CW381" i="25"/>
  <c r="CV381" i="25"/>
  <c r="CU381" i="25"/>
  <c r="DB381" i="25" s="1"/>
  <c r="CT381" i="25"/>
  <c r="CL381" i="25"/>
  <c r="CK381" i="25"/>
  <c r="CC381" i="25"/>
  <c r="CD381" i="25" s="1"/>
  <c r="BX381" i="25"/>
  <c r="BW381" i="25"/>
  <c r="BV381" i="25"/>
  <c r="BU381" i="25"/>
  <c r="BT381" i="25"/>
  <c r="BR381" i="25"/>
  <c r="BQ381" i="25"/>
  <c r="G381" i="25"/>
  <c r="DR380" i="25"/>
  <c r="DQ380" i="25"/>
  <c r="DP380" i="25"/>
  <c r="DO380" i="25"/>
  <c r="DN380" i="25"/>
  <c r="DM380" i="25"/>
  <c r="DL380" i="25"/>
  <c r="DK380" i="25"/>
  <c r="DJ380" i="25"/>
  <c r="DG380" i="25"/>
  <c r="DE380" i="25"/>
  <c r="DF380" i="25" s="1"/>
  <c r="DD380" i="25"/>
  <c r="DC380" i="25"/>
  <c r="CW380" i="25"/>
  <c r="CV380" i="25"/>
  <c r="CU380" i="25"/>
  <c r="CT380" i="25"/>
  <c r="CL380" i="25"/>
  <c r="CK380" i="25"/>
  <c r="CC380" i="25"/>
  <c r="CD380" i="25" s="1"/>
  <c r="BX380" i="25"/>
  <c r="BW380" i="25"/>
  <c r="BV380" i="25"/>
  <c r="BU380" i="25"/>
  <c r="BT380" i="25"/>
  <c r="BR380" i="25"/>
  <c r="BQ380" i="25"/>
  <c r="G380" i="25"/>
  <c r="DR379" i="25"/>
  <c r="DQ379" i="25"/>
  <c r="DP379" i="25"/>
  <c r="DO379" i="25"/>
  <c r="DN379" i="25"/>
  <c r="DM379" i="25"/>
  <c r="DL379" i="25"/>
  <c r="DK379" i="25"/>
  <c r="DJ379" i="25"/>
  <c r="DG379" i="25"/>
  <c r="DE379" i="25"/>
  <c r="DF379" i="25" s="1"/>
  <c r="DD379" i="25"/>
  <c r="DC379" i="25"/>
  <c r="CW379" i="25"/>
  <c r="CV379" i="25"/>
  <c r="CU379" i="25"/>
  <c r="DB379" i="25" s="1"/>
  <c r="CT379" i="25"/>
  <c r="CL379" i="25"/>
  <c r="CK379" i="25"/>
  <c r="CC379" i="25"/>
  <c r="CD379" i="25" s="1"/>
  <c r="BX379" i="25"/>
  <c r="BW379" i="25"/>
  <c r="BV379" i="25"/>
  <c r="BU379" i="25"/>
  <c r="BT379" i="25"/>
  <c r="BR379" i="25"/>
  <c r="BQ379" i="25"/>
  <c r="G379" i="25"/>
  <c r="DR378" i="25"/>
  <c r="DQ378" i="25"/>
  <c r="DP378" i="25"/>
  <c r="DO378" i="25"/>
  <c r="DN378" i="25"/>
  <c r="DM378" i="25"/>
  <c r="DL378" i="25"/>
  <c r="CO378" i="25" s="1"/>
  <c r="DK378" i="25"/>
  <c r="DJ378" i="25"/>
  <c r="DG378" i="25"/>
  <c r="DE378" i="25"/>
  <c r="DD378" i="25"/>
  <c r="DC378" i="25"/>
  <c r="CW378" i="25"/>
  <c r="CV378" i="25"/>
  <c r="CU378" i="25"/>
  <c r="DB378" i="25" s="1"/>
  <c r="CT378" i="25"/>
  <c r="CL378" i="25"/>
  <c r="CK378" i="25"/>
  <c r="CC378" i="25"/>
  <c r="CD378" i="25" s="1"/>
  <c r="BX378" i="25"/>
  <c r="BW378" i="25"/>
  <c r="BV378" i="25"/>
  <c r="BU378" i="25"/>
  <c r="BT378" i="25"/>
  <c r="BR378" i="25"/>
  <c r="BQ378" i="25"/>
  <c r="G378" i="25"/>
  <c r="DR377" i="25"/>
  <c r="DQ377" i="25"/>
  <c r="DP377" i="25"/>
  <c r="DO377" i="25"/>
  <c r="DN377" i="25"/>
  <c r="DM377" i="25"/>
  <c r="DL377" i="25"/>
  <c r="CO377" i="25" s="1"/>
  <c r="DK377" i="25"/>
  <c r="DJ377" i="25"/>
  <c r="DG377" i="25"/>
  <c r="DE377" i="25"/>
  <c r="DF377" i="25" s="1"/>
  <c r="DD377" i="25"/>
  <c r="DC377" i="25"/>
  <c r="CW377" i="25"/>
  <c r="CV377" i="25"/>
  <c r="CU377" i="25"/>
  <c r="DB377" i="25" s="1"/>
  <c r="CT377" i="25"/>
  <c r="CL377" i="25"/>
  <c r="CK377" i="25"/>
  <c r="CC377" i="25"/>
  <c r="CD377" i="25" s="1"/>
  <c r="BX377" i="25"/>
  <c r="BW377" i="25"/>
  <c r="BV377" i="25"/>
  <c r="BU377" i="25"/>
  <c r="BT377" i="25"/>
  <c r="BR377" i="25"/>
  <c r="BQ377" i="25"/>
  <c r="G377" i="25"/>
  <c r="DR376" i="25"/>
  <c r="DQ376" i="25"/>
  <c r="DP376" i="25"/>
  <c r="DO376" i="25"/>
  <c r="DN376" i="25"/>
  <c r="DM376" i="25"/>
  <c r="DL376" i="25"/>
  <c r="CP376" i="25" s="1"/>
  <c r="DK376" i="25"/>
  <c r="DJ376" i="25"/>
  <c r="DG376" i="25"/>
  <c r="DE376" i="25"/>
  <c r="DH376" i="25" s="1"/>
  <c r="DD376" i="25"/>
  <c r="DC376" i="25"/>
  <c r="CW376" i="25"/>
  <c r="CV376" i="25"/>
  <c r="CU376" i="25"/>
  <c r="CT376" i="25"/>
  <c r="CL376" i="25"/>
  <c r="CK376" i="25"/>
  <c r="CC376" i="25"/>
  <c r="BX376" i="25"/>
  <c r="BW376" i="25"/>
  <c r="BV376" i="25"/>
  <c r="BU376" i="25"/>
  <c r="BT376" i="25"/>
  <c r="BR376" i="25"/>
  <c r="BQ376" i="25"/>
  <c r="G376" i="25"/>
  <c r="DR375" i="25"/>
  <c r="DQ375" i="25"/>
  <c r="DP375" i="25"/>
  <c r="DO375" i="25"/>
  <c r="DN375" i="25"/>
  <c r="DM375" i="25"/>
  <c r="DL375" i="25"/>
  <c r="DK375" i="25"/>
  <c r="DJ375" i="25"/>
  <c r="DG375" i="25"/>
  <c r="DE375" i="25"/>
  <c r="DH375" i="25" s="1"/>
  <c r="DD375" i="25"/>
  <c r="DC375" i="25"/>
  <c r="CW375" i="25"/>
  <c r="CV375" i="25"/>
  <c r="CU375" i="25"/>
  <c r="DB375" i="25" s="1"/>
  <c r="CT375" i="25"/>
  <c r="CL375" i="25"/>
  <c r="CK375" i="25"/>
  <c r="CC375" i="25"/>
  <c r="CD375" i="25" s="1"/>
  <c r="BX375" i="25"/>
  <c r="BW375" i="25"/>
  <c r="BV375" i="25"/>
  <c r="BU375" i="25"/>
  <c r="BT375" i="25"/>
  <c r="BR375" i="25"/>
  <c r="BQ375" i="25"/>
  <c r="G375" i="25"/>
  <c r="DR374" i="25"/>
  <c r="DQ374" i="25"/>
  <c r="DP374" i="25"/>
  <c r="DO374" i="25"/>
  <c r="DN374" i="25"/>
  <c r="DM374" i="25"/>
  <c r="DL374" i="25"/>
  <c r="CQ374" i="25" s="1"/>
  <c r="CR374" i="25" s="1"/>
  <c r="DK374" i="25"/>
  <c r="DJ374" i="25"/>
  <c r="DG374" i="25"/>
  <c r="DE374" i="25"/>
  <c r="DF374" i="25" s="1"/>
  <c r="DD374" i="25"/>
  <c r="DC374" i="25"/>
  <c r="CW374" i="25"/>
  <c r="CV374" i="25"/>
  <c r="CU374" i="25"/>
  <c r="DB374" i="25" s="1"/>
  <c r="CT374" i="25"/>
  <c r="CL374" i="25"/>
  <c r="CK374" i="25"/>
  <c r="CC374" i="25"/>
  <c r="BX374" i="25"/>
  <c r="BW374" i="25"/>
  <c r="BV374" i="25"/>
  <c r="BU374" i="25"/>
  <c r="BT374" i="25"/>
  <c r="BR374" i="25"/>
  <c r="BQ374" i="25"/>
  <c r="G374" i="25"/>
  <c r="DR373" i="25"/>
  <c r="DQ373" i="25"/>
  <c r="DP373" i="25"/>
  <c r="DO373" i="25"/>
  <c r="DN373" i="25"/>
  <c r="DM373" i="25"/>
  <c r="DL373" i="25"/>
  <c r="CP373" i="25" s="1"/>
  <c r="DK373" i="25"/>
  <c r="DJ373" i="25"/>
  <c r="DG373" i="25"/>
  <c r="DE373" i="25"/>
  <c r="DD373" i="25"/>
  <c r="DC373" i="25"/>
  <c r="CW373" i="25"/>
  <c r="CV373" i="25"/>
  <c r="CU373" i="25"/>
  <c r="CT373" i="25"/>
  <c r="CL373" i="25"/>
  <c r="CK373" i="25"/>
  <c r="CC373" i="25"/>
  <c r="CD373" i="25" s="1"/>
  <c r="BX373" i="25"/>
  <c r="BW373" i="25"/>
  <c r="BV373" i="25"/>
  <c r="BU373" i="25"/>
  <c r="BT373" i="25"/>
  <c r="BR373" i="25"/>
  <c r="BQ373" i="25"/>
  <c r="G373" i="25"/>
  <c r="DR372" i="25"/>
  <c r="DQ372" i="25"/>
  <c r="DP372" i="25"/>
  <c r="DO372" i="25"/>
  <c r="DN372" i="25"/>
  <c r="DM372" i="25"/>
  <c r="DL372" i="25"/>
  <c r="CO372" i="25" s="1"/>
  <c r="DK372" i="25"/>
  <c r="DJ372" i="25"/>
  <c r="DG372" i="25"/>
  <c r="DE372" i="25"/>
  <c r="DF372" i="25" s="1"/>
  <c r="DD372" i="25"/>
  <c r="DC372" i="25"/>
  <c r="CW372" i="25"/>
  <c r="CV372" i="25"/>
  <c r="CU372" i="25"/>
  <c r="DB372" i="25" s="1"/>
  <c r="CT372" i="25"/>
  <c r="CL372" i="25"/>
  <c r="CK372" i="25"/>
  <c r="CC372" i="25"/>
  <c r="CD372" i="25" s="1"/>
  <c r="BX372" i="25"/>
  <c r="BW372" i="25"/>
  <c r="BV372" i="25"/>
  <c r="BU372" i="25"/>
  <c r="BT372" i="25"/>
  <c r="BR372" i="25"/>
  <c r="BQ372" i="25"/>
  <c r="G372" i="25"/>
  <c r="DR371" i="25"/>
  <c r="DQ371" i="25"/>
  <c r="DP371" i="25"/>
  <c r="DO371" i="25"/>
  <c r="DN371" i="25"/>
  <c r="DM371" i="25"/>
  <c r="DL371" i="25"/>
  <c r="DK371" i="25"/>
  <c r="DJ371" i="25"/>
  <c r="DG371" i="25"/>
  <c r="DE371" i="25"/>
  <c r="DH371" i="25" s="1"/>
  <c r="DD371" i="25"/>
  <c r="DC371" i="25"/>
  <c r="CW371" i="25"/>
  <c r="CV371" i="25"/>
  <c r="CU371" i="25"/>
  <c r="DB371" i="25" s="1"/>
  <c r="CT371" i="25"/>
  <c r="CL371" i="25"/>
  <c r="CK371" i="25"/>
  <c r="CC371" i="25"/>
  <c r="CD371" i="25" s="1"/>
  <c r="BX371" i="25"/>
  <c r="BW371" i="25"/>
  <c r="BV371" i="25"/>
  <c r="BU371" i="25"/>
  <c r="BT371" i="25"/>
  <c r="BR371" i="25"/>
  <c r="BQ371" i="25"/>
  <c r="G371" i="25"/>
  <c r="DR370" i="25"/>
  <c r="DQ370" i="25"/>
  <c r="DP370" i="25"/>
  <c r="DO370" i="25"/>
  <c r="DN370" i="25"/>
  <c r="DM370" i="25"/>
  <c r="DL370" i="25"/>
  <c r="CQ370" i="25" s="1"/>
  <c r="CR370" i="25" s="1"/>
  <c r="DK370" i="25"/>
  <c r="DJ370" i="25"/>
  <c r="DG370" i="25"/>
  <c r="DE370" i="25"/>
  <c r="DF370" i="25" s="1"/>
  <c r="DD370" i="25"/>
  <c r="DC370" i="25"/>
  <c r="CW370" i="25"/>
  <c r="CV370" i="25"/>
  <c r="CU370" i="25"/>
  <c r="DB370" i="25" s="1"/>
  <c r="CT370" i="25"/>
  <c r="CL370" i="25"/>
  <c r="CK370" i="25"/>
  <c r="CC370" i="25"/>
  <c r="BX370" i="25"/>
  <c r="BW370" i="25"/>
  <c r="BV370" i="25"/>
  <c r="BU370" i="25"/>
  <c r="BT370" i="25"/>
  <c r="BR370" i="25"/>
  <c r="BQ370" i="25"/>
  <c r="G370" i="25"/>
  <c r="DR369" i="25"/>
  <c r="DQ369" i="25"/>
  <c r="DP369" i="25"/>
  <c r="DO369" i="25"/>
  <c r="DN369" i="25"/>
  <c r="DM369" i="25"/>
  <c r="DL369" i="25"/>
  <c r="CQ369" i="25" s="1"/>
  <c r="CR369" i="25" s="1"/>
  <c r="DK369" i="25"/>
  <c r="DJ369" i="25"/>
  <c r="DG369" i="25"/>
  <c r="DE369" i="25"/>
  <c r="DH369" i="25" s="1"/>
  <c r="DD369" i="25"/>
  <c r="DC369" i="25"/>
  <c r="CW369" i="25"/>
  <c r="CV369" i="25"/>
  <c r="CU369" i="25"/>
  <c r="DB369" i="25" s="1"/>
  <c r="CT369" i="25"/>
  <c r="CL369" i="25"/>
  <c r="CK369" i="25"/>
  <c r="CC369" i="25"/>
  <c r="CD369" i="25" s="1"/>
  <c r="BX369" i="25"/>
  <c r="BW369" i="25"/>
  <c r="BV369" i="25"/>
  <c r="BU369" i="25"/>
  <c r="BT369" i="25"/>
  <c r="BR369" i="25"/>
  <c r="BQ369" i="25"/>
  <c r="G369" i="25"/>
  <c r="DR368" i="25"/>
  <c r="DQ368" i="25"/>
  <c r="DP368" i="25"/>
  <c r="DO368" i="25"/>
  <c r="DN368" i="25"/>
  <c r="DM368" i="25"/>
  <c r="DL368" i="25"/>
  <c r="CO368" i="25" s="1"/>
  <c r="DK368" i="25"/>
  <c r="DJ368" i="25"/>
  <c r="DG368" i="25"/>
  <c r="DE368" i="25"/>
  <c r="DF368" i="25" s="1"/>
  <c r="DD368" i="25"/>
  <c r="DC368" i="25"/>
  <c r="CW368" i="25"/>
  <c r="CV368" i="25"/>
  <c r="CU368" i="25"/>
  <c r="CT368" i="25"/>
  <c r="CL368" i="25"/>
  <c r="CK368" i="25"/>
  <c r="CC368" i="25"/>
  <c r="CD368" i="25" s="1"/>
  <c r="BX368" i="25"/>
  <c r="BW368" i="25"/>
  <c r="BV368" i="25"/>
  <c r="BU368" i="25"/>
  <c r="BT368" i="25"/>
  <c r="BR368" i="25"/>
  <c r="BQ368" i="25"/>
  <c r="G368" i="25"/>
  <c r="DR367" i="25"/>
  <c r="DQ367" i="25"/>
  <c r="DP367" i="25"/>
  <c r="DO367" i="25"/>
  <c r="DN367" i="25"/>
  <c r="DM367" i="25"/>
  <c r="DL367" i="25"/>
  <c r="CP367" i="25" s="1"/>
  <c r="DK367" i="25"/>
  <c r="DJ367" i="25"/>
  <c r="DG367" i="25"/>
  <c r="DE367" i="25"/>
  <c r="DD367" i="25"/>
  <c r="DC367" i="25"/>
  <c r="CW367" i="25"/>
  <c r="CV367" i="25"/>
  <c r="CU367" i="25"/>
  <c r="DB367" i="25" s="1"/>
  <c r="CT367" i="25"/>
  <c r="CL367" i="25"/>
  <c r="CK367" i="25"/>
  <c r="CC367" i="25"/>
  <c r="CD367" i="25" s="1"/>
  <c r="BX367" i="25"/>
  <c r="BW367" i="25"/>
  <c r="BV367" i="25"/>
  <c r="BU367" i="25"/>
  <c r="BT367" i="25"/>
  <c r="BR367" i="25"/>
  <c r="BQ367" i="25"/>
  <c r="G367" i="25"/>
  <c r="DR366" i="25"/>
  <c r="DQ366" i="25"/>
  <c r="DP366" i="25"/>
  <c r="DO366" i="25"/>
  <c r="DN366" i="25"/>
  <c r="DM366" i="25"/>
  <c r="DL366" i="25"/>
  <c r="CP366" i="25" s="1"/>
  <c r="DK366" i="25"/>
  <c r="DJ366" i="25"/>
  <c r="DG366" i="25"/>
  <c r="DE366" i="25"/>
  <c r="DH366" i="25" s="1"/>
  <c r="DD366" i="25"/>
  <c r="DC366" i="25"/>
  <c r="CW366" i="25"/>
  <c r="CV366" i="25"/>
  <c r="CU366" i="25"/>
  <c r="DB366" i="25" s="1"/>
  <c r="CT366" i="25"/>
  <c r="CL366" i="25"/>
  <c r="CK366" i="25"/>
  <c r="CC366" i="25"/>
  <c r="CD366" i="25" s="1"/>
  <c r="BX366" i="25"/>
  <c r="BW366" i="25"/>
  <c r="BV366" i="25"/>
  <c r="BU366" i="25"/>
  <c r="BT366" i="25"/>
  <c r="BR366" i="25"/>
  <c r="BQ366" i="25"/>
  <c r="G366" i="25"/>
  <c r="DR365" i="25"/>
  <c r="DQ365" i="25"/>
  <c r="DP365" i="25"/>
  <c r="DO365" i="25"/>
  <c r="DN365" i="25"/>
  <c r="DM365" i="25"/>
  <c r="DL365" i="25"/>
  <c r="CQ365" i="25" s="1"/>
  <c r="CR365" i="25" s="1"/>
  <c r="DK365" i="25"/>
  <c r="DJ365" i="25"/>
  <c r="DG365" i="25"/>
  <c r="DE365" i="25"/>
  <c r="DH365" i="25" s="1"/>
  <c r="DD365" i="25"/>
  <c r="DC365" i="25"/>
  <c r="CW365" i="25"/>
  <c r="CV365" i="25"/>
  <c r="CU365" i="25"/>
  <c r="DB365" i="25" s="1"/>
  <c r="CT365" i="25"/>
  <c r="CL365" i="25"/>
  <c r="CK365" i="25"/>
  <c r="CC365" i="25"/>
  <c r="CD365" i="25" s="1"/>
  <c r="BX365" i="25"/>
  <c r="BW365" i="25"/>
  <c r="BV365" i="25"/>
  <c r="BU365" i="25"/>
  <c r="BT365" i="25"/>
  <c r="BR365" i="25"/>
  <c r="BQ365" i="25"/>
  <c r="G365" i="25"/>
  <c r="DR364" i="25"/>
  <c r="DQ364" i="25"/>
  <c r="DP364" i="25"/>
  <c r="DO364" i="25"/>
  <c r="DN364" i="25"/>
  <c r="DM364" i="25"/>
  <c r="DL364" i="25"/>
  <c r="CO364" i="25" s="1"/>
  <c r="DK364" i="25"/>
  <c r="DJ364" i="25"/>
  <c r="DG364" i="25"/>
  <c r="DE364" i="25"/>
  <c r="DH364" i="25" s="1"/>
  <c r="DD364" i="25"/>
  <c r="DC364" i="25"/>
  <c r="CW364" i="25"/>
  <c r="CV364" i="25"/>
  <c r="CU364" i="25"/>
  <c r="DB364" i="25" s="1"/>
  <c r="CT364" i="25"/>
  <c r="CL364" i="25"/>
  <c r="CK364" i="25"/>
  <c r="CC364" i="25"/>
  <c r="CD364" i="25" s="1"/>
  <c r="BX364" i="25"/>
  <c r="BW364" i="25"/>
  <c r="BV364" i="25"/>
  <c r="BU364" i="25"/>
  <c r="BT364" i="25"/>
  <c r="BR364" i="25"/>
  <c r="BQ364" i="25"/>
  <c r="G364" i="25"/>
  <c r="DR363" i="25"/>
  <c r="DQ363" i="25"/>
  <c r="DP363" i="25"/>
  <c r="DO363" i="25"/>
  <c r="DN363" i="25"/>
  <c r="DM363" i="25"/>
  <c r="DL363" i="25"/>
  <c r="CO363" i="25" s="1"/>
  <c r="DK363" i="25"/>
  <c r="DJ363" i="25"/>
  <c r="DG363" i="25"/>
  <c r="DE363" i="25"/>
  <c r="DH363" i="25" s="1"/>
  <c r="DD363" i="25"/>
  <c r="DC363" i="25"/>
  <c r="CW363" i="25"/>
  <c r="CV363" i="25"/>
  <c r="CU363" i="25"/>
  <c r="DB363" i="25" s="1"/>
  <c r="CT363" i="25"/>
  <c r="CL363" i="25"/>
  <c r="CK363" i="25"/>
  <c r="CC363" i="25"/>
  <c r="BX363" i="25"/>
  <c r="BW363" i="25"/>
  <c r="BV363" i="25"/>
  <c r="BU363" i="25"/>
  <c r="BT363" i="25"/>
  <c r="BR363" i="25"/>
  <c r="BQ363" i="25"/>
  <c r="G363" i="25"/>
  <c r="DR362" i="25"/>
  <c r="DQ362" i="25"/>
  <c r="DP362" i="25"/>
  <c r="DO362" i="25"/>
  <c r="DN362" i="25"/>
  <c r="DM362" i="25"/>
  <c r="DL362" i="25"/>
  <c r="CP362" i="25" s="1"/>
  <c r="DK362" i="25"/>
  <c r="DJ362" i="25"/>
  <c r="DG362" i="25"/>
  <c r="DE362" i="25"/>
  <c r="DD362" i="25"/>
  <c r="DC362" i="25"/>
  <c r="CW362" i="25"/>
  <c r="CV362" i="25"/>
  <c r="CU362" i="25"/>
  <c r="DB362" i="25" s="1"/>
  <c r="CT362" i="25"/>
  <c r="CL362" i="25"/>
  <c r="CK362" i="25"/>
  <c r="CC362" i="25"/>
  <c r="BX362" i="25"/>
  <c r="BW362" i="25"/>
  <c r="BV362" i="25"/>
  <c r="BU362" i="25"/>
  <c r="BT362" i="25"/>
  <c r="BR362" i="25"/>
  <c r="BQ362" i="25"/>
  <c r="G362" i="25"/>
  <c r="DR361" i="25"/>
  <c r="DQ361" i="25"/>
  <c r="DP361" i="25"/>
  <c r="DO361" i="25"/>
  <c r="DN361" i="25"/>
  <c r="DM361" i="25"/>
  <c r="DL361" i="25"/>
  <c r="CP361" i="25" s="1"/>
  <c r="DK361" i="25"/>
  <c r="DJ361" i="25"/>
  <c r="DG361" i="25"/>
  <c r="DE361" i="25"/>
  <c r="DH361" i="25" s="1"/>
  <c r="DD361" i="25"/>
  <c r="DC361" i="25"/>
  <c r="CW361" i="25"/>
  <c r="CV361" i="25"/>
  <c r="CU361" i="25"/>
  <c r="CT361" i="25"/>
  <c r="CL361" i="25"/>
  <c r="CK361" i="25"/>
  <c r="CC361" i="25"/>
  <c r="CD361" i="25" s="1"/>
  <c r="BX361" i="25"/>
  <c r="BW361" i="25"/>
  <c r="BV361" i="25"/>
  <c r="BU361" i="25"/>
  <c r="BT361" i="25"/>
  <c r="BR361" i="25"/>
  <c r="BQ361" i="25"/>
  <c r="G361" i="25"/>
  <c r="DR360" i="25"/>
  <c r="DQ360" i="25"/>
  <c r="DP360" i="25"/>
  <c r="DO360" i="25"/>
  <c r="DN360" i="25"/>
  <c r="DM360" i="25"/>
  <c r="DL360" i="25"/>
  <c r="CP360" i="25" s="1"/>
  <c r="DK360" i="25"/>
  <c r="DJ360" i="25"/>
  <c r="DG360" i="25"/>
  <c r="DE360" i="25"/>
  <c r="DD360" i="25"/>
  <c r="DC360" i="25"/>
  <c r="CW360" i="25"/>
  <c r="CV360" i="25"/>
  <c r="CU360" i="25"/>
  <c r="DB360" i="25" s="1"/>
  <c r="CT360" i="25"/>
  <c r="CL360" i="25"/>
  <c r="CK360" i="25"/>
  <c r="CC360" i="25"/>
  <c r="CD360" i="25" s="1"/>
  <c r="BX360" i="25"/>
  <c r="BW360" i="25"/>
  <c r="BV360" i="25"/>
  <c r="BU360" i="25"/>
  <c r="BT360" i="25"/>
  <c r="BR360" i="25"/>
  <c r="BQ360" i="25"/>
  <c r="G360" i="25"/>
  <c r="DR359" i="25"/>
  <c r="DQ359" i="25"/>
  <c r="DP359" i="25"/>
  <c r="DO359" i="25"/>
  <c r="DN359" i="25"/>
  <c r="DM359" i="25"/>
  <c r="DL359" i="25"/>
  <c r="CO359" i="25" s="1"/>
  <c r="DK359" i="25"/>
  <c r="DJ359" i="25"/>
  <c r="DG359" i="25"/>
  <c r="DE359" i="25"/>
  <c r="DH359" i="25" s="1"/>
  <c r="DD359" i="25"/>
  <c r="DC359" i="25"/>
  <c r="CW359" i="25"/>
  <c r="CV359" i="25"/>
  <c r="CU359" i="25"/>
  <c r="DB359" i="25" s="1"/>
  <c r="CT359" i="25"/>
  <c r="CL359" i="25"/>
  <c r="CK359" i="25"/>
  <c r="CC359" i="25"/>
  <c r="CD359" i="25" s="1"/>
  <c r="BX359" i="25"/>
  <c r="BW359" i="25"/>
  <c r="BV359" i="25"/>
  <c r="BU359" i="25"/>
  <c r="BT359" i="25"/>
  <c r="BR359" i="25"/>
  <c r="BQ359" i="25"/>
  <c r="G359" i="25"/>
  <c r="DR358" i="25"/>
  <c r="DQ358" i="25"/>
  <c r="DP358" i="25"/>
  <c r="DO358" i="25"/>
  <c r="DN358" i="25"/>
  <c r="DM358" i="25"/>
  <c r="DL358" i="25"/>
  <c r="CP358" i="25" s="1"/>
  <c r="DK358" i="25"/>
  <c r="DJ358" i="25"/>
  <c r="DG358" i="25"/>
  <c r="DE358" i="25"/>
  <c r="DH358" i="25" s="1"/>
  <c r="DD358" i="25"/>
  <c r="DC358" i="25"/>
  <c r="CW358" i="25"/>
  <c r="CV358" i="25"/>
  <c r="CU358" i="25"/>
  <c r="DB358" i="25" s="1"/>
  <c r="CT358" i="25"/>
  <c r="CL358" i="25"/>
  <c r="CK358" i="25"/>
  <c r="CC358" i="25"/>
  <c r="BX358" i="25"/>
  <c r="BW358" i="25"/>
  <c r="BV358" i="25"/>
  <c r="BU358" i="25"/>
  <c r="BT358" i="25"/>
  <c r="BR358" i="25"/>
  <c r="BQ358" i="25"/>
  <c r="G358" i="25"/>
  <c r="DR357" i="25"/>
  <c r="DQ357" i="25"/>
  <c r="DP357" i="25"/>
  <c r="DO357" i="25"/>
  <c r="DN357" i="25"/>
  <c r="DM357" i="25"/>
  <c r="DL357" i="25"/>
  <c r="DK357" i="25"/>
  <c r="DJ357" i="25"/>
  <c r="DG357" i="25"/>
  <c r="DE357" i="25"/>
  <c r="DD357" i="25"/>
  <c r="DC357" i="25"/>
  <c r="CW357" i="25"/>
  <c r="CV357" i="25"/>
  <c r="CU357" i="25"/>
  <c r="DB357" i="25" s="1"/>
  <c r="CT357" i="25"/>
  <c r="CL357" i="25"/>
  <c r="CK357" i="25"/>
  <c r="CC357" i="25"/>
  <c r="CD357" i="25" s="1"/>
  <c r="BX357" i="25"/>
  <c r="BW357" i="25"/>
  <c r="BV357" i="25"/>
  <c r="BU357" i="25"/>
  <c r="BT357" i="25"/>
  <c r="BR357" i="25"/>
  <c r="BQ357" i="25"/>
  <c r="G357" i="25"/>
  <c r="DR356" i="25"/>
  <c r="DQ356" i="25"/>
  <c r="DP356" i="25"/>
  <c r="DO356" i="25"/>
  <c r="DN356" i="25"/>
  <c r="DM356" i="25"/>
  <c r="DL356" i="25"/>
  <c r="CP356" i="25" s="1"/>
  <c r="DK356" i="25"/>
  <c r="DJ356" i="25"/>
  <c r="DG356" i="25"/>
  <c r="DE356" i="25"/>
  <c r="DH356" i="25" s="1"/>
  <c r="DD356" i="25"/>
  <c r="DC356" i="25"/>
  <c r="CW356" i="25"/>
  <c r="CV356" i="25"/>
  <c r="CU356" i="25"/>
  <c r="DB356" i="25" s="1"/>
  <c r="CT356" i="25"/>
  <c r="CL356" i="25"/>
  <c r="CK356" i="25"/>
  <c r="CC356" i="25"/>
  <c r="BX356" i="25"/>
  <c r="BW356" i="25"/>
  <c r="BV356" i="25"/>
  <c r="BU356" i="25"/>
  <c r="BT356" i="25"/>
  <c r="BR356" i="25"/>
  <c r="BQ356" i="25"/>
  <c r="G356" i="25"/>
  <c r="DR355" i="25"/>
  <c r="DQ355" i="25"/>
  <c r="DP355" i="25"/>
  <c r="DO355" i="25"/>
  <c r="DN355" i="25"/>
  <c r="DM355" i="25"/>
  <c r="DL355" i="25"/>
  <c r="CQ355" i="25" s="1"/>
  <c r="CR355" i="25" s="1"/>
  <c r="DK355" i="25"/>
  <c r="DJ355" i="25"/>
  <c r="DG355" i="25"/>
  <c r="DE355" i="25"/>
  <c r="DD355" i="25"/>
  <c r="DC355" i="25"/>
  <c r="CW355" i="25"/>
  <c r="CV355" i="25"/>
  <c r="CU355" i="25"/>
  <c r="DB355" i="25" s="1"/>
  <c r="CT355" i="25"/>
  <c r="CL355" i="25"/>
  <c r="CK355" i="25"/>
  <c r="CC355" i="25"/>
  <c r="CD355" i="25" s="1"/>
  <c r="BX355" i="25"/>
  <c r="BW355" i="25"/>
  <c r="BV355" i="25"/>
  <c r="BU355" i="25"/>
  <c r="BT355" i="25"/>
  <c r="BR355" i="25"/>
  <c r="BQ355" i="25"/>
  <c r="G355" i="25"/>
  <c r="DR354" i="25"/>
  <c r="DQ354" i="25"/>
  <c r="DP354" i="25"/>
  <c r="DO354" i="25"/>
  <c r="DN354" i="25"/>
  <c r="DM354" i="25"/>
  <c r="DL354" i="25"/>
  <c r="CO354" i="25" s="1"/>
  <c r="DK354" i="25"/>
  <c r="DJ354" i="25"/>
  <c r="DG354" i="25"/>
  <c r="DE354" i="25"/>
  <c r="DH354" i="25" s="1"/>
  <c r="DD354" i="25"/>
  <c r="DC354" i="25"/>
  <c r="CW354" i="25"/>
  <c r="CV354" i="25"/>
  <c r="CU354" i="25"/>
  <c r="CT354" i="25"/>
  <c r="CL354" i="25"/>
  <c r="CK354" i="25"/>
  <c r="CC354" i="25"/>
  <c r="CD354" i="25" s="1"/>
  <c r="BX354" i="25"/>
  <c r="BW354" i="25"/>
  <c r="BV354" i="25"/>
  <c r="BU354" i="25"/>
  <c r="BT354" i="25"/>
  <c r="BR354" i="25"/>
  <c r="BQ354" i="25"/>
  <c r="G354" i="25"/>
  <c r="DR353" i="25"/>
  <c r="DQ353" i="25"/>
  <c r="DP353" i="25"/>
  <c r="DO353" i="25"/>
  <c r="DN353" i="25"/>
  <c r="DM353" i="25"/>
  <c r="DL353" i="25"/>
  <c r="DK353" i="25"/>
  <c r="DJ353" i="25"/>
  <c r="DG353" i="25"/>
  <c r="DE353" i="25"/>
  <c r="DD353" i="25"/>
  <c r="DC353" i="25"/>
  <c r="CW353" i="25"/>
  <c r="CV353" i="25"/>
  <c r="CU353" i="25"/>
  <c r="CT353" i="25"/>
  <c r="CL353" i="25"/>
  <c r="CK353" i="25"/>
  <c r="CC353" i="25"/>
  <c r="CD353" i="25" s="1"/>
  <c r="BX353" i="25"/>
  <c r="BW353" i="25"/>
  <c r="BV353" i="25"/>
  <c r="BU353" i="25"/>
  <c r="BT353" i="25"/>
  <c r="BR353" i="25"/>
  <c r="BQ353" i="25"/>
  <c r="G353" i="25"/>
  <c r="DR352" i="25"/>
  <c r="DQ352" i="25"/>
  <c r="DP352" i="25"/>
  <c r="DO352" i="25"/>
  <c r="DN352" i="25"/>
  <c r="DM352" i="25"/>
  <c r="DL352" i="25"/>
  <c r="CO352" i="25" s="1"/>
  <c r="DK352" i="25"/>
  <c r="DJ352" i="25"/>
  <c r="DG352" i="25"/>
  <c r="DE352" i="25"/>
  <c r="DH352" i="25" s="1"/>
  <c r="DD352" i="25"/>
  <c r="DC352" i="25"/>
  <c r="CW352" i="25"/>
  <c r="CV352" i="25"/>
  <c r="CU352" i="25"/>
  <c r="DB352" i="25" s="1"/>
  <c r="CT352" i="25"/>
  <c r="CL352" i="25"/>
  <c r="CK352" i="25"/>
  <c r="CC352" i="25"/>
  <c r="CD352" i="25" s="1"/>
  <c r="BX352" i="25"/>
  <c r="BW352" i="25"/>
  <c r="BV352" i="25"/>
  <c r="BU352" i="25"/>
  <c r="BT352" i="25"/>
  <c r="BR352" i="25"/>
  <c r="BQ352" i="25"/>
  <c r="G352" i="25"/>
  <c r="DR351" i="25"/>
  <c r="DQ351" i="25"/>
  <c r="DP351" i="25"/>
  <c r="DO351" i="25"/>
  <c r="DN351" i="25"/>
  <c r="DM351" i="25"/>
  <c r="DL351" i="25"/>
  <c r="CQ351" i="25" s="1"/>
  <c r="CR351" i="25" s="1"/>
  <c r="DK351" i="25"/>
  <c r="DJ351" i="25"/>
  <c r="DG351" i="25"/>
  <c r="DE351" i="25"/>
  <c r="DF351" i="25" s="1"/>
  <c r="DD351" i="25"/>
  <c r="DC351" i="25"/>
  <c r="CW351" i="25"/>
  <c r="CV351" i="25"/>
  <c r="CU351" i="25"/>
  <c r="DB351" i="25" s="1"/>
  <c r="CT351" i="25"/>
  <c r="CL351" i="25"/>
  <c r="CK351" i="25"/>
  <c r="CC351" i="25"/>
  <c r="CD351" i="25" s="1"/>
  <c r="BX351" i="25"/>
  <c r="BW351" i="25"/>
  <c r="BV351" i="25"/>
  <c r="BU351" i="25"/>
  <c r="BT351" i="25"/>
  <c r="BR351" i="25"/>
  <c r="BQ351" i="25"/>
  <c r="G351" i="25"/>
  <c r="DR350" i="25"/>
  <c r="DQ350" i="25"/>
  <c r="DP350" i="25"/>
  <c r="DO350" i="25"/>
  <c r="DN350" i="25"/>
  <c r="DM350" i="25"/>
  <c r="DL350" i="25"/>
  <c r="DK350" i="25"/>
  <c r="DJ350" i="25"/>
  <c r="DG350" i="25"/>
  <c r="DE350" i="25"/>
  <c r="DH350" i="25" s="1"/>
  <c r="DD350" i="25"/>
  <c r="DC350" i="25"/>
  <c r="CW350" i="25"/>
  <c r="CV350" i="25"/>
  <c r="CU350" i="25"/>
  <c r="DB350" i="25" s="1"/>
  <c r="CT350" i="25"/>
  <c r="CL350" i="25"/>
  <c r="CK350" i="25"/>
  <c r="CC350" i="25"/>
  <c r="CD350" i="25" s="1"/>
  <c r="BX350" i="25"/>
  <c r="BW350" i="25"/>
  <c r="BV350" i="25"/>
  <c r="BU350" i="25"/>
  <c r="BT350" i="25"/>
  <c r="BR350" i="25"/>
  <c r="BQ350" i="25"/>
  <c r="G350" i="25"/>
  <c r="DR349" i="25"/>
  <c r="DQ349" i="25"/>
  <c r="DP349" i="25"/>
  <c r="DO349" i="25"/>
  <c r="DN349" i="25"/>
  <c r="DM349" i="25"/>
  <c r="DL349" i="25"/>
  <c r="DK349" i="25"/>
  <c r="DJ349" i="25"/>
  <c r="DG349" i="25"/>
  <c r="DE349" i="25"/>
  <c r="DF349" i="25" s="1"/>
  <c r="DD349" i="25"/>
  <c r="DC349" i="25"/>
  <c r="CW349" i="25"/>
  <c r="CV349" i="25"/>
  <c r="CU349" i="25"/>
  <c r="CT349" i="25"/>
  <c r="CL349" i="25"/>
  <c r="CK349" i="25"/>
  <c r="CC349" i="25"/>
  <c r="CD349" i="25" s="1"/>
  <c r="BX349" i="25"/>
  <c r="BW349" i="25"/>
  <c r="BV349" i="25"/>
  <c r="BU349" i="25"/>
  <c r="BT349" i="25"/>
  <c r="BR349" i="25"/>
  <c r="BQ349" i="25"/>
  <c r="G349" i="25"/>
  <c r="DR348" i="25"/>
  <c r="DQ348" i="25"/>
  <c r="DP348" i="25"/>
  <c r="DO348" i="25"/>
  <c r="DN348" i="25"/>
  <c r="DM348" i="25"/>
  <c r="DL348" i="25"/>
  <c r="DK348" i="25"/>
  <c r="DJ348" i="25"/>
  <c r="DG348" i="25"/>
  <c r="DE348" i="25"/>
  <c r="DH348" i="25" s="1"/>
  <c r="DD348" i="25"/>
  <c r="DC348" i="25"/>
  <c r="CW348" i="25"/>
  <c r="CV348" i="25"/>
  <c r="CU348" i="25"/>
  <c r="DB348" i="25" s="1"/>
  <c r="CT348" i="25"/>
  <c r="CL348" i="25"/>
  <c r="CK348" i="25"/>
  <c r="CC348" i="25"/>
  <c r="CD348" i="25" s="1"/>
  <c r="BX348" i="25"/>
  <c r="BW348" i="25"/>
  <c r="BV348" i="25"/>
  <c r="BU348" i="25"/>
  <c r="BT348" i="25"/>
  <c r="BR348" i="25"/>
  <c r="BQ348" i="25"/>
  <c r="G348" i="25"/>
  <c r="DR347" i="25"/>
  <c r="DQ347" i="25"/>
  <c r="DP347" i="25"/>
  <c r="DO347" i="25"/>
  <c r="DN347" i="25"/>
  <c r="DM347" i="25"/>
  <c r="DL347" i="25"/>
  <c r="CO347" i="25" s="1"/>
  <c r="DK347" i="25"/>
  <c r="DJ347" i="25"/>
  <c r="DG347" i="25"/>
  <c r="DE347" i="25"/>
  <c r="DF347" i="25" s="1"/>
  <c r="DD347" i="25"/>
  <c r="DC347" i="25"/>
  <c r="CW347" i="25"/>
  <c r="CV347" i="25"/>
  <c r="CU347" i="25"/>
  <c r="DB347" i="25" s="1"/>
  <c r="CT347" i="25"/>
  <c r="CL347" i="25"/>
  <c r="CK347" i="25"/>
  <c r="CC347" i="25"/>
  <c r="CD347" i="25" s="1"/>
  <c r="BX347" i="25"/>
  <c r="BW347" i="25"/>
  <c r="BV347" i="25"/>
  <c r="BU347" i="25"/>
  <c r="BT347" i="25"/>
  <c r="BR347" i="25"/>
  <c r="BQ347" i="25"/>
  <c r="G347" i="25"/>
  <c r="DR346" i="25"/>
  <c r="DQ346" i="25"/>
  <c r="DP346" i="25"/>
  <c r="DO346" i="25"/>
  <c r="DN346" i="25"/>
  <c r="DM346" i="25"/>
  <c r="DL346" i="25"/>
  <c r="CQ346" i="25" s="1"/>
  <c r="CR346" i="25" s="1"/>
  <c r="DK346" i="25"/>
  <c r="DJ346" i="25"/>
  <c r="DG346" i="25"/>
  <c r="DE346" i="25"/>
  <c r="DH346" i="25" s="1"/>
  <c r="DD346" i="25"/>
  <c r="DC346" i="25"/>
  <c r="CW346" i="25"/>
  <c r="CV346" i="25"/>
  <c r="CU346" i="25"/>
  <c r="CT346" i="25"/>
  <c r="CL346" i="25"/>
  <c r="CK346" i="25"/>
  <c r="CC346" i="25"/>
  <c r="CD346" i="25" s="1"/>
  <c r="BX346" i="25"/>
  <c r="BW346" i="25"/>
  <c r="BV346" i="25"/>
  <c r="BU346" i="25"/>
  <c r="BT346" i="25"/>
  <c r="BR346" i="25"/>
  <c r="BQ346" i="25"/>
  <c r="G346" i="25"/>
  <c r="DR345" i="25"/>
  <c r="DQ345" i="25"/>
  <c r="DP345" i="25"/>
  <c r="DO345" i="25"/>
  <c r="DN345" i="25"/>
  <c r="DM345" i="25"/>
  <c r="DL345" i="25"/>
  <c r="CP345" i="25" s="1"/>
  <c r="DK345" i="25"/>
  <c r="DJ345" i="25"/>
  <c r="DG345" i="25"/>
  <c r="DE345" i="25"/>
  <c r="DD345" i="25"/>
  <c r="DC345" i="25"/>
  <c r="CW345" i="25"/>
  <c r="CV345" i="25"/>
  <c r="CU345" i="25"/>
  <c r="DB345" i="25" s="1"/>
  <c r="CT345" i="25"/>
  <c r="CL345" i="25"/>
  <c r="CK345" i="25"/>
  <c r="CC345" i="25"/>
  <c r="CD345" i="25" s="1"/>
  <c r="BX345" i="25"/>
  <c r="BW345" i="25"/>
  <c r="BV345" i="25"/>
  <c r="BU345" i="25"/>
  <c r="BT345" i="25"/>
  <c r="BR345" i="25"/>
  <c r="BQ345" i="25"/>
  <c r="G345" i="25"/>
  <c r="DR206" i="25"/>
  <c r="DQ206" i="25"/>
  <c r="DP206" i="25"/>
  <c r="DO206" i="25"/>
  <c r="DN206" i="25"/>
  <c r="DM206" i="25"/>
  <c r="DL206" i="25"/>
  <c r="DK206" i="25"/>
  <c r="DJ206" i="25"/>
  <c r="DG206" i="25"/>
  <c r="DE206" i="25"/>
  <c r="DH206" i="25" s="1"/>
  <c r="DD206" i="25"/>
  <c r="DC206" i="25"/>
  <c r="CW206" i="25"/>
  <c r="CV206" i="25"/>
  <c r="CU206" i="25"/>
  <c r="DB206" i="25" s="1"/>
  <c r="CT206" i="25"/>
  <c r="CL206" i="25"/>
  <c r="CK206" i="25"/>
  <c r="CC206" i="25"/>
  <c r="BX206" i="25"/>
  <c r="BW206" i="25"/>
  <c r="BV206" i="25"/>
  <c r="BU206" i="25"/>
  <c r="BT206" i="25"/>
  <c r="BR206" i="25"/>
  <c r="BQ206" i="25"/>
  <c r="G206" i="25"/>
  <c r="DR343" i="25"/>
  <c r="DQ343" i="25"/>
  <c r="DP343" i="25"/>
  <c r="DO343" i="25"/>
  <c r="DN343" i="25"/>
  <c r="DM343" i="25"/>
  <c r="DL343" i="25"/>
  <c r="CQ343" i="25" s="1"/>
  <c r="CR343" i="25" s="1"/>
  <c r="DK343" i="25"/>
  <c r="DJ343" i="25"/>
  <c r="DG343" i="25"/>
  <c r="DE343" i="25"/>
  <c r="DH343" i="25" s="1"/>
  <c r="DD343" i="25"/>
  <c r="DC343" i="25"/>
  <c r="CW343" i="25"/>
  <c r="CV343" i="25"/>
  <c r="CU343" i="25"/>
  <c r="DB343" i="25" s="1"/>
  <c r="CT343" i="25"/>
  <c r="CL343" i="25"/>
  <c r="CK343" i="25"/>
  <c r="CC343" i="25"/>
  <c r="CD343" i="25" s="1"/>
  <c r="BX343" i="25"/>
  <c r="BW343" i="25"/>
  <c r="BV343" i="25"/>
  <c r="BU343" i="25"/>
  <c r="BT343" i="25"/>
  <c r="BR343" i="25"/>
  <c r="BQ343" i="25"/>
  <c r="G343" i="25"/>
  <c r="DR342" i="25"/>
  <c r="DQ342" i="25"/>
  <c r="DP342" i="25"/>
  <c r="DO342" i="25"/>
  <c r="DN342" i="25"/>
  <c r="DM342" i="25"/>
  <c r="DL342" i="25"/>
  <c r="CQ342" i="25" s="1"/>
  <c r="CR342" i="25" s="1"/>
  <c r="DK342" i="25"/>
  <c r="DJ342" i="25"/>
  <c r="DG342" i="25"/>
  <c r="DE342" i="25"/>
  <c r="DH342" i="25" s="1"/>
  <c r="DD342" i="25"/>
  <c r="DC342" i="25"/>
  <c r="CW342" i="25"/>
  <c r="CV342" i="25"/>
  <c r="CU342" i="25"/>
  <c r="DB342" i="25" s="1"/>
  <c r="CT342" i="25"/>
  <c r="CL342" i="25"/>
  <c r="CK342" i="25"/>
  <c r="CC342" i="25"/>
  <c r="CD342" i="25" s="1"/>
  <c r="BX342" i="25"/>
  <c r="BW342" i="25"/>
  <c r="BV342" i="25"/>
  <c r="BU342" i="25"/>
  <c r="BT342" i="25"/>
  <c r="BR342" i="25"/>
  <c r="BQ342" i="25"/>
  <c r="G342" i="25"/>
  <c r="DR341" i="25"/>
  <c r="DQ341" i="25"/>
  <c r="DP341" i="25"/>
  <c r="DO341" i="25"/>
  <c r="DN341" i="25"/>
  <c r="DM341" i="25"/>
  <c r="DL341" i="25"/>
  <c r="CP341" i="25" s="1"/>
  <c r="DK341" i="25"/>
  <c r="DJ341" i="25"/>
  <c r="DG341" i="25"/>
  <c r="DE341" i="25"/>
  <c r="DH341" i="25" s="1"/>
  <c r="DD341" i="25"/>
  <c r="DC341" i="25"/>
  <c r="CW341" i="25"/>
  <c r="CV341" i="25"/>
  <c r="CU341" i="25"/>
  <c r="DB341" i="25" s="1"/>
  <c r="CT341" i="25"/>
  <c r="CL341" i="25"/>
  <c r="CK341" i="25"/>
  <c r="CC341" i="25"/>
  <c r="CD341" i="25" s="1"/>
  <c r="BX341" i="25"/>
  <c r="BW341" i="25"/>
  <c r="BV341" i="25"/>
  <c r="BU341" i="25"/>
  <c r="BT341" i="25"/>
  <c r="BR341" i="25"/>
  <c r="BQ341" i="25"/>
  <c r="G341" i="25"/>
  <c r="DR340" i="25"/>
  <c r="DQ340" i="25"/>
  <c r="DP340" i="25"/>
  <c r="DO340" i="25"/>
  <c r="DN340" i="25"/>
  <c r="DM340" i="25"/>
  <c r="DL340" i="25"/>
  <c r="CQ340" i="25" s="1"/>
  <c r="CR340" i="25" s="1"/>
  <c r="DK340" i="25"/>
  <c r="DJ340" i="25"/>
  <c r="DG340" i="25"/>
  <c r="DE340" i="25"/>
  <c r="DH340" i="25" s="1"/>
  <c r="DD340" i="25"/>
  <c r="DC340" i="25"/>
  <c r="CW340" i="25"/>
  <c r="CV340" i="25"/>
  <c r="CU340" i="25"/>
  <c r="DB340" i="25" s="1"/>
  <c r="CT340" i="25"/>
  <c r="CL340" i="25"/>
  <c r="CK340" i="25"/>
  <c r="CC340" i="25"/>
  <c r="BX340" i="25"/>
  <c r="BW340" i="25"/>
  <c r="BV340" i="25"/>
  <c r="BU340" i="25"/>
  <c r="BT340" i="25"/>
  <c r="BR340" i="25"/>
  <c r="BQ340" i="25"/>
  <c r="G340" i="25"/>
  <c r="DR339" i="25"/>
  <c r="DQ339" i="25"/>
  <c r="DP339" i="25"/>
  <c r="DO339" i="25"/>
  <c r="DN339" i="25"/>
  <c r="DM339" i="25"/>
  <c r="DL339" i="25"/>
  <c r="DK339" i="25"/>
  <c r="DJ339" i="25"/>
  <c r="DG339" i="25"/>
  <c r="DE339" i="25"/>
  <c r="DF339" i="25" s="1"/>
  <c r="DD339" i="25"/>
  <c r="DC339" i="25"/>
  <c r="CW339" i="25"/>
  <c r="CV339" i="25"/>
  <c r="CU339" i="25"/>
  <c r="DB339" i="25" s="1"/>
  <c r="CT339" i="25"/>
  <c r="CL339" i="25"/>
  <c r="CK339" i="25"/>
  <c r="CC339" i="25"/>
  <c r="CD339" i="25" s="1"/>
  <c r="BX339" i="25"/>
  <c r="BW339" i="25"/>
  <c r="BV339" i="25"/>
  <c r="BU339" i="25"/>
  <c r="BT339" i="25"/>
  <c r="BR339" i="25"/>
  <c r="BQ339" i="25"/>
  <c r="G339" i="25"/>
  <c r="DR338" i="25"/>
  <c r="DQ338" i="25"/>
  <c r="DP338" i="25"/>
  <c r="DO338" i="25"/>
  <c r="DN338" i="25"/>
  <c r="DM338" i="25"/>
  <c r="DL338" i="25"/>
  <c r="CQ338" i="25" s="1"/>
  <c r="CR338" i="25" s="1"/>
  <c r="DK338" i="25"/>
  <c r="DJ338" i="25"/>
  <c r="DG338" i="25"/>
  <c r="DE338" i="25"/>
  <c r="DF338" i="25" s="1"/>
  <c r="DD338" i="25"/>
  <c r="DC338" i="25"/>
  <c r="CW338" i="25"/>
  <c r="CV338" i="25"/>
  <c r="CU338" i="25"/>
  <c r="DB338" i="25" s="1"/>
  <c r="CT338" i="25"/>
  <c r="CL338" i="25"/>
  <c r="CK338" i="25"/>
  <c r="CC338" i="25"/>
  <c r="CD338" i="25" s="1"/>
  <c r="BX338" i="25"/>
  <c r="BW338" i="25"/>
  <c r="BV338" i="25"/>
  <c r="BU338" i="25"/>
  <c r="BT338" i="25"/>
  <c r="BR338" i="25"/>
  <c r="BQ338" i="25"/>
  <c r="G338" i="25"/>
  <c r="DR337" i="25"/>
  <c r="DQ337" i="25"/>
  <c r="DP337" i="25"/>
  <c r="DO337" i="25"/>
  <c r="DN337" i="25"/>
  <c r="DM337" i="25"/>
  <c r="DL337" i="25"/>
  <c r="CO337" i="25" s="1"/>
  <c r="DK337" i="25"/>
  <c r="DJ337" i="25"/>
  <c r="DG337" i="25"/>
  <c r="DE337" i="25"/>
  <c r="DF337" i="25" s="1"/>
  <c r="DD337" i="25"/>
  <c r="DC337" i="25"/>
  <c r="CW337" i="25"/>
  <c r="CV337" i="25"/>
  <c r="CU337" i="25"/>
  <c r="DB337" i="25" s="1"/>
  <c r="CT337" i="25"/>
  <c r="CL337" i="25"/>
  <c r="CK337" i="25"/>
  <c r="CC337" i="25"/>
  <c r="CD337" i="25" s="1"/>
  <c r="BX337" i="25"/>
  <c r="BW337" i="25"/>
  <c r="BV337" i="25"/>
  <c r="BU337" i="25"/>
  <c r="BT337" i="25"/>
  <c r="BR337" i="25"/>
  <c r="BQ337" i="25"/>
  <c r="G337" i="25"/>
  <c r="DR336" i="25"/>
  <c r="DQ336" i="25"/>
  <c r="DP336" i="25"/>
  <c r="DO336" i="25"/>
  <c r="DN336" i="25"/>
  <c r="DM336" i="25"/>
  <c r="DL336" i="25"/>
  <c r="CP336" i="25" s="1"/>
  <c r="DK336" i="25"/>
  <c r="DJ336" i="25"/>
  <c r="DG336" i="25"/>
  <c r="DE336" i="25"/>
  <c r="DH336" i="25" s="1"/>
  <c r="DD336" i="25"/>
  <c r="DC336" i="25"/>
  <c r="CW336" i="25"/>
  <c r="CV336" i="25"/>
  <c r="CU336" i="25"/>
  <c r="DB336" i="25" s="1"/>
  <c r="CT336" i="25"/>
  <c r="CL336" i="25"/>
  <c r="CK336" i="25"/>
  <c r="CC336" i="25"/>
  <c r="CD336" i="25" s="1"/>
  <c r="BX336" i="25"/>
  <c r="BW336" i="25"/>
  <c r="BV336" i="25"/>
  <c r="BU336" i="25"/>
  <c r="BT336" i="25"/>
  <c r="BR336" i="25"/>
  <c r="BQ336" i="25"/>
  <c r="G336" i="25"/>
  <c r="DR335" i="25"/>
  <c r="DQ335" i="25"/>
  <c r="DP335" i="25"/>
  <c r="DO335" i="25"/>
  <c r="DN335" i="25"/>
  <c r="DM335" i="25"/>
  <c r="DL335" i="25"/>
  <c r="CP335" i="25" s="1"/>
  <c r="DK335" i="25"/>
  <c r="DJ335" i="25"/>
  <c r="DG335" i="25"/>
  <c r="DE335" i="25"/>
  <c r="DH335" i="25" s="1"/>
  <c r="DD335" i="25"/>
  <c r="DC335" i="25"/>
  <c r="CW335" i="25"/>
  <c r="CV335" i="25"/>
  <c r="CU335" i="25"/>
  <c r="DB335" i="25" s="1"/>
  <c r="CT335" i="25"/>
  <c r="CL335" i="25"/>
  <c r="CK335" i="25"/>
  <c r="CC335" i="25"/>
  <c r="CD335" i="25" s="1"/>
  <c r="BX335" i="25"/>
  <c r="BW335" i="25"/>
  <c r="BV335" i="25"/>
  <c r="BU335" i="25"/>
  <c r="BT335" i="25"/>
  <c r="BR335" i="25"/>
  <c r="BQ335" i="25"/>
  <c r="G335" i="25"/>
  <c r="DR334" i="25"/>
  <c r="DQ334" i="25"/>
  <c r="DP334" i="25"/>
  <c r="DO334" i="25"/>
  <c r="DN334" i="25"/>
  <c r="DM334" i="25"/>
  <c r="DL334" i="25"/>
  <c r="CQ334" i="25" s="1"/>
  <c r="CR334" i="25" s="1"/>
  <c r="DK334" i="25"/>
  <c r="DJ334" i="25"/>
  <c r="DG334" i="25"/>
  <c r="DE334" i="25"/>
  <c r="DD334" i="25"/>
  <c r="DC334" i="25"/>
  <c r="CW334" i="25"/>
  <c r="CV334" i="25"/>
  <c r="CU334" i="25"/>
  <c r="DB334" i="25" s="1"/>
  <c r="CT334" i="25"/>
  <c r="CL334" i="25"/>
  <c r="CK334" i="25"/>
  <c r="CC334" i="25"/>
  <c r="CD334" i="25" s="1"/>
  <c r="BX334" i="25"/>
  <c r="BW334" i="25"/>
  <c r="BV334" i="25"/>
  <c r="BU334" i="25"/>
  <c r="BT334" i="25"/>
  <c r="BR334" i="25"/>
  <c r="BQ334" i="25"/>
  <c r="G334" i="25"/>
  <c r="DR332" i="25"/>
  <c r="DQ332" i="25"/>
  <c r="DP332" i="25"/>
  <c r="DO332" i="25"/>
  <c r="DN332" i="25"/>
  <c r="DM332" i="25"/>
  <c r="DL332" i="25"/>
  <c r="CO332" i="25" s="1"/>
  <c r="DK332" i="25"/>
  <c r="DJ332" i="25"/>
  <c r="DG332" i="25"/>
  <c r="DE332" i="25"/>
  <c r="DF332" i="25" s="1"/>
  <c r="DD332" i="25"/>
  <c r="DC332" i="25"/>
  <c r="CW332" i="25"/>
  <c r="CV332" i="25"/>
  <c r="CU332" i="25"/>
  <c r="DB332" i="25" s="1"/>
  <c r="CT332" i="25"/>
  <c r="CL332" i="25"/>
  <c r="CK332" i="25"/>
  <c r="CC332" i="25"/>
  <c r="CD332" i="25" s="1"/>
  <c r="BX332" i="25"/>
  <c r="BW332" i="25"/>
  <c r="BV332" i="25"/>
  <c r="BU332" i="25"/>
  <c r="BT332" i="25"/>
  <c r="BR332" i="25"/>
  <c r="BQ332" i="25"/>
  <c r="G332" i="25"/>
  <c r="DR331" i="25"/>
  <c r="DQ331" i="25"/>
  <c r="DP331" i="25"/>
  <c r="DO331" i="25"/>
  <c r="DN331" i="25"/>
  <c r="DM331" i="25"/>
  <c r="DL331" i="25"/>
  <c r="CO331" i="25" s="1"/>
  <c r="DK331" i="25"/>
  <c r="DJ331" i="25"/>
  <c r="DG331" i="25"/>
  <c r="DE331" i="25"/>
  <c r="DH331" i="25" s="1"/>
  <c r="DD331" i="25"/>
  <c r="DC331" i="25"/>
  <c r="CW331" i="25"/>
  <c r="CV331" i="25"/>
  <c r="CU331" i="25"/>
  <c r="DB331" i="25" s="1"/>
  <c r="CT331" i="25"/>
  <c r="CL331" i="25"/>
  <c r="CK331" i="25"/>
  <c r="CC331" i="25"/>
  <c r="CD331" i="25" s="1"/>
  <c r="BX331" i="25"/>
  <c r="BW331" i="25"/>
  <c r="BV331" i="25"/>
  <c r="BU331" i="25"/>
  <c r="BT331" i="25"/>
  <c r="BR331" i="25"/>
  <c r="BQ331" i="25"/>
  <c r="G331" i="25"/>
  <c r="DR330" i="25"/>
  <c r="DQ330" i="25"/>
  <c r="DP330" i="25"/>
  <c r="DO330" i="25"/>
  <c r="DN330" i="25"/>
  <c r="DM330" i="25"/>
  <c r="DL330" i="25"/>
  <c r="CQ330" i="25" s="1"/>
  <c r="CR330" i="25" s="1"/>
  <c r="DK330" i="25"/>
  <c r="DJ330" i="25"/>
  <c r="DG330" i="25"/>
  <c r="DE330" i="25"/>
  <c r="DH330" i="25" s="1"/>
  <c r="DD330" i="25"/>
  <c r="DC330" i="25"/>
  <c r="CW330" i="25"/>
  <c r="CV330" i="25"/>
  <c r="CU330" i="25"/>
  <c r="DB330" i="25" s="1"/>
  <c r="CT330" i="25"/>
  <c r="CL330" i="25"/>
  <c r="CK330" i="25"/>
  <c r="CC330" i="25"/>
  <c r="CD330" i="25" s="1"/>
  <c r="BX330" i="25"/>
  <c r="BW330" i="25"/>
  <c r="BV330" i="25"/>
  <c r="BU330" i="25"/>
  <c r="BT330" i="25"/>
  <c r="BR330" i="25"/>
  <c r="BQ330" i="25"/>
  <c r="G330" i="25"/>
  <c r="DR329" i="25"/>
  <c r="DQ329" i="25"/>
  <c r="DP329" i="25"/>
  <c r="DO329" i="25"/>
  <c r="DN329" i="25"/>
  <c r="DM329" i="25"/>
  <c r="DL329" i="25"/>
  <c r="CQ329" i="25" s="1"/>
  <c r="CR329" i="25" s="1"/>
  <c r="DK329" i="25"/>
  <c r="DJ329" i="25"/>
  <c r="DG329" i="25"/>
  <c r="DE329" i="25"/>
  <c r="DD329" i="25"/>
  <c r="DC329" i="25"/>
  <c r="CW329" i="25"/>
  <c r="CV329" i="25"/>
  <c r="CU329" i="25"/>
  <c r="CT329" i="25"/>
  <c r="CL329" i="25"/>
  <c r="CK329" i="25"/>
  <c r="CC329" i="25"/>
  <c r="CD329" i="25" s="1"/>
  <c r="BX329" i="25"/>
  <c r="BW329" i="25"/>
  <c r="BV329" i="25"/>
  <c r="BU329" i="25"/>
  <c r="BT329" i="25"/>
  <c r="BR329" i="25"/>
  <c r="BQ329" i="25"/>
  <c r="G329" i="25"/>
  <c r="DR328" i="25"/>
  <c r="DQ328" i="25"/>
  <c r="DP328" i="25"/>
  <c r="DO328" i="25"/>
  <c r="DN328" i="25"/>
  <c r="DM328" i="25"/>
  <c r="DL328" i="25"/>
  <c r="CO328" i="25" s="1"/>
  <c r="DK328" i="25"/>
  <c r="DJ328" i="25"/>
  <c r="DG328" i="25"/>
  <c r="DE328" i="25"/>
  <c r="DD328" i="25"/>
  <c r="DC328" i="25"/>
  <c r="CW328" i="25"/>
  <c r="CV328" i="25"/>
  <c r="CU328" i="25"/>
  <c r="DB328" i="25" s="1"/>
  <c r="CT328" i="25"/>
  <c r="CL328" i="25"/>
  <c r="CK328" i="25"/>
  <c r="CC328" i="25"/>
  <c r="CD328" i="25" s="1"/>
  <c r="BX328" i="25"/>
  <c r="BW328" i="25"/>
  <c r="BV328" i="25"/>
  <c r="BU328" i="25"/>
  <c r="BT328" i="25"/>
  <c r="BR328" i="25"/>
  <c r="BQ328" i="25"/>
  <c r="G328" i="25"/>
  <c r="DR327" i="25"/>
  <c r="DQ327" i="25"/>
  <c r="DP327" i="25"/>
  <c r="DO327" i="25"/>
  <c r="DN327" i="25"/>
  <c r="DM327" i="25"/>
  <c r="DL327" i="25"/>
  <c r="DK327" i="25"/>
  <c r="DJ327" i="25"/>
  <c r="DG327" i="25"/>
  <c r="DE327" i="25"/>
  <c r="DF327" i="25" s="1"/>
  <c r="DD327" i="25"/>
  <c r="DC327" i="25"/>
  <c r="CW327" i="25"/>
  <c r="CV327" i="25"/>
  <c r="CU327" i="25"/>
  <c r="DB327" i="25" s="1"/>
  <c r="CT327" i="25"/>
  <c r="CL327" i="25"/>
  <c r="CK327" i="25"/>
  <c r="CC327" i="25"/>
  <c r="CD327" i="25" s="1"/>
  <c r="BX327" i="25"/>
  <c r="BW327" i="25"/>
  <c r="BV327" i="25"/>
  <c r="BU327" i="25"/>
  <c r="BT327" i="25"/>
  <c r="BR327" i="25"/>
  <c r="BQ327" i="25"/>
  <c r="G327" i="25"/>
  <c r="DR326" i="25"/>
  <c r="DQ326" i="25"/>
  <c r="DP326" i="25"/>
  <c r="DO326" i="25"/>
  <c r="DN326" i="25"/>
  <c r="DM326" i="25"/>
  <c r="DL326" i="25"/>
  <c r="CQ326" i="25" s="1"/>
  <c r="CR326" i="25" s="1"/>
  <c r="DK326" i="25"/>
  <c r="DJ326" i="25"/>
  <c r="DG326" i="25"/>
  <c r="DE326" i="25"/>
  <c r="DH326" i="25" s="1"/>
  <c r="DD326" i="25"/>
  <c r="DC326" i="25"/>
  <c r="CW326" i="25"/>
  <c r="CV326" i="25"/>
  <c r="CU326" i="25"/>
  <c r="DB326" i="25" s="1"/>
  <c r="CT326" i="25"/>
  <c r="CL326" i="25"/>
  <c r="CK326" i="25"/>
  <c r="CC326" i="25"/>
  <c r="CD326" i="25" s="1"/>
  <c r="BX326" i="25"/>
  <c r="BW326" i="25"/>
  <c r="BV326" i="25"/>
  <c r="BU326" i="25"/>
  <c r="BT326" i="25"/>
  <c r="BR326" i="25"/>
  <c r="BQ326" i="25"/>
  <c r="G326" i="25"/>
  <c r="DR325" i="25"/>
  <c r="DQ325" i="25"/>
  <c r="DP325" i="25"/>
  <c r="DO325" i="25"/>
  <c r="DN325" i="25"/>
  <c r="DM325" i="25"/>
  <c r="DL325" i="25"/>
  <c r="DK325" i="25"/>
  <c r="DJ325" i="25"/>
  <c r="DG325" i="25"/>
  <c r="DE325" i="25"/>
  <c r="DF325" i="25" s="1"/>
  <c r="DD325" i="25"/>
  <c r="DC325" i="25"/>
  <c r="CW325" i="25"/>
  <c r="CV325" i="25"/>
  <c r="CU325" i="25"/>
  <c r="CT325" i="25"/>
  <c r="CL325" i="25"/>
  <c r="CK325" i="25"/>
  <c r="CC325" i="25"/>
  <c r="CD325" i="25" s="1"/>
  <c r="BX325" i="25"/>
  <c r="BW325" i="25"/>
  <c r="BV325" i="25"/>
  <c r="BU325" i="25"/>
  <c r="BT325" i="25"/>
  <c r="BR325" i="25"/>
  <c r="BQ325" i="25"/>
  <c r="G325" i="25"/>
  <c r="DR324" i="25"/>
  <c r="DQ324" i="25"/>
  <c r="DP324" i="25"/>
  <c r="DO324" i="25"/>
  <c r="DN324" i="25"/>
  <c r="DM324" i="25"/>
  <c r="DL324" i="25"/>
  <c r="CO324" i="25" s="1"/>
  <c r="DK324" i="25"/>
  <c r="DJ324" i="25"/>
  <c r="DG324" i="25"/>
  <c r="DE324" i="25"/>
  <c r="DH324" i="25" s="1"/>
  <c r="DD324" i="25"/>
  <c r="DC324" i="25"/>
  <c r="CW324" i="25"/>
  <c r="CV324" i="25"/>
  <c r="CU324" i="25"/>
  <c r="DB324" i="25" s="1"/>
  <c r="CT324" i="25"/>
  <c r="CL324" i="25"/>
  <c r="CK324" i="25"/>
  <c r="CC324" i="25"/>
  <c r="CD324" i="25" s="1"/>
  <c r="BX324" i="25"/>
  <c r="BW324" i="25"/>
  <c r="BV324" i="25"/>
  <c r="BU324" i="25"/>
  <c r="BT324" i="25"/>
  <c r="BR324" i="25"/>
  <c r="BQ324" i="25"/>
  <c r="G324" i="25"/>
  <c r="DR323" i="25"/>
  <c r="DQ323" i="25"/>
  <c r="DP323" i="25"/>
  <c r="DO323" i="25"/>
  <c r="DN323" i="25"/>
  <c r="DM323" i="25"/>
  <c r="DL323" i="25"/>
  <c r="CP323" i="25" s="1"/>
  <c r="DK323" i="25"/>
  <c r="DJ323" i="25"/>
  <c r="DG323" i="25"/>
  <c r="DE323" i="25"/>
  <c r="DH323" i="25" s="1"/>
  <c r="DD323" i="25"/>
  <c r="DC323" i="25"/>
  <c r="CW323" i="25"/>
  <c r="CV323" i="25"/>
  <c r="CU323" i="25"/>
  <c r="DB323" i="25" s="1"/>
  <c r="CT323" i="25"/>
  <c r="CL323" i="25"/>
  <c r="CK323" i="25"/>
  <c r="CC323" i="25"/>
  <c r="CD323" i="25" s="1"/>
  <c r="BX323" i="25"/>
  <c r="BW323" i="25"/>
  <c r="BV323" i="25"/>
  <c r="BU323" i="25"/>
  <c r="BT323" i="25"/>
  <c r="BR323" i="25"/>
  <c r="BQ323" i="25"/>
  <c r="G323" i="25"/>
  <c r="DR322" i="25"/>
  <c r="DQ322" i="25"/>
  <c r="DP322" i="25"/>
  <c r="DO322" i="25"/>
  <c r="DN322" i="25"/>
  <c r="DM322" i="25"/>
  <c r="DL322" i="25"/>
  <c r="CQ322" i="25" s="1"/>
  <c r="CR322" i="25" s="1"/>
  <c r="DK322" i="25"/>
  <c r="DJ322" i="25"/>
  <c r="DG322" i="25"/>
  <c r="DE322" i="25"/>
  <c r="DH322" i="25" s="1"/>
  <c r="DD322" i="25"/>
  <c r="DC322" i="25"/>
  <c r="CW322" i="25"/>
  <c r="CV322" i="25"/>
  <c r="CU322" i="25"/>
  <c r="DB322" i="25" s="1"/>
  <c r="CT322" i="25"/>
  <c r="CL322" i="25"/>
  <c r="CK322" i="25"/>
  <c r="CC322" i="25"/>
  <c r="CD322" i="25" s="1"/>
  <c r="BX322" i="25"/>
  <c r="BW322" i="25"/>
  <c r="BV322" i="25"/>
  <c r="BU322" i="25"/>
  <c r="BT322" i="25"/>
  <c r="BR322" i="25"/>
  <c r="BQ322" i="25"/>
  <c r="G322" i="25"/>
  <c r="DR321" i="25"/>
  <c r="DQ321" i="25"/>
  <c r="DP321" i="25"/>
  <c r="DO321" i="25"/>
  <c r="DN321" i="25"/>
  <c r="DM321" i="25"/>
  <c r="DL321" i="25"/>
  <c r="DK321" i="25"/>
  <c r="DJ321" i="25"/>
  <c r="DG321" i="25"/>
  <c r="DE321" i="25"/>
  <c r="DD321" i="25"/>
  <c r="DC321" i="25"/>
  <c r="CW321" i="25"/>
  <c r="CV321" i="25"/>
  <c r="CU321" i="25"/>
  <c r="DB321" i="25" s="1"/>
  <c r="CT321" i="25"/>
  <c r="CL321" i="25"/>
  <c r="CK321" i="25"/>
  <c r="CC321" i="25"/>
  <c r="CD321" i="25" s="1"/>
  <c r="BX321" i="25"/>
  <c r="BW321" i="25"/>
  <c r="BV321" i="25"/>
  <c r="BU321" i="25"/>
  <c r="BT321" i="25"/>
  <c r="BR321" i="25"/>
  <c r="BQ321" i="25"/>
  <c r="G321" i="25"/>
  <c r="DR320" i="25"/>
  <c r="DQ320" i="25"/>
  <c r="DP320" i="25"/>
  <c r="DO320" i="25"/>
  <c r="DN320" i="25"/>
  <c r="DM320" i="25"/>
  <c r="DL320" i="25"/>
  <c r="DK320" i="25"/>
  <c r="DJ320" i="25"/>
  <c r="DG320" i="25"/>
  <c r="DE320" i="25"/>
  <c r="DF320" i="25" s="1"/>
  <c r="DD320" i="25"/>
  <c r="DC320" i="25"/>
  <c r="CW320" i="25"/>
  <c r="CV320" i="25"/>
  <c r="CU320" i="25"/>
  <c r="DB320" i="25" s="1"/>
  <c r="CT320" i="25"/>
  <c r="CL320" i="25"/>
  <c r="CK320" i="25"/>
  <c r="CC320" i="25"/>
  <c r="CD320" i="25" s="1"/>
  <c r="BX320" i="25"/>
  <c r="BW320" i="25"/>
  <c r="BV320" i="25"/>
  <c r="BU320" i="25"/>
  <c r="BT320" i="25"/>
  <c r="BR320" i="25"/>
  <c r="BQ320" i="25"/>
  <c r="G320" i="25"/>
  <c r="DR319" i="25"/>
  <c r="DQ319" i="25"/>
  <c r="DP319" i="25"/>
  <c r="DO319" i="25"/>
  <c r="DN319" i="25"/>
  <c r="DM319" i="25"/>
  <c r="DL319" i="25"/>
  <c r="DK319" i="25"/>
  <c r="DJ319" i="25"/>
  <c r="DG319" i="25"/>
  <c r="DE319" i="25"/>
  <c r="DH319" i="25" s="1"/>
  <c r="DD319" i="25"/>
  <c r="DC319" i="25"/>
  <c r="CW319" i="25"/>
  <c r="CV319" i="25"/>
  <c r="CU319" i="25"/>
  <c r="DB319" i="25" s="1"/>
  <c r="CT319" i="25"/>
  <c r="CL319" i="25"/>
  <c r="CK319" i="25"/>
  <c r="CC319" i="25"/>
  <c r="CD319" i="25" s="1"/>
  <c r="BX319" i="25"/>
  <c r="BW319" i="25"/>
  <c r="BV319" i="25"/>
  <c r="BU319" i="25"/>
  <c r="BT319" i="25"/>
  <c r="BR319" i="25"/>
  <c r="BQ319" i="25"/>
  <c r="G319" i="25"/>
  <c r="DR318" i="25"/>
  <c r="DQ318" i="25"/>
  <c r="DP318" i="25"/>
  <c r="DO318" i="25"/>
  <c r="DN318" i="25"/>
  <c r="DM318" i="25"/>
  <c r="DL318" i="25"/>
  <c r="CQ318" i="25" s="1"/>
  <c r="CR318" i="25" s="1"/>
  <c r="DK318" i="25"/>
  <c r="DJ318" i="25"/>
  <c r="DG318" i="25"/>
  <c r="DE318" i="25"/>
  <c r="DH318" i="25" s="1"/>
  <c r="DD318" i="25"/>
  <c r="DC318" i="25"/>
  <c r="CW318" i="25"/>
  <c r="CV318" i="25"/>
  <c r="CU318" i="25"/>
  <c r="DB318" i="25" s="1"/>
  <c r="CT318" i="25"/>
  <c r="CL318" i="25"/>
  <c r="CK318" i="25"/>
  <c r="CC318" i="25"/>
  <c r="CD318" i="25" s="1"/>
  <c r="BX318" i="25"/>
  <c r="BW318" i="25"/>
  <c r="BV318" i="25"/>
  <c r="BU318" i="25"/>
  <c r="BT318" i="25"/>
  <c r="BR318" i="25"/>
  <c r="BQ318" i="25"/>
  <c r="G318" i="25"/>
  <c r="DR317" i="25"/>
  <c r="DQ317" i="25"/>
  <c r="DP317" i="25"/>
  <c r="DO317" i="25"/>
  <c r="DN317" i="25"/>
  <c r="DM317" i="25"/>
  <c r="DL317" i="25"/>
  <c r="CP317" i="25" s="1"/>
  <c r="DK317" i="25"/>
  <c r="DJ317" i="25"/>
  <c r="DG317" i="25"/>
  <c r="DE317" i="25"/>
  <c r="DF317" i="25" s="1"/>
  <c r="DD317" i="25"/>
  <c r="DC317" i="25"/>
  <c r="CW317" i="25"/>
  <c r="CV317" i="25"/>
  <c r="CU317" i="25"/>
  <c r="DB317" i="25" s="1"/>
  <c r="CT317" i="25"/>
  <c r="CL317" i="25"/>
  <c r="CK317" i="25"/>
  <c r="CC317" i="25"/>
  <c r="BX317" i="25"/>
  <c r="BW317" i="25"/>
  <c r="BV317" i="25"/>
  <c r="BU317" i="25"/>
  <c r="BT317" i="25"/>
  <c r="BR317" i="25"/>
  <c r="BQ317" i="25"/>
  <c r="G317" i="25"/>
  <c r="DR316" i="25"/>
  <c r="DQ316" i="25"/>
  <c r="DP316" i="25"/>
  <c r="DO316" i="25"/>
  <c r="DN316" i="25"/>
  <c r="DM316" i="25"/>
  <c r="DL316" i="25"/>
  <c r="CQ316" i="25" s="1"/>
  <c r="CR316" i="25" s="1"/>
  <c r="DK316" i="25"/>
  <c r="DJ316" i="25"/>
  <c r="DG316" i="25"/>
  <c r="DE316" i="25"/>
  <c r="DF316" i="25" s="1"/>
  <c r="DD316" i="25"/>
  <c r="DC316" i="25"/>
  <c r="CW316" i="25"/>
  <c r="CV316" i="25"/>
  <c r="CU316" i="25"/>
  <c r="DB316" i="25" s="1"/>
  <c r="CT316" i="25"/>
  <c r="CL316" i="25"/>
  <c r="CK316" i="25"/>
  <c r="CC316" i="25"/>
  <c r="CD316" i="25" s="1"/>
  <c r="BX316" i="25"/>
  <c r="BW316" i="25"/>
  <c r="BV316" i="25"/>
  <c r="BU316" i="25"/>
  <c r="BT316" i="25"/>
  <c r="BR316" i="25"/>
  <c r="BQ316" i="25"/>
  <c r="G316" i="25"/>
  <c r="DR315" i="25"/>
  <c r="DQ315" i="25"/>
  <c r="DP315" i="25"/>
  <c r="DO315" i="25"/>
  <c r="DN315" i="25"/>
  <c r="DM315" i="25"/>
  <c r="DL315" i="25"/>
  <c r="DK315" i="25"/>
  <c r="DJ315" i="25"/>
  <c r="DG315" i="25"/>
  <c r="DE315" i="25"/>
  <c r="DF315" i="25" s="1"/>
  <c r="DD315" i="25"/>
  <c r="DC315" i="25"/>
  <c r="CW315" i="25"/>
  <c r="CV315" i="25"/>
  <c r="CU315" i="25"/>
  <c r="DB315" i="25" s="1"/>
  <c r="CT315" i="25"/>
  <c r="CL315" i="25"/>
  <c r="CK315" i="25"/>
  <c r="CC315" i="25"/>
  <c r="CD315" i="25" s="1"/>
  <c r="BX315" i="25"/>
  <c r="BW315" i="25"/>
  <c r="BV315" i="25"/>
  <c r="BU315" i="25"/>
  <c r="BT315" i="25"/>
  <c r="BR315" i="25"/>
  <c r="BQ315" i="25"/>
  <c r="G315" i="25"/>
  <c r="DR314" i="25"/>
  <c r="DQ314" i="25"/>
  <c r="DP314" i="25"/>
  <c r="DO314" i="25"/>
  <c r="DN314" i="25"/>
  <c r="DM314" i="25"/>
  <c r="DL314" i="25"/>
  <c r="CP314" i="25" s="1"/>
  <c r="DK314" i="25"/>
  <c r="DJ314" i="25"/>
  <c r="DG314" i="25"/>
  <c r="DE314" i="25"/>
  <c r="DF314" i="25" s="1"/>
  <c r="DD314" i="25"/>
  <c r="DC314" i="25"/>
  <c r="CW314" i="25"/>
  <c r="CV314" i="25"/>
  <c r="CU314" i="25"/>
  <c r="DB314" i="25" s="1"/>
  <c r="CT314" i="25"/>
  <c r="CL314" i="25"/>
  <c r="CK314" i="25"/>
  <c r="CC314" i="25"/>
  <c r="CD314" i="25" s="1"/>
  <c r="BX314" i="25"/>
  <c r="BW314" i="25"/>
  <c r="BV314" i="25"/>
  <c r="BU314" i="25"/>
  <c r="BT314" i="25"/>
  <c r="BR314" i="25"/>
  <c r="BQ314" i="25"/>
  <c r="G314" i="25"/>
  <c r="DR313" i="25"/>
  <c r="DQ313" i="25"/>
  <c r="DP313" i="25"/>
  <c r="DO313" i="25"/>
  <c r="DN313" i="25"/>
  <c r="DM313" i="25"/>
  <c r="DL313" i="25"/>
  <c r="CP313" i="25" s="1"/>
  <c r="DK313" i="25"/>
  <c r="DJ313" i="25"/>
  <c r="DG313" i="25"/>
  <c r="DE313" i="25"/>
  <c r="DH313" i="25" s="1"/>
  <c r="DD313" i="25"/>
  <c r="DC313" i="25"/>
  <c r="CW313" i="25"/>
  <c r="CV313" i="25"/>
  <c r="CU313" i="25"/>
  <c r="DB313" i="25" s="1"/>
  <c r="CT313" i="25"/>
  <c r="CL313" i="25"/>
  <c r="CK313" i="25"/>
  <c r="CC313" i="25"/>
  <c r="CD313" i="25" s="1"/>
  <c r="BX313" i="25"/>
  <c r="BW313" i="25"/>
  <c r="BV313" i="25"/>
  <c r="BU313" i="25"/>
  <c r="BT313" i="25"/>
  <c r="BR313" i="25"/>
  <c r="BQ313" i="25"/>
  <c r="G313" i="25"/>
  <c r="DR312" i="25"/>
  <c r="DQ312" i="25"/>
  <c r="DP312" i="25"/>
  <c r="DO312" i="25"/>
  <c r="DN312" i="25"/>
  <c r="DM312" i="25"/>
  <c r="DL312" i="25"/>
  <c r="CQ312" i="25" s="1"/>
  <c r="CR312" i="25" s="1"/>
  <c r="DK312" i="25"/>
  <c r="DJ312" i="25"/>
  <c r="DG312" i="25"/>
  <c r="DE312" i="25"/>
  <c r="DF312" i="25" s="1"/>
  <c r="DD312" i="25"/>
  <c r="DC312" i="25"/>
  <c r="CW312" i="25"/>
  <c r="CV312" i="25"/>
  <c r="CU312" i="25"/>
  <c r="DB312" i="25" s="1"/>
  <c r="CT312" i="25"/>
  <c r="CL312" i="25"/>
  <c r="CK312" i="25"/>
  <c r="CC312" i="25"/>
  <c r="CD312" i="25" s="1"/>
  <c r="BX312" i="25"/>
  <c r="BW312" i="25"/>
  <c r="BV312" i="25"/>
  <c r="BU312" i="25"/>
  <c r="BT312" i="25"/>
  <c r="BR312" i="25"/>
  <c r="BQ312" i="25"/>
  <c r="G312" i="25"/>
  <c r="DR311" i="25"/>
  <c r="DQ311" i="25"/>
  <c r="DP311" i="25"/>
  <c r="DO311" i="25"/>
  <c r="DN311" i="25"/>
  <c r="DM311" i="25"/>
  <c r="DL311" i="25"/>
  <c r="CQ311" i="25" s="1"/>
  <c r="CR311" i="25" s="1"/>
  <c r="DK311" i="25"/>
  <c r="DJ311" i="25"/>
  <c r="DG311" i="25"/>
  <c r="DE311" i="25"/>
  <c r="DF311" i="25" s="1"/>
  <c r="DD311" i="25"/>
  <c r="DC311" i="25"/>
  <c r="CW311" i="25"/>
  <c r="CV311" i="25"/>
  <c r="CU311" i="25"/>
  <c r="DB311" i="25" s="1"/>
  <c r="CT311" i="25"/>
  <c r="CL311" i="25"/>
  <c r="CK311" i="25"/>
  <c r="CC311" i="25"/>
  <c r="CD311" i="25" s="1"/>
  <c r="BX311" i="25"/>
  <c r="BW311" i="25"/>
  <c r="BV311" i="25"/>
  <c r="BU311" i="25"/>
  <c r="BT311" i="25"/>
  <c r="BR311" i="25"/>
  <c r="BQ311" i="25"/>
  <c r="G311" i="25"/>
  <c r="DR310" i="25"/>
  <c r="DQ310" i="25"/>
  <c r="DP310" i="25"/>
  <c r="DO310" i="25"/>
  <c r="DN310" i="25"/>
  <c r="DM310" i="25"/>
  <c r="DL310" i="25"/>
  <c r="CP310" i="25" s="1"/>
  <c r="DK310" i="25"/>
  <c r="DJ310" i="25"/>
  <c r="DG310" i="25"/>
  <c r="DE310" i="25"/>
  <c r="DF310" i="25" s="1"/>
  <c r="DD310" i="25"/>
  <c r="DC310" i="25"/>
  <c r="CW310" i="25"/>
  <c r="CV310" i="25"/>
  <c r="CU310" i="25"/>
  <c r="DB310" i="25" s="1"/>
  <c r="CT310" i="25"/>
  <c r="CL310" i="25"/>
  <c r="CK310" i="25"/>
  <c r="CC310" i="25"/>
  <c r="CD310" i="25" s="1"/>
  <c r="BX310" i="25"/>
  <c r="BW310" i="25"/>
  <c r="BV310" i="25"/>
  <c r="BU310" i="25"/>
  <c r="BT310" i="25"/>
  <c r="BR310" i="25"/>
  <c r="BQ310" i="25"/>
  <c r="G310" i="25"/>
  <c r="DR309" i="25"/>
  <c r="DQ309" i="25"/>
  <c r="DP309" i="25"/>
  <c r="DO309" i="25"/>
  <c r="DN309" i="25"/>
  <c r="DM309" i="25"/>
  <c r="DL309" i="25"/>
  <c r="DK309" i="25"/>
  <c r="DJ309" i="25"/>
  <c r="DG309" i="25"/>
  <c r="DE309" i="25"/>
  <c r="DF309" i="25" s="1"/>
  <c r="DD309" i="25"/>
  <c r="DC309" i="25"/>
  <c r="CW309" i="25"/>
  <c r="CV309" i="25"/>
  <c r="CU309" i="25"/>
  <c r="DB309" i="25" s="1"/>
  <c r="CT309" i="25"/>
  <c r="CL309" i="25"/>
  <c r="CK309" i="25"/>
  <c r="CC309" i="25"/>
  <c r="CD309" i="25" s="1"/>
  <c r="BX309" i="25"/>
  <c r="BW309" i="25"/>
  <c r="BV309" i="25"/>
  <c r="BU309" i="25"/>
  <c r="BT309" i="25"/>
  <c r="BR309" i="25"/>
  <c r="BQ309" i="25"/>
  <c r="G309" i="25"/>
  <c r="DR308" i="25"/>
  <c r="DQ308" i="25"/>
  <c r="DP308" i="25"/>
  <c r="DO308" i="25"/>
  <c r="DN308" i="25"/>
  <c r="DM308" i="25"/>
  <c r="DL308" i="25"/>
  <c r="CQ308" i="25" s="1"/>
  <c r="CR308" i="25" s="1"/>
  <c r="DK308" i="25"/>
  <c r="DJ308" i="25"/>
  <c r="DG308" i="25"/>
  <c r="DE308" i="25"/>
  <c r="DH308" i="25" s="1"/>
  <c r="DD308" i="25"/>
  <c r="DC308" i="25"/>
  <c r="CW308" i="25"/>
  <c r="CV308" i="25"/>
  <c r="CU308" i="25"/>
  <c r="DB308" i="25" s="1"/>
  <c r="CT308" i="25"/>
  <c r="CL308" i="25"/>
  <c r="CK308" i="25"/>
  <c r="CC308" i="25"/>
  <c r="CD308" i="25" s="1"/>
  <c r="BX308" i="25"/>
  <c r="BW308" i="25"/>
  <c r="BV308" i="25"/>
  <c r="BU308" i="25"/>
  <c r="BT308" i="25"/>
  <c r="BR308" i="25"/>
  <c r="BQ308" i="25"/>
  <c r="G308" i="25"/>
  <c r="DR307" i="25"/>
  <c r="DQ307" i="25"/>
  <c r="DP307" i="25"/>
  <c r="DO307" i="25"/>
  <c r="DN307" i="25"/>
  <c r="DM307" i="25"/>
  <c r="DL307" i="25"/>
  <c r="CQ307" i="25" s="1"/>
  <c r="CR307" i="25" s="1"/>
  <c r="DK307" i="25"/>
  <c r="DJ307" i="25"/>
  <c r="DG307" i="25"/>
  <c r="DE307" i="25"/>
  <c r="DH307" i="25" s="1"/>
  <c r="DD307" i="25"/>
  <c r="DC307" i="25"/>
  <c r="CW307" i="25"/>
  <c r="CV307" i="25"/>
  <c r="CU307" i="25"/>
  <c r="DB307" i="25" s="1"/>
  <c r="CT307" i="25"/>
  <c r="CL307" i="25"/>
  <c r="CK307" i="25"/>
  <c r="CC307" i="25"/>
  <c r="BX307" i="25"/>
  <c r="BW307" i="25"/>
  <c r="BV307" i="25"/>
  <c r="BU307" i="25"/>
  <c r="BT307" i="25"/>
  <c r="BR307" i="25"/>
  <c r="BQ307" i="25"/>
  <c r="G307" i="25"/>
  <c r="DR306" i="25"/>
  <c r="DQ306" i="25"/>
  <c r="DP306" i="25"/>
  <c r="DO306" i="25"/>
  <c r="DN306" i="25"/>
  <c r="DM306" i="25"/>
  <c r="DL306" i="25"/>
  <c r="DK306" i="25"/>
  <c r="DJ306" i="25"/>
  <c r="DG306" i="25"/>
  <c r="DE306" i="25"/>
  <c r="DD306" i="25"/>
  <c r="DC306" i="25"/>
  <c r="CW306" i="25"/>
  <c r="CV306" i="25"/>
  <c r="CU306" i="25"/>
  <c r="DB306" i="25" s="1"/>
  <c r="CT306" i="25"/>
  <c r="CL306" i="25"/>
  <c r="CK306" i="25"/>
  <c r="CC306" i="25"/>
  <c r="CD306" i="25" s="1"/>
  <c r="BX306" i="25"/>
  <c r="BW306" i="25"/>
  <c r="BV306" i="25"/>
  <c r="BU306" i="25"/>
  <c r="BT306" i="25"/>
  <c r="BR306" i="25"/>
  <c r="BQ306" i="25"/>
  <c r="G306" i="25"/>
  <c r="DR305" i="25"/>
  <c r="DQ305" i="25"/>
  <c r="DP305" i="25"/>
  <c r="DO305" i="25"/>
  <c r="DN305" i="25"/>
  <c r="DM305" i="25"/>
  <c r="DL305" i="25"/>
  <c r="CQ305" i="25" s="1"/>
  <c r="CR305" i="25" s="1"/>
  <c r="DK305" i="25"/>
  <c r="DJ305" i="25"/>
  <c r="DG305" i="25"/>
  <c r="DE305" i="25"/>
  <c r="DH305" i="25" s="1"/>
  <c r="DD305" i="25"/>
  <c r="DC305" i="25"/>
  <c r="CW305" i="25"/>
  <c r="CV305" i="25"/>
  <c r="CU305" i="25"/>
  <c r="DB305" i="25" s="1"/>
  <c r="CT305" i="25"/>
  <c r="CL305" i="25"/>
  <c r="CK305" i="25"/>
  <c r="CC305" i="25"/>
  <c r="CD305" i="25" s="1"/>
  <c r="BX305" i="25"/>
  <c r="BW305" i="25"/>
  <c r="BV305" i="25"/>
  <c r="BU305" i="25"/>
  <c r="BT305" i="25"/>
  <c r="BR305" i="25"/>
  <c r="BQ305" i="25"/>
  <c r="G305" i="25"/>
  <c r="DR304" i="25"/>
  <c r="DQ304" i="25"/>
  <c r="DP304" i="25"/>
  <c r="DO304" i="25"/>
  <c r="DN304" i="25"/>
  <c r="DM304" i="25"/>
  <c r="DL304" i="25"/>
  <c r="CQ304" i="25" s="1"/>
  <c r="CR304" i="25" s="1"/>
  <c r="DK304" i="25"/>
  <c r="DJ304" i="25"/>
  <c r="DG304" i="25"/>
  <c r="DE304" i="25"/>
  <c r="DH304" i="25" s="1"/>
  <c r="DD304" i="25"/>
  <c r="DC304" i="25"/>
  <c r="CW304" i="25"/>
  <c r="CV304" i="25"/>
  <c r="CU304" i="25"/>
  <c r="DB304" i="25" s="1"/>
  <c r="CT304" i="25"/>
  <c r="CL304" i="25"/>
  <c r="CK304" i="25"/>
  <c r="CC304" i="25"/>
  <c r="CD304" i="25" s="1"/>
  <c r="BX304" i="25"/>
  <c r="BW304" i="25"/>
  <c r="BV304" i="25"/>
  <c r="BU304" i="25"/>
  <c r="BT304" i="25"/>
  <c r="BR304" i="25"/>
  <c r="BQ304" i="25"/>
  <c r="G304" i="25"/>
  <c r="DR303" i="25"/>
  <c r="DQ303" i="25"/>
  <c r="DP303" i="25"/>
  <c r="DO303" i="25"/>
  <c r="DN303" i="25"/>
  <c r="DM303" i="25"/>
  <c r="DL303" i="25"/>
  <c r="CQ303" i="25" s="1"/>
  <c r="CR303" i="25" s="1"/>
  <c r="DK303" i="25"/>
  <c r="DJ303" i="25"/>
  <c r="DG303" i="25"/>
  <c r="DE303" i="25"/>
  <c r="DH303" i="25" s="1"/>
  <c r="DD303" i="25"/>
  <c r="DC303" i="25"/>
  <c r="CW303" i="25"/>
  <c r="CV303" i="25"/>
  <c r="CU303" i="25"/>
  <c r="DB303" i="25" s="1"/>
  <c r="CT303" i="25"/>
  <c r="CL303" i="25"/>
  <c r="CK303" i="25"/>
  <c r="CC303" i="25"/>
  <c r="BX303" i="25"/>
  <c r="BW303" i="25"/>
  <c r="BV303" i="25"/>
  <c r="BU303" i="25"/>
  <c r="BT303" i="25"/>
  <c r="BR303" i="25"/>
  <c r="BQ303" i="25"/>
  <c r="G303" i="25"/>
  <c r="DR302" i="25"/>
  <c r="DQ302" i="25"/>
  <c r="DP302" i="25"/>
  <c r="DO302" i="25"/>
  <c r="DN302" i="25"/>
  <c r="DM302" i="25"/>
  <c r="DL302" i="25"/>
  <c r="CQ302" i="25" s="1"/>
  <c r="CR302" i="25" s="1"/>
  <c r="DK302" i="25"/>
  <c r="DJ302" i="25"/>
  <c r="DG302" i="25"/>
  <c r="DE302" i="25"/>
  <c r="DH302" i="25" s="1"/>
  <c r="DD302" i="25"/>
  <c r="DC302" i="25"/>
  <c r="CW302" i="25"/>
  <c r="CV302" i="25"/>
  <c r="CU302" i="25"/>
  <c r="DB302" i="25" s="1"/>
  <c r="CT302" i="25"/>
  <c r="CL302" i="25"/>
  <c r="CK302" i="25"/>
  <c r="CC302" i="25"/>
  <c r="CD302" i="25" s="1"/>
  <c r="BX302" i="25"/>
  <c r="BW302" i="25"/>
  <c r="BV302" i="25"/>
  <c r="BU302" i="25"/>
  <c r="BT302" i="25"/>
  <c r="BR302" i="25"/>
  <c r="BQ302" i="25"/>
  <c r="G302" i="25"/>
  <c r="DR301" i="25"/>
  <c r="DQ301" i="25"/>
  <c r="DP301" i="25"/>
  <c r="DO301" i="25"/>
  <c r="DN301" i="25"/>
  <c r="DM301" i="25"/>
  <c r="DL301" i="25"/>
  <c r="DK301" i="25"/>
  <c r="DJ301" i="25"/>
  <c r="DG301" i="25"/>
  <c r="DE301" i="25"/>
  <c r="DF301" i="25" s="1"/>
  <c r="DD301" i="25"/>
  <c r="DC301" i="25"/>
  <c r="CW301" i="25"/>
  <c r="CV301" i="25"/>
  <c r="CU301" i="25"/>
  <c r="DB301" i="25" s="1"/>
  <c r="CT301" i="25"/>
  <c r="CL301" i="25"/>
  <c r="CK301" i="25"/>
  <c r="CC301" i="25"/>
  <c r="CD301" i="25" s="1"/>
  <c r="BX301" i="25"/>
  <c r="BW301" i="25"/>
  <c r="BV301" i="25"/>
  <c r="BU301" i="25"/>
  <c r="BT301" i="25"/>
  <c r="BR301" i="25"/>
  <c r="BQ301" i="25"/>
  <c r="G301" i="25"/>
  <c r="DR300" i="25"/>
  <c r="DQ300" i="25"/>
  <c r="DP300" i="25"/>
  <c r="DO300" i="25"/>
  <c r="DN300" i="25"/>
  <c r="DM300" i="25"/>
  <c r="DL300" i="25"/>
  <c r="CQ300" i="25" s="1"/>
  <c r="CR300" i="25" s="1"/>
  <c r="DK300" i="25"/>
  <c r="DJ300" i="25"/>
  <c r="DG300" i="25"/>
  <c r="DE300" i="25"/>
  <c r="DF300" i="25" s="1"/>
  <c r="DD300" i="25"/>
  <c r="DC300" i="25"/>
  <c r="CW300" i="25"/>
  <c r="CV300" i="25"/>
  <c r="CU300" i="25"/>
  <c r="DB300" i="25" s="1"/>
  <c r="CT300" i="25"/>
  <c r="CL300" i="25"/>
  <c r="CK300" i="25"/>
  <c r="CC300" i="25"/>
  <c r="CD300" i="25" s="1"/>
  <c r="BX300" i="25"/>
  <c r="BW300" i="25"/>
  <c r="BV300" i="25"/>
  <c r="BU300" i="25"/>
  <c r="BT300" i="25"/>
  <c r="BR300" i="25"/>
  <c r="BQ300" i="25"/>
  <c r="G300" i="25"/>
  <c r="DR299" i="25"/>
  <c r="DQ299" i="25"/>
  <c r="DP299" i="25"/>
  <c r="DO299" i="25"/>
  <c r="DN299" i="25"/>
  <c r="DM299" i="25"/>
  <c r="DL299" i="25"/>
  <c r="CQ299" i="25" s="1"/>
  <c r="CR299" i="25" s="1"/>
  <c r="DK299" i="25"/>
  <c r="DJ299" i="25"/>
  <c r="DG299" i="25"/>
  <c r="DE299" i="25"/>
  <c r="DH299" i="25" s="1"/>
  <c r="DD299" i="25"/>
  <c r="DC299" i="25"/>
  <c r="CW299" i="25"/>
  <c r="CV299" i="25"/>
  <c r="CU299" i="25"/>
  <c r="DB299" i="25" s="1"/>
  <c r="CT299" i="25"/>
  <c r="CL299" i="25"/>
  <c r="CK299" i="25"/>
  <c r="CC299" i="25"/>
  <c r="CD299" i="25" s="1"/>
  <c r="BX299" i="25"/>
  <c r="BW299" i="25"/>
  <c r="BV299" i="25"/>
  <c r="BU299" i="25"/>
  <c r="BT299" i="25"/>
  <c r="BR299" i="25"/>
  <c r="BQ299" i="25"/>
  <c r="G299" i="25"/>
  <c r="DR298" i="25"/>
  <c r="DQ298" i="25"/>
  <c r="DP298" i="25"/>
  <c r="DO298" i="25"/>
  <c r="DN298" i="25"/>
  <c r="DM298" i="25"/>
  <c r="DL298" i="25"/>
  <c r="DK298" i="25"/>
  <c r="DJ298" i="25"/>
  <c r="DG298" i="25"/>
  <c r="DE298" i="25"/>
  <c r="DD298" i="25"/>
  <c r="DC298" i="25"/>
  <c r="CW298" i="25"/>
  <c r="CV298" i="25"/>
  <c r="CU298" i="25"/>
  <c r="DB298" i="25" s="1"/>
  <c r="CT298" i="25"/>
  <c r="CL298" i="25"/>
  <c r="CK298" i="25"/>
  <c r="CC298" i="25"/>
  <c r="CD298" i="25" s="1"/>
  <c r="BX298" i="25"/>
  <c r="BW298" i="25"/>
  <c r="BV298" i="25"/>
  <c r="BU298" i="25"/>
  <c r="BT298" i="25"/>
  <c r="BR298" i="25"/>
  <c r="BQ298" i="25"/>
  <c r="G298" i="25"/>
  <c r="DR297" i="25"/>
  <c r="DQ297" i="25"/>
  <c r="DP297" i="25"/>
  <c r="DO297" i="25"/>
  <c r="DN297" i="25"/>
  <c r="DM297" i="25"/>
  <c r="DL297" i="25"/>
  <c r="CQ297" i="25" s="1"/>
  <c r="CR297" i="25" s="1"/>
  <c r="DK297" i="25"/>
  <c r="DJ297" i="25"/>
  <c r="DG297" i="25"/>
  <c r="DE297" i="25"/>
  <c r="DH297" i="25" s="1"/>
  <c r="DD297" i="25"/>
  <c r="DC297" i="25"/>
  <c r="CW297" i="25"/>
  <c r="CV297" i="25"/>
  <c r="CU297" i="25"/>
  <c r="CT297" i="25"/>
  <c r="CL297" i="25"/>
  <c r="CK297" i="25"/>
  <c r="CC297" i="25"/>
  <c r="CD297" i="25" s="1"/>
  <c r="BX297" i="25"/>
  <c r="BW297" i="25"/>
  <c r="BV297" i="25"/>
  <c r="BU297" i="25"/>
  <c r="BT297" i="25"/>
  <c r="BR297" i="25"/>
  <c r="BQ297" i="25"/>
  <c r="G297" i="25"/>
  <c r="DR296" i="25"/>
  <c r="DQ296" i="25"/>
  <c r="DP296" i="25"/>
  <c r="DO296" i="25"/>
  <c r="DN296" i="25"/>
  <c r="DM296" i="25"/>
  <c r="DL296" i="25"/>
  <c r="CQ296" i="25" s="1"/>
  <c r="CR296" i="25" s="1"/>
  <c r="DK296" i="25"/>
  <c r="DJ296" i="25"/>
  <c r="DG296" i="25"/>
  <c r="DE296" i="25"/>
  <c r="DD296" i="25"/>
  <c r="DC296" i="25"/>
  <c r="CW296" i="25"/>
  <c r="CV296" i="25"/>
  <c r="CU296" i="25"/>
  <c r="DB296" i="25" s="1"/>
  <c r="CT296" i="25"/>
  <c r="CL296" i="25"/>
  <c r="CK296" i="25"/>
  <c r="CC296" i="25"/>
  <c r="BX296" i="25"/>
  <c r="BW296" i="25"/>
  <c r="BV296" i="25"/>
  <c r="BU296" i="25"/>
  <c r="BT296" i="25"/>
  <c r="BR296" i="25"/>
  <c r="BQ296" i="25"/>
  <c r="G296" i="25"/>
  <c r="DR295" i="25"/>
  <c r="DQ295" i="25"/>
  <c r="DP295" i="25"/>
  <c r="DO295" i="25"/>
  <c r="DN295" i="25"/>
  <c r="DM295" i="25"/>
  <c r="DL295" i="25"/>
  <c r="CQ295" i="25" s="1"/>
  <c r="CR295" i="25" s="1"/>
  <c r="DK295" i="25"/>
  <c r="DJ295" i="25"/>
  <c r="DG295" i="25"/>
  <c r="DE295" i="25"/>
  <c r="DH295" i="25" s="1"/>
  <c r="DD295" i="25"/>
  <c r="DC295" i="25"/>
  <c r="CW295" i="25"/>
  <c r="CV295" i="25"/>
  <c r="CU295" i="25"/>
  <c r="DB295" i="25" s="1"/>
  <c r="CT295" i="25"/>
  <c r="CL295" i="25"/>
  <c r="CK295" i="25"/>
  <c r="CC295" i="25"/>
  <c r="CD295" i="25" s="1"/>
  <c r="BX295" i="25"/>
  <c r="BW295" i="25"/>
  <c r="BV295" i="25"/>
  <c r="BU295" i="25"/>
  <c r="BT295" i="25"/>
  <c r="BR295" i="25"/>
  <c r="BQ295" i="25"/>
  <c r="G295" i="25"/>
  <c r="DR294" i="25"/>
  <c r="DQ294" i="25"/>
  <c r="DP294" i="25"/>
  <c r="DO294" i="25"/>
  <c r="DN294" i="25"/>
  <c r="DM294" i="25"/>
  <c r="DL294" i="25"/>
  <c r="CQ294" i="25" s="1"/>
  <c r="CR294" i="25" s="1"/>
  <c r="DK294" i="25"/>
  <c r="DJ294" i="25"/>
  <c r="DG294" i="25"/>
  <c r="DE294" i="25"/>
  <c r="DH294" i="25" s="1"/>
  <c r="DD294" i="25"/>
  <c r="DC294" i="25"/>
  <c r="CW294" i="25"/>
  <c r="CV294" i="25"/>
  <c r="CU294" i="25"/>
  <c r="DB294" i="25" s="1"/>
  <c r="CT294" i="25"/>
  <c r="CL294" i="25"/>
  <c r="CK294" i="25"/>
  <c r="CC294" i="25"/>
  <c r="CD294" i="25" s="1"/>
  <c r="BX294" i="25"/>
  <c r="BW294" i="25"/>
  <c r="BV294" i="25"/>
  <c r="BU294" i="25"/>
  <c r="BT294" i="25"/>
  <c r="BR294" i="25"/>
  <c r="BQ294" i="25"/>
  <c r="G294" i="25"/>
  <c r="DR293" i="25"/>
  <c r="DQ293" i="25"/>
  <c r="DP293" i="25"/>
  <c r="DO293" i="25"/>
  <c r="DN293" i="25"/>
  <c r="DM293" i="25"/>
  <c r="DL293" i="25"/>
  <c r="CP293" i="25" s="1"/>
  <c r="DK293" i="25"/>
  <c r="DJ293" i="25"/>
  <c r="DG293" i="25"/>
  <c r="DE293" i="25"/>
  <c r="DH293" i="25" s="1"/>
  <c r="DD293" i="25"/>
  <c r="DC293" i="25"/>
  <c r="CW293" i="25"/>
  <c r="CV293" i="25"/>
  <c r="CU293" i="25"/>
  <c r="DB293" i="25" s="1"/>
  <c r="CT293" i="25"/>
  <c r="CL293" i="25"/>
  <c r="CK293" i="25"/>
  <c r="CC293" i="25"/>
  <c r="CD293" i="25" s="1"/>
  <c r="BX293" i="25"/>
  <c r="BW293" i="25"/>
  <c r="BV293" i="25"/>
  <c r="BU293" i="25"/>
  <c r="BT293" i="25"/>
  <c r="BR293" i="25"/>
  <c r="BQ293" i="25"/>
  <c r="G293" i="25"/>
  <c r="DR292" i="25"/>
  <c r="DQ292" i="25"/>
  <c r="DP292" i="25"/>
  <c r="DO292" i="25"/>
  <c r="DN292" i="25"/>
  <c r="DM292" i="25"/>
  <c r="DL292" i="25"/>
  <c r="CP292" i="25" s="1"/>
  <c r="DK292" i="25"/>
  <c r="DJ292" i="25"/>
  <c r="DG292" i="25"/>
  <c r="DE292" i="25"/>
  <c r="DH292" i="25" s="1"/>
  <c r="DD292" i="25"/>
  <c r="DC292" i="25"/>
  <c r="CW292" i="25"/>
  <c r="CV292" i="25"/>
  <c r="CU292" i="25"/>
  <c r="DB292" i="25" s="1"/>
  <c r="CT292" i="25"/>
  <c r="CL292" i="25"/>
  <c r="CK292" i="25"/>
  <c r="CC292" i="25"/>
  <c r="CD292" i="25" s="1"/>
  <c r="BX292" i="25"/>
  <c r="BW292" i="25"/>
  <c r="BV292" i="25"/>
  <c r="BU292" i="25"/>
  <c r="BT292" i="25"/>
  <c r="BR292" i="25"/>
  <c r="BQ292" i="25"/>
  <c r="G292" i="25"/>
  <c r="DR291" i="25"/>
  <c r="DQ291" i="25"/>
  <c r="DP291" i="25"/>
  <c r="DO291" i="25"/>
  <c r="DN291" i="25"/>
  <c r="DM291" i="25"/>
  <c r="DL291" i="25"/>
  <c r="CO291" i="25" s="1"/>
  <c r="DK291" i="25"/>
  <c r="DJ291" i="25"/>
  <c r="DG291" i="25"/>
  <c r="DE291" i="25"/>
  <c r="DH291" i="25" s="1"/>
  <c r="DD291" i="25"/>
  <c r="DC291" i="25"/>
  <c r="CW291" i="25"/>
  <c r="CV291" i="25"/>
  <c r="CU291" i="25"/>
  <c r="DB291" i="25" s="1"/>
  <c r="CT291" i="25"/>
  <c r="CL291" i="25"/>
  <c r="CK291" i="25"/>
  <c r="CC291" i="25"/>
  <c r="BX291" i="25"/>
  <c r="BW291" i="25"/>
  <c r="BV291" i="25"/>
  <c r="BU291" i="25"/>
  <c r="BT291" i="25"/>
  <c r="BR291" i="25"/>
  <c r="BQ291" i="25"/>
  <c r="G291" i="25"/>
  <c r="DR290" i="25"/>
  <c r="DQ290" i="25"/>
  <c r="DP290" i="25"/>
  <c r="DO290" i="25"/>
  <c r="DN290" i="25"/>
  <c r="DM290" i="25"/>
  <c r="DL290" i="25"/>
  <c r="CP290" i="25" s="1"/>
  <c r="DK290" i="25"/>
  <c r="DJ290" i="25"/>
  <c r="DG290" i="25"/>
  <c r="DE290" i="25"/>
  <c r="DF290" i="25" s="1"/>
  <c r="DD290" i="25"/>
  <c r="DC290" i="25"/>
  <c r="CW290" i="25"/>
  <c r="CV290" i="25"/>
  <c r="CU290" i="25"/>
  <c r="DB290" i="25" s="1"/>
  <c r="CT290" i="25"/>
  <c r="CL290" i="25"/>
  <c r="CK290" i="25"/>
  <c r="CC290" i="25"/>
  <c r="CD290" i="25" s="1"/>
  <c r="BX290" i="25"/>
  <c r="BW290" i="25"/>
  <c r="BV290" i="25"/>
  <c r="BU290" i="25"/>
  <c r="BT290" i="25"/>
  <c r="BR290" i="25"/>
  <c r="BQ290" i="25"/>
  <c r="G290" i="25"/>
  <c r="DR289" i="25"/>
  <c r="DQ289" i="25"/>
  <c r="DP289" i="25"/>
  <c r="DO289" i="25"/>
  <c r="DN289" i="25"/>
  <c r="DM289" i="25"/>
  <c r="DL289" i="25"/>
  <c r="CO289" i="25" s="1"/>
  <c r="DK289" i="25"/>
  <c r="DJ289" i="25"/>
  <c r="DG289" i="25"/>
  <c r="DE289" i="25"/>
  <c r="DD289" i="25"/>
  <c r="DC289" i="25"/>
  <c r="CW289" i="25"/>
  <c r="CV289" i="25"/>
  <c r="CU289" i="25"/>
  <c r="DB289" i="25" s="1"/>
  <c r="CT289" i="25"/>
  <c r="CL289" i="25"/>
  <c r="CK289" i="25"/>
  <c r="CC289" i="25"/>
  <c r="BX289" i="25"/>
  <c r="BW289" i="25"/>
  <c r="BV289" i="25"/>
  <c r="BU289" i="25"/>
  <c r="BT289" i="25"/>
  <c r="BR289" i="25"/>
  <c r="BQ289" i="25"/>
  <c r="G289" i="25"/>
  <c r="DR288" i="25"/>
  <c r="DQ288" i="25"/>
  <c r="DP288" i="25"/>
  <c r="DO288" i="25"/>
  <c r="DN288" i="25"/>
  <c r="DM288" i="25"/>
  <c r="DL288" i="25"/>
  <c r="DK288" i="25"/>
  <c r="DJ288" i="25"/>
  <c r="DG288" i="25"/>
  <c r="DE288" i="25"/>
  <c r="DH288" i="25" s="1"/>
  <c r="DD288" i="25"/>
  <c r="DC288" i="25"/>
  <c r="CW288" i="25"/>
  <c r="CV288" i="25"/>
  <c r="CU288" i="25"/>
  <c r="CT288" i="25"/>
  <c r="CL288" i="25"/>
  <c r="CK288" i="25"/>
  <c r="CC288" i="25"/>
  <c r="CD288" i="25" s="1"/>
  <c r="BX288" i="25"/>
  <c r="BW288" i="25"/>
  <c r="BV288" i="25"/>
  <c r="BU288" i="25"/>
  <c r="BT288" i="25"/>
  <c r="BR288" i="25"/>
  <c r="BQ288" i="25"/>
  <c r="G288" i="25"/>
  <c r="DR287" i="25"/>
  <c r="DQ287" i="25"/>
  <c r="DP287" i="25"/>
  <c r="DO287" i="25"/>
  <c r="DN287" i="25"/>
  <c r="DM287" i="25"/>
  <c r="DL287" i="25"/>
  <c r="CP287" i="25" s="1"/>
  <c r="DK287" i="25"/>
  <c r="DJ287" i="25"/>
  <c r="DG287" i="25"/>
  <c r="DE287" i="25"/>
  <c r="DH287" i="25" s="1"/>
  <c r="DD287" i="25"/>
  <c r="DC287" i="25"/>
  <c r="CW287" i="25"/>
  <c r="CV287" i="25"/>
  <c r="CU287" i="25"/>
  <c r="DB287" i="25" s="1"/>
  <c r="CT287" i="25"/>
  <c r="CL287" i="25"/>
  <c r="CK287" i="25"/>
  <c r="CC287" i="25"/>
  <c r="BX287" i="25"/>
  <c r="BW287" i="25"/>
  <c r="BV287" i="25"/>
  <c r="BU287" i="25"/>
  <c r="BT287" i="25"/>
  <c r="BR287" i="25"/>
  <c r="BQ287" i="25"/>
  <c r="G287" i="25"/>
  <c r="DR286" i="25"/>
  <c r="DQ286" i="25"/>
  <c r="DP286" i="25"/>
  <c r="DO286" i="25"/>
  <c r="DN286" i="25"/>
  <c r="DM286" i="25"/>
  <c r="DL286" i="25"/>
  <c r="DK286" i="25"/>
  <c r="DJ286" i="25"/>
  <c r="DG286" i="25"/>
  <c r="DE286" i="25"/>
  <c r="DF286" i="25" s="1"/>
  <c r="DD286" i="25"/>
  <c r="DC286" i="25"/>
  <c r="CW286" i="25"/>
  <c r="CV286" i="25"/>
  <c r="CU286" i="25"/>
  <c r="DB286" i="25" s="1"/>
  <c r="CT286" i="25"/>
  <c r="CL286" i="25"/>
  <c r="CK286" i="25"/>
  <c r="CC286" i="25"/>
  <c r="CD286" i="25" s="1"/>
  <c r="BX286" i="25"/>
  <c r="BW286" i="25"/>
  <c r="BV286" i="25"/>
  <c r="BU286" i="25"/>
  <c r="BT286" i="25"/>
  <c r="BR286" i="25"/>
  <c r="BQ286" i="25"/>
  <c r="G286" i="25"/>
  <c r="DR285" i="25"/>
  <c r="DQ285" i="25"/>
  <c r="DP285" i="25"/>
  <c r="DO285" i="25"/>
  <c r="DN285" i="25"/>
  <c r="DM285" i="25"/>
  <c r="DL285" i="25"/>
  <c r="CO285" i="25" s="1"/>
  <c r="DK285" i="25"/>
  <c r="DJ285" i="25"/>
  <c r="DG285" i="25"/>
  <c r="DE285" i="25"/>
  <c r="DD285" i="25"/>
  <c r="DC285" i="25"/>
  <c r="CW285" i="25"/>
  <c r="CV285" i="25"/>
  <c r="CU285" i="25"/>
  <c r="DB285" i="25" s="1"/>
  <c r="CT285" i="25"/>
  <c r="CL285" i="25"/>
  <c r="CK285" i="25"/>
  <c r="CC285" i="25"/>
  <c r="BX285" i="25"/>
  <c r="BW285" i="25"/>
  <c r="BV285" i="25"/>
  <c r="BU285" i="25"/>
  <c r="BT285" i="25"/>
  <c r="BR285" i="25"/>
  <c r="BQ285" i="25"/>
  <c r="G285" i="25"/>
  <c r="DR284" i="25"/>
  <c r="DQ284" i="25"/>
  <c r="DP284" i="25"/>
  <c r="DO284" i="25"/>
  <c r="DN284" i="25"/>
  <c r="DM284" i="25"/>
  <c r="DL284" i="25"/>
  <c r="DK284" i="25"/>
  <c r="DJ284" i="25"/>
  <c r="DG284" i="25"/>
  <c r="DE284" i="25"/>
  <c r="DF284" i="25" s="1"/>
  <c r="DD284" i="25"/>
  <c r="DC284" i="25"/>
  <c r="CW284" i="25"/>
  <c r="CV284" i="25"/>
  <c r="CU284" i="25"/>
  <c r="CT284" i="25"/>
  <c r="CL284" i="25"/>
  <c r="CK284" i="25"/>
  <c r="CC284" i="25"/>
  <c r="CD284" i="25" s="1"/>
  <c r="BX284" i="25"/>
  <c r="BW284" i="25"/>
  <c r="BV284" i="25"/>
  <c r="BU284" i="25"/>
  <c r="BT284" i="25"/>
  <c r="BR284" i="25"/>
  <c r="BQ284" i="25"/>
  <c r="G284" i="25"/>
  <c r="DR283" i="25"/>
  <c r="DQ283" i="25"/>
  <c r="DP283" i="25"/>
  <c r="DO283" i="25"/>
  <c r="DN283" i="25"/>
  <c r="DM283" i="25"/>
  <c r="DL283" i="25"/>
  <c r="CQ283" i="25" s="1"/>
  <c r="CR283" i="25" s="1"/>
  <c r="DK283" i="25"/>
  <c r="DJ283" i="25"/>
  <c r="DG283" i="25"/>
  <c r="DE283" i="25"/>
  <c r="DF283" i="25" s="1"/>
  <c r="DD283" i="25"/>
  <c r="DC283" i="25"/>
  <c r="CW283" i="25"/>
  <c r="CV283" i="25"/>
  <c r="CU283" i="25"/>
  <c r="DB283" i="25" s="1"/>
  <c r="CT283" i="25"/>
  <c r="CL283" i="25"/>
  <c r="CK283" i="25"/>
  <c r="CC283" i="25"/>
  <c r="BX283" i="25"/>
  <c r="BW283" i="25"/>
  <c r="BV283" i="25"/>
  <c r="BU283" i="25"/>
  <c r="BT283" i="25"/>
  <c r="BR283" i="25"/>
  <c r="BQ283" i="25"/>
  <c r="G283" i="25"/>
  <c r="DR282" i="25"/>
  <c r="DQ282" i="25"/>
  <c r="DP282" i="25"/>
  <c r="DO282" i="25"/>
  <c r="DN282" i="25"/>
  <c r="DM282" i="25"/>
  <c r="DL282" i="25"/>
  <c r="CO282" i="25" s="1"/>
  <c r="DK282" i="25"/>
  <c r="DJ282" i="25"/>
  <c r="DG282" i="25"/>
  <c r="DE282" i="25"/>
  <c r="DH282" i="25" s="1"/>
  <c r="DD282" i="25"/>
  <c r="DC282" i="25"/>
  <c r="CW282" i="25"/>
  <c r="CV282" i="25"/>
  <c r="CU282" i="25"/>
  <c r="DB282" i="25" s="1"/>
  <c r="CT282" i="25"/>
  <c r="CL282" i="25"/>
  <c r="CK282" i="25"/>
  <c r="CC282" i="25"/>
  <c r="CD282" i="25" s="1"/>
  <c r="BX282" i="25"/>
  <c r="BW282" i="25"/>
  <c r="BV282" i="25"/>
  <c r="BU282" i="25"/>
  <c r="BT282" i="25"/>
  <c r="BR282" i="25"/>
  <c r="BQ282" i="25"/>
  <c r="G282" i="25"/>
  <c r="DR281" i="25"/>
  <c r="DQ281" i="25"/>
  <c r="DP281" i="25"/>
  <c r="DO281" i="25"/>
  <c r="DN281" i="25"/>
  <c r="DM281" i="25"/>
  <c r="DL281" i="25"/>
  <c r="CQ281" i="25" s="1"/>
  <c r="CR281" i="25" s="1"/>
  <c r="DK281" i="25"/>
  <c r="DJ281" i="25"/>
  <c r="DG281" i="25"/>
  <c r="DE281" i="25"/>
  <c r="DD281" i="25"/>
  <c r="DC281" i="25"/>
  <c r="CW281" i="25"/>
  <c r="CV281" i="25"/>
  <c r="CU281" i="25"/>
  <c r="DB281" i="25" s="1"/>
  <c r="CT281" i="25"/>
  <c r="CL281" i="25"/>
  <c r="CK281" i="25"/>
  <c r="CC281" i="25"/>
  <c r="BX281" i="25"/>
  <c r="BW281" i="25"/>
  <c r="BV281" i="25"/>
  <c r="BU281" i="25"/>
  <c r="BT281" i="25"/>
  <c r="BR281" i="25"/>
  <c r="BQ281" i="25"/>
  <c r="G281" i="25"/>
  <c r="DR280" i="25"/>
  <c r="DQ280" i="25"/>
  <c r="DP280" i="25"/>
  <c r="DO280" i="25"/>
  <c r="DN280" i="25"/>
  <c r="DM280" i="25"/>
  <c r="DL280" i="25"/>
  <c r="DK280" i="25"/>
  <c r="DJ280" i="25"/>
  <c r="DG280" i="25"/>
  <c r="DE280" i="25"/>
  <c r="DH280" i="25" s="1"/>
  <c r="DD280" i="25"/>
  <c r="DC280" i="25"/>
  <c r="CW280" i="25"/>
  <c r="CV280" i="25"/>
  <c r="CU280" i="25"/>
  <c r="CT280" i="25"/>
  <c r="CL280" i="25"/>
  <c r="CK280" i="25"/>
  <c r="CC280" i="25"/>
  <c r="CD280" i="25" s="1"/>
  <c r="BX280" i="25"/>
  <c r="BW280" i="25"/>
  <c r="BV280" i="25"/>
  <c r="BU280" i="25"/>
  <c r="BT280" i="25"/>
  <c r="BR280" i="25"/>
  <c r="BQ280" i="25"/>
  <c r="G280" i="25"/>
  <c r="DR279" i="25"/>
  <c r="DQ279" i="25"/>
  <c r="DP279" i="25"/>
  <c r="DO279" i="25"/>
  <c r="DN279" i="25"/>
  <c r="DM279" i="25"/>
  <c r="DL279" i="25"/>
  <c r="CO279" i="25" s="1"/>
  <c r="DK279" i="25"/>
  <c r="DJ279" i="25"/>
  <c r="DG279" i="25"/>
  <c r="DE279" i="25"/>
  <c r="DF279" i="25" s="1"/>
  <c r="DD279" i="25"/>
  <c r="DC279" i="25"/>
  <c r="CW279" i="25"/>
  <c r="CV279" i="25"/>
  <c r="CU279" i="25"/>
  <c r="DB279" i="25" s="1"/>
  <c r="CT279" i="25"/>
  <c r="CL279" i="25"/>
  <c r="CK279" i="25"/>
  <c r="CC279" i="25"/>
  <c r="BX279" i="25"/>
  <c r="BW279" i="25"/>
  <c r="BV279" i="25"/>
  <c r="BU279" i="25"/>
  <c r="BT279" i="25"/>
  <c r="BR279" i="25"/>
  <c r="BQ279" i="25"/>
  <c r="G279" i="25"/>
  <c r="DR278" i="25"/>
  <c r="DQ278" i="25"/>
  <c r="DP278" i="25"/>
  <c r="DO278" i="25"/>
  <c r="DN278" i="25"/>
  <c r="DM278" i="25"/>
  <c r="DL278" i="25"/>
  <c r="CO278" i="25" s="1"/>
  <c r="DK278" i="25"/>
  <c r="DJ278" i="25"/>
  <c r="DG278" i="25"/>
  <c r="DE278" i="25"/>
  <c r="DH278" i="25" s="1"/>
  <c r="DD278" i="25"/>
  <c r="DC278" i="25"/>
  <c r="CW278" i="25"/>
  <c r="CV278" i="25"/>
  <c r="CU278" i="25"/>
  <c r="DB278" i="25" s="1"/>
  <c r="CT278" i="25"/>
  <c r="CL278" i="25"/>
  <c r="CK278" i="25"/>
  <c r="CC278" i="25"/>
  <c r="CD278" i="25" s="1"/>
  <c r="BX278" i="25"/>
  <c r="BW278" i="25"/>
  <c r="BV278" i="25"/>
  <c r="BU278" i="25"/>
  <c r="BT278" i="25"/>
  <c r="BR278" i="25"/>
  <c r="BQ278" i="25"/>
  <c r="G278" i="25"/>
  <c r="DR277" i="25"/>
  <c r="DQ277" i="25"/>
  <c r="DP277" i="25"/>
  <c r="DO277" i="25"/>
  <c r="DN277" i="25"/>
  <c r="DM277" i="25"/>
  <c r="DL277" i="25"/>
  <c r="CQ277" i="25" s="1"/>
  <c r="CR277" i="25" s="1"/>
  <c r="DK277" i="25"/>
  <c r="DJ277" i="25"/>
  <c r="DG277" i="25"/>
  <c r="DE277" i="25"/>
  <c r="DD277" i="25"/>
  <c r="DC277" i="25"/>
  <c r="CW277" i="25"/>
  <c r="CV277" i="25"/>
  <c r="CU277" i="25"/>
  <c r="DB277" i="25" s="1"/>
  <c r="CT277" i="25"/>
  <c r="CL277" i="25"/>
  <c r="CK277" i="25"/>
  <c r="CC277" i="25"/>
  <c r="CD277" i="25" s="1"/>
  <c r="BX277" i="25"/>
  <c r="BW277" i="25"/>
  <c r="BV277" i="25"/>
  <c r="BU277" i="25"/>
  <c r="BT277" i="25"/>
  <c r="BR277" i="25"/>
  <c r="BQ277" i="25"/>
  <c r="G277" i="25"/>
  <c r="DR276" i="25"/>
  <c r="DQ276" i="25"/>
  <c r="DP276" i="25"/>
  <c r="DO276" i="25"/>
  <c r="DN276" i="25"/>
  <c r="DM276" i="25"/>
  <c r="DL276" i="25"/>
  <c r="DK276" i="25"/>
  <c r="DJ276" i="25"/>
  <c r="DG276" i="25"/>
  <c r="DE276" i="25"/>
  <c r="DH276" i="25" s="1"/>
  <c r="DD276" i="25"/>
  <c r="DC276" i="25"/>
  <c r="CW276" i="25"/>
  <c r="CV276" i="25"/>
  <c r="CU276" i="25"/>
  <c r="CT276" i="25"/>
  <c r="CL276" i="25"/>
  <c r="CK276" i="25"/>
  <c r="CC276" i="25"/>
  <c r="CD276" i="25" s="1"/>
  <c r="BX276" i="25"/>
  <c r="BW276" i="25"/>
  <c r="BV276" i="25"/>
  <c r="BU276" i="25"/>
  <c r="BT276" i="25"/>
  <c r="BR276" i="25"/>
  <c r="BQ276" i="25"/>
  <c r="G276" i="25"/>
  <c r="DR275" i="25"/>
  <c r="DQ275" i="25"/>
  <c r="DP275" i="25"/>
  <c r="DO275" i="25"/>
  <c r="DN275" i="25"/>
  <c r="DM275" i="25"/>
  <c r="DL275" i="25"/>
  <c r="CQ275" i="25" s="1"/>
  <c r="CR275" i="25" s="1"/>
  <c r="DK275" i="25"/>
  <c r="DJ275" i="25"/>
  <c r="DG275" i="25"/>
  <c r="DE275" i="25"/>
  <c r="DH275" i="25" s="1"/>
  <c r="DD275" i="25"/>
  <c r="DC275" i="25"/>
  <c r="CW275" i="25"/>
  <c r="CV275" i="25"/>
  <c r="CU275" i="25"/>
  <c r="DB275" i="25" s="1"/>
  <c r="CT275" i="25"/>
  <c r="CL275" i="25"/>
  <c r="CK275" i="25"/>
  <c r="CC275" i="25"/>
  <c r="BX275" i="25"/>
  <c r="BW275" i="25"/>
  <c r="BV275" i="25"/>
  <c r="BU275" i="25"/>
  <c r="BT275" i="25"/>
  <c r="BR275" i="25"/>
  <c r="BQ275" i="25"/>
  <c r="G275" i="25"/>
  <c r="DR274" i="25"/>
  <c r="DQ274" i="25"/>
  <c r="DP274" i="25"/>
  <c r="DO274" i="25"/>
  <c r="DN274" i="25"/>
  <c r="DM274" i="25"/>
  <c r="DL274" i="25"/>
  <c r="CP274" i="25" s="1"/>
  <c r="DK274" i="25"/>
  <c r="DJ274" i="25"/>
  <c r="DG274" i="25"/>
  <c r="DE274" i="25"/>
  <c r="DH274" i="25" s="1"/>
  <c r="DD274" i="25"/>
  <c r="DC274" i="25"/>
  <c r="CW274" i="25"/>
  <c r="CV274" i="25"/>
  <c r="CU274" i="25"/>
  <c r="DB274" i="25" s="1"/>
  <c r="CT274" i="25"/>
  <c r="CL274" i="25"/>
  <c r="CK274" i="25"/>
  <c r="CC274" i="25"/>
  <c r="CD274" i="25" s="1"/>
  <c r="BX274" i="25"/>
  <c r="BW274" i="25"/>
  <c r="BV274" i="25"/>
  <c r="BU274" i="25"/>
  <c r="BT274" i="25"/>
  <c r="BR274" i="25"/>
  <c r="BQ274" i="25"/>
  <c r="G274" i="25"/>
  <c r="DR273" i="25"/>
  <c r="DQ273" i="25"/>
  <c r="DP273" i="25"/>
  <c r="DO273" i="25"/>
  <c r="DN273" i="25"/>
  <c r="DM273" i="25"/>
  <c r="DL273" i="25"/>
  <c r="CQ273" i="25" s="1"/>
  <c r="CR273" i="25" s="1"/>
  <c r="DK273" i="25"/>
  <c r="DJ273" i="25"/>
  <c r="DG273" i="25"/>
  <c r="DE273" i="25"/>
  <c r="DD273" i="25"/>
  <c r="DC273" i="25"/>
  <c r="CW273" i="25"/>
  <c r="CV273" i="25"/>
  <c r="CU273" i="25"/>
  <c r="CT273" i="25"/>
  <c r="CL273" i="25"/>
  <c r="CK273" i="25"/>
  <c r="CC273" i="25"/>
  <c r="CD273" i="25" s="1"/>
  <c r="BX273" i="25"/>
  <c r="BW273" i="25"/>
  <c r="BV273" i="25"/>
  <c r="BU273" i="25"/>
  <c r="BT273" i="25"/>
  <c r="BR273" i="25"/>
  <c r="BQ273" i="25"/>
  <c r="G273" i="25"/>
  <c r="DR272" i="25"/>
  <c r="DQ272" i="25"/>
  <c r="DP272" i="25"/>
  <c r="DO272" i="25"/>
  <c r="DN272" i="25"/>
  <c r="DM272" i="25"/>
  <c r="DL272" i="25"/>
  <c r="DK272" i="25"/>
  <c r="DJ272" i="25"/>
  <c r="DG272" i="25"/>
  <c r="DE272" i="25"/>
  <c r="DH272" i="25" s="1"/>
  <c r="DD272" i="25"/>
  <c r="DC272" i="25"/>
  <c r="CW272" i="25"/>
  <c r="CV272" i="25"/>
  <c r="CU272" i="25"/>
  <c r="CT272" i="25"/>
  <c r="CL272" i="25"/>
  <c r="CK272" i="25"/>
  <c r="CC272" i="25"/>
  <c r="CD272" i="25" s="1"/>
  <c r="BX272" i="25"/>
  <c r="BW272" i="25"/>
  <c r="BV272" i="25"/>
  <c r="BU272" i="25"/>
  <c r="BT272" i="25"/>
  <c r="BR272" i="25"/>
  <c r="BQ272" i="25"/>
  <c r="G272" i="25"/>
  <c r="DR271" i="25"/>
  <c r="DQ271" i="25"/>
  <c r="DP271" i="25"/>
  <c r="DO271" i="25"/>
  <c r="DN271" i="25"/>
  <c r="DM271" i="25"/>
  <c r="DL271" i="25"/>
  <c r="CQ271" i="25" s="1"/>
  <c r="CR271" i="25" s="1"/>
  <c r="DK271" i="25"/>
  <c r="DJ271" i="25"/>
  <c r="DG271" i="25"/>
  <c r="DE271" i="25"/>
  <c r="DD271" i="25"/>
  <c r="DC271" i="25"/>
  <c r="CW271" i="25"/>
  <c r="CV271" i="25"/>
  <c r="CU271" i="25"/>
  <c r="DB271" i="25" s="1"/>
  <c r="CT271" i="25"/>
  <c r="CL271" i="25"/>
  <c r="CK271" i="25"/>
  <c r="CC271" i="25"/>
  <c r="BX271" i="25"/>
  <c r="BW271" i="25"/>
  <c r="BV271" i="25"/>
  <c r="BU271" i="25"/>
  <c r="BT271" i="25"/>
  <c r="BR271" i="25"/>
  <c r="BQ271" i="25"/>
  <c r="G271" i="25"/>
  <c r="DR270" i="25"/>
  <c r="DQ270" i="25"/>
  <c r="DP270" i="25"/>
  <c r="DO270" i="25"/>
  <c r="DN270" i="25"/>
  <c r="DM270" i="25"/>
  <c r="DL270" i="25"/>
  <c r="CQ270" i="25" s="1"/>
  <c r="CR270" i="25" s="1"/>
  <c r="DK270" i="25"/>
  <c r="DJ270" i="25"/>
  <c r="DG270" i="25"/>
  <c r="DE270" i="25"/>
  <c r="DH270" i="25" s="1"/>
  <c r="DD270" i="25"/>
  <c r="DC270" i="25"/>
  <c r="CW270" i="25"/>
  <c r="CV270" i="25"/>
  <c r="CU270" i="25"/>
  <c r="DB270" i="25" s="1"/>
  <c r="CT270" i="25"/>
  <c r="CL270" i="25"/>
  <c r="CK270" i="25"/>
  <c r="CC270" i="25"/>
  <c r="CD270" i="25" s="1"/>
  <c r="BX270" i="25"/>
  <c r="BW270" i="25"/>
  <c r="BV270" i="25"/>
  <c r="BU270" i="25"/>
  <c r="BT270" i="25"/>
  <c r="BR270" i="25"/>
  <c r="BQ270" i="25"/>
  <c r="G270" i="25"/>
  <c r="DR269" i="25"/>
  <c r="DQ269" i="25"/>
  <c r="DP269" i="25"/>
  <c r="DO269" i="25"/>
  <c r="DN269" i="25"/>
  <c r="DM269" i="25"/>
  <c r="DL269" i="25"/>
  <c r="CQ269" i="25" s="1"/>
  <c r="CR269" i="25" s="1"/>
  <c r="DK269" i="25"/>
  <c r="DJ269" i="25"/>
  <c r="DG269" i="25"/>
  <c r="DE269" i="25"/>
  <c r="DF269" i="25" s="1"/>
  <c r="DD269" i="25"/>
  <c r="DC269" i="25"/>
  <c r="CW269" i="25"/>
  <c r="CV269" i="25"/>
  <c r="CU269" i="25"/>
  <c r="DB269" i="25" s="1"/>
  <c r="CT269" i="25"/>
  <c r="CL269" i="25"/>
  <c r="CK269" i="25"/>
  <c r="CC269" i="25"/>
  <c r="CD269" i="25" s="1"/>
  <c r="BX269" i="25"/>
  <c r="BW269" i="25"/>
  <c r="BV269" i="25"/>
  <c r="BU269" i="25"/>
  <c r="BT269" i="25"/>
  <c r="BR269" i="25"/>
  <c r="BQ269" i="25"/>
  <c r="G269" i="25"/>
  <c r="DR268" i="25"/>
  <c r="DQ268" i="25"/>
  <c r="DP268" i="25"/>
  <c r="DO268" i="25"/>
  <c r="DN268" i="25"/>
  <c r="DM268" i="25"/>
  <c r="DL268" i="25"/>
  <c r="CO268" i="25" s="1"/>
  <c r="DK268" i="25"/>
  <c r="DJ268" i="25"/>
  <c r="DG268" i="25"/>
  <c r="DE268" i="25"/>
  <c r="DH268" i="25" s="1"/>
  <c r="DD268" i="25"/>
  <c r="DC268" i="25"/>
  <c r="CW268" i="25"/>
  <c r="CV268" i="25"/>
  <c r="CU268" i="25"/>
  <c r="CT268" i="25"/>
  <c r="CL268" i="25"/>
  <c r="CK268" i="25"/>
  <c r="CC268" i="25"/>
  <c r="BX268" i="25"/>
  <c r="BW268" i="25"/>
  <c r="BV268" i="25"/>
  <c r="BU268" i="25"/>
  <c r="BT268" i="25"/>
  <c r="BR268" i="25"/>
  <c r="BQ268" i="25"/>
  <c r="G268" i="25"/>
  <c r="DR267" i="25"/>
  <c r="DQ267" i="25"/>
  <c r="DP267" i="25"/>
  <c r="DO267" i="25"/>
  <c r="DN267" i="25"/>
  <c r="DM267" i="25"/>
  <c r="DL267" i="25"/>
  <c r="CO267" i="25" s="1"/>
  <c r="DK267" i="25"/>
  <c r="DJ267" i="25"/>
  <c r="DG267" i="25"/>
  <c r="DE267" i="25"/>
  <c r="DH267" i="25" s="1"/>
  <c r="DD267" i="25"/>
  <c r="DC267" i="25"/>
  <c r="CW267" i="25"/>
  <c r="CV267" i="25"/>
  <c r="CU267" i="25"/>
  <c r="DB267" i="25" s="1"/>
  <c r="CT267" i="25"/>
  <c r="CL267" i="25"/>
  <c r="CK267" i="25"/>
  <c r="CC267" i="25"/>
  <c r="CD267" i="25" s="1"/>
  <c r="BX267" i="25"/>
  <c r="BW267" i="25"/>
  <c r="BV267" i="25"/>
  <c r="BU267" i="25"/>
  <c r="BT267" i="25"/>
  <c r="BR267" i="25"/>
  <c r="BQ267" i="25"/>
  <c r="G267" i="25"/>
  <c r="DR266" i="25"/>
  <c r="DQ266" i="25"/>
  <c r="DP266" i="25"/>
  <c r="DO266" i="25"/>
  <c r="DN266" i="25"/>
  <c r="DM266" i="25"/>
  <c r="DL266" i="25"/>
  <c r="CQ266" i="25" s="1"/>
  <c r="CR266" i="25" s="1"/>
  <c r="DK266" i="25"/>
  <c r="DJ266" i="25"/>
  <c r="DG266" i="25"/>
  <c r="DE266" i="25"/>
  <c r="DF266" i="25" s="1"/>
  <c r="DD266" i="25"/>
  <c r="DC266" i="25"/>
  <c r="CW266" i="25"/>
  <c r="CV266" i="25"/>
  <c r="CU266" i="25"/>
  <c r="CT266" i="25"/>
  <c r="CL266" i="25"/>
  <c r="CK266" i="25"/>
  <c r="CC266" i="25"/>
  <c r="CD266" i="25" s="1"/>
  <c r="BX266" i="25"/>
  <c r="BW266" i="25"/>
  <c r="BV266" i="25"/>
  <c r="BU266" i="25"/>
  <c r="BT266" i="25"/>
  <c r="BR266" i="25"/>
  <c r="BQ266" i="25"/>
  <c r="G266" i="25"/>
  <c r="DR265" i="25"/>
  <c r="DQ265" i="25"/>
  <c r="DP265" i="25"/>
  <c r="DO265" i="25"/>
  <c r="DN265" i="25"/>
  <c r="DM265" i="25"/>
  <c r="DL265" i="25"/>
  <c r="CO265" i="25" s="1"/>
  <c r="DK265" i="25"/>
  <c r="DJ265" i="25"/>
  <c r="DG265" i="25"/>
  <c r="DE265" i="25"/>
  <c r="DF265" i="25" s="1"/>
  <c r="DD265" i="25"/>
  <c r="DC265" i="25"/>
  <c r="CW265" i="25"/>
  <c r="CV265" i="25"/>
  <c r="CU265" i="25"/>
  <c r="DB265" i="25" s="1"/>
  <c r="CT265" i="25"/>
  <c r="CL265" i="25"/>
  <c r="CK265" i="25"/>
  <c r="CC265" i="25"/>
  <c r="BX265" i="25"/>
  <c r="BW265" i="25"/>
  <c r="BV265" i="25"/>
  <c r="BU265" i="25"/>
  <c r="BT265" i="25"/>
  <c r="BR265" i="25"/>
  <c r="BQ265" i="25"/>
  <c r="G265" i="25"/>
  <c r="DR264" i="25"/>
  <c r="DQ264" i="25"/>
  <c r="DP264" i="25"/>
  <c r="DO264" i="25"/>
  <c r="DN264" i="25"/>
  <c r="DM264" i="25"/>
  <c r="DL264" i="25"/>
  <c r="CQ264" i="25" s="1"/>
  <c r="CR264" i="25" s="1"/>
  <c r="DK264" i="25"/>
  <c r="DJ264" i="25"/>
  <c r="DG264" i="25"/>
  <c r="DE264" i="25"/>
  <c r="DH264" i="25" s="1"/>
  <c r="DD264" i="25"/>
  <c r="DC264" i="25"/>
  <c r="CW264" i="25"/>
  <c r="CV264" i="25"/>
  <c r="CU264" i="25"/>
  <c r="DB264" i="25" s="1"/>
  <c r="CT264" i="25"/>
  <c r="CL264" i="25"/>
  <c r="CK264" i="25"/>
  <c r="CC264" i="25"/>
  <c r="CD264" i="25" s="1"/>
  <c r="BX264" i="25"/>
  <c r="BW264" i="25"/>
  <c r="BV264" i="25"/>
  <c r="BU264" i="25"/>
  <c r="BT264" i="25"/>
  <c r="BR264" i="25"/>
  <c r="BQ264" i="25"/>
  <c r="G264" i="25"/>
  <c r="DR263" i="25"/>
  <c r="DQ263" i="25"/>
  <c r="DP263" i="25"/>
  <c r="DO263" i="25"/>
  <c r="DN263" i="25"/>
  <c r="DM263" i="25"/>
  <c r="DL263" i="25"/>
  <c r="CP263" i="25" s="1"/>
  <c r="DK263" i="25"/>
  <c r="DJ263" i="25"/>
  <c r="DG263" i="25"/>
  <c r="DE263" i="25"/>
  <c r="DH263" i="25" s="1"/>
  <c r="DD263" i="25"/>
  <c r="DC263" i="25"/>
  <c r="CW263" i="25"/>
  <c r="CV263" i="25"/>
  <c r="CU263" i="25"/>
  <c r="DB263" i="25" s="1"/>
  <c r="CT263" i="25"/>
  <c r="CL263" i="25"/>
  <c r="CK263" i="25"/>
  <c r="CC263" i="25"/>
  <c r="CD263" i="25" s="1"/>
  <c r="BX263" i="25"/>
  <c r="BW263" i="25"/>
  <c r="BV263" i="25"/>
  <c r="BU263" i="25"/>
  <c r="BT263" i="25"/>
  <c r="BR263" i="25"/>
  <c r="BQ263" i="25"/>
  <c r="G263" i="25"/>
  <c r="DR262" i="25"/>
  <c r="DQ262" i="25"/>
  <c r="DP262" i="25"/>
  <c r="DO262" i="25"/>
  <c r="DN262" i="25"/>
  <c r="DM262" i="25"/>
  <c r="DL262" i="25"/>
  <c r="CQ262" i="25" s="1"/>
  <c r="CR262" i="25" s="1"/>
  <c r="DK262" i="25"/>
  <c r="DJ262" i="25"/>
  <c r="DG262" i="25"/>
  <c r="DE262" i="25"/>
  <c r="DH262" i="25" s="1"/>
  <c r="DD262" i="25"/>
  <c r="DC262" i="25"/>
  <c r="CW262" i="25"/>
  <c r="CV262" i="25"/>
  <c r="CU262" i="25"/>
  <c r="CT262" i="25"/>
  <c r="CL262" i="25"/>
  <c r="CK262" i="25"/>
  <c r="CC262" i="25"/>
  <c r="CD262" i="25" s="1"/>
  <c r="BX262" i="25"/>
  <c r="BW262" i="25"/>
  <c r="BV262" i="25"/>
  <c r="BU262" i="25"/>
  <c r="BT262" i="25"/>
  <c r="BR262" i="25"/>
  <c r="BQ262" i="25"/>
  <c r="G262" i="25"/>
  <c r="DR261" i="25"/>
  <c r="DQ261" i="25"/>
  <c r="DP261" i="25"/>
  <c r="DO261" i="25"/>
  <c r="DN261" i="25"/>
  <c r="DM261" i="25"/>
  <c r="DL261" i="25"/>
  <c r="CQ261" i="25" s="1"/>
  <c r="CR261" i="25" s="1"/>
  <c r="DK261" i="25"/>
  <c r="DJ261" i="25"/>
  <c r="DG261" i="25"/>
  <c r="DE261" i="25"/>
  <c r="DF261" i="25" s="1"/>
  <c r="DD261" i="25"/>
  <c r="DC261" i="25"/>
  <c r="CW261" i="25"/>
  <c r="CV261" i="25"/>
  <c r="CU261" i="25"/>
  <c r="CT261" i="25"/>
  <c r="CL261" i="25"/>
  <c r="CK261" i="25"/>
  <c r="CC261" i="25"/>
  <c r="CD261" i="25" s="1"/>
  <c r="BX261" i="25"/>
  <c r="BW261" i="25"/>
  <c r="BV261" i="25"/>
  <c r="BU261" i="25"/>
  <c r="BT261" i="25"/>
  <c r="BR261" i="25"/>
  <c r="BQ261" i="25"/>
  <c r="G261" i="25"/>
  <c r="DR260" i="25"/>
  <c r="DQ260" i="25"/>
  <c r="DP260" i="25"/>
  <c r="DO260" i="25"/>
  <c r="DN260" i="25"/>
  <c r="DM260" i="25"/>
  <c r="DL260" i="25"/>
  <c r="CO260" i="25" s="1"/>
  <c r="DK260" i="25"/>
  <c r="DJ260" i="25"/>
  <c r="DG260" i="25"/>
  <c r="DE260" i="25"/>
  <c r="DF260" i="25" s="1"/>
  <c r="DD260" i="25"/>
  <c r="DC260" i="25"/>
  <c r="CW260" i="25"/>
  <c r="CV260" i="25"/>
  <c r="CU260" i="25"/>
  <c r="DB260" i="25" s="1"/>
  <c r="CT260" i="25"/>
  <c r="CL260" i="25"/>
  <c r="CK260" i="25"/>
  <c r="CC260" i="25"/>
  <c r="CD260" i="25" s="1"/>
  <c r="BX260" i="25"/>
  <c r="BW260" i="25"/>
  <c r="BV260" i="25"/>
  <c r="BU260" i="25"/>
  <c r="BT260" i="25"/>
  <c r="BR260" i="25"/>
  <c r="BQ260" i="25"/>
  <c r="G260" i="25"/>
  <c r="DR259" i="25"/>
  <c r="DQ259" i="25"/>
  <c r="DP259" i="25"/>
  <c r="DO259" i="25"/>
  <c r="DN259" i="25"/>
  <c r="DM259" i="25"/>
  <c r="DL259" i="25"/>
  <c r="CQ259" i="25" s="1"/>
  <c r="CR259" i="25" s="1"/>
  <c r="DK259" i="25"/>
  <c r="DJ259" i="25"/>
  <c r="DG259" i="25"/>
  <c r="DE259" i="25"/>
  <c r="DH259" i="25" s="1"/>
  <c r="DD259" i="25"/>
  <c r="DC259" i="25"/>
  <c r="CW259" i="25"/>
  <c r="CV259" i="25"/>
  <c r="CU259" i="25"/>
  <c r="DB259" i="25" s="1"/>
  <c r="CT259" i="25"/>
  <c r="CL259" i="25"/>
  <c r="CK259" i="25"/>
  <c r="CC259" i="25"/>
  <c r="CD259" i="25" s="1"/>
  <c r="BX259" i="25"/>
  <c r="BW259" i="25"/>
  <c r="BV259" i="25"/>
  <c r="BU259" i="25"/>
  <c r="BT259" i="25"/>
  <c r="BR259" i="25"/>
  <c r="BQ259" i="25"/>
  <c r="G259" i="25"/>
  <c r="DR258" i="25"/>
  <c r="DQ258" i="25"/>
  <c r="DP258" i="25"/>
  <c r="DO258" i="25"/>
  <c r="DN258" i="25"/>
  <c r="DM258" i="25"/>
  <c r="DL258" i="25"/>
  <c r="CQ258" i="25" s="1"/>
  <c r="CR258" i="25" s="1"/>
  <c r="DK258" i="25"/>
  <c r="DJ258" i="25"/>
  <c r="DG258" i="25"/>
  <c r="DE258" i="25"/>
  <c r="DH258" i="25" s="1"/>
  <c r="DD258" i="25"/>
  <c r="DC258" i="25"/>
  <c r="CW258" i="25"/>
  <c r="CV258" i="25"/>
  <c r="CU258" i="25"/>
  <c r="CT258" i="25"/>
  <c r="CL258" i="25"/>
  <c r="CK258" i="25"/>
  <c r="CC258" i="25"/>
  <c r="CD258" i="25" s="1"/>
  <c r="BX258" i="25"/>
  <c r="BW258" i="25"/>
  <c r="BV258" i="25"/>
  <c r="BU258" i="25"/>
  <c r="BT258" i="25"/>
  <c r="BR258" i="25"/>
  <c r="BQ258" i="25"/>
  <c r="G258" i="25"/>
  <c r="DR257" i="25"/>
  <c r="DQ257" i="25"/>
  <c r="DP257" i="25"/>
  <c r="DO257" i="25"/>
  <c r="DN257" i="25"/>
  <c r="DM257" i="25"/>
  <c r="DL257" i="25"/>
  <c r="CQ257" i="25" s="1"/>
  <c r="CR257" i="25" s="1"/>
  <c r="DK257" i="25"/>
  <c r="DJ257" i="25"/>
  <c r="DG257" i="25"/>
  <c r="DE257" i="25"/>
  <c r="DH257" i="25" s="1"/>
  <c r="DD257" i="25"/>
  <c r="DC257" i="25"/>
  <c r="CW257" i="25"/>
  <c r="CV257" i="25"/>
  <c r="CU257" i="25"/>
  <c r="CT257" i="25"/>
  <c r="CL257" i="25"/>
  <c r="CK257" i="25"/>
  <c r="CC257" i="25"/>
  <c r="CD257" i="25" s="1"/>
  <c r="BX257" i="25"/>
  <c r="BW257" i="25"/>
  <c r="BV257" i="25"/>
  <c r="BU257" i="25"/>
  <c r="BT257" i="25"/>
  <c r="BR257" i="25"/>
  <c r="BQ257" i="25"/>
  <c r="G257" i="25"/>
  <c r="DR256" i="25"/>
  <c r="DQ256" i="25"/>
  <c r="DP256" i="25"/>
  <c r="DO256" i="25"/>
  <c r="DN256" i="25"/>
  <c r="DM256" i="25"/>
  <c r="DL256" i="25"/>
  <c r="CO256" i="25" s="1"/>
  <c r="DK256" i="25"/>
  <c r="DJ256" i="25"/>
  <c r="DG256" i="25"/>
  <c r="DE256" i="25"/>
  <c r="DF256" i="25" s="1"/>
  <c r="DD256" i="25"/>
  <c r="DC256" i="25"/>
  <c r="CW256" i="25"/>
  <c r="CV256" i="25"/>
  <c r="CU256" i="25"/>
  <c r="DB256" i="25" s="1"/>
  <c r="CT256" i="25"/>
  <c r="CL256" i="25"/>
  <c r="CK256" i="25"/>
  <c r="CC256" i="25"/>
  <c r="CD256" i="25" s="1"/>
  <c r="BX256" i="25"/>
  <c r="BW256" i="25"/>
  <c r="BV256" i="25"/>
  <c r="BU256" i="25"/>
  <c r="BT256" i="25"/>
  <c r="BR256" i="25"/>
  <c r="BQ256" i="25"/>
  <c r="G256" i="25"/>
  <c r="DR255" i="25"/>
  <c r="DQ255" i="25"/>
  <c r="DP255" i="25"/>
  <c r="DO255" i="25"/>
  <c r="DN255" i="25"/>
  <c r="DM255" i="25"/>
  <c r="DL255" i="25"/>
  <c r="CQ255" i="25" s="1"/>
  <c r="CR255" i="25" s="1"/>
  <c r="DK255" i="25"/>
  <c r="DJ255" i="25"/>
  <c r="DG255" i="25"/>
  <c r="DE255" i="25"/>
  <c r="DH255" i="25" s="1"/>
  <c r="DD255" i="25"/>
  <c r="DC255" i="25"/>
  <c r="CW255" i="25"/>
  <c r="CV255" i="25"/>
  <c r="CU255" i="25"/>
  <c r="DB255" i="25" s="1"/>
  <c r="CT255" i="25"/>
  <c r="CL255" i="25"/>
  <c r="CK255" i="25"/>
  <c r="CC255" i="25"/>
  <c r="CD255" i="25" s="1"/>
  <c r="BX255" i="25"/>
  <c r="BW255" i="25"/>
  <c r="BV255" i="25"/>
  <c r="BU255" i="25"/>
  <c r="BT255" i="25"/>
  <c r="BR255" i="25"/>
  <c r="BQ255" i="25"/>
  <c r="G255" i="25"/>
  <c r="DR254" i="25"/>
  <c r="DQ254" i="25"/>
  <c r="DP254" i="25"/>
  <c r="DO254" i="25"/>
  <c r="DN254" i="25"/>
  <c r="DM254" i="25"/>
  <c r="DL254" i="25"/>
  <c r="CQ254" i="25" s="1"/>
  <c r="CR254" i="25" s="1"/>
  <c r="DK254" i="25"/>
  <c r="DJ254" i="25"/>
  <c r="DG254" i="25"/>
  <c r="DE254" i="25"/>
  <c r="DH254" i="25" s="1"/>
  <c r="DD254" i="25"/>
  <c r="DC254" i="25"/>
  <c r="CW254" i="25"/>
  <c r="CV254" i="25"/>
  <c r="CU254" i="25"/>
  <c r="DB254" i="25" s="1"/>
  <c r="CT254" i="25"/>
  <c r="CL254" i="25"/>
  <c r="CK254" i="25"/>
  <c r="CC254" i="25"/>
  <c r="CD254" i="25" s="1"/>
  <c r="BX254" i="25"/>
  <c r="BW254" i="25"/>
  <c r="BV254" i="25"/>
  <c r="BU254" i="25"/>
  <c r="BT254" i="25"/>
  <c r="BR254" i="25"/>
  <c r="BQ254" i="25"/>
  <c r="G254" i="25"/>
  <c r="DR253" i="25"/>
  <c r="DQ253" i="25"/>
  <c r="DP253" i="25"/>
  <c r="DO253" i="25"/>
  <c r="DN253" i="25"/>
  <c r="DM253" i="25"/>
  <c r="DL253" i="25"/>
  <c r="CQ253" i="25" s="1"/>
  <c r="CR253" i="25" s="1"/>
  <c r="DK253" i="25"/>
  <c r="DJ253" i="25"/>
  <c r="DG253" i="25"/>
  <c r="DE253" i="25"/>
  <c r="DH253" i="25" s="1"/>
  <c r="DD253" i="25"/>
  <c r="DC253" i="25"/>
  <c r="CW253" i="25"/>
  <c r="CV253" i="25"/>
  <c r="CU253" i="25"/>
  <c r="DB253" i="25" s="1"/>
  <c r="CT253" i="25"/>
  <c r="CL253" i="25"/>
  <c r="CK253" i="25"/>
  <c r="CC253" i="25"/>
  <c r="CD253" i="25" s="1"/>
  <c r="BX253" i="25"/>
  <c r="BW253" i="25"/>
  <c r="BV253" i="25"/>
  <c r="BU253" i="25"/>
  <c r="BT253" i="25"/>
  <c r="BR253" i="25"/>
  <c r="BQ253" i="25"/>
  <c r="G253" i="25"/>
  <c r="DR252" i="25"/>
  <c r="DQ252" i="25"/>
  <c r="DP252" i="25"/>
  <c r="DO252" i="25"/>
  <c r="DN252" i="25"/>
  <c r="DM252" i="25"/>
  <c r="DL252" i="25"/>
  <c r="CO252" i="25" s="1"/>
  <c r="DK252" i="25"/>
  <c r="DJ252" i="25"/>
  <c r="DG252" i="25"/>
  <c r="DE252" i="25"/>
  <c r="DH252" i="25" s="1"/>
  <c r="DD252" i="25"/>
  <c r="DC252" i="25"/>
  <c r="CW252" i="25"/>
  <c r="CV252" i="25"/>
  <c r="CU252" i="25"/>
  <c r="DB252" i="25" s="1"/>
  <c r="CT252" i="25"/>
  <c r="CL252" i="25"/>
  <c r="CK252" i="25"/>
  <c r="CC252" i="25"/>
  <c r="CD252" i="25" s="1"/>
  <c r="BX252" i="25"/>
  <c r="BW252" i="25"/>
  <c r="BV252" i="25"/>
  <c r="BU252" i="25"/>
  <c r="BT252" i="25"/>
  <c r="BR252" i="25"/>
  <c r="BQ252" i="25"/>
  <c r="G252" i="25"/>
  <c r="DR251" i="25"/>
  <c r="DQ251" i="25"/>
  <c r="DP251" i="25"/>
  <c r="DO251" i="25"/>
  <c r="DN251" i="25"/>
  <c r="DM251" i="25"/>
  <c r="DL251" i="25"/>
  <c r="CQ251" i="25" s="1"/>
  <c r="CR251" i="25" s="1"/>
  <c r="DK251" i="25"/>
  <c r="DJ251" i="25"/>
  <c r="DG251" i="25"/>
  <c r="DE251" i="25"/>
  <c r="DH251" i="25" s="1"/>
  <c r="DD251" i="25"/>
  <c r="DC251" i="25"/>
  <c r="CW251" i="25"/>
  <c r="CV251" i="25"/>
  <c r="CU251" i="25"/>
  <c r="DB251" i="25" s="1"/>
  <c r="CT251" i="25"/>
  <c r="CL251" i="25"/>
  <c r="CK251" i="25"/>
  <c r="CC251" i="25"/>
  <c r="CD251" i="25" s="1"/>
  <c r="BX251" i="25"/>
  <c r="BW251" i="25"/>
  <c r="BV251" i="25"/>
  <c r="BU251" i="25"/>
  <c r="BT251" i="25"/>
  <c r="BR251" i="25"/>
  <c r="BQ251" i="25"/>
  <c r="G251" i="25"/>
  <c r="DR250" i="25"/>
  <c r="DQ250" i="25"/>
  <c r="DP250" i="25"/>
  <c r="DO250" i="25"/>
  <c r="DN250" i="25"/>
  <c r="DM250" i="25"/>
  <c r="DL250" i="25"/>
  <c r="CQ250" i="25" s="1"/>
  <c r="CR250" i="25" s="1"/>
  <c r="DK250" i="25"/>
  <c r="DJ250" i="25"/>
  <c r="DG250" i="25"/>
  <c r="DE250" i="25"/>
  <c r="DH250" i="25" s="1"/>
  <c r="DD250" i="25"/>
  <c r="DC250" i="25"/>
  <c r="CW250" i="25"/>
  <c r="CV250" i="25"/>
  <c r="CU250" i="25"/>
  <c r="CT250" i="25"/>
  <c r="CL250" i="25"/>
  <c r="CK250" i="25"/>
  <c r="CC250" i="25"/>
  <c r="CD250" i="25" s="1"/>
  <c r="BX250" i="25"/>
  <c r="BW250" i="25"/>
  <c r="BV250" i="25"/>
  <c r="BU250" i="25"/>
  <c r="BT250" i="25"/>
  <c r="BR250" i="25"/>
  <c r="BQ250" i="25"/>
  <c r="G250" i="25"/>
  <c r="DR249" i="25"/>
  <c r="DQ249" i="25"/>
  <c r="DP249" i="25"/>
  <c r="DO249" i="25"/>
  <c r="DN249" i="25"/>
  <c r="DM249" i="25"/>
  <c r="DL249" i="25"/>
  <c r="CQ249" i="25" s="1"/>
  <c r="CR249" i="25" s="1"/>
  <c r="DK249" i="25"/>
  <c r="DJ249" i="25"/>
  <c r="DG249" i="25"/>
  <c r="DE249" i="25"/>
  <c r="DH249" i="25" s="1"/>
  <c r="DD249" i="25"/>
  <c r="DC249" i="25"/>
  <c r="CW249" i="25"/>
  <c r="CV249" i="25"/>
  <c r="CU249" i="25"/>
  <c r="DB249" i="25" s="1"/>
  <c r="CT249" i="25"/>
  <c r="CL249" i="25"/>
  <c r="CK249" i="25"/>
  <c r="CC249" i="25"/>
  <c r="CD249" i="25" s="1"/>
  <c r="BX249" i="25"/>
  <c r="BW249" i="25"/>
  <c r="BV249" i="25"/>
  <c r="BU249" i="25"/>
  <c r="BT249" i="25"/>
  <c r="BR249" i="25"/>
  <c r="BQ249" i="25"/>
  <c r="G249" i="25"/>
  <c r="DR248" i="25"/>
  <c r="DQ248" i="25"/>
  <c r="DP248" i="25"/>
  <c r="DO248" i="25"/>
  <c r="DN248" i="25"/>
  <c r="DM248" i="25"/>
  <c r="DL248" i="25"/>
  <c r="DK248" i="25"/>
  <c r="DJ248" i="25"/>
  <c r="DG248" i="25"/>
  <c r="DE248" i="25"/>
  <c r="DH248" i="25" s="1"/>
  <c r="DD248" i="25"/>
  <c r="DC248" i="25"/>
  <c r="CW248" i="25"/>
  <c r="CV248" i="25"/>
  <c r="CU248" i="25"/>
  <c r="DB248" i="25" s="1"/>
  <c r="CT248" i="25"/>
  <c r="CL248" i="25"/>
  <c r="CK248" i="25"/>
  <c r="CC248" i="25"/>
  <c r="CD248" i="25" s="1"/>
  <c r="BX248" i="25"/>
  <c r="BW248" i="25"/>
  <c r="BV248" i="25"/>
  <c r="BU248" i="25"/>
  <c r="BT248" i="25"/>
  <c r="BR248" i="25"/>
  <c r="BQ248" i="25"/>
  <c r="G248" i="25"/>
  <c r="DR247" i="25"/>
  <c r="DQ247" i="25"/>
  <c r="DP247" i="25"/>
  <c r="DO247" i="25"/>
  <c r="DN247" i="25"/>
  <c r="DM247" i="25"/>
  <c r="DL247" i="25"/>
  <c r="CO247" i="25" s="1"/>
  <c r="DK247" i="25"/>
  <c r="DJ247" i="25"/>
  <c r="DG247" i="25"/>
  <c r="DE247" i="25"/>
  <c r="DH247" i="25" s="1"/>
  <c r="DD247" i="25"/>
  <c r="DC247" i="25"/>
  <c r="CW247" i="25"/>
  <c r="CV247" i="25"/>
  <c r="CU247" i="25"/>
  <c r="DB247" i="25" s="1"/>
  <c r="CT247" i="25"/>
  <c r="CL247" i="25"/>
  <c r="CK247" i="25"/>
  <c r="CC247" i="25"/>
  <c r="CD247" i="25" s="1"/>
  <c r="BX247" i="25"/>
  <c r="BW247" i="25"/>
  <c r="BV247" i="25"/>
  <c r="BU247" i="25"/>
  <c r="BT247" i="25"/>
  <c r="BR247" i="25"/>
  <c r="BQ247" i="25"/>
  <c r="G247" i="25"/>
  <c r="DR246" i="25"/>
  <c r="DQ246" i="25"/>
  <c r="DP246" i="25"/>
  <c r="DO246" i="25"/>
  <c r="DN246" i="25"/>
  <c r="DM246" i="25"/>
  <c r="DL246" i="25"/>
  <c r="CQ246" i="25" s="1"/>
  <c r="CR246" i="25" s="1"/>
  <c r="DK246" i="25"/>
  <c r="DJ246" i="25"/>
  <c r="DG246" i="25"/>
  <c r="DE246" i="25"/>
  <c r="DH246" i="25" s="1"/>
  <c r="DD246" i="25"/>
  <c r="DC246" i="25"/>
  <c r="CW246" i="25"/>
  <c r="CV246" i="25"/>
  <c r="CU246" i="25"/>
  <c r="DB246" i="25" s="1"/>
  <c r="CT246" i="25"/>
  <c r="CL246" i="25"/>
  <c r="CK246" i="25"/>
  <c r="CC246" i="25"/>
  <c r="CD246" i="25" s="1"/>
  <c r="BX246" i="25"/>
  <c r="BW246" i="25"/>
  <c r="BV246" i="25"/>
  <c r="BU246" i="25"/>
  <c r="BT246" i="25"/>
  <c r="BR246" i="25"/>
  <c r="BQ246" i="25"/>
  <c r="G246" i="25"/>
  <c r="DR245" i="25"/>
  <c r="DQ245" i="25"/>
  <c r="DP245" i="25"/>
  <c r="DO245" i="25"/>
  <c r="DN245" i="25"/>
  <c r="DM245" i="25"/>
  <c r="DL245" i="25"/>
  <c r="CO245" i="25" s="1"/>
  <c r="DK245" i="25"/>
  <c r="DJ245" i="25"/>
  <c r="DG245" i="25"/>
  <c r="DE245" i="25"/>
  <c r="DF245" i="25" s="1"/>
  <c r="DD245" i="25"/>
  <c r="DC245" i="25"/>
  <c r="CW245" i="25"/>
  <c r="CV245" i="25"/>
  <c r="CU245" i="25"/>
  <c r="DB245" i="25" s="1"/>
  <c r="CT245" i="25"/>
  <c r="CL245" i="25"/>
  <c r="CK245" i="25"/>
  <c r="CC245" i="25"/>
  <c r="CD245" i="25" s="1"/>
  <c r="BX245" i="25"/>
  <c r="BW245" i="25"/>
  <c r="BV245" i="25"/>
  <c r="BU245" i="25"/>
  <c r="BT245" i="25"/>
  <c r="BR245" i="25"/>
  <c r="BQ245" i="25"/>
  <c r="G245" i="25"/>
  <c r="DR244" i="25"/>
  <c r="DQ244" i="25"/>
  <c r="DP244" i="25"/>
  <c r="DO244" i="25"/>
  <c r="DN244" i="25"/>
  <c r="DM244" i="25"/>
  <c r="DL244" i="25"/>
  <c r="CQ244" i="25" s="1"/>
  <c r="CR244" i="25" s="1"/>
  <c r="DK244" i="25"/>
  <c r="DJ244" i="25"/>
  <c r="DG244" i="25"/>
  <c r="DE244" i="25"/>
  <c r="DH244" i="25" s="1"/>
  <c r="DD244" i="25"/>
  <c r="DC244" i="25"/>
  <c r="CW244" i="25"/>
  <c r="CV244" i="25"/>
  <c r="CU244" i="25"/>
  <c r="DB244" i="25" s="1"/>
  <c r="CT244" i="25"/>
  <c r="CL244" i="25"/>
  <c r="CK244" i="25"/>
  <c r="CC244" i="25"/>
  <c r="BX244" i="25"/>
  <c r="BW244" i="25"/>
  <c r="BV244" i="25"/>
  <c r="BU244" i="25"/>
  <c r="BT244" i="25"/>
  <c r="BR244" i="25"/>
  <c r="BQ244" i="25"/>
  <c r="G244" i="25"/>
  <c r="DR243" i="25"/>
  <c r="DQ243" i="25"/>
  <c r="DP243" i="25"/>
  <c r="DO243" i="25"/>
  <c r="DN243" i="25"/>
  <c r="DM243" i="25"/>
  <c r="DL243" i="25"/>
  <c r="CQ243" i="25" s="1"/>
  <c r="CR243" i="25" s="1"/>
  <c r="DK243" i="25"/>
  <c r="DJ243" i="25"/>
  <c r="DG243" i="25"/>
  <c r="DE243" i="25"/>
  <c r="DH243" i="25" s="1"/>
  <c r="DD243" i="25"/>
  <c r="DC243" i="25"/>
  <c r="CW243" i="25"/>
  <c r="CV243" i="25"/>
  <c r="CU243" i="25"/>
  <c r="DB243" i="25" s="1"/>
  <c r="CT243" i="25"/>
  <c r="CL243" i="25"/>
  <c r="CK243" i="25"/>
  <c r="CC243" i="25"/>
  <c r="CD243" i="25" s="1"/>
  <c r="BX243" i="25"/>
  <c r="BW243" i="25"/>
  <c r="BV243" i="25"/>
  <c r="BU243" i="25"/>
  <c r="BT243" i="25"/>
  <c r="BR243" i="25"/>
  <c r="BQ243" i="25"/>
  <c r="G243" i="25"/>
  <c r="DR242" i="25"/>
  <c r="DQ242" i="25"/>
  <c r="DP242" i="25"/>
  <c r="DO242" i="25"/>
  <c r="DN242" i="25"/>
  <c r="DM242" i="25"/>
  <c r="DL242" i="25"/>
  <c r="CQ242" i="25" s="1"/>
  <c r="CR242" i="25" s="1"/>
  <c r="DK242" i="25"/>
  <c r="DJ242" i="25"/>
  <c r="DG242" i="25"/>
  <c r="DE242" i="25"/>
  <c r="DF242" i="25" s="1"/>
  <c r="DD242" i="25"/>
  <c r="DC242" i="25"/>
  <c r="CW242" i="25"/>
  <c r="CV242" i="25"/>
  <c r="CU242" i="25"/>
  <c r="DB242" i="25" s="1"/>
  <c r="CT242" i="25"/>
  <c r="CL242" i="25"/>
  <c r="CK242" i="25"/>
  <c r="CC242" i="25"/>
  <c r="CD242" i="25" s="1"/>
  <c r="BX242" i="25"/>
  <c r="BW242" i="25"/>
  <c r="BV242" i="25"/>
  <c r="BU242" i="25"/>
  <c r="BT242" i="25"/>
  <c r="BR242" i="25"/>
  <c r="BQ242" i="25"/>
  <c r="G242" i="25"/>
  <c r="DR241" i="25"/>
  <c r="DQ241" i="25"/>
  <c r="DP241" i="25"/>
  <c r="DO241" i="25"/>
  <c r="DN241" i="25"/>
  <c r="DM241" i="25"/>
  <c r="DL241" i="25"/>
  <c r="CO241" i="25" s="1"/>
  <c r="DK241" i="25"/>
  <c r="DJ241" i="25"/>
  <c r="DG241" i="25"/>
  <c r="DE241" i="25"/>
  <c r="DH241" i="25" s="1"/>
  <c r="DD241" i="25"/>
  <c r="DC241" i="25"/>
  <c r="CW241" i="25"/>
  <c r="CV241" i="25"/>
  <c r="CU241" i="25"/>
  <c r="DB241" i="25" s="1"/>
  <c r="CT241" i="25"/>
  <c r="CL241" i="25"/>
  <c r="CK241" i="25"/>
  <c r="CC241" i="25"/>
  <c r="CD241" i="25" s="1"/>
  <c r="BX241" i="25"/>
  <c r="BW241" i="25"/>
  <c r="BV241" i="25"/>
  <c r="BU241" i="25"/>
  <c r="BT241" i="25"/>
  <c r="BR241" i="25"/>
  <c r="BQ241" i="25"/>
  <c r="G241" i="25"/>
  <c r="DR240" i="25"/>
  <c r="DQ240" i="25"/>
  <c r="DP240" i="25"/>
  <c r="DO240" i="25"/>
  <c r="DN240" i="25"/>
  <c r="DM240" i="25"/>
  <c r="DL240" i="25"/>
  <c r="CO240" i="25" s="1"/>
  <c r="DK240" i="25"/>
  <c r="DJ240" i="25"/>
  <c r="DG240" i="25"/>
  <c r="DE240" i="25"/>
  <c r="DD240" i="25"/>
  <c r="DC240" i="25"/>
  <c r="CW240" i="25"/>
  <c r="CV240" i="25"/>
  <c r="CU240" i="25"/>
  <c r="DB240" i="25" s="1"/>
  <c r="CT240" i="25"/>
  <c r="CL240" i="25"/>
  <c r="CK240" i="25"/>
  <c r="CC240" i="25"/>
  <c r="CD240" i="25" s="1"/>
  <c r="BX240" i="25"/>
  <c r="BW240" i="25"/>
  <c r="BV240" i="25"/>
  <c r="BU240" i="25"/>
  <c r="BT240" i="25"/>
  <c r="BR240" i="25"/>
  <c r="BQ240" i="25"/>
  <c r="G240" i="25"/>
  <c r="DR239" i="25"/>
  <c r="DQ239" i="25"/>
  <c r="DP239" i="25"/>
  <c r="DO239" i="25"/>
  <c r="DN239" i="25"/>
  <c r="DM239" i="25"/>
  <c r="DL239" i="25"/>
  <c r="CQ239" i="25" s="1"/>
  <c r="CR239" i="25" s="1"/>
  <c r="DK239" i="25"/>
  <c r="DJ239" i="25"/>
  <c r="DG239" i="25"/>
  <c r="DE239" i="25"/>
  <c r="DH239" i="25" s="1"/>
  <c r="DD239" i="25"/>
  <c r="DC239" i="25"/>
  <c r="CW239" i="25"/>
  <c r="CV239" i="25"/>
  <c r="CU239" i="25"/>
  <c r="CT239" i="25"/>
  <c r="CL239" i="25"/>
  <c r="CK239" i="25"/>
  <c r="CC239" i="25"/>
  <c r="CD239" i="25" s="1"/>
  <c r="BX239" i="25"/>
  <c r="BW239" i="25"/>
  <c r="BV239" i="25"/>
  <c r="BU239" i="25"/>
  <c r="BT239" i="25"/>
  <c r="BR239" i="25"/>
  <c r="BQ239" i="25"/>
  <c r="G239" i="25"/>
  <c r="DR238" i="25"/>
  <c r="DQ238" i="25"/>
  <c r="DP238" i="25"/>
  <c r="DO238" i="25"/>
  <c r="DN238" i="25"/>
  <c r="DM238" i="25"/>
  <c r="DL238" i="25"/>
  <c r="DK238" i="25"/>
  <c r="DJ238" i="25"/>
  <c r="DG238" i="25"/>
  <c r="DE238" i="25"/>
  <c r="DH238" i="25" s="1"/>
  <c r="DD238" i="25"/>
  <c r="DC238" i="25"/>
  <c r="CW238" i="25"/>
  <c r="CV238" i="25"/>
  <c r="CU238" i="25"/>
  <c r="DB238" i="25" s="1"/>
  <c r="CT238" i="25"/>
  <c r="CL238" i="25"/>
  <c r="CK238" i="25"/>
  <c r="CC238" i="25"/>
  <c r="CD238" i="25" s="1"/>
  <c r="BX238" i="25"/>
  <c r="BW238" i="25"/>
  <c r="BV238" i="25"/>
  <c r="BU238" i="25"/>
  <c r="BT238" i="25"/>
  <c r="BR238" i="25"/>
  <c r="BQ238" i="25"/>
  <c r="G238" i="25"/>
  <c r="DR237" i="25"/>
  <c r="DQ237" i="25"/>
  <c r="DP237" i="25"/>
  <c r="DO237" i="25"/>
  <c r="DN237" i="25"/>
  <c r="DM237" i="25"/>
  <c r="DL237" i="25"/>
  <c r="CQ237" i="25" s="1"/>
  <c r="CR237" i="25" s="1"/>
  <c r="DK237" i="25"/>
  <c r="DJ237" i="25"/>
  <c r="DG237" i="25"/>
  <c r="DE237" i="25"/>
  <c r="DF237" i="25" s="1"/>
  <c r="DD237" i="25"/>
  <c r="DC237" i="25"/>
  <c r="CW237" i="25"/>
  <c r="CV237" i="25"/>
  <c r="CU237" i="25"/>
  <c r="CT237" i="25"/>
  <c r="CL237" i="25"/>
  <c r="CK237" i="25"/>
  <c r="CC237" i="25"/>
  <c r="BX237" i="25"/>
  <c r="BW237" i="25"/>
  <c r="BV237" i="25"/>
  <c r="BU237" i="25"/>
  <c r="BT237" i="25"/>
  <c r="BR237" i="25"/>
  <c r="BQ237" i="25"/>
  <c r="G237" i="25"/>
  <c r="DR236" i="25"/>
  <c r="DQ236" i="25"/>
  <c r="DP236" i="25"/>
  <c r="DO236" i="25"/>
  <c r="DN236" i="25"/>
  <c r="DM236" i="25"/>
  <c r="DL236" i="25"/>
  <c r="CO236" i="25" s="1"/>
  <c r="DK236" i="25"/>
  <c r="DJ236" i="25"/>
  <c r="DG236" i="25"/>
  <c r="DE236" i="25"/>
  <c r="DH236" i="25" s="1"/>
  <c r="DD236" i="25"/>
  <c r="DC236" i="25"/>
  <c r="CW236" i="25"/>
  <c r="CV236" i="25"/>
  <c r="CU236" i="25"/>
  <c r="DB236" i="25" s="1"/>
  <c r="CT236" i="25"/>
  <c r="CL236" i="25"/>
  <c r="CK236" i="25"/>
  <c r="CC236" i="25"/>
  <c r="BX236" i="25"/>
  <c r="BW236" i="25"/>
  <c r="BV236" i="25"/>
  <c r="BU236" i="25"/>
  <c r="BT236" i="25"/>
  <c r="BR236" i="25"/>
  <c r="BQ236" i="25"/>
  <c r="G236" i="25"/>
  <c r="DR235" i="25"/>
  <c r="DQ235" i="25"/>
  <c r="DP235" i="25"/>
  <c r="DO235" i="25"/>
  <c r="DN235" i="25"/>
  <c r="DM235" i="25"/>
  <c r="DL235" i="25"/>
  <c r="CP235" i="25" s="1"/>
  <c r="DK235" i="25"/>
  <c r="DJ235" i="25"/>
  <c r="DG235" i="25"/>
  <c r="DE235" i="25"/>
  <c r="DD235" i="25"/>
  <c r="DC235" i="25"/>
  <c r="CW235" i="25"/>
  <c r="CV235" i="25"/>
  <c r="CU235" i="25"/>
  <c r="DB235" i="25" s="1"/>
  <c r="CT235" i="25"/>
  <c r="CL235" i="25"/>
  <c r="CK235" i="25"/>
  <c r="CC235" i="25"/>
  <c r="CD235" i="25" s="1"/>
  <c r="BX235" i="25"/>
  <c r="BW235" i="25"/>
  <c r="BV235" i="25"/>
  <c r="BU235" i="25"/>
  <c r="BT235" i="25"/>
  <c r="BR235" i="25"/>
  <c r="BQ235" i="25"/>
  <c r="G235" i="25"/>
  <c r="DR234" i="25"/>
  <c r="DQ234" i="25"/>
  <c r="DP234" i="25"/>
  <c r="DO234" i="25"/>
  <c r="DN234" i="25"/>
  <c r="DM234" i="25"/>
  <c r="DL234" i="25"/>
  <c r="DK234" i="25"/>
  <c r="DJ234" i="25"/>
  <c r="DG234" i="25"/>
  <c r="DE234" i="25"/>
  <c r="DH234" i="25" s="1"/>
  <c r="DD234" i="25"/>
  <c r="DC234" i="25"/>
  <c r="CW234" i="25"/>
  <c r="CV234" i="25"/>
  <c r="CU234" i="25"/>
  <c r="CT234" i="25"/>
  <c r="CL234" i="25"/>
  <c r="CK234" i="25"/>
  <c r="CC234" i="25"/>
  <c r="CD234" i="25" s="1"/>
  <c r="BX234" i="25"/>
  <c r="BW234" i="25"/>
  <c r="BV234" i="25"/>
  <c r="BU234" i="25"/>
  <c r="BT234" i="25"/>
  <c r="BR234" i="25"/>
  <c r="BQ234" i="25"/>
  <c r="G234" i="25"/>
  <c r="DR233" i="25"/>
  <c r="DQ233" i="25"/>
  <c r="DP233" i="25"/>
  <c r="DO233" i="25"/>
  <c r="DN233" i="25"/>
  <c r="DM233" i="25"/>
  <c r="DL233" i="25"/>
  <c r="CQ233" i="25" s="1"/>
  <c r="CR233" i="25" s="1"/>
  <c r="DK233" i="25"/>
  <c r="DJ233" i="25"/>
  <c r="DG233" i="25"/>
  <c r="DE233" i="25"/>
  <c r="DF233" i="25" s="1"/>
  <c r="DD233" i="25"/>
  <c r="DC233" i="25"/>
  <c r="CW233" i="25"/>
  <c r="CV233" i="25"/>
  <c r="CU233" i="25"/>
  <c r="CT233" i="25"/>
  <c r="CL233" i="25"/>
  <c r="CK233" i="25"/>
  <c r="CC233" i="25"/>
  <c r="BX233" i="25"/>
  <c r="BW233" i="25"/>
  <c r="BV233" i="25"/>
  <c r="BU233" i="25"/>
  <c r="BT233" i="25"/>
  <c r="BR233" i="25"/>
  <c r="BQ233" i="25"/>
  <c r="G233" i="25"/>
  <c r="DR232" i="25"/>
  <c r="DQ232" i="25"/>
  <c r="DP232" i="25"/>
  <c r="DO232" i="25"/>
  <c r="DN232" i="25"/>
  <c r="DM232" i="25"/>
  <c r="DL232" i="25"/>
  <c r="CO232" i="25" s="1"/>
  <c r="DK232" i="25"/>
  <c r="DJ232" i="25"/>
  <c r="DG232" i="25"/>
  <c r="DE232" i="25"/>
  <c r="DH232" i="25" s="1"/>
  <c r="DD232" i="25"/>
  <c r="DC232" i="25"/>
  <c r="CW232" i="25"/>
  <c r="CV232" i="25"/>
  <c r="CU232" i="25"/>
  <c r="DB232" i="25" s="1"/>
  <c r="CT232" i="25"/>
  <c r="CL232" i="25"/>
  <c r="CK232" i="25"/>
  <c r="CC232" i="25"/>
  <c r="BX232" i="25"/>
  <c r="BW232" i="25"/>
  <c r="BV232" i="25"/>
  <c r="BU232" i="25"/>
  <c r="BT232" i="25"/>
  <c r="BR232" i="25"/>
  <c r="BQ232" i="25"/>
  <c r="G232" i="25"/>
  <c r="DR231" i="25"/>
  <c r="DQ231" i="25"/>
  <c r="DP231" i="25"/>
  <c r="DO231" i="25"/>
  <c r="DN231" i="25"/>
  <c r="DM231" i="25"/>
  <c r="DL231" i="25"/>
  <c r="CP231" i="25" s="1"/>
  <c r="DK231" i="25"/>
  <c r="DJ231" i="25"/>
  <c r="DG231" i="25"/>
  <c r="DE231" i="25"/>
  <c r="DD231" i="25"/>
  <c r="DC231" i="25"/>
  <c r="CW231" i="25"/>
  <c r="CV231" i="25"/>
  <c r="CU231" i="25"/>
  <c r="DB231" i="25" s="1"/>
  <c r="CT231" i="25"/>
  <c r="CL231" i="25"/>
  <c r="CK231" i="25"/>
  <c r="CC231" i="25"/>
  <c r="CD231" i="25" s="1"/>
  <c r="BX231" i="25"/>
  <c r="BW231" i="25"/>
  <c r="BV231" i="25"/>
  <c r="BU231" i="25"/>
  <c r="BT231" i="25"/>
  <c r="BR231" i="25"/>
  <c r="BQ231" i="25"/>
  <c r="G231" i="25"/>
  <c r="DR230" i="25"/>
  <c r="DQ230" i="25"/>
  <c r="DP230" i="25"/>
  <c r="DO230" i="25"/>
  <c r="DN230" i="25"/>
  <c r="DM230" i="25"/>
  <c r="DL230" i="25"/>
  <c r="DK230" i="25"/>
  <c r="DJ230" i="25"/>
  <c r="DG230" i="25"/>
  <c r="DE230" i="25"/>
  <c r="DH230" i="25" s="1"/>
  <c r="DD230" i="25"/>
  <c r="DC230" i="25"/>
  <c r="CW230" i="25"/>
  <c r="CV230" i="25"/>
  <c r="CU230" i="25"/>
  <c r="CT230" i="25"/>
  <c r="CL230" i="25"/>
  <c r="CK230" i="25"/>
  <c r="CC230" i="25"/>
  <c r="CD230" i="25" s="1"/>
  <c r="BX230" i="25"/>
  <c r="BW230" i="25"/>
  <c r="BV230" i="25"/>
  <c r="BU230" i="25"/>
  <c r="BT230" i="25"/>
  <c r="BR230" i="25"/>
  <c r="BQ230" i="25"/>
  <c r="G230" i="25"/>
  <c r="DR229" i="25"/>
  <c r="DQ229" i="25"/>
  <c r="DP229" i="25"/>
  <c r="DO229" i="25"/>
  <c r="DN229" i="25"/>
  <c r="DM229" i="25"/>
  <c r="DL229" i="25"/>
  <c r="CQ229" i="25" s="1"/>
  <c r="CR229" i="25" s="1"/>
  <c r="DK229" i="25"/>
  <c r="DJ229" i="25"/>
  <c r="DG229" i="25"/>
  <c r="DE229" i="25"/>
  <c r="DF229" i="25" s="1"/>
  <c r="DD229" i="25"/>
  <c r="DC229" i="25"/>
  <c r="CW229" i="25"/>
  <c r="CV229" i="25"/>
  <c r="CU229" i="25"/>
  <c r="CT229" i="25"/>
  <c r="CL229" i="25"/>
  <c r="CK229" i="25"/>
  <c r="CC229" i="25"/>
  <c r="BX229" i="25"/>
  <c r="BW229" i="25"/>
  <c r="BV229" i="25"/>
  <c r="BU229" i="25"/>
  <c r="BT229" i="25"/>
  <c r="BR229" i="25"/>
  <c r="BQ229" i="25"/>
  <c r="G229" i="25"/>
  <c r="DR228" i="25"/>
  <c r="DQ228" i="25"/>
  <c r="DP228" i="25"/>
  <c r="DO228" i="25"/>
  <c r="DN228" i="25"/>
  <c r="DM228" i="25"/>
  <c r="DL228" i="25"/>
  <c r="DK228" i="25"/>
  <c r="DJ228" i="25"/>
  <c r="DG228" i="25"/>
  <c r="DE228" i="25"/>
  <c r="DH228" i="25" s="1"/>
  <c r="DD228" i="25"/>
  <c r="DC228" i="25"/>
  <c r="CW228" i="25"/>
  <c r="CV228" i="25"/>
  <c r="CU228" i="25"/>
  <c r="DB228" i="25" s="1"/>
  <c r="CT228" i="25"/>
  <c r="CL228" i="25"/>
  <c r="CK228" i="25"/>
  <c r="CC228" i="25"/>
  <c r="BX228" i="25"/>
  <c r="BW228" i="25"/>
  <c r="BV228" i="25"/>
  <c r="BU228" i="25"/>
  <c r="BT228" i="25"/>
  <c r="BR228" i="25"/>
  <c r="BQ228" i="25"/>
  <c r="G228" i="25"/>
  <c r="DR227" i="25"/>
  <c r="DQ227" i="25"/>
  <c r="DP227" i="25"/>
  <c r="DO227" i="25"/>
  <c r="DN227" i="25"/>
  <c r="DM227" i="25"/>
  <c r="DL227" i="25"/>
  <c r="CP227" i="25" s="1"/>
  <c r="DK227" i="25"/>
  <c r="DJ227" i="25"/>
  <c r="DG227" i="25"/>
  <c r="DE227" i="25"/>
  <c r="DD227" i="25"/>
  <c r="DC227" i="25"/>
  <c r="CW227" i="25"/>
  <c r="CV227" i="25"/>
  <c r="CU227" i="25"/>
  <c r="DB227" i="25" s="1"/>
  <c r="CT227" i="25"/>
  <c r="CL227" i="25"/>
  <c r="CK227" i="25"/>
  <c r="CC227" i="25"/>
  <c r="CD227" i="25" s="1"/>
  <c r="BX227" i="25"/>
  <c r="BW227" i="25"/>
  <c r="BV227" i="25"/>
  <c r="BU227" i="25"/>
  <c r="BT227" i="25"/>
  <c r="BR227" i="25"/>
  <c r="BQ227" i="25"/>
  <c r="G227" i="25"/>
  <c r="DR226" i="25"/>
  <c r="DQ226" i="25"/>
  <c r="DP226" i="25"/>
  <c r="DO226" i="25"/>
  <c r="DN226" i="25"/>
  <c r="DM226" i="25"/>
  <c r="DL226" i="25"/>
  <c r="DK226" i="25"/>
  <c r="DJ226" i="25"/>
  <c r="DG226" i="25"/>
  <c r="DE226" i="25"/>
  <c r="DH226" i="25" s="1"/>
  <c r="DD226" i="25"/>
  <c r="DC226" i="25"/>
  <c r="CW226" i="25"/>
  <c r="CV226" i="25"/>
  <c r="CU226" i="25"/>
  <c r="CT226" i="25"/>
  <c r="CL226" i="25"/>
  <c r="CK226" i="25"/>
  <c r="CC226" i="25"/>
  <c r="CD226" i="25" s="1"/>
  <c r="BX226" i="25"/>
  <c r="BW226" i="25"/>
  <c r="BV226" i="25"/>
  <c r="BU226" i="25"/>
  <c r="BT226" i="25"/>
  <c r="BR226" i="25"/>
  <c r="BQ226" i="25"/>
  <c r="G226" i="25"/>
  <c r="DR225" i="25"/>
  <c r="DQ225" i="25"/>
  <c r="DP225" i="25"/>
  <c r="DO225" i="25"/>
  <c r="DN225" i="25"/>
  <c r="DM225" i="25"/>
  <c r="DL225" i="25"/>
  <c r="CQ225" i="25" s="1"/>
  <c r="CR225" i="25" s="1"/>
  <c r="DK225" i="25"/>
  <c r="DJ225" i="25"/>
  <c r="DG225" i="25"/>
  <c r="DE225" i="25"/>
  <c r="DF225" i="25" s="1"/>
  <c r="DD225" i="25"/>
  <c r="DC225" i="25"/>
  <c r="CW225" i="25"/>
  <c r="CV225" i="25"/>
  <c r="CU225" i="25"/>
  <c r="CT225" i="25"/>
  <c r="CL225" i="25"/>
  <c r="CK225" i="25"/>
  <c r="CC225" i="25"/>
  <c r="BX225" i="25"/>
  <c r="BW225" i="25"/>
  <c r="BV225" i="25"/>
  <c r="BU225" i="25"/>
  <c r="BT225" i="25"/>
  <c r="BR225" i="25"/>
  <c r="BQ225" i="25"/>
  <c r="G225" i="25"/>
  <c r="DR224" i="25"/>
  <c r="DQ224" i="25"/>
  <c r="DP224" i="25"/>
  <c r="DO224" i="25"/>
  <c r="DN224" i="25"/>
  <c r="DM224" i="25"/>
  <c r="DL224" i="25"/>
  <c r="CO224" i="25" s="1"/>
  <c r="DK224" i="25"/>
  <c r="DJ224" i="25"/>
  <c r="DG224" i="25"/>
  <c r="DE224" i="25"/>
  <c r="DH224" i="25" s="1"/>
  <c r="DD224" i="25"/>
  <c r="DC224" i="25"/>
  <c r="CW224" i="25"/>
  <c r="CV224" i="25"/>
  <c r="CU224" i="25"/>
  <c r="DB224" i="25" s="1"/>
  <c r="CT224" i="25"/>
  <c r="CL224" i="25"/>
  <c r="CK224" i="25"/>
  <c r="CC224" i="25"/>
  <c r="BX224" i="25"/>
  <c r="BW224" i="25"/>
  <c r="BV224" i="25"/>
  <c r="BU224" i="25"/>
  <c r="BT224" i="25"/>
  <c r="BR224" i="25"/>
  <c r="BQ224" i="25"/>
  <c r="G224" i="25"/>
  <c r="DR223" i="25"/>
  <c r="DQ223" i="25"/>
  <c r="DP223" i="25"/>
  <c r="DO223" i="25"/>
  <c r="DN223" i="25"/>
  <c r="DM223" i="25"/>
  <c r="DL223" i="25"/>
  <c r="CP223" i="25" s="1"/>
  <c r="DK223" i="25"/>
  <c r="DJ223" i="25"/>
  <c r="DG223" i="25"/>
  <c r="DE223" i="25"/>
  <c r="DD223" i="25"/>
  <c r="DC223" i="25"/>
  <c r="CW223" i="25"/>
  <c r="CV223" i="25"/>
  <c r="CU223" i="25"/>
  <c r="DB223" i="25" s="1"/>
  <c r="CT223" i="25"/>
  <c r="CL223" i="25"/>
  <c r="CK223" i="25"/>
  <c r="CC223" i="25"/>
  <c r="CD223" i="25" s="1"/>
  <c r="BX223" i="25"/>
  <c r="BW223" i="25"/>
  <c r="BV223" i="25"/>
  <c r="BU223" i="25"/>
  <c r="BT223" i="25"/>
  <c r="BR223" i="25"/>
  <c r="BQ223" i="25"/>
  <c r="G223" i="25"/>
  <c r="DR222" i="25"/>
  <c r="DQ222" i="25"/>
  <c r="DP222" i="25"/>
  <c r="DO222" i="25"/>
  <c r="DN222" i="25"/>
  <c r="DM222" i="25"/>
  <c r="DL222" i="25"/>
  <c r="DK222" i="25"/>
  <c r="DJ222" i="25"/>
  <c r="DG222" i="25"/>
  <c r="DF222" i="25"/>
  <c r="DE222" i="25"/>
  <c r="DH222" i="25" s="1"/>
  <c r="DD222" i="25"/>
  <c r="DC222" i="25"/>
  <c r="CW222" i="25"/>
  <c r="CV222" i="25"/>
  <c r="CU222" i="25"/>
  <c r="CT222" i="25"/>
  <c r="CL222" i="25"/>
  <c r="CK222" i="25"/>
  <c r="CC222" i="25"/>
  <c r="CD222" i="25" s="1"/>
  <c r="BX222" i="25"/>
  <c r="BW222" i="25"/>
  <c r="BV222" i="25"/>
  <c r="BU222" i="25"/>
  <c r="BT222" i="25"/>
  <c r="BR222" i="25"/>
  <c r="BQ222" i="25"/>
  <c r="G222" i="25"/>
  <c r="DR221" i="25"/>
  <c r="DQ221" i="25"/>
  <c r="DP221" i="25"/>
  <c r="DO221" i="25"/>
  <c r="DN221" i="25"/>
  <c r="DM221" i="25"/>
  <c r="DL221" i="25"/>
  <c r="CQ221" i="25" s="1"/>
  <c r="CR221" i="25" s="1"/>
  <c r="DK221" i="25"/>
  <c r="DJ221" i="25"/>
  <c r="DG221" i="25"/>
  <c r="DF221" i="25"/>
  <c r="DE221" i="25"/>
  <c r="DH221" i="25" s="1"/>
  <c r="DD221" i="25"/>
  <c r="DC221" i="25"/>
  <c r="CW221" i="25"/>
  <c r="CV221" i="25"/>
  <c r="CU221" i="25"/>
  <c r="CT221" i="25"/>
  <c r="CL221" i="25"/>
  <c r="CK221" i="25"/>
  <c r="CC221" i="25"/>
  <c r="BX221" i="25"/>
  <c r="BW221" i="25"/>
  <c r="BV221" i="25"/>
  <c r="BU221" i="25"/>
  <c r="BT221" i="25"/>
  <c r="BR221" i="25"/>
  <c r="BQ221" i="25"/>
  <c r="G221" i="25"/>
  <c r="DR220" i="25"/>
  <c r="DQ220" i="25"/>
  <c r="DP220" i="25"/>
  <c r="DO220" i="25"/>
  <c r="DN220" i="25"/>
  <c r="DM220" i="25"/>
  <c r="DL220" i="25"/>
  <c r="CO220" i="25" s="1"/>
  <c r="DK220" i="25"/>
  <c r="DJ220" i="25"/>
  <c r="DG220" i="25"/>
  <c r="DF220" i="25"/>
  <c r="DE220" i="25"/>
  <c r="DH220" i="25" s="1"/>
  <c r="DD220" i="25"/>
  <c r="DC220" i="25"/>
  <c r="CW220" i="25"/>
  <c r="CV220" i="25"/>
  <c r="CU220" i="25"/>
  <c r="DB220" i="25" s="1"/>
  <c r="CT220" i="25"/>
  <c r="CL220" i="25"/>
  <c r="CK220" i="25"/>
  <c r="CC220" i="25"/>
  <c r="BX220" i="25"/>
  <c r="BW220" i="25"/>
  <c r="BV220" i="25"/>
  <c r="BU220" i="25"/>
  <c r="BT220" i="25"/>
  <c r="BR220" i="25"/>
  <c r="BQ220" i="25"/>
  <c r="G220" i="25"/>
  <c r="DR219" i="25"/>
  <c r="DQ219" i="25"/>
  <c r="DP219" i="25"/>
  <c r="DO219" i="25"/>
  <c r="DN219" i="25"/>
  <c r="DM219" i="25"/>
  <c r="DL219" i="25"/>
  <c r="CP219" i="25" s="1"/>
  <c r="DK219" i="25"/>
  <c r="DJ219" i="25"/>
  <c r="DG219" i="25"/>
  <c r="DF219" i="25"/>
  <c r="DE219" i="25"/>
  <c r="DH219" i="25" s="1"/>
  <c r="DD219" i="25"/>
  <c r="DC219" i="25"/>
  <c r="CW219" i="25"/>
  <c r="CV219" i="25"/>
  <c r="CU219" i="25"/>
  <c r="DB219" i="25" s="1"/>
  <c r="CT219" i="25"/>
  <c r="CL219" i="25"/>
  <c r="CK219" i="25"/>
  <c r="CC219" i="25"/>
  <c r="CD219" i="25" s="1"/>
  <c r="BX219" i="25"/>
  <c r="BW219" i="25"/>
  <c r="BV219" i="25"/>
  <c r="BU219" i="25"/>
  <c r="BT219" i="25"/>
  <c r="BR219" i="25"/>
  <c r="BQ219" i="25"/>
  <c r="G219" i="25"/>
  <c r="DR218" i="25"/>
  <c r="DQ218" i="25"/>
  <c r="DP218" i="25"/>
  <c r="DO218" i="25"/>
  <c r="DN218" i="25"/>
  <c r="DM218" i="25"/>
  <c r="DL218" i="25"/>
  <c r="DK218" i="25"/>
  <c r="DJ218" i="25"/>
  <c r="DG218" i="25"/>
  <c r="DF218" i="25"/>
  <c r="DE218" i="25"/>
  <c r="DH218" i="25" s="1"/>
  <c r="DD218" i="25"/>
  <c r="DC218" i="25"/>
  <c r="CW218" i="25"/>
  <c r="CV218" i="25"/>
  <c r="CU218" i="25"/>
  <c r="CT218" i="25"/>
  <c r="CL218" i="25"/>
  <c r="CK218" i="25"/>
  <c r="CC218" i="25"/>
  <c r="CD218" i="25" s="1"/>
  <c r="BX218" i="25"/>
  <c r="BW218" i="25"/>
  <c r="BV218" i="25"/>
  <c r="BU218" i="25"/>
  <c r="BT218" i="25"/>
  <c r="BR218" i="25"/>
  <c r="BQ218" i="25"/>
  <c r="G218" i="25"/>
  <c r="DR217" i="25"/>
  <c r="DQ217" i="25"/>
  <c r="DP217" i="25"/>
  <c r="DO217" i="25"/>
  <c r="DN217" i="25"/>
  <c r="DM217" i="25"/>
  <c r="DL217" i="25"/>
  <c r="CQ217" i="25" s="1"/>
  <c r="CR217" i="25" s="1"/>
  <c r="DK217" i="25"/>
  <c r="DJ217" i="25"/>
  <c r="DG217" i="25"/>
  <c r="DF217" i="25"/>
  <c r="DE217" i="25"/>
  <c r="DH217" i="25" s="1"/>
  <c r="DD217" i="25"/>
  <c r="DC217" i="25"/>
  <c r="CW217" i="25"/>
  <c r="CV217" i="25"/>
  <c r="CU217" i="25"/>
  <c r="CT217" i="25"/>
  <c r="CL217" i="25"/>
  <c r="CK217" i="25"/>
  <c r="CC217" i="25"/>
  <c r="BX217" i="25"/>
  <c r="BW217" i="25"/>
  <c r="BV217" i="25"/>
  <c r="BU217" i="25"/>
  <c r="BT217" i="25"/>
  <c r="BR217" i="25"/>
  <c r="BQ217" i="25"/>
  <c r="G217" i="25"/>
  <c r="DR216" i="25"/>
  <c r="DQ216" i="25"/>
  <c r="DP216" i="25"/>
  <c r="DO216" i="25"/>
  <c r="DN216" i="25"/>
  <c r="DM216" i="25"/>
  <c r="DL216" i="25"/>
  <c r="DK216" i="25"/>
  <c r="DJ216" i="25"/>
  <c r="DG216" i="25"/>
  <c r="DF216" i="25"/>
  <c r="DE216" i="25"/>
  <c r="DH216" i="25" s="1"/>
  <c r="DD216" i="25"/>
  <c r="DC216" i="25"/>
  <c r="CW216" i="25"/>
  <c r="CV216" i="25"/>
  <c r="CU216" i="25"/>
  <c r="DB216" i="25" s="1"/>
  <c r="CT216" i="25"/>
  <c r="CL216" i="25"/>
  <c r="CK216" i="25"/>
  <c r="CC216" i="25"/>
  <c r="BX216" i="25"/>
  <c r="BW216" i="25"/>
  <c r="BV216" i="25"/>
  <c r="BU216" i="25"/>
  <c r="BT216" i="25"/>
  <c r="BR216" i="25"/>
  <c r="BQ216" i="25"/>
  <c r="G216" i="25"/>
  <c r="DR215" i="25"/>
  <c r="DQ215" i="25"/>
  <c r="DP215" i="25"/>
  <c r="DO215" i="25"/>
  <c r="DN215" i="25"/>
  <c r="DM215" i="25"/>
  <c r="DL215" i="25"/>
  <c r="DK215" i="25"/>
  <c r="DJ215" i="25"/>
  <c r="DG215" i="25"/>
  <c r="DF215" i="25"/>
  <c r="DE215" i="25"/>
  <c r="DH215" i="25" s="1"/>
  <c r="DD215" i="25"/>
  <c r="DC215" i="25"/>
  <c r="CW215" i="25"/>
  <c r="CV215" i="25"/>
  <c r="CU215" i="25"/>
  <c r="DB215" i="25" s="1"/>
  <c r="CT215" i="25"/>
  <c r="CL215" i="25"/>
  <c r="CK215" i="25"/>
  <c r="CC215" i="25"/>
  <c r="CD215" i="25" s="1"/>
  <c r="BX215" i="25"/>
  <c r="BW215" i="25"/>
  <c r="BV215" i="25"/>
  <c r="BU215" i="25"/>
  <c r="BT215" i="25"/>
  <c r="BR215" i="25"/>
  <c r="BQ215" i="25"/>
  <c r="G215" i="25"/>
  <c r="DR214" i="25"/>
  <c r="DQ214" i="25"/>
  <c r="DP214" i="25"/>
  <c r="DO214" i="25"/>
  <c r="DN214" i="25"/>
  <c r="DM214" i="25"/>
  <c r="DL214" i="25"/>
  <c r="DK214" i="25"/>
  <c r="DJ214" i="25"/>
  <c r="DG214" i="25"/>
  <c r="DF214" i="25"/>
  <c r="DE214" i="25"/>
  <c r="DH214" i="25" s="1"/>
  <c r="DD214" i="25"/>
  <c r="DC214" i="25"/>
  <c r="CW214" i="25"/>
  <c r="CV214" i="25"/>
  <c r="CU214" i="25"/>
  <c r="CT214" i="25"/>
  <c r="CL214" i="25"/>
  <c r="CK214" i="25"/>
  <c r="CC214" i="25"/>
  <c r="CD214" i="25" s="1"/>
  <c r="BX214" i="25"/>
  <c r="BW214" i="25"/>
  <c r="BV214" i="25"/>
  <c r="BU214" i="25"/>
  <c r="BT214" i="25"/>
  <c r="BR214" i="25"/>
  <c r="BQ214" i="25"/>
  <c r="G214" i="25"/>
  <c r="DR213" i="25"/>
  <c r="DQ213" i="25"/>
  <c r="DP213" i="25"/>
  <c r="DO213" i="25"/>
  <c r="DN213" i="25"/>
  <c r="DM213" i="25"/>
  <c r="DL213" i="25"/>
  <c r="CQ213" i="25" s="1"/>
  <c r="CR213" i="25" s="1"/>
  <c r="DK213" i="25"/>
  <c r="DJ213" i="25"/>
  <c r="DG213" i="25"/>
  <c r="DE213" i="25"/>
  <c r="DH213" i="25" s="1"/>
  <c r="DD213" i="25"/>
  <c r="DC213" i="25"/>
  <c r="CW213" i="25"/>
  <c r="CV213" i="25"/>
  <c r="CU213" i="25"/>
  <c r="DB213" i="25" s="1"/>
  <c r="CT213" i="25"/>
  <c r="CL213" i="25"/>
  <c r="CK213" i="25"/>
  <c r="CC213" i="25"/>
  <c r="BX213" i="25"/>
  <c r="BW213" i="25"/>
  <c r="BV213" i="25"/>
  <c r="BU213" i="25"/>
  <c r="BT213" i="25"/>
  <c r="BR213" i="25"/>
  <c r="BQ213" i="25"/>
  <c r="G213" i="25"/>
  <c r="DR171" i="25"/>
  <c r="DQ171" i="25"/>
  <c r="DP171" i="25"/>
  <c r="DO171" i="25"/>
  <c r="DN171" i="25"/>
  <c r="DM171" i="25"/>
  <c r="DL171" i="25"/>
  <c r="DK171" i="25"/>
  <c r="DJ171" i="25"/>
  <c r="DG171" i="25"/>
  <c r="DE171" i="25"/>
  <c r="DH171" i="25" s="1"/>
  <c r="DD171" i="25"/>
  <c r="DC171" i="25"/>
  <c r="CW171" i="25"/>
  <c r="CV171" i="25"/>
  <c r="CU171" i="25"/>
  <c r="DB171" i="25" s="1"/>
  <c r="CT171" i="25"/>
  <c r="CL171" i="25"/>
  <c r="CK171" i="25"/>
  <c r="CC171" i="25"/>
  <c r="CD171" i="25" s="1"/>
  <c r="BX171" i="25"/>
  <c r="BW171" i="25"/>
  <c r="BV171" i="25"/>
  <c r="BU171" i="25"/>
  <c r="BT171" i="25"/>
  <c r="BR171" i="25"/>
  <c r="BQ171" i="25"/>
  <c r="G171" i="25"/>
  <c r="DR203" i="25"/>
  <c r="DQ203" i="25"/>
  <c r="DP203" i="25"/>
  <c r="DO203" i="25"/>
  <c r="DN203" i="25"/>
  <c r="DM203" i="25"/>
  <c r="DL203" i="25"/>
  <c r="CO203" i="25" s="1"/>
  <c r="DK203" i="25"/>
  <c r="DJ203" i="25"/>
  <c r="DG203" i="25"/>
  <c r="DE203" i="25"/>
  <c r="DD203" i="25"/>
  <c r="DC203" i="25"/>
  <c r="CW203" i="25"/>
  <c r="CV203" i="25"/>
  <c r="CU203" i="25"/>
  <c r="DB203" i="25" s="1"/>
  <c r="CT203" i="25"/>
  <c r="CL203" i="25"/>
  <c r="CK203" i="25"/>
  <c r="CC203" i="25"/>
  <c r="BX203" i="25"/>
  <c r="BW203" i="25"/>
  <c r="BV203" i="25"/>
  <c r="BU203" i="25"/>
  <c r="BT203" i="25"/>
  <c r="BR203" i="25"/>
  <c r="BQ203" i="25"/>
  <c r="G203" i="25"/>
  <c r="DR212" i="25"/>
  <c r="DQ212" i="25"/>
  <c r="DP212" i="25"/>
  <c r="DO212" i="25"/>
  <c r="DN212" i="25"/>
  <c r="DM212" i="25"/>
  <c r="DL212" i="25"/>
  <c r="CO212" i="25" s="1"/>
  <c r="DK212" i="25"/>
  <c r="DJ212" i="25"/>
  <c r="DG212" i="25"/>
  <c r="DE212" i="25"/>
  <c r="DD212" i="25"/>
  <c r="DC212" i="25"/>
  <c r="CW212" i="25"/>
  <c r="CV212" i="25"/>
  <c r="CU212" i="25"/>
  <c r="DB212" i="25" s="1"/>
  <c r="CT212" i="25"/>
  <c r="CL212" i="25"/>
  <c r="CK212" i="25"/>
  <c r="CC212" i="25"/>
  <c r="CD212" i="25" s="1"/>
  <c r="BX212" i="25"/>
  <c r="BW212" i="25"/>
  <c r="BV212" i="25"/>
  <c r="BU212" i="25"/>
  <c r="BT212" i="25"/>
  <c r="BR212" i="25"/>
  <c r="BQ212" i="25"/>
  <c r="G212" i="25"/>
  <c r="DR172" i="25"/>
  <c r="DQ172" i="25"/>
  <c r="DP172" i="25"/>
  <c r="DO172" i="25"/>
  <c r="DN172" i="25"/>
  <c r="DM172" i="25"/>
  <c r="DL172" i="25"/>
  <c r="DK172" i="25"/>
  <c r="DJ172" i="25"/>
  <c r="DG172" i="25"/>
  <c r="DE172" i="25"/>
  <c r="DF172" i="25" s="1"/>
  <c r="DD172" i="25"/>
  <c r="DC172" i="25"/>
  <c r="CW172" i="25"/>
  <c r="CV172" i="25"/>
  <c r="CU172" i="25"/>
  <c r="CT172" i="25"/>
  <c r="CL172" i="25"/>
  <c r="CK172" i="25"/>
  <c r="CC172" i="25"/>
  <c r="CD172" i="25" s="1"/>
  <c r="BX172" i="25"/>
  <c r="BW172" i="25"/>
  <c r="BV172" i="25"/>
  <c r="BU172" i="25"/>
  <c r="BT172" i="25"/>
  <c r="BR172" i="25"/>
  <c r="BQ172" i="25"/>
  <c r="G172" i="25"/>
  <c r="DR344" i="25"/>
  <c r="DQ344" i="25"/>
  <c r="DP344" i="25"/>
  <c r="DO344" i="25"/>
  <c r="DN344" i="25"/>
  <c r="DM344" i="25"/>
  <c r="DL344" i="25"/>
  <c r="DK344" i="25"/>
  <c r="DJ344" i="25"/>
  <c r="DG344" i="25"/>
  <c r="DE344" i="25"/>
  <c r="DH344" i="25" s="1"/>
  <c r="DD344" i="25"/>
  <c r="DC344" i="25"/>
  <c r="CW344" i="25"/>
  <c r="CV344" i="25"/>
  <c r="CU344" i="25"/>
  <c r="DB344" i="25" s="1"/>
  <c r="CT344" i="25"/>
  <c r="CL344" i="25"/>
  <c r="CK344" i="25"/>
  <c r="CC344" i="25"/>
  <c r="CD344" i="25" s="1"/>
  <c r="BX344" i="25"/>
  <c r="BW344" i="25"/>
  <c r="BV344" i="25"/>
  <c r="BU344" i="25"/>
  <c r="BT344" i="25"/>
  <c r="BR344" i="25"/>
  <c r="BQ344" i="25"/>
  <c r="G344" i="25"/>
  <c r="DR204" i="25"/>
  <c r="DP204" i="25"/>
  <c r="DO204" i="25"/>
  <c r="DN204" i="25"/>
  <c r="DM204" i="25"/>
  <c r="DL204" i="25"/>
  <c r="CO204" i="25" s="1"/>
  <c r="DK204" i="25"/>
  <c r="DJ204" i="25"/>
  <c r="DG204" i="25"/>
  <c r="DE204" i="25"/>
  <c r="DF204" i="25" s="1"/>
  <c r="DD204" i="25"/>
  <c r="DC204" i="25"/>
  <c r="CW204" i="25"/>
  <c r="CV204" i="25"/>
  <c r="CU204" i="25"/>
  <c r="DB204" i="25" s="1"/>
  <c r="CT204" i="25"/>
  <c r="CL204" i="25"/>
  <c r="CK204" i="25"/>
  <c r="CC204" i="25"/>
  <c r="BX204" i="25"/>
  <c r="BW204" i="25"/>
  <c r="BV204" i="25"/>
  <c r="BU204" i="25"/>
  <c r="BT204" i="25"/>
  <c r="BR204" i="25"/>
  <c r="BQ204" i="25"/>
  <c r="G204" i="25"/>
  <c r="DR209" i="25"/>
  <c r="DQ209" i="25"/>
  <c r="DP209" i="25"/>
  <c r="DO209" i="25"/>
  <c r="DN209" i="25"/>
  <c r="DM209" i="25"/>
  <c r="DL209" i="25"/>
  <c r="DK209" i="25"/>
  <c r="DJ209" i="25"/>
  <c r="DG209" i="25"/>
  <c r="DE209" i="25"/>
  <c r="DD209" i="25"/>
  <c r="DC209" i="25"/>
  <c r="CW209" i="25"/>
  <c r="CV209" i="25"/>
  <c r="CU209" i="25"/>
  <c r="DB209" i="25" s="1"/>
  <c r="CT209" i="25"/>
  <c r="CL209" i="25"/>
  <c r="CK209" i="25"/>
  <c r="CC209" i="25"/>
  <c r="CD209" i="25" s="1"/>
  <c r="BX209" i="25"/>
  <c r="BW209" i="25"/>
  <c r="BV209" i="25"/>
  <c r="BU209" i="25"/>
  <c r="BT209" i="25"/>
  <c r="BR209" i="25"/>
  <c r="BQ209" i="25"/>
  <c r="G209" i="25"/>
  <c r="DR211" i="25"/>
  <c r="DQ211" i="25"/>
  <c r="DP211" i="25"/>
  <c r="DO211" i="25"/>
  <c r="DN211" i="25"/>
  <c r="DM211" i="25"/>
  <c r="DL211" i="25"/>
  <c r="CP211" i="25" s="1"/>
  <c r="DK211" i="25"/>
  <c r="DJ211" i="25"/>
  <c r="DG211" i="25"/>
  <c r="DE211" i="25"/>
  <c r="DF211" i="25" s="1"/>
  <c r="DD211" i="25"/>
  <c r="DC211" i="25"/>
  <c r="CW211" i="25"/>
  <c r="CV211" i="25"/>
  <c r="CU211" i="25"/>
  <c r="DB211" i="25" s="1"/>
  <c r="CT211" i="25"/>
  <c r="CL211" i="25"/>
  <c r="CK211" i="25"/>
  <c r="CC211" i="25"/>
  <c r="CD211" i="25" s="1"/>
  <c r="BX211" i="25"/>
  <c r="BW211" i="25"/>
  <c r="BV211" i="25"/>
  <c r="BU211" i="25"/>
  <c r="BT211" i="25"/>
  <c r="BR211" i="25"/>
  <c r="BQ211" i="25"/>
  <c r="G211" i="25"/>
  <c r="DR210" i="25"/>
  <c r="DQ210" i="25"/>
  <c r="DP210" i="25"/>
  <c r="DO210" i="25"/>
  <c r="DN210" i="25"/>
  <c r="DM210" i="25"/>
  <c r="DL210" i="25"/>
  <c r="CO210" i="25" s="1"/>
  <c r="DK210" i="25"/>
  <c r="DJ210" i="25"/>
  <c r="DG210" i="25"/>
  <c r="DE210" i="25"/>
  <c r="DH210" i="25" s="1"/>
  <c r="DD210" i="25"/>
  <c r="DC210" i="25"/>
  <c r="CW210" i="25"/>
  <c r="CV210" i="25"/>
  <c r="CU210" i="25"/>
  <c r="DB210" i="25" s="1"/>
  <c r="CT210" i="25"/>
  <c r="CL210" i="25"/>
  <c r="CK210" i="25"/>
  <c r="CC210" i="25"/>
  <c r="BX210" i="25"/>
  <c r="BW210" i="25"/>
  <c r="BV210" i="25"/>
  <c r="BU210" i="25"/>
  <c r="BT210" i="25"/>
  <c r="BR210" i="25"/>
  <c r="BQ210" i="25"/>
  <c r="G210" i="25"/>
  <c r="DR169" i="25"/>
  <c r="DQ169" i="25"/>
  <c r="DP169" i="25"/>
  <c r="DO169" i="25"/>
  <c r="DN169" i="25"/>
  <c r="DM169" i="25"/>
  <c r="DL169" i="25"/>
  <c r="CQ169" i="25" s="1"/>
  <c r="CR169" i="25" s="1"/>
  <c r="DK169" i="25"/>
  <c r="DJ169" i="25"/>
  <c r="DG169" i="25"/>
  <c r="DE169" i="25"/>
  <c r="DD169" i="25"/>
  <c r="DC169" i="25"/>
  <c r="CW169" i="25"/>
  <c r="CV169" i="25"/>
  <c r="CU169" i="25"/>
  <c r="DB169" i="25" s="1"/>
  <c r="CT169" i="25"/>
  <c r="CL169" i="25"/>
  <c r="CK169" i="25"/>
  <c r="CC169" i="25"/>
  <c r="CD169" i="25" s="1"/>
  <c r="BX169" i="25"/>
  <c r="BW169" i="25"/>
  <c r="BV169" i="25"/>
  <c r="BU169" i="25"/>
  <c r="BT169" i="25"/>
  <c r="BR169" i="25"/>
  <c r="BQ169" i="25"/>
  <c r="G169" i="25"/>
  <c r="DR202" i="25"/>
  <c r="DQ202" i="25"/>
  <c r="DP202" i="25"/>
  <c r="DO202" i="25"/>
  <c r="DN202" i="25"/>
  <c r="DM202" i="25"/>
  <c r="DL202" i="25"/>
  <c r="DK202" i="25"/>
  <c r="DJ202" i="25"/>
  <c r="DG202" i="25"/>
  <c r="DE202" i="25"/>
  <c r="DF202" i="25" s="1"/>
  <c r="DD202" i="25"/>
  <c r="DC202" i="25"/>
  <c r="CW202" i="25"/>
  <c r="CV202" i="25"/>
  <c r="CU202" i="25"/>
  <c r="DB202" i="25" s="1"/>
  <c r="CT202" i="25"/>
  <c r="CL202" i="25"/>
  <c r="CK202" i="25"/>
  <c r="CC202" i="25"/>
  <c r="BX202" i="25"/>
  <c r="BW202" i="25"/>
  <c r="BV202" i="25"/>
  <c r="BU202" i="25"/>
  <c r="BT202" i="25"/>
  <c r="BR202" i="25"/>
  <c r="BQ202" i="25"/>
  <c r="G202" i="25"/>
  <c r="DR201" i="25"/>
  <c r="DQ201" i="25"/>
  <c r="DP201" i="25"/>
  <c r="DO201" i="25"/>
  <c r="DN201" i="25"/>
  <c r="DM201" i="25"/>
  <c r="DL201" i="25"/>
  <c r="CO201" i="25" s="1"/>
  <c r="DK201" i="25"/>
  <c r="DJ201" i="25"/>
  <c r="DG201" i="25"/>
  <c r="DE201" i="25"/>
  <c r="DF201" i="25" s="1"/>
  <c r="DD201" i="25"/>
  <c r="DC201" i="25"/>
  <c r="CW201" i="25"/>
  <c r="CV201" i="25"/>
  <c r="CU201" i="25"/>
  <c r="DB201" i="25" s="1"/>
  <c r="CT201" i="25"/>
  <c r="CL201" i="25"/>
  <c r="CK201" i="25"/>
  <c r="CC201" i="25"/>
  <c r="CD201" i="25" s="1"/>
  <c r="BX201" i="25"/>
  <c r="BW201" i="25"/>
  <c r="BV201" i="25"/>
  <c r="BU201" i="25"/>
  <c r="BT201" i="25"/>
  <c r="BR201" i="25"/>
  <c r="BQ201" i="25"/>
  <c r="G201" i="25"/>
  <c r="DR200" i="25"/>
  <c r="DQ200" i="25"/>
  <c r="DP200" i="25"/>
  <c r="DO200" i="25"/>
  <c r="DN200" i="25"/>
  <c r="DM200" i="25"/>
  <c r="DL200" i="25"/>
  <c r="DK200" i="25"/>
  <c r="DJ200" i="25"/>
  <c r="DG200" i="25"/>
  <c r="DE200" i="25"/>
  <c r="DD200" i="25"/>
  <c r="DC200" i="25"/>
  <c r="CW200" i="25"/>
  <c r="CV200" i="25"/>
  <c r="CU200" i="25"/>
  <c r="DB200" i="25" s="1"/>
  <c r="CT200" i="25"/>
  <c r="CL200" i="25"/>
  <c r="CK200" i="25"/>
  <c r="CC200" i="25"/>
  <c r="BX200" i="25"/>
  <c r="BW200" i="25"/>
  <c r="BV200" i="25"/>
  <c r="BU200" i="25"/>
  <c r="BT200" i="25"/>
  <c r="BR200" i="25"/>
  <c r="BQ200" i="25"/>
  <c r="G200" i="25"/>
  <c r="DR199" i="25"/>
  <c r="DQ199" i="25"/>
  <c r="DP199" i="25"/>
  <c r="DO199" i="25"/>
  <c r="DN199" i="25"/>
  <c r="DM199" i="25"/>
  <c r="DL199" i="25"/>
  <c r="DK199" i="25"/>
  <c r="DJ199" i="25"/>
  <c r="DG199" i="25"/>
  <c r="DE199" i="25"/>
  <c r="DF199" i="25" s="1"/>
  <c r="DD199" i="25"/>
  <c r="DC199" i="25"/>
  <c r="CW199" i="25"/>
  <c r="CV199" i="25"/>
  <c r="CU199" i="25"/>
  <c r="CT199" i="25"/>
  <c r="CL199" i="25"/>
  <c r="CK199" i="25"/>
  <c r="CC199" i="25"/>
  <c r="CD199" i="25" s="1"/>
  <c r="BX199" i="25"/>
  <c r="BW199" i="25"/>
  <c r="BV199" i="25"/>
  <c r="BU199" i="25"/>
  <c r="BT199" i="25"/>
  <c r="BR199" i="25"/>
  <c r="BQ199" i="25"/>
  <c r="G199" i="25"/>
  <c r="DR198" i="25"/>
  <c r="DQ198" i="25"/>
  <c r="DP198" i="25"/>
  <c r="DO198" i="25"/>
  <c r="DN198" i="25"/>
  <c r="DM198" i="25"/>
  <c r="DL198" i="25"/>
  <c r="CQ198" i="25" s="1"/>
  <c r="CR198" i="25" s="1"/>
  <c r="DK198" i="25"/>
  <c r="DJ198" i="25"/>
  <c r="DG198" i="25"/>
  <c r="DE198" i="25"/>
  <c r="DH198" i="25" s="1"/>
  <c r="DD198" i="25"/>
  <c r="DC198" i="25"/>
  <c r="CW198" i="25"/>
  <c r="CV198" i="25"/>
  <c r="CU198" i="25"/>
  <c r="DB198" i="25" s="1"/>
  <c r="CT198" i="25"/>
  <c r="CL198" i="25"/>
  <c r="CK198" i="25"/>
  <c r="CC198" i="25"/>
  <c r="BX198" i="25"/>
  <c r="BW198" i="25"/>
  <c r="BV198" i="25"/>
  <c r="BU198" i="25"/>
  <c r="BT198" i="25"/>
  <c r="BR198" i="25"/>
  <c r="BQ198" i="25"/>
  <c r="G198" i="25"/>
  <c r="DR197" i="25"/>
  <c r="DQ197" i="25"/>
  <c r="DP197" i="25"/>
  <c r="DO197" i="25"/>
  <c r="DN197" i="25"/>
  <c r="DM197" i="25"/>
  <c r="DL197" i="25"/>
  <c r="CO197" i="25" s="1"/>
  <c r="DK197" i="25"/>
  <c r="DJ197" i="25"/>
  <c r="DG197" i="25"/>
  <c r="DE197" i="25"/>
  <c r="DF197" i="25" s="1"/>
  <c r="DD197" i="25"/>
  <c r="DC197" i="25"/>
  <c r="CW197" i="25"/>
  <c r="CV197" i="25"/>
  <c r="CU197" i="25"/>
  <c r="DB197" i="25" s="1"/>
  <c r="CT197" i="25"/>
  <c r="CL197" i="25"/>
  <c r="CK197" i="25"/>
  <c r="CC197" i="25"/>
  <c r="CD197" i="25" s="1"/>
  <c r="BX197" i="25"/>
  <c r="BW197" i="25"/>
  <c r="BV197" i="25"/>
  <c r="BU197" i="25"/>
  <c r="BT197" i="25"/>
  <c r="BR197" i="25"/>
  <c r="BQ197" i="25"/>
  <c r="G197" i="25"/>
  <c r="DR196" i="25"/>
  <c r="DQ196" i="25"/>
  <c r="DP196" i="25"/>
  <c r="DO196" i="25"/>
  <c r="DN196" i="25"/>
  <c r="DM196" i="25"/>
  <c r="DL196" i="25"/>
  <c r="CQ196" i="25" s="1"/>
  <c r="CR196" i="25" s="1"/>
  <c r="DK196" i="25"/>
  <c r="DJ196" i="25"/>
  <c r="DG196" i="25"/>
  <c r="DE196" i="25"/>
  <c r="DD196" i="25"/>
  <c r="DC196" i="25"/>
  <c r="CW196" i="25"/>
  <c r="CV196" i="25"/>
  <c r="CU196" i="25"/>
  <c r="DB196" i="25" s="1"/>
  <c r="CT196" i="25"/>
  <c r="CL196" i="25"/>
  <c r="CK196" i="25"/>
  <c r="CC196" i="25"/>
  <c r="CD196" i="25" s="1"/>
  <c r="BX196" i="25"/>
  <c r="BW196" i="25"/>
  <c r="BV196" i="25"/>
  <c r="BU196" i="25"/>
  <c r="BT196" i="25"/>
  <c r="BR196" i="25"/>
  <c r="BQ196" i="25"/>
  <c r="G196" i="25"/>
  <c r="DR195" i="25"/>
  <c r="DQ195" i="25"/>
  <c r="DP195" i="25"/>
  <c r="DO195" i="25"/>
  <c r="DN195" i="25"/>
  <c r="DM195" i="25"/>
  <c r="DL195" i="25"/>
  <c r="DK195" i="25"/>
  <c r="DJ195" i="25"/>
  <c r="DG195" i="25"/>
  <c r="DE195" i="25"/>
  <c r="DH195" i="25" s="1"/>
  <c r="DD195" i="25"/>
  <c r="DC195" i="25"/>
  <c r="CW195" i="25"/>
  <c r="CV195" i="25"/>
  <c r="CU195" i="25"/>
  <c r="CT195" i="25"/>
  <c r="CL195" i="25"/>
  <c r="CK195" i="25"/>
  <c r="CC195" i="25"/>
  <c r="CD195" i="25" s="1"/>
  <c r="BX195" i="25"/>
  <c r="BW195" i="25"/>
  <c r="BV195" i="25"/>
  <c r="BU195" i="25"/>
  <c r="BT195" i="25"/>
  <c r="BR195" i="25"/>
  <c r="BQ195" i="25"/>
  <c r="G195" i="25"/>
  <c r="DR194" i="25"/>
  <c r="DQ194" i="25"/>
  <c r="DP194" i="25"/>
  <c r="DO194" i="25"/>
  <c r="DN194" i="25"/>
  <c r="DM194" i="25"/>
  <c r="DL194" i="25"/>
  <c r="CQ194" i="25" s="1"/>
  <c r="CR194" i="25" s="1"/>
  <c r="DK194" i="25"/>
  <c r="DJ194" i="25"/>
  <c r="DG194" i="25"/>
  <c r="DE194" i="25"/>
  <c r="DH194" i="25" s="1"/>
  <c r="DD194" i="25"/>
  <c r="DC194" i="25"/>
  <c r="CW194" i="25"/>
  <c r="CV194" i="25"/>
  <c r="CU194" i="25"/>
  <c r="DB194" i="25" s="1"/>
  <c r="CT194" i="25"/>
  <c r="CL194" i="25"/>
  <c r="CK194" i="25"/>
  <c r="CC194" i="25"/>
  <c r="BX194" i="25"/>
  <c r="BW194" i="25"/>
  <c r="BV194" i="25"/>
  <c r="BU194" i="25"/>
  <c r="BT194" i="25"/>
  <c r="BR194" i="25"/>
  <c r="BQ194" i="25"/>
  <c r="G194" i="25"/>
  <c r="DR193" i="25"/>
  <c r="DQ193" i="25"/>
  <c r="DP193" i="25"/>
  <c r="DO193" i="25"/>
  <c r="DN193" i="25"/>
  <c r="DM193" i="25"/>
  <c r="DL193" i="25"/>
  <c r="CO193" i="25" s="1"/>
  <c r="DK193" i="25"/>
  <c r="DJ193" i="25"/>
  <c r="DG193" i="25"/>
  <c r="DE193" i="25"/>
  <c r="DF193" i="25" s="1"/>
  <c r="DD193" i="25"/>
  <c r="DC193" i="25"/>
  <c r="CW193" i="25"/>
  <c r="CV193" i="25"/>
  <c r="CU193" i="25"/>
  <c r="DB193" i="25" s="1"/>
  <c r="CT193" i="25"/>
  <c r="CL193" i="25"/>
  <c r="CK193" i="25"/>
  <c r="CC193" i="25"/>
  <c r="CD193" i="25" s="1"/>
  <c r="BX193" i="25"/>
  <c r="BW193" i="25"/>
  <c r="BV193" i="25"/>
  <c r="BU193" i="25"/>
  <c r="BT193" i="25"/>
  <c r="BR193" i="25"/>
  <c r="BQ193" i="25"/>
  <c r="G193" i="25"/>
  <c r="DR186" i="25"/>
  <c r="DQ186" i="25"/>
  <c r="DP186" i="25"/>
  <c r="DO186" i="25"/>
  <c r="DN186" i="25"/>
  <c r="DM186" i="25"/>
  <c r="DL186" i="25"/>
  <c r="CQ186" i="25" s="1"/>
  <c r="CR186" i="25" s="1"/>
  <c r="DK186" i="25"/>
  <c r="DJ186" i="25"/>
  <c r="DG186" i="25"/>
  <c r="DE186" i="25"/>
  <c r="DD186" i="25"/>
  <c r="DC186" i="25"/>
  <c r="CW186" i="25"/>
  <c r="CV186" i="25"/>
  <c r="CU186" i="25"/>
  <c r="DB186" i="25" s="1"/>
  <c r="CT186" i="25"/>
  <c r="CL186" i="25"/>
  <c r="CK186" i="25"/>
  <c r="CC186" i="25"/>
  <c r="CD186" i="25" s="1"/>
  <c r="BX186" i="25"/>
  <c r="BW186" i="25"/>
  <c r="BV186" i="25"/>
  <c r="BU186" i="25"/>
  <c r="BT186" i="25"/>
  <c r="BR186" i="25"/>
  <c r="BQ186" i="25"/>
  <c r="G186" i="25"/>
  <c r="DR182" i="25"/>
  <c r="DQ182" i="25"/>
  <c r="DP182" i="25"/>
  <c r="DO182" i="25"/>
  <c r="DN182" i="25"/>
  <c r="DM182" i="25"/>
  <c r="DL182" i="25"/>
  <c r="DK182" i="25"/>
  <c r="DJ182" i="25"/>
  <c r="DG182" i="25"/>
  <c r="DE182" i="25"/>
  <c r="DH182" i="25" s="1"/>
  <c r="DD182" i="25"/>
  <c r="DC182" i="25"/>
  <c r="CW182" i="25"/>
  <c r="CV182" i="25"/>
  <c r="CU182" i="25"/>
  <c r="CT182" i="25"/>
  <c r="CL182" i="25"/>
  <c r="CK182" i="25"/>
  <c r="CC182" i="25"/>
  <c r="CD182" i="25" s="1"/>
  <c r="BX182" i="25"/>
  <c r="BW182" i="25"/>
  <c r="BV182" i="25"/>
  <c r="BU182" i="25"/>
  <c r="BT182" i="25"/>
  <c r="BR182" i="25"/>
  <c r="BQ182" i="25"/>
  <c r="G182" i="25"/>
  <c r="DR189" i="25"/>
  <c r="DQ189" i="25"/>
  <c r="DP189" i="25"/>
  <c r="DO189" i="25"/>
  <c r="DN189" i="25"/>
  <c r="DM189" i="25"/>
  <c r="DL189" i="25"/>
  <c r="CQ189" i="25" s="1"/>
  <c r="CR189" i="25" s="1"/>
  <c r="DK189" i="25"/>
  <c r="DJ189" i="25"/>
  <c r="DG189" i="25"/>
  <c r="DE189" i="25"/>
  <c r="DH189" i="25" s="1"/>
  <c r="DD189" i="25"/>
  <c r="DC189" i="25"/>
  <c r="CW189" i="25"/>
  <c r="CV189" i="25"/>
  <c r="CU189" i="25"/>
  <c r="DB189" i="25" s="1"/>
  <c r="CT189" i="25"/>
  <c r="CL189" i="25"/>
  <c r="CK189" i="25"/>
  <c r="CC189" i="25"/>
  <c r="BX189" i="25"/>
  <c r="BW189" i="25"/>
  <c r="BV189" i="25"/>
  <c r="BU189" i="25"/>
  <c r="BT189" i="25"/>
  <c r="BR189" i="25"/>
  <c r="BQ189" i="25"/>
  <c r="G189" i="25"/>
  <c r="DR459" i="25"/>
  <c r="DQ459" i="25"/>
  <c r="DP459" i="25"/>
  <c r="DO459" i="25"/>
  <c r="DN459" i="25"/>
  <c r="DM459" i="25"/>
  <c r="DL459" i="25"/>
  <c r="CO459" i="25" s="1"/>
  <c r="DK459" i="25"/>
  <c r="DJ459" i="25"/>
  <c r="DG459" i="25"/>
  <c r="DE459" i="25"/>
  <c r="DF459" i="25" s="1"/>
  <c r="DD459" i="25"/>
  <c r="DC459" i="25"/>
  <c r="CW459" i="25"/>
  <c r="CV459" i="25"/>
  <c r="CU459" i="25"/>
  <c r="DB459" i="25" s="1"/>
  <c r="CT459" i="25"/>
  <c r="CL459" i="25"/>
  <c r="CK459" i="25"/>
  <c r="CC459" i="25"/>
  <c r="CD459" i="25" s="1"/>
  <c r="BX459" i="25"/>
  <c r="BW459" i="25"/>
  <c r="BV459" i="25"/>
  <c r="BU459" i="25"/>
  <c r="BT459" i="25"/>
  <c r="BR459" i="25"/>
  <c r="BQ459" i="25"/>
  <c r="G459" i="25"/>
  <c r="DR183" i="25"/>
  <c r="DQ183" i="25"/>
  <c r="DP183" i="25"/>
  <c r="DO183" i="25"/>
  <c r="DN183" i="25"/>
  <c r="DM183" i="25"/>
  <c r="DL183" i="25"/>
  <c r="CQ183" i="25" s="1"/>
  <c r="CR183" i="25" s="1"/>
  <c r="DK183" i="25"/>
  <c r="DJ183" i="25"/>
  <c r="DG183" i="25"/>
  <c r="DE183" i="25"/>
  <c r="DD183" i="25"/>
  <c r="DC183" i="25"/>
  <c r="CW183" i="25"/>
  <c r="CV183" i="25"/>
  <c r="CU183" i="25"/>
  <c r="CT183" i="25"/>
  <c r="CL183" i="25"/>
  <c r="CK183" i="25"/>
  <c r="CC183" i="25"/>
  <c r="CD183" i="25" s="1"/>
  <c r="BX183" i="25"/>
  <c r="BW183" i="25"/>
  <c r="BV183" i="25"/>
  <c r="BU183" i="25"/>
  <c r="BT183" i="25"/>
  <c r="BR183" i="25"/>
  <c r="BQ183" i="25"/>
  <c r="G183" i="25"/>
  <c r="DR191" i="25"/>
  <c r="DQ191" i="25"/>
  <c r="DP191" i="25"/>
  <c r="DO191" i="25"/>
  <c r="DN191" i="25"/>
  <c r="DM191" i="25"/>
  <c r="DL191" i="25"/>
  <c r="DK191" i="25"/>
  <c r="DJ191" i="25"/>
  <c r="DG191" i="25"/>
  <c r="DE191" i="25"/>
  <c r="DH191" i="25" s="1"/>
  <c r="DD191" i="25"/>
  <c r="DC191" i="25"/>
  <c r="CW191" i="25"/>
  <c r="CV191" i="25"/>
  <c r="CU191" i="25"/>
  <c r="CT191" i="25"/>
  <c r="CL191" i="25"/>
  <c r="CK191" i="25"/>
  <c r="CC191" i="25"/>
  <c r="CD191" i="25" s="1"/>
  <c r="BX191" i="25"/>
  <c r="BW191" i="25"/>
  <c r="BV191" i="25"/>
  <c r="BU191" i="25"/>
  <c r="BT191" i="25"/>
  <c r="BR191" i="25"/>
  <c r="BQ191" i="25"/>
  <c r="G191" i="25"/>
  <c r="DR176" i="25"/>
  <c r="DQ176" i="25"/>
  <c r="DP176" i="25"/>
  <c r="DO176" i="25"/>
  <c r="DN176" i="25"/>
  <c r="DM176" i="25"/>
  <c r="DL176" i="25"/>
  <c r="CP176" i="25" s="1"/>
  <c r="DK176" i="25"/>
  <c r="DJ176" i="25"/>
  <c r="DG176" i="25"/>
  <c r="DE176" i="25"/>
  <c r="DH176" i="25" s="1"/>
  <c r="DD176" i="25"/>
  <c r="DC176" i="25"/>
  <c r="CW176" i="25"/>
  <c r="CV176" i="25"/>
  <c r="CU176" i="25"/>
  <c r="DB176" i="25" s="1"/>
  <c r="CT176" i="25"/>
  <c r="CL176" i="25"/>
  <c r="CK176" i="25"/>
  <c r="CC176" i="25"/>
  <c r="BX176" i="25"/>
  <c r="BW176" i="25"/>
  <c r="BV176" i="25"/>
  <c r="BU176" i="25"/>
  <c r="BT176" i="25"/>
  <c r="BR176" i="25"/>
  <c r="BQ176" i="25"/>
  <c r="G176" i="25"/>
  <c r="DR190" i="25"/>
  <c r="DQ190" i="25"/>
  <c r="DP190" i="25"/>
  <c r="DO190" i="25"/>
  <c r="DN190" i="25"/>
  <c r="DM190" i="25"/>
  <c r="DL190" i="25"/>
  <c r="CQ190" i="25" s="1"/>
  <c r="CR190" i="25" s="1"/>
  <c r="DK190" i="25"/>
  <c r="DJ190" i="25"/>
  <c r="DG190" i="25"/>
  <c r="DE190" i="25"/>
  <c r="DF190" i="25" s="1"/>
  <c r="DD190" i="25"/>
  <c r="DC190" i="25"/>
  <c r="CW190" i="25"/>
  <c r="CV190" i="25"/>
  <c r="CU190" i="25"/>
  <c r="DB190" i="25" s="1"/>
  <c r="CT190" i="25"/>
  <c r="CL190" i="25"/>
  <c r="CK190" i="25"/>
  <c r="CC190" i="25"/>
  <c r="CD190" i="25" s="1"/>
  <c r="BX190" i="25"/>
  <c r="BW190" i="25"/>
  <c r="BV190" i="25"/>
  <c r="BU190" i="25"/>
  <c r="BT190" i="25"/>
  <c r="BR190" i="25"/>
  <c r="BQ190" i="25"/>
  <c r="G190" i="25"/>
  <c r="DR178" i="25"/>
  <c r="DQ178" i="25"/>
  <c r="DP178" i="25"/>
  <c r="DO178" i="25"/>
  <c r="DN178" i="25"/>
  <c r="DM178" i="25"/>
  <c r="DL178" i="25"/>
  <c r="CQ178" i="25" s="1"/>
  <c r="CR178" i="25" s="1"/>
  <c r="DK178" i="25"/>
  <c r="DJ178" i="25"/>
  <c r="DG178" i="25"/>
  <c r="DE178" i="25"/>
  <c r="DD178" i="25"/>
  <c r="DC178" i="25"/>
  <c r="CW178" i="25"/>
  <c r="CV178" i="25"/>
  <c r="CU178" i="25"/>
  <c r="CT178" i="25"/>
  <c r="CL178" i="25"/>
  <c r="CK178" i="25"/>
  <c r="CC178" i="25"/>
  <c r="CD178" i="25" s="1"/>
  <c r="BX178" i="25"/>
  <c r="BW178" i="25"/>
  <c r="BV178" i="25"/>
  <c r="BU178" i="25"/>
  <c r="BT178" i="25"/>
  <c r="BR178" i="25"/>
  <c r="BQ178" i="25"/>
  <c r="G178" i="25"/>
  <c r="DR177" i="25"/>
  <c r="DQ177" i="25"/>
  <c r="DP177" i="25"/>
  <c r="DO177" i="25"/>
  <c r="DN177" i="25"/>
  <c r="DM177" i="25"/>
  <c r="DL177" i="25"/>
  <c r="DK177" i="25"/>
  <c r="DJ177" i="25"/>
  <c r="DG177" i="25"/>
  <c r="DE177" i="25"/>
  <c r="DH177" i="25" s="1"/>
  <c r="DD177" i="25"/>
  <c r="DC177" i="25"/>
  <c r="CW177" i="25"/>
  <c r="CV177" i="25"/>
  <c r="CU177" i="25"/>
  <c r="CT177" i="25"/>
  <c r="CL177" i="25"/>
  <c r="CK177" i="25"/>
  <c r="CC177" i="25"/>
  <c r="CD177" i="25" s="1"/>
  <c r="BX177" i="25"/>
  <c r="BW177" i="25"/>
  <c r="BV177" i="25"/>
  <c r="BU177" i="25"/>
  <c r="BT177" i="25"/>
  <c r="BR177" i="25"/>
  <c r="BQ177" i="25"/>
  <c r="G177" i="25"/>
  <c r="DR174" i="25"/>
  <c r="DQ174" i="25"/>
  <c r="DP174" i="25"/>
  <c r="DO174" i="25"/>
  <c r="DN174" i="25"/>
  <c r="DM174" i="25"/>
  <c r="DL174" i="25"/>
  <c r="CQ174" i="25" s="1"/>
  <c r="CR174" i="25" s="1"/>
  <c r="DK174" i="25"/>
  <c r="DJ174" i="25"/>
  <c r="DG174" i="25"/>
  <c r="DE174" i="25"/>
  <c r="DH174" i="25" s="1"/>
  <c r="DD174" i="25"/>
  <c r="DC174" i="25"/>
  <c r="CW174" i="25"/>
  <c r="CV174" i="25"/>
  <c r="CU174" i="25"/>
  <c r="DB174" i="25" s="1"/>
  <c r="CT174" i="25"/>
  <c r="CL174" i="25"/>
  <c r="CK174" i="25"/>
  <c r="CC174" i="25"/>
  <c r="BX174" i="25"/>
  <c r="BW174" i="25"/>
  <c r="BV174" i="25"/>
  <c r="BU174" i="25"/>
  <c r="BT174" i="25"/>
  <c r="BR174" i="25"/>
  <c r="BQ174" i="25"/>
  <c r="G174" i="25"/>
  <c r="DR175" i="25"/>
  <c r="DQ175" i="25"/>
  <c r="DP175" i="25"/>
  <c r="DO175" i="25"/>
  <c r="DN175" i="25"/>
  <c r="DM175" i="25"/>
  <c r="DL175" i="25"/>
  <c r="CO175" i="25" s="1"/>
  <c r="DK175" i="25"/>
  <c r="DJ175" i="25"/>
  <c r="DG175" i="25"/>
  <c r="DE175" i="25"/>
  <c r="DF175" i="25" s="1"/>
  <c r="DD175" i="25"/>
  <c r="DC175" i="25"/>
  <c r="CW175" i="25"/>
  <c r="CV175" i="25"/>
  <c r="CU175" i="25"/>
  <c r="DB175" i="25" s="1"/>
  <c r="CT175" i="25"/>
  <c r="CL175" i="25"/>
  <c r="CK175" i="25"/>
  <c r="CC175" i="25"/>
  <c r="CD175" i="25" s="1"/>
  <c r="BX175" i="25"/>
  <c r="BW175" i="25"/>
  <c r="BV175" i="25"/>
  <c r="BU175" i="25"/>
  <c r="BT175" i="25"/>
  <c r="BR175" i="25"/>
  <c r="BQ175" i="25"/>
  <c r="G175" i="25"/>
  <c r="DR180" i="25"/>
  <c r="DQ180" i="25"/>
  <c r="DP180" i="25"/>
  <c r="DO180" i="25"/>
  <c r="DN180" i="25"/>
  <c r="DM180" i="25"/>
  <c r="DL180" i="25"/>
  <c r="CQ180" i="25" s="1"/>
  <c r="CR180" i="25" s="1"/>
  <c r="DK180" i="25"/>
  <c r="DJ180" i="25"/>
  <c r="DG180" i="25"/>
  <c r="DE180" i="25"/>
  <c r="DD180" i="25"/>
  <c r="DC180" i="25"/>
  <c r="CW180" i="25"/>
  <c r="CV180" i="25"/>
  <c r="CU180" i="25"/>
  <c r="DB180" i="25" s="1"/>
  <c r="CT180" i="25"/>
  <c r="CL180" i="25"/>
  <c r="CK180" i="25"/>
  <c r="CC180" i="25"/>
  <c r="CD180" i="25" s="1"/>
  <c r="BX180" i="25"/>
  <c r="BW180" i="25"/>
  <c r="BV180" i="25"/>
  <c r="BU180" i="25"/>
  <c r="BT180" i="25"/>
  <c r="BR180" i="25"/>
  <c r="BQ180" i="25"/>
  <c r="G180" i="25"/>
  <c r="DR187" i="25"/>
  <c r="DQ187" i="25"/>
  <c r="DP187" i="25"/>
  <c r="DO187" i="25"/>
  <c r="DN187" i="25"/>
  <c r="DM187" i="25"/>
  <c r="DL187" i="25"/>
  <c r="DK187" i="25"/>
  <c r="DJ187" i="25"/>
  <c r="DG187" i="25"/>
  <c r="DE187" i="25"/>
  <c r="DH187" i="25" s="1"/>
  <c r="DD187" i="25"/>
  <c r="DC187" i="25"/>
  <c r="CW187" i="25"/>
  <c r="CV187" i="25"/>
  <c r="CU187" i="25"/>
  <c r="CT187" i="25"/>
  <c r="CL187" i="25"/>
  <c r="CK187" i="25"/>
  <c r="CC187" i="25"/>
  <c r="CD187" i="25" s="1"/>
  <c r="BX187" i="25"/>
  <c r="BW187" i="25"/>
  <c r="BV187" i="25"/>
  <c r="BU187" i="25"/>
  <c r="BT187" i="25"/>
  <c r="BR187" i="25"/>
  <c r="BQ187" i="25"/>
  <c r="G187" i="25"/>
  <c r="DR188" i="25"/>
  <c r="DQ188" i="25"/>
  <c r="DP188" i="25"/>
  <c r="DO188" i="25"/>
  <c r="DN188" i="25"/>
  <c r="DM188" i="25"/>
  <c r="DL188" i="25"/>
  <c r="CP188" i="25" s="1"/>
  <c r="DK188" i="25"/>
  <c r="DJ188" i="25"/>
  <c r="DG188" i="25"/>
  <c r="DE188" i="25"/>
  <c r="DH188" i="25" s="1"/>
  <c r="DD188" i="25"/>
  <c r="DC188" i="25"/>
  <c r="CW188" i="25"/>
  <c r="CV188" i="25"/>
  <c r="CU188" i="25"/>
  <c r="DB188" i="25" s="1"/>
  <c r="CT188" i="25"/>
  <c r="CL188" i="25"/>
  <c r="CK188" i="25"/>
  <c r="CC188" i="25"/>
  <c r="BX188" i="25"/>
  <c r="BW188" i="25"/>
  <c r="BV188" i="25"/>
  <c r="BU188" i="25"/>
  <c r="BT188" i="25"/>
  <c r="BR188" i="25"/>
  <c r="BQ188" i="25"/>
  <c r="G188" i="25"/>
  <c r="DR185" i="25"/>
  <c r="DQ185" i="25"/>
  <c r="DP185" i="25"/>
  <c r="DO185" i="25"/>
  <c r="DN185" i="25"/>
  <c r="DM185" i="25"/>
  <c r="DL185" i="25"/>
  <c r="CO185" i="25" s="1"/>
  <c r="DK185" i="25"/>
  <c r="DJ185" i="25"/>
  <c r="DG185" i="25"/>
  <c r="DE185" i="25"/>
  <c r="DH185" i="25" s="1"/>
  <c r="DD185" i="25"/>
  <c r="DC185" i="25"/>
  <c r="CW185" i="25"/>
  <c r="CV185" i="25"/>
  <c r="CU185" i="25"/>
  <c r="DB185" i="25" s="1"/>
  <c r="CT185" i="25"/>
  <c r="CL185" i="25"/>
  <c r="CK185" i="25"/>
  <c r="CC185" i="25"/>
  <c r="CD185" i="25" s="1"/>
  <c r="BX185" i="25"/>
  <c r="BW185" i="25"/>
  <c r="BV185" i="25"/>
  <c r="BU185" i="25"/>
  <c r="BT185" i="25"/>
  <c r="BR185" i="25"/>
  <c r="BQ185" i="25"/>
  <c r="G185" i="25"/>
  <c r="DR192" i="25"/>
  <c r="DQ192" i="25"/>
  <c r="DP192" i="25"/>
  <c r="DO192" i="25"/>
  <c r="DN192" i="25"/>
  <c r="DM192" i="25"/>
  <c r="DL192" i="25"/>
  <c r="CQ192" i="25" s="1"/>
  <c r="CR192" i="25" s="1"/>
  <c r="DK192" i="25"/>
  <c r="DJ192" i="25"/>
  <c r="DG192" i="25"/>
  <c r="DE192" i="25"/>
  <c r="DD192" i="25"/>
  <c r="DC192" i="25"/>
  <c r="CW192" i="25"/>
  <c r="CV192" i="25"/>
  <c r="CU192" i="25"/>
  <c r="DB192" i="25" s="1"/>
  <c r="CT192" i="25"/>
  <c r="CL192" i="25"/>
  <c r="CK192" i="25"/>
  <c r="CC192" i="25"/>
  <c r="CD192" i="25" s="1"/>
  <c r="BX192" i="25"/>
  <c r="BW192" i="25"/>
  <c r="BV192" i="25"/>
  <c r="BU192" i="25"/>
  <c r="BT192" i="25"/>
  <c r="BR192" i="25"/>
  <c r="BQ192" i="25"/>
  <c r="G192" i="25"/>
  <c r="DR184" i="25"/>
  <c r="DQ184" i="25"/>
  <c r="DP184" i="25"/>
  <c r="DO184" i="25"/>
  <c r="DN184" i="25"/>
  <c r="DM184" i="25"/>
  <c r="DL184" i="25"/>
  <c r="DK184" i="25"/>
  <c r="DJ184" i="25"/>
  <c r="DG184" i="25"/>
  <c r="DE184" i="25"/>
  <c r="DH184" i="25" s="1"/>
  <c r="DD184" i="25"/>
  <c r="DC184" i="25"/>
  <c r="CW184" i="25"/>
  <c r="CV184" i="25"/>
  <c r="CU184" i="25"/>
  <c r="CT184" i="25"/>
  <c r="CL184" i="25"/>
  <c r="CK184" i="25"/>
  <c r="CC184" i="25"/>
  <c r="CD184" i="25" s="1"/>
  <c r="BX184" i="25"/>
  <c r="BW184" i="25"/>
  <c r="BV184" i="25"/>
  <c r="BU184" i="25"/>
  <c r="BT184" i="25"/>
  <c r="BR184" i="25"/>
  <c r="BQ184" i="25"/>
  <c r="G184" i="25"/>
  <c r="DR173" i="25"/>
  <c r="DQ173" i="25"/>
  <c r="DP173" i="25"/>
  <c r="DO173" i="25"/>
  <c r="DN173" i="25"/>
  <c r="DM173" i="25"/>
  <c r="DL173" i="25"/>
  <c r="CQ173" i="25" s="1"/>
  <c r="CR173" i="25" s="1"/>
  <c r="DK173" i="25"/>
  <c r="DJ173" i="25"/>
  <c r="DG173" i="25"/>
  <c r="DE173" i="25"/>
  <c r="DH173" i="25" s="1"/>
  <c r="DD173" i="25"/>
  <c r="DC173" i="25"/>
  <c r="CW173" i="25"/>
  <c r="CV173" i="25"/>
  <c r="CU173" i="25"/>
  <c r="DB173" i="25" s="1"/>
  <c r="CT173" i="25"/>
  <c r="CL173" i="25"/>
  <c r="CK173" i="25"/>
  <c r="CC173" i="25"/>
  <c r="BX173" i="25"/>
  <c r="BW173" i="25"/>
  <c r="BV173" i="25"/>
  <c r="BU173" i="25"/>
  <c r="BT173" i="25"/>
  <c r="BR173" i="25"/>
  <c r="BQ173" i="25"/>
  <c r="G173" i="25"/>
  <c r="DR179" i="25"/>
  <c r="DQ179" i="25"/>
  <c r="DP179" i="25"/>
  <c r="DO179" i="25"/>
  <c r="DN179" i="25"/>
  <c r="DM179" i="25"/>
  <c r="DL179" i="25"/>
  <c r="CO179" i="25" s="1"/>
  <c r="DK179" i="25"/>
  <c r="DJ179" i="25"/>
  <c r="DG179" i="25"/>
  <c r="DE179" i="25"/>
  <c r="DD179" i="25"/>
  <c r="DC179" i="25"/>
  <c r="CW179" i="25"/>
  <c r="CV179" i="25"/>
  <c r="CU179" i="25"/>
  <c r="DB179" i="25" s="1"/>
  <c r="CT179" i="25"/>
  <c r="CL179" i="25"/>
  <c r="CK179" i="25"/>
  <c r="CC179" i="25"/>
  <c r="CD179" i="25" s="1"/>
  <c r="BX179" i="25"/>
  <c r="BW179" i="25"/>
  <c r="BV179" i="25"/>
  <c r="BU179" i="25"/>
  <c r="BT179" i="25"/>
  <c r="BR179" i="25"/>
  <c r="BQ179" i="25"/>
  <c r="G179" i="25"/>
  <c r="DR208" i="25"/>
  <c r="DQ208" i="25"/>
  <c r="DP208" i="25"/>
  <c r="DO208" i="25"/>
  <c r="DN208" i="25"/>
  <c r="DM208" i="25"/>
  <c r="DL208" i="25"/>
  <c r="CQ208" i="25" s="1"/>
  <c r="CR208" i="25" s="1"/>
  <c r="DK208" i="25"/>
  <c r="DJ208" i="25"/>
  <c r="DG208" i="25"/>
  <c r="DE208" i="25"/>
  <c r="DD208" i="25"/>
  <c r="DC208" i="25"/>
  <c r="CW208" i="25"/>
  <c r="CV208" i="25"/>
  <c r="CU208" i="25"/>
  <c r="DB208" i="25" s="1"/>
  <c r="CT208" i="25"/>
  <c r="CL208" i="25"/>
  <c r="CK208" i="25"/>
  <c r="CC208" i="25"/>
  <c r="CD208" i="25" s="1"/>
  <c r="BX208" i="25"/>
  <c r="BW208" i="25"/>
  <c r="BV208" i="25"/>
  <c r="BU208" i="25"/>
  <c r="BT208" i="25"/>
  <c r="BR208" i="25"/>
  <c r="BQ208" i="25"/>
  <c r="G208" i="25"/>
  <c r="DR207" i="25"/>
  <c r="DQ207" i="25"/>
  <c r="DP207" i="25"/>
  <c r="DO207" i="25"/>
  <c r="DN207" i="25"/>
  <c r="DM207" i="25"/>
  <c r="DL207" i="25"/>
  <c r="DK207" i="25"/>
  <c r="DJ207" i="25"/>
  <c r="DG207" i="25"/>
  <c r="DE207" i="25"/>
  <c r="DH207" i="25" s="1"/>
  <c r="DD207" i="25"/>
  <c r="DC207" i="25"/>
  <c r="CW207" i="25"/>
  <c r="CV207" i="25"/>
  <c r="CU207" i="25"/>
  <c r="CT207" i="25"/>
  <c r="CL207" i="25"/>
  <c r="CK207" i="25"/>
  <c r="CC207" i="25"/>
  <c r="CD207" i="25" s="1"/>
  <c r="BX207" i="25"/>
  <c r="BW207" i="25"/>
  <c r="BV207" i="25"/>
  <c r="BU207" i="25"/>
  <c r="BT207" i="25"/>
  <c r="BR207" i="25"/>
  <c r="BQ207" i="25"/>
  <c r="G207" i="25"/>
  <c r="DR170" i="25"/>
  <c r="DQ170" i="25"/>
  <c r="DP170" i="25"/>
  <c r="DO170" i="25"/>
  <c r="DN170" i="25"/>
  <c r="DM170" i="25"/>
  <c r="DL170" i="25"/>
  <c r="CQ170" i="25" s="1"/>
  <c r="CR170" i="25" s="1"/>
  <c r="DK170" i="25"/>
  <c r="DJ170" i="25"/>
  <c r="DG170" i="25"/>
  <c r="DE170" i="25"/>
  <c r="DH170" i="25" s="1"/>
  <c r="DD170" i="25"/>
  <c r="DC170" i="25"/>
  <c r="CW170" i="25"/>
  <c r="CV170" i="25"/>
  <c r="CU170" i="25"/>
  <c r="DB170" i="25" s="1"/>
  <c r="CT170" i="25"/>
  <c r="CL170" i="25"/>
  <c r="CK170" i="25"/>
  <c r="CC170" i="25"/>
  <c r="BX170" i="25"/>
  <c r="BW170" i="25"/>
  <c r="BV170" i="25"/>
  <c r="BU170" i="25"/>
  <c r="BT170" i="25"/>
  <c r="BR170" i="25"/>
  <c r="BQ170" i="25"/>
  <c r="G170" i="25"/>
  <c r="DR205" i="25"/>
  <c r="DQ205" i="25"/>
  <c r="DP205" i="25"/>
  <c r="DO205" i="25"/>
  <c r="DN205" i="25"/>
  <c r="DM205" i="25"/>
  <c r="DL205" i="25"/>
  <c r="CO205" i="25" s="1"/>
  <c r="DK205" i="25"/>
  <c r="DJ205" i="25"/>
  <c r="DG205" i="25"/>
  <c r="DE205" i="25"/>
  <c r="DF205" i="25" s="1"/>
  <c r="DD205" i="25"/>
  <c r="DC205" i="25"/>
  <c r="CW205" i="25"/>
  <c r="CV205" i="25"/>
  <c r="CU205" i="25"/>
  <c r="DB205" i="25" s="1"/>
  <c r="CT205" i="25"/>
  <c r="CL205" i="25"/>
  <c r="CK205" i="25"/>
  <c r="CC205" i="25"/>
  <c r="CD205" i="25" s="1"/>
  <c r="BX205" i="25"/>
  <c r="BW205" i="25"/>
  <c r="BV205" i="25"/>
  <c r="BU205" i="25"/>
  <c r="BT205" i="25"/>
  <c r="BR205" i="25"/>
  <c r="BQ205" i="25"/>
  <c r="G205" i="25"/>
  <c r="DR168" i="25"/>
  <c r="DQ168" i="25"/>
  <c r="DP168" i="25"/>
  <c r="DO168" i="25"/>
  <c r="DN168" i="25"/>
  <c r="DM168" i="25"/>
  <c r="DL168" i="25"/>
  <c r="CQ168" i="25" s="1"/>
  <c r="CR168" i="25" s="1"/>
  <c r="DK168" i="25"/>
  <c r="DJ168" i="25"/>
  <c r="DG168" i="25"/>
  <c r="DE168" i="25"/>
  <c r="DD168" i="25"/>
  <c r="DC168" i="25"/>
  <c r="CW168" i="25"/>
  <c r="CV168" i="25"/>
  <c r="CU168" i="25"/>
  <c r="DB168" i="25" s="1"/>
  <c r="CT168" i="25"/>
  <c r="CL168" i="25"/>
  <c r="CK168" i="25"/>
  <c r="CC168" i="25"/>
  <c r="CD168" i="25" s="1"/>
  <c r="BX168" i="25"/>
  <c r="BW168" i="25"/>
  <c r="BV168" i="25"/>
  <c r="BU168" i="25"/>
  <c r="BT168" i="25"/>
  <c r="BR168" i="25"/>
  <c r="BQ168" i="25"/>
  <c r="G168" i="25"/>
  <c r="DR167" i="25"/>
  <c r="DQ167" i="25"/>
  <c r="DP167" i="25"/>
  <c r="DO167" i="25"/>
  <c r="DN167" i="25"/>
  <c r="DM167" i="25"/>
  <c r="DL167" i="25"/>
  <c r="DK167" i="25"/>
  <c r="DJ167" i="25"/>
  <c r="DG167" i="25"/>
  <c r="DE167" i="25"/>
  <c r="DF167" i="25" s="1"/>
  <c r="DD167" i="25"/>
  <c r="DC167" i="25"/>
  <c r="CW167" i="25"/>
  <c r="CV167" i="25"/>
  <c r="CU167" i="25"/>
  <c r="CT167" i="25"/>
  <c r="CL167" i="25"/>
  <c r="CK167" i="25"/>
  <c r="CC167" i="25"/>
  <c r="CD167" i="25" s="1"/>
  <c r="BX167" i="25"/>
  <c r="BW167" i="25"/>
  <c r="BV167" i="25"/>
  <c r="BU167" i="25"/>
  <c r="BT167" i="25"/>
  <c r="BR167" i="25"/>
  <c r="BQ167" i="25"/>
  <c r="G167" i="25"/>
  <c r="DR166" i="25"/>
  <c r="DQ166" i="25"/>
  <c r="DP166" i="25"/>
  <c r="DO166" i="25"/>
  <c r="DN166" i="25"/>
  <c r="DM166" i="25"/>
  <c r="DL166" i="25"/>
  <c r="CO166" i="25" s="1"/>
  <c r="DK166" i="25"/>
  <c r="DJ166" i="25"/>
  <c r="DG166" i="25"/>
  <c r="DE166" i="25"/>
  <c r="DH166" i="25" s="1"/>
  <c r="DD166" i="25"/>
  <c r="DC166" i="25"/>
  <c r="CW166" i="25"/>
  <c r="CV166" i="25"/>
  <c r="CU166" i="25"/>
  <c r="DB166" i="25" s="1"/>
  <c r="CT166" i="25"/>
  <c r="CL166" i="25"/>
  <c r="CK166" i="25"/>
  <c r="CC166" i="25"/>
  <c r="BX166" i="25"/>
  <c r="BW166" i="25"/>
  <c r="BV166" i="25"/>
  <c r="BU166" i="25"/>
  <c r="BT166" i="25"/>
  <c r="BR166" i="25"/>
  <c r="BQ166" i="25"/>
  <c r="G166" i="25"/>
  <c r="DR165" i="25"/>
  <c r="DQ165" i="25"/>
  <c r="DP165" i="25"/>
  <c r="DO165" i="25"/>
  <c r="DN165" i="25"/>
  <c r="DM165" i="25"/>
  <c r="DL165" i="25"/>
  <c r="CO165" i="25" s="1"/>
  <c r="DK165" i="25"/>
  <c r="DJ165" i="25"/>
  <c r="DG165" i="25"/>
  <c r="DE165" i="25"/>
  <c r="DH165" i="25" s="1"/>
  <c r="DD165" i="25"/>
  <c r="DC165" i="25"/>
  <c r="CW165" i="25"/>
  <c r="CV165" i="25"/>
  <c r="CU165" i="25"/>
  <c r="DB165" i="25" s="1"/>
  <c r="CT165" i="25"/>
  <c r="CL165" i="25"/>
  <c r="CK165" i="25"/>
  <c r="CC165" i="25"/>
  <c r="CD165" i="25" s="1"/>
  <c r="BX165" i="25"/>
  <c r="BW165" i="25"/>
  <c r="BV165" i="25"/>
  <c r="BU165" i="25"/>
  <c r="BT165" i="25"/>
  <c r="BR165" i="25"/>
  <c r="BQ165" i="25"/>
  <c r="G165" i="25"/>
  <c r="DR164" i="25"/>
  <c r="DQ164" i="25"/>
  <c r="DP164" i="25"/>
  <c r="DO164" i="25"/>
  <c r="DN164" i="25"/>
  <c r="DM164" i="25"/>
  <c r="DL164" i="25"/>
  <c r="CQ164" i="25" s="1"/>
  <c r="CR164" i="25" s="1"/>
  <c r="DK164" i="25"/>
  <c r="DJ164" i="25"/>
  <c r="DG164" i="25"/>
  <c r="DE164" i="25"/>
  <c r="DH164" i="25" s="1"/>
  <c r="DD164" i="25"/>
  <c r="DC164" i="25"/>
  <c r="CW164" i="25"/>
  <c r="CV164" i="25"/>
  <c r="CU164" i="25"/>
  <c r="DB164" i="25" s="1"/>
  <c r="CT164" i="25"/>
  <c r="CL164" i="25"/>
  <c r="CK164" i="25"/>
  <c r="CC164" i="25"/>
  <c r="CD164" i="25" s="1"/>
  <c r="BX164" i="25"/>
  <c r="BW164" i="25"/>
  <c r="BV164" i="25"/>
  <c r="BU164" i="25"/>
  <c r="BT164" i="25"/>
  <c r="BR164" i="25"/>
  <c r="BQ164" i="25"/>
  <c r="G164" i="25"/>
  <c r="DR163" i="25"/>
  <c r="DQ163" i="25"/>
  <c r="DP163" i="25"/>
  <c r="DO163" i="25"/>
  <c r="DN163" i="25"/>
  <c r="DM163" i="25"/>
  <c r="DL163" i="25"/>
  <c r="CP163" i="25" s="1"/>
  <c r="DK163" i="25"/>
  <c r="DJ163" i="25"/>
  <c r="DG163" i="25"/>
  <c r="DE163" i="25"/>
  <c r="DH163" i="25" s="1"/>
  <c r="DD163" i="25"/>
  <c r="DC163" i="25"/>
  <c r="CW163" i="25"/>
  <c r="CV163" i="25"/>
  <c r="CU163" i="25"/>
  <c r="CT163" i="25"/>
  <c r="CL163" i="25"/>
  <c r="CK163" i="25"/>
  <c r="CC163" i="25"/>
  <c r="CD163" i="25" s="1"/>
  <c r="BX163" i="25"/>
  <c r="BW163" i="25"/>
  <c r="BV163" i="25"/>
  <c r="BU163" i="25"/>
  <c r="BT163" i="25"/>
  <c r="BR163" i="25"/>
  <c r="BQ163" i="25"/>
  <c r="G163" i="25"/>
  <c r="DR162" i="25"/>
  <c r="DQ162" i="25"/>
  <c r="DP162" i="25"/>
  <c r="DO162" i="25"/>
  <c r="DN162" i="25"/>
  <c r="DM162" i="25"/>
  <c r="DL162" i="25"/>
  <c r="CP162" i="25" s="1"/>
  <c r="DK162" i="25"/>
  <c r="DJ162" i="25"/>
  <c r="DG162" i="25"/>
  <c r="DE162" i="25"/>
  <c r="DF162" i="25" s="1"/>
  <c r="DD162" i="25"/>
  <c r="DC162" i="25"/>
  <c r="CW162" i="25"/>
  <c r="CV162" i="25"/>
  <c r="CU162" i="25"/>
  <c r="DB162" i="25" s="1"/>
  <c r="CT162" i="25"/>
  <c r="CL162" i="25"/>
  <c r="CK162" i="25"/>
  <c r="CC162" i="25"/>
  <c r="BX162" i="25"/>
  <c r="BW162" i="25"/>
  <c r="BV162" i="25"/>
  <c r="BU162" i="25"/>
  <c r="BT162" i="25"/>
  <c r="BR162" i="25"/>
  <c r="BQ162" i="25"/>
  <c r="G162" i="25"/>
  <c r="DR161" i="25"/>
  <c r="DQ161" i="25"/>
  <c r="DP161" i="25"/>
  <c r="DO161" i="25"/>
  <c r="DN161" i="25"/>
  <c r="DM161" i="25"/>
  <c r="DL161" i="25"/>
  <c r="CO161" i="25" s="1"/>
  <c r="DK161" i="25"/>
  <c r="DJ161" i="25"/>
  <c r="DG161" i="25"/>
  <c r="DE161" i="25"/>
  <c r="DD161" i="25"/>
  <c r="DC161" i="25"/>
  <c r="CW161" i="25"/>
  <c r="CV161" i="25"/>
  <c r="CU161" i="25"/>
  <c r="DB161" i="25" s="1"/>
  <c r="CT161" i="25"/>
  <c r="CL161" i="25"/>
  <c r="CK161" i="25"/>
  <c r="CC161" i="25"/>
  <c r="CD161" i="25" s="1"/>
  <c r="BX161" i="25"/>
  <c r="BW161" i="25"/>
  <c r="BV161" i="25"/>
  <c r="BU161" i="25"/>
  <c r="BT161" i="25"/>
  <c r="BR161" i="25"/>
  <c r="BQ161" i="25"/>
  <c r="G161" i="25"/>
  <c r="DR160" i="25"/>
  <c r="DQ160" i="25"/>
  <c r="DP160" i="25"/>
  <c r="DO160" i="25"/>
  <c r="DN160" i="25"/>
  <c r="DM160" i="25"/>
  <c r="DL160" i="25"/>
  <c r="CQ160" i="25" s="1"/>
  <c r="CR160" i="25" s="1"/>
  <c r="DK160" i="25"/>
  <c r="DJ160" i="25"/>
  <c r="DG160" i="25"/>
  <c r="DE160" i="25"/>
  <c r="DH160" i="25" s="1"/>
  <c r="DD160" i="25"/>
  <c r="DC160" i="25"/>
  <c r="CW160" i="25"/>
  <c r="CV160" i="25"/>
  <c r="CU160" i="25"/>
  <c r="DB160" i="25" s="1"/>
  <c r="CT160" i="25"/>
  <c r="CL160" i="25"/>
  <c r="CK160" i="25"/>
  <c r="CC160" i="25"/>
  <c r="BX160" i="25"/>
  <c r="BW160" i="25"/>
  <c r="BV160" i="25"/>
  <c r="BU160" i="25"/>
  <c r="BT160" i="25"/>
  <c r="BR160" i="25"/>
  <c r="BQ160" i="25"/>
  <c r="G160" i="25"/>
  <c r="DR159" i="25"/>
  <c r="DQ159" i="25"/>
  <c r="DP159" i="25"/>
  <c r="DO159" i="25"/>
  <c r="DN159" i="25"/>
  <c r="DM159" i="25"/>
  <c r="DL159" i="25"/>
  <c r="CP159" i="25" s="1"/>
  <c r="DK159" i="25"/>
  <c r="DJ159" i="25"/>
  <c r="DG159" i="25"/>
  <c r="DE159" i="25"/>
  <c r="DH159" i="25" s="1"/>
  <c r="DD159" i="25"/>
  <c r="DC159" i="25"/>
  <c r="CW159" i="25"/>
  <c r="CV159" i="25"/>
  <c r="CU159" i="25"/>
  <c r="DB159" i="25" s="1"/>
  <c r="CT159" i="25"/>
  <c r="CL159" i="25"/>
  <c r="CK159" i="25"/>
  <c r="CC159" i="25"/>
  <c r="BX159" i="25"/>
  <c r="BW159" i="25"/>
  <c r="BV159" i="25"/>
  <c r="BU159" i="25"/>
  <c r="BT159" i="25"/>
  <c r="BR159" i="25"/>
  <c r="BQ159" i="25"/>
  <c r="G159" i="25"/>
  <c r="DR158" i="25"/>
  <c r="DQ158" i="25"/>
  <c r="DP158" i="25"/>
  <c r="DO158" i="25"/>
  <c r="DN158" i="25"/>
  <c r="DM158" i="25"/>
  <c r="DL158" i="25"/>
  <c r="DK158" i="25"/>
  <c r="DJ158" i="25"/>
  <c r="DG158" i="25"/>
  <c r="DE158" i="25"/>
  <c r="DH158" i="25" s="1"/>
  <c r="DD158" i="25"/>
  <c r="DC158" i="25"/>
  <c r="CW158" i="25"/>
  <c r="CV158" i="25"/>
  <c r="CU158" i="25"/>
  <c r="DB158" i="25" s="1"/>
  <c r="CT158" i="25"/>
  <c r="CL158" i="25"/>
  <c r="CK158" i="25"/>
  <c r="CC158" i="25"/>
  <c r="CD158" i="25" s="1"/>
  <c r="BX158" i="25"/>
  <c r="BW158" i="25"/>
  <c r="BV158" i="25"/>
  <c r="BU158" i="25"/>
  <c r="BT158" i="25"/>
  <c r="BR158" i="25"/>
  <c r="BQ158" i="25"/>
  <c r="G158" i="25"/>
  <c r="DR157" i="25"/>
  <c r="DQ157" i="25"/>
  <c r="DP157" i="25"/>
  <c r="DO157" i="25"/>
  <c r="DN157" i="25"/>
  <c r="DM157" i="25"/>
  <c r="DL157" i="25"/>
  <c r="CQ157" i="25" s="1"/>
  <c r="CR157" i="25" s="1"/>
  <c r="DK157" i="25"/>
  <c r="DJ157" i="25"/>
  <c r="DG157" i="25"/>
  <c r="DE157" i="25"/>
  <c r="DD157" i="25"/>
  <c r="DC157" i="25"/>
  <c r="CW157" i="25"/>
  <c r="CV157" i="25"/>
  <c r="CU157" i="25"/>
  <c r="DB157" i="25" s="1"/>
  <c r="CT157" i="25"/>
  <c r="CL157" i="25"/>
  <c r="CK157" i="25"/>
  <c r="CC157" i="25"/>
  <c r="CD157" i="25" s="1"/>
  <c r="BX157" i="25"/>
  <c r="BW157" i="25"/>
  <c r="BV157" i="25"/>
  <c r="BU157" i="25"/>
  <c r="BT157" i="25"/>
  <c r="BR157" i="25"/>
  <c r="BQ157" i="25"/>
  <c r="G157" i="25"/>
  <c r="DR156" i="25"/>
  <c r="DQ156" i="25"/>
  <c r="DP156" i="25"/>
  <c r="DO156" i="25"/>
  <c r="DN156" i="25"/>
  <c r="DM156" i="25"/>
  <c r="DL156" i="25"/>
  <c r="DK156" i="25"/>
  <c r="DJ156" i="25"/>
  <c r="DG156" i="25"/>
  <c r="DE156" i="25"/>
  <c r="DH156" i="25" s="1"/>
  <c r="DD156" i="25"/>
  <c r="DC156" i="25"/>
  <c r="CW156" i="25"/>
  <c r="CV156" i="25"/>
  <c r="CU156" i="25"/>
  <c r="CT156" i="25"/>
  <c r="CL156" i="25"/>
  <c r="CK156" i="25"/>
  <c r="CC156" i="25"/>
  <c r="CD156" i="25" s="1"/>
  <c r="BX156" i="25"/>
  <c r="BW156" i="25"/>
  <c r="BV156" i="25"/>
  <c r="BU156" i="25"/>
  <c r="BT156" i="25"/>
  <c r="BR156" i="25"/>
  <c r="BQ156" i="25"/>
  <c r="G156" i="25"/>
  <c r="DR155" i="25"/>
  <c r="DQ155" i="25"/>
  <c r="DP155" i="25"/>
  <c r="DO155" i="25"/>
  <c r="DN155" i="25"/>
  <c r="DM155" i="25"/>
  <c r="DL155" i="25"/>
  <c r="CP155" i="25" s="1"/>
  <c r="DK155" i="25"/>
  <c r="DJ155" i="25"/>
  <c r="DG155" i="25"/>
  <c r="DE155" i="25"/>
  <c r="DF155" i="25" s="1"/>
  <c r="DD155" i="25"/>
  <c r="DC155" i="25"/>
  <c r="CW155" i="25"/>
  <c r="CV155" i="25"/>
  <c r="CU155" i="25"/>
  <c r="DB155" i="25" s="1"/>
  <c r="CT155" i="25"/>
  <c r="CL155" i="25"/>
  <c r="CK155" i="25"/>
  <c r="CC155" i="25"/>
  <c r="BX155" i="25"/>
  <c r="BW155" i="25"/>
  <c r="BV155" i="25"/>
  <c r="BU155" i="25"/>
  <c r="BT155" i="25"/>
  <c r="BR155" i="25"/>
  <c r="BQ155" i="25"/>
  <c r="G155" i="25"/>
  <c r="DR154" i="25"/>
  <c r="DQ154" i="25"/>
  <c r="DP154" i="25"/>
  <c r="DO154" i="25"/>
  <c r="DN154" i="25"/>
  <c r="DM154" i="25"/>
  <c r="DL154" i="25"/>
  <c r="CP154" i="25" s="1"/>
  <c r="DK154" i="25"/>
  <c r="DJ154" i="25"/>
  <c r="DG154" i="25"/>
  <c r="DE154" i="25"/>
  <c r="DH154" i="25" s="1"/>
  <c r="DD154" i="25"/>
  <c r="DC154" i="25"/>
  <c r="CW154" i="25"/>
  <c r="CV154" i="25"/>
  <c r="CU154" i="25"/>
  <c r="DB154" i="25" s="1"/>
  <c r="CT154" i="25"/>
  <c r="CL154" i="25"/>
  <c r="CK154" i="25"/>
  <c r="CC154" i="25"/>
  <c r="CD154" i="25" s="1"/>
  <c r="BX154" i="25"/>
  <c r="BW154" i="25"/>
  <c r="BV154" i="25"/>
  <c r="BU154" i="25"/>
  <c r="BT154" i="25"/>
  <c r="BR154" i="25"/>
  <c r="BQ154" i="25"/>
  <c r="G154" i="25"/>
  <c r="DR153" i="25"/>
  <c r="DQ153" i="25"/>
  <c r="DP153" i="25"/>
  <c r="DO153" i="25"/>
  <c r="DN153" i="25"/>
  <c r="DM153" i="25"/>
  <c r="DL153" i="25"/>
  <c r="CQ153" i="25" s="1"/>
  <c r="CR153" i="25" s="1"/>
  <c r="DK153" i="25"/>
  <c r="DJ153" i="25"/>
  <c r="DG153" i="25"/>
  <c r="DE153" i="25"/>
  <c r="DD153" i="25"/>
  <c r="DC153" i="25"/>
  <c r="CW153" i="25"/>
  <c r="CV153" i="25"/>
  <c r="CU153" i="25"/>
  <c r="DB153" i="25" s="1"/>
  <c r="CT153" i="25"/>
  <c r="CL153" i="25"/>
  <c r="CK153" i="25"/>
  <c r="CC153" i="25"/>
  <c r="CD153" i="25" s="1"/>
  <c r="BX153" i="25"/>
  <c r="BW153" i="25"/>
  <c r="BV153" i="25"/>
  <c r="BU153" i="25"/>
  <c r="BT153" i="25"/>
  <c r="BR153" i="25"/>
  <c r="BQ153" i="25"/>
  <c r="G153" i="25"/>
  <c r="DR152" i="25"/>
  <c r="DQ152" i="25"/>
  <c r="DP152" i="25"/>
  <c r="DO152" i="25"/>
  <c r="DN152" i="25"/>
  <c r="DM152" i="25"/>
  <c r="DL152" i="25"/>
  <c r="DK152" i="25"/>
  <c r="DJ152" i="25"/>
  <c r="DG152" i="25"/>
  <c r="DE152" i="25"/>
  <c r="DH152" i="25" s="1"/>
  <c r="DD152" i="25"/>
  <c r="DC152" i="25"/>
  <c r="CW152" i="25"/>
  <c r="CV152" i="25"/>
  <c r="CU152" i="25"/>
  <c r="CT152" i="25"/>
  <c r="CL152" i="25"/>
  <c r="CK152" i="25"/>
  <c r="CC152" i="25"/>
  <c r="CD152" i="25" s="1"/>
  <c r="BX152" i="25"/>
  <c r="BW152" i="25"/>
  <c r="BV152" i="25"/>
  <c r="BU152" i="25"/>
  <c r="BT152" i="25"/>
  <c r="BR152" i="25"/>
  <c r="BQ152" i="25"/>
  <c r="G152" i="25"/>
  <c r="DR151" i="25"/>
  <c r="DQ151" i="25"/>
  <c r="DP151" i="25"/>
  <c r="DO151" i="25"/>
  <c r="DN151" i="25"/>
  <c r="DM151" i="25"/>
  <c r="DL151" i="25"/>
  <c r="CP151" i="25" s="1"/>
  <c r="DK151" i="25"/>
  <c r="DJ151" i="25"/>
  <c r="DG151" i="25"/>
  <c r="DE151" i="25"/>
  <c r="DF151" i="25" s="1"/>
  <c r="DD151" i="25"/>
  <c r="DC151" i="25"/>
  <c r="CW151" i="25"/>
  <c r="CV151" i="25"/>
  <c r="CU151" i="25"/>
  <c r="DB151" i="25" s="1"/>
  <c r="CT151" i="25"/>
  <c r="CL151" i="25"/>
  <c r="CK151" i="25"/>
  <c r="CC151" i="25"/>
  <c r="BX151" i="25"/>
  <c r="BW151" i="25"/>
  <c r="BV151" i="25"/>
  <c r="BU151" i="25"/>
  <c r="BT151" i="25"/>
  <c r="BR151" i="25"/>
  <c r="BQ151" i="25"/>
  <c r="G151" i="25"/>
  <c r="DR150" i="25"/>
  <c r="DQ150" i="25"/>
  <c r="DP150" i="25"/>
  <c r="DO150" i="25"/>
  <c r="DN150" i="25"/>
  <c r="DM150" i="25"/>
  <c r="DL150" i="25"/>
  <c r="CO150" i="25" s="1"/>
  <c r="DK150" i="25"/>
  <c r="DJ150" i="25"/>
  <c r="DG150" i="25"/>
  <c r="DE150" i="25"/>
  <c r="DH150" i="25" s="1"/>
  <c r="DD150" i="25"/>
  <c r="DC150" i="25"/>
  <c r="CW150" i="25"/>
  <c r="CV150" i="25"/>
  <c r="CU150" i="25"/>
  <c r="CT150" i="25"/>
  <c r="CL150" i="25"/>
  <c r="CK150" i="25"/>
  <c r="CC150" i="25"/>
  <c r="CD150" i="25" s="1"/>
  <c r="BX150" i="25"/>
  <c r="BW150" i="25"/>
  <c r="BV150" i="25"/>
  <c r="BU150" i="25"/>
  <c r="BT150" i="25"/>
  <c r="BR150" i="25"/>
  <c r="BQ150" i="25"/>
  <c r="G150" i="25"/>
  <c r="DR149" i="25"/>
  <c r="DQ149" i="25"/>
  <c r="DP149" i="25"/>
  <c r="DO149" i="25"/>
  <c r="DN149" i="25"/>
  <c r="DM149" i="25"/>
  <c r="DL149" i="25"/>
  <c r="CQ149" i="25" s="1"/>
  <c r="CR149" i="25" s="1"/>
  <c r="DK149" i="25"/>
  <c r="DJ149" i="25"/>
  <c r="DG149" i="25"/>
  <c r="DE149" i="25"/>
  <c r="DD149" i="25"/>
  <c r="DC149" i="25"/>
  <c r="CW149" i="25"/>
  <c r="CV149" i="25"/>
  <c r="CU149" i="25"/>
  <c r="DB149" i="25" s="1"/>
  <c r="CT149" i="25"/>
  <c r="CL149" i="25"/>
  <c r="CK149" i="25"/>
  <c r="CC149" i="25"/>
  <c r="CD149" i="25" s="1"/>
  <c r="BX149" i="25"/>
  <c r="BW149" i="25"/>
  <c r="BV149" i="25"/>
  <c r="BU149" i="25"/>
  <c r="BT149" i="25"/>
  <c r="BR149" i="25"/>
  <c r="BQ149" i="25"/>
  <c r="G149" i="25"/>
  <c r="DR148" i="25"/>
  <c r="DQ148" i="25"/>
  <c r="DP148" i="25"/>
  <c r="DO148" i="25"/>
  <c r="DN148" i="25"/>
  <c r="DM148" i="25"/>
  <c r="DL148" i="25"/>
  <c r="DK148" i="25"/>
  <c r="DJ148" i="25"/>
  <c r="DG148" i="25"/>
  <c r="DE148" i="25"/>
  <c r="DH148" i="25" s="1"/>
  <c r="DD148" i="25"/>
  <c r="DC148" i="25"/>
  <c r="CW148" i="25"/>
  <c r="CV148" i="25"/>
  <c r="CU148" i="25"/>
  <c r="CT148" i="25"/>
  <c r="CL148" i="25"/>
  <c r="CK148" i="25"/>
  <c r="CC148" i="25"/>
  <c r="CD148" i="25" s="1"/>
  <c r="BX148" i="25"/>
  <c r="BW148" i="25"/>
  <c r="BV148" i="25"/>
  <c r="BU148" i="25"/>
  <c r="BT148" i="25"/>
  <c r="BR148" i="25"/>
  <c r="BQ148" i="25"/>
  <c r="G148" i="25"/>
  <c r="DR147" i="25"/>
  <c r="DQ147" i="25"/>
  <c r="DP147" i="25"/>
  <c r="DO147" i="25"/>
  <c r="DN147" i="25"/>
  <c r="DM147" i="25"/>
  <c r="DL147" i="25"/>
  <c r="CP147" i="25" s="1"/>
  <c r="DK147" i="25"/>
  <c r="DJ147" i="25"/>
  <c r="DG147" i="25"/>
  <c r="DE147" i="25"/>
  <c r="DF147" i="25" s="1"/>
  <c r="DD147" i="25"/>
  <c r="DC147" i="25"/>
  <c r="CW147" i="25"/>
  <c r="CV147" i="25"/>
  <c r="CU147" i="25"/>
  <c r="DB147" i="25" s="1"/>
  <c r="CT147" i="25"/>
  <c r="CL147" i="25"/>
  <c r="CK147" i="25"/>
  <c r="CC147" i="25"/>
  <c r="BX147" i="25"/>
  <c r="BW147" i="25"/>
  <c r="BV147" i="25"/>
  <c r="BU147" i="25"/>
  <c r="BT147" i="25"/>
  <c r="BR147" i="25"/>
  <c r="BQ147" i="25"/>
  <c r="G147" i="25"/>
  <c r="DR146" i="25"/>
  <c r="DQ146" i="25"/>
  <c r="DP146" i="25"/>
  <c r="DO146" i="25"/>
  <c r="DN146" i="25"/>
  <c r="DM146" i="25"/>
  <c r="DL146" i="25"/>
  <c r="CP146" i="25" s="1"/>
  <c r="DK146" i="25"/>
  <c r="DJ146" i="25"/>
  <c r="DG146" i="25"/>
  <c r="DE146" i="25"/>
  <c r="DH146" i="25" s="1"/>
  <c r="DD146" i="25"/>
  <c r="DC146" i="25"/>
  <c r="CW146" i="25"/>
  <c r="CV146" i="25"/>
  <c r="CU146" i="25"/>
  <c r="DB146" i="25" s="1"/>
  <c r="CT146" i="25"/>
  <c r="CL146" i="25"/>
  <c r="CK146" i="25"/>
  <c r="CC146" i="25"/>
  <c r="CD146" i="25" s="1"/>
  <c r="BX146" i="25"/>
  <c r="BW146" i="25"/>
  <c r="BV146" i="25"/>
  <c r="BU146" i="25"/>
  <c r="BT146" i="25"/>
  <c r="BR146" i="25"/>
  <c r="BQ146" i="25"/>
  <c r="G146" i="25"/>
  <c r="DR145" i="25"/>
  <c r="DQ145" i="25"/>
  <c r="DP145" i="25"/>
  <c r="DO145" i="25"/>
  <c r="DN145" i="25"/>
  <c r="DM145" i="25"/>
  <c r="DL145" i="25"/>
  <c r="CQ145" i="25" s="1"/>
  <c r="CR145" i="25" s="1"/>
  <c r="DK145" i="25"/>
  <c r="DJ145" i="25"/>
  <c r="DG145" i="25"/>
  <c r="DE145" i="25"/>
  <c r="DD145" i="25"/>
  <c r="DC145" i="25"/>
  <c r="CW145" i="25"/>
  <c r="CV145" i="25"/>
  <c r="CU145" i="25"/>
  <c r="DB145" i="25" s="1"/>
  <c r="CT145" i="25"/>
  <c r="CL145" i="25"/>
  <c r="CK145" i="25"/>
  <c r="CC145" i="25"/>
  <c r="CD145" i="25" s="1"/>
  <c r="BX145" i="25"/>
  <c r="BW145" i="25"/>
  <c r="BV145" i="25"/>
  <c r="BU145" i="25"/>
  <c r="BT145" i="25"/>
  <c r="BR145" i="25"/>
  <c r="BQ145" i="25"/>
  <c r="G145" i="25"/>
  <c r="DR144" i="25"/>
  <c r="DQ144" i="25"/>
  <c r="DP144" i="25"/>
  <c r="DO144" i="25"/>
  <c r="DN144" i="25"/>
  <c r="DM144" i="25"/>
  <c r="DL144" i="25"/>
  <c r="DK144" i="25"/>
  <c r="DJ144" i="25"/>
  <c r="DG144" i="25"/>
  <c r="DE144" i="25"/>
  <c r="DD144" i="25"/>
  <c r="DC144" i="25"/>
  <c r="CW144" i="25"/>
  <c r="CV144" i="25"/>
  <c r="CU144" i="25"/>
  <c r="CT144" i="25"/>
  <c r="CL144" i="25"/>
  <c r="CK144" i="25"/>
  <c r="CC144" i="25"/>
  <c r="CD144" i="25" s="1"/>
  <c r="BX144" i="25"/>
  <c r="BW144" i="25"/>
  <c r="BV144" i="25"/>
  <c r="BU144" i="25"/>
  <c r="BT144" i="25"/>
  <c r="BR144" i="25"/>
  <c r="BQ144" i="25"/>
  <c r="G144" i="25"/>
  <c r="DR143" i="25"/>
  <c r="DQ143" i="25"/>
  <c r="DP143" i="25"/>
  <c r="DO143" i="25"/>
  <c r="DN143" i="25"/>
  <c r="DM143" i="25"/>
  <c r="DL143" i="25"/>
  <c r="CP143" i="25" s="1"/>
  <c r="DK143" i="25"/>
  <c r="DJ143" i="25"/>
  <c r="DG143" i="25"/>
  <c r="DE143" i="25"/>
  <c r="DH143" i="25" s="1"/>
  <c r="DD143" i="25"/>
  <c r="DC143" i="25"/>
  <c r="CW143" i="25"/>
  <c r="CV143" i="25"/>
  <c r="CU143" i="25"/>
  <c r="DB143" i="25" s="1"/>
  <c r="CT143" i="25"/>
  <c r="CL143" i="25"/>
  <c r="CK143" i="25"/>
  <c r="CC143" i="25"/>
  <c r="BX143" i="25"/>
  <c r="BW143" i="25"/>
  <c r="BV143" i="25"/>
  <c r="BU143" i="25"/>
  <c r="BT143" i="25"/>
  <c r="BR143" i="25"/>
  <c r="BQ143" i="25"/>
  <c r="G143" i="25"/>
  <c r="DR142" i="25"/>
  <c r="DQ142" i="25"/>
  <c r="DP142" i="25"/>
  <c r="DO142" i="25"/>
  <c r="DN142" i="25"/>
  <c r="DM142" i="25"/>
  <c r="DL142" i="25"/>
  <c r="CQ142" i="25" s="1"/>
  <c r="CR142" i="25" s="1"/>
  <c r="DK142" i="25"/>
  <c r="DJ142" i="25"/>
  <c r="DG142" i="25"/>
  <c r="DE142" i="25"/>
  <c r="DH142" i="25" s="1"/>
  <c r="DD142" i="25"/>
  <c r="DC142" i="25"/>
  <c r="CW142" i="25"/>
  <c r="CV142" i="25"/>
  <c r="CU142" i="25"/>
  <c r="DB142" i="25" s="1"/>
  <c r="CT142" i="25"/>
  <c r="CL142" i="25"/>
  <c r="CK142" i="25"/>
  <c r="CC142" i="25"/>
  <c r="CD142" i="25" s="1"/>
  <c r="BX142" i="25"/>
  <c r="BW142" i="25"/>
  <c r="BV142" i="25"/>
  <c r="BU142" i="25"/>
  <c r="BT142" i="25"/>
  <c r="BR142" i="25"/>
  <c r="BQ142" i="25"/>
  <c r="G142" i="25"/>
  <c r="DR141" i="25"/>
  <c r="DQ141" i="25"/>
  <c r="DP141" i="25"/>
  <c r="DO141" i="25"/>
  <c r="DN141" i="25"/>
  <c r="DM141" i="25"/>
  <c r="DL141" i="25"/>
  <c r="CQ141" i="25" s="1"/>
  <c r="CR141" i="25" s="1"/>
  <c r="DK141" i="25"/>
  <c r="DJ141" i="25"/>
  <c r="DG141" i="25"/>
  <c r="DE141" i="25"/>
  <c r="DD141" i="25"/>
  <c r="DC141" i="25"/>
  <c r="CW141" i="25"/>
  <c r="CV141" i="25"/>
  <c r="CU141" i="25"/>
  <c r="DB141" i="25" s="1"/>
  <c r="CT141" i="25"/>
  <c r="CL141" i="25"/>
  <c r="CK141" i="25"/>
  <c r="CC141" i="25"/>
  <c r="CD141" i="25" s="1"/>
  <c r="BX141" i="25"/>
  <c r="BW141" i="25"/>
  <c r="BV141" i="25"/>
  <c r="BU141" i="25"/>
  <c r="BT141" i="25"/>
  <c r="BR141" i="25"/>
  <c r="BQ141" i="25"/>
  <c r="G141" i="25"/>
  <c r="DR140" i="25"/>
  <c r="DQ140" i="25"/>
  <c r="DP140" i="25"/>
  <c r="DO140" i="25"/>
  <c r="DN140" i="25"/>
  <c r="DM140" i="25"/>
  <c r="DL140" i="25"/>
  <c r="DK140" i="25"/>
  <c r="DJ140" i="25"/>
  <c r="DG140" i="25"/>
  <c r="DE140" i="25"/>
  <c r="DH140" i="25" s="1"/>
  <c r="DD140" i="25"/>
  <c r="DC140" i="25"/>
  <c r="CW140" i="25"/>
  <c r="CV140" i="25"/>
  <c r="CU140" i="25"/>
  <c r="CT140" i="25"/>
  <c r="CL140" i="25"/>
  <c r="CK140" i="25"/>
  <c r="CC140" i="25"/>
  <c r="CD140" i="25" s="1"/>
  <c r="BX140" i="25"/>
  <c r="BW140" i="25"/>
  <c r="BV140" i="25"/>
  <c r="BU140" i="25"/>
  <c r="BT140" i="25"/>
  <c r="BR140" i="25"/>
  <c r="BQ140" i="25"/>
  <c r="G140" i="25"/>
  <c r="DR139" i="25"/>
  <c r="DQ139" i="25"/>
  <c r="DP139" i="25"/>
  <c r="DO139" i="25"/>
  <c r="DN139" i="25"/>
  <c r="DM139" i="25"/>
  <c r="DL139" i="25"/>
  <c r="CO139" i="25" s="1"/>
  <c r="DK139" i="25"/>
  <c r="DJ139" i="25"/>
  <c r="DG139" i="25"/>
  <c r="DE139" i="25"/>
  <c r="DH139" i="25" s="1"/>
  <c r="DD139" i="25"/>
  <c r="DC139" i="25"/>
  <c r="CW139" i="25"/>
  <c r="CV139" i="25"/>
  <c r="CU139" i="25"/>
  <c r="DB139" i="25" s="1"/>
  <c r="CT139" i="25"/>
  <c r="CL139" i="25"/>
  <c r="CK139" i="25"/>
  <c r="CC139" i="25"/>
  <c r="BX139" i="25"/>
  <c r="BW139" i="25"/>
  <c r="BV139" i="25"/>
  <c r="BU139" i="25"/>
  <c r="BT139" i="25"/>
  <c r="BR139" i="25"/>
  <c r="BQ139" i="25"/>
  <c r="G139" i="25"/>
  <c r="DR138" i="25"/>
  <c r="DQ138" i="25"/>
  <c r="DP138" i="25"/>
  <c r="DO138" i="25"/>
  <c r="DN138" i="25"/>
  <c r="DM138" i="25"/>
  <c r="DL138" i="25"/>
  <c r="CO138" i="25" s="1"/>
  <c r="DK138" i="25"/>
  <c r="DJ138" i="25"/>
  <c r="DG138" i="25"/>
  <c r="DE138" i="25"/>
  <c r="DH138" i="25" s="1"/>
  <c r="DD138" i="25"/>
  <c r="DC138" i="25"/>
  <c r="CW138" i="25"/>
  <c r="CV138" i="25"/>
  <c r="CU138" i="25"/>
  <c r="DB138" i="25" s="1"/>
  <c r="CT138" i="25"/>
  <c r="CL138" i="25"/>
  <c r="CK138" i="25"/>
  <c r="CC138" i="25"/>
  <c r="CD138" i="25" s="1"/>
  <c r="BX138" i="25"/>
  <c r="BW138" i="25"/>
  <c r="BV138" i="25"/>
  <c r="BU138" i="25"/>
  <c r="BT138" i="25"/>
  <c r="BR138" i="25"/>
  <c r="BQ138" i="25"/>
  <c r="G138" i="25"/>
  <c r="DR137" i="25"/>
  <c r="DQ137" i="25"/>
  <c r="DP137" i="25"/>
  <c r="DO137" i="25"/>
  <c r="DN137" i="25"/>
  <c r="DM137" i="25"/>
  <c r="DL137" i="25"/>
  <c r="CQ137" i="25" s="1"/>
  <c r="CR137" i="25" s="1"/>
  <c r="DK137" i="25"/>
  <c r="DJ137" i="25"/>
  <c r="DG137" i="25"/>
  <c r="DE137" i="25"/>
  <c r="DD137" i="25"/>
  <c r="DC137" i="25"/>
  <c r="CW137" i="25"/>
  <c r="CV137" i="25"/>
  <c r="CU137" i="25"/>
  <c r="DB137" i="25" s="1"/>
  <c r="CT137" i="25"/>
  <c r="CL137" i="25"/>
  <c r="CK137" i="25"/>
  <c r="CC137" i="25"/>
  <c r="CD137" i="25" s="1"/>
  <c r="BX137" i="25"/>
  <c r="BW137" i="25"/>
  <c r="BV137" i="25"/>
  <c r="BU137" i="25"/>
  <c r="BT137" i="25"/>
  <c r="BR137" i="25"/>
  <c r="BQ137" i="25"/>
  <c r="G137" i="25"/>
  <c r="DR136" i="25"/>
  <c r="DQ136" i="25"/>
  <c r="DP136" i="25"/>
  <c r="DO136" i="25"/>
  <c r="DN136" i="25"/>
  <c r="DM136" i="25"/>
  <c r="DL136" i="25"/>
  <c r="DK136" i="25"/>
  <c r="DJ136" i="25"/>
  <c r="DG136" i="25"/>
  <c r="DE136" i="25"/>
  <c r="DH136" i="25" s="1"/>
  <c r="DD136" i="25"/>
  <c r="DC136" i="25"/>
  <c r="CW136" i="25"/>
  <c r="CV136" i="25"/>
  <c r="CU136" i="25"/>
  <c r="CT136" i="25"/>
  <c r="CL136" i="25"/>
  <c r="CK136" i="25"/>
  <c r="CC136" i="25"/>
  <c r="CD136" i="25" s="1"/>
  <c r="BX136" i="25"/>
  <c r="BW136" i="25"/>
  <c r="BV136" i="25"/>
  <c r="BU136" i="25"/>
  <c r="BT136" i="25"/>
  <c r="BR136" i="25"/>
  <c r="BQ136" i="25"/>
  <c r="G136" i="25"/>
  <c r="DR135" i="25"/>
  <c r="DQ135" i="25"/>
  <c r="DP135" i="25"/>
  <c r="DO135" i="25"/>
  <c r="DN135" i="25"/>
  <c r="DM135" i="25"/>
  <c r="DL135" i="25"/>
  <c r="CQ135" i="25" s="1"/>
  <c r="CR135" i="25" s="1"/>
  <c r="DK135" i="25"/>
  <c r="DJ135" i="25"/>
  <c r="DG135" i="25"/>
  <c r="DE135" i="25"/>
  <c r="DH135" i="25" s="1"/>
  <c r="DD135" i="25"/>
  <c r="DC135" i="25"/>
  <c r="CW135" i="25"/>
  <c r="CV135" i="25"/>
  <c r="CU135" i="25"/>
  <c r="DB135" i="25" s="1"/>
  <c r="CT135" i="25"/>
  <c r="CL135" i="25"/>
  <c r="CK135" i="25"/>
  <c r="CC135" i="25"/>
  <c r="CD135" i="25" s="1"/>
  <c r="BX135" i="25"/>
  <c r="BW135" i="25"/>
  <c r="BV135" i="25"/>
  <c r="BU135" i="25"/>
  <c r="BT135" i="25"/>
  <c r="BR135" i="25"/>
  <c r="BQ135" i="25"/>
  <c r="G135" i="25"/>
  <c r="DR134" i="25"/>
  <c r="DQ134" i="25"/>
  <c r="DP134" i="25"/>
  <c r="DO134" i="25"/>
  <c r="DN134" i="25"/>
  <c r="DM134" i="25"/>
  <c r="DL134" i="25"/>
  <c r="CQ134" i="25" s="1"/>
  <c r="CR134" i="25" s="1"/>
  <c r="DK134" i="25"/>
  <c r="DJ134" i="25"/>
  <c r="DG134" i="25"/>
  <c r="DE134" i="25"/>
  <c r="DD134" i="25"/>
  <c r="DC134" i="25"/>
  <c r="CW134" i="25"/>
  <c r="CV134" i="25"/>
  <c r="CU134" i="25"/>
  <c r="DB134" i="25" s="1"/>
  <c r="CT134" i="25"/>
  <c r="CL134" i="25"/>
  <c r="CK134" i="25"/>
  <c r="CC134" i="25"/>
  <c r="CD134" i="25" s="1"/>
  <c r="BX134" i="25"/>
  <c r="BW134" i="25"/>
  <c r="BV134" i="25"/>
  <c r="BU134" i="25"/>
  <c r="BT134" i="25"/>
  <c r="BR134" i="25"/>
  <c r="BQ134" i="25"/>
  <c r="G134" i="25"/>
  <c r="DR133" i="25"/>
  <c r="DQ133" i="25"/>
  <c r="DP133" i="25"/>
  <c r="DO133" i="25"/>
  <c r="DN133" i="25"/>
  <c r="DM133" i="25"/>
  <c r="DL133" i="25"/>
  <c r="DK133" i="25"/>
  <c r="DJ133" i="25"/>
  <c r="DG133" i="25"/>
  <c r="DE133" i="25"/>
  <c r="DH133" i="25" s="1"/>
  <c r="DD133" i="25"/>
  <c r="DC133" i="25"/>
  <c r="CW133" i="25"/>
  <c r="CV133" i="25"/>
  <c r="CU133" i="25"/>
  <c r="CT133" i="25"/>
  <c r="CL133" i="25"/>
  <c r="CK133" i="25"/>
  <c r="CC133" i="25"/>
  <c r="CD133" i="25" s="1"/>
  <c r="BX133" i="25"/>
  <c r="BW133" i="25"/>
  <c r="BV133" i="25"/>
  <c r="BU133" i="25"/>
  <c r="BT133" i="25"/>
  <c r="BR133" i="25"/>
  <c r="BQ133" i="25"/>
  <c r="G133" i="25"/>
  <c r="DR132" i="25"/>
  <c r="DQ132" i="25"/>
  <c r="DP132" i="25"/>
  <c r="DO132" i="25"/>
  <c r="DN132" i="25"/>
  <c r="DM132" i="25"/>
  <c r="DL132" i="25"/>
  <c r="CO132" i="25" s="1"/>
  <c r="DK132" i="25"/>
  <c r="DJ132" i="25"/>
  <c r="DG132" i="25"/>
  <c r="DE132" i="25"/>
  <c r="DH132" i="25" s="1"/>
  <c r="DD132" i="25"/>
  <c r="DC132" i="25"/>
  <c r="CW132" i="25"/>
  <c r="CV132" i="25"/>
  <c r="CU132" i="25"/>
  <c r="DB132" i="25" s="1"/>
  <c r="CT132" i="25"/>
  <c r="CL132" i="25"/>
  <c r="CK132" i="25"/>
  <c r="CC132" i="25"/>
  <c r="BX132" i="25"/>
  <c r="BW132" i="25"/>
  <c r="BV132" i="25"/>
  <c r="BU132" i="25"/>
  <c r="BT132" i="25"/>
  <c r="BR132" i="25"/>
  <c r="BQ132" i="25"/>
  <c r="G132" i="25"/>
  <c r="DR131" i="25"/>
  <c r="DQ131" i="25"/>
  <c r="DP131" i="25"/>
  <c r="DO131" i="25"/>
  <c r="DN131" i="25"/>
  <c r="DM131" i="25"/>
  <c r="DL131" i="25"/>
  <c r="CO131" i="25" s="1"/>
  <c r="DK131" i="25"/>
  <c r="DJ131" i="25"/>
  <c r="DG131" i="25"/>
  <c r="DE131" i="25"/>
  <c r="DH131" i="25" s="1"/>
  <c r="DD131" i="25"/>
  <c r="DC131" i="25"/>
  <c r="CW131" i="25"/>
  <c r="CV131" i="25"/>
  <c r="CU131" i="25"/>
  <c r="DB131" i="25" s="1"/>
  <c r="CT131" i="25"/>
  <c r="CL131" i="25"/>
  <c r="CK131" i="25"/>
  <c r="CC131" i="25"/>
  <c r="CD131" i="25" s="1"/>
  <c r="BX131" i="25"/>
  <c r="BW131" i="25"/>
  <c r="BV131" i="25"/>
  <c r="BU131" i="25"/>
  <c r="BT131" i="25"/>
  <c r="BR131" i="25"/>
  <c r="BQ131" i="25"/>
  <c r="G131" i="25"/>
  <c r="DR130" i="25"/>
  <c r="DQ130" i="25"/>
  <c r="DP130" i="25"/>
  <c r="DO130" i="25"/>
  <c r="DN130" i="25"/>
  <c r="DM130" i="25"/>
  <c r="DL130" i="25"/>
  <c r="CQ130" i="25" s="1"/>
  <c r="CR130" i="25" s="1"/>
  <c r="DK130" i="25"/>
  <c r="DJ130" i="25"/>
  <c r="DG130" i="25"/>
  <c r="DE130" i="25"/>
  <c r="DD130" i="25"/>
  <c r="DC130" i="25"/>
  <c r="CW130" i="25"/>
  <c r="CV130" i="25"/>
  <c r="CU130" i="25"/>
  <c r="DB130" i="25" s="1"/>
  <c r="CT130" i="25"/>
  <c r="CL130" i="25"/>
  <c r="CK130" i="25"/>
  <c r="CC130" i="25"/>
  <c r="CD130" i="25" s="1"/>
  <c r="BX130" i="25"/>
  <c r="BW130" i="25"/>
  <c r="BV130" i="25"/>
  <c r="BU130" i="25"/>
  <c r="BT130" i="25"/>
  <c r="BR130" i="25"/>
  <c r="BQ130" i="25"/>
  <c r="G130" i="25"/>
  <c r="DR129" i="25"/>
  <c r="DQ129" i="25"/>
  <c r="DP129" i="25"/>
  <c r="DO129" i="25"/>
  <c r="DN129" i="25"/>
  <c r="DM129" i="25"/>
  <c r="DL129" i="25"/>
  <c r="DK129" i="25"/>
  <c r="DJ129" i="25"/>
  <c r="DG129" i="25"/>
  <c r="DE129" i="25"/>
  <c r="DH129" i="25" s="1"/>
  <c r="DD129" i="25"/>
  <c r="DC129" i="25"/>
  <c r="CW129" i="25"/>
  <c r="CV129" i="25"/>
  <c r="CU129" i="25"/>
  <c r="CT129" i="25"/>
  <c r="CL129" i="25"/>
  <c r="CK129" i="25"/>
  <c r="CC129" i="25"/>
  <c r="CD129" i="25" s="1"/>
  <c r="BX129" i="25"/>
  <c r="BW129" i="25"/>
  <c r="BV129" i="25"/>
  <c r="BU129" i="25"/>
  <c r="BT129" i="25"/>
  <c r="BR129" i="25"/>
  <c r="BQ129" i="25"/>
  <c r="G129" i="25"/>
  <c r="DR128" i="25"/>
  <c r="DQ128" i="25"/>
  <c r="DP128" i="25"/>
  <c r="DO128" i="25"/>
  <c r="DN128" i="25"/>
  <c r="DM128" i="25"/>
  <c r="DL128" i="25"/>
  <c r="CO128" i="25" s="1"/>
  <c r="DK128" i="25"/>
  <c r="DJ128" i="25"/>
  <c r="DG128" i="25"/>
  <c r="DE128" i="25"/>
  <c r="DH128" i="25" s="1"/>
  <c r="DD128" i="25"/>
  <c r="DC128" i="25"/>
  <c r="CW128" i="25"/>
  <c r="CV128" i="25"/>
  <c r="CU128" i="25"/>
  <c r="DB128" i="25" s="1"/>
  <c r="CT128" i="25"/>
  <c r="CL128" i="25"/>
  <c r="CK128" i="25"/>
  <c r="CC128" i="25"/>
  <c r="BX128" i="25"/>
  <c r="BW128" i="25"/>
  <c r="BV128" i="25"/>
  <c r="BU128" i="25"/>
  <c r="BT128" i="25"/>
  <c r="BR128" i="25"/>
  <c r="BQ128" i="25"/>
  <c r="G128" i="25"/>
  <c r="DR127" i="25"/>
  <c r="DQ127" i="25"/>
  <c r="DP127" i="25"/>
  <c r="DO127" i="25"/>
  <c r="DN127" i="25"/>
  <c r="DM127" i="25"/>
  <c r="DL127" i="25"/>
  <c r="CQ127" i="25" s="1"/>
  <c r="CR127" i="25" s="1"/>
  <c r="DK127" i="25"/>
  <c r="DJ127" i="25"/>
  <c r="DG127" i="25"/>
  <c r="DE127" i="25"/>
  <c r="DH127" i="25" s="1"/>
  <c r="DD127" i="25"/>
  <c r="DC127" i="25"/>
  <c r="CW127" i="25"/>
  <c r="CV127" i="25"/>
  <c r="CU127" i="25"/>
  <c r="DB127" i="25" s="1"/>
  <c r="CT127" i="25"/>
  <c r="CL127" i="25"/>
  <c r="CK127" i="25"/>
  <c r="CC127" i="25"/>
  <c r="CD127" i="25" s="1"/>
  <c r="BX127" i="25"/>
  <c r="BW127" i="25"/>
  <c r="BV127" i="25"/>
  <c r="BU127" i="25"/>
  <c r="BT127" i="25"/>
  <c r="BR127" i="25"/>
  <c r="BQ127" i="25"/>
  <c r="G127" i="25"/>
  <c r="DR126" i="25"/>
  <c r="DQ126" i="25"/>
  <c r="DP126" i="25"/>
  <c r="DO126" i="25"/>
  <c r="DN126" i="25"/>
  <c r="DM126" i="25"/>
  <c r="DL126" i="25"/>
  <c r="CQ126" i="25" s="1"/>
  <c r="CR126" i="25" s="1"/>
  <c r="DK126" i="25"/>
  <c r="DJ126" i="25"/>
  <c r="DG126" i="25"/>
  <c r="DE126" i="25"/>
  <c r="DF126" i="25" s="1"/>
  <c r="DD126" i="25"/>
  <c r="DC126" i="25"/>
  <c r="CW126" i="25"/>
  <c r="CV126" i="25"/>
  <c r="CU126" i="25"/>
  <c r="DB126" i="25" s="1"/>
  <c r="CT126" i="25"/>
  <c r="CL126" i="25"/>
  <c r="CK126" i="25"/>
  <c r="CC126" i="25"/>
  <c r="CD126" i="25" s="1"/>
  <c r="BX126" i="25"/>
  <c r="BW126" i="25"/>
  <c r="BV126" i="25"/>
  <c r="BU126" i="25"/>
  <c r="BT126" i="25"/>
  <c r="BR126" i="25"/>
  <c r="BQ126" i="25"/>
  <c r="G126" i="25"/>
  <c r="DR125" i="25"/>
  <c r="DQ125" i="25"/>
  <c r="DP125" i="25"/>
  <c r="DO125" i="25"/>
  <c r="DN125" i="25"/>
  <c r="DM125" i="25"/>
  <c r="DL125" i="25"/>
  <c r="DK125" i="25"/>
  <c r="DJ125" i="25"/>
  <c r="DG125" i="25"/>
  <c r="DE125" i="25"/>
  <c r="DF125" i="25" s="1"/>
  <c r="DD125" i="25"/>
  <c r="DC125" i="25"/>
  <c r="CW125" i="25"/>
  <c r="CV125" i="25"/>
  <c r="CU125" i="25"/>
  <c r="CT125" i="25"/>
  <c r="CL125" i="25"/>
  <c r="CK125" i="25"/>
  <c r="CC125" i="25"/>
  <c r="CD125" i="25" s="1"/>
  <c r="BX125" i="25"/>
  <c r="BW125" i="25"/>
  <c r="BV125" i="25"/>
  <c r="BU125" i="25"/>
  <c r="BT125" i="25"/>
  <c r="BR125" i="25"/>
  <c r="BQ125" i="25"/>
  <c r="G125" i="25"/>
  <c r="DR124" i="25"/>
  <c r="DQ124" i="25"/>
  <c r="DP124" i="25"/>
  <c r="DO124" i="25"/>
  <c r="DN124" i="25"/>
  <c r="DM124" i="25"/>
  <c r="DL124" i="25"/>
  <c r="CO124" i="25" s="1"/>
  <c r="DK124" i="25"/>
  <c r="DJ124" i="25"/>
  <c r="DG124" i="25"/>
  <c r="DE124" i="25"/>
  <c r="DF124" i="25" s="1"/>
  <c r="DD124" i="25"/>
  <c r="DC124" i="25"/>
  <c r="CW124" i="25"/>
  <c r="CV124" i="25"/>
  <c r="CU124" i="25"/>
  <c r="DB124" i="25" s="1"/>
  <c r="CT124" i="25"/>
  <c r="CL124" i="25"/>
  <c r="CK124" i="25"/>
  <c r="CC124" i="25"/>
  <c r="BX124" i="25"/>
  <c r="BW124" i="25"/>
  <c r="BV124" i="25"/>
  <c r="BU124" i="25"/>
  <c r="BT124" i="25"/>
  <c r="BR124" i="25"/>
  <c r="BQ124" i="25"/>
  <c r="G124" i="25"/>
  <c r="DR123" i="25"/>
  <c r="DQ123" i="25"/>
  <c r="DP123" i="25"/>
  <c r="DO123" i="25"/>
  <c r="DN123" i="25"/>
  <c r="DM123" i="25"/>
  <c r="DL123" i="25"/>
  <c r="CQ123" i="25" s="1"/>
  <c r="CR123" i="25" s="1"/>
  <c r="DK123" i="25"/>
  <c r="DJ123" i="25"/>
  <c r="DG123" i="25"/>
  <c r="DE123" i="25"/>
  <c r="DH123" i="25" s="1"/>
  <c r="DD123" i="25"/>
  <c r="DC123" i="25"/>
  <c r="CW123" i="25"/>
  <c r="CV123" i="25"/>
  <c r="CU123" i="25"/>
  <c r="DB123" i="25" s="1"/>
  <c r="CT123" i="25"/>
  <c r="CL123" i="25"/>
  <c r="CK123" i="25"/>
  <c r="CC123" i="25"/>
  <c r="CD123" i="25" s="1"/>
  <c r="BX123" i="25"/>
  <c r="BW123" i="25"/>
  <c r="BV123" i="25"/>
  <c r="BU123" i="25"/>
  <c r="BT123" i="25"/>
  <c r="BR123" i="25"/>
  <c r="BQ123" i="25"/>
  <c r="G123" i="25"/>
  <c r="DR122" i="25"/>
  <c r="DQ122" i="25"/>
  <c r="DP122" i="25"/>
  <c r="DO122" i="25"/>
  <c r="DN122" i="25"/>
  <c r="DM122" i="25"/>
  <c r="DL122" i="25"/>
  <c r="CQ122" i="25" s="1"/>
  <c r="CR122" i="25" s="1"/>
  <c r="DK122" i="25"/>
  <c r="DJ122" i="25"/>
  <c r="DG122" i="25"/>
  <c r="DE122" i="25"/>
  <c r="DF122" i="25" s="1"/>
  <c r="DD122" i="25"/>
  <c r="DC122" i="25"/>
  <c r="CW122" i="25"/>
  <c r="CV122" i="25"/>
  <c r="CU122" i="25"/>
  <c r="DB122" i="25" s="1"/>
  <c r="CT122" i="25"/>
  <c r="CL122" i="25"/>
  <c r="CK122" i="25"/>
  <c r="CC122" i="25"/>
  <c r="CD122" i="25" s="1"/>
  <c r="BX122" i="25"/>
  <c r="BW122" i="25"/>
  <c r="BV122" i="25"/>
  <c r="BU122" i="25"/>
  <c r="BT122" i="25"/>
  <c r="BR122" i="25"/>
  <c r="BQ122" i="25"/>
  <c r="G122" i="25"/>
  <c r="DR121" i="25"/>
  <c r="DQ121" i="25"/>
  <c r="DP121" i="25"/>
  <c r="DO121" i="25"/>
  <c r="DN121" i="25"/>
  <c r="DM121" i="25"/>
  <c r="DL121" i="25"/>
  <c r="DK121" i="25"/>
  <c r="DJ121" i="25"/>
  <c r="DG121" i="25"/>
  <c r="DE121" i="25"/>
  <c r="DD121" i="25"/>
  <c r="DC121" i="25"/>
  <c r="CW121" i="25"/>
  <c r="CV121" i="25"/>
  <c r="CU121" i="25"/>
  <c r="CT121" i="25"/>
  <c r="CL121" i="25"/>
  <c r="CK121" i="25"/>
  <c r="CC121" i="25"/>
  <c r="CD121" i="25" s="1"/>
  <c r="BX121" i="25"/>
  <c r="BW121" i="25"/>
  <c r="BV121" i="25"/>
  <c r="BU121" i="25"/>
  <c r="BT121" i="25"/>
  <c r="BR121" i="25"/>
  <c r="BQ121" i="25"/>
  <c r="G121" i="25"/>
  <c r="DR120" i="25"/>
  <c r="DQ120" i="25"/>
  <c r="DP120" i="25"/>
  <c r="DO120" i="25"/>
  <c r="DN120" i="25"/>
  <c r="DM120" i="25"/>
  <c r="DL120" i="25"/>
  <c r="DK120" i="25"/>
  <c r="DJ120" i="25"/>
  <c r="DG120" i="25"/>
  <c r="DE120" i="25"/>
  <c r="DH120" i="25" s="1"/>
  <c r="DD120" i="25"/>
  <c r="DC120" i="25"/>
  <c r="CW120" i="25"/>
  <c r="CV120" i="25"/>
  <c r="CU120" i="25"/>
  <c r="DB120" i="25" s="1"/>
  <c r="CT120" i="25"/>
  <c r="CL120" i="25"/>
  <c r="CK120" i="25"/>
  <c r="CC120" i="25"/>
  <c r="BX120" i="25"/>
  <c r="BW120" i="25"/>
  <c r="BV120" i="25"/>
  <c r="BU120" i="25"/>
  <c r="BT120" i="25"/>
  <c r="BR120" i="25"/>
  <c r="BQ120" i="25"/>
  <c r="G120" i="25"/>
  <c r="DR119" i="25"/>
  <c r="DQ119" i="25"/>
  <c r="DP119" i="25"/>
  <c r="DO119" i="25"/>
  <c r="DN119" i="25"/>
  <c r="DM119" i="25"/>
  <c r="DL119" i="25"/>
  <c r="CQ119" i="25" s="1"/>
  <c r="CR119" i="25" s="1"/>
  <c r="DK119" i="25"/>
  <c r="DJ119" i="25"/>
  <c r="DG119" i="25"/>
  <c r="DE119" i="25"/>
  <c r="DH119" i="25" s="1"/>
  <c r="DD119" i="25"/>
  <c r="DC119" i="25"/>
  <c r="CW119" i="25"/>
  <c r="CV119" i="25"/>
  <c r="CU119" i="25"/>
  <c r="DB119" i="25" s="1"/>
  <c r="CT119" i="25"/>
  <c r="CL119" i="25"/>
  <c r="CK119" i="25"/>
  <c r="CC119" i="25"/>
  <c r="CD119" i="25" s="1"/>
  <c r="BX119" i="25"/>
  <c r="BW119" i="25"/>
  <c r="BV119" i="25"/>
  <c r="BU119" i="25"/>
  <c r="BT119" i="25"/>
  <c r="BR119" i="25"/>
  <c r="BQ119" i="25"/>
  <c r="G119" i="25"/>
  <c r="DR118" i="25"/>
  <c r="DQ118" i="25"/>
  <c r="DP118" i="25"/>
  <c r="DO118" i="25"/>
  <c r="DN118" i="25"/>
  <c r="DM118" i="25"/>
  <c r="DL118" i="25"/>
  <c r="CP118" i="25" s="1"/>
  <c r="DK118" i="25"/>
  <c r="DJ118" i="25"/>
  <c r="DG118" i="25"/>
  <c r="DE118" i="25"/>
  <c r="DF118" i="25" s="1"/>
  <c r="DD118" i="25"/>
  <c r="DC118" i="25"/>
  <c r="CW118" i="25"/>
  <c r="CV118" i="25"/>
  <c r="CU118" i="25"/>
  <c r="DB118" i="25" s="1"/>
  <c r="CT118" i="25"/>
  <c r="CL118" i="25"/>
  <c r="CK118" i="25"/>
  <c r="CC118" i="25"/>
  <c r="CD118" i="25" s="1"/>
  <c r="BX118" i="25"/>
  <c r="BW118" i="25"/>
  <c r="BV118" i="25"/>
  <c r="BU118" i="25"/>
  <c r="BT118" i="25"/>
  <c r="BR118" i="25"/>
  <c r="BQ118" i="25"/>
  <c r="G118" i="25"/>
  <c r="DR117" i="25"/>
  <c r="DQ117" i="25"/>
  <c r="DP117" i="25"/>
  <c r="DO117" i="25"/>
  <c r="DN117" i="25"/>
  <c r="DM117" i="25"/>
  <c r="DL117" i="25"/>
  <c r="CP117" i="25" s="1"/>
  <c r="DK117" i="25"/>
  <c r="DJ117" i="25"/>
  <c r="DG117" i="25"/>
  <c r="DE117" i="25"/>
  <c r="DH117" i="25" s="1"/>
  <c r="DD117" i="25"/>
  <c r="DC117" i="25"/>
  <c r="CW117" i="25"/>
  <c r="CV117" i="25"/>
  <c r="CU117" i="25"/>
  <c r="DB117" i="25" s="1"/>
  <c r="CT117" i="25"/>
  <c r="CL117" i="25"/>
  <c r="CK117" i="25"/>
  <c r="CC117" i="25"/>
  <c r="BX117" i="25"/>
  <c r="BW117" i="25"/>
  <c r="BV117" i="25"/>
  <c r="BU117" i="25"/>
  <c r="BT117" i="25"/>
  <c r="BR117" i="25"/>
  <c r="BQ117" i="25"/>
  <c r="G117" i="25"/>
  <c r="DR116" i="25"/>
  <c r="DQ116" i="25"/>
  <c r="DP116" i="25"/>
  <c r="DO116" i="25"/>
  <c r="DN116" i="25"/>
  <c r="DM116" i="25"/>
  <c r="DL116" i="25"/>
  <c r="CO116" i="25" s="1"/>
  <c r="DK116" i="25"/>
  <c r="DJ116" i="25"/>
  <c r="DG116" i="25"/>
  <c r="DE116" i="25"/>
  <c r="DF116" i="25" s="1"/>
  <c r="DD116" i="25"/>
  <c r="DC116" i="25"/>
  <c r="CW116" i="25"/>
  <c r="CV116" i="25"/>
  <c r="CU116" i="25"/>
  <c r="DB116" i="25" s="1"/>
  <c r="CT116" i="25"/>
  <c r="CL116" i="25"/>
  <c r="CK116" i="25"/>
  <c r="CC116" i="25"/>
  <c r="CD116" i="25" s="1"/>
  <c r="BX116" i="25"/>
  <c r="BW116" i="25"/>
  <c r="BV116" i="25"/>
  <c r="BU116" i="25"/>
  <c r="BT116" i="25"/>
  <c r="BR116" i="25"/>
  <c r="BQ116" i="25"/>
  <c r="G116" i="25"/>
  <c r="DR115" i="25"/>
  <c r="DQ115" i="25"/>
  <c r="DP115" i="25"/>
  <c r="DO115" i="25"/>
  <c r="DN115" i="25"/>
  <c r="DM115" i="25"/>
  <c r="DL115" i="25"/>
  <c r="DK115" i="25"/>
  <c r="DJ115" i="25"/>
  <c r="DG115" i="25"/>
  <c r="DE115" i="25"/>
  <c r="DH115" i="25" s="1"/>
  <c r="DD115" i="25"/>
  <c r="DC115" i="25"/>
  <c r="CW115" i="25"/>
  <c r="CV115" i="25"/>
  <c r="CU115" i="25"/>
  <c r="DB115" i="25" s="1"/>
  <c r="CT115" i="25"/>
  <c r="CL115" i="25"/>
  <c r="CK115" i="25"/>
  <c r="CC115" i="25"/>
  <c r="CD115" i="25" s="1"/>
  <c r="BX115" i="25"/>
  <c r="BW115" i="25"/>
  <c r="BV115" i="25"/>
  <c r="BU115" i="25"/>
  <c r="BT115" i="25"/>
  <c r="BR115" i="25"/>
  <c r="BQ115" i="25"/>
  <c r="G115" i="25"/>
  <c r="DR114" i="25"/>
  <c r="DQ114" i="25"/>
  <c r="DP114" i="25"/>
  <c r="DO114" i="25"/>
  <c r="DN114" i="25"/>
  <c r="DM114" i="25"/>
  <c r="DL114" i="25"/>
  <c r="CP114" i="25" s="1"/>
  <c r="DK114" i="25"/>
  <c r="DJ114" i="25"/>
  <c r="DG114" i="25"/>
  <c r="DE114" i="25"/>
  <c r="DH114" i="25" s="1"/>
  <c r="DD114" i="25"/>
  <c r="DC114" i="25"/>
  <c r="CW114" i="25"/>
  <c r="CV114" i="25"/>
  <c r="CU114" i="25"/>
  <c r="DB114" i="25" s="1"/>
  <c r="CT114" i="25"/>
  <c r="CL114" i="25"/>
  <c r="CK114" i="25"/>
  <c r="CC114" i="25"/>
  <c r="CD114" i="25" s="1"/>
  <c r="BX114" i="25"/>
  <c r="BW114" i="25"/>
  <c r="BV114" i="25"/>
  <c r="BU114" i="25"/>
  <c r="BT114" i="25"/>
  <c r="BR114" i="25"/>
  <c r="BQ114" i="25"/>
  <c r="G114" i="25"/>
  <c r="DR113" i="25"/>
  <c r="DQ113" i="25"/>
  <c r="DP113" i="25"/>
  <c r="DO113" i="25"/>
  <c r="DN113" i="25"/>
  <c r="DM113" i="25"/>
  <c r="DL113" i="25"/>
  <c r="CP113" i="25" s="1"/>
  <c r="DK113" i="25"/>
  <c r="DJ113" i="25"/>
  <c r="DG113" i="25"/>
  <c r="DE113" i="25"/>
  <c r="DH113" i="25" s="1"/>
  <c r="DD113" i="25"/>
  <c r="DC113" i="25"/>
  <c r="CW113" i="25"/>
  <c r="CV113" i="25"/>
  <c r="CU113" i="25"/>
  <c r="DB113" i="25" s="1"/>
  <c r="CT113" i="25"/>
  <c r="CL113" i="25"/>
  <c r="CK113" i="25"/>
  <c r="CC113" i="25"/>
  <c r="BX113" i="25"/>
  <c r="BW113" i="25"/>
  <c r="BV113" i="25"/>
  <c r="BU113" i="25"/>
  <c r="BT113" i="25"/>
  <c r="BR113" i="25"/>
  <c r="BQ113" i="25"/>
  <c r="G113" i="25"/>
  <c r="DR112" i="25"/>
  <c r="DQ112" i="25"/>
  <c r="DP112" i="25"/>
  <c r="DO112" i="25"/>
  <c r="DN112" i="25"/>
  <c r="DM112" i="25"/>
  <c r="DL112" i="25"/>
  <c r="DK112" i="25"/>
  <c r="DJ112" i="25"/>
  <c r="DG112" i="25"/>
  <c r="DE112" i="25"/>
  <c r="DF112" i="25" s="1"/>
  <c r="DD112" i="25"/>
  <c r="DC112" i="25"/>
  <c r="CW112" i="25"/>
  <c r="CV112" i="25"/>
  <c r="CU112" i="25"/>
  <c r="DB112" i="25" s="1"/>
  <c r="CT112" i="25"/>
  <c r="CL112" i="25"/>
  <c r="CK112" i="25"/>
  <c r="CC112" i="25"/>
  <c r="CD112" i="25" s="1"/>
  <c r="BX112" i="25"/>
  <c r="BW112" i="25"/>
  <c r="BV112" i="25"/>
  <c r="BU112" i="25"/>
  <c r="BT112" i="25"/>
  <c r="BR112" i="25"/>
  <c r="BQ112" i="25"/>
  <c r="G112" i="25"/>
  <c r="DR111" i="25"/>
  <c r="DQ111" i="25"/>
  <c r="DP111" i="25"/>
  <c r="DO111" i="25"/>
  <c r="DN111" i="25"/>
  <c r="DM111" i="25"/>
  <c r="DL111" i="25"/>
  <c r="CO111" i="25" s="1"/>
  <c r="DK111" i="25"/>
  <c r="DJ111" i="25"/>
  <c r="DG111" i="25"/>
  <c r="DE111" i="25"/>
  <c r="DH111" i="25" s="1"/>
  <c r="DD111" i="25"/>
  <c r="DC111" i="25"/>
  <c r="CW111" i="25"/>
  <c r="CV111" i="25"/>
  <c r="CU111" i="25"/>
  <c r="DB111" i="25" s="1"/>
  <c r="CT111" i="25"/>
  <c r="CL111" i="25"/>
  <c r="CK111" i="25"/>
  <c r="CC111" i="25"/>
  <c r="CD111" i="25" s="1"/>
  <c r="BX111" i="25"/>
  <c r="BW111" i="25"/>
  <c r="BV111" i="25"/>
  <c r="BU111" i="25"/>
  <c r="BT111" i="25"/>
  <c r="BR111" i="25"/>
  <c r="BQ111" i="25"/>
  <c r="G111" i="25"/>
  <c r="DR110" i="25"/>
  <c r="DQ110" i="25"/>
  <c r="DP110" i="25"/>
  <c r="DO110" i="25"/>
  <c r="DN110" i="25"/>
  <c r="DM110" i="25"/>
  <c r="DL110" i="25"/>
  <c r="CQ110" i="25" s="1"/>
  <c r="CR110" i="25" s="1"/>
  <c r="DK110" i="25"/>
  <c r="DJ110" i="25"/>
  <c r="DG110" i="25"/>
  <c r="DE110" i="25"/>
  <c r="DF110" i="25" s="1"/>
  <c r="DD110" i="25"/>
  <c r="DC110" i="25"/>
  <c r="CW110" i="25"/>
  <c r="CV110" i="25"/>
  <c r="CU110" i="25"/>
  <c r="CT110" i="25"/>
  <c r="CL110" i="25"/>
  <c r="CK110" i="25"/>
  <c r="CC110" i="25"/>
  <c r="CD110" i="25" s="1"/>
  <c r="BX110" i="25"/>
  <c r="BW110" i="25"/>
  <c r="BV110" i="25"/>
  <c r="BU110" i="25"/>
  <c r="BT110" i="25"/>
  <c r="BR110" i="25"/>
  <c r="BQ110" i="25"/>
  <c r="G110" i="25"/>
  <c r="DR109" i="25"/>
  <c r="DQ109" i="25"/>
  <c r="DP109" i="25"/>
  <c r="DO109" i="25"/>
  <c r="DN109" i="25"/>
  <c r="DM109" i="25"/>
  <c r="DL109" i="25"/>
  <c r="CQ109" i="25" s="1"/>
  <c r="CR109" i="25" s="1"/>
  <c r="DK109" i="25"/>
  <c r="DJ109" i="25"/>
  <c r="DG109" i="25"/>
  <c r="DE109" i="25"/>
  <c r="DH109" i="25" s="1"/>
  <c r="DD109" i="25"/>
  <c r="DC109" i="25"/>
  <c r="CW109" i="25"/>
  <c r="CV109" i="25"/>
  <c r="CU109" i="25"/>
  <c r="CT109" i="25"/>
  <c r="CL109" i="25"/>
  <c r="CK109" i="25"/>
  <c r="CC109" i="25"/>
  <c r="BX109" i="25"/>
  <c r="BW109" i="25"/>
  <c r="BV109" i="25"/>
  <c r="BU109" i="25"/>
  <c r="BT109" i="25"/>
  <c r="BR109" i="25"/>
  <c r="BQ109" i="25"/>
  <c r="G109" i="25"/>
  <c r="DR108" i="25"/>
  <c r="DQ108" i="25"/>
  <c r="DP108" i="25"/>
  <c r="DO108" i="25"/>
  <c r="DN108" i="25"/>
  <c r="DM108" i="25"/>
  <c r="DL108" i="25"/>
  <c r="DK108" i="25"/>
  <c r="DJ108" i="25"/>
  <c r="DG108" i="25"/>
  <c r="DE108" i="25"/>
  <c r="DH108" i="25" s="1"/>
  <c r="DD108" i="25"/>
  <c r="DC108" i="25"/>
  <c r="CW108" i="25"/>
  <c r="CV108" i="25"/>
  <c r="CU108" i="25"/>
  <c r="DB108" i="25" s="1"/>
  <c r="CT108" i="25"/>
  <c r="CL108" i="25"/>
  <c r="CK108" i="25"/>
  <c r="CC108" i="25"/>
  <c r="CD108" i="25" s="1"/>
  <c r="BX108" i="25"/>
  <c r="BW108" i="25"/>
  <c r="BV108" i="25"/>
  <c r="BU108" i="25"/>
  <c r="BT108" i="25"/>
  <c r="BR108" i="25"/>
  <c r="BQ108" i="25"/>
  <c r="G108" i="25"/>
  <c r="DR107" i="25"/>
  <c r="DQ107" i="25"/>
  <c r="DP107" i="25"/>
  <c r="DO107" i="25"/>
  <c r="DN107" i="25"/>
  <c r="DM107" i="25"/>
  <c r="DL107" i="25"/>
  <c r="CP107" i="25" s="1"/>
  <c r="DK107" i="25"/>
  <c r="DJ107" i="25"/>
  <c r="DG107" i="25"/>
  <c r="DE107" i="25"/>
  <c r="DH107" i="25" s="1"/>
  <c r="DD107" i="25"/>
  <c r="DC107" i="25"/>
  <c r="CW107" i="25"/>
  <c r="CV107" i="25"/>
  <c r="CU107" i="25"/>
  <c r="DB107" i="25" s="1"/>
  <c r="CT107" i="25"/>
  <c r="CL107" i="25"/>
  <c r="CK107" i="25"/>
  <c r="CC107" i="25"/>
  <c r="CD107" i="25" s="1"/>
  <c r="BX107" i="25"/>
  <c r="BW107" i="25"/>
  <c r="BV107" i="25"/>
  <c r="BU107" i="25"/>
  <c r="BT107" i="25"/>
  <c r="BR107" i="25"/>
  <c r="BQ107" i="25"/>
  <c r="G107" i="25"/>
  <c r="DR106" i="25"/>
  <c r="DQ106" i="25"/>
  <c r="DP106" i="25"/>
  <c r="DO106" i="25"/>
  <c r="DN106" i="25"/>
  <c r="DM106" i="25"/>
  <c r="DL106" i="25"/>
  <c r="CQ106" i="25" s="1"/>
  <c r="CR106" i="25" s="1"/>
  <c r="DK106" i="25"/>
  <c r="DJ106" i="25"/>
  <c r="DG106" i="25"/>
  <c r="DE106" i="25"/>
  <c r="DF106" i="25" s="1"/>
  <c r="DD106" i="25"/>
  <c r="DC106" i="25"/>
  <c r="CW106" i="25"/>
  <c r="CV106" i="25"/>
  <c r="CU106" i="25"/>
  <c r="CT106" i="25"/>
  <c r="CL106" i="25"/>
  <c r="CK106" i="25"/>
  <c r="CC106" i="25"/>
  <c r="CD106" i="25" s="1"/>
  <c r="BX106" i="25"/>
  <c r="BW106" i="25"/>
  <c r="BV106" i="25"/>
  <c r="BU106" i="25"/>
  <c r="BT106" i="25"/>
  <c r="BR106" i="25"/>
  <c r="BQ106" i="25"/>
  <c r="G106" i="25"/>
  <c r="DR105" i="25"/>
  <c r="DQ105" i="25"/>
  <c r="DP105" i="25"/>
  <c r="DO105" i="25"/>
  <c r="DN105" i="25"/>
  <c r="DM105" i="25"/>
  <c r="DL105" i="25"/>
  <c r="CQ105" i="25" s="1"/>
  <c r="CR105" i="25" s="1"/>
  <c r="DK105" i="25"/>
  <c r="DJ105" i="25"/>
  <c r="DG105" i="25"/>
  <c r="DE105" i="25"/>
  <c r="DH105" i="25" s="1"/>
  <c r="DD105" i="25"/>
  <c r="DC105" i="25"/>
  <c r="CW105" i="25"/>
  <c r="CV105" i="25"/>
  <c r="CU105" i="25"/>
  <c r="CT105" i="25"/>
  <c r="CL105" i="25"/>
  <c r="CK105" i="25"/>
  <c r="CC105" i="25"/>
  <c r="BX105" i="25"/>
  <c r="BW105" i="25"/>
  <c r="BV105" i="25"/>
  <c r="BU105" i="25"/>
  <c r="BT105" i="25"/>
  <c r="BR105" i="25"/>
  <c r="BQ105" i="25"/>
  <c r="G105" i="25"/>
  <c r="DR104" i="25"/>
  <c r="DQ104" i="25"/>
  <c r="DP104" i="25"/>
  <c r="DO104" i="25"/>
  <c r="DN104" i="25"/>
  <c r="DM104" i="25"/>
  <c r="DL104" i="25"/>
  <c r="CO104" i="25" s="1"/>
  <c r="DK104" i="25"/>
  <c r="DJ104" i="25"/>
  <c r="DG104" i="25"/>
  <c r="DE104" i="25"/>
  <c r="DH104" i="25" s="1"/>
  <c r="DD104" i="25"/>
  <c r="DC104" i="25"/>
  <c r="CW104" i="25"/>
  <c r="CV104" i="25"/>
  <c r="CU104" i="25"/>
  <c r="DB104" i="25" s="1"/>
  <c r="CT104" i="25"/>
  <c r="CL104" i="25"/>
  <c r="CK104" i="25"/>
  <c r="CC104" i="25"/>
  <c r="CD104" i="25" s="1"/>
  <c r="BX104" i="25"/>
  <c r="BW104" i="25"/>
  <c r="BV104" i="25"/>
  <c r="BU104" i="25"/>
  <c r="BT104" i="25"/>
  <c r="BR104" i="25"/>
  <c r="BQ104" i="25"/>
  <c r="G104" i="25"/>
  <c r="DR103" i="25"/>
  <c r="DQ103" i="25"/>
  <c r="DP103" i="25"/>
  <c r="DO103" i="25"/>
  <c r="DN103" i="25"/>
  <c r="DM103" i="25"/>
  <c r="DL103" i="25"/>
  <c r="CP103" i="25" s="1"/>
  <c r="DK103" i="25"/>
  <c r="DJ103" i="25"/>
  <c r="DG103" i="25"/>
  <c r="DE103" i="25"/>
  <c r="DH103" i="25" s="1"/>
  <c r="DD103" i="25"/>
  <c r="DC103" i="25"/>
  <c r="CW103" i="25"/>
  <c r="CV103" i="25"/>
  <c r="CU103" i="25"/>
  <c r="DB103" i="25" s="1"/>
  <c r="CT103" i="25"/>
  <c r="CL103" i="25"/>
  <c r="CK103" i="25"/>
  <c r="CC103" i="25"/>
  <c r="BX103" i="25"/>
  <c r="BW103" i="25"/>
  <c r="BV103" i="25"/>
  <c r="BU103" i="25"/>
  <c r="BT103" i="25"/>
  <c r="BR103" i="25"/>
  <c r="BQ103" i="25"/>
  <c r="G103" i="25"/>
  <c r="DR102" i="25"/>
  <c r="DQ102" i="25"/>
  <c r="DP102" i="25"/>
  <c r="DO102" i="25"/>
  <c r="DN102" i="25"/>
  <c r="DM102" i="25"/>
  <c r="DL102" i="25"/>
  <c r="CQ102" i="25" s="1"/>
  <c r="CR102" i="25" s="1"/>
  <c r="DK102" i="25"/>
  <c r="DJ102" i="25"/>
  <c r="DG102" i="25"/>
  <c r="DE102" i="25"/>
  <c r="DF102" i="25" s="1"/>
  <c r="DD102" i="25"/>
  <c r="DC102" i="25"/>
  <c r="CW102" i="25"/>
  <c r="CV102" i="25"/>
  <c r="CU102" i="25"/>
  <c r="CT102" i="25"/>
  <c r="CL102" i="25"/>
  <c r="CK102" i="25"/>
  <c r="CC102" i="25"/>
  <c r="CD102" i="25" s="1"/>
  <c r="BX102" i="25"/>
  <c r="BW102" i="25"/>
  <c r="BV102" i="25"/>
  <c r="BU102" i="25"/>
  <c r="BT102" i="25"/>
  <c r="BR102" i="25"/>
  <c r="BQ102" i="25"/>
  <c r="G102" i="25"/>
  <c r="DR101" i="25"/>
  <c r="DQ101" i="25"/>
  <c r="DP101" i="25"/>
  <c r="DO101" i="25"/>
  <c r="DN101" i="25"/>
  <c r="DM101" i="25"/>
  <c r="DL101" i="25"/>
  <c r="CQ101" i="25" s="1"/>
  <c r="CR101" i="25" s="1"/>
  <c r="DK101" i="25"/>
  <c r="DJ101" i="25"/>
  <c r="DG101" i="25"/>
  <c r="DE101" i="25"/>
  <c r="DH101" i="25" s="1"/>
  <c r="DD101" i="25"/>
  <c r="DC101" i="25"/>
  <c r="CW101" i="25"/>
  <c r="CV101" i="25"/>
  <c r="CU101" i="25"/>
  <c r="CT101" i="25"/>
  <c r="CL101" i="25"/>
  <c r="CK101" i="25"/>
  <c r="CC101" i="25"/>
  <c r="BX101" i="25"/>
  <c r="BW101" i="25"/>
  <c r="BV101" i="25"/>
  <c r="BU101" i="25"/>
  <c r="BT101" i="25"/>
  <c r="BR101" i="25"/>
  <c r="BQ101" i="25"/>
  <c r="G101" i="25"/>
  <c r="DR100" i="25"/>
  <c r="DQ100" i="25"/>
  <c r="DP100" i="25"/>
  <c r="DO100" i="25"/>
  <c r="DN100" i="25"/>
  <c r="DM100" i="25"/>
  <c r="DL100" i="25"/>
  <c r="CO100" i="25" s="1"/>
  <c r="DK100" i="25"/>
  <c r="DJ100" i="25"/>
  <c r="DG100" i="25"/>
  <c r="DE100" i="25"/>
  <c r="DH100" i="25" s="1"/>
  <c r="DD100" i="25"/>
  <c r="DC100" i="25"/>
  <c r="CW100" i="25"/>
  <c r="CV100" i="25"/>
  <c r="CU100" i="25"/>
  <c r="DB100" i="25" s="1"/>
  <c r="CT100" i="25"/>
  <c r="CL100" i="25"/>
  <c r="CK100" i="25"/>
  <c r="CC100" i="25"/>
  <c r="CD100" i="25" s="1"/>
  <c r="BX100" i="25"/>
  <c r="BW100" i="25"/>
  <c r="BV100" i="25"/>
  <c r="BU100" i="25"/>
  <c r="BT100" i="25"/>
  <c r="BR100" i="25"/>
  <c r="BQ100" i="25"/>
  <c r="G100" i="25"/>
  <c r="DR99" i="25"/>
  <c r="DQ99" i="25"/>
  <c r="DP99" i="25"/>
  <c r="DO99" i="25"/>
  <c r="DN99" i="25"/>
  <c r="DM99" i="25"/>
  <c r="DL99" i="25"/>
  <c r="CP99" i="25" s="1"/>
  <c r="DK99" i="25"/>
  <c r="DJ99" i="25"/>
  <c r="DG99" i="25"/>
  <c r="DE99" i="25"/>
  <c r="DH99" i="25" s="1"/>
  <c r="DD99" i="25"/>
  <c r="DC99" i="25"/>
  <c r="CW99" i="25"/>
  <c r="CV99" i="25"/>
  <c r="CU99" i="25"/>
  <c r="DB99" i="25" s="1"/>
  <c r="CT99" i="25"/>
  <c r="CL99" i="25"/>
  <c r="CK99" i="25"/>
  <c r="CC99" i="25"/>
  <c r="BX99" i="25"/>
  <c r="BW99" i="25"/>
  <c r="BV99" i="25"/>
  <c r="BU99" i="25"/>
  <c r="BT99" i="25"/>
  <c r="BR99" i="25"/>
  <c r="BQ99" i="25"/>
  <c r="G99" i="25"/>
  <c r="DR98" i="25"/>
  <c r="DQ98" i="25"/>
  <c r="DP98" i="25"/>
  <c r="DO98" i="25"/>
  <c r="DN98" i="25"/>
  <c r="DM98" i="25"/>
  <c r="DL98" i="25"/>
  <c r="CQ98" i="25" s="1"/>
  <c r="CR98" i="25" s="1"/>
  <c r="DK98" i="25"/>
  <c r="DJ98" i="25"/>
  <c r="DG98" i="25"/>
  <c r="DE98" i="25"/>
  <c r="DF98" i="25" s="1"/>
  <c r="DD98" i="25"/>
  <c r="DC98" i="25"/>
  <c r="CW98" i="25"/>
  <c r="CV98" i="25"/>
  <c r="CU98" i="25"/>
  <c r="CT98" i="25"/>
  <c r="CL98" i="25"/>
  <c r="CK98" i="25"/>
  <c r="CC98" i="25"/>
  <c r="CD98" i="25" s="1"/>
  <c r="BX98" i="25"/>
  <c r="BW98" i="25"/>
  <c r="BV98" i="25"/>
  <c r="BU98" i="25"/>
  <c r="BT98" i="25"/>
  <c r="BR98" i="25"/>
  <c r="BQ98" i="25"/>
  <c r="G98" i="25"/>
  <c r="DR97" i="25"/>
  <c r="DQ97" i="25"/>
  <c r="DP97" i="25"/>
  <c r="DO97" i="25"/>
  <c r="DN97" i="25"/>
  <c r="DM97" i="25"/>
  <c r="DL97" i="25"/>
  <c r="CQ97" i="25" s="1"/>
  <c r="CR97" i="25" s="1"/>
  <c r="DK97" i="25"/>
  <c r="DJ97" i="25"/>
  <c r="DG97" i="25"/>
  <c r="DE97" i="25"/>
  <c r="DH97" i="25" s="1"/>
  <c r="DD97" i="25"/>
  <c r="DC97" i="25"/>
  <c r="CW97" i="25"/>
  <c r="CV97" i="25"/>
  <c r="CU97" i="25"/>
  <c r="CT97" i="25"/>
  <c r="CL97" i="25"/>
  <c r="CK97" i="25"/>
  <c r="CC97" i="25"/>
  <c r="BX97" i="25"/>
  <c r="BW97" i="25"/>
  <c r="BV97" i="25"/>
  <c r="BU97" i="25"/>
  <c r="BT97" i="25"/>
  <c r="BR97" i="25"/>
  <c r="BQ97" i="25"/>
  <c r="G97" i="25"/>
  <c r="DR96" i="25"/>
  <c r="DQ96" i="25"/>
  <c r="DP96" i="25"/>
  <c r="DO96" i="25"/>
  <c r="DN96" i="25"/>
  <c r="DM96" i="25"/>
  <c r="DL96" i="25"/>
  <c r="CO96" i="25" s="1"/>
  <c r="DK96" i="25"/>
  <c r="DJ96" i="25"/>
  <c r="DG96" i="25"/>
  <c r="DE96" i="25"/>
  <c r="DH96" i="25" s="1"/>
  <c r="DD96" i="25"/>
  <c r="DC96" i="25"/>
  <c r="CW96" i="25"/>
  <c r="CV96" i="25"/>
  <c r="CU96" i="25"/>
  <c r="DB96" i="25" s="1"/>
  <c r="CT96" i="25"/>
  <c r="CL96" i="25"/>
  <c r="CK96" i="25"/>
  <c r="CC96" i="25"/>
  <c r="CD96" i="25" s="1"/>
  <c r="BX96" i="25"/>
  <c r="BW96" i="25"/>
  <c r="BV96" i="25"/>
  <c r="BU96" i="25"/>
  <c r="BT96" i="25"/>
  <c r="BR96" i="25"/>
  <c r="BQ96" i="25"/>
  <c r="G96" i="25"/>
  <c r="DR95" i="25"/>
  <c r="DQ95" i="25"/>
  <c r="DP95" i="25"/>
  <c r="DO95" i="25"/>
  <c r="DN95" i="25"/>
  <c r="DM95" i="25"/>
  <c r="DL95" i="25"/>
  <c r="CP95" i="25" s="1"/>
  <c r="DK95" i="25"/>
  <c r="DJ95" i="25"/>
  <c r="DG95" i="25"/>
  <c r="DE95" i="25"/>
  <c r="DF95" i="25" s="1"/>
  <c r="DD95" i="25"/>
  <c r="DC95" i="25"/>
  <c r="CW95" i="25"/>
  <c r="CV95" i="25"/>
  <c r="CU95" i="25"/>
  <c r="DB95" i="25" s="1"/>
  <c r="CT95" i="25"/>
  <c r="CL95" i="25"/>
  <c r="CK95" i="25"/>
  <c r="CC95" i="25"/>
  <c r="CD95" i="25" s="1"/>
  <c r="BX95" i="25"/>
  <c r="BW95" i="25"/>
  <c r="BV95" i="25"/>
  <c r="BU95" i="25"/>
  <c r="BT95" i="25"/>
  <c r="BR95" i="25"/>
  <c r="BQ95" i="25"/>
  <c r="G95" i="25"/>
  <c r="DR94" i="25"/>
  <c r="DQ94" i="25"/>
  <c r="DP94" i="25"/>
  <c r="DO94" i="25"/>
  <c r="DN94" i="25"/>
  <c r="DM94" i="25"/>
  <c r="DL94" i="25"/>
  <c r="CQ94" i="25" s="1"/>
  <c r="CR94" i="25" s="1"/>
  <c r="DK94" i="25"/>
  <c r="DJ94" i="25"/>
  <c r="DG94" i="25"/>
  <c r="DE94" i="25"/>
  <c r="DH94" i="25" s="1"/>
  <c r="DD94" i="25"/>
  <c r="DC94" i="25"/>
  <c r="CW94" i="25"/>
  <c r="CV94" i="25"/>
  <c r="CU94" i="25"/>
  <c r="CT94" i="25"/>
  <c r="CL94" i="25"/>
  <c r="CK94" i="25"/>
  <c r="CC94" i="25"/>
  <c r="CD94" i="25" s="1"/>
  <c r="BX94" i="25"/>
  <c r="BW94" i="25"/>
  <c r="BV94" i="25"/>
  <c r="BU94" i="25"/>
  <c r="BT94" i="25"/>
  <c r="BR94" i="25"/>
  <c r="BQ94" i="25"/>
  <c r="G94" i="25"/>
  <c r="DR93" i="25"/>
  <c r="DQ93" i="25"/>
  <c r="DP93" i="25"/>
  <c r="DO93" i="25"/>
  <c r="DN93" i="25"/>
  <c r="DM93" i="25"/>
  <c r="DL93" i="25"/>
  <c r="CQ93" i="25" s="1"/>
  <c r="CR93" i="25" s="1"/>
  <c r="DK93" i="25"/>
  <c r="DJ93" i="25"/>
  <c r="DG93" i="25"/>
  <c r="DE93" i="25"/>
  <c r="DH93" i="25" s="1"/>
  <c r="DD93" i="25"/>
  <c r="DC93" i="25"/>
  <c r="CW93" i="25"/>
  <c r="CV93" i="25"/>
  <c r="CU93" i="25"/>
  <c r="CT93" i="25"/>
  <c r="CL93" i="25"/>
  <c r="CK93" i="25"/>
  <c r="CC93" i="25"/>
  <c r="BX93" i="25"/>
  <c r="BW93" i="25"/>
  <c r="BV93" i="25"/>
  <c r="BU93" i="25"/>
  <c r="BT93" i="25"/>
  <c r="BR93" i="25"/>
  <c r="BQ93" i="25"/>
  <c r="G93" i="25"/>
  <c r="DR92" i="25"/>
  <c r="DQ92" i="25"/>
  <c r="DP92" i="25"/>
  <c r="DO92" i="25"/>
  <c r="DN92" i="25"/>
  <c r="DM92" i="25"/>
  <c r="DL92" i="25"/>
  <c r="CO92" i="25" s="1"/>
  <c r="DK92" i="25"/>
  <c r="DJ92" i="25"/>
  <c r="DG92" i="25"/>
  <c r="DE92" i="25"/>
  <c r="DH92" i="25" s="1"/>
  <c r="DD92" i="25"/>
  <c r="DC92" i="25"/>
  <c r="CW92" i="25"/>
  <c r="CV92" i="25"/>
  <c r="CU92" i="25"/>
  <c r="DB92" i="25" s="1"/>
  <c r="CT92" i="25"/>
  <c r="CL92" i="25"/>
  <c r="CK92" i="25"/>
  <c r="CC92" i="25"/>
  <c r="CD92" i="25" s="1"/>
  <c r="BX92" i="25"/>
  <c r="BW92" i="25"/>
  <c r="BV92" i="25"/>
  <c r="BU92" i="25"/>
  <c r="BT92" i="25"/>
  <c r="BR92" i="25"/>
  <c r="BQ92" i="25"/>
  <c r="G92" i="25"/>
  <c r="DR91" i="25"/>
  <c r="DQ91" i="25"/>
  <c r="DP91" i="25"/>
  <c r="DO91" i="25"/>
  <c r="DN91" i="25"/>
  <c r="DM91" i="25"/>
  <c r="DL91" i="25"/>
  <c r="CQ91" i="25" s="1"/>
  <c r="CR91" i="25" s="1"/>
  <c r="DK91" i="25"/>
  <c r="DJ91" i="25"/>
  <c r="DG91" i="25"/>
  <c r="DE91" i="25"/>
  <c r="DF91" i="25" s="1"/>
  <c r="DD91" i="25"/>
  <c r="DC91" i="25"/>
  <c r="CW91" i="25"/>
  <c r="CV91" i="25"/>
  <c r="CU91" i="25"/>
  <c r="DB91" i="25" s="1"/>
  <c r="CT91" i="25"/>
  <c r="CL91" i="25"/>
  <c r="CK91" i="25"/>
  <c r="CC91" i="25"/>
  <c r="CD91" i="25" s="1"/>
  <c r="BX91" i="25"/>
  <c r="BW91" i="25"/>
  <c r="BV91" i="25"/>
  <c r="BU91" i="25"/>
  <c r="BT91" i="25"/>
  <c r="BR91" i="25"/>
  <c r="BQ91" i="25"/>
  <c r="G91" i="25"/>
  <c r="DR90" i="25"/>
  <c r="DQ90" i="25"/>
  <c r="DP90" i="25"/>
  <c r="DO90" i="25"/>
  <c r="DN90" i="25"/>
  <c r="DM90" i="25"/>
  <c r="DL90" i="25"/>
  <c r="CQ90" i="25" s="1"/>
  <c r="CR90" i="25" s="1"/>
  <c r="DK90" i="25"/>
  <c r="DJ90" i="25"/>
  <c r="DG90" i="25"/>
  <c r="DE90" i="25"/>
  <c r="DF90" i="25" s="1"/>
  <c r="DD90" i="25"/>
  <c r="DC90" i="25"/>
  <c r="CW90" i="25"/>
  <c r="CV90" i="25"/>
  <c r="CU90" i="25"/>
  <c r="CT90" i="25"/>
  <c r="CL90" i="25"/>
  <c r="CK90" i="25"/>
  <c r="CC90" i="25"/>
  <c r="CD90" i="25" s="1"/>
  <c r="BX90" i="25"/>
  <c r="BW90" i="25"/>
  <c r="BV90" i="25"/>
  <c r="BU90" i="25"/>
  <c r="BT90" i="25"/>
  <c r="BR90" i="25"/>
  <c r="BQ90" i="25"/>
  <c r="G90" i="25"/>
  <c r="DR89" i="25"/>
  <c r="DQ89" i="25"/>
  <c r="DP89" i="25"/>
  <c r="DO89" i="25"/>
  <c r="DN89" i="25"/>
  <c r="DM89" i="25"/>
  <c r="DL89" i="25"/>
  <c r="CQ89" i="25" s="1"/>
  <c r="CR89" i="25" s="1"/>
  <c r="DK89" i="25"/>
  <c r="DJ89" i="25"/>
  <c r="DG89" i="25"/>
  <c r="DE89" i="25"/>
  <c r="DH89" i="25" s="1"/>
  <c r="DD89" i="25"/>
  <c r="DC89" i="25"/>
  <c r="CW89" i="25"/>
  <c r="CV89" i="25"/>
  <c r="CU89" i="25"/>
  <c r="CT89" i="25"/>
  <c r="CL89" i="25"/>
  <c r="CK89" i="25"/>
  <c r="CC89" i="25"/>
  <c r="BX89" i="25"/>
  <c r="BW89" i="25"/>
  <c r="BV89" i="25"/>
  <c r="BU89" i="25"/>
  <c r="BT89" i="25"/>
  <c r="BR89" i="25"/>
  <c r="BQ89" i="25"/>
  <c r="G89" i="25"/>
  <c r="DR88" i="25"/>
  <c r="DQ88" i="25"/>
  <c r="DP88" i="25"/>
  <c r="DO88" i="25"/>
  <c r="DN88" i="25"/>
  <c r="DM88" i="25"/>
  <c r="DL88" i="25"/>
  <c r="CO88" i="25" s="1"/>
  <c r="DK88" i="25"/>
  <c r="DJ88" i="25"/>
  <c r="DG88" i="25"/>
  <c r="DE88" i="25"/>
  <c r="DF88" i="25" s="1"/>
  <c r="DD88" i="25"/>
  <c r="DC88" i="25"/>
  <c r="CW88" i="25"/>
  <c r="CV88" i="25"/>
  <c r="CU88" i="25"/>
  <c r="DB88" i="25" s="1"/>
  <c r="CT88" i="25"/>
  <c r="CL88" i="25"/>
  <c r="CK88" i="25"/>
  <c r="CC88" i="25"/>
  <c r="CD88" i="25" s="1"/>
  <c r="BX88" i="25"/>
  <c r="BW88" i="25"/>
  <c r="BV88" i="25"/>
  <c r="BU88" i="25"/>
  <c r="BT88" i="25"/>
  <c r="BR88" i="25"/>
  <c r="BQ88" i="25"/>
  <c r="G88" i="25"/>
  <c r="DR87" i="25"/>
  <c r="DQ87" i="25"/>
  <c r="DP87" i="25"/>
  <c r="DO87" i="25"/>
  <c r="DN87" i="25"/>
  <c r="DM87" i="25"/>
  <c r="DL87" i="25"/>
  <c r="CQ87" i="25" s="1"/>
  <c r="CR87" i="25" s="1"/>
  <c r="DK87" i="25"/>
  <c r="DJ87" i="25"/>
  <c r="DG87" i="25"/>
  <c r="DE87" i="25"/>
  <c r="DF87" i="25" s="1"/>
  <c r="DD87" i="25"/>
  <c r="DC87" i="25"/>
  <c r="CW87" i="25"/>
  <c r="CV87" i="25"/>
  <c r="CU87" i="25"/>
  <c r="DB87" i="25" s="1"/>
  <c r="CT87" i="25"/>
  <c r="CL87" i="25"/>
  <c r="CK87" i="25"/>
  <c r="CC87" i="25"/>
  <c r="CD87" i="25" s="1"/>
  <c r="BX87" i="25"/>
  <c r="BW87" i="25"/>
  <c r="BV87" i="25"/>
  <c r="BU87" i="25"/>
  <c r="BT87" i="25"/>
  <c r="BR87" i="25"/>
  <c r="BQ87" i="25"/>
  <c r="G87" i="25"/>
  <c r="DR86" i="25"/>
  <c r="DQ86" i="25"/>
  <c r="DP86" i="25"/>
  <c r="DO86" i="25"/>
  <c r="DN86" i="25"/>
  <c r="DM86" i="25"/>
  <c r="DL86" i="25"/>
  <c r="CQ86" i="25" s="1"/>
  <c r="CR86" i="25" s="1"/>
  <c r="DK86" i="25"/>
  <c r="DJ86" i="25"/>
  <c r="DG86" i="25"/>
  <c r="DE86" i="25"/>
  <c r="DH86" i="25" s="1"/>
  <c r="DD86" i="25"/>
  <c r="DC86" i="25"/>
  <c r="CW86" i="25"/>
  <c r="CV86" i="25"/>
  <c r="CU86" i="25"/>
  <c r="CT86" i="25"/>
  <c r="CL86" i="25"/>
  <c r="CK86" i="25"/>
  <c r="CC86" i="25"/>
  <c r="CD86" i="25" s="1"/>
  <c r="BX86" i="25"/>
  <c r="BW86" i="25"/>
  <c r="BV86" i="25"/>
  <c r="BU86" i="25"/>
  <c r="BT86" i="25"/>
  <c r="BR86" i="25"/>
  <c r="BQ86" i="25"/>
  <c r="G86" i="25"/>
  <c r="DR85" i="25"/>
  <c r="DQ85" i="25"/>
  <c r="DP85" i="25"/>
  <c r="DO85" i="25"/>
  <c r="DN85" i="25"/>
  <c r="DM85" i="25"/>
  <c r="DL85" i="25"/>
  <c r="CQ85" i="25" s="1"/>
  <c r="CR85" i="25" s="1"/>
  <c r="DK85" i="25"/>
  <c r="DJ85" i="25"/>
  <c r="DG85" i="25"/>
  <c r="DE85" i="25"/>
  <c r="DH85" i="25" s="1"/>
  <c r="DD85" i="25"/>
  <c r="DC85" i="25"/>
  <c r="CW85" i="25"/>
  <c r="CV85" i="25"/>
  <c r="CU85" i="25"/>
  <c r="DB85" i="25" s="1"/>
  <c r="CT85" i="25"/>
  <c r="CL85" i="25"/>
  <c r="CK85" i="25"/>
  <c r="CC85" i="25"/>
  <c r="BX85" i="25"/>
  <c r="BW85" i="25"/>
  <c r="BV85" i="25"/>
  <c r="BU85" i="25"/>
  <c r="BT85" i="25"/>
  <c r="BR85" i="25"/>
  <c r="BQ85" i="25"/>
  <c r="G85" i="25"/>
  <c r="DR84" i="25"/>
  <c r="DQ84" i="25"/>
  <c r="DP84" i="25"/>
  <c r="DO84" i="25"/>
  <c r="DN84" i="25"/>
  <c r="DM84" i="25"/>
  <c r="DL84" i="25"/>
  <c r="CO84" i="25" s="1"/>
  <c r="DK84" i="25"/>
  <c r="DJ84" i="25"/>
  <c r="DG84" i="25"/>
  <c r="DE84" i="25"/>
  <c r="DF84" i="25" s="1"/>
  <c r="DD84" i="25"/>
  <c r="DC84" i="25"/>
  <c r="CW84" i="25"/>
  <c r="CV84" i="25"/>
  <c r="CU84" i="25"/>
  <c r="DB84" i="25" s="1"/>
  <c r="CT84" i="25"/>
  <c r="CL84" i="25"/>
  <c r="CK84" i="25"/>
  <c r="CC84" i="25"/>
  <c r="CD84" i="25" s="1"/>
  <c r="BX84" i="25"/>
  <c r="BW84" i="25"/>
  <c r="BV84" i="25"/>
  <c r="BU84" i="25"/>
  <c r="BT84" i="25"/>
  <c r="BR84" i="25"/>
  <c r="BQ84" i="25"/>
  <c r="G84" i="25"/>
  <c r="DR83" i="25"/>
  <c r="DQ83" i="25"/>
  <c r="DP83" i="25"/>
  <c r="DO83" i="25"/>
  <c r="DN83" i="25"/>
  <c r="DM83" i="25"/>
  <c r="DL83" i="25"/>
  <c r="CP83" i="25" s="1"/>
  <c r="DK83" i="25"/>
  <c r="DJ83" i="25"/>
  <c r="DG83" i="25"/>
  <c r="DE83" i="25"/>
  <c r="DF83" i="25" s="1"/>
  <c r="DD83" i="25"/>
  <c r="DC83" i="25"/>
  <c r="CW83" i="25"/>
  <c r="CV83" i="25"/>
  <c r="CU83" i="25"/>
  <c r="DB83" i="25" s="1"/>
  <c r="CT83" i="25"/>
  <c r="CL83" i="25"/>
  <c r="CK83" i="25"/>
  <c r="CC83" i="25"/>
  <c r="CD83" i="25" s="1"/>
  <c r="BX83" i="25"/>
  <c r="BW83" i="25"/>
  <c r="BV83" i="25"/>
  <c r="BU83" i="25"/>
  <c r="BT83" i="25"/>
  <c r="BR83" i="25"/>
  <c r="BQ83" i="25"/>
  <c r="G83" i="25"/>
  <c r="DR82" i="25"/>
  <c r="DQ82" i="25"/>
  <c r="DP82" i="25"/>
  <c r="DO82" i="25"/>
  <c r="DN82" i="25"/>
  <c r="DM82" i="25"/>
  <c r="DL82" i="25"/>
  <c r="CQ82" i="25" s="1"/>
  <c r="CR82" i="25" s="1"/>
  <c r="DK82" i="25"/>
  <c r="DJ82" i="25"/>
  <c r="DG82" i="25"/>
  <c r="DE82" i="25"/>
  <c r="DF82" i="25" s="1"/>
  <c r="DD82" i="25"/>
  <c r="DC82" i="25"/>
  <c r="CW82" i="25"/>
  <c r="CV82" i="25"/>
  <c r="CU82" i="25"/>
  <c r="CT82" i="25"/>
  <c r="CL82" i="25"/>
  <c r="CK82" i="25"/>
  <c r="CC82" i="25"/>
  <c r="CD82" i="25" s="1"/>
  <c r="BX82" i="25"/>
  <c r="BW82" i="25"/>
  <c r="BV82" i="25"/>
  <c r="BU82" i="25"/>
  <c r="BT82" i="25"/>
  <c r="BR82" i="25"/>
  <c r="BQ82" i="25"/>
  <c r="G82" i="25"/>
  <c r="DR81" i="25"/>
  <c r="DQ81" i="25"/>
  <c r="DP81" i="25"/>
  <c r="DO81" i="25"/>
  <c r="DN81" i="25"/>
  <c r="DM81" i="25"/>
  <c r="DL81" i="25"/>
  <c r="CQ81" i="25" s="1"/>
  <c r="CR81" i="25" s="1"/>
  <c r="DK81" i="25"/>
  <c r="DJ81" i="25"/>
  <c r="DG81" i="25"/>
  <c r="DE81" i="25"/>
  <c r="DH81" i="25" s="1"/>
  <c r="DD81" i="25"/>
  <c r="DC81" i="25"/>
  <c r="CW81" i="25"/>
  <c r="CV81" i="25"/>
  <c r="CU81" i="25"/>
  <c r="DB81" i="25" s="1"/>
  <c r="CT81" i="25"/>
  <c r="CL81" i="25"/>
  <c r="CK81" i="25"/>
  <c r="CC81" i="25"/>
  <c r="BX81" i="25"/>
  <c r="BW81" i="25"/>
  <c r="BV81" i="25"/>
  <c r="BU81" i="25"/>
  <c r="BT81" i="25"/>
  <c r="BR81" i="25"/>
  <c r="BQ81" i="25"/>
  <c r="G81" i="25"/>
  <c r="DR80" i="25"/>
  <c r="DQ80" i="25"/>
  <c r="DP80" i="25"/>
  <c r="DO80" i="25"/>
  <c r="DN80" i="25"/>
  <c r="DM80" i="25"/>
  <c r="DL80" i="25"/>
  <c r="CO80" i="25" s="1"/>
  <c r="DK80" i="25"/>
  <c r="DJ80" i="25"/>
  <c r="DG80" i="25"/>
  <c r="DE80" i="25"/>
  <c r="DH80" i="25" s="1"/>
  <c r="DD80" i="25"/>
  <c r="DC80" i="25"/>
  <c r="CW80" i="25"/>
  <c r="CV80" i="25"/>
  <c r="CU80" i="25"/>
  <c r="DB80" i="25" s="1"/>
  <c r="CT80" i="25"/>
  <c r="CL80" i="25"/>
  <c r="CK80" i="25"/>
  <c r="CC80" i="25"/>
  <c r="CD80" i="25" s="1"/>
  <c r="BX80" i="25"/>
  <c r="BW80" i="25"/>
  <c r="BV80" i="25"/>
  <c r="BU80" i="25"/>
  <c r="BT80" i="25"/>
  <c r="BR80" i="25"/>
  <c r="BQ80" i="25"/>
  <c r="G80" i="25"/>
  <c r="DR79" i="25"/>
  <c r="DQ79" i="25"/>
  <c r="DP79" i="25"/>
  <c r="DO79" i="25"/>
  <c r="DN79" i="25"/>
  <c r="DM79" i="25"/>
  <c r="DL79" i="25"/>
  <c r="CO79" i="25" s="1"/>
  <c r="DK79" i="25"/>
  <c r="DJ79" i="25"/>
  <c r="DG79" i="25"/>
  <c r="DE79" i="25"/>
  <c r="DF79" i="25" s="1"/>
  <c r="DD79" i="25"/>
  <c r="DC79" i="25"/>
  <c r="CW79" i="25"/>
  <c r="CV79" i="25"/>
  <c r="CU79" i="25"/>
  <c r="DB79" i="25" s="1"/>
  <c r="CT79" i="25"/>
  <c r="CL79" i="25"/>
  <c r="CK79" i="25"/>
  <c r="CC79" i="25"/>
  <c r="CD79" i="25" s="1"/>
  <c r="BX79" i="25"/>
  <c r="BW79" i="25"/>
  <c r="BV79" i="25"/>
  <c r="BU79" i="25"/>
  <c r="BT79" i="25"/>
  <c r="BR79" i="25"/>
  <c r="BQ79" i="25"/>
  <c r="G79" i="25"/>
  <c r="DR78" i="25"/>
  <c r="DQ78" i="25"/>
  <c r="DP78" i="25"/>
  <c r="DO78" i="25"/>
  <c r="DN78" i="25"/>
  <c r="DM78" i="25"/>
  <c r="DL78" i="25"/>
  <c r="CQ78" i="25" s="1"/>
  <c r="CR78" i="25" s="1"/>
  <c r="DK78" i="25"/>
  <c r="DJ78" i="25"/>
  <c r="DG78" i="25"/>
  <c r="DE78" i="25"/>
  <c r="DF78" i="25" s="1"/>
  <c r="DD78" i="25"/>
  <c r="DC78" i="25"/>
  <c r="CW78" i="25"/>
  <c r="CV78" i="25"/>
  <c r="CU78" i="25"/>
  <c r="CT78" i="25"/>
  <c r="CL78" i="25"/>
  <c r="CK78" i="25"/>
  <c r="CC78" i="25"/>
  <c r="CD78" i="25" s="1"/>
  <c r="BX78" i="25"/>
  <c r="BW78" i="25"/>
  <c r="BV78" i="25"/>
  <c r="BU78" i="25"/>
  <c r="BT78" i="25"/>
  <c r="BR78" i="25"/>
  <c r="BQ78" i="25"/>
  <c r="G78" i="25"/>
  <c r="DR77" i="25"/>
  <c r="DQ77" i="25"/>
  <c r="DP77" i="25"/>
  <c r="DO77" i="25"/>
  <c r="DN77" i="25"/>
  <c r="DM77" i="25"/>
  <c r="DL77" i="25"/>
  <c r="CQ77" i="25" s="1"/>
  <c r="CR77" i="25" s="1"/>
  <c r="DK77" i="25"/>
  <c r="DJ77" i="25"/>
  <c r="DG77" i="25"/>
  <c r="DE77" i="25"/>
  <c r="DH77" i="25" s="1"/>
  <c r="DD77" i="25"/>
  <c r="DC77" i="25"/>
  <c r="CW77" i="25"/>
  <c r="CV77" i="25"/>
  <c r="CU77" i="25"/>
  <c r="DB77" i="25" s="1"/>
  <c r="CT77" i="25"/>
  <c r="CL77" i="25"/>
  <c r="CK77" i="25"/>
  <c r="CC77" i="25"/>
  <c r="BX77" i="25"/>
  <c r="BW77" i="25"/>
  <c r="BV77" i="25"/>
  <c r="BU77" i="25"/>
  <c r="BT77" i="25"/>
  <c r="BR77" i="25"/>
  <c r="BQ77" i="25"/>
  <c r="G77" i="25"/>
  <c r="DR76" i="25"/>
  <c r="DQ76" i="25"/>
  <c r="DP76" i="25"/>
  <c r="DO76" i="25"/>
  <c r="DN76" i="25"/>
  <c r="DM76" i="25"/>
  <c r="DL76" i="25"/>
  <c r="CO76" i="25" s="1"/>
  <c r="DK76" i="25"/>
  <c r="DJ76" i="25"/>
  <c r="DG76" i="25"/>
  <c r="DE76" i="25"/>
  <c r="DH76" i="25" s="1"/>
  <c r="DD76" i="25"/>
  <c r="DC76" i="25"/>
  <c r="CW76" i="25"/>
  <c r="CV76" i="25"/>
  <c r="CU76" i="25"/>
  <c r="DB76" i="25" s="1"/>
  <c r="CT76" i="25"/>
  <c r="CL76" i="25"/>
  <c r="CK76" i="25"/>
  <c r="CC76" i="25"/>
  <c r="CD76" i="25" s="1"/>
  <c r="BX76" i="25"/>
  <c r="BW76" i="25"/>
  <c r="BV76" i="25"/>
  <c r="BU76" i="25"/>
  <c r="BT76" i="25"/>
  <c r="BR76" i="25"/>
  <c r="BQ76" i="25"/>
  <c r="G76" i="25"/>
  <c r="DR75" i="25"/>
  <c r="DQ75" i="25"/>
  <c r="DP75" i="25"/>
  <c r="DO75" i="25"/>
  <c r="DN75" i="25"/>
  <c r="DM75" i="25"/>
  <c r="DL75" i="25"/>
  <c r="CQ75" i="25" s="1"/>
  <c r="CR75" i="25" s="1"/>
  <c r="DK75" i="25"/>
  <c r="DJ75" i="25"/>
  <c r="DG75" i="25"/>
  <c r="DE75" i="25"/>
  <c r="DF75" i="25" s="1"/>
  <c r="DD75" i="25"/>
  <c r="DC75" i="25"/>
  <c r="CW75" i="25"/>
  <c r="CV75" i="25"/>
  <c r="CU75" i="25"/>
  <c r="DB75" i="25" s="1"/>
  <c r="CT75" i="25"/>
  <c r="CL75" i="25"/>
  <c r="CK75" i="25"/>
  <c r="CC75" i="25"/>
  <c r="CD75" i="25" s="1"/>
  <c r="BX75" i="25"/>
  <c r="BW75" i="25"/>
  <c r="BV75" i="25"/>
  <c r="BU75" i="25"/>
  <c r="BT75" i="25"/>
  <c r="BR75" i="25"/>
  <c r="BQ75" i="25"/>
  <c r="G75" i="25"/>
  <c r="DR74" i="25"/>
  <c r="DQ74" i="25"/>
  <c r="DP74" i="25"/>
  <c r="DO74" i="25"/>
  <c r="DN74" i="25"/>
  <c r="DM74" i="25"/>
  <c r="DL74" i="25"/>
  <c r="CP74" i="25" s="1"/>
  <c r="DK74" i="25"/>
  <c r="DJ74" i="25"/>
  <c r="DG74" i="25"/>
  <c r="DE74" i="25"/>
  <c r="DH74" i="25" s="1"/>
  <c r="DD74" i="25"/>
  <c r="DC74" i="25"/>
  <c r="CW74" i="25"/>
  <c r="CV74" i="25"/>
  <c r="CU74" i="25"/>
  <c r="CT74" i="25"/>
  <c r="CL74" i="25"/>
  <c r="CK74" i="25"/>
  <c r="CC74" i="25"/>
  <c r="CD74" i="25" s="1"/>
  <c r="BX74" i="25"/>
  <c r="BW74" i="25"/>
  <c r="BV74" i="25"/>
  <c r="BU74" i="25"/>
  <c r="BT74" i="25"/>
  <c r="BR74" i="25"/>
  <c r="BQ74" i="25"/>
  <c r="G74" i="25"/>
  <c r="DR73" i="25"/>
  <c r="DQ73" i="25"/>
  <c r="DP73" i="25"/>
  <c r="DO73" i="25"/>
  <c r="DN73" i="25"/>
  <c r="DM73" i="25"/>
  <c r="DL73" i="25"/>
  <c r="CQ73" i="25" s="1"/>
  <c r="CR73" i="25" s="1"/>
  <c r="DK73" i="25"/>
  <c r="DJ73" i="25"/>
  <c r="DG73" i="25"/>
  <c r="DE73" i="25"/>
  <c r="DH73" i="25" s="1"/>
  <c r="DD73" i="25"/>
  <c r="DC73" i="25"/>
  <c r="CW73" i="25"/>
  <c r="CV73" i="25"/>
  <c r="CU73" i="25"/>
  <c r="CT73" i="25"/>
  <c r="CL73" i="25"/>
  <c r="CK73" i="25"/>
  <c r="CC73" i="25"/>
  <c r="BX73" i="25"/>
  <c r="BW73" i="25"/>
  <c r="BV73" i="25"/>
  <c r="BU73" i="25"/>
  <c r="BT73" i="25"/>
  <c r="BR73" i="25"/>
  <c r="BQ73" i="25"/>
  <c r="G73" i="25"/>
  <c r="DR72" i="25"/>
  <c r="DQ72" i="25"/>
  <c r="DP72" i="25"/>
  <c r="DO72" i="25"/>
  <c r="DN72" i="25"/>
  <c r="DM72" i="25"/>
  <c r="DL72" i="25"/>
  <c r="CO72" i="25" s="1"/>
  <c r="DK72" i="25"/>
  <c r="DJ72" i="25"/>
  <c r="DG72" i="25"/>
  <c r="DE72" i="25"/>
  <c r="DF72" i="25" s="1"/>
  <c r="DD72" i="25"/>
  <c r="DC72" i="25"/>
  <c r="CW72" i="25"/>
  <c r="CV72" i="25"/>
  <c r="CU72" i="25"/>
  <c r="DB72" i="25" s="1"/>
  <c r="CT72" i="25"/>
  <c r="CL72" i="25"/>
  <c r="CK72" i="25"/>
  <c r="CC72" i="25"/>
  <c r="CD72" i="25" s="1"/>
  <c r="BX72" i="25"/>
  <c r="BW72" i="25"/>
  <c r="BV72" i="25"/>
  <c r="BU72" i="25"/>
  <c r="BT72" i="25"/>
  <c r="BR72" i="25"/>
  <c r="BQ72" i="25"/>
  <c r="G72" i="25"/>
  <c r="DR71" i="25"/>
  <c r="DQ71" i="25"/>
  <c r="DP71" i="25"/>
  <c r="DO71" i="25"/>
  <c r="DN71" i="25"/>
  <c r="DM71" i="25"/>
  <c r="DL71" i="25"/>
  <c r="CQ71" i="25" s="1"/>
  <c r="CR71" i="25" s="1"/>
  <c r="DK71" i="25"/>
  <c r="DJ71" i="25"/>
  <c r="DG71" i="25"/>
  <c r="DE71" i="25"/>
  <c r="DF71" i="25" s="1"/>
  <c r="DD71" i="25"/>
  <c r="DC71" i="25"/>
  <c r="CW71" i="25"/>
  <c r="CV71" i="25"/>
  <c r="CU71" i="25"/>
  <c r="DB71" i="25" s="1"/>
  <c r="CT71" i="25"/>
  <c r="CL71" i="25"/>
  <c r="CK71" i="25"/>
  <c r="CC71" i="25"/>
  <c r="CD71" i="25" s="1"/>
  <c r="BX71" i="25"/>
  <c r="BW71" i="25"/>
  <c r="BV71" i="25"/>
  <c r="BU71" i="25"/>
  <c r="BT71" i="25"/>
  <c r="BR71" i="25"/>
  <c r="BQ71" i="25"/>
  <c r="G71" i="25"/>
  <c r="DR70" i="25"/>
  <c r="DQ70" i="25"/>
  <c r="DP70" i="25"/>
  <c r="DO70" i="25"/>
  <c r="DN70" i="25"/>
  <c r="DM70" i="25"/>
  <c r="DL70" i="25"/>
  <c r="CP70" i="25" s="1"/>
  <c r="DK70" i="25"/>
  <c r="DJ70" i="25"/>
  <c r="DG70" i="25"/>
  <c r="DE70" i="25"/>
  <c r="DH70" i="25" s="1"/>
  <c r="DD70" i="25"/>
  <c r="DC70" i="25"/>
  <c r="CW70" i="25"/>
  <c r="CV70" i="25"/>
  <c r="CU70" i="25"/>
  <c r="DB70" i="25" s="1"/>
  <c r="CT70" i="25"/>
  <c r="CL70" i="25"/>
  <c r="CK70" i="25"/>
  <c r="CC70" i="25"/>
  <c r="CD70" i="25" s="1"/>
  <c r="BX70" i="25"/>
  <c r="BW70" i="25"/>
  <c r="BV70" i="25"/>
  <c r="BU70" i="25"/>
  <c r="BT70" i="25"/>
  <c r="BR70" i="25"/>
  <c r="BQ70" i="25"/>
  <c r="G70" i="25"/>
  <c r="DR69" i="25"/>
  <c r="DQ69" i="25"/>
  <c r="DP69" i="25"/>
  <c r="DO69" i="25"/>
  <c r="DN69" i="25"/>
  <c r="DM69" i="25"/>
  <c r="DL69" i="25"/>
  <c r="CQ69" i="25" s="1"/>
  <c r="CR69" i="25" s="1"/>
  <c r="DK69" i="25"/>
  <c r="DJ69" i="25"/>
  <c r="DG69" i="25"/>
  <c r="DE69" i="25"/>
  <c r="DH69" i="25" s="1"/>
  <c r="DD69" i="25"/>
  <c r="DC69" i="25"/>
  <c r="CW69" i="25"/>
  <c r="CV69" i="25"/>
  <c r="CU69" i="25"/>
  <c r="DB69" i="25" s="1"/>
  <c r="CT69" i="25"/>
  <c r="CL69" i="25"/>
  <c r="CK69" i="25"/>
  <c r="CC69" i="25"/>
  <c r="CD69" i="25" s="1"/>
  <c r="BX69" i="25"/>
  <c r="BW69" i="25"/>
  <c r="BV69" i="25"/>
  <c r="BU69" i="25"/>
  <c r="BT69" i="25"/>
  <c r="BR69" i="25"/>
  <c r="BQ69" i="25"/>
  <c r="G69" i="25"/>
  <c r="DR68" i="25"/>
  <c r="DQ68" i="25"/>
  <c r="DP68" i="25"/>
  <c r="DO68" i="25"/>
  <c r="DN68" i="25"/>
  <c r="DM68" i="25"/>
  <c r="DL68" i="25"/>
  <c r="CO68" i="25" s="1"/>
  <c r="DK68" i="25"/>
  <c r="DJ68" i="25"/>
  <c r="DG68" i="25"/>
  <c r="DE68" i="25"/>
  <c r="DH68" i="25" s="1"/>
  <c r="DD68" i="25"/>
  <c r="DC68" i="25"/>
  <c r="CW68" i="25"/>
  <c r="CV68" i="25"/>
  <c r="CU68" i="25"/>
  <c r="DB68" i="25" s="1"/>
  <c r="CT68" i="25"/>
  <c r="CL68" i="25"/>
  <c r="CK68" i="25"/>
  <c r="CC68" i="25"/>
  <c r="CD68" i="25" s="1"/>
  <c r="BX68" i="25"/>
  <c r="BW68" i="25"/>
  <c r="BV68" i="25"/>
  <c r="BU68" i="25"/>
  <c r="BT68" i="25"/>
  <c r="BR68" i="25"/>
  <c r="BQ68" i="25"/>
  <c r="G68" i="25"/>
  <c r="DR67" i="25"/>
  <c r="DQ67" i="25"/>
  <c r="DP67" i="25"/>
  <c r="DO67" i="25"/>
  <c r="DN67" i="25"/>
  <c r="DM67" i="25"/>
  <c r="DL67" i="25"/>
  <c r="CP67" i="25" s="1"/>
  <c r="DK67" i="25"/>
  <c r="DJ67" i="25"/>
  <c r="DG67" i="25"/>
  <c r="DE67" i="25"/>
  <c r="DH67" i="25" s="1"/>
  <c r="DD67" i="25"/>
  <c r="DC67" i="25"/>
  <c r="CW67" i="25"/>
  <c r="CV67" i="25"/>
  <c r="CU67" i="25"/>
  <c r="DB67" i="25" s="1"/>
  <c r="CT67" i="25"/>
  <c r="CL67" i="25"/>
  <c r="CK67" i="25"/>
  <c r="CC67" i="25"/>
  <c r="CD67" i="25" s="1"/>
  <c r="BX67" i="25"/>
  <c r="BW67" i="25"/>
  <c r="BV67" i="25"/>
  <c r="BU67" i="25"/>
  <c r="BT67" i="25"/>
  <c r="BR67" i="25"/>
  <c r="BQ67" i="25"/>
  <c r="G67" i="25"/>
  <c r="DR66" i="25"/>
  <c r="DQ66" i="25"/>
  <c r="DP66" i="25"/>
  <c r="DO66" i="25"/>
  <c r="DN66" i="25"/>
  <c r="DM66" i="25"/>
  <c r="DL66" i="25"/>
  <c r="CQ66" i="25" s="1"/>
  <c r="CR66" i="25" s="1"/>
  <c r="DK66" i="25"/>
  <c r="DJ66" i="25"/>
  <c r="DG66" i="25"/>
  <c r="DE66" i="25"/>
  <c r="DF66" i="25" s="1"/>
  <c r="DD66" i="25"/>
  <c r="DC66" i="25"/>
  <c r="CW66" i="25"/>
  <c r="CV66" i="25"/>
  <c r="CU66" i="25"/>
  <c r="DB66" i="25" s="1"/>
  <c r="CT66" i="25"/>
  <c r="CL66" i="25"/>
  <c r="CK66" i="25"/>
  <c r="CC66" i="25"/>
  <c r="CD66" i="25" s="1"/>
  <c r="BX66" i="25"/>
  <c r="BW66" i="25"/>
  <c r="BV66" i="25"/>
  <c r="BU66" i="25"/>
  <c r="BT66" i="25"/>
  <c r="BR66" i="25"/>
  <c r="BQ66" i="25"/>
  <c r="G66" i="25"/>
  <c r="DR65" i="25"/>
  <c r="DQ65" i="25"/>
  <c r="DP65" i="25"/>
  <c r="DO65" i="25"/>
  <c r="DN65" i="25"/>
  <c r="DM65" i="25"/>
  <c r="DL65" i="25"/>
  <c r="CO65" i="25" s="1"/>
  <c r="DK65" i="25"/>
  <c r="DJ65" i="25"/>
  <c r="DG65" i="25"/>
  <c r="DE65" i="25"/>
  <c r="DH65" i="25" s="1"/>
  <c r="DD65" i="25"/>
  <c r="DC65" i="25"/>
  <c r="CW65" i="25"/>
  <c r="CV65" i="25"/>
  <c r="CU65" i="25"/>
  <c r="DB65" i="25" s="1"/>
  <c r="CT65" i="25"/>
  <c r="CL65" i="25"/>
  <c r="CK65" i="25"/>
  <c r="CC65" i="25"/>
  <c r="CD65" i="25" s="1"/>
  <c r="BX65" i="25"/>
  <c r="BW65" i="25"/>
  <c r="BV65" i="25"/>
  <c r="BU65" i="25"/>
  <c r="BT65" i="25"/>
  <c r="BR65" i="25"/>
  <c r="BQ65" i="25"/>
  <c r="G65" i="25"/>
  <c r="DR64" i="25"/>
  <c r="DQ64" i="25"/>
  <c r="DP64" i="25"/>
  <c r="DO64" i="25"/>
  <c r="DN64" i="25"/>
  <c r="DM64" i="25"/>
  <c r="DL64" i="25"/>
  <c r="CQ64" i="25" s="1"/>
  <c r="CR64" i="25" s="1"/>
  <c r="DK64" i="25"/>
  <c r="DJ64" i="25"/>
  <c r="DG64" i="25"/>
  <c r="DE64" i="25"/>
  <c r="DF64" i="25" s="1"/>
  <c r="DD64" i="25"/>
  <c r="DC64" i="25"/>
  <c r="CW64" i="25"/>
  <c r="CV64" i="25"/>
  <c r="CU64" i="25"/>
  <c r="DB64" i="25" s="1"/>
  <c r="CT64" i="25"/>
  <c r="CL64" i="25"/>
  <c r="CK64" i="25"/>
  <c r="CC64" i="25"/>
  <c r="CD64" i="25" s="1"/>
  <c r="BX64" i="25"/>
  <c r="BW64" i="25"/>
  <c r="BV64" i="25"/>
  <c r="BU64" i="25"/>
  <c r="BT64" i="25"/>
  <c r="BR64" i="25"/>
  <c r="BQ64" i="25"/>
  <c r="G64" i="25"/>
  <c r="DR63" i="25"/>
  <c r="DQ63" i="25"/>
  <c r="DP63" i="25"/>
  <c r="DO63" i="25"/>
  <c r="DN63" i="25"/>
  <c r="DM63" i="25"/>
  <c r="DL63" i="25"/>
  <c r="CQ63" i="25" s="1"/>
  <c r="CR63" i="25" s="1"/>
  <c r="DK63" i="25"/>
  <c r="DJ63" i="25"/>
  <c r="DG63" i="25"/>
  <c r="DE63" i="25"/>
  <c r="DF63" i="25" s="1"/>
  <c r="DD63" i="25"/>
  <c r="DC63" i="25"/>
  <c r="CW63" i="25"/>
  <c r="CV63" i="25"/>
  <c r="CU63" i="25"/>
  <c r="DB63" i="25" s="1"/>
  <c r="CT63" i="25"/>
  <c r="CL63" i="25"/>
  <c r="CK63" i="25"/>
  <c r="CC63" i="25"/>
  <c r="CD63" i="25" s="1"/>
  <c r="BX63" i="25"/>
  <c r="BW63" i="25"/>
  <c r="BV63" i="25"/>
  <c r="BU63" i="25"/>
  <c r="BT63" i="25"/>
  <c r="BR63" i="25"/>
  <c r="BQ63" i="25"/>
  <c r="G63" i="25"/>
  <c r="DR62" i="25"/>
  <c r="DQ62" i="25"/>
  <c r="DP62" i="25"/>
  <c r="DO62" i="25"/>
  <c r="DM62" i="25"/>
  <c r="DL62" i="25"/>
  <c r="CP62" i="25" s="1"/>
  <c r="DK62" i="25"/>
  <c r="DJ62" i="25"/>
  <c r="DG62" i="25"/>
  <c r="DE62" i="25"/>
  <c r="DF62" i="25" s="1"/>
  <c r="DD62" i="25"/>
  <c r="DC62" i="25"/>
  <c r="CW62" i="25"/>
  <c r="CV62" i="25"/>
  <c r="CU62" i="25"/>
  <c r="DB62" i="25" s="1"/>
  <c r="CT62" i="25"/>
  <c r="CL62" i="25"/>
  <c r="CK62" i="25"/>
  <c r="CC62" i="25"/>
  <c r="CD62" i="25" s="1"/>
  <c r="BX62" i="25"/>
  <c r="BW62" i="25"/>
  <c r="BV62" i="25"/>
  <c r="BU62" i="25"/>
  <c r="BT62" i="25"/>
  <c r="BR62" i="25"/>
  <c r="BQ62" i="25"/>
  <c r="G62" i="25"/>
  <c r="DR61" i="25"/>
  <c r="DQ61" i="25"/>
  <c r="DP61" i="25"/>
  <c r="DO61" i="25"/>
  <c r="DN61" i="25"/>
  <c r="DM61" i="25"/>
  <c r="DL61" i="25"/>
  <c r="DK61" i="25"/>
  <c r="DJ61" i="25"/>
  <c r="DG61" i="25"/>
  <c r="DE61" i="25"/>
  <c r="DH61" i="25" s="1"/>
  <c r="DD61" i="25"/>
  <c r="DC61" i="25"/>
  <c r="CW61" i="25"/>
  <c r="CV61" i="25"/>
  <c r="CU61" i="25"/>
  <c r="DB61" i="25" s="1"/>
  <c r="CT61" i="25"/>
  <c r="CL61" i="25"/>
  <c r="CK61" i="25"/>
  <c r="CC61" i="25"/>
  <c r="CD61" i="25" s="1"/>
  <c r="BX61" i="25"/>
  <c r="BW61" i="25"/>
  <c r="BV61" i="25"/>
  <c r="BU61" i="25"/>
  <c r="BT61" i="25"/>
  <c r="BR61" i="25"/>
  <c r="BQ61" i="25"/>
  <c r="G61" i="25"/>
  <c r="DR60" i="25"/>
  <c r="DQ60" i="25"/>
  <c r="DP60" i="25"/>
  <c r="DO60" i="25"/>
  <c r="DN60" i="25"/>
  <c r="DM60" i="25"/>
  <c r="DL60" i="25"/>
  <c r="CP60" i="25" s="1"/>
  <c r="DK60" i="25"/>
  <c r="DJ60" i="25"/>
  <c r="DG60" i="25"/>
  <c r="DE60" i="25"/>
  <c r="DH60" i="25" s="1"/>
  <c r="DD60" i="25"/>
  <c r="DC60" i="25"/>
  <c r="CW60" i="25"/>
  <c r="CV60" i="25"/>
  <c r="CU60" i="25"/>
  <c r="DB60" i="25" s="1"/>
  <c r="CT60" i="25"/>
  <c r="CL60" i="25"/>
  <c r="CK60" i="25"/>
  <c r="CC60" i="25"/>
  <c r="CD60" i="25" s="1"/>
  <c r="BX60" i="25"/>
  <c r="BW60" i="25"/>
  <c r="BV60" i="25"/>
  <c r="BU60" i="25"/>
  <c r="BT60" i="25"/>
  <c r="BR60" i="25"/>
  <c r="BQ60" i="25"/>
  <c r="G60" i="25"/>
  <c r="DR59" i="25"/>
  <c r="DQ59" i="25"/>
  <c r="DP59" i="25"/>
  <c r="DO59" i="25"/>
  <c r="DN59" i="25"/>
  <c r="DM59" i="25"/>
  <c r="DL59" i="25"/>
  <c r="CP59" i="25" s="1"/>
  <c r="DK59" i="25"/>
  <c r="DJ59" i="25"/>
  <c r="DG59" i="25"/>
  <c r="DE59" i="25"/>
  <c r="DH59" i="25" s="1"/>
  <c r="DD59" i="25"/>
  <c r="DC59" i="25"/>
  <c r="CW59" i="25"/>
  <c r="CV59" i="25"/>
  <c r="CU59" i="25"/>
  <c r="DB59" i="25" s="1"/>
  <c r="CT59" i="25"/>
  <c r="CL59" i="25"/>
  <c r="CK59" i="25"/>
  <c r="CC59" i="25"/>
  <c r="BX59" i="25"/>
  <c r="BW59" i="25"/>
  <c r="BV59" i="25"/>
  <c r="BU59" i="25"/>
  <c r="BT59" i="25"/>
  <c r="BR59" i="25"/>
  <c r="BQ59" i="25"/>
  <c r="G59" i="25"/>
  <c r="DR58" i="25"/>
  <c r="DQ58" i="25"/>
  <c r="DP58" i="25"/>
  <c r="DO58" i="25"/>
  <c r="DN58" i="25"/>
  <c r="DM58" i="25"/>
  <c r="DL58" i="25"/>
  <c r="CP58" i="25" s="1"/>
  <c r="DK58" i="25"/>
  <c r="DJ58" i="25"/>
  <c r="DG58" i="25"/>
  <c r="DE58" i="25"/>
  <c r="DF58" i="25" s="1"/>
  <c r="DD58" i="25"/>
  <c r="DC58" i="25"/>
  <c r="CW58" i="25"/>
  <c r="CV58" i="25"/>
  <c r="CU58" i="25"/>
  <c r="DB58" i="25" s="1"/>
  <c r="CT58" i="25"/>
  <c r="CL58" i="25"/>
  <c r="CK58" i="25"/>
  <c r="CC58" i="25"/>
  <c r="CD58" i="25" s="1"/>
  <c r="BX58" i="25"/>
  <c r="BW58" i="25"/>
  <c r="BV58" i="25"/>
  <c r="BU58" i="25"/>
  <c r="BT58" i="25"/>
  <c r="BR58" i="25"/>
  <c r="BQ58" i="25"/>
  <c r="G58" i="25"/>
  <c r="DR57" i="25"/>
  <c r="DQ57" i="25"/>
  <c r="DP57" i="25"/>
  <c r="DO57" i="25"/>
  <c r="DN57" i="25"/>
  <c r="DM57" i="25"/>
  <c r="DL57" i="25"/>
  <c r="DK57" i="25"/>
  <c r="DJ57" i="25"/>
  <c r="DG57" i="25"/>
  <c r="DE57" i="25"/>
  <c r="DH57" i="25" s="1"/>
  <c r="DD57" i="25"/>
  <c r="DC57" i="25"/>
  <c r="CW57" i="25"/>
  <c r="CV57" i="25"/>
  <c r="CU57" i="25"/>
  <c r="DB57" i="25" s="1"/>
  <c r="CT57" i="25"/>
  <c r="CL57" i="25"/>
  <c r="CK57" i="25"/>
  <c r="CC57" i="25"/>
  <c r="CD57" i="25" s="1"/>
  <c r="BX57" i="25"/>
  <c r="BW57" i="25"/>
  <c r="BV57" i="25"/>
  <c r="BU57" i="25"/>
  <c r="BT57" i="25"/>
  <c r="BR57" i="25"/>
  <c r="BQ57" i="25"/>
  <c r="G57" i="25"/>
  <c r="DR56" i="25"/>
  <c r="DQ56" i="25"/>
  <c r="DP56" i="25"/>
  <c r="DO56" i="25"/>
  <c r="DN56" i="25"/>
  <c r="DM56" i="25"/>
  <c r="DL56" i="25"/>
  <c r="CP56" i="25" s="1"/>
  <c r="DK56" i="25"/>
  <c r="DJ56" i="25"/>
  <c r="DG56" i="25"/>
  <c r="DE56" i="25"/>
  <c r="DH56" i="25" s="1"/>
  <c r="DD56" i="25"/>
  <c r="DC56" i="25"/>
  <c r="CW56" i="25"/>
  <c r="CV56" i="25"/>
  <c r="CU56" i="25"/>
  <c r="DB56" i="25" s="1"/>
  <c r="CT56" i="25"/>
  <c r="CL56" i="25"/>
  <c r="CK56" i="25"/>
  <c r="CC56" i="25"/>
  <c r="CD56" i="25" s="1"/>
  <c r="BX56" i="25"/>
  <c r="BW56" i="25"/>
  <c r="BV56" i="25"/>
  <c r="BU56" i="25"/>
  <c r="BT56" i="25"/>
  <c r="BR56" i="25"/>
  <c r="BQ56" i="25"/>
  <c r="G56" i="25"/>
  <c r="DR55" i="25"/>
  <c r="DQ55" i="25"/>
  <c r="DP55" i="25"/>
  <c r="DO55" i="25"/>
  <c r="DN55" i="25"/>
  <c r="DM55" i="25"/>
  <c r="DL55" i="25"/>
  <c r="CP55" i="25" s="1"/>
  <c r="DK55" i="25"/>
  <c r="DJ55" i="25"/>
  <c r="DG55" i="25"/>
  <c r="DE55" i="25"/>
  <c r="DH55" i="25" s="1"/>
  <c r="DD55" i="25"/>
  <c r="DC55" i="25"/>
  <c r="CW55" i="25"/>
  <c r="CV55" i="25"/>
  <c r="CU55" i="25"/>
  <c r="DB55" i="25" s="1"/>
  <c r="CT55" i="25"/>
  <c r="CL55" i="25"/>
  <c r="CK55" i="25"/>
  <c r="CC55" i="25"/>
  <c r="BX55" i="25"/>
  <c r="BW55" i="25"/>
  <c r="BV55" i="25"/>
  <c r="BU55" i="25"/>
  <c r="BT55" i="25"/>
  <c r="BR55" i="25"/>
  <c r="BQ55" i="25"/>
  <c r="G55" i="25"/>
  <c r="DR54" i="25"/>
  <c r="DQ54" i="25"/>
  <c r="DP54" i="25"/>
  <c r="DO54" i="25"/>
  <c r="DN54" i="25"/>
  <c r="DM54" i="25"/>
  <c r="DL54" i="25"/>
  <c r="CP54" i="25" s="1"/>
  <c r="DK54" i="25"/>
  <c r="DJ54" i="25"/>
  <c r="DG54" i="25"/>
  <c r="DE54" i="25"/>
  <c r="DF54" i="25" s="1"/>
  <c r="DD54" i="25"/>
  <c r="DC54" i="25"/>
  <c r="CW54" i="25"/>
  <c r="CV54" i="25"/>
  <c r="CU54" i="25"/>
  <c r="DB54" i="25" s="1"/>
  <c r="CT54" i="25"/>
  <c r="CL54" i="25"/>
  <c r="CK54" i="25"/>
  <c r="CC54" i="25"/>
  <c r="CD54" i="25" s="1"/>
  <c r="BX54" i="25"/>
  <c r="BW54" i="25"/>
  <c r="BV54" i="25"/>
  <c r="BU54" i="25"/>
  <c r="BT54" i="25"/>
  <c r="BR54" i="25"/>
  <c r="BQ54" i="25"/>
  <c r="G54" i="25"/>
  <c r="DR53" i="25"/>
  <c r="DQ53" i="25"/>
  <c r="DP53" i="25"/>
  <c r="DO53" i="25"/>
  <c r="DN53" i="25"/>
  <c r="DM53" i="25"/>
  <c r="DL53" i="25"/>
  <c r="DK53" i="25"/>
  <c r="DJ53" i="25"/>
  <c r="DG53" i="25"/>
  <c r="DE53" i="25"/>
  <c r="DH53" i="25" s="1"/>
  <c r="DD53" i="25"/>
  <c r="DC53" i="25"/>
  <c r="CW53" i="25"/>
  <c r="CV53" i="25"/>
  <c r="CU53" i="25"/>
  <c r="DB53" i="25" s="1"/>
  <c r="CT53" i="25"/>
  <c r="CL53" i="25"/>
  <c r="CK53" i="25"/>
  <c r="CC53" i="25"/>
  <c r="CD53" i="25" s="1"/>
  <c r="BX53" i="25"/>
  <c r="BW53" i="25"/>
  <c r="BV53" i="25"/>
  <c r="BU53" i="25"/>
  <c r="BT53" i="25"/>
  <c r="BR53" i="25"/>
  <c r="BQ53" i="25"/>
  <c r="G53" i="25"/>
  <c r="DR52" i="25"/>
  <c r="DQ52" i="25"/>
  <c r="DP52" i="25"/>
  <c r="DO52" i="25"/>
  <c r="DN52" i="25"/>
  <c r="DM52" i="25"/>
  <c r="DL52" i="25"/>
  <c r="CP52" i="25" s="1"/>
  <c r="DK52" i="25"/>
  <c r="DJ52" i="25"/>
  <c r="DG52" i="25"/>
  <c r="DE52" i="25"/>
  <c r="DH52" i="25" s="1"/>
  <c r="DD52" i="25"/>
  <c r="DC52" i="25"/>
  <c r="CW52" i="25"/>
  <c r="CV52" i="25"/>
  <c r="CU52" i="25"/>
  <c r="DB52" i="25" s="1"/>
  <c r="CT52" i="25"/>
  <c r="CL52" i="25"/>
  <c r="CK52" i="25"/>
  <c r="CC52" i="25"/>
  <c r="CD52" i="25" s="1"/>
  <c r="BX52" i="25"/>
  <c r="BW52" i="25"/>
  <c r="BV52" i="25"/>
  <c r="BU52" i="25"/>
  <c r="BT52" i="25"/>
  <c r="BR52" i="25"/>
  <c r="BQ52" i="25"/>
  <c r="G52" i="25"/>
  <c r="DR51" i="25"/>
  <c r="DQ51" i="25"/>
  <c r="DP51" i="25"/>
  <c r="DO51" i="25"/>
  <c r="DN51" i="25"/>
  <c r="DM51" i="25"/>
  <c r="DL51" i="25"/>
  <c r="CP51" i="25" s="1"/>
  <c r="DK51" i="25"/>
  <c r="DJ51" i="25"/>
  <c r="DG51" i="25"/>
  <c r="DE51" i="25"/>
  <c r="DH51" i="25" s="1"/>
  <c r="DD51" i="25"/>
  <c r="DC51" i="25"/>
  <c r="CW51" i="25"/>
  <c r="CV51" i="25"/>
  <c r="CU51" i="25"/>
  <c r="DB51" i="25" s="1"/>
  <c r="CT51" i="25"/>
  <c r="CL51" i="25"/>
  <c r="CK51" i="25"/>
  <c r="CC51" i="25"/>
  <c r="BX51" i="25"/>
  <c r="BW51" i="25"/>
  <c r="BV51" i="25"/>
  <c r="BU51" i="25"/>
  <c r="BT51" i="25"/>
  <c r="BR51" i="25"/>
  <c r="BQ51" i="25"/>
  <c r="G51" i="25"/>
  <c r="DR50" i="25"/>
  <c r="DQ50" i="25"/>
  <c r="DP50" i="25"/>
  <c r="DO50" i="25"/>
  <c r="DN50" i="25"/>
  <c r="DM50" i="25"/>
  <c r="DL50" i="25"/>
  <c r="CP50" i="25" s="1"/>
  <c r="DK50" i="25"/>
  <c r="DJ50" i="25"/>
  <c r="DG50" i="25"/>
  <c r="DE50" i="25"/>
  <c r="DF50" i="25" s="1"/>
  <c r="DD50" i="25"/>
  <c r="DC50" i="25"/>
  <c r="CW50" i="25"/>
  <c r="CV50" i="25"/>
  <c r="CU50" i="25"/>
  <c r="DB50" i="25" s="1"/>
  <c r="CT50" i="25"/>
  <c r="CL50" i="25"/>
  <c r="CK50" i="25"/>
  <c r="CC50" i="25"/>
  <c r="CD50" i="25" s="1"/>
  <c r="BX50" i="25"/>
  <c r="BW50" i="25"/>
  <c r="BV50" i="25"/>
  <c r="BU50" i="25"/>
  <c r="BT50" i="25"/>
  <c r="BR50" i="25"/>
  <c r="BQ50" i="25"/>
  <c r="G50" i="25"/>
  <c r="DR49" i="25"/>
  <c r="DQ49" i="25"/>
  <c r="DP49" i="25"/>
  <c r="DO49" i="25"/>
  <c r="DN49" i="25"/>
  <c r="DM49" i="25"/>
  <c r="DL49" i="25"/>
  <c r="DK49" i="25"/>
  <c r="DJ49" i="25"/>
  <c r="DG49" i="25"/>
  <c r="DE49" i="25"/>
  <c r="DH49" i="25" s="1"/>
  <c r="DD49" i="25"/>
  <c r="DC49" i="25"/>
  <c r="CW49" i="25"/>
  <c r="CV49" i="25"/>
  <c r="CU49" i="25"/>
  <c r="DB49" i="25" s="1"/>
  <c r="CT49" i="25"/>
  <c r="CL49" i="25"/>
  <c r="CK49" i="25"/>
  <c r="CC49" i="25"/>
  <c r="CD49" i="25" s="1"/>
  <c r="BX49" i="25"/>
  <c r="BW49" i="25"/>
  <c r="BV49" i="25"/>
  <c r="BU49" i="25"/>
  <c r="BT49" i="25"/>
  <c r="BR49" i="25"/>
  <c r="BQ49" i="25"/>
  <c r="G49" i="25"/>
  <c r="DR48" i="25"/>
  <c r="DQ48" i="25"/>
  <c r="DP48" i="25"/>
  <c r="DO48" i="25"/>
  <c r="DN48" i="25"/>
  <c r="DM48" i="25"/>
  <c r="DL48" i="25"/>
  <c r="CP48" i="25" s="1"/>
  <c r="DK48" i="25"/>
  <c r="DJ48" i="25"/>
  <c r="DG48" i="25"/>
  <c r="DE48" i="25"/>
  <c r="DH48" i="25" s="1"/>
  <c r="DD48" i="25"/>
  <c r="DC48" i="25"/>
  <c r="CW48" i="25"/>
  <c r="CV48" i="25"/>
  <c r="CU48" i="25"/>
  <c r="DB48" i="25" s="1"/>
  <c r="CT48" i="25"/>
  <c r="CL48" i="25"/>
  <c r="CK48" i="25"/>
  <c r="CC48" i="25"/>
  <c r="CD48" i="25" s="1"/>
  <c r="BX48" i="25"/>
  <c r="BW48" i="25"/>
  <c r="BV48" i="25"/>
  <c r="BU48" i="25"/>
  <c r="BT48" i="25"/>
  <c r="BR48" i="25"/>
  <c r="BQ48" i="25"/>
  <c r="G48" i="25"/>
  <c r="DR47" i="25"/>
  <c r="DQ47" i="25"/>
  <c r="DP47" i="25"/>
  <c r="DO47" i="25"/>
  <c r="DN47" i="25"/>
  <c r="DM47" i="25"/>
  <c r="DL47" i="25"/>
  <c r="CP47" i="25" s="1"/>
  <c r="DK47" i="25"/>
  <c r="DJ47" i="25"/>
  <c r="DG47" i="25"/>
  <c r="DE47" i="25"/>
  <c r="DH47" i="25" s="1"/>
  <c r="DD47" i="25"/>
  <c r="DC47" i="25"/>
  <c r="CW47" i="25"/>
  <c r="CV47" i="25"/>
  <c r="CU47" i="25"/>
  <c r="DB47" i="25" s="1"/>
  <c r="CT47" i="25"/>
  <c r="CL47" i="25"/>
  <c r="CK47" i="25"/>
  <c r="CC47" i="25"/>
  <c r="BX47" i="25"/>
  <c r="BW47" i="25"/>
  <c r="BV47" i="25"/>
  <c r="BU47" i="25"/>
  <c r="BT47" i="25"/>
  <c r="BR47" i="25"/>
  <c r="BQ47" i="25"/>
  <c r="G47" i="25"/>
  <c r="DR46" i="25"/>
  <c r="DQ46" i="25"/>
  <c r="DP46" i="25"/>
  <c r="DO46" i="25"/>
  <c r="DN46" i="25"/>
  <c r="DM46" i="25"/>
  <c r="DL46" i="25"/>
  <c r="CP46" i="25" s="1"/>
  <c r="DK46" i="25"/>
  <c r="DJ46" i="25"/>
  <c r="DG46" i="25"/>
  <c r="DE46" i="25"/>
  <c r="DF46" i="25" s="1"/>
  <c r="DD46" i="25"/>
  <c r="DC46" i="25"/>
  <c r="CW46" i="25"/>
  <c r="CV46" i="25"/>
  <c r="CU46" i="25"/>
  <c r="DB46" i="25" s="1"/>
  <c r="CT46" i="25"/>
  <c r="CL46" i="25"/>
  <c r="CK46" i="25"/>
  <c r="CC46" i="25"/>
  <c r="CD46" i="25" s="1"/>
  <c r="BX46" i="25"/>
  <c r="BW46" i="25"/>
  <c r="BV46" i="25"/>
  <c r="BU46" i="25"/>
  <c r="BT46" i="25"/>
  <c r="BR46" i="25"/>
  <c r="BQ46" i="25"/>
  <c r="G46" i="25"/>
  <c r="DR45" i="25"/>
  <c r="DQ45" i="25"/>
  <c r="DP45" i="25"/>
  <c r="DO45" i="25"/>
  <c r="DN45" i="25"/>
  <c r="DM45" i="25"/>
  <c r="DL45" i="25"/>
  <c r="CP45" i="25" s="1"/>
  <c r="DK45" i="25"/>
  <c r="DJ45" i="25"/>
  <c r="DG45" i="25"/>
  <c r="DE45" i="25"/>
  <c r="DH45" i="25" s="1"/>
  <c r="DD45" i="25"/>
  <c r="DC45" i="25"/>
  <c r="CW45" i="25"/>
  <c r="CV45" i="25"/>
  <c r="CU45" i="25"/>
  <c r="DB45" i="25" s="1"/>
  <c r="CT45" i="25"/>
  <c r="CL45" i="25"/>
  <c r="CK45" i="25"/>
  <c r="CC45" i="25"/>
  <c r="CD45" i="25" s="1"/>
  <c r="BX45" i="25"/>
  <c r="BW45" i="25"/>
  <c r="BV45" i="25"/>
  <c r="BU45" i="25"/>
  <c r="BT45" i="25"/>
  <c r="BR45" i="25"/>
  <c r="BQ45" i="25"/>
  <c r="G45" i="25"/>
  <c r="DR44" i="25"/>
  <c r="DQ44" i="25"/>
  <c r="DP44" i="25"/>
  <c r="DO44" i="25"/>
  <c r="DN44" i="25"/>
  <c r="DM44" i="25"/>
  <c r="DL44" i="25"/>
  <c r="CP44" i="25" s="1"/>
  <c r="DK44" i="25"/>
  <c r="DJ44" i="25"/>
  <c r="DG44" i="25"/>
  <c r="DE44" i="25"/>
  <c r="DH44" i="25" s="1"/>
  <c r="DD44" i="25"/>
  <c r="DC44" i="25"/>
  <c r="CW44" i="25"/>
  <c r="CV44" i="25"/>
  <c r="CU44" i="25"/>
  <c r="DB44" i="25" s="1"/>
  <c r="CT44" i="25"/>
  <c r="CL44" i="25"/>
  <c r="CK44" i="25"/>
  <c r="CC44" i="25"/>
  <c r="BX44" i="25"/>
  <c r="BW44" i="25"/>
  <c r="BV44" i="25"/>
  <c r="BU44" i="25"/>
  <c r="BT44" i="25"/>
  <c r="BR44" i="25"/>
  <c r="BQ44" i="25"/>
  <c r="G44" i="25"/>
  <c r="DR43" i="25"/>
  <c r="DQ43" i="25"/>
  <c r="DP43" i="25"/>
  <c r="DO43" i="25"/>
  <c r="DN43" i="25"/>
  <c r="DM43" i="25"/>
  <c r="DL43" i="25"/>
  <c r="CP43" i="25" s="1"/>
  <c r="DK43" i="25"/>
  <c r="DJ43" i="25"/>
  <c r="DG43" i="25"/>
  <c r="DE43" i="25"/>
  <c r="DF43" i="25" s="1"/>
  <c r="DD43" i="25"/>
  <c r="DC43" i="25"/>
  <c r="CW43" i="25"/>
  <c r="CV43" i="25"/>
  <c r="CU43" i="25"/>
  <c r="DB43" i="25" s="1"/>
  <c r="CT43" i="25"/>
  <c r="CL43" i="25"/>
  <c r="CK43" i="25"/>
  <c r="CC43" i="25"/>
  <c r="CD43" i="25" s="1"/>
  <c r="BX43" i="25"/>
  <c r="BW43" i="25"/>
  <c r="BV43" i="25"/>
  <c r="BU43" i="25"/>
  <c r="BT43" i="25"/>
  <c r="BR43" i="25"/>
  <c r="BQ43" i="25"/>
  <c r="G43" i="25"/>
  <c r="DR42" i="25"/>
  <c r="DQ42" i="25"/>
  <c r="DP42" i="25"/>
  <c r="DO42" i="25"/>
  <c r="DN42" i="25"/>
  <c r="DM42" i="25"/>
  <c r="DL42" i="25"/>
  <c r="DK42" i="25"/>
  <c r="DJ42" i="25"/>
  <c r="DG42" i="25"/>
  <c r="DE42" i="25"/>
  <c r="DH42" i="25" s="1"/>
  <c r="DD42" i="25"/>
  <c r="DC42" i="25"/>
  <c r="CW42" i="25"/>
  <c r="CV42" i="25"/>
  <c r="CU42" i="25"/>
  <c r="DB42" i="25" s="1"/>
  <c r="CT42" i="25"/>
  <c r="CL42" i="25"/>
  <c r="CK42" i="25"/>
  <c r="CC42" i="25"/>
  <c r="CD42" i="25" s="1"/>
  <c r="BX42" i="25"/>
  <c r="BW42" i="25"/>
  <c r="BV42" i="25"/>
  <c r="BU42" i="25"/>
  <c r="BT42" i="25"/>
  <c r="BR42" i="25"/>
  <c r="BQ42" i="25"/>
  <c r="G42" i="25"/>
  <c r="DR41" i="25"/>
  <c r="DQ41" i="25"/>
  <c r="DP41" i="25"/>
  <c r="DO41" i="25"/>
  <c r="DN41" i="25"/>
  <c r="DM41" i="25"/>
  <c r="DL41" i="25"/>
  <c r="CQ41" i="25" s="1"/>
  <c r="CR41" i="25" s="1"/>
  <c r="DK41" i="25"/>
  <c r="DJ41" i="25"/>
  <c r="DG41" i="25"/>
  <c r="DE41" i="25"/>
  <c r="DH41" i="25" s="1"/>
  <c r="DD41" i="25"/>
  <c r="DC41" i="25"/>
  <c r="CW41" i="25"/>
  <c r="CV41" i="25"/>
  <c r="CU41" i="25"/>
  <c r="DB41" i="25" s="1"/>
  <c r="CT41" i="25"/>
  <c r="CL41" i="25"/>
  <c r="CK41" i="25"/>
  <c r="CC41" i="25"/>
  <c r="CD41" i="25" s="1"/>
  <c r="BX41" i="25"/>
  <c r="BW41" i="25"/>
  <c r="BV41" i="25"/>
  <c r="BU41" i="25"/>
  <c r="BT41" i="25"/>
  <c r="BR41" i="25"/>
  <c r="BQ41" i="25"/>
  <c r="G41" i="25"/>
  <c r="DR40" i="25"/>
  <c r="DQ40" i="25"/>
  <c r="DP40" i="25"/>
  <c r="DO40" i="25"/>
  <c r="DN40" i="25"/>
  <c r="DM40" i="25"/>
  <c r="DL40" i="25"/>
  <c r="CP40" i="25" s="1"/>
  <c r="DK40" i="25"/>
  <c r="DJ40" i="25"/>
  <c r="DG40" i="25"/>
  <c r="DE40" i="25"/>
  <c r="DH40" i="25" s="1"/>
  <c r="DD40" i="25"/>
  <c r="DC40" i="25"/>
  <c r="CW40" i="25"/>
  <c r="CV40" i="25"/>
  <c r="CU40" i="25"/>
  <c r="DB40" i="25" s="1"/>
  <c r="CT40" i="25"/>
  <c r="CL40" i="25"/>
  <c r="CK40" i="25"/>
  <c r="CC40" i="25"/>
  <c r="CD40" i="25" s="1"/>
  <c r="BX40" i="25"/>
  <c r="BW40" i="25"/>
  <c r="BV40" i="25"/>
  <c r="BU40" i="25"/>
  <c r="BT40" i="25"/>
  <c r="BR40" i="25"/>
  <c r="BQ40" i="25"/>
  <c r="G40" i="25"/>
  <c r="DR39" i="25"/>
  <c r="DQ39" i="25"/>
  <c r="DP39" i="25"/>
  <c r="DO39" i="25"/>
  <c r="DN39" i="25"/>
  <c r="DM39" i="25"/>
  <c r="DL39" i="25"/>
  <c r="CP39" i="25" s="1"/>
  <c r="DK39" i="25"/>
  <c r="DJ39" i="25"/>
  <c r="DG39" i="25"/>
  <c r="DE39" i="25"/>
  <c r="DF39" i="25" s="1"/>
  <c r="DD39" i="25"/>
  <c r="DC39" i="25"/>
  <c r="CW39" i="25"/>
  <c r="CV39" i="25"/>
  <c r="CU39" i="25"/>
  <c r="DB39" i="25" s="1"/>
  <c r="CT39" i="25"/>
  <c r="CL39" i="25"/>
  <c r="CK39" i="25"/>
  <c r="CC39" i="25"/>
  <c r="CD39" i="25" s="1"/>
  <c r="BX39" i="25"/>
  <c r="BW39" i="25"/>
  <c r="BV39" i="25"/>
  <c r="BU39" i="25"/>
  <c r="BT39" i="25"/>
  <c r="BR39" i="25"/>
  <c r="BQ39" i="25"/>
  <c r="G39" i="25"/>
  <c r="DR38" i="25"/>
  <c r="DQ38" i="25"/>
  <c r="DP38" i="25"/>
  <c r="DO38" i="25"/>
  <c r="DN38" i="25"/>
  <c r="DM38" i="25"/>
  <c r="DL38" i="25"/>
  <c r="DK38" i="25"/>
  <c r="DJ38" i="25"/>
  <c r="DG38" i="25"/>
  <c r="DE38" i="25"/>
  <c r="DH38" i="25" s="1"/>
  <c r="DD38" i="25"/>
  <c r="DC38" i="25"/>
  <c r="CW38" i="25"/>
  <c r="CV38" i="25"/>
  <c r="CU38" i="25"/>
  <c r="DB38" i="25" s="1"/>
  <c r="CT38" i="25"/>
  <c r="CL38" i="25"/>
  <c r="CK38" i="25"/>
  <c r="CC38" i="25"/>
  <c r="CD38" i="25" s="1"/>
  <c r="BX38" i="25"/>
  <c r="BW38" i="25"/>
  <c r="BV38" i="25"/>
  <c r="BU38" i="25"/>
  <c r="BT38" i="25"/>
  <c r="BR38" i="25"/>
  <c r="BQ38" i="25"/>
  <c r="G38" i="25"/>
  <c r="DR37" i="25"/>
  <c r="DQ37" i="25"/>
  <c r="DP37" i="25"/>
  <c r="DO37" i="25"/>
  <c r="DN37" i="25"/>
  <c r="DM37" i="25"/>
  <c r="DL37" i="25"/>
  <c r="CQ37" i="25" s="1"/>
  <c r="CR37" i="25" s="1"/>
  <c r="DK37" i="25"/>
  <c r="DJ37" i="25"/>
  <c r="DG37" i="25"/>
  <c r="DE37" i="25"/>
  <c r="DF37" i="25" s="1"/>
  <c r="DD37" i="25"/>
  <c r="DC37" i="25"/>
  <c r="CW37" i="25"/>
  <c r="CV37" i="25"/>
  <c r="CU37" i="25"/>
  <c r="DB37" i="25" s="1"/>
  <c r="CT37" i="25"/>
  <c r="CL37" i="25"/>
  <c r="CK37" i="25"/>
  <c r="CC37" i="25"/>
  <c r="CD37" i="25" s="1"/>
  <c r="BX37" i="25"/>
  <c r="BW37" i="25"/>
  <c r="BV37" i="25"/>
  <c r="BU37" i="25"/>
  <c r="BT37" i="25"/>
  <c r="BR37" i="25"/>
  <c r="BQ37" i="25"/>
  <c r="G37" i="25"/>
  <c r="DR36" i="25"/>
  <c r="DQ36" i="25"/>
  <c r="DP36" i="25"/>
  <c r="DO36" i="25"/>
  <c r="DN36" i="25"/>
  <c r="DM36" i="25"/>
  <c r="DL36" i="25"/>
  <c r="CQ36" i="25" s="1"/>
  <c r="CR36" i="25" s="1"/>
  <c r="DK36" i="25"/>
  <c r="DJ36" i="25"/>
  <c r="DG36" i="25"/>
  <c r="DE36" i="25"/>
  <c r="DF36" i="25" s="1"/>
  <c r="DD36" i="25"/>
  <c r="DC36" i="25"/>
  <c r="CW36" i="25"/>
  <c r="CV36" i="25"/>
  <c r="CU36" i="25"/>
  <c r="DB36" i="25" s="1"/>
  <c r="CT36" i="25"/>
  <c r="CL36" i="25"/>
  <c r="CK36" i="25"/>
  <c r="CC36" i="25"/>
  <c r="CD36" i="25" s="1"/>
  <c r="BX36" i="25"/>
  <c r="BW36" i="25"/>
  <c r="BV36" i="25"/>
  <c r="BU36" i="25"/>
  <c r="BT36" i="25"/>
  <c r="BR36" i="25"/>
  <c r="BQ36" i="25"/>
  <c r="G36" i="25"/>
  <c r="DR35" i="25"/>
  <c r="DQ35" i="25"/>
  <c r="DP35" i="25"/>
  <c r="DO35" i="25"/>
  <c r="DN35" i="25"/>
  <c r="DM35" i="25"/>
  <c r="DL35" i="25"/>
  <c r="CQ35" i="25" s="1"/>
  <c r="CR35" i="25" s="1"/>
  <c r="DK35" i="25"/>
  <c r="DJ35" i="25"/>
  <c r="DG35" i="25"/>
  <c r="DE35" i="25"/>
  <c r="DF35" i="25" s="1"/>
  <c r="DD35" i="25"/>
  <c r="DC35" i="25"/>
  <c r="CW35" i="25"/>
  <c r="CV35" i="25"/>
  <c r="CU35" i="25"/>
  <c r="DB35" i="25" s="1"/>
  <c r="CT35" i="25"/>
  <c r="CL35" i="25"/>
  <c r="CK35" i="25"/>
  <c r="CC35" i="25"/>
  <c r="CD35" i="25" s="1"/>
  <c r="BX35" i="25"/>
  <c r="BW35" i="25"/>
  <c r="BV35" i="25"/>
  <c r="BU35" i="25"/>
  <c r="BT35" i="25"/>
  <c r="BR35" i="25"/>
  <c r="BQ35" i="25"/>
  <c r="G35" i="25"/>
  <c r="DR34" i="25"/>
  <c r="DQ34" i="25"/>
  <c r="DP34" i="25"/>
  <c r="DO34" i="25"/>
  <c r="DN34" i="25"/>
  <c r="DM34" i="25"/>
  <c r="DL34" i="25"/>
  <c r="DK34" i="25"/>
  <c r="DJ34" i="25"/>
  <c r="DG34" i="25"/>
  <c r="DE34" i="25"/>
  <c r="DH34" i="25" s="1"/>
  <c r="DD34" i="25"/>
  <c r="DC34" i="25"/>
  <c r="CW34" i="25"/>
  <c r="CV34" i="25"/>
  <c r="CU34" i="25"/>
  <c r="DB34" i="25" s="1"/>
  <c r="CT34" i="25"/>
  <c r="CL34" i="25"/>
  <c r="CK34" i="25"/>
  <c r="CC34" i="25"/>
  <c r="CD34" i="25" s="1"/>
  <c r="BX34" i="25"/>
  <c r="BW34" i="25"/>
  <c r="BV34" i="25"/>
  <c r="BU34" i="25"/>
  <c r="BT34" i="25"/>
  <c r="BR34" i="25"/>
  <c r="BQ34" i="25"/>
  <c r="G34" i="25"/>
  <c r="DR33" i="25"/>
  <c r="DQ33" i="25"/>
  <c r="DP33" i="25"/>
  <c r="DO33" i="25"/>
  <c r="DN33" i="25"/>
  <c r="DM33" i="25"/>
  <c r="DL33" i="25"/>
  <c r="CP33" i="25" s="1"/>
  <c r="DK33" i="25"/>
  <c r="DJ33" i="25"/>
  <c r="DG33" i="25"/>
  <c r="DE33" i="25"/>
  <c r="DF33" i="25" s="1"/>
  <c r="DD33" i="25"/>
  <c r="DC33" i="25"/>
  <c r="CW33" i="25"/>
  <c r="CV33" i="25"/>
  <c r="CU33" i="25"/>
  <c r="DB33" i="25" s="1"/>
  <c r="CT33" i="25"/>
  <c r="CL33" i="25"/>
  <c r="CK33" i="25"/>
  <c r="CC33" i="25"/>
  <c r="CD33" i="25" s="1"/>
  <c r="BX33" i="25"/>
  <c r="BW33" i="25"/>
  <c r="BV33" i="25"/>
  <c r="BU33" i="25"/>
  <c r="BT33" i="25"/>
  <c r="BR33" i="25"/>
  <c r="BQ33" i="25"/>
  <c r="G33" i="25"/>
  <c r="DR32" i="25"/>
  <c r="DQ32" i="25"/>
  <c r="DP32" i="25"/>
  <c r="DO32" i="25"/>
  <c r="DN32" i="25"/>
  <c r="DM32" i="25"/>
  <c r="DL32" i="25"/>
  <c r="DK32" i="25"/>
  <c r="DJ32" i="25"/>
  <c r="DG32" i="25"/>
  <c r="DE32" i="25"/>
  <c r="DF32" i="25" s="1"/>
  <c r="DD32" i="25"/>
  <c r="DC32" i="25"/>
  <c r="CW32" i="25"/>
  <c r="CV32" i="25"/>
  <c r="CU32" i="25"/>
  <c r="DB32" i="25" s="1"/>
  <c r="CT32" i="25"/>
  <c r="CL32" i="25"/>
  <c r="CK32" i="25"/>
  <c r="CC32" i="25"/>
  <c r="CD32" i="25" s="1"/>
  <c r="BX32" i="25"/>
  <c r="BW32" i="25"/>
  <c r="BV32" i="25"/>
  <c r="BU32" i="25"/>
  <c r="BT32" i="25"/>
  <c r="BR32" i="25"/>
  <c r="BQ32" i="25"/>
  <c r="G32" i="25"/>
  <c r="DR31" i="25"/>
  <c r="DQ31" i="25"/>
  <c r="DP31" i="25"/>
  <c r="DO31" i="25"/>
  <c r="DN31" i="25"/>
  <c r="DM31" i="25"/>
  <c r="DL31" i="25"/>
  <c r="DK31" i="25"/>
  <c r="DJ31" i="25"/>
  <c r="DG31" i="25"/>
  <c r="DE31" i="25"/>
  <c r="DF31" i="25" s="1"/>
  <c r="DD31" i="25"/>
  <c r="DC31" i="25"/>
  <c r="CW31" i="25"/>
  <c r="CV31" i="25"/>
  <c r="CU31" i="25"/>
  <c r="DB31" i="25" s="1"/>
  <c r="CT31" i="25"/>
  <c r="CL31" i="25"/>
  <c r="CK31" i="25"/>
  <c r="CC31" i="25"/>
  <c r="CD31" i="25" s="1"/>
  <c r="BX31" i="25"/>
  <c r="BW31" i="25"/>
  <c r="BV31" i="25"/>
  <c r="BU31" i="25"/>
  <c r="BT31" i="25"/>
  <c r="BR31" i="25"/>
  <c r="BQ31" i="25"/>
  <c r="G31" i="25"/>
  <c r="DR30" i="25"/>
  <c r="DQ30" i="25"/>
  <c r="DP30" i="25"/>
  <c r="DO30" i="25"/>
  <c r="DN30" i="25"/>
  <c r="DM30" i="25"/>
  <c r="DL30" i="25"/>
  <c r="DK30" i="25"/>
  <c r="DJ30" i="25"/>
  <c r="DG30" i="25"/>
  <c r="DE30" i="25"/>
  <c r="DH30" i="25" s="1"/>
  <c r="DD30" i="25"/>
  <c r="DC30" i="25"/>
  <c r="CW30" i="25"/>
  <c r="CV30" i="25"/>
  <c r="CU30" i="25"/>
  <c r="DB30" i="25" s="1"/>
  <c r="CT30" i="25"/>
  <c r="CL30" i="25"/>
  <c r="CK30" i="25"/>
  <c r="CC30" i="25"/>
  <c r="CD30" i="25" s="1"/>
  <c r="BX30" i="25"/>
  <c r="BW30" i="25"/>
  <c r="BV30" i="25"/>
  <c r="BU30" i="25"/>
  <c r="BT30" i="25"/>
  <c r="BR30" i="25"/>
  <c r="BQ30" i="25"/>
  <c r="G30" i="25"/>
  <c r="DR29" i="25"/>
  <c r="DQ29" i="25"/>
  <c r="DP29" i="25"/>
  <c r="DO29" i="25"/>
  <c r="DN29" i="25"/>
  <c r="DM29" i="25"/>
  <c r="DL29" i="25"/>
  <c r="CP29" i="25" s="1"/>
  <c r="DK29" i="25"/>
  <c r="DJ29" i="25"/>
  <c r="DG29" i="25"/>
  <c r="DE29" i="25"/>
  <c r="DH29" i="25" s="1"/>
  <c r="DD29" i="25"/>
  <c r="DC29" i="25"/>
  <c r="CW29" i="25"/>
  <c r="CV29" i="25"/>
  <c r="CU29" i="25"/>
  <c r="DB29" i="25" s="1"/>
  <c r="CT29" i="25"/>
  <c r="CL29" i="25"/>
  <c r="CK29" i="25"/>
  <c r="CC29" i="25"/>
  <c r="CD29" i="25" s="1"/>
  <c r="BX29" i="25"/>
  <c r="BW29" i="25"/>
  <c r="BV29" i="25"/>
  <c r="BU29" i="25"/>
  <c r="BT29" i="25"/>
  <c r="BR29" i="25"/>
  <c r="BQ29" i="25"/>
  <c r="G29" i="25"/>
  <c r="DR28" i="25"/>
  <c r="DQ28" i="25"/>
  <c r="DP28" i="25"/>
  <c r="DO28" i="25"/>
  <c r="DN28" i="25"/>
  <c r="DM28" i="25"/>
  <c r="DL28" i="25"/>
  <c r="CO28" i="25" s="1"/>
  <c r="DK28" i="25"/>
  <c r="DJ28" i="25"/>
  <c r="DG28" i="25"/>
  <c r="DE28" i="25"/>
  <c r="DH28" i="25" s="1"/>
  <c r="DD28" i="25"/>
  <c r="DC28" i="25"/>
  <c r="CW28" i="25"/>
  <c r="CV28" i="25"/>
  <c r="CU28" i="25"/>
  <c r="DB28" i="25" s="1"/>
  <c r="CT28" i="25"/>
  <c r="CL28" i="25"/>
  <c r="CK28" i="25"/>
  <c r="CC28" i="25"/>
  <c r="CD28" i="25" s="1"/>
  <c r="BX28" i="25"/>
  <c r="BW28" i="25"/>
  <c r="BV28" i="25"/>
  <c r="BU28" i="25"/>
  <c r="BT28" i="25"/>
  <c r="BR28" i="25"/>
  <c r="BQ28" i="25"/>
  <c r="G28" i="25"/>
  <c r="DR27" i="25"/>
  <c r="DQ27" i="25"/>
  <c r="DP27" i="25"/>
  <c r="DO27" i="25"/>
  <c r="DN27" i="25"/>
  <c r="DM27" i="25"/>
  <c r="DL27" i="25"/>
  <c r="DK27" i="25"/>
  <c r="DJ27" i="25"/>
  <c r="DG27" i="25"/>
  <c r="DE27" i="25"/>
  <c r="DF27" i="25" s="1"/>
  <c r="DD27" i="25"/>
  <c r="DC27" i="25"/>
  <c r="CW27" i="25"/>
  <c r="CV27" i="25"/>
  <c r="CU27" i="25"/>
  <c r="DB27" i="25" s="1"/>
  <c r="CT27" i="25"/>
  <c r="CL27" i="25"/>
  <c r="CK27" i="25"/>
  <c r="CC27" i="25"/>
  <c r="CD27" i="25" s="1"/>
  <c r="BX27" i="25"/>
  <c r="BW27" i="25"/>
  <c r="BV27" i="25"/>
  <c r="BU27" i="25"/>
  <c r="BT27" i="25"/>
  <c r="BR27" i="25"/>
  <c r="BQ27" i="25"/>
  <c r="G27" i="25"/>
  <c r="DR26" i="25"/>
  <c r="DQ26" i="25"/>
  <c r="DP26" i="25"/>
  <c r="DO26" i="25"/>
  <c r="DN26" i="25"/>
  <c r="DM26" i="25"/>
  <c r="DL26" i="25"/>
  <c r="DK26" i="25"/>
  <c r="DJ26" i="25"/>
  <c r="DG26" i="25"/>
  <c r="DE26" i="25"/>
  <c r="DF26" i="25" s="1"/>
  <c r="DD26" i="25"/>
  <c r="DC26" i="25"/>
  <c r="CW26" i="25"/>
  <c r="CV26" i="25"/>
  <c r="CU26" i="25"/>
  <c r="DB26" i="25" s="1"/>
  <c r="CT26" i="25"/>
  <c r="CL26" i="25"/>
  <c r="CK26" i="25"/>
  <c r="CC26" i="25"/>
  <c r="CD26" i="25" s="1"/>
  <c r="BX26" i="25"/>
  <c r="BW26" i="25"/>
  <c r="BV26" i="25"/>
  <c r="BU26" i="25"/>
  <c r="BT26" i="25"/>
  <c r="BR26" i="25"/>
  <c r="BQ26" i="25"/>
  <c r="G26" i="25"/>
  <c r="DR25" i="25"/>
  <c r="DQ25" i="25"/>
  <c r="DP25" i="25"/>
  <c r="DO25" i="25"/>
  <c r="DN25" i="25"/>
  <c r="DM25" i="25"/>
  <c r="DL25" i="25"/>
  <c r="CO25" i="25" s="1"/>
  <c r="DK25" i="25"/>
  <c r="DJ25" i="25"/>
  <c r="DG25" i="25"/>
  <c r="DE25" i="25"/>
  <c r="DH25" i="25" s="1"/>
  <c r="DD25" i="25"/>
  <c r="DC25" i="25"/>
  <c r="CW25" i="25"/>
  <c r="CV25" i="25"/>
  <c r="CU25" i="25"/>
  <c r="DB25" i="25" s="1"/>
  <c r="CT25" i="25"/>
  <c r="CL25" i="25"/>
  <c r="CK25" i="25"/>
  <c r="CC25" i="25"/>
  <c r="CD25" i="25" s="1"/>
  <c r="BX25" i="25"/>
  <c r="BW25" i="25"/>
  <c r="BV25" i="25"/>
  <c r="BU25" i="25"/>
  <c r="BT25" i="25"/>
  <c r="BR25" i="25"/>
  <c r="BQ25" i="25"/>
  <c r="G25" i="25"/>
  <c r="DR24" i="25"/>
  <c r="DQ24" i="25"/>
  <c r="DP24" i="25"/>
  <c r="DO24" i="25"/>
  <c r="DN24" i="25"/>
  <c r="DM24" i="25"/>
  <c r="DL24" i="25"/>
  <c r="CQ24" i="25" s="1"/>
  <c r="CR24" i="25" s="1"/>
  <c r="DK24" i="25"/>
  <c r="DJ24" i="25"/>
  <c r="DG24" i="25"/>
  <c r="DE24" i="25"/>
  <c r="DH24" i="25" s="1"/>
  <c r="DD24" i="25"/>
  <c r="DC24" i="25"/>
  <c r="CW24" i="25"/>
  <c r="CV24" i="25"/>
  <c r="CU24" i="25"/>
  <c r="DB24" i="25" s="1"/>
  <c r="CT24" i="25"/>
  <c r="CL24" i="25"/>
  <c r="CK24" i="25"/>
  <c r="CC24" i="25"/>
  <c r="CD24" i="25" s="1"/>
  <c r="BX24" i="25"/>
  <c r="BW24" i="25"/>
  <c r="BV24" i="25"/>
  <c r="BU24" i="25"/>
  <c r="BT24" i="25"/>
  <c r="BR24" i="25"/>
  <c r="BQ24" i="25"/>
  <c r="G24" i="25"/>
  <c r="DR23" i="25"/>
  <c r="DQ23" i="25"/>
  <c r="DP23" i="25"/>
  <c r="DO23" i="25"/>
  <c r="DN23" i="25"/>
  <c r="DM23" i="25"/>
  <c r="DL23" i="25"/>
  <c r="CO23" i="25" s="1"/>
  <c r="DK23" i="25"/>
  <c r="DJ23" i="25"/>
  <c r="DG23" i="25"/>
  <c r="DE23" i="25"/>
  <c r="DF23" i="25" s="1"/>
  <c r="DD23" i="25"/>
  <c r="DC23" i="25"/>
  <c r="CW23" i="25"/>
  <c r="CV23" i="25"/>
  <c r="CU23" i="25"/>
  <c r="DB23" i="25" s="1"/>
  <c r="CT23" i="25"/>
  <c r="CL23" i="25"/>
  <c r="CK23" i="25"/>
  <c r="CC23" i="25"/>
  <c r="CD23" i="25" s="1"/>
  <c r="BX23" i="25"/>
  <c r="BW23" i="25"/>
  <c r="BV23" i="25"/>
  <c r="BU23" i="25"/>
  <c r="BT23" i="25"/>
  <c r="BR23" i="25"/>
  <c r="BQ23" i="25"/>
  <c r="G23" i="25"/>
  <c r="DR22" i="25"/>
  <c r="DQ22" i="25"/>
  <c r="DP22" i="25"/>
  <c r="DO22" i="25"/>
  <c r="DN22" i="25"/>
  <c r="DM22" i="25"/>
  <c r="DL22" i="25"/>
  <c r="DK22" i="25"/>
  <c r="DJ22" i="25"/>
  <c r="DG22" i="25"/>
  <c r="DE22" i="25"/>
  <c r="DF22" i="25" s="1"/>
  <c r="DD22" i="25"/>
  <c r="DC22" i="25"/>
  <c r="CW22" i="25"/>
  <c r="CV22" i="25"/>
  <c r="CU22" i="25"/>
  <c r="DB22" i="25" s="1"/>
  <c r="CT22" i="25"/>
  <c r="CL22" i="25"/>
  <c r="CK22" i="25"/>
  <c r="CC22" i="25"/>
  <c r="CD22" i="25" s="1"/>
  <c r="BX22" i="25"/>
  <c r="BW22" i="25"/>
  <c r="BV22" i="25"/>
  <c r="BU22" i="25"/>
  <c r="BT22" i="25"/>
  <c r="BR22" i="25"/>
  <c r="BQ22" i="25"/>
  <c r="G22" i="25"/>
  <c r="DR21" i="25"/>
  <c r="DQ21" i="25"/>
  <c r="DP21" i="25"/>
  <c r="DO21" i="25"/>
  <c r="DN21" i="25"/>
  <c r="DM21" i="25"/>
  <c r="DL21" i="25"/>
  <c r="CO21" i="25" s="1"/>
  <c r="DK21" i="25"/>
  <c r="DJ21" i="25"/>
  <c r="DG21" i="25"/>
  <c r="DE21" i="25"/>
  <c r="DH21" i="25" s="1"/>
  <c r="DD21" i="25"/>
  <c r="DC21" i="25"/>
  <c r="CW21" i="25"/>
  <c r="CV21" i="25"/>
  <c r="CU21" i="25"/>
  <c r="DB21" i="25" s="1"/>
  <c r="CT21" i="25"/>
  <c r="CL21" i="25"/>
  <c r="CK21" i="25"/>
  <c r="CC21" i="25"/>
  <c r="CD21" i="25" s="1"/>
  <c r="BX21" i="25"/>
  <c r="BW21" i="25"/>
  <c r="BV21" i="25"/>
  <c r="BU21" i="25"/>
  <c r="BT21" i="25"/>
  <c r="BR21" i="25"/>
  <c r="BQ21" i="25"/>
  <c r="G21" i="25"/>
  <c r="DR20" i="25"/>
  <c r="DQ20" i="25"/>
  <c r="DP20" i="25"/>
  <c r="DO20" i="25"/>
  <c r="DN20" i="25"/>
  <c r="DM20" i="25"/>
  <c r="DL20" i="25"/>
  <c r="CQ20" i="25" s="1"/>
  <c r="CR20" i="25" s="1"/>
  <c r="DK20" i="25"/>
  <c r="DJ20" i="25"/>
  <c r="DG20" i="25"/>
  <c r="DE20" i="25"/>
  <c r="DH20" i="25" s="1"/>
  <c r="DD20" i="25"/>
  <c r="DC20" i="25"/>
  <c r="CW20" i="25"/>
  <c r="CV20" i="25"/>
  <c r="CU20" i="25"/>
  <c r="DB20" i="25" s="1"/>
  <c r="CT20" i="25"/>
  <c r="CL20" i="25"/>
  <c r="CK20" i="25"/>
  <c r="CC20" i="25"/>
  <c r="CD20" i="25" s="1"/>
  <c r="BX20" i="25"/>
  <c r="BW20" i="25"/>
  <c r="BV20" i="25"/>
  <c r="BU20" i="25"/>
  <c r="BT20" i="25"/>
  <c r="BR20" i="25"/>
  <c r="BQ20" i="25"/>
  <c r="G20" i="25"/>
  <c r="DR19" i="25"/>
  <c r="DQ19" i="25"/>
  <c r="DP19" i="25"/>
  <c r="DO19" i="25"/>
  <c r="DN19" i="25"/>
  <c r="DM19" i="25"/>
  <c r="DL19" i="25"/>
  <c r="CQ19" i="25" s="1"/>
  <c r="CR19" i="25" s="1"/>
  <c r="DK19" i="25"/>
  <c r="DJ19" i="25"/>
  <c r="DG19" i="25"/>
  <c r="DE19" i="25"/>
  <c r="DF19" i="25" s="1"/>
  <c r="DD19" i="25"/>
  <c r="DC19" i="25"/>
  <c r="CW19" i="25"/>
  <c r="CV19" i="25"/>
  <c r="CU19" i="25"/>
  <c r="DB19" i="25" s="1"/>
  <c r="CT19" i="25"/>
  <c r="CL19" i="25"/>
  <c r="CK19" i="25"/>
  <c r="CC19" i="25"/>
  <c r="CD19" i="25" s="1"/>
  <c r="BX19" i="25"/>
  <c r="BW19" i="25"/>
  <c r="BV19" i="25"/>
  <c r="BU19" i="25"/>
  <c r="BT19" i="25"/>
  <c r="BR19" i="25"/>
  <c r="BQ19" i="25"/>
  <c r="G19" i="25"/>
  <c r="DR18" i="25"/>
  <c r="DQ18" i="25"/>
  <c r="DP18" i="25"/>
  <c r="DO18" i="25"/>
  <c r="DN18" i="25"/>
  <c r="DM18" i="25"/>
  <c r="DL18" i="25"/>
  <c r="CP18" i="25" s="1"/>
  <c r="DK18" i="25"/>
  <c r="DJ18" i="25"/>
  <c r="DG18" i="25"/>
  <c r="DE18" i="25"/>
  <c r="DH18" i="25" s="1"/>
  <c r="DD18" i="25"/>
  <c r="DC18" i="25"/>
  <c r="CW18" i="25"/>
  <c r="CV18" i="25"/>
  <c r="CU18" i="25"/>
  <c r="DB18" i="25" s="1"/>
  <c r="CT18" i="25"/>
  <c r="CL18" i="25"/>
  <c r="CK18" i="25"/>
  <c r="CC18" i="25"/>
  <c r="CD18" i="25" s="1"/>
  <c r="BX18" i="25"/>
  <c r="BW18" i="25"/>
  <c r="BV18" i="25"/>
  <c r="BU18" i="25"/>
  <c r="BT18" i="25"/>
  <c r="BR18" i="25"/>
  <c r="BQ18" i="25"/>
  <c r="G18" i="25"/>
  <c r="DR17" i="25"/>
  <c r="DQ17" i="25"/>
  <c r="DP17" i="25"/>
  <c r="DO17" i="25"/>
  <c r="DN17" i="25"/>
  <c r="DM17" i="25"/>
  <c r="DL17" i="25"/>
  <c r="CO17" i="25" s="1"/>
  <c r="DK17" i="25"/>
  <c r="DJ17" i="25"/>
  <c r="DG17" i="25"/>
  <c r="DE17" i="25"/>
  <c r="DF17" i="25" s="1"/>
  <c r="DD17" i="25"/>
  <c r="DC17" i="25"/>
  <c r="CW17" i="25"/>
  <c r="CV17" i="25"/>
  <c r="CU17" i="25"/>
  <c r="DB17" i="25" s="1"/>
  <c r="CT17" i="25"/>
  <c r="CL17" i="25"/>
  <c r="CK17" i="25"/>
  <c r="CC17" i="25"/>
  <c r="CD17" i="25" s="1"/>
  <c r="BX17" i="25"/>
  <c r="BW17" i="25"/>
  <c r="BV17" i="25"/>
  <c r="BU17" i="25"/>
  <c r="BT17" i="25"/>
  <c r="BR17" i="25"/>
  <c r="BQ17" i="25"/>
  <c r="G17" i="25"/>
  <c r="DR16" i="25"/>
  <c r="DQ16" i="25"/>
  <c r="DP16" i="25"/>
  <c r="DO16" i="25"/>
  <c r="DN16" i="25"/>
  <c r="DM16" i="25"/>
  <c r="DL16" i="25"/>
  <c r="CP16" i="25" s="1"/>
  <c r="DK16" i="25"/>
  <c r="DJ16" i="25"/>
  <c r="DG16" i="25"/>
  <c r="DE16" i="25"/>
  <c r="DF16" i="25" s="1"/>
  <c r="DD16" i="25"/>
  <c r="DC16" i="25"/>
  <c r="CW16" i="25"/>
  <c r="CV16" i="25"/>
  <c r="CU16" i="25"/>
  <c r="DB16" i="25" s="1"/>
  <c r="CT16" i="25"/>
  <c r="CL16" i="25"/>
  <c r="CK16" i="25"/>
  <c r="CC16" i="25"/>
  <c r="CD16" i="25" s="1"/>
  <c r="BX16" i="25"/>
  <c r="BW16" i="25"/>
  <c r="BV16" i="25"/>
  <c r="BU16" i="25"/>
  <c r="BT16" i="25"/>
  <c r="BR16" i="25"/>
  <c r="BQ16" i="25"/>
  <c r="G16" i="25"/>
  <c r="DR15" i="25"/>
  <c r="DQ15" i="25"/>
  <c r="DP15" i="25"/>
  <c r="DO15" i="25"/>
  <c r="DN15" i="25"/>
  <c r="DM15" i="25"/>
  <c r="DL15" i="25"/>
  <c r="CQ15" i="25" s="1"/>
  <c r="CR15" i="25" s="1"/>
  <c r="DK15" i="25"/>
  <c r="DJ15" i="25"/>
  <c r="DG15" i="25"/>
  <c r="DE15" i="25"/>
  <c r="DF15" i="25" s="1"/>
  <c r="DD15" i="25"/>
  <c r="DC15" i="25"/>
  <c r="CW15" i="25"/>
  <c r="CV15" i="25"/>
  <c r="CU15" i="25"/>
  <c r="DB15" i="25" s="1"/>
  <c r="CT15" i="25"/>
  <c r="CL15" i="25"/>
  <c r="CK15" i="25"/>
  <c r="CC15" i="25"/>
  <c r="CD15" i="25" s="1"/>
  <c r="BX15" i="25"/>
  <c r="BW15" i="25"/>
  <c r="BV15" i="25"/>
  <c r="BU15" i="25"/>
  <c r="BT15" i="25"/>
  <c r="BR15" i="25"/>
  <c r="BQ15" i="25"/>
  <c r="G15" i="25"/>
  <c r="DR14" i="25"/>
  <c r="DQ14" i="25"/>
  <c r="DP14" i="25"/>
  <c r="DO14" i="25"/>
  <c r="DN14" i="25"/>
  <c r="DM14" i="25"/>
  <c r="DL14" i="25"/>
  <c r="CP14" i="25" s="1"/>
  <c r="DK14" i="25"/>
  <c r="DJ14" i="25"/>
  <c r="DG14" i="25"/>
  <c r="DE14" i="25"/>
  <c r="DH14" i="25" s="1"/>
  <c r="DD14" i="25"/>
  <c r="DC14" i="25"/>
  <c r="CW14" i="25"/>
  <c r="CV14" i="25"/>
  <c r="CU14" i="25"/>
  <c r="DB14" i="25" s="1"/>
  <c r="CT14" i="25"/>
  <c r="CL14" i="25"/>
  <c r="CK14" i="25"/>
  <c r="CC14" i="25"/>
  <c r="CD14" i="25" s="1"/>
  <c r="BX14" i="25"/>
  <c r="BW14" i="25"/>
  <c r="BV14" i="25"/>
  <c r="BU14" i="25"/>
  <c r="BT14" i="25"/>
  <c r="BR14" i="25"/>
  <c r="BQ14" i="25"/>
  <c r="G14" i="25"/>
  <c r="DR13" i="25"/>
  <c r="DQ13" i="25"/>
  <c r="DP13" i="25"/>
  <c r="DO13" i="25"/>
  <c r="DN13" i="25"/>
  <c r="DM13" i="25"/>
  <c r="DL13" i="25"/>
  <c r="CO13" i="25" s="1"/>
  <c r="DK13" i="25"/>
  <c r="DJ13" i="25"/>
  <c r="DG13" i="25"/>
  <c r="DE13" i="25"/>
  <c r="DF13" i="25" s="1"/>
  <c r="DD13" i="25"/>
  <c r="DC13" i="25"/>
  <c r="CW13" i="25"/>
  <c r="CV13" i="25"/>
  <c r="CU13" i="25"/>
  <c r="DB13" i="25" s="1"/>
  <c r="CT13" i="25"/>
  <c r="CL13" i="25"/>
  <c r="CK13" i="25"/>
  <c r="CC13" i="25"/>
  <c r="CD13" i="25" s="1"/>
  <c r="BX13" i="25"/>
  <c r="BW13" i="25"/>
  <c r="BV13" i="25"/>
  <c r="BU13" i="25"/>
  <c r="BT13" i="25"/>
  <c r="BR13" i="25"/>
  <c r="BQ13" i="25"/>
  <c r="G13" i="25"/>
  <c r="DR12" i="25"/>
  <c r="DQ12" i="25"/>
  <c r="DP12" i="25"/>
  <c r="DO12" i="25"/>
  <c r="DN12" i="25"/>
  <c r="DM12" i="25"/>
  <c r="DL12" i="25"/>
  <c r="CQ12" i="25" s="1"/>
  <c r="CR12" i="25" s="1"/>
  <c r="DK12" i="25"/>
  <c r="DJ12" i="25"/>
  <c r="DG12" i="25"/>
  <c r="DE12" i="25"/>
  <c r="DH12" i="25" s="1"/>
  <c r="DD12" i="25"/>
  <c r="DC12" i="25"/>
  <c r="CW12" i="25"/>
  <c r="CV12" i="25"/>
  <c r="CU12" i="25"/>
  <c r="DB12" i="25" s="1"/>
  <c r="CT12" i="25"/>
  <c r="CL12" i="25"/>
  <c r="CK12" i="25"/>
  <c r="CC12" i="25"/>
  <c r="CD12" i="25" s="1"/>
  <c r="BX12" i="25"/>
  <c r="BW12" i="25"/>
  <c r="BV12" i="25"/>
  <c r="BU12" i="25"/>
  <c r="BT12" i="25"/>
  <c r="BR12" i="25"/>
  <c r="BQ12" i="25"/>
  <c r="G12" i="25"/>
  <c r="DR11" i="25"/>
  <c r="DQ11" i="25"/>
  <c r="DP11" i="25"/>
  <c r="DO11" i="25"/>
  <c r="DN11" i="25"/>
  <c r="DM11" i="25"/>
  <c r="DL11" i="25"/>
  <c r="CQ11" i="25" s="1"/>
  <c r="CR11" i="25" s="1"/>
  <c r="DK11" i="25"/>
  <c r="DJ11" i="25"/>
  <c r="DG11" i="25"/>
  <c r="DE11" i="25"/>
  <c r="DF11" i="25" s="1"/>
  <c r="DD11" i="25"/>
  <c r="DC11" i="25"/>
  <c r="CW11" i="25"/>
  <c r="CV11" i="25"/>
  <c r="CU11" i="25"/>
  <c r="DB11" i="25" s="1"/>
  <c r="CT11" i="25"/>
  <c r="CL11" i="25"/>
  <c r="CK11" i="25"/>
  <c r="CC11" i="25"/>
  <c r="CD11" i="25" s="1"/>
  <c r="BX11" i="25"/>
  <c r="BW11" i="25"/>
  <c r="BV11" i="25"/>
  <c r="BU11" i="25"/>
  <c r="BT11" i="25"/>
  <c r="BR11" i="25"/>
  <c r="BQ11" i="25"/>
  <c r="G11" i="25"/>
  <c r="DR10" i="25"/>
  <c r="DQ10" i="25"/>
  <c r="DP10" i="25"/>
  <c r="DO10" i="25"/>
  <c r="DN10" i="25"/>
  <c r="DM10" i="25"/>
  <c r="DL10" i="25"/>
  <c r="CP10" i="25" s="1"/>
  <c r="DK10" i="25"/>
  <c r="DJ10" i="25"/>
  <c r="DG10" i="25"/>
  <c r="DE10" i="25"/>
  <c r="DF10" i="25" s="1"/>
  <c r="DD10" i="25"/>
  <c r="DC10" i="25"/>
  <c r="CW10" i="25"/>
  <c r="CV10" i="25"/>
  <c r="CU10" i="25"/>
  <c r="DB10" i="25" s="1"/>
  <c r="CT10" i="25"/>
  <c r="CL10" i="25"/>
  <c r="CK10" i="25"/>
  <c r="CC10" i="25"/>
  <c r="CD10" i="25" s="1"/>
  <c r="BX10" i="25"/>
  <c r="BW10" i="25"/>
  <c r="BV10" i="25"/>
  <c r="BU10" i="25"/>
  <c r="BT10" i="25"/>
  <c r="BR10" i="25"/>
  <c r="BQ10" i="25"/>
  <c r="G10" i="25"/>
  <c r="DR9" i="25"/>
  <c r="DQ9" i="25"/>
  <c r="DP9" i="25"/>
  <c r="DO9" i="25"/>
  <c r="DN9" i="25"/>
  <c r="DM9" i="25"/>
  <c r="DL9" i="25"/>
  <c r="CO9" i="25" s="1"/>
  <c r="DK9" i="25"/>
  <c r="DJ9" i="25"/>
  <c r="DG9" i="25"/>
  <c r="DE9" i="25"/>
  <c r="DF9" i="25" s="1"/>
  <c r="DD9" i="25"/>
  <c r="DC9" i="25"/>
  <c r="CW9" i="25"/>
  <c r="CV9" i="25"/>
  <c r="CU9" i="25"/>
  <c r="DB9" i="25" s="1"/>
  <c r="CT9" i="25"/>
  <c r="CL9" i="25"/>
  <c r="CK9" i="25"/>
  <c r="CC9" i="25"/>
  <c r="CD9" i="25" s="1"/>
  <c r="BX9" i="25"/>
  <c r="BW9" i="25"/>
  <c r="BV9" i="25"/>
  <c r="BU9" i="25"/>
  <c r="BT9" i="25"/>
  <c r="BR9" i="25"/>
  <c r="BQ9" i="25"/>
  <c r="G9" i="25"/>
  <c r="DR8" i="25"/>
  <c r="DQ8" i="25"/>
  <c r="DP8" i="25"/>
  <c r="DO8" i="25"/>
  <c r="DN8" i="25"/>
  <c r="DM8" i="25"/>
  <c r="DL8" i="25"/>
  <c r="CP8" i="25" s="1"/>
  <c r="DK8" i="25"/>
  <c r="DJ8" i="25"/>
  <c r="DG8" i="25"/>
  <c r="DE8" i="25"/>
  <c r="DH8" i="25" s="1"/>
  <c r="DD8" i="25"/>
  <c r="DC8" i="25"/>
  <c r="CW8" i="25"/>
  <c r="CV8" i="25"/>
  <c r="CU8" i="25"/>
  <c r="DB8" i="25" s="1"/>
  <c r="CT8" i="25"/>
  <c r="CL8" i="25"/>
  <c r="CK8" i="25"/>
  <c r="CC8" i="25"/>
  <c r="BX8" i="25"/>
  <c r="BW8" i="25"/>
  <c r="BV8" i="25"/>
  <c r="BU8" i="25"/>
  <c r="BT8" i="25"/>
  <c r="BR8" i="25"/>
  <c r="BQ8" i="25"/>
  <c r="G8" i="25"/>
  <c r="X131" i="89"/>
  <c r="G28" i="89"/>
  <c r="L143" i="92"/>
  <c r="J244" i="92"/>
  <c r="H144" i="89"/>
  <c r="D147" i="92"/>
  <c r="D488" i="92"/>
  <c r="C144" i="92"/>
  <c r="U147" i="92"/>
  <c r="X143" i="89"/>
  <c r="G38" i="89"/>
  <c r="T148" i="92"/>
  <c r="C149" i="92"/>
  <c r="E189" i="92"/>
  <c r="C147" i="92"/>
  <c r="T147" i="92"/>
  <c r="L145" i="92"/>
  <c r="D173" i="92"/>
  <c r="X102" i="89"/>
  <c r="D190" i="92"/>
  <c r="F488" i="92"/>
  <c r="T145" i="92"/>
  <c r="H142" i="89"/>
  <c r="C143" i="92"/>
  <c r="C83" i="92"/>
  <c r="D145" i="92"/>
  <c r="U149" i="92"/>
  <c r="K252" i="92"/>
  <c r="X245" i="92"/>
  <c r="C82" i="92"/>
  <c r="H489" i="92"/>
  <c r="L144" i="92"/>
  <c r="C145" i="92"/>
  <c r="D22" i="89"/>
  <c r="X243" i="92"/>
  <c r="T146" i="92"/>
  <c r="P255" i="92"/>
  <c r="U146" i="92"/>
  <c r="M149" i="92"/>
  <c r="F490" i="92"/>
  <c r="G37" i="89"/>
  <c r="D143" i="92"/>
  <c r="E174" i="92"/>
  <c r="L147" i="92"/>
  <c r="G44" i="89"/>
  <c r="X142" i="89"/>
  <c r="M145" i="92"/>
  <c r="E488" i="92"/>
  <c r="G30" i="89"/>
  <c r="G489" i="92"/>
  <c r="J255" i="92"/>
  <c r="M148" i="92"/>
  <c r="C190" i="92"/>
  <c r="D83" i="92"/>
  <c r="X244" i="92"/>
  <c r="H129" i="89"/>
  <c r="X242" i="92"/>
  <c r="D188" i="92"/>
  <c r="C146" i="92"/>
  <c r="G39" i="89"/>
  <c r="F489" i="92"/>
  <c r="G35" i="89"/>
  <c r="M146" i="92"/>
  <c r="M144" i="92"/>
  <c r="X129" i="89"/>
  <c r="E172" i="92"/>
  <c r="E173" i="92"/>
  <c r="P258" i="92"/>
  <c r="Q243" i="92"/>
  <c r="G34" i="89"/>
  <c r="G490" i="92"/>
  <c r="F172" i="92"/>
  <c r="J242" i="92"/>
  <c r="J245" i="92"/>
  <c r="AU101" i="89"/>
  <c r="G32" i="89"/>
  <c r="T149" i="92"/>
  <c r="G33" i="89"/>
  <c r="D490" i="92"/>
  <c r="T144" i="92"/>
  <c r="G31" i="89"/>
  <c r="F174" i="92"/>
  <c r="X130" i="89"/>
  <c r="H102" i="89"/>
  <c r="E190" i="92"/>
  <c r="L146" i="92"/>
  <c r="H116" i="89"/>
  <c r="C189" i="92"/>
  <c r="D174" i="92"/>
  <c r="D11" i="89"/>
  <c r="U143" i="92"/>
  <c r="D144" i="92"/>
  <c r="M143" i="92"/>
  <c r="AU102" i="89"/>
  <c r="G41" i="89"/>
  <c r="G43" i="89"/>
  <c r="E188" i="92"/>
  <c r="L148" i="92"/>
  <c r="D81" i="92"/>
  <c r="D172" i="92"/>
  <c r="G40" i="89"/>
  <c r="G42" i="89"/>
  <c r="D189" i="92"/>
  <c r="H103" i="89"/>
  <c r="G27" i="89"/>
  <c r="P257" i="92"/>
  <c r="D149" i="92"/>
  <c r="X144" i="89"/>
  <c r="G26" i="89"/>
  <c r="C148" i="92"/>
  <c r="G488" i="92"/>
  <c r="U148" i="92"/>
  <c r="AU103" i="89"/>
  <c r="AQ130" i="89"/>
  <c r="G45" i="89"/>
  <c r="K239" i="92"/>
  <c r="Q242" i="92"/>
  <c r="H488" i="92"/>
  <c r="D148" i="92"/>
  <c r="G36" i="89"/>
  <c r="M147" i="92"/>
  <c r="Q252" i="92"/>
  <c r="H130" i="89"/>
  <c r="H101" i="89"/>
  <c r="C188" i="92"/>
  <c r="F173" i="92"/>
  <c r="H143" i="89"/>
  <c r="H490" i="92"/>
  <c r="C81" i="92"/>
  <c r="Q244" i="92"/>
  <c r="D82" i="92"/>
  <c r="X103" i="89"/>
  <c r="X101" i="89"/>
  <c r="E489" i="92"/>
  <c r="U145" i="92"/>
  <c r="H131" i="89"/>
  <c r="AQ129" i="89"/>
  <c r="C172" i="92"/>
  <c r="J243" i="92"/>
  <c r="R239" i="92"/>
  <c r="C174" i="92"/>
  <c r="E490" i="92"/>
  <c r="D489" i="92"/>
  <c r="H115" i="89"/>
  <c r="G29" i="89"/>
  <c r="L149" i="92"/>
  <c r="C173" i="92"/>
  <c r="Y239" i="92"/>
  <c r="T143" i="92"/>
  <c r="H117" i="89"/>
  <c r="Q245" i="92"/>
  <c r="CM388" i="25" l="1"/>
  <c r="CS388" i="25" s="1"/>
  <c r="BS115" i="25"/>
  <c r="BS131" i="25"/>
  <c r="BS138" i="25"/>
  <c r="CO159" i="25"/>
  <c r="CX81" i="25"/>
  <c r="CY81" i="25" s="1"/>
  <c r="CZ81" i="25" s="1"/>
  <c r="DA81" i="25" s="1"/>
  <c r="CX222" i="25"/>
  <c r="CY222" i="25" s="1"/>
  <c r="CZ222" i="25" s="1"/>
  <c r="DA222" i="25" s="1"/>
  <c r="CX253" i="25"/>
  <c r="CY253" i="25" s="1"/>
  <c r="CZ253" i="25" s="1"/>
  <c r="DA253" i="25" s="1"/>
  <c r="CQ385" i="25"/>
  <c r="CR385" i="25" s="1"/>
  <c r="BS544" i="25"/>
  <c r="CM318" i="25"/>
  <c r="CS318" i="25" s="1"/>
  <c r="BS367" i="25"/>
  <c r="CX380" i="25"/>
  <c r="CY380" i="25" s="1"/>
  <c r="CZ380" i="25" s="1"/>
  <c r="DA380" i="25" s="1"/>
  <c r="CX382" i="25"/>
  <c r="CY382" i="25" s="1"/>
  <c r="CZ382" i="25" s="1"/>
  <c r="DA382" i="25" s="1"/>
  <c r="BS383" i="25"/>
  <c r="CX509" i="25"/>
  <c r="CY509" i="25" s="1"/>
  <c r="CZ509" i="25" s="1"/>
  <c r="DA509" i="25" s="1"/>
  <c r="CX18" i="25"/>
  <c r="BS221" i="25"/>
  <c r="DH317" i="25"/>
  <c r="CN353" i="25"/>
  <c r="CM371" i="25"/>
  <c r="CS371" i="25" s="1"/>
  <c r="CN379" i="25"/>
  <c r="N30" i="89"/>
  <c r="M30" i="89"/>
  <c r="L30" i="89"/>
  <c r="K30" i="89"/>
  <c r="J30" i="89"/>
  <c r="H30" i="89"/>
  <c r="I30" i="89" s="1"/>
  <c r="D68" i="89"/>
  <c r="O30" i="89"/>
  <c r="N42" i="89"/>
  <c r="M42" i="89"/>
  <c r="L42" i="89"/>
  <c r="K42" i="89"/>
  <c r="J42" i="89"/>
  <c r="H42" i="89"/>
  <c r="I42" i="89" s="1"/>
  <c r="O42" i="89"/>
  <c r="AV102" i="89"/>
  <c r="I116" i="89"/>
  <c r="Y143" i="89"/>
  <c r="X144" i="92"/>
  <c r="D23" i="89"/>
  <c r="M31" i="89"/>
  <c r="L31" i="89"/>
  <c r="K31" i="89"/>
  <c r="J31" i="89"/>
  <c r="D69" i="89"/>
  <c r="H31" i="89"/>
  <c r="I31" i="89" s="1"/>
  <c r="O31" i="89"/>
  <c r="N31" i="89"/>
  <c r="M43" i="89"/>
  <c r="L43" i="89"/>
  <c r="K43" i="89"/>
  <c r="J43" i="89"/>
  <c r="H43" i="89"/>
  <c r="I43" i="89" s="1"/>
  <c r="O43" i="89"/>
  <c r="N43" i="89"/>
  <c r="AU104" i="89"/>
  <c r="AV101" i="89"/>
  <c r="AR129" i="89"/>
  <c r="I131" i="89"/>
  <c r="I142" i="89"/>
  <c r="L32" i="89"/>
  <c r="K32" i="89"/>
  <c r="J32" i="89"/>
  <c r="D70" i="89"/>
  <c r="E70" i="89" s="1"/>
  <c r="H32" i="89"/>
  <c r="I32" i="89" s="1"/>
  <c r="O32" i="89"/>
  <c r="N32" i="89"/>
  <c r="M32" i="89"/>
  <c r="L44" i="89"/>
  <c r="K44" i="89"/>
  <c r="J44" i="89"/>
  <c r="H44" i="89"/>
  <c r="I44" i="89" s="1"/>
  <c r="O44" i="89"/>
  <c r="N44" i="89"/>
  <c r="M44" i="89"/>
  <c r="I103" i="89"/>
  <c r="I117" i="89"/>
  <c r="I144" i="89"/>
  <c r="X143" i="92"/>
  <c r="G145" i="92"/>
  <c r="K33" i="89"/>
  <c r="D71" i="89"/>
  <c r="J33" i="89"/>
  <c r="H33" i="89"/>
  <c r="I33" i="89" s="1"/>
  <c r="O33" i="89"/>
  <c r="N33" i="89"/>
  <c r="M33" i="89"/>
  <c r="L33" i="89"/>
  <c r="K45" i="89"/>
  <c r="J45" i="89"/>
  <c r="H45" i="89"/>
  <c r="I45" i="89" s="1"/>
  <c r="O45" i="89"/>
  <c r="N45" i="89"/>
  <c r="M45" i="89"/>
  <c r="L45" i="89"/>
  <c r="I102" i="89"/>
  <c r="I130" i="89"/>
  <c r="Y131" i="89"/>
  <c r="K242" i="92"/>
  <c r="K243" i="92"/>
  <c r="K244" i="92"/>
  <c r="K245" i="92"/>
  <c r="J26" i="89"/>
  <c r="H26" i="89"/>
  <c r="I26" i="89" s="1"/>
  <c r="O26" i="89"/>
  <c r="N26" i="89"/>
  <c r="M26" i="89"/>
  <c r="L26" i="89"/>
  <c r="D56" i="89"/>
  <c r="K26" i="89"/>
  <c r="J34" i="89"/>
  <c r="H34" i="89"/>
  <c r="I34" i="89" s="1"/>
  <c r="O34" i="89"/>
  <c r="N34" i="89"/>
  <c r="M34" i="89"/>
  <c r="L34" i="89"/>
  <c r="D79" i="89"/>
  <c r="K34" i="89"/>
  <c r="J38" i="89"/>
  <c r="H38" i="89"/>
  <c r="I38" i="89" s="1"/>
  <c r="O38" i="89"/>
  <c r="N38" i="89"/>
  <c r="M38" i="89"/>
  <c r="L38" i="89"/>
  <c r="K38" i="89"/>
  <c r="I101" i="89"/>
  <c r="H104" i="89"/>
  <c r="H105" i="89" s="1"/>
  <c r="Y142" i="89"/>
  <c r="Y144" i="89"/>
  <c r="G143" i="92"/>
  <c r="G144" i="92"/>
  <c r="P145" i="92"/>
  <c r="R243" i="92"/>
  <c r="R244" i="92"/>
  <c r="R245" i="92"/>
  <c r="R242" i="92"/>
  <c r="H27" i="89"/>
  <c r="I27" i="89" s="1"/>
  <c r="O27" i="89"/>
  <c r="N27" i="89"/>
  <c r="M27" i="89"/>
  <c r="D57" i="89"/>
  <c r="L27" i="89"/>
  <c r="K27" i="89"/>
  <c r="J27" i="89"/>
  <c r="H35" i="89"/>
  <c r="I35" i="89" s="1"/>
  <c r="O35" i="89"/>
  <c r="N35" i="89"/>
  <c r="M35" i="89"/>
  <c r="D80" i="89"/>
  <c r="L35" i="89"/>
  <c r="K35" i="89"/>
  <c r="J35" i="89"/>
  <c r="H39" i="89"/>
  <c r="I39" i="89" s="1"/>
  <c r="O39" i="89"/>
  <c r="N39" i="89"/>
  <c r="M39" i="89"/>
  <c r="L39" i="89"/>
  <c r="K39" i="89"/>
  <c r="J39" i="89"/>
  <c r="Y103" i="89"/>
  <c r="H132" i="89"/>
  <c r="Y130" i="89"/>
  <c r="D146" i="92"/>
  <c r="Y244" i="92"/>
  <c r="Y245" i="92"/>
  <c r="Y242" i="92"/>
  <c r="Y243" i="92"/>
  <c r="H28" i="89"/>
  <c r="I28" i="89" s="1"/>
  <c r="O28" i="89"/>
  <c r="N28" i="89"/>
  <c r="D58" i="89"/>
  <c r="E58" i="89" s="1"/>
  <c r="M28" i="89"/>
  <c r="L28" i="89"/>
  <c r="K28" i="89"/>
  <c r="J28" i="89"/>
  <c r="H36" i="89"/>
  <c r="I36" i="89" s="1"/>
  <c r="O36" i="89"/>
  <c r="N36" i="89"/>
  <c r="D81" i="89"/>
  <c r="E81" i="89" s="1"/>
  <c r="M36" i="89"/>
  <c r="L36" i="89"/>
  <c r="K36" i="89"/>
  <c r="J36" i="89"/>
  <c r="H40" i="89"/>
  <c r="I40" i="89" s="1"/>
  <c r="O40" i="89"/>
  <c r="N40" i="89"/>
  <c r="M40" i="89"/>
  <c r="L40" i="89"/>
  <c r="K40" i="89"/>
  <c r="J40" i="89"/>
  <c r="Y102" i="89"/>
  <c r="I115" i="89"/>
  <c r="H118" i="89"/>
  <c r="I143" i="89"/>
  <c r="P144" i="92"/>
  <c r="X145" i="92"/>
  <c r="K257" i="92"/>
  <c r="K258" i="92"/>
  <c r="K255" i="92"/>
  <c r="O29" i="89"/>
  <c r="D59" i="89"/>
  <c r="N29" i="89"/>
  <c r="M29" i="89"/>
  <c r="L29" i="89"/>
  <c r="K29" i="89"/>
  <c r="J29" i="89"/>
  <c r="H29" i="89"/>
  <c r="I29" i="89" s="1"/>
  <c r="O37" i="89"/>
  <c r="D82" i="89"/>
  <c r="N37" i="89"/>
  <c r="M37" i="89"/>
  <c r="L37" i="89"/>
  <c r="K37" i="89"/>
  <c r="J37" i="89"/>
  <c r="H37" i="89"/>
  <c r="I37" i="89" s="1"/>
  <c r="O41" i="89"/>
  <c r="N41" i="89"/>
  <c r="M41" i="89"/>
  <c r="L41" i="89"/>
  <c r="K41" i="89"/>
  <c r="J41" i="89"/>
  <c r="H41" i="89"/>
  <c r="I41" i="89" s="1"/>
  <c r="X104" i="89"/>
  <c r="Y101" i="89"/>
  <c r="AV103" i="89"/>
  <c r="X132" i="89"/>
  <c r="Y129" i="89"/>
  <c r="AR130" i="89"/>
  <c r="P143" i="92"/>
  <c r="Q257" i="92"/>
  <c r="Q258" i="92"/>
  <c r="Q255" i="92"/>
  <c r="CQ28" i="25"/>
  <c r="CR28" i="25" s="1"/>
  <c r="CO107" i="25"/>
  <c r="CN174" i="25"/>
  <c r="CO271" i="25"/>
  <c r="CP330" i="25"/>
  <c r="CN335" i="25"/>
  <c r="CX316" i="25"/>
  <c r="CY316" i="25" s="1"/>
  <c r="CZ316" i="25" s="1"/>
  <c r="DA316" i="25" s="1"/>
  <c r="BS266" i="25"/>
  <c r="BS120" i="25"/>
  <c r="CN175" i="25"/>
  <c r="DF177" i="25"/>
  <c r="CO141" i="25"/>
  <c r="CM145" i="25"/>
  <c r="CS145" i="25" s="1"/>
  <c r="BS73" i="25"/>
  <c r="CX74" i="25"/>
  <c r="CY74" i="25" s="1"/>
  <c r="CZ74" i="25" s="1"/>
  <c r="DA74" i="25" s="1"/>
  <c r="BS228" i="25"/>
  <c r="CX241" i="25"/>
  <c r="CY241" i="25" s="1"/>
  <c r="CZ241" i="25" s="1"/>
  <c r="DA241" i="25" s="1"/>
  <c r="CX245" i="25"/>
  <c r="CY245" i="25" s="1"/>
  <c r="CZ245" i="25" s="1"/>
  <c r="DA245" i="25" s="1"/>
  <c r="BS48" i="25"/>
  <c r="BS50" i="25"/>
  <c r="BS52" i="25"/>
  <c r="BS56" i="25"/>
  <c r="BS60" i="25"/>
  <c r="BS124" i="25"/>
  <c r="CX173" i="25"/>
  <c r="CY173" i="25" s="1"/>
  <c r="CZ173" i="25" s="1"/>
  <c r="DA173" i="25" s="1"/>
  <c r="CP196" i="25"/>
  <c r="BS521" i="25"/>
  <c r="CN122" i="25"/>
  <c r="DH205" i="25"/>
  <c r="CO311" i="25"/>
  <c r="BS519" i="25"/>
  <c r="CP537" i="25"/>
  <c r="CM214" i="25"/>
  <c r="CS214" i="25" s="1"/>
  <c r="CM222" i="25"/>
  <c r="CS222" i="25" s="1"/>
  <c r="CN247" i="25"/>
  <c r="CX268" i="25"/>
  <c r="CY268" i="25" s="1"/>
  <c r="CZ268" i="25" s="1"/>
  <c r="DA268" i="25" s="1"/>
  <c r="CQ247" i="25"/>
  <c r="CR247" i="25" s="1"/>
  <c r="CN259" i="25"/>
  <c r="CX276" i="25"/>
  <c r="CY276" i="25" s="1"/>
  <c r="CZ276" i="25" s="1"/>
  <c r="DA276" i="25" s="1"/>
  <c r="CM197" i="25"/>
  <c r="CS197" i="25" s="1"/>
  <c r="CX212" i="25"/>
  <c r="CY212" i="25" s="1"/>
  <c r="CZ212" i="25" s="1"/>
  <c r="DA212" i="25" s="1"/>
  <c r="CO239" i="25"/>
  <c r="CX280" i="25"/>
  <c r="CY280" i="25" s="1"/>
  <c r="CZ280" i="25" s="1"/>
  <c r="DA280" i="25" s="1"/>
  <c r="CM316" i="25"/>
  <c r="CS316" i="25" s="1"/>
  <c r="CO24" i="25"/>
  <c r="DH78" i="25"/>
  <c r="BS185" i="25"/>
  <c r="CX188" i="25"/>
  <c r="CY188" i="25" s="1"/>
  <c r="CZ188" i="25" s="1"/>
  <c r="DA188" i="25" s="1"/>
  <c r="CX180" i="25"/>
  <c r="CY180" i="25" s="1"/>
  <c r="CZ180" i="25" s="1"/>
  <c r="DA180" i="25" s="1"/>
  <c r="CO196" i="25"/>
  <c r="CP247" i="25"/>
  <c r="CX290" i="25"/>
  <c r="CY290" i="25" s="1"/>
  <c r="CZ290" i="25" s="1"/>
  <c r="DA290" i="25" s="1"/>
  <c r="DF326" i="25"/>
  <c r="CX329" i="25"/>
  <c r="CY329" i="25" s="1"/>
  <c r="CZ329" i="25" s="1"/>
  <c r="DA329" i="25" s="1"/>
  <c r="CM533" i="25"/>
  <c r="CS533" i="25" s="1"/>
  <c r="CM537" i="25"/>
  <c r="CS537" i="25" s="1"/>
  <c r="CO162" i="25"/>
  <c r="CM276" i="25"/>
  <c r="CS276" i="25" s="1"/>
  <c r="BS366" i="25"/>
  <c r="CX26" i="25"/>
  <c r="CY26" i="25" s="1"/>
  <c r="CZ26" i="25" s="1"/>
  <c r="DA26" i="25" s="1"/>
  <c r="CX88" i="25"/>
  <c r="CY88" i="25" s="1"/>
  <c r="CZ88" i="25" s="1"/>
  <c r="DA88" i="25" s="1"/>
  <c r="BS89" i="25"/>
  <c r="DH98" i="25"/>
  <c r="CN142" i="25"/>
  <c r="BS150" i="25"/>
  <c r="BS152" i="25"/>
  <c r="CX153" i="25"/>
  <c r="CY153" i="25" s="1"/>
  <c r="CZ153" i="25" s="1"/>
  <c r="DA153" i="25" s="1"/>
  <c r="BS154" i="25"/>
  <c r="CQ459" i="25"/>
  <c r="CR459" i="25" s="1"/>
  <c r="CM200" i="25"/>
  <c r="CS200" i="25" s="1"/>
  <c r="CX322" i="25"/>
  <c r="BS357" i="25"/>
  <c r="CX358" i="25"/>
  <c r="CY358" i="25" s="1"/>
  <c r="CZ358" i="25" s="1"/>
  <c r="DA358" i="25" s="1"/>
  <c r="CM70" i="25"/>
  <c r="CS70" i="25" s="1"/>
  <c r="CQ290" i="25"/>
  <c r="CR290" i="25" s="1"/>
  <c r="CX537" i="25"/>
  <c r="CY537" i="25" s="1"/>
  <c r="CZ537" i="25" s="1"/>
  <c r="DA537" i="25" s="1"/>
  <c r="CX541" i="25"/>
  <c r="CY541" i="25" s="1"/>
  <c r="CZ541" i="25" s="1"/>
  <c r="DA541" i="25" s="1"/>
  <c r="BS542" i="25"/>
  <c r="BS10" i="25"/>
  <c r="CX11" i="25"/>
  <c r="CY11" i="25" s="1"/>
  <c r="CZ11" i="25" s="1"/>
  <c r="DA11" i="25" s="1"/>
  <c r="BS29" i="25"/>
  <c r="CO91" i="25"/>
  <c r="CX94" i="25"/>
  <c r="CY94" i="25" s="1"/>
  <c r="CZ94" i="25" s="1"/>
  <c r="DA94" i="25" s="1"/>
  <c r="BS95" i="25"/>
  <c r="CX98" i="25"/>
  <c r="CY98" i="25" s="1"/>
  <c r="CZ98" i="25" s="1"/>
  <c r="DA98" i="25" s="1"/>
  <c r="CO122" i="25"/>
  <c r="BS248" i="25"/>
  <c r="CM300" i="25"/>
  <c r="CS300" i="25" s="1"/>
  <c r="CQ361" i="25"/>
  <c r="CR361" i="25" s="1"/>
  <c r="DH72" i="25"/>
  <c r="CP91" i="25"/>
  <c r="CX136" i="25"/>
  <c r="CY136" i="25" s="1"/>
  <c r="CZ136" i="25" s="1"/>
  <c r="DA136" i="25" s="1"/>
  <c r="CX148" i="25"/>
  <c r="CY148" i="25" s="1"/>
  <c r="CZ148" i="25" s="1"/>
  <c r="DA148" i="25" s="1"/>
  <c r="BS197" i="25"/>
  <c r="BS169" i="25"/>
  <c r="CX257" i="25"/>
  <c r="CY257" i="25" s="1"/>
  <c r="CZ257" i="25" s="1"/>
  <c r="DA257" i="25" s="1"/>
  <c r="CX259" i="25"/>
  <c r="CY259" i="25" s="1"/>
  <c r="CZ259" i="25" s="1"/>
  <c r="DA259" i="25" s="1"/>
  <c r="CM260" i="25"/>
  <c r="CS260" i="25" s="1"/>
  <c r="BS274" i="25"/>
  <c r="CO302" i="25"/>
  <c r="CM365" i="25"/>
  <c r="CS365" i="25" s="1"/>
  <c r="BS533" i="25"/>
  <c r="CP35" i="25"/>
  <c r="CX8" i="25"/>
  <c r="CY8" i="25" s="1"/>
  <c r="CZ8" i="25" s="1"/>
  <c r="DA8" i="25" s="1"/>
  <c r="CN24" i="25"/>
  <c r="CX38" i="25"/>
  <c r="CY38" i="25" s="1"/>
  <c r="CZ38" i="25" s="1"/>
  <c r="DA38" i="25" s="1"/>
  <c r="CM78" i="25"/>
  <c r="CS78" i="25" s="1"/>
  <c r="CN138" i="25"/>
  <c r="CQ159" i="25"/>
  <c r="CR159" i="25" s="1"/>
  <c r="CP165" i="25"/>
  <c r="DF165" i="25"/>
  <c r="CX166" i="25"/>
  <c r="CY166" i="25" s="1"/>
  <c r="CZ166" i="25" s="1"/>
  <c r="DA166" i="25" s="1"/>
  <c r="CM192" i="25"/>
  <c r="CS192" i="25" s="1"/>
  <c r="CN188" i="25"/>
  <c r="CX189" i="25"/>
  <c r="CY189" i="25" s="1"/>
  <c r="CZ189" i="25" s="1"/>
  <c r="DA189" i="25" s="1"/>
  <c r="BS237" i="25"/>
  <c r="DH242" i="25"/>
  <c r="CN249" i="25"/>
  <c r="DH301" i="25"/>
  <c r="BS307" i="25"/>
  <c r="DH316" i="25"/>
  <c r="BS318" i="25"/>
  <c r="CP340" i="25"/>
  <c r="DF340" i="25"/>
  <c r="CP371" i="25"/>
  <c r="DF371" i="25"/>
  <c r="CX385" i="25"/>
  <c r="CY385" i="25" s="1"/>
  <c r="CZ385" i="25" s="1"/>
  <c r="DA385" i="25" s="1"/>
  <c r="BS264" i="25"/>
  <c r="DF264" i="25"/>
  <c r="BS280" i="25"/>
  <c r="BS300" i="25"/>
  <c r="DF318" i="25"/>
  <c r="BS323" i="25"/>
  <c r="DF335" i="25"/>
  <c r="DF359" i="25"/>
  <c r="DH15" i="25"/>
  <c r="BS17" i="25"/>
  <c r="BS23" i="25"/>
  <c r="BS40" i="25"/>
  <c r="BS59" i="25"/>
  <c r="CX60" i="25"/>
  <c r="CY60" i="25" s="1"/>
  <c r="CZ60" i="25" s="1"/>
  <c r="DA60" i="25" s="1"/>
  <c r="BS61" i="25"/>
  <c r="CX62" i="25"/>
  <c r="CY62" i="25" s="1"/>
  <c r="CZ62" i="25" s="1"/>
  <c r="DA62" i="25" s="1"/>
  <c r="DH66" i="25"/>
  <c r="DH82" i="25"/>
  <c r="BS88" i="25"/>
  <c r="CX89" i="25"/>
  <c r="CY89" i="25" s="1"/>
  <c r="CZ89" i="25" s="1"/>
  <c r="DA89" i="25" s="1"/>
  <c r="CX106" i="25"/>
  <c r="CY106" i="25" s="1"/>
  <c r="CZ106" i="25" s="1"/>
  <c r="DA106" i="25" s="1"/>
  <c r="CO126" i="25"/>
  <c r="BS139" i="25"/>
  <c r="CO178" i="25"/>
  <c r="CX237" i="25"/>
  <c r="CY237" i="25" s="1"/>
  <c r="CZ237" i="25" s="1"/>
  <c r="DA237" i="25" s="1"/>
  <c r="BS238" i="25"/>
  <c r="DF257" i="25"/>
  <c r="CO275" i="25"/>
  <c r="CN278" i="25"/>
  <c r="DF295" i="25"/>
  <c r="CP311" i="25"/>
  <c r="BS315" i="25"/>
  <c r="DH370" i="25"/>
  <c r="CQ377" i="25"/>
  <c r="CR377" i="25" s="1"/>
  <c r="CX517" i="25"/>
  <c r="CY517" i="25" s="1"/>
  <c r="CZ517" i="25" s="1"/>
  <c r="DA517" i="25" s="1"/>
  <c r="CM536" i="25"/>
  <c r="CS536" i="25" s="1"/>
  <c r="CP21" i="25"/>
  <c r="CM134" i="25"/>
  <c r="CS134" i="25" s="1"/>
  <c r="CM148" i="25"/>
  <c r="CS148" i="25" s="1"/>
  <c r="CX205" i="25"/>
  <c r="CY205" i="25" s="1"/>
  <c r="CZ205" i="25" s="1"/>
  <c r="DA205" i="25" s="1"/>
  <c r="CX182" i="25"/>
  <c r="CY182" i="25" s="1"/>
  <c r="CZ182" i="25" s="1"/>
  <c r="DA182" i="25" s="1"/>
  <c r="CQ236" i="25"/>
  <c r="CR236" i="25" s="1"/>
  <c r="CM354" i="25"/>
  <c r="CS354" i="25" s="1"/>
  <c r="BS25" i="25"/>
  <c r="BS33" i="25"/>
  <c r="DH63" i="25"/>
  <c r="CX82" i="25"/>
  <c r="CY82" i="25" s="1"/>
  <c r="CZ82" i="25" s="1"/>
  <c r="DA82" i="25" s="1"/>
  <c r="BS92" i="25"/>
  <c r="CX97" i="25"/>
  <c r="CY97" i="25" s="1"/>
  <c r="CZ97" i="25" s="1"/>
  <c r="DA97" i="25" s="1"/>
  <c r="CN228" i="25"/>
  <c r="CN261" i="25"/>
  <c r="DF272" i="25"/>
  <c r="DF292" i="25"/>
  <c r="CO299" i="25"/>
  <c r="BS308" i="25"/>
  <c r="CP322" i="25"/>
  <c r="CO358" i="25"/>
  <c r="BS365" i="25"/>
  <c r="CM374" i="25"/>
  <c r="CS374" i="25" s="1"/>
  <c r="CX375" i="25"/>
  <c r="CY375" i="25" s="1"/>
  <c r="CZ375" i="25" s="1"/>
  <c r="DA375" i="25" s="1"/>
  <c r="CQ512" i="25"/>
  <c r="CR512" i="25" s="1"/>
  <c r="CO514" i="25"/>
  <c r="CX73" i="25"/>
  <c r="CY73" i="25" s="1"/>
  <c r="CZ73" i="25" s="1"/>
  <c r="DA73" i="25" s="1"/>
  <c r="BS76" i="25"/>
  <c r="CP79" i="25"/>
  <c r="CX101" i="25"/>
  <c r="CY101" i="25" s="1"/>
  <c r="CZ101" i="25" s="1"/>
  <c r="DA101" i="25" s="1"/>
  <c r="BS129" i="25"/>
  <c r="DH201" i="25"/>
  <c r="CX210" i="25"/>
  <c r="CY210" i="25" s="1"/>
  <c r="CZ210" i="25" s="1"/>
  <c r="DA210" i="25" s="1"/>
  <c r="CX171" i="25"/>
  <c r="CY171" i="25" s="1"/>
  <c r="CZ171" i="25" s="1"/>
  <c r="DA171" i="25" s="1"/>
  <c r="BS217" i="25"/>
  <c r="BS225" i="25"/>
  <c r="CO261" i="25"/>
  <c r="CN281" i="25"/>
  <c r="CX284" i="25"/>
  <c r="CY284" i="25" s="1"/>
  <c r="CZ284" i="25" s="1"/>
  <c r="DA284" i="25" s="1"/>
  <c r="BS287" i="25"/>
  <c r="CP299" i="25"/>
  <c r="CX313" i="25"/>
  <c r="CY313" i="25" s="1"/>
  <c r="CZ313" i="25" s="1"/>
  <c r="DA313" i="25" s="1"/>
  <c r="CX337" i="25"/>
  <c r="CY337" i="25" s="1"/>
  <c r="CZ337" i="25" s="1"/>
  <c r="DA337" i="25" s="1"/>
  <c r="CN343" i="25"/>
  <c r="CQ358" i="25"/>
  <c r="CR358" i="25" s="1"/>
  <c r="BY372" i="25"/>
  <c r="CP374" i="25"/>
  <c r="CX379" i="25"/>
  <c r="CY379" i="25" s="1"/>
  <c r="CZ379" i="25" s="1"/>
  <c r="DA379" i="25" s="1"/>
  <c r="CN538" i="25"/>
  <c r="CM76" i="25"/>
  <c r="CS76" i="25" s="1"/>
  <c r="BZ90" i="25"/>
  <c r="CN172" i="25"/>
  <c r="CN203" i="25"/>
  <c r="CO231" i="25"/>
  <c r="CQ324" i="25"/>
  <c r="CR324" i="25" s="1"/>
  <c r="CX530" i="25"/>
  <c r="CY530" i="25" s="1"/>
  <c r="CZ530" i="25" s="1"/>
  <c r="DA530" i="25" s="1"/>
  <c r="BS21" i="25"/>
  <c r="CX22" i="25"/>
  <c r="CY22" i="25" s="1"/>
  <c r="CZ22" i="25" s="1"/>
  <c r="DA22" i="25" s="1"/>
  <c r="CX28" i="25"/>
  <c r="CY28" i="25" s="1"/>
  <c r="CZ28" i="25" s="1"/>
  <c r="DA28" i="25" s="1"/>
  <c r="CX30" i="25"/>
  <c r="CY30" i="25" s="1"/>
  <c r="CZ30" i="25" s="1"/>
  <c r="DA30" i="25" s="1"/>
  <c r="CN30" i="25"/>
  <c r="BS31" i="25"/>
  <c r="BY51" i="25"/>
  <c r="CA51" i="25" s="1"/>
  <c r="CB51" i="25" s="1"/>
  <c r="BS83" i="25"/>
  <c r="CN96" i="25"/>
  <c r="CX108" i="25"/>
  <c r="CY108" i="25" s="1"/>
  <c r="CZ108" i="25" s="1"/>
  <c r="DA108" i="25" s="1"/>
  <c r="CP116" i="25"/>
  <c r="BS122" i="25"/>
  <c r="CO134" i="25"/>
  <c r="BS144" i="25"/>
  <c r="CX150" i="25"/>
  <c r="CY150" i="25" s="1"/>
  <c r="CZ150" i="25" s="1"/>
  <c r="DA150" i="25" s="1"/>
  <c r="BS151" i="25"/>
  <c r="CM157" i="25"/>
  <c r="CS157" i="25" s="1"/>
  <c r="BS159" i="25"/>
  <c r="CQ162" i="25"/>
  <c r="CR162" i="25" s="1"/>
  <c r="CN163" i="25"/>
  <c r="BS192" i="25"/>
  <c r="CP178" i="25"/>
  <c r="DF182" i="25"/>
  <c r="CN197" i="25"/>
  <c r="DF344" i="25"/>
  <c r="CX172" i="25"/>
  <c r="CY172" i="25" s="1"/>
  <c r="CZ172" i="25" s="1"/>
  <c r="DA172" i="25" s="1"/>
  <c r="CN213" i="25"/>
  <c r="BS220" i="25"/>
  <c r="CP239" i="25"/>
  <c r="BS241" i="25"/>
  <c r="CX242" i="25"/>
  <c r="CY242" i="25" s="1"/>
  <c r="CZ242" i="25" s="1"/>
  <c r="DA242" i="25" s="1"/>
  <c r="DF244" i="25"/>
  <c r="DH245" i="25"/>
  <c r="CX249" i="25"/>
  <c r="CY249" i="25" s="1"/>
  <c r="CZ249" i="25" s="1"/>
  <c r="DA249" i="25" s="1"/>
  <c r="BS250" i="25"/>
  <c r="CP251" i="25"/>
  <c r="CP260" i="25"/>
  <c r="CQ267" i="25"/>
  <c r="CR267" i="25" s="1"/>
  <c r="CN279" i="25"/>
  <c r="CO281" i="25"/>
  <c r="CN301" i="25"/>
  <c r="CP303" i="25"/>
  <c r="DF307" i="25"/>
  <c r="CX308" i="25"/>
  <c r="CY308" i="25" s="1"/>
  <c r="CZ308" i="25" s="1"/>
  <c r="DA308" i="25" s="1"/>
  <c r="BS309" i="25"/>
  <c r="BS311" i="25"/>
  <c r="DH312" i="25"/>
  <c r="DF331" i="25"/>
  <c r="DF336" i="25"/>
  <c r="CX340" i="25"/>
  <c r="CY340" i="25" s="1"/>
  <c r="CZ340" i="25" s="1"/>
  <c r="DA340" i="25" s="1"/>
  <c r="CM342" i="25"/>
  <c r="CS342" i="25" s="1"/>
  <c r="BS356" i="25"/>
  <c r="CM358" i="25"/>
  <c r="CS358" i="25" s="1"/>
  <c r="CQ366" i="25"/>
  <c r="CR366" i="25" s="1"/>
  <c r="BS382" i="25"/>
  <c r="CX383" i="25"/>
  <c r="CY383" i="25" s="1"/>
  <c r="CZ383" i="25" s="1"/>
  <c r="DA383" i="25" s="1"/>
  <c r="CX387" i="25"/>
  <c r="CY387" i="25" s="1"/>
  <c r="CZ387" i="25" s="1"/>
  <c r="DA387" i="25" s="1"/>
  <c r="CM505" i="25"/>
  <c r="CS505" i="25" s="1"/>
  <c r="BS507" i="25"/>
  <c r="CP516" i="25"/>
  <c r="BS529" i="25"/>
  <c r="CM534" i="25"/>
  <c r="CS534" i="25" s="1"/>
  <c r="CP536" i="25"/>
  <c r="CQ537" i="25"/>
  <c r="CR537" i="25" s="1"/>
  <c r="CM161" i="25"/>
  <c r="CS161" i="25" s="1"/>
  <c r="CN176" i="25"/>
  <c r="CM201" i="25"/>
  <c r="CS201" i="25" s="1"/>
  <c r="CN216" i="25"/>
  <c r="CO274" i="25"/>
  <c r="CO326" i="25"/>
  <c r="CN511" i="25"/>
  <c r="BS13" i="25"/>
  <c r="CX40" i="25"/>
  <c r="CY40" i="25" s="1"/>
  <c r="CZ40" i="25" s="1"/>
  <c r="DA40" i="25" s="1"/>
  <c r="CM43" i="25"/>
  <c r="CS43" i="25" s="1"/>
  <c r="BS45" i="25"/>
  <c r="CN53" i="25"/>
  <c r="BS68" i="25"/>
  <c r="CM137" i="25"/>
  <c r="CS137" i="25" s="1"/>
  <c r="CP161" i="25"/>
  <c r="CO164" i="25"/>
  <c r="CX165" i="25"/>
  <c r="CY165" i="25" s="1"/>
  <c r="CZ165" i="25" s="1"/>
  <c r="DA165" i="25" s="1"/>
  <c r="CQ176" i="25"/>
  <c r="CR176" i="25" s="1"/>
  <c r="CX194" i="25"/>
  <c r="CY194" i="25" s="1"/>
  <c r="CZ194" i="25" s="1"/>
  <c r="DA194" i="25" s="1"/>
  <c r="DF171" i="25"/>
  <c r="BY230" i="25"/>
  <c r="CA230" i="25" s="1"/>
  <c r="CX230" i="25"/>
  <c r="CY230" i="25" s="1"/>
  <c r="CZ230" i="25" s="1"/>
  <c r="DA230" i="25" s="1"/>
  <c r="CX248" i="25"/>
  <c r="CY248" i="25" s="1"/>
  <c r="CZ248" i="25" s="1"/>
  <c r="DA248" i="25" s="1"/>
  <c r="BS249" i="25"/>
  <c r="CN250" i="25"/>
  <c r="BZ274" i="25"/>
  <c r="CA274" i="25" s="1"/>
  <c r="BS279" i="25"/>
  <c r="DF299" i="25"/>
  <c r="DF302" i="25"/>
  <c r="CX318" i="25"/>
  <c r="CY318" i="25" s="1"/>
  <c r="CZ318" i="25" s="1"/>
  <c r="DA318" i="25" s="1"/>
  <c r="CQ323" i="25"/>
  <c r="CR323" i="25" s="1"/>
  <c r="CO335" i="25"/>
  <c r="BS341" i="25"/>
  <c r="DF341" i="25"/>
  <c r="BS348" i="25"/>
  <c r="CX349" i="25"/>
  <c r="CY349" i="25" s="1"/>
  <c r="CZ349" i="25" s="1"/>
  <c r="DA349" i="25" s="1"/>
  <c r="DF358" i="25"/>
  <c r="CO511" i="25"/>
  <c r="CX514" i="25"/>
  <c r="CY514" i="25" s="1"/>
  <c r="CZ514" i="25" s="1"/>
  <c r="DA514" i="25" s="1"/>
  <c r="BS515" i="25"/>
  <c r="BS517" i="25"/>
  <c r="CX522" i="25"/>
  <c r="CY522" i="25" s="1"/>
  <c r="CZ522" i="25" s="1"/>
  <c r="DA522" i="25" s="1"/>
  <c r="DF525" i="25"/>
  <c r="CO529" i="25"/>
  <c r="CQ541" i="25"/>
  <c r="CR541" i="25" s="1"/>
  <c r="CX542" i="25"/>
  <c r="CY542" i="25" s="1"/>
  <c r="CZ542" i="25" s="1"/>
  <c r="DA542" i="25" s="1"/>
  <c r="CN20" i="25"/>
  <c r="CP23" i="25"/>
  <c r="DH26" i="25"/>
  <c r="CN28" i="25"/>
  <c r="CO36" i="25"/>
  <c r="CO46" i="25"/>
  <c r="CN61" i="25"/>
  <c r="CX63" i="25"/>
  <c r="CY63" i="25" s="1"/>
  <c r="CZ63" i="25" s="1"/>
  <c r="DA63" i="25" s="1"/>
  <c r="DF65" i="25"/>
  <c r="CX72" i="25"/>
  <c r="CY72" i="25" s="1"/>
  <c r="CZ72" i="25" s="1"/>
  <c r="DA72" i="25" s="1"/>
  <c r="CQ83" i="25"/>
  <c r="CR83" i="25" s="1"/>
  <c r="CO95" i="25"/>
  <c r="CM160" i="25"/>
  <c r="CS160" i="25" s="1"/>
  <c r="CM179" i="25"/>
  <c r="CS179" i="25" s="1"/>
  <c r="DH193" i="25"/>
  <c r="CM218" i="25"/>
  <c r="CS218" i="25" s="1"/>
  <c r="CQ335" i="25"/>
  <c r="CR335" i="25" s="1"/>
  <c r="DH338" i="25"/>
  <c r="CN340" i="25"/>
  <c r="CO355" i="25"/>
  <c r="CM517" i="25"/>
  <c r="CS517" i="25" s="1"/>
  <c r="CO20" i="25"/>
  <c r="CQ23" i="25"/>
  <c r="CR23" i="25" s="1"/>
  <c r="CP28" i="25"/>
  <c r="CN31" i="25"/>
  <c r="BS32" i="25"/>
  <c r="CO35" i="25"/>
  <c r="DH36" i="25"/>
  <c r="CX78" i="25"/>
  <c r="CY78" i="25" s="1"/>
  <c r="CZ78" i="25" s="1"/>
  <c r="DA78" i="25" s="1"/>
  <c r="BS85" i="25"/>
  <c r="CQ95" i="25"/>
  <c r="CR95" i="25" s="1"/>
  <c r="CM106" i="25"/>
  <c r="CS106" i="25" s="1"/>
  <c r="BS108" i="25"/>
  <c r="CX118" i="25"/>
  <c r="CY118" i="25" s="1"/>
  <c r="CZ118" i="25" s="1"/>
  <c r="DA118" i="25" s="1"/>
  <c r="DH124" i="25"/>
  <c r="BS135" i="25"/>
  <c r="CP139" i="25"/>
  <c r="BS143" i="25"/>
  <c r="CP150" i="25"/>
  <c r="CQ179" i="25"/>
  <c r="CR179" i="25" s="1"/>
  <c r="BS190" i="25"/>
  <c r="CO189" i="25"/>
  <c r="BS240" i="25"/>
  <c r="CX255" i="25"/>
  <c r="CY255" i="25" s="1"/>
  <c r="CZ255" i="25" s="1"/>
  <c r="DA255" i="25" s="1"/>
  <c r="CM273" i="25"/>
  <c r="CS273" i="25" s="1"/>
  <c r="DF276" i="25"/>
  <c r="CN306" i="25"/>
  <c r="DF313" i="25"/>
  <c r="CX320" i="25"/>
  <c r="CY320" i="25" s="1"/>
  <c r="CZ320" i="25" s="1"/>
  <c r="DA320" i="25" s="1"/>
  <c r="DF322" i="25"/>
  <c r="CX326" i="25"/>
  <c r="CY326" i="25" s="1"/>
  <c r="CZ326" i="25" s="1"/>
  <c r="DA326" i="25" s="1"/>
  <c r="CO334" i="25"/>
  <c r="CX336" i="25"/>
  <c r="CY336" i="25" s="1"/>
  <c r="CZ336" i="25" s="1"/>
  <c r="DA336" i="25" s="1"/>
  <c r="CO340" i="25"/>
  <c r="CX361" i="25"/>
  <c r="CY361" i="25" s="1"/>
  <c r="CZ361" i="25" s="1"/>
  <c r="DA361" i="25" s="1"/>
  <c r="CM372" i="25"/>
  <c r="CS372" i="25" s="1"/>
  <c r="CN386" i="25"/>
  <c r="BS387" i="25"/>
  <c r="CX516" i="25"/>
  <c r="CY516" i="25" s="1"/>
  <c r="CZ516" i="25" s="1"/>
  <c r="DA516" i="25" s="1"/>
  <c r="CQ517" i="25"/>
  <c r="CR517" i="25" s="1"/>
  <c r="BS530" i="25"/>
  <c r="BS532" i="25"/>
  <c r="CQ533" i="25"/>
  <c r="CR533" i="25" s="1"/>
  <c r="BY75" i="25"/>
  <c r="CA75" i="25" s="1"/>
  <c r="CB75" i="25" s="1"/>
  <c r="CF75" i="25" s="1"/>
  <c r="CG75" i="25" s="1"/>
  <c r="CJ75" i="25" s="1"/>
  <c r="CN528" i="25"/>
  <c r="BS538" i="25"/>
  <c r="CM12" i="25"/>
  <c r="CS12" i="25" s="1"/>
  <c r="CX15" i="25"/>
  <c r="CY15" i="25" s="1"/>
  <c r="CZ15" i="25" s="1"/>
  <c r="DA15" i="25" s="1"/>
  <c r="DH17" i="25"/>
  <c r="CM19" i="25"/>
  <c r="CS19" i="25" s="1"/>
  <c r="DH22" i="25"/>
  <c r="CP25" i="25"/>
  <c r="BS27" i="25"/>
  <c r="DH32" i="25"/>
  <c r="CM34" i="25"/>
  <c r="CS34" i="25" s="1"/>
  <c r="DF34" i="25"/>
  <c r="CM44" i="25"/>
  <c r="CS44" i="25" s="1"/>
  <c r="CX65" i="25"/>
  <c r="CY65" i="25" s="1"/>
  <c r="CZ65" i="25" s="1"/>
  <c r="DA65" i="25" s="1"/>
  <c r="CX90" i="25"/>
  <c r="CY90" i="25" s="1"/>
  <c r="CZ90" i="25" s="1"/>
  <c r="DA90" i="25" s="1"/>
  <c r="CO99" i="25"/>
  <c r="CN101" i="25"/>
  <c r="CX104" i="25"/>
  <c r="CY104" i="25" s="1"/>
  <c r="CZ104" i="25" s="1"/>
  <c r="DA104" i="25" s="1"/>
  <c r="BS105" i="25"/>
  <c r="CX115" i="25"/>
  <c r="CY115" i="25" s="1"/>
  <c r="CZ115" i="25" s="1"/>
  <c r="DA115" i="25" s="1"/>
  <c r="BS116" i="25"/>
  <c r="CX129" i="25"/>
  <c r="CX161" i="25"/>
  <c r="CY161" i="25" s="1"/>
  <c r="CZ161" i="25" s="1"/>
  <c r="DA161" i="25" s="1"/>
  <c r="CM162" i="25"/>
  <c r="CS162" i="25" s="1"/>
  <c r="DF185" i="25"/>
  <c r="BS191" i="25"/>
  <c r="CX183" i="25"/>
  <c r="CY183" i="25" s="1"/>
  <c r="CZ183" i="25" s="1"/>
  <c r="DA183" i="25" s="1"/>
  <c r="BS194" i="25"/>
  <c r="CM265" i="25"/>
  <c r="CS265" i="25" s="1"/>
  <c r="CP268" i="25"/>
  <c r="CX271" i="25"/>
  <c r="CY271" i="25" s="1"/>
  <c r="CZ271" i="25" s="1"/>
  <c r="DA271" i="25" s="1"/>
  <c r="CP282" i="25"/>
  <c r="BS290" i="25"/>
  <c r="CN329" i="25"/>
  <c r="CX330" i="25"/>
  <c r="CY330" i="25" s="1"/>
  <c r="CZ330" i="25" s="1"/>
  <c r="DA330" i="25" s="1"/>
  <c r="CX335" i="25"/>
  <c r="CY335" i="25" s="1"/>
  <c r="CZ335" i="25" s="1"/>
  <c r="DA335" i="25" s="1"/>
  <c r="BS342" i="25"/>
  <c r="CP343" i="25"/>
  <c r="CX206" i="25"/>
  <c r="CY206" i="25" s="1"/>
  <c r="CZ206" i="25" s="1"/>
  <c r="DA206" i="25" s="1"/>
  <c r="CN348" i="25"/>
  <c r="CM350" i="25"/>
  <c r="CS350" i="25" s="1"/>
  <c r="CP354" i="25"/>
  <c r="CN364" i="25"/>
  <c r="BS512" i="25"/>
  <c r="BS518" i="25"/>
  <c r="CP528" i="25"/>
  <c r="CQ532" i="25"/>
  <c r="CR532" i="25" s="1"/>
  <c r="DH112" i="25"/>
  <c r="DH315" i="25"/>
  <c r="DH332" i="25"/>
  <c r="CX12" i="25"/>
  <c r="CY12" i="25" s="1"/>
  <c r="CZ12" i="25" s="1"/>
  <c r="DA12" i="25" s="1"/>
  <c r="CX24" i="25"/>
  <c r="CY24" i="25" s="1"/>
  <c r="CZ24" i="25" s="1"/>
  <c r="DA24" i="25" s="1"/>
  <c r="CM27" i="25"/>
  <c r="CS27" i="25" s="1"/>
  <c r="CX67" i="25"/>
  <c r="CY67" i="25" s="1"/>
  <c r="CZ67" i="25" s="1"/>
  <c r="DA67" i="25" s="1"/>
  <c r="BS69" i="25"/>
  <c r="DF74" i="25"/>
  <c r="CX86" i="25"/>
  <c r="CY86" i="25" s="1"/>
  <c r="CZ86" i="25" s="1"/>
  <c r="DA86" i="25" s="1"/>
  <c r="BS87" i="25"/>
  <c r="CQ92" i="25"/>
  <c r="CR92" i="25" s="1"/>
  <c r="CP101" i="25"/>
  <c r="DH161" i="25"/>
  <c r="DF161" i="25"/>
  <c r="CP387" i="25"/>
  <c r="CQ387" i="25"/>
  <c r="CR387" i="25" s="1"/>
  <c r="CO77" i="25"/>
  <c r="CM87" i="25"/>
  <c r="CS87" i="25" s="1"/>
  <c r="CO112" i="25"/>
  <c r="CM112" i="25"/>
  <c r="CS112" i="25" s="1"/>
  <c r="CQ202" i="25"/>
  <c r="CR202" i="25" s="1"/>
  <c r="CP202" i="25"/>
  <c r="CO202" i="25"/>
  <c r="CP286" i="25"/>
  <c r="CM286" i="25"/>
  <c r="CS286" i="25" s="1"/>
  <c r="BZ9" i="25"/>
  <c r="BY59" i="25"/>
  <c r="CA59" i="25" s="1"/>
  <c r="CB59" i="25" s="1"/>
  <c r="CO59" i="25"/>
  <c r="BS72" i="25"/>
  <c r="CP77" i="25"/>
  <c r="DF77" i="25"/>
  <c r="CO87" i="25"/>
  <c r="DF271" i="25"/>
  <c r="DH271" i="25"/>
  <c r="CO12" i="25"/>
  <c r="CO15" i="25"/>
  <c r="CN19" i="25"/>
  <c r="DF28" i="25"/>
  <c r="CN29" i="25"/>
  <c r="CX32" i="25"/>
  <c r="CY32" i="25" s="1"/>
  <c r="CZ32" i="25" s="1"/>
  <c r="DA32" i="25" s="1"/>
  <c r="CQ59" i="25"/>
  <c r="CR59" i="25" s="1"/>
  <c r="CX66" i="25"/>
  <c r="CY66" i="25" s="1"/>
  <c r="CZ66" i="25" s="1"/>
  <c r="DA66" i="25" s="1"/>
  <c r="DF68" i="25"/>
  <c r="CM72" i="25"/>
  <c r="CS72" i="25" s="1"/>
  <c r="CP73" i="25"/>
  <c r="BS100" i="25"/>
  <c r="CN105" i="25"/>
  <c r="CO120" i="25"/>
  <c r="CP120" i="25"/>
  <c r="DH121" i="25"/>
  <c r="DF121" i="25"/>
  <c r="DH179" i="25"/>
  <c r="DF179" i="25"/>
  <c r="DH240" i="25"/>
  <c r="DF240" i="25"/>
  <c r="CQ507" i="25"/>
  <c r="CR507" i="25" s="1"/>
  <c r="CO507" i="25"/>
  <c r="CP12" i="25"/>
  <c r="CP19" i="25"/>
  <c r="CP24" i="25"/>
  <c r="CP27" i="25"/>
  <c r="CN32" i="25"/>
  <c r="CO44" i="25"/>
  <c r="CO54" i="25"/>
  <c r="CX57" i="25"/>
  <c r="CY57" i="25" s="1"/>
  <c r="CZ57" i="25" s="1"/>
  <c r="DA57" i="25" s="1"/>
  <c r="DH64" i="25"/>
  <c r="CO71" i="25"/>
  <c r="CQ72" i="25"/>
  <c r="CR72" i="25" s="1"/>
  <c r="CQ76" i="25"/>
  <c r="CR76" i="25" s="1"/>
  <c r="CO83" i="25"/>
  <c r="CM89" i="25"/>
  <c r="CS89" i="25" s="1"/>
  <c r="DF93" i="25"/>
  <c r="CN97" i="25"/>
  <c r="CO105" i="25"/>
  <c r="CM236" i="25"/>
  <c r="CS236" i="25" s="1"/>
  <c r="DH9" i="25"/>
  <c r="CX13" i="25"/>
  <c r="CY13" i="25" s="1"/>
  <c r="CZ13" i="25" s="1"/>
  <c r="DA13" i="25" s="1"/>
  <c r="BS14" i="25"/>
  <c r="CM18" i="25"/>
  <c r="CS18" i="25" s="1"/>
  <c r="BS26" i="25"/>
  <c r="CQ27" i="25"/>
  <c r="CR27" i="25" s="1"/>
  <c r="BS35" i="25"/>
  <c r="BS36" i="25"/>
  <c r="CM36" i="25"/>
  <c r="CS36" i="25" s="1"/>
  <c r="DH37" i="25"/>
  <c r="CM38" i="25"/>
  <c r="CS38" i="25" s="1"/>
  <c r="CM42" i="25"/>
  <c r="CS42" i="25" s="1"/>
  <c r="CQ44" i="25"/>
  <c r="CR44" i="25" s="1"/>
  <c r="CX46" i="25"/>
  <c r="CY46" i="25" s="1"/>
  <c r="CZ46" i="25" s="1"/>
  <c r="DA46" i="25" s="1"/>
  <c r="CX50" i="25"/>
  <c r="CY50" i="25" s="1"/>
  <c r="CZ50" i="25" s="1"/>
  <c r="DA50" i="25" s="1"/>
  <c r="BS51" i="25"/>
  <c r="BY58" i="25"/>
  <c r="CA58" i="25" s="1"/>
  <c r="CP71" i="25"/>
  <c r="BZ86" i="25"/>
  <c r="CP86" i="25"/>
  <c r="CM91" i="25"/>
  <c r="CS91" i="25" s="1"/>
  <c r="CM95" i="25"/>
  <c r="CS95" i="25" s="1"/>
  <c r="BS96" i="25"/>
  <c r="CM99" i="25"/>
  <c r="CS99" i="25" s="1"/>
  <c r="BZ102" i="25"/>
  <c r="CM102" i="25"/>
  <c r="CS102" i="25" s="1"/>
  <c r="BS104" i="25"/>
  <c r="CP115" i="25"/>
  <c r="CO115" i="25"/>
  <c r="CO238" i="25"/>
  <c r="CN238" i="25"/>
  <c r="CP206" i="25"/>
  <c r="CQ206" i="25"/>
  <c r="CR206" i="25" s="1"/>
  <c r="CO206" i="25"/>
  <c r="DH345" i="25"/>
  <c r="DF345" i="25"/>
  <c r="BZ369" i="25"/>
  <c r="CA369" i="25" s="1"/>
  <c r="CB369" i="25" s="1"/>
  <c r="CF369" i="25" s="1"/>
  <c r="CG369" i="25" s="1"/>
  <c r="CJ369" i="25" s="1"/>
  <c r="BY369" i="25"/>
  <c r="BZ39" i="25"/>
  <c r="BY43" i="25"/>
  <c r="CA43" i="25" s="1"/>
  <c r="CO43" i="25"/>
  <c r="CX56" i="25"/>
  <c r="CY56" i="25" s="1"/>
  <c r="CZ56" i="25" s="1"/>
  <c r="DA56" i="25" s="1"/>
  <c r="BS57" i="25"/>
  <c r="CX58" i="25"/>
  <c r="CY58" i="25" s="1"/>
  <c r="CZ58" i="25" s="1"/>
  <c r="DA58" i="25" s="1"/>
  <c r="BZ70" i="25"/>
  <c r="CQ96" i="25"/>
  <c r="CR96" i="25" s="1"/>
  <c r="CQ99" i="25"/>
  <c r="CR99" i="25" s="1"/>
  <c r="CQ107" i="25"/>
  <c r="CR107" i="25" s="1"/>
  <c r="CO108" i="25"/>
  <c r="CQ108" i="25"/>
  <c r="CR108" i="25" s="1"/>
  <c r="BZ112" i="25"/>
  <c r="DF144" i="25"/>
  <c r="DH144" i="25"/>
  <c r="CX298" i="25"/>
  <c r="CY298" i="25" s="1"/>
  <c r="CZ298" i="25" s="1"/>
  <c r="DA298" i="25" s="1"/>
  <c r="CP298" i="25"/>
  <c r="CO298" i="25"/>
  <c r="CX113" i="25"/>
  <c r="CY113" i="25" s="1"/>
  <c r="CZ113" i="25" s="1"/>
  <c r="DA113" i="25" s="1"/>
  <c r="CP123" i="25"/>
  <c r="CX125" i="25"/>
  <c r="CY125" i="25" s="1"/>
  <c r="CZ125" i="25" s="1"/>
  <c r="DA125" i="25" s="1"/>
  <c r="CX130" i="25"/>
  <c r="CY130" i="25" s="1"/>
  <c r="CZ130" i="25" s="1"/>
  <c r="DA130" i="25" s="1"/>
  <c r="CQ132" i="25"/>
  <c r="CR132" i="25" s="1"/>
  <c r="DF132" i="25"/>
  <c r="CX140" i="25"/>
  <c r="CY140" i="25" s="1"/>
  <c r="CZ140" i="25" s="1"/>
  <c r="DA140" i="25" s="1"/>
  <c r="CO142" i="25"/>
  <c r="CQ150" i="25"/>
  <c r="CR150" i="25" s="1"/>
  <c r="BS158" i="25"/>
  <c r="BS161" i="25"/>
  <c r="BS165" i="25"/>
  <c r="CQ166" i="25"/>
  <c r="CR166" i="25" s="1"/>
  <c r="CX167" i="25"/>
  <c r="CY167" i="25" s="1"/>
  <c r="CZ167" i="25" s="1"/>
  <c r="DA167" i="25" s="1"/>
  <c r="BZ208" i="25"/>
  <c r="CA208" i="25" s="1"/>
  <c r="CB208" i="25" s="1"/>
  <c r="CF208" i="25" s="1"/>
  <c r="CG208" i="25" s="1"/>
  <c r="CJ208" i="25" s="1"/>
  <c r="BS179" i="25"/>
  <c r="BS175" i="25"/>
  <c r="BS178" i="25"/>
  <c r="CP198" i="25"/>
  <c r="BS203" i="25"/>
  <c r="CM216" i="25"/>
  <c r="CS216" i="25" s="1"/>
  <c r="BY219" i="25"/>
  <c r="CM219" i="25"/>
  <c r="CS219" i="25" s="1"/>
  <c r="CQ232" i="25"/>
  <c r="CR232" i="25" s="1"/>
  <c r="DF241" i="25"/>
  <c r="CN246" i="25"/>
  <c r="DF247" i="25"/>
  <c r="DF254" i="25"/>
  <c r="CX258" i="25"/>
  <c r="CY258" i="25" s="1"/>
  <c r="CZ258" i="25" s="1"/>
  <c r="DA258" i="25" s="1"/>
  <c r="BS259" i="25"/>
  <c r="CX264" i="25"/>
  <c r="CY264" i="25" s="1"/>
  <c r="CZ264" i="25" s="1"/>
  <c r="DA264" i="25" s="1"/>
  <c r="CM266" i="25"/>
  <c r="CS266" i="25" s="1"/>
  <c r="CM271" i="25"/>
  <c r="CS271" i="25" s="1"/>
  <c r="BS278" i="25"/>
  <c r="BS282" i="25"/>
  <c r="CQ291" i="25"/>
  <c r="CR291" i="25" s="1"/>
  <c r="CX295" i="25"/>
  <c r="CY295" i="25" s="1"/>
  <c r="CZ295" i="25" s="1"/>
  <c r="DA295" i="25" s="1"/>
  <c r="CN297" i="25"/>
  <c r="CM304" i="25"/>
  <c r="CS304" i="25" s="1"/>
  <c r="CX305" i="25"/>
  <c r="CY305" i="25" s="1"/>
  <c r="CZ305" i="25" s="1"/>
  <c r="DA305" i="25" s="1"/>
  <c r="BS321" i="25"/>
  <c r="CN330" i="25"/>
  <c r="BS335" i="25"/>
  <c r="CP338" i="25"/>
  <c r="BS352" i="25"/>
  <c r="BS361" i="25"/>
  <c r="BS363" i="25"/>
  <c r="CO366" i="25"/>
  <c r="CP370" i="25"/>
  <c r="DF383" i="25"/>
  <c r="BS385" i="25"/>
  <c r="CO386" i="25"/>
  <c r="DH509" i="25"/>
  <c r="BS511" i="25"/>
  <c r="CP512" i="25"/>
  <c r="CP515" i="25"/>
  <c r="BZ516" i="25"/>
  <c r="CQ521" i="25"/>
  <c r="CR521" i="25" s="1"/>
  <c r="BS524" i="25"/>
  <c r="CX536" i="25"/>
  <c r="CY536" i="25" s="1"/>
  <c r="CZ536" i="25" s="1"/>
  <c r="DA536" i="25" s="1"/>
  <c r="CX110" i="25"/>
  <c r="CY110" i="25" s="1"/>
  <c r="CZ110" i="25" s="1"/>
  <c r="DA110" i="25" s="1"/>
  <c r="BY145" i="25"/>
  <c r="CA145" i="25" s="1"/>
  <c r="CO160" i="25"/>
  <c r="DH162" i="25"/>
  <c r="CX163" i="25"/>
  <c r="CY163" i="25" s="1"/>
  <c r="CZ163" i="25" s="1"/>
  <c r="DA163" i="25" s="1"/>
  <c r="BY192" i="25"/>
  <c r="BS459" i="25"/>
  <c r="BS344" i="25"/>
  <c r="CM240" i="25"/>
  <c r="CS240" i="25" s="1"/>
  <c r="BZ244" i="25"/>
  <c r="CA244" i="25" s="1"/>
  <c r="CB244" i="25" s="1"/>
  <c r="CO244" i="25"/>
  <c r="CO253" i="25"/>
  <c r="CX254" i="25"/>
  <c r="CY254" i="25" s="1"/>
  <c r="CZ254" i="25" s="1"/>
  <c r="DA254" i="25" s="1"/>
  <c r="CX260" i="25"/>
  <c r="CY260" i="25" s="1"/>
  <c r="CZ260" i="25" s="1"/>
  <c r="DA260" i="25" s="1"/>
  <c r="BS261" i="25"/>
  <c r="CX267" i="25"/>
  <c r="CY267" i="25" s="1"/>
  <c r="CZ267" i="25" s="1"/>
  <c r="DA267" i="25" s="1"/>
  <c r="CX279" i="25"/>
  <c r="CY279" i="25" s="1"/>
  <c r="CZ279" i="25" s="1"/>
  <c r="DA279" i="25" s="1"/>
  <c r="BY281" i="25"/>
  <c r="CM281" i="25"/>
  <c r="CS281" i="25" s="1"/>
  <c r="CM282" i="25"/>
  <c r="CS282" i="25" s="1"/>
  <c r="BS284" i="25"/>
  <c r="BY285" i="25"/>
  <c r="CX288" i="25"/>
  <c r="CY288" i="25" s="1"/>
  <c r="CZ288" i="25" s="1"/>
  <c r="DA288" i="25" s="1"/>
  <c r="CM290" i="25"/>
  <c r="CS290" i="25" s="1"/>
  <c r="CX294" i="25"/>
  <c r="CY294" i="25" s="1"/>
  <c r="CZ294" i="25" s="1"/>
  <c r="DA294" i="25" s="1"/>
  <c r="BS303" i="25"/>
  <c r="CX323" i="25"/>
  <c r="CY323" i="25" s="1"/>
  <c r="CZ323" i="25" s="1"/>
  <c r="DA323" i="25" s="1"/>
  <c r="BS329" i="25"/>
  <c r="CO336" i="25"/>
  <c r="BS345" i="25"/>
  <c r="BS379" i="25"/>
  <c r="BY380" i="25"/>
  <c r="BY385" i="25"/>
  <c r="CX518" i="25"/>
  <c r="CY518" i="25" s="1"/>
  <c r="CZ518" i="25" s="1"/>
  <c r="DA518" i="25" s="1"/>
  <c r="CN529" i="25"/>
  <c r="BY532" i="25"/>
  <c r="CA532" i="25" s="1"/>
  <c r="CB532" i="25" s="1"/>
  <c r="BY538" i="25"/>
  <c r="CA538" i="25" s="1"/>
  <c r="CB538" i="25" s="1"/>
  <c r="CF538" i="25" s="1"/>
  <c r="CG538" i="25" s="1"/>
  <c r="CJ538" i="25" s="1"/>
  <c r="BY121" i="25"/>
  <c r="CA121" i="25" s="1"/>
  <c r="CX123" i="25"/>
  <c r="CY123" i="25" s="1"/>
  <c r="CZ123" i="25" s="1"/>
  <c r="DA123" i="25" s="1"/>
  <c r="CX124" i="25"/>
  <c r="CY124" i="25" s="1"/>
  <c r="CZ124" i="25" s="1"/>
  <c r="DA124" i="25" s="1"/>
  <c r="BS128" i="25"/>
  <c r="CX132" i="25"/>
  <c r="CY132" i="25" s="1"/>
  <c r="CZ132" i="25" s="1"/>
  <c r="DA132" i="25" s="1"/>
  <c r="BS155" i="25"/>
  <c r="CX156" i="25"/>
  <c r="CY156" i="25" s="1"/>
  <c r="CZ156" i="25" s="1"/>
  <c r="DA156" i="25" s="1"/>
  <c r="CP160" i="25"/>
  <c r="CX190" i="25"/>
  <c r="CY190" i="25" s="1"/>
  <c r="CZ190" i="25" s="1"/>
  <c r="DA190" i="25" s="1"/>
  <c r="BS176" i="25"/>
  <c r="CX198" i="25"/>
  <c r="CY198" i="25" s="1"/>
  <c r="CZ198" i="25" s="1"/>
  <c r="DA198" i="25" s="1"/>
  <c r="CM169" i="25"/>
  <c r="CS169" i="25" s="1"/>
  <c r="BS213" i="25"/>
  <c r="BY229" i="25"/>
  <c r="CA229" i="25" s="1"/>
  <c r="CB229" i="25" s="1"/>
  <c r="CX232" i="25"/>
  <c r="CY232" i="25" s="1"/>
  <c r="CZ232" i="25" s="1"/>
  <c r="DA232" i="25" s="1"/>
  <c r="BZ240" i="25"/>
  <c r="CA240" i="25" s="1"/>
  <c r="CB240" i="25" s="1"/>
  <c r="CF240" i="25" s="1"/>
  <c r="CG240" i="25" s="1"/>
  <c r="CJ240" i="25" s="1"/>
  <c r="BZ249" i="25"/>
  <c r="CA249" i="25" s="1"/>
  <c r="CB249" i="25" s="1"/>
  <c r="CF249" i="25" s="1"/>
  <c r="CG249" i="25" s="1"/>
  <c r="CJ249" i="25" s="1"/>
  <c r="BS270" i="25"/>
  <c r="BS277" i="25"/>
  <c r="CX291" i="25"/>
  <c r="CY291" i="25" s="1"/>
  <c r="CZ291" i="25" s="1"/>
  <c r="DA291" i="25" s="1"/>
  <c r="CX297" i="25"/>
  <c r="CY297" i="25" s="1"/>
  <c r="CZ297" i="25" s="1"/>
  <c r="DA297" i="25" s="1"/>
  <c r="BS349" i="25"/>
  <c r="BS510" i="25"/>
  <c r="BS513" i="25"/>
  <c r="CX515" i="25"/>
  <c r="CY515" i="25" s="1"/>
  <c r="CZ515" i="25" s="1"/>
  <c r="DA515" i="25" s="1"/>
  <c r="CM120" i="25"/>
  <c r="CS120" i="25" s="1"/>
  <c r="CM207" i="25"/>
  <c r="CS207" i="25" s="1"/>
  <c r="CM202" i="25"/>
  <c r="CS202" i="25" s="1"/>
  <c r="CM234" i="25"/>
  <c r="CS234" i="25" s="1"/>
  <c r="CN507" i="25"/>
  <c r="CX524" i="25"/>
  <c r="CY524" i="25" s="1"/>
  <c r="CZ524" i="25" s="1"/>
  <c r="DA524" i="25" s="1"/>
  <c r="CQ529" i="25"/>
  <c r="CR529" i="25" s="1"/>
  <c r="CQ531" i="25"/>
  <c r="CR531" i="25" s="1"/>
  <c r="BY111" i="25"/>
  <c r="CA111" i="25" s="1"/>
  <c r="CM115" i="25"/>
  <c r="CS115" i="25" s="1"/>
  <c r="BS123" i="25"/>
  <c r="CX131" i="25"/>
  <c r="CY131" i="25" s="1"/>
  <c r="CZ131" i="25" s="1"/>
  <c r="DA131" i="25" s="1"/>
  <c r="DF133" i="25"/>
  <c r="CM136" i="25"/>
  <c r="CS136" i="25" s="1"/>
  <c r="BS137" i="25"/>
  <c r="DF140" i="25"/>
  <c r="CM143" i="25"/>
  <c r="CS143" i="25" s="1"/>
  <c r="CX144" i="25"/>
  <c r="CY144" i="25" s="1"/>
  <c r="CZ144" i="25" s="1"/>
  <c r="DA144" i="25" s="1"/>
  <c r="CM150" i="25"/>
  <c r="CS150" i="25" s="1"/>
  <c r="CM159" i="25"/>
  <c r="CS159" i="25" s="1"/>
  <c r="BS167" i="25"/>
  <c r="CM185" i="25"/>
  <c r="CS185" i="25" s="1"/>
  <c r="CQ188" i="25"/>
  <c r="CR188" i="25" s="1"/>
  <c r="CO176" i="25"/>
  <c r="CP213" i="25"/>
  <c r="BY224" i="25"/>
  <c r="CM233" i="25"/>
  <c r="CS233" i="25" s="1"/>
  <c r="CM235" i="25"/>
  <c r="CS235" i="25" s="1"/>
  <c r="BS242" i="25"/>
  <c r="CX244" i="25"/>
  <c r="CY244" i="25" s="1"/>
  <c r="CZ244" i="25" s="1"/>
  <c r="DA244" i="25" s="1"/>
  <c r="CP252" i="25"/>
  <c r="BS257" i="25"/>
  <c r="CP261" i="25"/>
  <c r="BY267" i="25"/>
  <c r="CP267" i="25"/>
  <c r="CO273" i="25"/>
  <c r="CN275" i="25"/>
  <c r="DH284" i="25"/>
  <c r="CX287" i="25"/>
  <c r="CY287" i="25" s="1"/>
  <c r="CZ287" i="25" s="1"/>
  <c r="DA287" i="25" s="1"/>
  <c r="BS288" i="25"/>
  <c r="CM295" i="25"/>
  <c r="CS295" i="25" s="1"/>
  <c r="CP305" i="25"/>
  <c r="CX306" i="25"/>
  <c r="CY306" i="25" s="1"/>
  <c r="CZ306" i="25" s="1"/>
  <c r="DA306" i="25" s="1"/>
  <c r="CN307" i="25"/>
  <c r="BS313" i="25"/>
  <c r="CX321" i="25"/>
  <c r="CY321" i="25" s="1"/>
  <c r="CZ321" i="25" s="1"/>
  <c r="DA321" i="25" s="1"/>
  <c r="BS322" i="25"/>
  <c r="CN332" i="25"/>
  <c r="BS343" i="25"/>
  <c r="CM355" i="25"/>
  <c r="CS355" i="25" s="1"/>
  <c r="BS371" i="25"/>
  <c r="DH379" i="25"/>
  <c r="CM381" i="25"/>
  <c r="CS381" i="25" s="1"/>
  <c r="DF507" i="25"/>
  <c r="BY513" i="25"/>
  <c r="CA513" i="25" s="1"/>
  <c r="CM516" i="25"/>
  <c r="CS516" i="25" s="1"/>
  <c r="DH523" i="25"/>
  <c r="BZ527" i="25"/>
  <c r="CX538" i="25"/>
  <c r="CY538" i="25" s="1"/>
  <c r="CZ538" i="25" s="1"/>
  <c r="DA538" i="25" s="1"/>
  <c r="CN539" i="25"/>
  <c r="BS110" i="25"/>
  <c r="CX111" i="25"/>
  <c r="CY111" i="25" s="1"/>
  <c r="CZ111" i="25" s="1"/>
  <c r="DA111" i="25" s="1"/>
  <c r="CX116" i="25"/>
  <c r="CY116" i="25" s="1"/>
  <c r="CZ116" i="25" s="1"/>
  <c r="DA116" i="25" s="1"/>
  <c r="CM124" i="25"/>
  <c r="CS124" i="25" s="1"/>
  <c r="BS127" i="25"/>
  <c r="CM144" i="25"/>
  <c r="CS144" i="25" s="1"/>
  <c r="BZ159" i="25"/>
  <c r="CN159" i="25"/>
  <c r="CN205" i="25"/>
  <c r="CX170" i="25"/>
  <c r="CY170" i="25" s="1"/>
  <c r="CZ170" i="25" s="1"/>
  <c r="DA170" i="25" s="1"/>
  <c r="CP185" i="25"/>
  <c r="CX191" i="25"/>
  <c r="CY191" i="25" s="1"/>
  <c r="CZ191" i="25" s="1"/>
  <c r="DA191" i="25" s="1"/>
  <c r="CO194" i="25"/>
  <c r="DF194" i="25"/>
  <c r="CX195" i="25"/>
  <c r="CY195" i="25" s="1"/>
  <c r="CZ195" i="25" s="1"/>
  <c r="DA195" i="25" s="1"/>
  <c r="DH199" i="25"/>
  <c r="BS204" i="25"/>
  <c r="BY218" i="25"/>
  <c r="BS219" i="25"/>
  <c r="CM220" i="25"/>
  <c r="CS220" i="25" s="1"/>
  <c r="BS223" i="25"/>
  <c r="CN263" i="25"/>
  <c r="BZ305" i="25"/>
  <c r="CA305" i="25" s="1"/>
  <c r="CO307" i="25"/>
  <c r="DH310" i="25"/>
  <c r="BZ331" i="25"/>
  <c r="CA331" i="25" s="1"/>
  <c r="CB331" i="25" s="1"/>
  <c r="CF331" i="25" s="1"/>
  <c r="CG331" i="25" s="1"/>
  <c r="CJ331" i="25" s="1"/>
  <c r="CP331" i="25"/>
  <c r="CM338" i="25"/>
  <c r="CS338" i="25" s="1"/>
  <c r="BY339" i="25"/>
  <c r="BY364" i="25"/>
  <c r="CN370" i="25"/>
  <c r="CX377" i="25"/>
  <c r="CY377" i="25" s="1"/>
  <c r="CZ377" i="25" s="1"/>
  <c r="DA377" i="25" s="1"/>
  <c r="BS378" i="25"/>
  <c r="CO381" i="25"/>
  <c r="BS386" i="25"/>
  <c r="CO506" i="25"/>
  <c r="CM512" i="25"/>
  <c r="CS512" i="25" s="1"/>
  <c r="CO522" i="25"/>
  <c r="CP539" i="25"/>
  <c r="DH542" i="25"/>
  <c r="CO123" i="25"/>
  <c r="CQ124" i="25"/>
  <c r="CR124" i="25" s="1"/>
  <c r="CM132" i="25"/>
  <c r="CS132" i="25" s="1"/>
  <c r="BY153" i="25"/>
  <c r="CA153" i="25" s="1"/>
  <c r="CP166" i="25"/>
  <c r="CM184" i="25"/>
  <c r="CS184" i="25" s="1"/>
  <c r="CX177" i="25"/>
  <c r="CY177" i="25" s="1"/>
  <c r="CZ177" i="25" s="1"/>
  <c r="DA177" i="25" s="1"/>
  <c r="BS193" i="25"/>
  <c r="CO198" i="25"/>
  <c r="BZ211" i="25"/>
  <c r="CA211" i="25" s="1"/>
  <c r="BZ212" i="25"/>
  <c r="CA212" i="25" s="1"/>
  <c r="CB212" i="25" s="1"/>
  <c r="CF212" i="25" s="1"/>
  <c r="CG212" i="25" s="1"/>
  <c r="CJ212" i="25" s="1"/>
  <c r="CQ220" i="25"/>
  <c r="CR220" i="25" s="1"/>
  <c r="CM232" i="25"/>
  <c r="CS232" i="25" s="1"/>
  <c r="BY235" i="25"/>
  <c r="CN257" i="25"/>
  <c r="CQ263" i="25"/>
  <c r="CR263" i="25" s="1"/>
  <c r="CM294" i="25"/>
  <c r="CS294" i="25" s="1"/>
  <c r="BZ301" i="25"/>
  <c r="CA301" i="25" s="1"/>
  <c r="CP307" i="25"/>
  <c r="BY322" i="25"/>
  <c r="CA322" i="25" s="1"/>
  <c r="CO338" i="25"/>
  <c r="BZ343" i="25"/>
  <c r="BY358" i="25"/>
  <c r="CM366" i="25"/>
  <c r="CS366" i="25" s="1"/>
  <c r="CO370" i="25"/>
  <c r="CP381" i="25"/>
  <c r="CP506" i="25"/>
  <c r="CO521" i="25"/>
  <c r="CQ539" i="25"/>
  <c r="CR539" i="25" s="1"/>
  <c r="DH13" i="25"/>
  <c r="BZ14" i="25"/>
  <c r="CX14" i="25"/>
  <c r="CY14" i="25" s="1"/>
  <c r="CZ14" i="25" s="1"/>
  <c r="DA14" i="25" s="1"/>
  <c r="BS20" i="25"/>
  <c r="CX20" i="25"/>
  <c r="CY20" i="25" s="1"/>
  <c r="CZ20" i="25" s="1"/>
  <c r="DA20" i="25" s="1"/>
  <c r="BS22" i="25"/>
  <c r="BS24" i="25"/>
  <c r="CO27" i="25"/>
  <c r="CQ31" i="25"/>
  <c r="CR31" i="25" s="1"/>
  <c r="CX43" i="25"/>
  <c r="CY43" i="25" s="1"/>
  <c r="CZ43" i="25" s="1"/>
  <c r="DA43" i="25" s="1"/>
  <c r="BS44" i="25"/>
  <c r="BZ45" i="25"/>
  <c r="CM45" i="25"/>
  <c r="CS45" i="25" s="1"/>
  <c r="BS46" i="25"/>
  <c r="CQ47" i="25"/>
  <c r="CR47" i="25" s="1"/>
  <c r="CQ51" i="25"/>
  <c r="CR51" i="25" s="1"/>
  <c r="CQ52" i="25"/>
  <c r="CR52" i="25" s="1"/>
  <c r="BS54" i="25"/>
  <c r="CO55" i="25"/>
  <c r="CQ56" i="25"/>
  <c r="CR56" i="25" s="1"/>
  <c r="CN57" i="25"/>
  <c r="CQ60" i="25"/>
  <c r="CR60" i="25" s="1"/>
  <c r="BS62" i="25"/>
  <c r="CX64" i="25"/>
  <c r="CY64" i="25" s="1"/>
  <c r="CZ64" i="25" s="1"/>
  <c r="DA64" i="25" s="1"/>
  <c r="BS78" i="25"/>
  <c r="BZ8" i="25"/>
  <c r="CX9" i="25"/>
  <c r="CY9" i="25" s="1"/>
  <c r="CZ9" i="25" s="1"/>
  <c r="DA9" i="25" s="1"/>
  <c r="CX10" i="25"/>
  <c r="CY10" i="25" s="1"/>
  <c r="CZ10" i="25" s="1"/>
  <c r="DA10" i="25" s="1"/>
  <c r="BS11" i="25"/>
  <c r="BZ24" i="25"/>
  <c r="BY26" i="25"/>
  <c r="CA26" i="25" s="1"/>
  <c r="CX33" i="25"/>
  <c r="CY33" i="25" s="1"/>
  <c r="CZ33" i="25" s="1"/>
  <c r="DA33" i="25" s="1"/>
  <c r="BY35" i="25"/>
  <c r="CA35" i="25" s="1"/>
  <c r="CE35" i="25" s="1"/>
  <c r="CH35" i="25" s="1"/>
  <c r="CI35" i="25" s="1"/>
  <c r="BZ38" i="25"/>
  <c r="BS39" i="25"/>
  <c r="BY44" i="25"/>
  <c r="CA44" i="25" s="1"/>
  <c r="CB44" i="25" s="1"/>
  <c r="CQ45" i="25"/>
  <c r="CR45" i="25" s="1"/>
  <c r="BY47" i="25"/>
  <c r="CA47" i="25" s="1"/>
  <c r="CB47" i="25" s="1"/>
  <c r="BY55" i="25"/>
  <c r="CA55" i="25" s="1"/>
  <c r="CB55" i="25" s="1"/>
  <c r="CQ55" i="25"/>
  <c r="CR55" i="25" s="1"/>
  <c r="BY61" i="25"/>
  <c r="CA61" i="25" s="1"/>
  <c r="CX68" i="25"/>
  <c r="CY68" i="25" s="1"/>
  <c r="CZ68" i="25" s="1"/>
  <c r="DA68" i="25" s="1"/>
  <c r="CN70" i="25"/>
  <c r="BS71" i="25"/>
  <c r="CM13" i="25"/>
  <c r="CS13" i="25" s="1"/>
  <c r="CX16" i="25"/>
  <c r="CY16" i="25" s="1"/>
  <c r="CZ16" i="25" s="1"/>
  <c r="DA16" i="25" s="1"/>
  <c r="BS18" i="25"/>
  <c r="BY20" i="25"/>
  <c r="CA20" i="25" s="1"/>
  <c r="CB20" i="25" s="1"/>
  <c r="CF20" i="25" s="1"/>
  <c r="CG20" i="25" s="1"/>
  <c r="CJ20" i="25" s="1"/>
  <c r="BY22" i="25"/>
  <c r="CA22" i="25" s="1"/>
  <c r="BZ29" i="25"/>
  <c r="BS34" i="25"/>
  <c r="BS41" i="25"/>
  <c r="BS43" i="25"/>
  <c r="BZ62" i="25"/>
  <c r="DF12" i="25"/>
  <c r="CP13" i="25"/>
  <c r="CM14" i="25"/>
  <c r="CS14" i="25" s="1"/>
  <c r="CM17" i="25"/>
  <c r="CS17" i="25" s="1"/>
  <c r="DF18" i="25"/>
  <c r="CP20" i="25"/>
  <c r="DF24" i="25"/>
  <c r="BY46" i="25"/>
  <c r="CA46" i="25" s="1"/>
  <c r="CE46" i="25" s="1"/>
  <c r="CH46" i="25" s="1"/>
  <c r="CI46" i="25" s="1"/>
  <c r="BY54" i="25"/>
  <c r="CA54" i="25" s="1"/>
  <c r="BS63" i="25"/>
  <c r="DF70" i="25"/>
  <c r="DF76" i="25"/>
  <c r="BY80" i="25"/>
  <c r="CA80" i="25" s="1"/>
  <c r="CE80" i="25" s="1"/>
  <c r="CH80" i="25" s="1"/>
  <c r="CI80" i="25" s="1"/>
  <c r="CM10" i="25"/>
  <c r="CS10" i="25" s="1"/>
  <c r="CQ13" i="25"/>
  <c r="CR13" i="25" s="1"/>
  <c r="DF14" i="25"/>
  <c r="CP15" i="25"/>
  <c r="BS16" i="25"/>
  <c r="CP17" i="25"/>
  <c r="DF20" i="25"/>
  <c r="CM31" i="25"/>
  <c r="CS31" i="25" s="1"/>
  <c r="CM33" i="25"/>
  <c r="CS33" i="25" s="1"/>
  <c r="CX36" i="25"/>
  <c r="CY36" i="25" s="1"/>
  <c r="CZ36" i="25" s="1"/>
  <c r="DA36" i="25" s="1"/>
  <c r="BS47" i="25"/>
  <c r="BY50" i="25"/>
  <c r="CA50" i="25" s="1"/>
  <c r="CE50" i="25" s="1"/>
  <c r="CH50" i="25" s="1"/>
  <c r="CI50" i="25" s="1"/>
  <c r="CX51" i="25"/>
  <c r="CY51" i="25" s="1"/>
  <c r="CZ51" i="25" s="1"/>
  <c r="DA51" i="25" s="1"/>
  <c r="CM57" i="25"/>
  <c r="CS57" i="25" s="1"/>
  <c r="CN63" i="25"/>
  <c r="CM64" i="25"/>
  <c r="CS64" i="25" s="1"/>
  <c r="CP65" i="25"/>
  <c r="BZ66" i="25"/>
  <c r="CQ67" i="25"/>
  <c r="CR67" i="25" s="1"/>
  <c r="CN68" i="25"/>
  <c r="CN72" i="25"/>
  <c r="BY9" i="25"/>
  <c r="CA9" i="25" s="1"/>
  <c r="CE9" i="25" s="1"/>
  <c r="CH9" i="25" s="1"/>
  <c r="CI9" i="25" s="1"/>
  <c r="CN10" i="25"/>
  <c r="CQ16" i="25"/>
  <c r="CR16" i="25" s="1"/>
  <c r="CX27" i="25"/>
  <c r="CY27" i="25" s="1"/>
  <c r="CZ27" i="25" s="1"/>
  <c r="DA27" i="25" s="1"/>
  <c r="BS28" i="25"/>
  <c r="BS30" i="25"/>
  <c r="BZ31" i="25"/>
  <c r="CO31" i="25"/>
  <c r="CO32" i="25"/>
  <c r="CQ33" i="25"/>
  <c r="CR33" i="25" s="1"/>
  <c r="CX34" i="25"/>
  <c r="CY34" i="25" s="1"/>
  <c r="CZ34" i="25" s="1"/>
  <c r="DA34" i="25" s="1"/>
  <c r="BS37" i="25"/>
  <c r="CX39" i="25"/>
  <c r="CY39" i="25" s="1"/>
  <c r="CZ39" i="25" s="1"/>
  <c r="DA39" i="25" s="1"/>
  <c r="CM47" i="25"/>
  <c r="CS47" i="25" s="1"/>
  <c r="CM48" i="25"/>
  <c r="CS48" i="25" s="1"/>
  <c r="CM51" i="25"/>
  <c r="CS51" i="25" s="1"/>
  <c r="BS55" i="25"/>
  <c r="CP63" i="25"/>
  <c r="CQ65" i="25"/>
  <c r="CR65" i="25" s="1"/>
  <c r="DF67" i="25"/>
  <c r="CP68" i="25"/>
  <c r="CP69" i="25"/>
  <c r="CP72" i="25"/>
  <c r="DB73" i="25"/>
  <c r="BS74" i="25"/>
  <c r="CP75" i="25"/>
  <c r="CN13" i="25"/>
  <c r="BZ18" i="25"/>
  <c r="CN23" i="25"/>
  <c r="CN27" i="25"/>
  <c r="BZ28" i="25"/>
  <c r="CP31" i="25"/>
  <c r="CQ32" i="25"/>
  <c r="CR32" i="25" s="1"/>
  <c r="DH33" i="25"/>
  <c r="CO47" i="25"/>
  <c r="CQ48" i="25"/>
  <c r="CR48" i="25" s="1"/>
  <c r="CN49" i="25"/>
  <c r="CO51" i="25"/>
  <c r="CM52" i="25"/>
  <c r="CS52" i="25" s="1"/>
  <c r="CM55" i="25"/>
  <c r="CS55" i="25" s="1"/>
  <c r="CM56" i="25"/>
  <c r="CS56" i="25" s="1"/>
  <c r="CM60" i="25"/>
  <c r="CS60" i="25" s="1"/>
  <c r="BY71" i="25"/>
  <c r="CA71" i="25" s="1"/>
  <c r="CB71" i="25" s="1"/>
  <c r="CF71" i="25" s="1"/>
  <c r="CG71" i="25" s="1"/>
  <c r="CJ71" i="25" s="1"/>
  <c r="CM81" i="25"/>
  <c r="CS81" i="25" s="1"/>
  <c r="DH88" i="25"/>
  <c r="DF89" i="25"/>
  <c r="CP90" i="25"/>
  <c r="BZ103" i="25"/>
  <c r="CQ103" i="25"/>
  <c r="CR103" i="25" s="1"/>
  <c r="CX107" i="25"/>
  <c r="CY107" i="25" s="1"/>
  <c r="CZ107" i="25" s="1"/>
  <c r="DA107" i="25" s="1"/>
  <c r="CM109" i="25"/>
  <c r="CS109" i="25" s="1"/>
  <c r="DH110" i="25"/>
  <c r="CP111" i="25"/>
  <c r="CN112" i="25"/>
  <c r="DF113" i="25"/>
  <c r="DH118" i="25"/>
  <c r="CP119" i="25"/>
  <c r="CM121" i="25"/>
  <c r="CS121" i="25" s="1"/>
  <c r="BY130" i="25"/>
  <c r="CA130" i="25" s="1"/>
  <c r="CN135" i="25"/>
  <c r="DF136" i="25"/>
  <c r="BY137" i="25"/>
  <c r="CA137" i="25" s="1"/>
  <c r="CX138" i="25"/>
  <c r="CY138" i="25" s="1"/>
  <c r="CZ138" i="25" s="1"/>
  <c r="DA138" i="25" s="1"/>
  <c r="BY141" i="25"/>
  <c r="CA141" i="25" s="1"/>
  <c r="CQ146" i="25"/>
  <c r="CR146" i="25" s="1"/>
  <c r="BY149" i="25"/>
  <c r="CA149" i="25" s="1"/>
  <c r="DH151" i="25"/>
  <c r="BZ152" i="25"/>
  <c r="CQ154" i="25"/>
  <c r="CR154" i="25" s="1"/>
  <c r="CN155" i="25"/>
  <c r="CM158" i="25"/>
  <c r="CS158" i="25" s="1"/>
  <c r="CP209" i="25"/>
  <c r="CM209" i="25"/>
  <c r="CS209" i="25" s="1"/>
  <c r="DH84" i="25"/>
  <c r="DH87" i="25"/>
  <c r="BZ89" i="25"/>
  <c r="DH90" i="25"/>
  <c r="BY92" i="25"/>
  <c r="CA92" i="25" s="1"/>
  <c r="CB92" i="25" s="1"/>
  <c r="CF92" i="25" s="1"/>
  <c r="CG92" i="25" s="1"/>
  <c r="CJ92" i="25" s="1"/>
  <c r="BY99" i="25"/>
  <c r="CA99" i="25" s="1"/>
  <c r="CB99" i="25" s="1"/>
  <c r="CX105" i="25"/>
  <c r="CY105" i="25" s="1"/>
  <c r="CZ105" i="25" s="1"/>
  <c r="DA105" i="25" s="1"/>
  <c r="CO109" i="25"/>
  <c r="CQ111" i="25"/>
  <c r="CR111" i="25" s="1"/>
  <c r="CP112" i="25"/>
  <c r="CX114" i="25"/>
  <c r="CY114" i="25" s="1"/>
  <c r="CZ114" i="25" s="1"/>
  <c r="DA114" i="25" s="1"/>
  <c r="CO127" i="25"/>
  <c r="CP128" i="25"/>
  <c r="DF129" i="25"/>
  <c r="BY134" i="25"/>
  <c r="CA134" i="25" s="1"/>
  <c r="CP135" i="25"/>
  <c r="CM139" i="25"/>
  <c r="CS139" i="25" s="1"/>
  <c r="CO149" i="25"/>
  <c r="BZ153" i="25"/>
  <c r="DH155" i="25"/>
  <c r="BY164" i="25"/>
  <c r="CA164" i="25" s="1"/>
  <c r="CB164" i="25" s="1"/>
  <c r="CF164" i="25" s="1"/>
  <c r="CG164" i="25" s="1"/>
  <c r="CJ164" i="25" s="1"/>
  <c r="CO188" i="25"/>
  <c r="BS187" i="25"/>
  <c r="BY200" i="25"/>
  <c r="CO172" i="25"/>
  <c r="CM172" i="25"/>
  <c r="CS172" i="25" s="1"/>
  <c r="CX77" i="25"/>
  <c r="CY77" i="25" s="1"/>
  <c r="CZ77" i="25" s="1"/>
  <c r="DA77" i="25" s="1"/>
  <c r="BS79" i="25"/>
  <c r="BS80" i="25"/>
  <c r="BZ82" i="25"/>
  <c r="BZ85" i="25"/>
  <c r="CX87" i="25"/>
  <c r="CY87" i="25" s="1"/>
  <c r="CZ87" i="25" s="1"/>
  <c r="DA87" i="25" s="1"/>
  <c r="DH91" i="25"/>
  <c r="CX93" i="25"/>
  <c r="CY93" i="25" s="1"/>
  <c r="CZ93" i="25" s="1"/>
  <c r="DA93" i="25" s="1"/>
  <c r="BS101" i="25"/>
  <c r="CM105" i="25"/>
  <c r="CS105" i="25" s="1"/>
  <c r="BS106" i="25"/>
  <c r="CM108" i="25"/>
  <c r="CS108" i="25" s="1"/>
  <c r="CP109" i="25"/>
  <c r="DF109" i="25"/>
  <c r="CQ112" i="25"/>
  <c r="CR112" i="25" s="1"/>
  <c r="CM117" i="25"/>
  <c r="CS117" i="25" s="1"/>
  <c r="BZ118" i="25"/>
  <c r="BS121" i="25"/>
  <c r="CP127" i="25"/>
  <c r="DF127" i="25"/>
  <c r="DF128" i="25"/>
  <c r="BY135" i="25"/>
  <c r="CA135" i="25" s="1"/>
  <c r="CB135" i="25" s="1"/>
  <c r="CF135" i="25" s="1"/>
  <c r="CG135" i="25" s="1"/>
  <c r="CJ135" i="25" s="1"/>
  <c r="CN139" i="25"/>
  <c r="BS142" i="25"/>
  <c r="BY157" i="25"/>
  <c r="CA157" i="25" s="1"/>
  <c r="CQ161" i="25"/>
  <c r="CR161" i="25" s="1"/>
  <c r="BZ162" i="25"/>
  <c r="BS163" i="25"/>
  <c r="CM163" i="25"/>
  <c r="CS163" i="25" s="1"/>
  <c r="DF166" i="25"/>
  <c r="CX168" i="25"/>
  <c r="CY168" i="25" s="1"/>
  <c r="CZ168" i="25" s="1"/>
  <c r="DA168" i="25" s="1"/>
  <c r="BS205" i="25"/>
  <c r="BS170" i="25"/>
  <c r="DF207" i="25"/>
  <c r="BS173" i="25"/>
  <c r="CO192" i="25"/>
  <c r="CQ185" i="25"/>
  <c r="CR185" i="25" s="1"/>
  <c r="BZ187" i="25"/>
  <c r="CA187" i="25" s="1"/>
  <c r="BS174" i="25"/>
  <c r="CX174" i="25"/>
  <c r="CY174" i="25" s="1"/>
  <c r="CZ174" i="25" s="1"/>
  <c r="DA174" i="25" s="1"/>
  <c r="CM178" i="25"/>
  <c r="CS178" i="25" s="1"/>
  <c r="CN459" i="25"/>
  <c r="CM182" i="25"/>
  <c r="CS182" i="25" s="1"/>
  <c r="BS186" i="25"/>
  <c r="CM193" i="25"/>
  <c r="CS193" i="25" s="1"/>
  <c r="BY196" i="25"/>
  <c r="CM196" i="25"/>
  <c r="CS196" i="25" s="1"/>
  <c r="BS199" i="25"/>
  <c r="CX201" i="25"/>
  <c r="CY201" i="25" s="1"/>
  <c r="CZ201" i="25" s="1"/>
  <c r="DA201" i="25" s="1"/>
  <c r="CX202" i="25"/>
  <c r="CY202" i="25" s="1"/>
  <c r="CZ202" i="25" s="1"/>
  <c r="DA202" i="25" s="1"/>
  <c r="DF210" i="25"/>
  <c r="BS212" i="25"/>
  <c r="BZ115" i="25"/>
  <c r="BS119" i="25"/>
  <c r="CX119" i="25"/>
  <c r="CY119" i="25" s="1"/>
  <c r="CZ119" i="25" s="1"/>
  <c r="DA119" i="25" s="1"/>
  <c r="BZ200" i="25"/>
  <c r="CA200" i="25" s="1"/>
  <c r="CB200" i="25" s="1"/>
  <c r="CX83" i="25"/>
  <c r="CY83" i="25" s="1"/>
  <c r="CZ83" i="25" s="1"/>
  <c r="DA83" i="25" s="1"/>
  <c r="DF86" i="25"/>
  <c r="CX91" i="25"/>
  <c r="CY91" i="25" s="1"/>
  <c r="CZ91" i="25" s="1"/>
  <c r="DA91" i="25" s="1"/>
  <c r="DF94" i="25"/>
  <c r="BZ97" i="25"/>
  <c r="CX103" i="25"/>
  <c r="CY103" i="25" s="1"/>
  <c r="CZ103" i="25" s="1"/>
  <c r="DA103" i="25" s="1"/>
  <c r="BY107" i="25"/>
  <c r="CA107" i="25" s="1"/>
  <c r="CB107" i="25" s="1"/>
  <c r="CF107" i="25" s="1"/>
  <c r="CG107" i="25" s="1"/>
  <c r="CJ107" i="25" s="1"/>
  <c r="BS132" i="25"/>
  <c r="DF143" i="25"/>
  <c r="CX146" i="25"/>
  <c r="CY146" i="25" s="1"/>
  <c r="CZ146" i="25" s="1"/>
  <c r="DA146" i="25" s="1"/>
  <c r="BS147" i="25"/>
  <c r="CX154" i="25"/>
  <c r="CY154" i="25" s="1"/>
  <c r="CZ154" i="25" s="1"/>
  <c r="DA154" i="25" s="1"/>
  <c r="CX158" i="25"/>
  <c r="CY158" i="25" s="1"/>
  <c r="CZ158" i="25" s="1"/>
  <c r="DA158" i="25" s="1"/>
  <c r="CM167" i="25"/>
  <c r="CS167" i="25" s="1"/>
  <c r="DF170" i="25"/>
  <c r="CO173" i="25"/>
  <c r="BS184" i="25"/>
  <c r="DF184" i="25"/>
  <c r="CM187" i="25"/>
  <c r="CS187" i="25" s="1"/>
  <c r="CO174" i="25"/>
  <c r="BS177" i="25"/>
  <c r="BY178" i="25"/>
  <c r="CM183" i="25"/>
  <c r="CS183" i="25" s="1"/>
  <c r="BS182" i="25"/>
  <c r="BY186" i="25"/>
  <c r="CP186" i="25"/>
  <c r="BS195" i="25"/>
  <c r="BS201" i="25"/>
  <c r="BS209" i="25"/>
  <c r="CO344" i="25"/>
  <c r="CP344" i="25"/>
  <c r="BS172" i="25"/>
  <c r="CQ212" i="25"/>
  <c r="CR212" i="25" s="1"/>
  <c r="BS75" i="25"/>
  <c r="BZ78" i="25"/>
  <c r="CQ79" i="25"/>
  <c r="CR79" i="25" s="1"/>
  <c r="BZ81" i="25"/>
  <c r="BS84" i="25"/>
  <c r="CM85" i="25"/>
  <c r="CS85" i="25" s="1"/>
  <c r="DF85" i="25"/>
  <c r="CP87" i="25"/>
  <c r="CN89" i="25"/>
  <c r="BS90" i="25"/>
  <c r="BY94" i="25"/>
  <c r="CA94" i="25" s="1"/>
  <c r="BZ96" i="25"/>
  <c r="CM104" i="25"/>
  <c r="CS104" i="25" s="1"/>
  <c r="CP105" i="25"/>
  <c r="DF105" i="25"/>
  <c r="DH106" i="25"/>
  <c r="CX109" i="25"/>
  <c r="CY109" i="25" s="1"/>
  <c r="CZ109" i="25" s="1"/>
  <c r="DA109" i="25" s="1"/>
  <c r="CM111" i="25"/>
  <c r="CS111" i="25" s="1"/>
  <c r="BS112" i="25"/>
  <c r="CQ115" i="25"/>
  <c r="CR115" i="25" s="1"/>
  <c r="CX117" i="25"/>
  <c r="CY117" i="25" s="1"/>
  <c r="CZ117" i="25" s="1"/>
  <c r="DA117" i="25" s="1"/>
  <c r="BZ119" i="25"/>
  <c r="CN120" i="25"/>
  <c r="DH125" i="25"/>
  <c r="CX127" i="25"/>
  <c r="CY127" i="25" s="1"/>
  <c r="CZ127" i="25" s="1"/>
  <c r="DA127" i="25" s="1"/>
  <c r="BS130" i="25"/>
  <c r="CP131" i="25"/>
  <c r="CP132" i="25"/>
  <c r="CX135" i="25"/>
  <c r="CY135" i="25" s="1"/>
  <c r="CZ135" i="25" s="1"/>
  <c r="DA135" i="25" s="1"/>
  <c r="BS136" i="25"/>
  <c r="BS141" i="25"/>
  <c r="CP142" i="25"/>
  <c r="BS146" i="25"/>
  <c r="CQ147" i="25"/>
  <c r="CR147" i="25" s="1"/>
  <c r="CX157" i="25"/>
  <c r="CY157" i="25" s="1"/>
  <c r="CZ157" i="25" s="1"/>
  <c r="DA157" i="25" s="1"/>
  <c r="CX159" i="25"/>
  <c r="CY159" i="25" s="1"/>
  <c r="CZ159" i="25" s="1"/>
  <c r="DA159" i="25" s="1"/>
  <c r="CX160" i="25"/>
  <c r="CY160" i="25" s="1"/>
  <c r="CZ160" i="25" s="1"/>
  <c r="DA160" i="25" s="1"/>
  <c r="CX164" i="25"/>
  <c r="CY164" i="25" s="1"/>
  <c r="CZ164" i="25" s="1"/>
  <c r="DA164" i="25" s="1"/>
  <c r="BS166" i="25"/>
  <c r="CX208" i="25"/>
  <c r="CY208" i="25" s="1"/>
  <c r="CZ208" i="25" s="1"/>
  <c r="DA208" i="25" s="1"/>
  <c r="CP173" i="25"/>
  <c r="CP174" i="25"/>
  <c r="BY183" i="25"/>
  <c r="BY211" i="25"/>
  <c r="CP204" i="25"/>
  <c r="CQ204" i="25"/>
  <c r="CR204" i="25" s="1"/>
  <c r="CP82" i="25"/>
  <c r="CO89" i="25"/>
  <c r="CM93" i="25"/>
  <c r="CS93" i="25" s="1"/>
  <c r="BS99" i="25"/>
  <c r="CX102" i="25"/>
  <c r="CY102" i="25" s="1"/>
  <c r="CZ102" i="25" s="1"/>
  <c r="DA102" i="25" s="1"/>
  <c r="BS103" i="25"/>
  <c r="BZ104" i="25"/>
  <c r="CN111" i="25"/>
  <c r="BZ114" i="25"/>
  <c r="CN119" i="25"/>
  <c r="CX121" i="25"/>
  <c r="CY121" i="25" s="1"/>
  <c r="CZ121" i="25" s="1"/>
  <c r="DA121" i="25" s="1"/>
  <c r="CQ131" i="25"/>
  <c r="CR131" i="25" s="1"/>
  <c r="BY142" i="25"/>
  <c r="CA142" i="25" s="1"/>
  <c r="CB142" i="25" s="1"/>
  <c r="CF142" i="25" s="1"/>
  <c r="CG142" i="25" s="1"/>
  <c r="CJ142" i="25" s="1"/>
  <c r="CN146" i="25"/>
  <c r="CM154" i="25"/>
  <c r="CS154" i="25" s="1"/>
  <c r="BY168" i="25"/>
  <c r="CA168" i="25" s="1"/>
  <c r="CB168" i="25" s="1"/>
  <c r="CF168" i="25" s="1"/>
  <c r="CG168" i="25" s="1"/>
  <c r="CJ168" i="25" s="1"/>
  <c r="BY179" i="25"/>
  <c r="BY180" i="25"/>
  <c r="DF191" i="25"/>
  <c r="BS189" i="25"/>
  <c r="DF198" i="25"/>
  <c r="CX204" i="25"/>
  <c r="CY204" i="25" s="1"/>
  <c r="CZ204" i="25" s="1"/>
  <c r="DA204" i="25" s="1"/>
  <c r="CP215" i="25"/>
  <c r="CQ215" i="25"/>
  <c r="CR215" i="25" s="1"/>
  <c r="CO215" i="25"/>
  <c r="CP89" i="25"/>
  <c r="CM90" i="25"/>
  <c r="CS90" i="25" s="1"/>
  <c r="CO93" i="25"/>
  <c r="CM110" i="25"/>
  <c r="CS110" i="25" s="1"/>
  <c r="CO119" i="25"/>
  <c r="BZ125" i="25"/>
  <c r="DF131" i="25"/>
  <c r="CX133" i="25"/>
  <c r="CY133" i="25" s="1"/>
  <c r="CZ133" i="25" s="1"/>
  <c r="DA133" i="25" s="1"/>
  <c r="BS140" i="25"/>
  <c r="CO146" i="25"/>
  <c r="CM151" i="25"/>
  <c r="CS151" i="25" s="1"/>
  <c r="CX152" i="25"/>
  <c r="CY152" i="25" s="1"/>
  <c r="CZ152" i="25" s="1"/>
  <c r="DA152" i="25" s="1"/>
  <c r="CM155" i="25"/>
  <c r="CS155" i="25" s="1"/>
  <c r="CX162" i="25"/>
  <c r="CY162" i="25" s="1"/>
  <c r="CZ162" i="25" s="1"/>
  <c r="DA162" i="25" s="1"/>
  <c r="CP180" i="25"/>
  <c r="DH175" i="25"/>
  <c r="CN194" i="25"/>
  <c r="CQ197" i="25"/>
  <c r="CR197" i="25" s="1"/>
  <c r="CM199" i="25"/>
  <c r="CS199" i="25" s="1"/>
  <c r="CQ201" i="25"/>
  <c r="CR201" i="25" s="1"/>
  <c r="CX169" i="25"/>
  <c r="CY169" i="25" s="1"/>
  <c r="CZ169" i="25" s="1"/>
  <c r="DA169" i="25" s="1"/>
  <c r="BS210" i="25"/>
  <c r="CO320" i="25"/>
  <c r="CP320" i="25"/>
  <c r="CM204" i="25"/>
  <c r="CS204" i="25" s="1"/>
  <c r="CO213" i="25"/>
  <c r="BS215" i="25"/>
  <c r="BS216" i="25"/>
  <c r="CX225" i="25"/>
  <c r="CY225" i="25" s="1"/>
  <c r="CZ225" i="25" s="1"/>
  <c r="DA225" i="25" s="1"/>
  <c r="BS226" i="25"/>
  <c r="BY231" i="25"/>
  <c r="CM231" i="25"/>
  <c r="CS231" i="25" s="1"/>
  <c r="DF246" i="25"/>
  <c r="CO249" i="25"/>
  <c r="BZ251" i="25"/>
  <c r="CA251" i="25" s="1"/>
  <c r="CB251" i="25" s="1"/>
  <c r="CF251" i="25" s="1"/>
  <c r="CG251" i="25" s="1"/>
  <c r="CJ251" i="25" s="1"/>
  <c r="DF251" i="25"/>
  <c r="CQ252" i="25"/>
  <c r="CR252" i="25" s="1"/>
  <c r="DF252" i="25"/>
  <c r="CX256" i="25"/>
  <c r="CY256" i="25" s="1"/>
  <c r="CZ256" i="25" s="1"/>
  <c r="DA256" i="25" s="1"/>
  <c r="BS258" i="25"/>
  <c r="CP259" i="25"/>
  <c r="DF259" i="25"/>
  <c r="DH261" i="25"/>
  <c r="BS263" i="25"/>
  <c r="CX275" i="25"/>
  <c r="CY275" i="25" s="1"/>
  <c r="CZ275" i="25" s="1"/>
  <c r="DA275" i="25" s="1"/>
  <c r="CQ279" i="25"/>
  <c r="CR279" i="25" s="1"/>
  <c r="DF280" i="25"/>
  <c r="BY289" i="25"/>
  <c r="CO294" i="25"/>
  <c r="BS295" i="25"/>
  <c r="CN300" i="25"/>
  <c r="DF304" i="25"/>
  <c r="CO339" i="25"/>
  <c r="CP339" i="25"/>
  <c r="BY350" i="25"/>
  <c r="BZ350" i="25"/>
  <c r="CA350" i="25" s="1"/>
  <c r="CM215" i="25"/>
  <c r="CS215" i="25" s="1"/>
  <c r="CP249" i="25"/>
  <c r="CO270" i="25"/>
  <c r="CP294" i="25"/>
  <c r="DH314" i="25"/>
  <c r="CN209" i="25"/>
  <c r="BS214" i="25"/>
  <c r="BY215" i="25"/>
  <c r="BY216" i="25"/>
  <c r="CX217" i="25"/>
  <c r="CY217" i="25" s="1"/>
  <c r="CZ217" i="25" s="1"/>
  <c r="DA217" i="25" s="1"/>
  <c r="BS218" i="25"/>
  <c r="BZ219" i="25"/>
  <c r="CX221" i="25"/>
  <c r="CY221" i="25" s="1"/>
  <c r="CZ221" i="25" s="1"/>
  <c r="DA221" i="25" s="1"/>
  <c r="CQ231" i="25"/>
  <c r="CR231" i="25" s="1"/>
  <c r="CX233" i="25"/>
  <c r="CY233" i="25" s="1"/>
  <c r="CZ233" i="25" s="1"/>
  <c r="DA233" i="25" s="1"/>
  <c r="CP238" i="25"/>
  <c r="DF239" i="25"/>
  <c r="CP240" i="25"/>
  <c r="CN241" i="25"/>
  <c r="CM242" i="25"/>
  <c r="CS242" i="25" s="1"/>
  <c r="BS243" i="25"/>
  <c r="CP244" i="25"/>
  <c r="BS245" i="25"/>
  <c r="CX246" i="25"/>
  <c r="CY246" i="25" s="1"/>
  <c r="CZ246" i="25" s="1"/>
  <c r="DA246" i="25" s="1"/>
  <c r="DF249" i="25"/>
  <c r="CX251" i="25"/>
  <c r="CY251" i="25" s="1"/>
  <c r="CZ251" i="25" s="1"/>
  <c r="DA251" i="25" s="1"/>
  <c r="BS256" i="25"/>
  <c r="CO257" i="25"/>
  <c r="BZ258" i="25"/>
  <c r="CA258" i="25" s="1"/>
  <c r="CN258" i="25"/>
  <c r="CX261" i="25"/>
  <c r="CY261" i="25" s="1"/>
  <c r="CZ261" i="25" s="1"/>
  <c r="DA261" i="25" s="1"/>
  <c r="BY263" i="25"/>
  <c r="CO263" i="25"/>
  <c r="CM264" i="25"/>
  <c r="CS264" i="25" s="1"/>
  <c r="CP265" i="25"/>
  <c r="DH266" i="25"/>
  <c r="CP270" i="25"/>
  <c r="CP271" i="25"/>
  <c r="CM277" i="25"/>
  <c r="CS277" i="25" s="1"/>
  <c r="BZ278" i="25"/>
  <c r="CA278" i="25" s="1"/>
  <c r="CB278" i="25" s="1"/>
  <c r="CF278" i="25" s="1"/>
  <c r="CG278" i="25" s="1"/>
  <c r="CJ278" i="25" s="1"/>
  <c r="CP278" i="25"/>
  <c r="DH279" i="25"/>
  <c r="CO295" i="25"/>
  <c r="BS296" i="25"/>
  <c r="CM296" i="25"/>
  <c r="CS296" i="25" s="1"/>
  <c r="CP297" i="25"/>
  <c r="DF297" i="25"/>
  <c r="CQ298" i="25"/>
  <c r="CR298" i="25" s="1"/>
  <c r="DH298" i="25"/>
  <c r="DF298" i="25"/>
  <c r="DH300" i="25"/>
  <c r="CP302" i="25"/>
  <c r="DH306" i="25"/>
  <c r="DF306" i="25"/>
  <c r="CQ325" i="25"/>
  <c r="CR325" i="25" s="1"/>
  <c r="CN325" i="25"/>
  <c r="DH329" i="25"/>
  <c r="DF329" i="25"/>
  <c r="DH334" i="25"/>
  <c r="DF334" i="25"/>
  <c r="BS211" i="25"/>
  <c r="CX344" i="25"/>
  <c r="CY344" i="25" s="1"/>
  <c r="CZ344" i="25" s="1"/>
  <c r="DA344" i="25" s="1"/>
  <c r="CX203" i="25"/>
  <c r="CY203" i="25" s="1"/>
  <c r="CZ203" i="25" s="1"/>
  <c r="DA203" i="25" s="1"/>
  <c r="BS171" i="25"/>
  <c r="BS222" i="25"/>
  <c r="CO223" i="25"/>
  <c r="BZ226" i="25"/>
  <c r="CA226" i="25" s="1"/>
  <c r="CQ228" i="25"/>
  <c r="CR228" i="25" s="1"/>
  <c r="BS236" i="25"/>
  <c r="CQ240" i="25"/>
  <c r="CR240" i="25" s="1"/>
  <c r="CO242" i="25"/>
  <c r="BZ243" i="25"/>
  <c r="CA243" i="25" s="1"/>
  <c r="CM243" i="25"/>
  <c r="CS243" i="25" s="1"/>
  <c r="CX252" i="25"/>
  <c r="CY252" i="25" s="1"/>
  <c r="CZ252" i="25" s="1"/>
  <c r="DA252" i="25" s="1"/>
  <c r="BS254" i="25"/>
  <c r="CN255" i="25"/>
  <c r="CM256" i="25"/>
  <c r="CS256" i="25" s="1"/>
  <c r="CP257" i="25"/>
  <c r="BS262" i="25"/>
  <c r="BY265" i="25"/>
  <c r="DF270" i="25"/>
  <c r="BY273" i="25"/>
  <c r="CX273" i="25"/>
  <c r="CY273" i="25" s="1"/>
  <c r="CZ273" i="25" s="1"/>
  <c r="DA273" i="25" s="1"/>
  <c r="CX274" i="25"/>
  <c r="CY274" i="25" s="1"/>
  <c r="CZ274" i="25" s="1"/>
  <c r="DA274" i="25" s="1"/>
  <c r="CO277" i="25"/>
  <c r="CX282" i="25"/>
  <c r="CY282" i="25" s="1"/>
  <c r="CZ282" i="25" s="1"/>
  <c r="DA282" i="25" s="1"/>
  <c r="CM287" i="25"/>
  <c r="CS287" i="25" s="1"/>
  <c r="CM289" i="25"/>
  <c r="CS289" i="25" s="1"/>
  <c r="DF294" i="25"/>
  <c r="CP295" i="25"/>
  <c r="CP296" i="25"/>
  <c r="DF296" i="25"/>
  <c r="DH296" i="25"/>
  <c r="CX300" i="25"/>
  <c r="CY300" i="25" s="1"/>
  <c r="CZ300" i="25" s="1"/>
  <c r="DA300" i="25" s="1"/>
  <c r="BY309" i="25"/>
  <c r="BZ313" i="25"/>
  <c r="DF353" i="25"/>
  <c r="DH353" i="25"/>
  <c r="CP380" i="25"/>
  <c r="CO380" i="25"/>
  <c r="CM380" i="25"/>
  <c r="CS380" i="25" s="1"/>
  <c r="CM226" i="25"/>
  <c r="CS226" i="25" s="1"/>
  <c r="BS227" i="25"/>
  <c r="CP242" i="25"/>
  <c r="BZ245" i="25"/>
  <c r="CA245" i="25" s="1"/>
  <c r="CE245" i="25" s="1"/>
  <c r="CH245" i="25" s="1"/>
  <c r="CI245" i="25" s="1"/>
  <c r="CP245" i="25"/>
  <c r="BS251" i="25"/>
  <c r="CO255" i="25"/>
  <c r="CP256" i="25"/>
  <c r="BS260" i="25"/>
  <c r="CX266" i="25"/>
  <c r="CY266" i="25" s="1"/>
  <c r="CZ266" i="25" s="1"/>
  <c r="DA266" i="25" s="1"/>
  <c r="BS268" i="25"/>
  <c r="CM269" i="25"/>
  <c r="CS269" i="25" s="1"/>
  <c r="CX272" i="25"/>
  <c r="CY272" i="25" s="1"/>
  <c r="CZ272" i="25" s="1"/>
  <c r="DA272" i="25" s="1"/>
  <c r="BY277" i="25"/>
  <c r="CN287" i="25"/>
  <c r="CX293" i="25"/>
  <c r="CY293" i="25" s="1"/>
  <c r="CZ293" i="25" s="1"/>
  <c r="DA293" i="25" s="1"/>
  <c r="CX301" i="25"/>
  <c r="CY301" i="25" s="1"/>
  <c r="CZ301" i="25" s="1"/>
  <c r="DA301" i="25" s="1"/>
  <c r="BS305" i="25"/>
  <c r="BZ306" i="25"/>
  <c r="CA306" i="25" s="1"/>
  <c r="CE306" i="25" s="1"/>
  <c r="CH306" i="25" s="1"/>
  <c r="CI306" i="25" s="1"/>
  <c r="CQ310" i="25"/>
  <c r="CR310" i="25" s="1"/>
  <c r="CO310" i="25"/>
  <c r="CN314" i="25"/>
  <c r="CQ314" i="25"/>
  <c r="CR314" i="25" s="1"/>
  <c r="CO314" i="25"/>
  <c r="CQ321" i="25"/>
  <c r="CR321" i="25" s="1"/>
  <c r="CP321" i="25"/>
  <c r="CO375" i="25"/>
  <c r="CP375" i="25"/>
  <c r="CN375" i="25"/>
  <c r="CM375" i="25"/>
  <c r="CS375" i="25" s="1"/>
  <c r="CX213" i="25"/>
  <c r="CY213" i="25" s="1"/>
  <c r="CZ213" i="25" s="1"/>
  <c r="DA213" i="25" s="1"/>
  <c r="CX220" i="25"/>
  <c r="CY220" i="25" s="1"/>
  <c r="CZ220" i="25" s="1"/>
  <c r="DA220" i="25" s="1"/>
  <c r="BY223" i="25"/>
  <c r="CA223" i="25" s="1"/>
  <c r="CE223" i="25" s="1"/>
  <c r="CH223" i="25" s="1"/>
  <c r="CI223" i="25" s="1"/>
  <c r="BZ236" i="25"/>
  <c r="CA236" i="25" s="1"/>
  <c r="CB236" i="25" s="1"/>
  <c r="CP255" i="25"/>
  <c r="BZ262" i="25"/>
  <c r="CA262" i="25" s="1"/>
  <c r="BZ269" i="25"/>
  <c r="CA269" i="25" s="1"/>
  <c r="CO283" i="25"/>
  <c r="CO287" i="25"/>
  <c r="CQ327" i="25"/>
  <c r="CR327" i="25" s="1"/>
  <c r="CP327" i="25"/>
  <c r="CO327" i="25"/>
  <c r="DH328" i="25"/>
  <c r="DF328" i="25"/>
  <c r="DH373" i="25"/>
  <c r="DF373" i="25"/>
  <c r="CX223" i="25"/>
  <c r="CY223" i="25" s="1"/>
  <c r="CZ223" i="25" s="1"/>
  <c r="DA223" i="25" s="1"/>
  <c r="BS224" i="25"/>
  <c r="BY227" i="25"/>
  <c r="BS229" i="25"/>
  <c r="CX231" i="25"/>
  <c r="CY231" i="25" s="1"/>
  <c r="CZ231" i="25" s="1"/>
  <c r="DA231" i="25" s="1"/>
  <c r="BS232" i="25"/>
  <c r="BS233" i="25"/>
  <c r="BS235" i="25"/>
  <c r="CX239" i="25"/>
  <c r="CY239" i="25" s="1"/>
  <c r="CZ239" i="25" s="1"/>
  <c r="DA239" i="25" s="1"/>
  <c r="CX240" i="25"/>
  <c r="CY240" i="25" s="1"/>
  <c r="CZ240" i="25" s="1"/>
  <c r="DA240" i="25" s="1"/>
  <c r="BS246" i="25"/>
  <c r="CM246" i="25"/>
  <c r="CS246" i="25" s="1"/>
  <c r="CX247" i="25"/>
  <c r="CY247" i="25" s="1"/>
  <c r="CZ247" i="25" s="1"/>
  <c r="DA247" i="25" s="1"/>
  <c r="CN252" i="25"/>
  <c r="CN267" i="25"/>
  <c r="BZ268" i="25"/>
  <c r="CA268" i="25" s="1"/>
  <c r="CB268" i="25" s="1"/>
  <c r="DF268" i="25"/>
  <c r="CX270" i="25"/>
  <c r="CY270" i="25" s="1"/>
  <c r="CZ270" i="25" s="1"/>
  <c r="DA270" i="25" s="1"/>
  <c r="BS273" i="25"/>
  <c r="DF275" i="25"/>
  <c r="CX278" i="25"/>
  <c r="CY278" i="25" s="1"/>
  <c r="CZ278" i="25" s="1"/>
  <c r="DA278" i="25" s="1"/>
  <c r="BZ282" i="25"/>
  <c r="CA282" i="25" s="1"/>
  <c r="CE282" i="25" s="1"/>
  <c r="CH282" i="25" s="1"/>
  <c r="CI282" i="25" s="1"/>
  <c r="BS286" i="25"/>
  <c r="CQ287" i="25"/>
  <c r="CR287" i="25" s="1"/>
  <c r="CX296" i="25"/>
  <c r="CY296" i="25" s="1"/>
  <c r="CZ296" i="25" s="1"/>
  <c r="DA296" i="25" s="1"/>
  <c r="BS299" i="25"/>
  <c r="CQ301" i="25"/>
  <c r="CR301" i="25" s="1"/>
  <c r="CM301" i="25"/>
  <c r="CS301" i="25" s="1"/>
  <c r="CX302" i="25"/>
  <c r="CY302" i="25" s="1"/>
  <c r="CZ302" i="25" s="1"/>
  <c r="DA302" i="25" s="1"/>
  <c r="CQ306" i="25"/>
  <c r="CR306" i="25" s="1"/>
  <c r="CP306" i="25"/>
  <c r="CM308" i="25"/>
  <c r="CS308" i="25" s="1"/>
  <c r="CN310" i="25"/>
  <c r="DF367" i="25"/>
  <c r="DH367" i="25"/>
  <c r="BZ300" i="25"/>
  <c r="CA300" i="25" s="1"/>
  <c r="CB300" i="25" s="1"/>
  <c r="CF300" i="25" s="1"/>
  <c r="CG300" i="25" s="1"/>
  <c r="CJ300" i="25" s="1"/>
  <c r="CM305" i="25"/>
  <c r="CS305" i="25" s="1"/>
  <c r="BZ308" i="25"/>
  <c r="CA308" i="25" s="1"/>
  <c r="CB308" i="25" s="1"/>
  <c r="CF308" i="25" s="1"/>
  <c r="CG308" i="25" s="1"/>
  <c r="CJ308" i="25" s="1"/>
  <c r="BZ315" i="25"/>
  <c r="BZ317" i="25"/>
  <c r="DH320" i="25"/>
  <c r="DF323" i="25"/>
  <c r="BZ324" i="25"/>
  <c r="CA324" i="25" s="1"/>
  <c r="CB324" i="25" s="1"/>
  <c r="CF324" i="25" s="1"/>
  <c r="CG324" i="25" s="1"/>
  <c r="CJ324" i="25" s="1"/>
  <c r="DF324" i="25"/>
  <c r="DH325" i="25"/>
  <c r="DH327" i="25"/>
  <c r="CN331" i="25"/>
  <c r="BS332" i="25"/>
  <c r="CM334" i="25"/>
  <c r="CS334" i="25" s="1"/>
  <c r="BZ335" i="25"/>
  <c r="DH337" i="25"/>
  <c r="CX339" i="25"/>
  <c r="CY339" i="25" s="1"/>
  <c r="CZ339" i="25" s="1"/>
  <c r="DA339" i="25" s="1"/>
  <c r="BY343" i="25"/>
  <c r="CA343" i="25" s="1"/>
  <c r="CB343" i="25" s="1"/>
  <c r="CF343" i="25" s="1"/>
  <c r="CG343" i="25" s="1"/>
  <c r="CJ343" i="25" s="1"/>
  <c r="BZ206" i="25"/>
  <c r="DH347" i="25"/>
  <c r="CX352" i="25"/>
  <c r="CY352" i="25" s="1"/>
  <c r="CZ352" i="25" s="1"/>
  <c r="DA352" i="25" s="1"/>
  <c r="BS353" i="25"/>
  <c r="BZ355" i="25"/>
  <c r="CA355" i="25" s="1"/>
  <c r="CE355" i="25" s="1"/>
  <c r="CH355" i="25" s="1"/>
  <c r="CI355" i="25" s="1"/>
  <c r="CQ356" i="25"/>
  <c r="CR356" i="25" s="1"/>
  <c r="CX357" i="25"/>
  <c r="CY357" i="25" s="1"/>
  <c r="CZ357" i="25" s="1"/>
  <c r="DA357" i="25" s="1"/>
  <c r="CO361" i="25"/>
  <c r="CQ362" i="25"/>
  <c r="CR362" i="25" s="1"/>
  <c r="CX363" i="25"/>
  <c r="CY363" i="25" s="1"/>
  <c r="CZ363" i="25" s="1"/>
  <c r="DA363" i="25" s="1"/>
  <c r="CX364" i="25"/>
  <c r="CY364" i="25" s="1"/>
  <c r="CZ364" i="25" s="1"/>
  <c r="DA364" i="25" s="1"/>
  <c r="BZ367" i="25"/>
  <c r="CA367" i="25" s="1"/>
  <c r="CB367" i="25" s="1"/>
  <c r="CF367" i="25" s="1"/>
  <c r="CG367" i="25" s="1"/>
  <c r="CJ367" i="25" s="1"/>
  <c r="CM367" i="25"/>
  <c r="CS367" i="25" s="1"/>
  <c r="CX369" i="25"/>
  <c r="CY369" i="25" s="1"/>
  <c r="CZ369" i="25" s="1"/>
  <c r="DA369" i="25" s="1"/>
  <c r="BS370" i="25"/>
  <c r="BS373" i="25"/>
  <c r="CO374" i="25"/>
  <c r="BS375" i="25"/>
  <c r="CP377" i="25"/>
  <c r="CQ378" i="25"/>
  <c r="CR378" i="25" s="1"/>
  <c r="BZ387" i="25"/>
  <c r="CA387" i="25" s="1"/>
  <c r="CB387" i="25" s="1"/>
  <c r="CM387" i="25"/>
  <c r="CS387" i="25" s="1"/>
  <c r="BS389" i="25"/>
  <c r="CX505" i="25"/>
  <c r="CY505" i="25" s="1"/>
  <c r="CZ505" i="25" s="1"/>
  <c r="DA505" i="25" s="1"/>
  <c r="BZ508" i="25"/>
  <c r="CX508" i="25"/>
  <c r="CY508" i="25" s="1"/>
  <c r="CZ508" i="25" s="1"/>
  <c r="DA508" i="25" s="1"/>
  <c r="CM514" i="25"/>
  <c r="CS514" i="25" s="1"/>
  <c r="CM515" i="25"/>
  <c r="CS515" i="25" s="1"/>
  <c r="CN516" i="25"/>
  <c r="BZ517" i="25"/>
  <c r="CN517" i="25"/>
  <c r="BY520" i="25"/>
  <c r="CA520" i="25" s="1"/>
  <c r="CB520" i="25" s="1"/>
  <c r="BS527" i="25"/>
  <c r="CO528" i="25"/>
  <c r="BS531" i="25"/>
  <c r="CO532" i="25"/>
  <c r="CX534" i="25"/>
  <c r="CY534" i="25" s="1"/>
  <c r="CZ534" i="25" s="1"/>
  <c r="DA534" i="25" s="1"/>
  <c r="BS535" i="25"/>
  <c r="CP540" i="25"/>
  <c r="CP541" i="25"/>
  <c r="CX544" i="25"/>
  <c r="CY544" i="25" s="1"/>
  <c r="CZ544" i="25" s="1"/>
  <c r="DA544" i="25" s="1"/>
  <c r="CN311" i="25"/>
  <c r="BS312" i="25"/>
  <c r="CM312" i="25"/>
  <c r="CS312" i="25" s="1"/>
  <c r="BZ325" i="25"/>
  <c r="BZ330" i="25"/>
  <c r="CO330" i="25"/>
  <c r="CQ331" i="25"/>
  <c r="CR331" i="25" s="1"/>
  <c r="CP332" i="25"/>
  <c r="CP334" i="25"/>
  <c r="CN342" i="25"/>
  <c r="CO343" i="25"/>
  <c r="BZ347" i="25"/>
  <c r="CA347" i="25" s="1"/>
  <c r="CB347" i="25" s="1"/>
  <c r="CF347" i="25" s="1"/>
  <c r="CG347" i="25" s="1"/>
  <c r="CJ347" i="25" s="1"/>
  <c r="CX347" i="25"/>
  <c r="CY347" i="25" s="1"/>
  <c r="CZ347" i="25" s="1"/>
  <c r="DA347" i="25" s="1"/>
  <c r="CX348" i="25"/>
  <c r="CY348" i="25" s="1"/>
  <c r="CZ348" i="25" s="1"/>
  <c r="DA348" i="25" s="1"/>
  <c r="BY354" i="25"/>
  <c r="BS359" i="25"/>
  <c r="CM360" i="25"/>
  <c r="CS360" i="25" s="1"/>
  <c r="CQ373" i="25"/>
  <c r="CR373" i="25" s="1"/>
  <c r="BZ377" i="25"/>
  <c r="CA377" i="25" s="1"/>
  <c r="CB377" i="25" s="1"/>
  <c r="CF377" i="25" s="1"/>
  <c r="CG377" i="25" s="1"/>
  <c r="CJ377" i="25" s="1"/>
  <c r="BS380" i="25"/>
  <c r="BS381" i="25"/>
  <c r="CQ386" i="25"/>
  <c r="CR386" i="25" s="1"/>
  <c r="BZ389" i="25"/>
  <c r="CA389" i="25" s="1"/>
  <c r="CM389" i="25"/>
  <c r="CS389" i="25" s="1"/>
  <c r="BS506" i="25"/>
  <c r="CX511" i="25"/>
  <c r="CY511" i="25" s="1"/>
  <c r="CZ511" i="25" s="1"/>
  <c r="DA511" i="25" s="1"/>
  <c r="CX512" i="25"/>
  <c r="CY512" i="25" s="1"/>
  <c r="CZ512" i="25" s="1"/>
  <c r="DA512" i="25" s="1"/>
  <c r="CN512" i="25"/>
  <c r="CQ516" i="25"/>
  <c r="CR516" i="25" s="1"/>
  <c r="BY519" i="25"/>
  <c r="CA519" i="25" s="1"/>
  <c r="CE519" i="25" s="1"/>
  <c r="CH519" i="25" s="1"/>
  <c r="CI519" i="25" s="1"/>
  <c r="CX525" i="25"/>
  <c r="CY525" i="25" s="1"/>
  <c r="CZ525" i="25" s="1"/>
  <c r="DA525" i="25" s="1"/>
  <c r="CQ527" i="25"/>
  <c r="CR527" i="25" s="1"/>
  <c r="DF527" i="25"/>
  <c r="CX529" i="25"/>
  <c r="CY529" i="25" s="1"/>
  <c r="CZ529" i="25" s="1"/>
  <c r="DA529" i="25" s="1"/>
  <c r="BZ531" i="25"/>
  <c r="CM531" i="25"/>
  <c r="CS531" i="25" s="1"/>
  <c r="CX533" i="25"/>
  <c r="CY533" i="25" s="1"/>
  <c r="CZ533" i="25" s="1"/>
  <c r="DA533" i="25" s="1"/>
  <c r="BS534" i="25"/>
  <c r="BS536" i="25"/>
  <c r="DF539" i="25"/>
  <c r="CN380" i="25"/>
  <c r="CM530" i="25"/>
  <c r="CS530" i="25" s="1"/>
  <c r="CN327" i="25"/>
  <c r="BS328" i="25"/>
  <c r="CQ336" i="25"/>
  <c r="CR336" i="25" s="1"/>
  <c r="BS337" i="25"/>
  <c r="DF206" i="25"/>
  <c r="BY351" i="25"/>
  <c r="CX362" i="25"/>
  <c r="CY362" i="25" s="1"/>
  <c r="CZ362" i="25" s="1"/>
  <c r="DA362" i="25" s="1"/>
  <c r="CM364" i="25"/>
  <c r="CS364" i="25" s="1"/>
  <c r="CO508" i="25"/>
  <c r="CN525" i="25"/>
  <c r="BS526" i="25"/>
  <c r="CM526" i="25"/>
  <c r="CS526" i="25" s="1"/>
  <c r="CN530" i="25"/>
  <c r="CX540" i="25"/>
  <c r="CY540" i="25" s="1"/>
  <c r="CZ540" i="25" s="1"/>
  <c r="DA540" i="25" s="1"/>
  <c r="DB542" i="25"/>
  <c r="BS306" i="25"/>
  <c r="CX309" i="25"/>
  <c r="CY309" i="25" s="1"/>
  <c r="CZ309" i="25" s="1"/>
  <c r="DA309" i="25" s="1"/>
  <c r="CN309" i="25"/>
  <c r="BS310" i="25"/>
  <c r="BS314" i="25"/>
  <c r="CM321" i="25"/>
  <c r="CS321" i="25" s="1"/>
  <c r="CO323" i="25"/>
  <c r="BS324" i="25"/>
  <c r="CX332" i="25"/>
  <c r="CY332" i="25" s="1"/>
  <c r="CZ332" i="25" s="1"/>
  <c r="DA332" i="25" s="1"/>
  <c r="CM337" i="25"/>
  <c r="CS337" i="25" s="1"/>
  <c r="CX342" i="25"/>
  <c r="CY342" i="25" s="1"/>
  <c r="CZ342" i="25" s="1"/>
  <c r="DA342" i="25" s="1"/>
  <c r="BY346" i="25"/>
  <c r="BS347" i="25"/>
  <c r="CX350" i="25"/>
  <c r="CY350" i="25" s="1"/>
  <c r="CZ350" i="25" s="1"/>
  <c r="DA350" i="25" s="1"/>
  <c r="CX353" i="25"/>
  <c r="CY353" i="25" s="1"/>
  <c r="CZ353" i="25" s="1"/>
  <c r="DA353" i="25" s="1"/>
  <c r="CX360" i="25"/>
  <c r="CY360" i="25" s="1"/>
  <c r="CZ360" i="25" s="1"/>
  <c r="DA360" i="25" s="1"/>
  <c r="BS362" i="25"/>
  <c r="DF363" i="25"/>
  <c r="BZ364" i="25"/>
  <c r="CA364" i="25" s="1"/>
  <c r="CX365" i="25"/>
  <c r="CY365" i="25" s="1"/>
  <c r="CZ365" i="25" s="1"/>
  <c r="DA365" i="25" s="1"/>
  <c r="CX366" i="25"/>
  <c r="CY366" i="25" s="1"/>
  <c r="CZ366" i="25" s="1"/>
  <c r="DA366" i="25" s="1"/>
  <c r="CX367" i="25"/>
  <c r="CY367" i="25" s="1"/>
  <c r="CZ367" i="25" s="1"/>
  <c r="DA367" i="25" s="1"/>
  <c r="BZ372" i="25"/>
  <c r="CA372" i="25" s="1"/>
  <c r="DH372" i="25"/>
  <c r="DF375" i="25"/>
  <c r="BY376" i="25"/>
  <c r="CX376" i="25"/>
  <c r="CY376" i="25" s="1"/>
  <c r="CZ376" i="25" s="1"/>
  <c r="DA376" i="25" s="1"/>
  <c r="BS377" i="25"/>
  <c r="CM383" i="25"/>
  <c r="CS383" i="25" s="1"/>
  <c r="DF505" i="25"/>
  <c r="BY507" i="25"/>
  <c r="CA507" i="25" s="1"/>
  <c r="CB507" i="25" s="1"/>
  <c r="CF507" i="25" s="1"/>
  <c r="CG507" i="25" s="1"/>
  <c r="CJ507" i="25" s="1"/>
  <c r="CP508" i="25"/>
  <c r="DF508" i="25"/>
  <c r="CX510" i="25"/>
  <c r="CY510" i="25" s="1"/>
  <c r="CZ510" i="25" s="1"/>
  <c r="DA510" i="25" s="1"/>
  <c r="CO525" i="25"/>
  <c r="CP526" i="25"/>
  <c r="DF526" i="25"/>
  <c r="CO530" i="25"/>
  <c r="CO538" i="25"/>
  <c r="BS539" i="25"/>
  <c r="CN543" i="25"/>
  <c r="BS319" i="25"/>
  <c r="CP324" i="25"/>
  <c r="CM325" i="25"/>
  <c r="CS325" i="25" s="1"/>
  <c r="CP337" i="25"/>
  <c r="DH339" i="25"/>
  <c r="CX341" i="25"/>
  <c r="CY341" i="25" s="1"/>
  <c r="CZ341" i="25" s="1"/>
  <c r="DA341" i="25" s="1"/>
  <c r="CX343" i="25"/>
  <c r="CY343" i="25" s="1"/>
  <c r="CZ343" i="25" s="1"/>
  <c r="DA343" i="25" s="1"/>
  <c r="CN347" i="25"/>
  <c r="CO348" i="25"/>
  <c r="BS355" i="25"/>
  <c r="CX359" i="25"/>
  <c r="CY359" i="25" s="1"/>
  <c r="CZ359" i="25" s="1"/>
  <c r="DA359" i="25" s="1"/>
  <c r="BZ362" i="25"/>
  <c r="CA362" i="25" s="1"/>
  <c r="CB362" i="25" s="1"/>
  <c r="CO362" i="25"/>
  <c r="BZ363" i="25"/>
  <c r="CA363" i="25" s="1"/>
  <c r="CB363" i="25" s="1"/>
  <c r="BZ371" i="25"/>
  <c r="CA371" i="25" s="1"/>
  <c r="BS374" i="25"/>
  <c r="CM378" i="25"/>
  <c r="CS378" i="25" s="1"/>
  <c r="BY383" i="25"/>
  <c r="DB514" i="25"/>
  <c r="CX519" i="25"/>
  <c r="CY519" i="25" s="1"/>
  <c r="CZ519" i="25" s="1"/>
  <c r="DA519" i="25" s="1"/>
  <c r="DF522" i="25"/>
  <c r="BY525" i="25"/>
  <c r="CA525" i="25" s="1"/>
  <c r="CB525" i="25" s="1"/>
  <c r="CF525" i="25" s="1"/>
  <c r="CG525" i="25" s="1"/>
  <c r="CJ525" i="25" s="1"/>
  <c r="CP525" i="25"/>
  <c r="BS528" i="25"/>
  <c r="CX528" i="25"/>
  <c r="CY528" i="25" s="1"/>
  <c r="CZ528" i="25" s="1"/>
  <c r="DA528" i="25" s="1"/>
  <c r="CP530" i="25"/>
  <c r="BZ533" i="25"/>
  <c r="BZ536" i="25"/>
  <c r="CP538" i="25"/>
  <c r="BZ541" i="25"/>
  <c r="CM541" i="25"/>
  <c r="CS541" i="25" s="1"/>
  <c r="CP543" i="25"/>
  <c r="DH544" i="25"/>
  <c r="BZ326" i="25"/>
  <c r="CA326" i="25" s="1"/>
  <c r="BZ328" i="25"/>
  <c r="CA328" i="25" s="1"/>
  <c r="CQ347" i="25"/>
  <c r="CR347" i="25" s="1"/>
  <c r="CP348" i="25"/>
  <c r="CM349" i="25"/>
  <c r="CS349" i="25" s="1"/>
  <c r="CN361" i="25"/>
  <c r="CN377" i="25"/>
  <c r="CP378" i="25"/>
  <c r="BZ505" i="25"/>
  <c r="BY529" i="25"/>
  <c r="CA529" i="25" s="1"/>
  <c r="CB529" i="25" s="1"/>
  <c r="CM540" i="25"/>
  <c r="CS540" i="25" s="1"/>
  <c r="CQ542" i="25"/>
  <c r="CR542" i="25" s="1"/>
  <c r="CQ543" i="25"/>
  <c r="CR543" i="25" s="1"/>
  <c r="CM8" i="25"/>
  <c r="CS8" i="25" s="1"/>
  <c r="CN8" i="25"/>
  <c r="CQ8" i="25"/>
  <c r="CR8" i="25" s="1"/>
  <c r="DH16" i="25"/>
  <c r="CQ17" i="25"/>
  <c r="CR17" i="25" s="1"/>
  <c r="DF21" i="25"/>
  <c r="CN22" i="25"/>
  <c r="DF25" i="25"/>
  <c r="CN26" i="25"/>
  <c r="DF29" i="25"/>
  <c r="BY30" i="25"/>
  <c r="CA30" i="25" s="1"/>
  <c r="CM30" i="25"/>
  <c r="CS30" i="25" s="1"/>
  <c r="CP36" i="25"/>
  <c r="CM37" i="25"/>
  <c r="CS37" i="25" s="1"/>
  <c r="CM39" i="25"/>
  <c r="CS39" i="25" s="1"/>
  <c r="BY45" i="25"/>
  <c r="CA45" i="25" s="1"/>
  <c r="CB45" i="25" s="1"/>
  <c r="CF45" i="25" s="1"/>
  <c r="CG45" i="25" s="1"/>
  <c r="CJ45" i="25" s="1"/>
  <c r="CX49" i="25"/>
  <c r="CY49" i="25" s="1"/>
  <c r="CZ49" i="25" s="1"/>
  <c r="DA49" i="25" s="1"/>
  <c r="CX53" i="25"/>
  <c r="CY53" i="25" s="1"/>
  <c r="CZ53" i="25" s="1"/>
  <c r="DA53" i="25" s="1"/>
  <c r="BZ58" i="25"/>
  <c r="CM62" i="25"/>
  <c r="CS62" i="25" s="1"/>
  <c r="BZ64" i="25"/>
  <c r="CN66" i="25"/>
  <c r="DF69" i="25"/>
  <c r="BZ72" i="25"/>
  <c r="BY74" i="25"/>
  <c r="CA74" i="25" s="1"/>
  <c r="CQ80" i="25"/>
  <c r="CR80" i="25" s="1"/>
  <c r="CN81" i="25"/>
  <c r="BS82" i="25"/>
  <c r="BZ94" i="25"/>
  <c r="CO8" i="25"/>
  <c r="BY8" i="25"/>
  <c r="CA8" i="25" s="1"/>
  <c r="CB8" i="25" s="1"/>
  <c r="BZ12" i="25"/>
  <c r="BY18" i="25"/>
  <c r="CA18" i="25" s="1"/>
  <c r="DH19" i="25"/>
  <c r="BZ20" i="25"/>
  <c r="CM22" i="25"/>
  <c r="CS22" i="25" s="1"/>
  <c r="DH23" i="25"/>
  <c r="CM26" i="25"/>
  <c r="CS26" i="25" s="1"/>
  <c r="DH27" i="25"/>
  <c r="DF30" i="25"/>
  <c r="CN34" i="25"/>
  <c r="BZ37" i="25"/>
  <c r="CN37" i="25"/>
  <c r="BY38" i="25"/>
  <c r="CA38" i="25" s="1"/>
  <c r="DF38" i="25"/>
  <c r="CO39" i="25"/>
  <c r="BZ40" i="25"/>
  <c r="CM40" i="25"/>
  <c r="CS40" i="25" s="1"/>
  <c r="BZ42" i="25"/>
  <c r="BZ50" i="25"/>
  <c r="BZ54" i="25"/>
  <c r="CM58" i="25"/>
  <c r="CS58" i="25" s="1"/>
  <c r="BZ59" i="25"/>
  <c r="CX59" i="25"/>
  <c r="CY59" i="25" s="1"/>
  <c r="CZ59" i="25" s="1"/>
  <c r="DA59" i="25" s="1"/>
  <c r="CO62" i="25"/>
  <c r="CO64" i="25"/>
  <c r="BS65" i="25"/>
  <c r="CP66" i="25"/>
  <c r="CM67" i="25"/>
  <c r="CS67" i="25" s="1"/>
  <c r="CQ68" i="25"/>
  <c r="CR68" i="25" s="1"/>
  <c r="DF73" i="25"/>
  <c r="CM74" i="25"/>
  <c r="CS74" i="25" s="1"/>
  <c r="CN76" i="25"/>
  <c r="CP78" i="25"/>
  <c r="DH79" i="25"/>
  <c r="DF80" i="25"/>
  <c r="BY81" i="25"/>
  <c r="CA81" i="25" s="1"/>
  <c r="CB81" i="25" s="1"/>
  <c r="CO81" i="25"/>
  <c r="BY82" i="25"/>
  <c r="CA82" i="25" s="1"/>
  <c r="BY84" i="25"/>
  <c r="CA84" i="25" s="1"/>
  <c r="CE84" i="25" s="1"/>
  <c r="CH84" i="25" s="1"/>
  <c r="CI84" i="25" s="1"/>
  <c r="CN85" i="25"/>
  <c r="BS86" i="25"/>
  <c r="BS9" i="25"/>
  <c r="CP9" i="25"/>
  <c r="CQ9" i="25"/>
  <c r="CR9" i="25" s="1"/>
  <c r="CO16" i="25"/>
  <c r="BS8" i="25"/>
  <c r="BZ11" i="25"/>
  <c r="CM11" i="25"/>
  <c r="CS11" i="25" s="1"/>
  <c r="DH11" i="25"/>
  <c r="CN14" i="25"/>
  <c r="BS15" i="25"/>
  <c r="BZ16" i="25"/>
  <c r="CN18" i="25"/>
  <c r="BS19" i="25"/>
  <c r="CX19" i="25"/>
  <c r="CY19" i="25" s="1"/>
  <c r="CZ19" i="25" s="1"/>
  <c r="DA19" i="25" s="1"/>
  <c r="CX21" i="25"/>
  <c r="CY21" i="25" s="1"/>
  <c r="CZ21" i="25" s="1"/>
  <c r="DA21" i="25" s="1"/>
  <c r="CP22" i="25"/>
  <c r="BZ23" i="25"/>
  <c r="CM23" i="25"/>
  <c r="CS23" i="25" s="1"/>
  <c r="CX23" i="25"/>
  <c r="CY23" i="25" s="1"/>
  <c r="CZ23" i="25" s="1"/>
  <c r="DA23" i="25" s="1"/>
  <c r="CX25" i="25"/>
  <c r="CY25" i="25" s="1"/>
  <c r="CZ25" i="25" s="1"/>
  <c r="DA25" i="25" s="1"/>
  <c r="CP26" i="25"/>
  <c r="BZ27" i="25"/>
  <c r="CX29" i="25"/>
  <c r="CY29" i="25" s="1"/>
  <c r="CZ29" i="25" s="1"/>
  <c r="DA29" i="25" s="1"/>
  <c r="BZ30" i="25"/>
  <c r="CX31" i="25"/>
  <c r="CY31" i="25" s="1"/>
  <c r="CZ31" i="25" s="1"/>
  <c r="DA31" i="25" s="1"/>
  <c r="BZ33" i="25"/>
  <c r="CN33" i="25"/>
  <c r="CQ39" i="25"/>
  <c r="CR39" i="25" s="1"/>
  <c r="CO40" i="25"/>
  <c r="BZ41" i="25"/>
  <c r="CM41" i="25"/>
  <c r="CS41" i="25" s="1"/>
  <c r="CX47" i="25"/>
  <c r="CY47" i="25" s="1"/>
  <c r="CZ47" i="25" s="1"/>
  <c r="DA47" i="25" s="1"/>
  <c r="CX48" i="25"/>
  <c r="CY48" i="25" s="1"/>
  <c r="CZ48" i="25" s="1"/>
  <c r="DA48" i="25" s="1"/>
  <c r="BS49" i="25"/>
  <c r="CM50" i="25"/>
  <c r="CS50" i="25" s="1"/>
  <c r="CX52" i="25"/>
  <c r="CY52" i="25" s="1"/>
  <c r="CZ52" i="25" s="1"/>
  <c r="DA52" i="25" s="1"/>
  <c r="BS53" i="25"/>
  <c r="CM54" i="25"/>
  <c r="CS54" i="25" s="1"/>
  <c r="BZ55" i="25"/>
  <c r="CX55" i="25"/>
  <c r="CY55" i="25" s="1"/>
  <c r="CZ55" i="25" s="1"/>
  <c r="DA55" i="25" s="1"/>
  <c r="CO58" i="25"/>
  <c r="CM59" i="25"/>
  <c r="CS59" i="25" s="1"/>
  <c r="CM61" i="25"/>
  <c r="CS61" i="25" s="1"/>
  <c r="CQ62" i="25"/>
  <c r="CR62" i="25" s="1"/>
  <c r="CP64" i="25"/>
  <c r="BY65" i="25"/>
  <c r="CA65" i="25" s="1"/>
  <c r="CB65" i="25" s="1"/>
  <c r="CF65" i="25" s="1"/>
  <c r="CG65" i="25" s="1"/>
  <c r="CJ65" i="25" s="1"/>
  <c r="CM65" i="25"/>
  <c r="CS65" i="25" s="1"/>
  <c r="BZ67" i="25"/>
  <c r="CO67" i="25"/>
  <c r="BZ69" i="25"/>
  <c r="CM69" i="25"/>
  <c r="CS69" i="25" s="1"/>
  <c r="CX69" i="25"/>
  <c r="CY69" i="25" s="1"/>
  <c r="CZ69" i="25" s="1"/>
  <c r="DA69" i="25" s="1"/>
  <c r="CX71" i="25"/>
  <c r="CY71" i="25" s="1"/>
  <c r="CZ71" i="25" s="1"/>
  <c r="DA71" i="25" s="1"/>
  <c r="CM73" i="25"/>
  <c r="CS73" i="25" s="1"/>
  <c r="CX75" i="25"/>
  <c r="CY75" i="25" s="1"/>
  <c r="CZ75" i="25" s="1"/>
  <c r="DA75" i="25" s="1"/>
  <c r="DH75" i="25"/>
  <c r="BZ76" i="25"/>
  <c r="CP76" i="25"/>
  <c r="CM77" i="25"/>
  <c r="CS77" i="25" s="1"/>
  <c r="CX79" i="25"/>
  <c r="CY79" i="25" s="1"/>
  <c r="CZ79" i="25" s="1"/>
  <c r="DA79" i="25" s="1"/>
  <c r="CP81" i="25"/>
  <c r="CQ84" i="25"/>
  <c r="CR84" i="25" s="1"/>
  <c r="BY85" i="25"/>
  <c r="CA85" i="25" s="1"/>
  <c r="CB85" i="25" s="1"/>
  <c r="CO85" i="25"/>
  <c r="BY86" i="25"/>
  <c r="CA86" i="25" s="1"/>
  <c r="CQ88" i="25"/>
  <c r="CR88" i="25" s="1"/>
  <c r="BY89" i="25"/>
  <c r="CA89" i="25" s="1"/>
  <c r="CB89" i="25" s="1"/>
  <c r="BZ10" i="25"/>
  <c r="CN11" i="25"/>
  <c r="CM21" i="25"/>
  <c r="CS21" i="25" s="1"/>
  <c r="CM25" i="25"/>
  <c r="CS25" i="25" s="1"/>
  <c r="BZ35" i="25"/>
  <c r="CN35" i="25"/>
  <c r="BY40" i="25"/>
  <c r="CA40" i="25" s="1"/>
  <c r="CB40" i="25" s="1"/>
  <c r="CF40" i="25" s="1"/>
  <c r="CG40" i="25" s="1"/>
  <c r="CJ40" i="25" s="1"/>
  <c r="CQ40" i="25"/>
  <c r="CR40" i="25" s="1"/>
  <c r="BY41" i="25"/>
  <c r="CA41" i="25" s="1"/>
  <c r="CB41" i="25" s="1"/>
  <c r="CF41" i="25" s="1"/>
  <c r="CG41" i="25" s="1"/>
  <c r="CJ41" i="25" s="1"/>
  <c r="CN42" i="25"/>
  <c r="BZ46" i="25"/>
  <c r="CO50" i="25"/>
  <c r="BZ51" i="25"/>
  <c r="BZ60" i="25"/>
  <c r="BZ61" i="25"/>
  <c r="CN65" i="25"/>
  <c r="CN69" i="25"/>
  <c r="CM71" i="25"/>
  <c r="CS71" i="25" s="1"/>
  <c r="CN73" i="25"/>
  <c r="CN77" i="25"/>
  <c r="CX80" i="25"/>
  <c r="CY80" i="25" s="1"/>
  <c r="CZ80" i="25" s="1"/>
  <c r="DA80" i="25" s="1"/>
  <c r="DF81" i="25"/>
  <c r="CM82" i="25"/>
  <c r="CS82" i="25" s="1"/>
  <c r="DH83" i="25"/>
  <c r="CP85" i="25"/>
  <c r="CM86" i="25"/>
  <c r="CS86" i="25" s="1"/>
  <c r="CN91" i="25"/>
  <c r="CO11" i="25"/>
  <c r="BZ13" i="25"/>
  <c r="CM15" i="25"/>
  <c r="CS15" i="25" s="1"/>
  <c r="CX17" i="25"/>
  <c r="CY17" i="25" s="1"/>
  <c r="CZ17" i="25" s="1"/>
  <c r="DA17" i="25" s="1"/>
  <c r="BZ19" i="25"/>
  <c r="BZ21" i="25"/>
  <c r="CN21" i="25"/>
  <c r="BZ22" i="25"/>
  <c r="BZ25" i="25"/>
  <c r="CN25" i="25"/>
  <c r="BZ26" i="25"/>
  <c r="CM29" i="25"/>
  <c r="CS29" i="25" s="1"/>
  <c r="BY31" i="25"/>
  <c r="CA31" i="25" s="1"/>
  <c r="CE31" i="25" s="1"/>
  <c r="CH31" i="25" s="1"/>
  <c r="CI31" i="25" s="1"/>
  <c r="BZ32" i="25"/>
  <c r="CM32" i="25"/>
  <c r="CS32" i="25" s="1"/>
  <c r="BY34" i="25"/>
  <c r="CA34" i="25" s="1"/>
  <c r="CM35" i="25"/>
  <c r="CS35" i="25" s="1"/>
  <c r="CX35" i="25"/>
  <c r="CY35" i="25" s="1"/>
  <c r="CZ35" i="25" s="1"/>
  <c r="DA35" i="25" s="1"/>
  <c r="CX37" i="25"/>
  <c r="CY37" i="25" s="1"/>
  <c r="CZ37" i="25" s="1"/>
  <c r="DA37" i="25" s="1"/>
  <c r="BY39" i="25"/>
  <c r="CA39" i="25" s="1"/>
  <c r="CE39" i="25" s="1"/>
  <c r="CH39" i="25" s="1"/>
  <c r="CI39" i="25" s="1"/>
  <c r="CX42" i="25"/>
  <c r="CY42" i="25" s="1"/>
  <c r="CZ42" i="25" s="1"/>
  <c r="DA42" i="25" s="1"/>
  <c r="CX44" i="25"/>
  <c r="CY44" i="25" s="1"/>
  <c r="CZ44" i="25" s="1"/>
  <c r="DA44" i="25" s="1"/>
  <c r="CX45" i="25"/>
  <c r="CY45" i="25" s="1"/>
  <c r="CZ45" i="25" s="1"/>
  <c r="DA45" i="25" s="1"/>
  <c r="CM46" i="25"/>
  <c r="CS46" i="25" s="1"/>
  <c r="BZ47" i="25"/>
  <c r="CM49" i="25"/>
  <c r="CS49" i="25" s="1"/>
  <c r="CQ50" i="25"/>
  <c r="CR50" i="25" s="1"/>
  <c r="CM53" i="25"/>
  <c r="CS53" i="25" s="1"/>
  <c r="BZ56" i="25"/>
  <c r="BZ57" i="25"/>
  <c r="BY60" i="25"/>
  <c r="CA60" i="25" s="1"/>
  <c r="CB60" i="25" s="1"/>
  <c r="CF60" i="25" s="1"/>
  <c r="CG60" i="25" s="1"/>
  <c r="CJ60" i="25" s="1"/>
  <c r="BY62" i="25"/>
  <c r="CA62" i="25" s="1"/>
  <c r="CE62" i="25" s="1"/>
  <c r="CH62" i="25" s="1"/>
  <c r="CI62" i="25" s="1"/>
  <c r="BZ65" i="25"/>
  <c r="BS66" i="25"/>
  <c r="CO69" i="25"/>
  <c r="BZ73" i="25"/>
  <c r="CO73" i="25"/>
  <c r="CO75" i="25"/>
  <c r="BZ77" i="25"/>
  <c r="CM83" i="25"/>
  <c r="CS83" i="25" s="1"/>
  <c r="BZ91" i="25"/>
  <c r="CY18" i="25"/>
  <c r="CZ18" i="25" s="1"/>
  <c r="DA18" i="25" s="1"/>
  <c r="CN38" i="25"/>
  <c r="BZ43" i="25"/>
  <c r="BZ44" i="25"/>
  <c r="BZ48" i="25"/>
  <c r="BZ49" i="25"/>
  <c r="BZ52" i="25"/>
  <c r="BZ53" i="25"/>
  <c r="BY56" i="25"/>
  <c r="CA56" i="25" s="1"/>
  <c r="CB56" i="25" s="1"/>
  <c r="CF56" i="25" s="1"/>
  <c r="CG56" i="25" s="1"/>
  <c r="CJ56" i="25" s="1"/>
  <c r="CX84" i="25"/>
  <c r="CY84" i="25" s="1"/>
  <c r="CZ84" i="25" s="1"/>
  <c r="DA84" i="25" s="1"/>
  <c r="CP11" i="25"/>
  <c r="BS12" i="25"/>
  <c r="BZ15" i="25"/>
  <c r="CN17" i="25"/>
  <c r="CO19" i="25"/>
  <c r="CQ21" i="25"/>
  <c r="CR21" i="25" s="1"/>
  <c r="CQ25" i="25"/>
  <c r="CR25" i="25" s="1"/>
  <c r="CQ29" i="25"/>
  <c r="CR29" i="25" s="1"/>
  <c r="CP32" i="25"/>
  <c r="BZ34" i="25"/>
  <c r="BZ36" i="25"/>
  <c r="CN36" i="25"/>
  <c r="BS38" i="25"/>
  <c r="CX41" i="25"/>
  <c r="CY41" i="25" s="1"/>
  <c r="CZ41" i="25" s="1"/>
  <c r="DA41" i="25" s="1"/>
  <c r="BS42" i="25"/>
  <c r="BY48" i="25"/>
  <c r="CA48" i="25" s="1"/>
  <c r="CB48" i="25" s="1"/>
  <c r="CF48" i="25" s="1"/>
  <c r="CG48" i="25" s="1"/>
  <c r="CJ48" i="25" s="1"/>
  <c r="BY52" i="25"/>
  <c r="CA52" i="25" s="1"/>
  <c r="CB52" i="25" s="1"/>
  <c r="CF52" i="25" s="1"/>
  <c r="CG52" i="25" s="1"/>
  <c r="CJ52" i="25" s="1"/>
  <c r="CX54" i="25"/>
  <c r="CY54" i="25" s="1"/>
  <c r="CZ54" i="25" s="1"/>
  <c r="DA54" i="25" s="1"/>
  <c r="BS58" i="25"/>
  <c r="CX61" i="25"/>
  <c r="CY61" i="25" s="1"/>
  <c r="CZ61" i="25" s="1"/>
  <c r="DA61" i="25" s="1"/>
  <c r="BZ63" i="25"/>
  <c r="BS64" i="25"/>
  <c r="BY66" i="25"/>
  <c r="CA66" i="25" s="1"/>
  <c r="CB66" i="25" s="1"/>
  <c r="CF66" i="25" s="1"/>
  <c r="CG66" i="25" s="1"/>
  <c r="CJ66" i="25" s="1"/>
  <c r="BZ68" i="25"/>
  <c r="CM68" i="25"/>
  <c r="CS68" i="25" s="1"/>
  <c r="BS70" i="25"/>
  <c r="CX70" i="25"/>
  <c r="CY70" i="25" s="1"/>
  <c r="CZ70" i="25" s="1"/>
  <c r="DA70" i="25" s="1"/>
  <c r="CX76" i="25"/>
  <c r="CY76" i="25" s="1"/>
  <c r="CZ76" i="25" s="1"/>
  <c r="DA76" i="25" s="1"/>
  <c r="BY78" i="25"/>
  <c r="CA78" i="25" s="1"/>
  <c r="BS81" i="25"/>
  <c r="CX85" i="25"/>
  <c r="CY85" i="25" s="1"/>
  <c r="CZ85" i="25" s="1"/>
  <c r="DA85" i="25" s="1"/>
  <c r="CN87" i="25"/>
  <c r="BY88" i="25"/>
  <c r="CA88" i="25" s="1"/>
  <c r="CE88" i="25" s="1"/>
  <c r="CH88" i="25" s="1"/>
  <c r="CI88" i="25" s="1"/>
  <c r="BZ92" i="25"/>
  <c r="CN92" i="25"/>
  <c r="BY93" i="25"/>
  <c r="CA93" i="25" s="1"/>
  <c r="CB93" i="25" s="1"/>
  <c r="CN93" i="25"/>
  <c r="BS94" i="25"/>
  <c r="DH95" i="25"/>
  <c r="CP97" i="25"/>
  <c r="BZ98" i="25"/>
  <c r="CM98" i="25"/>
  <c r="CS98" i="25" s="1"/>
  <c r="BZ99" i="25"/>
  <c r="CX99" i="25"/>
  <c r="CY99" i="25" s="1"/>
  <c r="CZ99" i="25" s="1"/>
  <c r="DA99" i="25" s="1"/>
  <c r="CX100" i="25"/>
  <c r="CY100" i="25" s="1"/>
  <c r="CZ100" i="25" s="1"/>
  <c r="DA100" i="25" s="1"/>
  <c r="DF101" i="25"/>
  <c r="CO103" i="25"/>
  <c r="BY108" i="25"/>
  <c r="CA108" i="25" s="1"/>
  <c r="CE108" i="25" s="1"/>
  <c r="CH108" i="25" s="1"/>
  <c r="CI108" i="25" s="1"/>
  <c r="CN108" i="25"/>
  <c r="BZ109" i="25"/>
  <c r="CN109" i="25"/>
  <c r="BS111" i="25"/>
  <c r="CM114" i="25"/>
  <c r="CS114" i="25" s="1"/>
  <c r="DF117" i="25"/>
  <c r="DF119" i="25"/>
  <c r="CQ120" i="25"/>
  <c r="CR120" i="25" s="1"/>
  <c r="CN126" i="25"/>
  <c r="BY129" i="25"/>
  <c r="CA129" i="25" s="1"/>
  <c r="BZ130" i="25"/>
  <c r="CN132" i="25"/>
  <c r="BZ133" i="25"/>
  <c r="CN134" i="25"/>
  <c r="CO135" i="25"/>
  <c r="CP138" i="25"/>
  <c r="CQ143" i="25"/>
  <c r="CR143" i="25" s="1"/>
  <c r="CX147" i="25"/>
  <c r="CY147" i="25" s="1"/>
  <c r="CZ147" i="25" s="1"/>
  <c r="DA147" i="25" s="1"/>
  <c r="BY150" i="25"/>
  <c r="CA150" i="25" s="1"/>
  <c r="CB150" i="25" s="1"/>
  <c r="CF150" i="25" s="1"/>
  <c r="CG150" i="25" s="1"/>
  <c r="CJ150" i="25" s="1"/>
  <c r="DB150" i="25"/>
  <c r="CP158" i="25"/>
  <c r="CN165" i="25"/>
  <c r="BZ168" i="25"/>
  <c r="CO168" i="25"/>
  <c r="BY205" i="25"/>
  <c r="CM205" i="25"/>
  <c r="CS205" i="25" s="1"/>
  <c r="CM208" i="25"/>
  <c r="CS208" i="25" s="1"/>
  <c r="CX185" i="25"/>
  <c r="CY185" i="25" s="1"/>
  <c r="CZ185" i="25" s="1"/>
  <c r="DA185" i="25" s="1"/>
  <c r="CX175" i="25"/>
  <c r="CY175" i="25" s="1"/>
  <c r="CZ175" i="25" s="1"/>
  <c r="DA175" i="25" s="1"/>
  <c r="DH102" i="25"/>
  <c r="DH116" i="25"/>
  <c r="CQ138" i="25"/>
  <c r="CR138" i="25" s="1"/>
  <c r="DH147" i="25"/>
  <c r="BZ148" i="25"/>
  <c r="CQ158" i="25"/>
  <c r="CR158" i="25" s="1"/>
  <c r="DH167" i="25"/>
  <c r="CP168" i="25"/>
  <c r="CO208" i="25"/>
  <c r="BZ184" i="25"/>
  <c r="CA184" i="25" s="1"/>
  <c r="BY90" i="25"/>
  <c r="CA90" i="25" s="1"/>
  <c r="BS91" i="25"/>
  <c r="CP93" i="25"/>
  <c r="CM94" i="25"/>
  <c r="CS94" i="25" s="1"/>
  <c r="CX95" i="25"/>
  <c r="CY95" i="25" s="1"/>
  <c r="CZ95" i="25" s="1"/>
  <c r="DA95" i="25" s="1"/>
  <c r="CX96" i="25"/>
  <c r="CY96" i="25" s="1"/>
  <c r="CZ96" i="25" s="1"/>
  <c r="DA96" i="25" s="1"/>
  <c r="DF97" i="25"/>
  <c r="BY104" i="25"/>
  <c r="CA104" i="25" s="1"/>
  <c r="CE104" i="25" s="1"/>
  <c r="CH104" i="25" s="1"/>
  <c r="CI104" i="25" s="1"/>
  <c r="CN104" i="25"/>
  <c r="BZ105" i="25"/>
  <c r="BS107" i="25"/>
  <c r="BZ110" i="25"/>
  <c r="BZ111" i="25"/>
  <c r="CM113" i="25"/>
  <c r="CS113" i="25" s="1"/>
  <c r="BY114" i="25"/>
  <c r="CA114" i="25" s="1"/>
  <c r="CM118" i="25"/>
  <c r="CS118" i="25" s="1"/>
  <c r="DF120" i="25"/>
  <c r="CN124" i="25"/>
  <c r="CM130" i="25"/>
  <c r="CS130" i="25" s="1"/>
  <c r="CO145" i="25"/>
  <c r="BY146" i="25"/>
  <c r="CA146" i="25" s="1"/>
  <c r="CB146" i="25" s="1"/>
  <c r="CF146" i="25" s="1"/>
  <c r="CG146" i="25" s="1"/>
  <c r="CJ146" i="25" s="1"/>
  <c r="CM147" i="25"/>
  <c r="CS147" i="25" s="1"/>
  <c r="BZ151" i="25"/>
  <c r="CN151" i="25"/>
  <c r="CM153" i="25"/>
  <c r="CS153" i="25" s="1"/>
  <c r="CN154" i="25"/>
  <c r="BZ156" i="25"/>
  <c r="CQ165" i="25"/>
  <c r="CR165" i="25" s="1"/>
  <c r="CP205" i="25"/>
  <c r="CN170" i="25"/>
  <c r="CP208" i="25"/>
  <c r="CN179" i="25"/>
  <c r="DF173" i="25"/>
  <c r="BZ192" i="25"/>
  <c r="CA192" i="25" s="1"/>
  <c r="CB192" i="25" s="1"/>
  <c r="CF192" i="25" s="1"/>
  <c r="CG192" i="25" s="1"/>
  <c r="CJ192" i="25" s="1"/>
  <c r="BY185" i="25"/>
  <c r="DF187" i="25"/>
  <c r="CM180" i="25"/>
  <c r="CS180" i="25" s="1"/>
  <c r="BZ178" i="25"/>
  <c r="CA178" i="25" s="1"/>
  <c r="CB178" i="25" s="1"/>
  <c r="CF178" i="25" s="1"/>
  <c r="CG178" i="25" s="1"/>
  <c r="CJ178" i="25" s="1"/>
  <c r="BZ93" i="25"/>
  <c r="CP94" i="25"/>
  <c r="BZ95" i="25"/>
  <c r="BS97" i="25"/>
  <c r="BZ100" i="25"/>
  <c r="CM100" i="25"/>
  <c r="CS100" i="25" s="1"/>
  <c r="CM101" i="25"/>
  <c r="CS101" i="25" s="1"/>
  <c r="BY103" i="25"/>
  <c r="CA103" i="25" s="1"/>
  <c r="CB103" i="25" s="1"/>
  <c r="CQ104" i="25"/>
  <c r="CR104" i="25" s="1"/>
  <c r="BZ113" i="25"/>
  <c r="BS114" i="25"/>
  <c r="BY115" i="25"/>
  <c r="CA115" i="25" s="1"/>
  <c r="CB115" i="25" s="1"/>
  <c r="CF115" i="25" s="1"/>
  <c r="CG115" i="25" s="1"/>
  <c r="CJ115" i="25" s="1"/>
  <c r="CM116" i="25"/>
  <c r="CS116" i="25" s="1"/>
  <c r="CM119" i="25"/>
  <c r="CS119" i="25" s="1"/>
  <c r="BZ122" i="25"/>
  <c r="CM122" i="25"/>
  <c r="CS122" i="25" s="1"/>
  <c r="DF123" i="25"/>
  <c r="CP124" i="25"/>
  <c r="CX128" i="25"/>
  <c r="CY128" i="25" s="1"/>
  <c r="CZ128" i="25" s="1"/>
  <c r="DA128" i="25" s="1"/>
  <c r="BZ129" i="25"/>
  <c r="CN130" i="25"/>
  <c r="CN131" i="25"/>
  <c r="BS133" i="25"/>
  <c r="BS134" i="25"/>
  <c r="CQ139" i="25"/>
  <c r="CR139" i="25" s="1"/>
  <c r="BZ141" i="25"/>
  <c r="CX142" i="25"/>
  <c r="CY142" i="25" s="1"/>
  <c r="CZ142" i="25" s="1"/>
  <c r="DA142" i="25" s="1"/>
  <c r="CX143" i="25"/>
  <c r="CY143" i="25" s="1"/>
  <c r="CZ143" i="25" s="1"/>
  <c r="DA143" i="25" s="1"/>
  <c r="BZ144" i="25"/>
  <c r="BZ147" i="25"/>
  <c r="CN147" i="25"/>
  <c r="BS149" i="25"/>
  <c r="CX149" i="25"/>
  <c r="CY149" i="25" s="1"/>
  <c r="CZ149" i="25" s="1"/>
  <c r="DA149" i="25" s="1"/>
  <c r="CQ151" i="25"/>
  <c r="CR151" i="25" s="1"/>
  <c r="DF152" i="25"/>
  <c r="CO153" i="25"/>
  <c r="BY154" i="25"/>
  <c r="CA154" i="25" s="1"/>
  <c r="CB154" i="25" s="1"/>
  <c r="CF154" i="25" s="1"/>
  <c r="CG154" i="25" s="1"/>
  <c r="CJ154" i="25" s="1"/>
  <c r="CO154" i="25"/>
  <c r="CX155" i="25"/>
  <c r="CY155" i="25" s="1"/>
  <c r="CZ155" i="25" s="1"/>
  <c r="DA155" i="25" s="1"/>
  <c r="BS157" i="25"/>
  <c r="BS162" i="25"/>
  <c r="CQ205" i="25"/>
  <c r="CR205" i="25" s="1"/>
  <c r="CO170" i="25"/>
  <c r="CX207" i="25"/>
  <c r="CY207" i="25" s="1"/>
  <c r="CZ207" i="25" s="1"/>
  <c r="DA207" i="25" s="1"/>
  <c r="CP179" i="25"/>
  <c r="CN173" i="25"/>
  <c r="CP192" i="25"/>
  <c r="CN185" i="25"/>
  <c r="BS188" i="25"/>
  <c r="DF188" i="25"/>
  <c r="BZ180" i="25"/>
  <c r="CA180" i="25" s="1"/>
  <c r="CB180" i="25" s="1"/>
  <c r="CF180" i="25" s="1"/>
  <c r="CG180" i="25" s="1"/>
  <c r="CJ180" i="25" s="1"/>
  <c r="CO180" i="25"/>
  <c r="BY175" i="25"/>
  <c r="CM175" i="25"/>
  <c r="CS175" i="25" s="1"/>
  <c r="DF174" i="25"/>
  <c r="CX176" i="25"/>
  <c r="CY176" i="25" s="1"/>
  <c r="CZ176" i="25" s="1"/>
  <c r="DA176" i="25" s="1"/>
  <c r="CX92" i="25"/>
  <c r="CY92" i="25" s="1"/>
  <c r="CZ92" i="25" s="1"/>
  <c r="DA92" i="25" s="1"/>
  <c r="BY100" i="25"/>
  <c r="CA100" i="25" s="1"/>
  <c r="CE100" i="25" s="1"/>
  <c r="CH100" i="25" s="1"/>
  <c r="CI100" i="25" s="1"/>
  <c r="CN100" i="25"/>
  <c r="BZ101" i="25"/>
  <c r="BZ106" i="25"/>
  <c r="BZ107" i="25"/>
  <c r="BZ116" i="25"/>
  <c r="BY118" i="25"/>
  <c r="CA118" i="25" s="1"/>
  <c r="CX120" i="25"/>
  <c r="CY120" i="25" s="1"/>
  <c r="CZ120" i="25" s="1"/>
  <c r="DA120" i="25" s="1"/>
  <c r="BS125" i="25"/>
  <c r="BS126" i="25"/>
  <c r="CM128" i="25"/>
  <c r="CS128" i="25" s="1"/>
  <c r="CO130" i="25"/>
  <c r="BY131" i="25"/>
  <c r="CA131" i="25" s="1"/>
  <c r="CB131" i="25" s="1"/>
  <c r="CF131" i="25" s="1"/>
  <c r="CG131" i="25" s="1"/>
  <c r="CJ131" i="25" s="1"/>
  <c r="BZ137" i="25"/>
  <c r="BS148" i="25"/>
  <c r="BZ164" i="25"/>
  <c r="BZ166" i="25"/>
  <c r="BS168" i="25"/>
  <c r="BZ170" i="25"/>
  <c r="CP170" i="25"/>
  <c r="BY208" i="25"/>
  <c r="CX184" i="25"/>
  <c r="CY184" i="25" s="1"/>
  <c r="CZ184" i="25" s="1"/>
  <c r="DA184" i="25" s="1"/>
  <c r="BS93" i="25"/>
  <c r="CM97" i="25"/>
  <c r="CS97" i="25" s="1"/>
  <c r="CQ100" i="25"/>
  <c r="CR100" i="25" s="1"/>
  <c r="CO101" i="25"/>
  <c r="BS102" i="25"/>
  <c r="CD103" i="25"/>
  <c r="CM107" i="25"/>
  <c r="CS107" i="25" s="1"/>
  <c r="BS109" i="25"/>
  <c r="CX112" i="25"/>
  <c r="CY112" i="25" s="1"/>
  <c r="CZ112" i="25" s="1"/>
  <c r="DA112" i="25" s="1"/>
  <c r="CQ116" i="25"/>
  <c r="CR116" i="25" s="1"/>
  <c r="BS118" i="25"/>
  <c r="CN128" i="25"/>
  <c r="BY133" i="25"/>
  <c r="CA133" i="25" s="1"/>
  <c r="BZ134" i="25"/>
  <c r="DF139" i="25"/>
  <c r="CM141" i="25"/>
  <c r="CS141" i="25" s="1"/>
  <c r="BS145" i="25"/>
  <c r="CX145" i="25"/>
  <c r="CY145" i="25" s="1"/>
  <c r="CZ145" i="25" s="1"/>
  <c r="DA145" i="25" s="1"/>
  <c r="BZ149" i="25"/>
  <c r="BZ155" i="25"/>
  <c r="BS156" i="25"/>
  <c r="BZ157" i="25"/>
  <c r="CN162" i="25"/>
  <c r="DF163" i="25"/>
  <c r="BS208" i="25"/>
  <c r="BZ173" i="25"/>
  <c r="CX187" i="25"/>
  <c r="CY187" i="25" s="1"/>
  <c r="CZ187" i="25" s="1"/>
  <c r="DA187" i="25" s="1"/>
  <c r="CQ175" i="25"/>
  <c r="CR175" i="25" s="1"/>
  <c r="CO190" i="25"/>
  <c r="CN190" i="25"/>
  <c r="CM190" i="25"/>
  <c r="CS190" i="25" s="1"/>
  <c r="BY119" i="25"/>
  <c r="CA119" i="25" s="1"/>
  <c r="CB119" i="25" s="1"/>
  <c r="CF119" i="25" s="1"/>
  <c r="CG119" i="25" s="1"/>
  <c r="CJ119" i="25" s="1"/>
  <c r="BZ121" i="25"/>
  <c r="BZ126" i="25"/>
  <c r="CN158" i="25"/>
  <c r="BY96" i="25"/>
  <c r="CA96" i="25" s="1"/>
  <c r="CE96" i="25" s="1"/>
  <c r="CH96" i="25" s="1"/>
  <c r="CI96" i="25" s="1"/>
  <c r="CO97" i="25"/>
  <c r="BS98" i="25"/>
  <c r="CD99" i="25"/>
  <c r="CM103" i="25"/>
  <c r="CS103" i="25" s="1"/>
  <c r="BZ108" i="25"/>
  <c r="CM126" i="25"/>
  <c r="CS126" i="25" s="1"/>
  <c r="CQ128" i="25"/>
  <c r="CR128" i="25" s="1"/>
  <c r="BZ136" i="25"/>
  <c r="CO137" i="25"/>
  <c r="BY138" i="25"/>
  <c r="CA138" i="25" s="1"/>
  <c r="CX139" i="25"/>
  <c r="CY139" i="25" s="1"/>
  <c r="CZ139" i="25" s="1"/>
  <c r="DA139" i="25" s="1"/>
  <c r="BZ140" i="25"/>
  <c r="BZ143" i="25"/>
  <c r="CN143" i="25"/>
  <c r="BZ145" i="25"/>
  <c r="BY148" i="25"/>
  <c r="CA148" i="25" s="1"/>
  <c r="DF148" i="25"/>
  <c r="CM149" i="25"/>
  <c r="CS149" i="25" s="1"/>
  <c r="CN150" i="25"/>
  <c r="CX151" i="25"/>
  <c r="CY151" i="25" s="1"/>
  <c r="CZ151" i="25" s="1"/>
  <c r="DA151" i="25" s="1"/>
  <c r="BS153" i="25"/>
  <c r="CQ155" i="25"/>
  <c r="CR155" i="25" s="1"/>
  <c r="DF156" i="25"/>
  <c r="CO157" i="25"/>
  <c r="BY158" i="25"/>
  <c r="CA158" i="25" s="1"/>
  <c r="CO158" i="25"/>
  <c r="CP164" i="25"/>
  <c r="CM165" i="25"/>
  <c r="CS165" i="25" s="1"/>
  <c r="CM168" i="25"/>
  <c r="CS168" i="25" s="1"/>
  <c r="BS207" i="25"/>
  <c r="CX179" i="25"/>
  <c r="CY179" i="25" s="1"/>
  <c r="CZ179" i="25" s="1"/>
  <c r="DA179" i="25" s="1"/>
  <c r="CX192" i="25"/>
  <c r="CY192" i="25" s="1"/>
  <c r="CZ192" i="25" s="1"/>
  <c r="DA192" i="25" s="1"/>
  <c r="BS180" i="25"/>
  <c r="DB178" i="25"/>
  <c r="CP189" i="25"/>
  <c r="CX186" i="25"/>
  <c r="CY186" i="25" s="1"/>
  <c r="CZ186" i="25" s="1"/>
  <c r="DA186" i="25" s="1"/>
  <c r="CX200" i="25"/>
  <c r="CY200" i="25" s="1"/>
  <c r="CZ200" i="25" s="1"/>
  <c r="DA200" i="25" s="1"/>
  <c r="CN200" i="25"/>
  <c r="CM227" i="25"/>
  <c r="CS227" i="25" s="1"/>
  <c r="BZ228" i="25"/>
  <c r="CA228" i="25" s="1"/>
  <c r="CB228" i="25" s="1"/>
  <c r="CX228" i="25"/>
  <c r="CY228" i="25" s="1"/>
  <c r="CZ228" i="25" s="1"/>
  <c r="DA228" i="25" s="1"/>
  <c r="BY233" i="25"/>
  <c r="CN240" i="25"/>
  <c r="CQ241" i="25"/>
  <c r="CR241" i="25" s="1"/>
  <c r="DF243" i="25"/>
  <c r="CO248" i="25"/>
  <c r="CN248" i="25"/>
  <c r="CP248" i="25"/>
  <c r="BY190" i="25"/>
  <c r="BS183" i="25"/>
  <c r="CX193" i="25"/>
  <c r="CY193" i="25" s="1"/>
  <c r="CZ193" i="25" s="1"/>
  <c r="DA193" i="25" s="1"/>
  <c r="BY197" i="25"/>
  <c r="BS198" i="25"/>
  <c r="CX199" i="25"/>
  <c r="CY199" i="25" s="1"/>
  <c r="CZ199" i="25" s="1"/>
  <c r="DA199" i="25" s="1"/>
  <c r="CO200" i="25"/>
  <c r="CX209" i="25"/>
  <c r="CY209" i="25" s="1"/>
  <c r="CZ209" i="25" s="1"/>
  <c r="DA209" i="25" s="1"/>
  <c r="CQ344" i="25"/>
  <c r="CR344" i="25" s="1"/>
  <c r="CP203" i="25"/>
  <c r="BZ213" i="25"/>
  <c r="CM213" i="25"/>
  <c r="CS213" i="25" s="1"/>
  <c r="CO216" i="25"/>
  <c r="CO219" i="25"/>
  <c r="BZ220" i="25"/>
  <c r="CN220" i="25"/>
  <c r="BZ223" i="25"/>
  <c r="CX224" i="25"/>
  <c r="CY224" i="25" s="1"/>
  <c r="CZ224" i="25" s="1"/>
  <c r="DA224" i="25" s="1"/>
  <c r="CN224" i="25"/>
  <c r="CO227" i="25"/>
  <c r="BY228" i="25"/>
  <c r="CM228" i="25"/>
  <c r="CS228" i="25" s="1"/>
  <c r="BY234" i="25"/>
  <c r="CX234" i="25"/>
  <c r="CY234" i="25" s="1"/>
  <c r="CZ234" i="25" s="1"/>
  <c r="DA234" i="25" s="1"/>
  <c r="CX235" i="25"/>
  <c r="CY235" i="25" s="1"/>
  <c r="CZ235" i="25" s="1"/>
  <c r="DA235" i="25" s="1"/>
  <c r="CX236" i="25"/>
  <c r="CY236" i="25" s="1"/>
  <c r="CZ236" i="25" s="1"/>
  <c r="DA236" i="25" s="1"/>
  <c r="CN236" i="25"/>
  <c r="BS239" i="25"/>
  <c r="BZ242" i="25"/>
  <c r="CA242" i="25" s="1"/>
  <c r="CB242" i="25" s="1"/>
  <c r="CF242" i="25" s="1"/>
  <c r="CG242" i="25" s="1"/>
  <c r="CJ242" i="25" s="1"/>
  <c r="CN242" i="25"/>
  <c r="CM244" i="25"/>
  <c r="CS244" i="25" s="1"/>
  <c r="CQ245" i="25"/>
  <c r="CR245" i="25" s="1"/>
  <c r="DH459" i="25"/>
  <c r="CM186" i="25"/>
  <c r="CS186" i="25" s="1"/>
  <c r="CM195" i="25"/>
  <c r="CS195" i="25" s="1"/>
  <c r="BS196" i="25"/>
  <c r="CN198" i="25"/>
  <c r="CP200" i="25"/>
  <c r="BS202" i="25"/>
  <c r="CM211" i="25"/>
  <c r="CS211" i="25" s="1"/>
  <c r="CQ203" i="25"/>
  <c r="CR203" i="25" s="1"/>
  <c r="BY213" i="25"/>
  <c r="CA213" i="25" s="1"/>
  <c r="BY214" i="25"/>
  <c r="CX214" i="25"/>
  <c r="CY214" i="25" s="1"/>
  <c r="CZ214" i="25" s="1"/>
  <c r="DA214" i="25" s="1"/>
  <c r="CQ216" i="25"/>
  <c r="CR216" i="25" s="1"/>
  <c r="BZ218" i="25"/>
  <c r="CQ219" i="25"/>
  <c r="CR219" i="25" s="1"/>
  <c r="BY220" i="25"/>
  <c r="CM223" i="25"/>
  <c r="CS223" i="25" s="1"/>
  <c r="BZ224" i="25"/>
  <c r="CA224" i="25" s="1"/>
  <c r="CB224" i="25" s="1"/>
  <c r="CM224" i="25"/>
  <c r="CS224" i="25" s="1"/>
  <c r="CQ227" i="25"/>
  <c r="CR227" i="25" s="1"/>
  <c r="CO228" i="25"/>
  <c r="CM229" i="25"/>
  <c r="CS229" i="25" s="1"/>
  <c r="CM230" i="25"/>
  <c r="CS230" i="25" s="1"/>
  <c r="BS231" i="25"/>
  <c r="BZ235" i="25"/>
  <c r="CA235" i="25" s="1"/>
  <c r="CE235" i="25" s="1"/>
  <c r="CH235" i="25" s="1"/>
  <c r="CI235" i="25" s="1"/>
  <c r="CX243" i="25"/>
  <c r="CY243" i="25" s="1"/>
  <c r="CZ243" i="25" s="1"/>
  <c r="DA243" i="25" s="1"/>
  <c r="BZ247" i="25"/>
  <c r="CA247" i="25" s="1"/>
  <c r="CB247" i="25" s="1"/>
  <c r="CF247" i="25" s="1"/>
  <c r="CG247" i="25" s="1"/>
  <c r="CJ247" i="25" s="1"/>
  <c r="DB183" i="25"/>
  <c r="CX459" i="25"/>
  <c r="CY459" i="25" s="1"/>
  <c r="CZ459" i="25" s="1"/>
  <c r="DA459" i="25" s="1"/>
  <c r="DF189" i="25"/>
  <c r="BZ186" i="25"/>
  <c r="CA186" i="25" s="1"/>
  <c r="CB186" i="25" s="1"/>
  <c r="CF186" i="25" s="1"/>
  <c r="CG186" i="25" s="1"/>
  <c r="CJ186" i="25" s="1"/>
  <c r="CO186" i="25"/>
  <c r="BY193" i="25"/>
  <c r="BS200" i="25"/>
  <c r="CQ200" i="25"/>
  <c r="CR200" i="25" s="1"/>
  <c r="BY201" i="25"/>
  <c r="CN211" i="25"/>
  <c r="BY172" i="25"/>
  <c r="BZ171" i="25"/>
  <c r="CA171" i="25" s="1"/>
  <c r="CB171" i="25" s="1"/>
  <c r="CF171" i="25" s="1"/>
  <c r="CG171" i="25" s="1"/>
  <c r="CJ171" i="25" s="1"/>
  <c r="CM217" i="25"/>
  <c r="CS217" i="25" s="1"/>
  <c r="CX215" i="25"/>
  <c r="CY215" i="25" s="1"/>
  <c r="CZ215" i="25" s="1"/>
  <c r="DA215" i="25" s="1"/>
  <c r="CX218" i="25"/>
  <c r="CY218" i="25" s="1"/>
  <c r="CZ218" i="25" s="1"/>
  <c r="DA218" i="25" s="1"/>
  <c r="CM221" i="25"/>
  <c r="CS221" i="25" s="1"/>
  <c r="BZ222" i="25"/>
  <c r="CQ223" i="25"/>
  <c r="CR223" i="25" s="1"/>
  <c r="CQ224" i="25"/>
  <c r="CR224" i="25" s="1"/>
  <c r="BZ225" i="25"/>
  <c r="CA225" i="25" s="1"/>
  <c r="CB225" i="25" s="1"/>
  <c r="CM225" i="25"/>
  <c r="CS225" i="25" s="1"/>
  <c r="BZ231" i="25"/>
  <c r="CA231" i="25" s="1"/>
  <c r="CE231" i="25" s="1"/>
  <c r="CH231" i="25" s="1"/>
  <c r="CI231" i="25" s="1"/>
  <c r="CN232" i="25"/>
  <c r="BS234" i="25"/>
  <c r="CO235" i="25"/>
  <c r="BY236" i="25"/>
  <c r="CM237" i="25"/>
  <c r="CS237" i="25" s="1"/>
  <c r="DF238" i="25"/>
  <c r="BY243" i="25"/>
  <c r="CQ248" i="25"/>
  <c r="CR248" i="25" s="1"/>
  <c r="DH190" i="25"/>
  <c r="BZ183" i="25"/>
  <c r="CA183" i="25" s="1"/>
  <c r="CB183" i="25" s="1"/>
  <c r="CF183" i="25" s="1"/>
  <c r="CG183" i="25" s="1"/>
  <c r="CJ183" i="25" s="1"/>
  <c r="CO183" i="25"/>
  <c r="BY459" i="25"/>
  <c r="CN193" i="25"/>
  <c r="CP194" i="25"/>
  <c r="DF195" i="25"/>
  <c r="CD200" i="25"/>
  <c r="BZ169" i="25"/>
  <c r="CA169" i="25" s="1"/>
  <c r="CB169" i="25" s="1"/>
  <c r="CF169" i="25" s="1"/>
  <c r="CG169" i="25" s="1"/>
  <c r="CJ169" i="25" s="1"/>
  <c r="CO169" i="25"/>
  <c r="BY204" i="25"/>
  <c r="BY212" i="25"/>
  <c r="CM212" i="25"/>
  <c r="CS212" i="25" s="1"/>
  <c r="BY221" i="25"/>
  <c r="BY225" i="25"/>
  <c r="BY226" i="25"/>
  <c r="BZ232" i="25"/>
  <c r="CA232" i="25" s="1"/>
  <c r="CB232" i="25" s="1"/>
  <c r="CQ235" i="25"/>
  <c r="CR235" i="25" s="1"/>
  <c r="CX178" i="25"/>
  <c r="CY178" i="25" s="1"/>
  <c r="CZ178" i="25" s="1"/>
  <c r="DA178" i="25" s="1"/>
  <c r="DF176" i="25"/>
  <c r="CP183" i="25"/>
  <c r="CM459" i="25"/>
  <c r="CS459" i="25" s="1"/>
  <c r="CN189" i="25"/>
  <c r="CQ193" i="25"/>
  <c r="CR193" i="25" s="1"/>
  <c r="BZ195" i="25"/>
  <c r="CA195" i="25" s="1"/>
  <c r="BZ196" i="25"/>
  <c r="CA196" i="25" s="1"/>
  <c r="CB196" i="25" s="1"/>
  <c r="CF196" i="25" s="1"/>
  <c r="CG196" i="25" s="1"/>
  <c r="CJ196" i="25" s="1"/>
  <c r="CX196" i="25"/>
  <c r="CY196" i="25" s="1"/>
  <c r="CZ196" i="25" s="1"/>
  <c r="DA196" i="25" s="1"/>
  <c r="CN196" i="25"/>
  <c r="DH197" i="25"/>
  <c r="CP169" i="25"/>
  <c r="CQ209" i="25"/>
  <c r="CR209" i="25" s="1"/>
  <c r="DH172" i="25"/>
  <c r="BZ203" i="25"/>
  <c r="CA203" i="25" s="1"/>
  <c r="CM203" i="25"/>
  <c r="CS203" i="25" s="1"/>
  <c r="BZ215" i="25"/>
  <c r="CX216" i="25"/>
  <c r="CY216" i="25" s="1"/>
  <c r="CZ216" i="25" s="1"/>
  <c r="DA216" i="25" s="1"/>
  <c r="CX219" i="25"/>
  <c r="CY219" i="25" s="1"/>
  <c r="CZ219" i="25" s="1"/>
  <c r="DA219" i="25" s="1"/>
  <c r="BY222" i="25"/>
  <c r="CX226" i="25"/>
  <c r="CY226" i="25" s="1"/>
  <c r="CZ226" i="25" s="1"/>
  <c r="DA226" i="25" s="1"/>
  <c r="CX227" i="25"/>
  <c r="CY227" i="25" s="1"/>
  <c r="CZ227" i="25" s="1"/>
  <c r="DA227" i="25" s="1"/>
  <c r="CX229" i="25"/>
  <c r="CY229" i="25" s="1"/>
  <c r="CZ229" i="25" s="1"/>
  <c r="DA229" i="25" s="1"/>
  <c r="BS230" i="25"/>
  <c r="BY232" i="25"/>
  <c r="BZ238" i="25"/>
  <c r="CA238" i="25" s="1"/>
  <c r="CX238" i="25"/>
  <c r="CY238" i="25" s="1"/>
  <c r="CZ238" i="25" s="1"/>
  <c r="DA238" i="25" s="1"/>
  <c r="BY240" i="25"/>
  <c r="CP243" i="25"/>
  <c r="CD244" i="25"/>
  <c r="BY245" i="25"/>
  <c r="DB250" i="25"/>
  <c r="CX197" i="25"/>
  <c r="CY197" i="25" s="1"/>
  <c r="CZ197" i="25" s="1"/>
  <c r="DA197" i="25" s="1"/>
  <c r="BY210" i="25"/>
  <c r="CX211" i="25"/>
  <c r="CY211" i="25" s="1"/>
  <c r="CZ211" i="25" s="1"/>
  <c r="DA211" i="25" s="1"/>
  <c r="BY203" i="25"/>
  <c r="BZ216" i="25"/>
  <c r="BZ227" i="25"/>
  <c r="CA227" i="25" s="1"/>
  <c r="CB227" i="25" s="1"/>
  <c r="CF227" i="25" s="1"/>
  <c r="CG227" i="25" s="1"/>
  <c r="CJ227" i="25" s="1"/>
  <c r="BZ233" i="25"/>
  <c r="CA233" i="25" s="1"/>
  <c r="CB233" i="25" s="1"/>
  <c r="CP246" i="25"/>
  <c r="BY247" i="25"/>
  <c r="DF250" i="25"/>
  <c r="CO251" i="25"/>
  <c r="BZ253" i="25"/>
  <c r="CA253" i="25" s="1"/>
  <c r="CB253" i="25" s="1"/>
  <c r="CF253" i="25" s="1"/>
  <c r="CG253" i="25" s="1"/>
  <c r="CJ253" i="25" s="1"/>
  <c r="CN253" i="25"/>
  <c r="BZ256" i="25"/>
  <c r="CA256" i="25" s="1"/>
  <c r="CB256" i="25" s="1"/>
  <c r="CF256" i="25" s="1"/>
  <c r="CG256" i="25" s="1"/>
  <c r="CJ256" i="25" s="1"/>
  <c r="DH256" i="25"/>
  <c r="CN260" i="25"/>
  <c r="DH260" i="25"/>
  <c r="BZ265" i="25"/>
  <c r="CA265" i="25" s="1"/>
  <c r="CB265" i="25" s="1"/>
  <c r="BZ266" i="25"/>
  <c r="CA266" i="25" s="1"/>
  <c r="BZ267" i="25"/>
  <c r="CA267" i="25" s="1"/>
  <c r="CB267" i="25" s="1"/>
  <c r="CF267" i="25" s="1"/>
  <c r="CG267" i="25" s="1"/>
  <c r="CJ267" i="25" s="1"/>
  <c r="BS269" i="25"/>
  <c r="BS271" i="25"/>
  <c r="BZ272" i="25"/>
  <c r="CA272" i="25" s="1"/>
  <c r="CN273" i="25"/>
  <c r="DF274" i="25"/>
  <c r="CP275" i="25"/>
  <c r="CN277" i="25"/>
  <c r="DF278" i="25"/>
  <c r="CP279" i="25"/>
  <c r="CM280" i="25"/>
  <c r="CS280" i="25" s="1"/>
  <c r="BS281" i="25"/>
  <c r="CX281" i="25"/>
  <c r="CY281" i="25" s="1"/>
  <c r="CZ281" i="25" s="1"/>
  <c r="DA281" i="25" s="1"/>
  <c r="CQ282" i="25"/>
  <c r="CR282" i="25" s="1"/>
  <c r="CN283" i="25"/>
  <c r="CX283" i="25"/>
  <c r="CY283" i="25" s="1"/>
  <c r="CZ283" i="25" s="1"/>
  <c r="DA283" i="25" s="1"/>
  <c r="BZ286" i="25"/>
  <c r="CA286" i="25" s="1"/>
  <c r="CE286" i="25" s="1"/>
  <c r="CH286" i="25" s="1"/>
  <c r="CI286" i="25" s="1"/>
  <c r="CQ286" i="25"/>
  <c r="CR286" i="25" s="1"/>
  <c r="DF288" i="25"/>
  <c r="BY291" i="25"/>
  <c r="CP291" i="25"/>
  <c r="BS293" i="25"/>
  <c r="CN298" i="25"/>
  <c r="CP301" i="25"/>
  <c r="CN302" i="25"/>
  <c r="CO303" i="25"/>
  <c r="CX304" i="25"/>
  <c r="CY304" i="25" s="1"/>
  <c r="CZ304" i="25" s="1"/>
  <c r="DA304" i="25" s="1"/>
  <c r="CN305" i="25"/>
  <c r="BZ309" i="25"/>
  <c r="CA309" i="25" s="1"/>
  <c r="DH309" i="25"/>
  <c r="BZ311" i="25"/>
  <c r="CX315" i="25"/>
  <c r="CY315" i="25" s="1"/>
  <c r="CZ315" i="25" s="1"/>
  <c r="DA315" i="25" s="1"/>
  <c r="BZ319" i="25"/>
  <c r="CX250" i="25"/>
  <c r="CY250" i="25" s="1"/>
  <c r="CZ250" i="25" s="1"/>
  <c r="DA250" i="25" s="1"/>
  <c r="BS252" i="25"/>
  <c r="CP253" i="25"/>
  <c r="BS255" i="25"/>
  <c r="DF255" i="25"/>
  <c r="CN256" i="25"/>
  <c r="DF258" i="25"/>
  <c r="CO259" i="25"/>
  <c r="CQ260" i="25"/>
  <c r="CR260" i="25" s="1"/>
  <c r="CM262" i="25"/>
  <c r="CS262" i="25" s="1"/>
  <c r="DF262" i="25"/>
  <c r="BZ263" i="25"/>
  <c r="CA263" i="25" s="1"/>
  <c r="CB263" i="25" s="1"/>
  <c r="CF263" i="25" s="1"/>
  <c r="CG263" i="25" s="1"/>
  <c r="CJ263" i="25" s="1"/>
  <c r="CX263" i="25"/>
  <c r="CY263" i="25" s="1"/>
  <c r="CZ263" i="25" s="1"/>
  <c r="DA263" i="25" s="1"/>
  <c r="CX269" i="25"/>
  <c r="CY269" i="25" s="1"/>
  <c r="CZ269" i="25" s="1"/>
  <c r="DA269" i="25" s="1"/>
  <c r="CN271" i="25"/>
  <c r="BY274" i="25"/>
  <c r="CN274" i="25"/>
  <c r="BY278" i="25"/>
  <c r="CM278" i="25"/>
  <c r="CS278" i="25" s="1"/>
  <c r="BZ281" i="25"/>
  <c r="CA281" i="25" s="1"/>
  <c r="CB281" i="25" s="1"/>
  <c r="DF282" i="25"/>
  <c r="CP283" i="25"/>
  <c r="CM284" i="25"/>
  <c r="CS284" i="25" s="1"/>
  <c r="BS285" i="25"/>
  <c r="CX285" i="25"/>
  <c r="CY285" i="25" s="1"/>
  <c r="CZ285" i="25" s="1"/>
  <c r="DA285" i="25" s="1"/>
  <c r="CN285" i="25"/>
  <c r="BS292" i="25"/>
  <c r="BS294" i="25"/>
  <c r="CN296" i="25"/>
  <c r="BS297" i="25"/>
  <c r="BS301" i="25"/>
  <c r="BS304" i="25"/>
  <c r="DF305" i="25"/>
  <c r="CO306" i="25"/>
  <c r="BY308" i="25"/>
  <c r="CN308" i="25"/>
  <c r="BY312" i="25"/>
  <c r="CA312" i="25" s="1"/>
  <c r="CB312" i="25" s="1"/>
  <c r="CF312" i="25" s="1"/>
  <c r="CG312" i="25" s="1"/>
  <c r="CJ312" i="25" s="1"/>
  <c r="CN312" i="25"/>
  <c r="CQ315" i="25"/>
  <c r="CR315" i="25" s="1"/>
  <c r="CP315" i="25"/>
  <c r="CO315" i="25"/>
  <c r="BZ252" i="25"/>
  <c r="CA252" i="25" s="1"/>
  <c r="CE252" i="25" s="1"/>
  <c r="CH252" i="25" s="1"/>
  <c r="CI252" i="25" s="1"/>
  <c r="BZ259" i="25"/>
  <c r="CA259" i="25" s="1"/>
  <c r="CB259" i="25" s="1"/>
  <c r="CF259" i="25" s="1"/>
  <c r="CG259" i="25" s="1"/>
  <c r="CJ259" i="25" s="1"/>
  <c r="BZ290" i="25"/>
  <c r="CA290" i="25" s="1"/>
  <c r="CE290" i="25" s="1"/>
  <c r="CH290" i="25" s="1"/>
  <c r="CI290" i="25" s="1"/>
  <c r="CO293" i="25"/>
  <c r="BY304" i="25"/>
  <c r="CP308" i="25"/>
  <c r="CP319" i="25"/>
  <c r="CO319" i="25"/>
  <c r="DF248" i="25"/>
  <c r="CM252" i="25"/>
  <c r="CS252" i="25" s="1"/>
  <c r="DF253" i="25"/>
  <c r="BZ254" i="25"/>
  <c r="CA254" i="25" s="1"/>
  <c r="CN254" i="25"/>
  <c r="CQ256" i="25"/>
  <c r="CR256" i="25" s="1"/>
  <c r="CN269" i="25"/>
  <c r="BS276" i="25"/>
  <c r="BZ284" i="25"/>
  <c r="CA284" i="25" s="1"/>
  <c r="BZ285" i="25"/>
  <c r="CA285" i="25" s="1"/>
  <c r="CB285" i="25" s="1"/>
  <c r="CX286" i="25"/>
  <c r="CY286" i="25" s="1"/>
  <c r="CZ286" i="25" s="1"/>
  <c r="DA286" i="25" s="1"/>
  <c r="DF291" i="25"/>
  <c r="CN294" i="25"/>
  <c r="BZ295" i="25"/>
  <c r="CA295" i="25" s="1"/>
  <c r="CB295" i="25" s="1"/>
  <c r="CF295" i="25" s="1"/>
  <c r="CG295" i="25" s="1"/>
  <c r="CJ295" i="25" s="1"/>
  <c r="CN295" i="25"/>
  <c r="BZ296" i="25"/>
  <c r="CA296" i="25" s="1"/>
  <c r="CB296" i="25" s="1"/>
  <c r="BZ297" i="25"/>
  <c r="CA297" i="25" s="1"/>
  <c r="CP300" i="25"/>
  <c r="BY301" i="25"/>
  <c r="DF303" i="25"/>
  <c r="BZ304" i="25"/>
  <c r="CA304" i="25" s="1"/>
  <c r="CB304" i="25" s="1"/>
  <c r="CF304" i="25" s="1"/>
  <c r="CG304" i="25" s="1"/>
  <c r="CJ304" i="25" s="1"/>
  <c r="CN304" i="25"/>
  <c r="CD307" i="25"/>
  <c r="DF308" i="25"/>
  <c r="BY313" i="25"/>
  <c r="CA313" i="25" s="1"/>
  <c r="BZ257" i="25"/>
  <c r="CA257" i="25" s="1"/>
  <c r="CB257" i="25" s="1"/>
  <c r="CF257" i="25" s="1"/>
  <c r="CG257" i="25" s="1"/>
  <c r="CJ257" i="25" s="1"/>
  <c r="DB257" i="25"/>
  <c r="BZ261" i="25"/>
  <c r="CA261" i="25" s="1"/>
  <c r="CB261" i="25" s="1"/>
  <c r="CF261" i="25" s="1"/>
  <c r="CG261" i="25" s="1"/>
  <c r="CJ261" i="25" s="1"/>
  <c r="DB261" i="25"/>
  <c r="CX262" i="25"/>
  <c r="CY262" i="25" s="1"/>
  <c r="CZ262" i="25" s="1"/>
  <c r="DA262" i="25" s="1"/>
  <c r="BZ264" i="25"/>
  <c r="CA264" i="25" s="1"/>
  <c r="CE264" i="25" s="1"/>
  <c r="CH264" i="25" s="1"/>
  <c r="CI264" i="25" s="1"/>
  <c r="CX265" i="25"/>
  <c r="CY265" i="25" s="1"/>
  <c r="CZ265" i="25" s="1"/>
  <c r="DA265" i="25" s="1"/>
  <c r="CN265" i="25"/>
  <c r="BS267" i="25"/>
  <c r="CO269" i="25"/>
  <c r="BS272" i="25"/>
  <c r="CQ274" i="25"/>
  <c r="CR274" i="25" s="1"/>
  <c r="BS275" i="25"/>
  <c r="CM275" i="25"/>
  <c r="CS275" i="25" s="1"/>
  <c r="CQ278" i="25"/>
  <c r="CR278" i="25" s="1"/>
  <c r="CM279" i="25"/>
  <c r="CS279" i="25" s="1"/>
  <c r="CM285" i="25"/>
  <c r="CS285" i="25" s="1"/>
  <c r="BS289" i="25"/>
  <c r="CN289" i="25"/>
  <c r="BS291" i="25"/>
  <c r="BZ292" i="25"/>
  <c r="CA292" i="25" s="1"/>
  <c r="DF293" i="25"/>
  <c r="CM297" i="25"/>
  <c r="CS297" i="25" s="1"/>
  <c r="CX299" i="25"/>
  <c r="CY299" i="25" s="1"/>
  <c r="CZ299" i="25" s="1"/>
  <c r="DA299" i="25" s="1"/>
  <c r="CD303" i="25"/>
  <c r="CP304" i="25"/>
  <c r="BY305" i="25"/>
  <c r="CX307" i="25"/>
  <c r="CY307" i="25" s="1"/>
  <c r="CZ307" i="25" s="1"/>
  <c r="DA307" i="25" s="1"/>
  <c r="CM309" i="25"/>
  <c r="CS309" i="25" s="1"/>
  <c r="DH311" i="25"/>
  <c r="CX312" i="25"/>
  <c r="CY312" i="25" s="1"/>
  <c r="CZ312" i="25" s="1"/>
  <c r="DA312" i="25" s="1"/>
  <c r="CN315" i="25"/>
  <c r="DH321" i="25"/>
  <c r="DF321" i="25"/>
  <c r="BZ246" i="25"/>
  <c r="CA246" i="25" s="1"/>
  <c r="BS247" i="25"/>
  <c r="BZ248" i="25"/>
  <c r="CA248" i="25" s="1"/>
  <c r="CB248" i="25" s="1"/>
  <c r="CF248" i="25" s="1"/>
  <c r="CG248" i="25" s="1"/>
  <c r="CJ248" i="25" s="1"/>
  <c r="CM248" i="25"/>
  <c r="CS248" i="25" s="1"/>
  <c r="BS253" i="25"/>
  <c r="BZ255" i="25"/>
  <c r="CA255" i="25" s="1"/>
  <c r="CB255" i="25" s="1"/>
  <c r="CF255" i="25" s="1"/>
  <c r="CG255" i="25" s="1"/>
  <c r="CJ255" i="25" s="1"/>
  <c r="DB258" i="25"/>
  <c r="BZ260" i="25"/>
  <c r="CA260" i="25" s="1"/>
  <c r="CB260" i="25" s="1"/>
  <c r="CF260" i="25" s="1"/>
  <c r="CG260" i="25" s="1"/>
  <c r="CJ260" i="25" s="1"/>
  <c r="CN264" i="25"/>
  <c r="BS265" i="25"/>
  <c r="CP269" i="25"/>
  <c r="BZ270" i="25"/>
  <c r="CA270" i="25" s="1"/>
  <c r="CE270" i="25" s="1"/>
  <c r="CH270" i="25" s="1"/>
  <c r="CI270" i="25" s="1"/>
  <c r="BY272" i="25"/>
  <c r="BZ273" i="25"/>
  <c r="CA273" i="25" s="1"/>
  <c r="DB273" i="25"/>
  <c r="BZ277" i="25"/>
  <c r="CA277" i="25" s="1"/>
  <c r="BY282" i="25"/>
  <c r="BS283" i="25"/>
  <c r="DH283" i="25"/>
  <c r="CX292" i="25"/>
  <c r="CY292" i="25" s="1"/>
  <c r="CZ292" i="25" s="1"/>
  <c r="DA292" i="25" s="1"/>
  <c r="BS302" i="25"/>
  <c r="CX303" i="25"/>
  <c r="CY303" i="25" s="1"/>
  <c r="CZ303" i="25" s="1"/>
  <c r="DA303" i="25" s="1"/>
  <c r="BZ307" i="25"/>
  <c r="CA307" i="25" s="1"/>
  <c r="CB307" i="25" s="1"/>
  <c r="CP309" i="25"/>
  <c r="CX311" i="25"/>
  <c r="CY311" i="25" s="1"/>
  <c r="CZ311" i="25" s="1"/>
  <c r="DA311" i="25" s="1"/>
  <c r="CM319" i="25"/>
  <c r="CS319" i="25" s="1"/>
  <c r="BZ250" i="25"/>
  <c r="CA250" i="25" s="1"/>
  <c r="CN251" i="25"/>
  <c r="DB268" i="25"/>
  <c r="CM283" i="25"/>
  <c r="CS283" i="25" s="1"/>
  <c r="BY287" i="25"/>
  <c r="BZ289" i="25"/>
  <c r="CA289" i="25" s="1"/>
  <c r="CB289" i="25" s="1"/>
  <c r="BZ291" i="25"/>
  <c r="CA291" i="25" s="1"/>
  <c r="CB291" i="25" s="1"/>
  <c r="BZ303" i="25"/>
  <c r="CA303" i="25" s="1"/>
  <c r="CB303" i="25" s="1"/>
  <c r="CN303" i="25"/>
  <c r="CN313" i="25"/>
  <c r="CM313" i="25"/>
  <c r="CS313" i="25" s="1"/>
  <c r="CQ319" i="25"/>
  <c r="CR319" i="25" s="1"/>
  <c r="BS316" i="25"/>
  <c r="CQ320" i="25"/>
  <c r="CR320" i="25" s="1"/>
  <c r="BS326" i="25"/>
  <c r="BY332" i="25"/>
  <c r="BS334" i="25"/>
  <c r="CX334" i="25"/>
  <c r="CY334" i="25" s="1"/>
  <c r="CZ334" i="25" s="1"/>
  <c r="DA334" i="25" s="1"/>
  <c r="BZ337" i="25"/>
  <c r="CA337" i="25" s="1"/>
  <c r="BS338" i="25"/>
  <c r="CX338" i="25"/>
  <c r="CY338" i="25" s="1"/>
  <c r="CZ338" i="25" s="1"/>
  <c r="DA338" i="25" s="1"/>
  <c r="CQ339" i="25"/>
  <c r="CR339" i="25" s="1"/>
  <c r="BS340" i="25"/>
  <c r="CO342" i="25"/>
  <c r="BZ345" i="25"/>
  <c r="CA345" i="25" s="1"/>
  <c r="CM345" i="25"/>
  <c r="CS345" i="25" s="1"/>
  <c r="BZ346" i="25"/>
  <c r="CA346" i="25" s="1"/>
  <c r="CM346" i="25"/>
  <c r="CS346" i="25" s="1"/>
  <c r="CQ348" i="25"/>
  <c r="CR348" i="25" s="1"/>
  <c r="CM352" i="25"/>
  <c r="CS352" i="25" s="1"/>
  <c r="CM361" i="25"/>
  <c r="CS361" i="25" s="1"/>
  <c r="DF366" i="25"/>
  <c r="BS368" i="25"/>
  <c r="CX371" i="25"/>
  <c r="CY371" i="25" s="1"/>
  <c r="CZ371" i="25" s="1"/>
  <c r="DA371" i="25" s="1"/>
  <c r="CN372" i="25"/>
  <c r="CQ382" i="25"/>
  <c r="CR382" i="25" s="1"/>
  <c r="BZ383" i="25"/>
  <c r="CA383" i="25" s="1"/>
  <c r="CB383" i="25" s="1"/>
  <c r="CF383" i="25" s="1"/>
  <c r="CG383" i="25" s="1"/>
  <c r="CJ383" i="25" s="1"/>
  <c r="BY316" i="25"/>
  <c r="CA316" i="25" s="1"/>
  <c r="CB316" i="25" s="1"/>
  <c r="CF316" i="25" s="1"/>
  <c r="CG316" i="25" s="1"/>
  <c r="CJ316" i="25" s="1"/>
  <c r="BZ339" i="25"/>
  <c r="CA339" i="25" s="1"/>
  <c r="CB339" i="25" s="1"/>
  <c r="CF339" i="25" s="1"/>
  <c r="CG339" i="25" s="1"/>
  <c r="CJ339" i="25" s="1"/>
  <c r="BZ340" i="25"/>
  <c r="CP342" i="25"/>
  <c r="CN346" i="25"/>
  <c r="CN349" i="25"/>
  <c r="CM351" i="25"/>
  <c r="CS351" i="25" s="1"/>
  <c r="BY352" i="25"/>
  <c r="CN352" i="25"/>
  <c r="CP352" i="25"/>
  <c r="BZ357" i="25"/>
  <c r="CA357" i="25" s="1"/>
  <c r="CB357" i="25" s="1"/>
  <c r="CF357" i="25" s="1"/>
  <c r="CG357" i="25" s="1"/>
  <c r="CJ357" i="25" s="1"/>
  <c r="BZ365" i="25"/>
  <c r="CA365" i="25" s="1"/>
  <c r="BZ366" i="25"/>
  <c r="CA366" i="25" s="1"/>
  <c r="CB366" i="25" s="1"/>
  <c r="CF366" i="25" s="1"/>
  <c r="CG366" i="25" s="1"/>
  <c r="CJ366" i="25" s="1"/>
  <c r="BY366" i="25"/>
  <c r="CN369" i="25"/>
  <c r="CO369" i="25"/>
  <c r="CP372" i="25"/>
  <c r="BY377" i="25"/>
  <c r="DH380" i="25"/>
  <c r="CM384" i="25"/>
  <c r="CS384" i="25" s="1"/>
  <c r="CO384" i="25"/>
  <c r="BZ310" i="25"/>
  <c r="CA310" i="25" s="1"/>
  <c r="CE310" i="25" s="1"/>
  <c r="CH310" i="25" s="1"/>
  <c r="CI310" i="25" s="1"/>
  <c r="CX310" i="25"/>
  <c r="CY310" i="25" s="1"/>
  <c r="CZ310" i="25" s="1"/>
  <c r="DA310" i="25" s="1"/>
  <c r="BZ312" i="25"/>
  <c r="BZ316" i="25"/>
  <c r="CN316" i="25"/>
  <c r="BY317" i="25"/>
  <c r="CA317" i="25" s="1"/>
  <c r="CB317" i="25" s="1"/>
  <c r="CO318" i="25"/>
  <c r="CP325" i="25"/>
  <c r="BY326" i="25"/>
  <c r="BY328" i="25"/>
  <c r="CN328" i="25"/>
  <c r="BZ332" i="25"/>
  <c r="CA332" i="25" s="1"/>
  <c r="BZ334" i="25"/>
  <c r="CA334" i="25" s="1"/>
  <c r="BS336" i="25"/>
  <c r="BZ338" i="25"/>
  <c r="BY342" i="25"/>
  <c r="CA342" i="25" s="1"/>
  <c r="CO346" i="25"/>
  <c r="BY347" i="25"/>
  <c r="DH349" i="25"/>
  <c r="CN351" i="25"/>
  <c r="CQ352" i="25"/>
  <c r="CR352" i="25" s="1"/>
  <c r="BZ354" i="25"/>
  <c r="CA354" i="25" s="1"/>
  <c r="CX354" i="25"/>
  <c r="CY354" i="25" s="1"/>
  <c r="CZ354" i="25" s="1"/>
  <c r="DA354" i="25" s="1"/>
  <c r="DF356" i="25"/>
  <c r="DF364" i="25"/>
  <c r="CN366" i="25"/>
  <c r="BY368" i="25"/>
  <c r="CM369" i="25"/>
  <c r="CS369" i="25" s="1"/>
  <c r="CM373" i="25"/>
  <c r="CS373" i="25" s="1"/>
  <c r="CX374" i="25"/>
  <c r="CY374" i="25" s="1"/>
  <c r="CZ374" i="25" s="1"/>
  <c r="DA374" i="25" s="1"/>
  <c r="CQ375" i="25"/>
  <c r="CR375" i="25" s="1"/>
  <c r="CM376" i="25"/>
  <c r="CS376" i="25" s="1"/>
  <c r="CM385" i="25"/>
  <c r="CS385" i="25" s="1"/>
  <c r="CX386" i="25"/>
  <c r="CY386" i="25" s="1"/>
  <c r="CZ386" i="25" s="1"/>
  <c r="DA386" i="25" s="1"/>
  <c r="BZ314" i="25"/>
  <c r="CM314" i="25"/>
  <c r="CS314" i="25" s="1"/>
  <c r="CX314" i="25"/>
  <c r="CY314" i="25" s="1"/>
  <c r="CZ314" i="25" s="1"/>
  <c r="DA314" i="25" s="1"/>
  <c r="BZ318" i="25"/>
  <c r="CP318" i="25"/>
  <c r="BY319" i="25"/>
  <c r="CA319" i="25" s="1"/>
  <c r="CB319" i="25" s="1"/>
  <c r="CF319" i="25" s="1"/>
  <c r="CG319" i="25" s="1"/>
  <c r="CJ319" i="25" s="1"/>
  <c r="CX319" i="25"/>
  <c r="CY319" i="25" s="1"/>
  <c r="CZ319" i="25" s="1"/>
  <c r="DA319" i="25" s="1"/>
  <c r="BZ321" i="25"/>
  <c r="CA321" i="25" s="1"/>
  <c r="CX324" i="25"/>
  <c r="CY324" i="25" s="1"/>
  <c r="CZ324" i="25" s="1"/>
  <c r="DA324" i="25" s="1"/>
  <c r="CN326" i="25"/>
  <c r="CP328" i="25"/>
  <c r="BY329" i="25"/>
  <c r="CM329" i="25"/>
  <c r="CS329" i="25" s="1"/>
  <c r="DB329" i="25"/>
  <c r="BS331" i="25"/>
  <c r="CX331" i="25"/>
  <c r="CY331" i="25" s="1"/>
  <c r="CZ331" i="25" s="1"/>
  <c r="DA331" i="25" s="1"/>
  <c r="CN334" i="25"/>
  <c r="BZ336" i="25"/>
  <c r="CN336" i="25"/>
  <c r="CN338" i="25"/>
  <c r="BS339" i="25"/>
  <c r="BS206" i="25"/>
  <c r="CN206" i="25"/>
  <c r="CX345" i="25"/>
  <c r="CY345" i="25" s="1"/>
  <c r="CZ345" i="25" s="1"/>
  <c r="DA345" i="25" s="1"/>
  <c r="CP347" i="25"/>
  <c r="CP355" i="25"/>
  <c r="CN355" i="25"/>
  <c r="CX356" i="25"/>
  <c r="CY356" i="25" s="1"/>
  <c r="CZ356" i="25" s="1"/>
  <c r="DA356" i="25" s="1"/>
  <c r="CM362" i="25"/>
  <c r="CS362" i="25" s="1"/>
  <c r="BS364" i="25"/>
  <c r="CP369" i="25"/>
  <c r="CM370" i="25"/>
  <c r="CS370" i="25" s="1"/>
  <c r="CX370" i="25"/>
  <c r="CY370" i="25" s="1"/>
  <c r="CZ370" i="25" s="1"/>
  <c r="DA370" i="25" s="1"/>
  <c r="BS372" i="25"/>
  <c r="CN373" i="25"/>
  <c r="BY374" i="25"/>
  <c r="CN376" i="25"/>
  <c r="CM377" i="25"/>
  <c r="CS377" i="25" s="1"/>
  <c r="CX378" i="25"/>
  <c r="CY378" i="25" s="1"/>
  <c r="CZ378" i="25" s="1"/>
  <c r="DA378" i="25" s="1"/>
  <c r="BZ385" i="25"/>
  <c r="CA385" i="25" s="1"/>
  <c r="CB385" i="25" s="1"/>
  <c r="CF385" i="25" s="1"/>
  <c r="CG385" i="25" s="1"/>
  <c r="CJ385" i="25" s="1"/>
  <c r="BZ509" i="25"/>
  <c r="CX317" i="25"/>
  <c r="CY317" i="25" s="1"/>
  <c r="CZ317" i="25" s="1"/>
  <c r="DA317" i="25" s="1"/>
  <c r="BS320" i="25"/>
  <c r="CO322" i="25"/>
  <c r="BY324" i="25"/>
  <c r="CX325" i="25"/>
  <c r="CY325" i="25" s="1"/>
  <c r="CZ325" i="25" s="1"/>
  <c r="DA325" i="25" s="1"/>
  <c r="CP326" i="25"/>
  <c r="BS327" i="25"/>
  <c r="CX327" i="25"/>
  <c r="CY327" i="25" s="1"/>
  <c r="CZ327" i="25" s="1"/>
  <c r="DA327" i="25" s="1"/>
  <c r="CO329" i="25"/>
  <c r="BS330" i="25"/>
  <c r="DF330" i="25"/>
  <c r="BY335" i="25"/>
  <c r="CA335" i="25" s="1"/>
  <c r="CB335" i="25" s="1"/>
  <c r="CF335" i="25" s="1"/>
  <c r="CG335" i="25" s="1"/>
  <c r="CJ335" i="25" s="1"/>
  <c r="CN339" i="25"/>
  <c r="BZ341" i="25"/>
  <c r="CA341" i="25" s="1"/>
  <c r="CM341" i="25"/>
  <c r="CS341" i="25" s="1"/>
  <c r="DF343" i="25"/>
  <c r="CX346" i="25"/>
  <c r="CY346" i="25" s="1"/>
  <c r="CZ346" i="25" s="1"/>
  <c r="DA346" i="25" s="1"/>
  <c r="CM348" i="25"/>
  <c r="CS348" i="25" s="1"/>
  <c r="BS350" i="25"/>
  <c r="DF352" i="25"/>
  <c r="CM356" i="25"/>
  <c r="CS356" i="25" s="1"/>
  <c r="CM359" i="25"/>
  <c r="CS359" i="25" s="1"/>
  <c r="DB361" i="25"/>
  <c r="DF361" i="25"/>
  <c r="BY363" i="25"/>
  <c r="CX368" i="25"/>
  <c r="CY368" i="25" s="1"/>
  <c r="CZ368" i="25" s="1"/>
  <c r="DA368" i="25" s="1"/>
  <c r="CN368" i="25"/>
  <c r="BS369" i="25"/>
  <c r="DF369" i="25"/>
  <c r="CX372" i="25"/>
  <c r="CY372" i="25" s="1"/>
  <c r="CZ372" i="25" s="1"/>
  <c r="DA372" i="25" s="1"/>
  <c r="BZ378" i="25"/>
  <c r="CA378" i="25" s="1"/>
  <c r="CB378" i="25" s="1"/>
  <c r="CF378" i="25" s="1"/>
  <c r="CG378" i="25" s="1"/>
  <c r="CJ378" i="25" s="1"/>
  <c r="CN378" i="25"/>
  <c r="CM382" i="25"/>
  <c r="CS382" i="25" s="1"/>
  <c r="CO383" i="25"/>
  <c r="CN383" i="25"/>
  <c r="BS384" i="25"/>
  <c r="BY386" i="25"/>
  <c r="BY387" i="25"/>
  <c r="BY320" i="25"/>
  <c r="CA320" i="25" s="1"/>
  <c r="CB320" i="25" s="1"/>
  <c r="CF320" i="25" s="1"/>
  <c r="CG320" i="25" s="1"/>
  <c r="CJ320" i="25" s="1"/>
  <c r="CM320" i="25"/>
  <c r="CS320" i="25" s="1"/>
  <c r="BS325" i="25"/>
  <c r="BZ327" i="25"/>
  <c r="CA327" i="25" s="1"/>
  <c r="CB327" i="25" s="1"/>
  <c r="CF327" i="25" s="1"/>
  <c r="CG327" i="25" s="1"/>
  <c r="CJ327" i="25" s="1"/>
  <c r="CX328" i="25"/>
  <c r="CY328" i="25" s="1"/>
  <c r="CZ328" i="25" s="1"/>
  <c r="DA328" i="25" s="1"/>
  <c r="CP329" i="25"/>
  <c r="BY330" i="25"/>
  <c r="CA330" i="25" s="1"/>
  <c r="CE330" i="25" s="1"/>
  <c r="CH330" i="25" s="1"/>
  <c r="CI330" i="25" s="1"/>
  <c r="BZ342" i="25"/>
  <c r="BS346" i="25"/>
  <c r="BY348" i="25"/>
  <c r="BS351" i="25"/>
  <c r="CX351" i="25"/>
  <c r="CY351" i="25" s="1"/>
  <c r="CZ351" i="25" s="1"/>
  <c r="DA351" i="25" s="1"/>
  <c r="CP351" i="25"/>
  <c r="CO351" i="25"/>
  <c r="CN356" i="25"/>
  <c r="CO356" i="25"/>
  <c r="BZ358" i="25"/>
  <c r="CA358" i="25" s="1"/>
  <c r="CB358" i="25" s="1"/>
  <c r="CP359" i="25"/>
  <c r="BZ361" i="25"/>
  <c r="CA361" i="25" s="1"/>
  <c r="CE361" i="25" s="1"/>
  <c r="CH361" i="25" s="1"/>
  <c r="CI361" i="25" s="1"/>
  <c r="BY361" i="25"/>
  <c r="CN382" i="25"/>
  <c r="DF506" i="25"/>
  <c r="DH506" i="25"/>
  <c r="DB325" i="25"/>
  <c r="BZ329" i="25"/>
  <c r="CA329" i="25" s="1"/>
  <c r="DB346" i="25"/>
  <c r="CQ359" i="25"/>
  <c r="CR359" i="25" s="1"/>
  <c r="BZ379" i="25"/>
  <c r="CA379" i="25" s="1"/>
  <c r="CB379" i="25" s="1"/>
  <c r="CF379" i="25" s="1"/>
  <c r="CG379" i="25" s="1"/>
  <c r="CJ379" i="25" s="1"/>
  <c r="CP382" i="25"/>
  <c r="DB505" i="25"/>
  <c r="CO509" i="25"/>
  <c r="CP509" i="25"/>
  <c r="CM509" i="25"/>
  <c r="CS509" i="25" s="1"/>
  <c r="CN513" i="25"/>
  <c r="BZ514" i="25"/>
  <c r="DF516" i="25"/>
  <c r="BY517" i="25"/>
  <c r="CA517" i="25" s="1"/>
  <c r="CB517" i="25" s="1"/>
  <c r="BZ518" i="25"/>
  <c r="DF519" i="25"/>
  <c r="CP522" i="25"/>
  <c r="BS523" i="25"/>
  <c r="BS525" i="25"/>
  <c r="BY533" i="25"/>
  <c r="CA533" i="25" s="1"/>
  <c r="CB533" i="25" s="1"/>
  <c r="CF533" i="25" s="1"/>
  <c r="CG533" i="25" s="1"/>
  <c r="CJ533" i="25" s="1"/>
  <c r="BY535" i="25"/>
  <c r="CA535" i="25" s="1"/>
  <c r="BZ540" i="25"/>
  <c r="BS543" i="25"/>
  <c r="BZ381" i="25"/>
  <c r="CA381" i="25" s="1"/>
  <c r="CB381" i="25" s="1"/>
  <c r="CF381" i="25" s="1"/>
  <c r="CG381" i="25" s="1"/>
  <c r="CJ381" i="25" s="1"/>
  <c r="CX384" i="25"/>
  <c r="CY384" i="25" s="1"/>
  <c r="CZ384" i="25" s="1"/>
  <c r="DA384" i="25" s="1"/>
  <c r="BY389" i="25"/>
  <c r="BS505" i="25"/>
  <c r="BZ507" i="25"/>
  <c r="CP507" i="25"/>
  <c r="BS508" i="25"/>
  <c r="CM508" i="25"/>
  <c r="CS508" i="25" s="1"/>
  <c r="BZ510" i="25"/>
  <c r="CM510" i="25"/>
  <c r="CS510" i="25" s="1"/>
  <c r="CO513" i="25"/>
  <c r="BZ515" i="25"/>
  <c r="CN515" i="25"/>
  <c r="BS516" i="25"/>
  <c r="DH521" i="25"/>
  <c r="BZ523" i="25"/>
  <c r="CM523" i="25"/>
  <c r="CS523" i="25" s="1"/>
  <c r="CM524" i="25"/>
  <c r="CS524" i="25" s="1"/>
  <c r="DF528" i="25"/>
  <c r="DH531" i="25"/>
  <c r="CX535" i="25"/>
  <c r="CY535" i="25" s="1"/>
  <c r="CZ535" i="25" s="1"/>
  <c r="DA535" i="25" s="1"/>
  <c r="BY536" i="25"/>
  <c r="CA536" i="25" s="1"/>
  <c r="BS537" i="25"/>
  <c r="BZ538" i="25"/>
  <c r="CX539" i="25"/>
  <c r="CY539" i="25" s="1"/>
  <c r="CZ539" i="25" s="1"/>
  <c r="DA539" i="25" s="1"/>
  <c r="DF540" i="25"/>
  <c r="BZ543" i="25"/>
  <c r="CX389" i="25"/>
  <c r="CY389" i="25" s="1"/>
  <c r="CZ389" i="25" s="1"/>
  <c r="DA389" i="25" s="1"/>
  <c r="BY505" i="25"/>
  <c r="CA505" i="25" s="1"/>
  <c r="CX506" i="25"/>
  <c r="CY506" i="25" s="1"/>
  <c r="CZ506" i="25" s="1"/>
  <c r="DA506" i="25" s="1"/>
  <c r="BY508" i="25"/>
  <c r="CA508" i="25" s="1"/>
  <c r="CB508" i="25" s="1"/>
  <c r="CN508" i="25"/>
  <c r="CO510" i="25"/>
  <c r="CP513" i="25"/>
  <c r="BY514" i="25"/>
  <c r="CA514" i="25" s="1"/>
  <c r="BY515" i="25"/>
  <c r="CA515" i="25" s="1"/>
  <c r="CB515" i="25" s="1"/>
  <c r="CF515" i="25" s="1"/>
  <c r="CG515" i="25" s="1"/>
  <c r="CJ515" i="25" s="1"/>
  <c r="CO515" i="25"/>
  <c r="BY516" i="25"/>
  <c r="CA516" i="25" s="1"/>
  <c r="CB516" i="25" s="1"/>
  <c r="BY518" i="25"/>
  <c r="CA518" i="25" s="1"/>
  <c r="CB518" i="25" s="1"/>
  <c r="CF518" i="25" s="1"/>
  <c r="CG518" i="25" s="1"/>
  <c r="CJ518" i="25" s="1"/>
  <c r="CX520" i="25"/>
  <c r="CY520" i="25" s="1"/>
  <c r="CZ520" i="25" s="1"/>
  <c r="DA520" i="25" s="1"/>
  <c r="CN523" i="25"/>
  <c r="BY524" i="25"/>
  <c r="CA524" i="25" s="1"/>
  <c r="CB524" i="25" s="1"/>
  <c r="CF524" i="25" s="1"/>
  <c r="CG524" i="25" s="1"/>
  <c r="CJ524" i="25" s="1"/>
  <c r="CQ524" i="25"/>
  <c r="CR524" i="25" s="1"/>
  <c r="CX526" i="25"/>
  <c r="CY526" i="25" s="1"/>
  <c r="CZ526" i="25" s="1"/>
  <c r="DA526" i="25" s="1"/>
  <c r="CX527" i="25"/>
  <c r="CY527" i="25" s="1"/>
  <c r="CZ527" i="25" s="1"/>
  <c r="DA527" i="25" s="1"/>
  <c r="DH530" i="25"/>
  <c r="CN534" i="25"/>
  <c r="DH537" i="25"/>
  <c r="CM539" i="25"/>
  <c r="CS539" i="25" s="1"/>
  <c r="CD542" i="25"/>
  <c r="CP510" i="25"/>
  <c r="BZ511" i="25"/>
  <c r="CQ513" i="25"/>
  <c r="CR513" i="25" s="1"/>
  <c r="BZ537" i="25"/>
  <c r="BZ539" i="25"/>
  <c r="BZ544" i="25"/>
  <c r="CX388" i="25"/>
  <c r="CY388" i="25" s="1"/>
  <c r="CZ388" i="25" s="1"/>
  <c r="DA388" i="25" s="1"/>
  <c r="CP505" i="25"/>
  <c r="BZ524" i="25"/>
  <c r="DF524" i="25"/>
  <c r="BZ526" i="25"/>
  <c r="CX531" i="25"/>
  <c r="CY531" i="25" s="1"/>
  <c r="CZ531" i="25" s="1"/>
  <c r="DA531" i="25" s="1"/>
  <c r="CX532" i="25"/>
  <c r="CY532" i="25" s="1"/>
  <c r="CZ532" i="25" s="1"/>
  <c r="DA532" i="25" s="1"/>
  <c r="DF536" i="25"/>
  <c r="CN537" i="25"/>
  <c r="DF538" i="25"/>
  <c r="BS540" i="25"/>
  <c r="BY542" i="25"/>
  <c r="CA542" i="25" s="1"/>
  <c r="CB542" i="25" s="1"/>
  <c r="CN542" i="25"/>
  <c r="DF543" i="25"/>
  <c r="CM544" i="25"/>
  <c r="CS544" i="25" s="1"/>
  <c r="CM353" i="25"/>
  <c r="CS353" i="25" s="1"/>
  <c r="BS358" i="25"/>
  <c r="BY371" i="25"/>
  <c r="CX373" i="25"/>
  <c r="CY373" i="25" s="1"/>
  <c r="CZ373" i="25" s="1"/>
  <c r="DA373" i="25" s="1"/>
  <c r="BZ375" i="25"/>
  <c r="CA375" i="25" s="1"/>
  <c r="BZ380" i="25"/>
  <c r="CA380" i="25" s="1"/>
  <c r="CX381" i="25"/>
  <c r="CY381" i="25" s="1"/>
  <c r="CZ381" i="25" s="1"/>
  <c r="DA381" i="25" s="1"/>
  <c r="BY384" i="25"/>
  <c r="CM386" i="25"/>
  <c r="CS386" i="25" s="1"/>
  <c r="BS388" i="25"/>
  <c r="BZ506" i="25"/>
  <c r="CN506" i="25"/>
  <c r="CX507" i="25"/>
  <c r="CY507" i="25" s="1"/>
  <c r="CZ507" i="25" s="1"/>
  <c r="DA507" i="25" s="1"/>
  <c r="BS509" i="25"/>
  <c r="DH510" i="25"/>
  <c r="BY511" i="25"/>
  <c r="CA511" i="25" s="1"/>
  <c r="CB511" i="25" s="1"/>
  <c r="CF511" i="25" s="1"/>
  <c r="CG511" i="25" s="1"/>
  <c r="CJ511" i="25" s="1"/>
  <c r="CQ511" i="25"/>
  <c r="CR511" i="25" s="1"/>
  <c r="BZ512" i="25"/>
  <c r="CN519" i="25"/>
  <c r="BY521" i="25"/>
  <c r="CA521" i="25" s="1"/>
  <c r="CE521" i="25" s="1"/>
  <c r="CH521" i="25" s="1"/>
  <c r="CI521" i="25" s="1"/>
  <c r="CM521" i="25"/>
  <c r="CS521" i="25" s="1"/>
  <c r="BS522" i="25"/>
  <c r="CX523" i="25"/>
  <c r="CY523" i="25" s="1"/>
  <c r="CZ523" i="25" s="1"/>
  <c r="DA523" i="25" s="1"/>
  <c r="CN526" i="25"/>
  <c r="BZ530" i="25"/>
  <c r="DB530" i="25"/>
  <c r="BZ535" i="25"/>
  <c r="CM535" i="25"/>
  <c r="CS535" i="25" s="1"/>
  <c r="BY541" i="25"/>
  <c r="CA541" i="25" s="1"/>
  <c r="CB541" i="25" s="1"/>
  <c r="CF541" i="25" s="1"/>
  <c r="CG541" i="25" s="1"/>
  <c r="CJ541" i="25" s="1"/>
  <c r="CO542" i="25"/>
  <c r="BY509" i="25"/>
  <c r="CA509" i="25" s="1"/>
  <c r="BZ513" i="25"/>
  <c r="CX513" i="25"/>
  <c r="CY513" i="25" s="1"/>
  <c r="CZ513" i="25" s="1"/>
  <c r="DA513" i="25" s="1"/>
  <c r="BS514" i="25"/>
  <c r="BZ519" i="25"/>
  <c r="BZ520" i="25"/>
  <c r="CM527" i="25"/>
  <c r="CS527" i="25" s="1"/>
  <c r="BY528" i="25"/>
  <c r="CA528" i="25" s="1"/>
  <c r="CB528" i="25" s="1"/>
  <c r="CF528" i="25" s="1"/>
  <c r="CG528" i="25" s="1"/>
  <c r="CJ528" i="25" s="1"/>
  <c r="BZ529" i="25"/>
  <c r="BZ532" i="25"/>
  <c r="CM532" i="25"/>
  <c r="CS532" i="25" s="1"/>
  <c r="BZ534" i="25"/>
  <c r="BY540" i="25"/>
  <c r="CA540" i="25" s="1"/>
  <c r="BS541" i="25"/>
  <c r="CX543" i="25"/>
  <c r="CY543" i="25" s="1"/>
  <c r="CZ543" i="25" s="1"/>
  <c r="DA543" i="25" s="1"/>
  <c r="DF8" i="25"/>
  <c r="CO10" i="25"/>
  <c r="DH10" i="25"/>
  <c r="BY14" i="25"/>
  <c r="CA14" i="25" s="1"/>
  <c r="BZ17" i="25"/>
  <c r="BY17" i="25"/>
  <c r="CA17" i="25" s="1"/>
  <c r="CB17" i="25" s="1"/>
  <c r="CF17" i="25" s="1"/>
  <c r="CG17" i="25" s="1"/>
  <c r="CJ17" i="25" s="1"/>
  <c r="BY10" i="25"/>
  <c r="CA10" i="25" s="1"/>
  <c r="BY15" i="25"/>
  <c r="CA15" i="25" s="1"/>
  <c r="CN16" i="25"/>
  <c r="CM16" i="25"/>
  <c r="CS16" i="25" s="1"/>
  <c r="CM9" i="25"/>
  <c r="CS9" i="25" s="1"/>
  <c r="BY11" i="25"/>
  <c r="CA11" i="25" s="1"/>
  <c r="CQ14" i="25"/>
  <c r="CR14" i="25" s="1"/>
  <c r="CO14" i="25"/>
  <c r="CQ10" i="25"/>
  <c r="CR10" i="25" s="1"/>
  <c r="BY13" i="25"/>
  <c r="CA13" i="25" s="1"/>
  <c r="CB13" i="25" s="1"/>
  <c r="CF13" i="25" s="1"/>
  <c r="CG13" i="25" s="1"/>
  <c r="CJ13" i="25" s="1"/>
  <c r="BY16" i="25"/>
  <c r="CA16" i="25" s="1"/>
  <c r="CB16" i="25" s="1"/>
  <c r="CF16" i="25" s="1"/>
  <c r="CG16" i="25" s="1"/>
  <c r="CJ16" i="25" s="1"/>
  <c r="CD8" i="25"/>
  <c r="CN9" i="25"/>
  <c r="BY12" i="25"/>
  <c r="CA12" i="25" s="1"/>
  <c r="CB12" i="25" s="1"/>
  <c r="CF12" i="25" s="1"/>
  <c r="CG12" i="25" s="1"/>
  <c r="CJ12" i="25" s="1"/>
  <c r="CN12" i="25"/>
  <c r="CN15" i="25"/>
  <c r="CO18" i="25"/>
  <c r="CO22" i="25"/>
  <c r="CO26" i="25"/>
  <c r="CO30" i="25"/>
  <c r="CO34" i="25"/>
  <c r="CO38" i="25"/>
  <c r="BY42" i="25"/>
  <c r="CA42" i="25" s="1"/>
  <c r="CO42" i="25"/>
  <c r="CQ43" i="25"/>
  <c r="CR43" i="25" s="1"/>
  <c r="CQ46" i="25"/>
  <c r="CR46" i="25" s="1"/>
  <c r="BY49" i="25"/>
  <c r="CA49" i="25" s="1"/>
  <c r="CO49" i="25"/>
  <c r="BY53" i="25"/>
  <c r="CA53" i="25" s="1"/>
  <c r="CO53" i="25"/>
  <c r="CQ54" i="25"/>
  <c r="CR54" i="25" s="1"/>
  <c r="BY57" i="25"/>
  <c r="CA57" i="25" s="1"/>
  <c r="CO57" i="25"/>
  <c r="CQ58" i="25"/>
  <c r="CR58" i="25" s="1"/>
  <c r="CO61" i="25"/>
  <c r="CN64" i="25"/>
  <c r="BY67" i="25"/>
  <c r="CA67" i="25" s="1"/>
  <c r="CB67" i="25" s="1"/>
  <c r="CF67" i="25" s="1"/>
  <c r="CG67" i="25" s="1"/>
  <c r="CJ67" i="25" s="1"/>
  <c r="BY72" i="25"/>
  <c r="CA72" i="25" s="1"/>
  <c r="CD73" i="25"/>
  <c r="CN84" i="25"/>
  <c r="CM84" i="25"/>
  <c r="CS84" i="25" s="1"/>
  <c r="CP30" i="25"/>
  <c r="DH31" i="25"/>
  <c r="CP34" i="25"/>
  <c r="DH35" i="25"/>
  <c r="CP38" i="25"/>
  <c r="DH39" i="25"/>
  <c r="CN41" i="25"/>
  <c r="CP42" i="25"/>
  <c r="DF42" i="25"/>
  <c r="DH43" i="25"/>
  <c r="CD44" i="25"/>
  <c r="CN45" i="25"/>
  <c r="DH46" i="25"/>
  <c r="CD47" i="25"/>
  <c r="CN48" i="25"/>
  <c r="CP49" i="25"/>
  <c r="DF49" i="25"/>
  <c r="DH50" i="25"/>
  <c r="CD51" i="25"/>
  <c r="CN52" i="25"/>
  <c r="CP53" i="25"/>
  <c r="DF53" i="25"/>
  <c r="DH54" i="25"/>
  <c r="CD55" i="25"/>
  <c r="CN56" i="25"/>
  <c r="CP57" i="25"/>
  <c r="DF57" i="25"/>
  <c r="DH58" i="25"/>
  <c r="CD59" i="25"/>
  <c r="CN60" i="25"/>
  <c r="CP61" i="25"/>
  <c r="DF61" i="25"/>
  <c r="DH62" i="25"/>
  <c r="CM63" i="25"/>
  <c r="CS63" i="25" s="1"/>
  <c r="BY64" i="25"/>
  <c r="CA64" i="25" s="1"/>
  <c r="BS67" i="25"/>
  <c r="BY70" i="25"/>
  <c r="CA70" i="25" s="1"/>
  <c r="CQ74" i="25"/>
  <c r="CR74" i="25" s="1"/>
  <c r="CO74" i="25"/>
  <c r="CN74" i="25"/>
  <c r="BS77" i="25"/>
  <c r="CD77" i="25"/>
  <c r="BZ83" i="25"/>
  <c r="BY83" i="25"/>
  <c r="CA83" i="25" s="1"/>
  <c r="CB83" i="25" s="1"/>
  <c r="CF83" i="25" s="1"/>
  <c r="CG83" i="25" s="1"/>
  <c r="CJ83" i="25" s="1"/>
  <c r="CQ18" i="25"/>
  <c r="CR18" i="25" s="1"/>
  <c r="CM20" i="25"/>
  <c r="CS20" i="25" s="1"/>
  <c r="BY21" i="25"/>
  <c r="CA21" i="25" s="1"/>
  <c r="CB21" i="25" s="1"/>
  <c r="CF21" i="25" s="1"/>
  <c r="CG21" i="25" s="1"/>
  <c r="CJ21" i="25" s="1"/>
  <c r="CQ22" i="25"/>
  <c r="CR22" i="25" s="1"/>
  <c r="CM24" i="25"/>
  <c r="CS24" i="25" s="1"/>
  <c r="BY25" i="25"/>
  <c r="CA25" i="25" s="1"/>
  <c r="CB25" i="25" s="1"/>
  <c r="CF25" i="25" s="1"/>
  <c r="CG25" i="25" s="1"/>
  <c r="CJ25" i="25" s="1"/>
  <c r="CQ26" i="25"/>
  <c r="CR26" i="25" s="1"/>
  <c r="CM28" i="25"/>
  <c r="CS28" i="25" s="1"/>
  <c r="BY29" i="25"/>
  <c r="CA29" i="25" s="1"/>
  <c r="CB29" i="25" s="1"/>
  <c r="CF29" i="25" s="1"/>
  <c r="CG29" i="25" s="1"/>
  <c r="CJ29" i="25" s="1"/>
  <c r="CO29" i="25"/>
  <c r="CQ30" i="25"/>
  <c r="CR30" i="25" s="1"/>
  <c r="BY33" i="25"/>
  <c r="CA33" i="25" s="1"/>
  <c r="CB33" i="25" s="1"/>
  <c r="CF33" i="25" s="1"/>
  <c r="CG33" i="25" s="1"/>
  <c r="CJ33" i="25" s="1"/>
  <c r="CO33" i="25"/>
  <c r="CQ34" i="25"/>
  <c r="CR34" i="25" s="1"/>
  <c r="BY37" i="25"/>
  <c r="CA37" i="25" s="1"/>
  <c r="CB37" i="25" s="1"/>
  <c r="CF37" i="25" s="1"/>
  <c r="CG37" i="25" s="1"/>
  <c r="CJ37" i="25" s="1"/>
  <c r="CO37" i="25"/>
  <c r="CQ38" i="25"/>
  <c r="CR38" i="25" s="1"/>
  <c r="CO41" i="25"/>
  <c r="CQ42" i="25"/>
  <c r="CR42" i="25" s="1"/>
  <c r="CO45" i="25"/>
  <c r="CO48" i="25"/>
  <c r="CQ49" i="25"/>
  <c r="CR49" i="25" s="1"/>
  <c r="CO52" i="25"/>
  <c r="CQ53" i="25"/>
  <c r="CR53" i="25" s="1"/>
  <c r="CO56" i="25"/>
  <c r="CQ57" i="25"/>
  <c r="CR57" i="25" s="1"/>
  <c r="CO60" i="25"/>
  <c r="CQ61" i="25"/>
  <c r="CR61" i="25" s="1"/>
  <c r="DH71" i="25"/>
  <c r="BY73" i="25"/>
  <c r="CA73" i="25" s="1"/>
  <c r="CB73" i="25" s="1"/>
  <c r="CN80" i="25"/>
  <c r="CM80" i="25"/>
  <c r="CS80" i="25" s="1"/>
  <c r="CP37" i="25"/>
  <c r="CN40" i="25"/>
  <c r="CP41" i="25"/>
  <c r="DF41" i="25"/>
  <c r="CN44" i="25"/>
  <c r="DF45" i="25"/>
  <c r="CN47" i="25"/>
  <c r="DF48" i="25"/>
  <c r="CN51" i="25"/>
  <c r="DF52" i="25"/>
  <c r="CN55" i="25"/>
  <c r="DF56" i="25"/>
  <c r="CN59" i="25"/>
  <c r="DF60" i="25"/>
  <c r="BY63" i="25"/>
  <c r="CA63" i="25" s="1"/>
  <c r="CO63" i="25"/>
  <c r="CM66" i="25"/>
  <c r="CS66" i="25" s="1"/>
  <c r="CN67" i="25"/>
  <c r="CQ70" i="25"/>
  <c r="CR70" i="25" s="1"/>
  <c r="CO70" i="25"/>
  <c r="CN71" i="25"/>
  <c r="BZ75" i="25"/>
  <c r="BY77" i="25"/>
  <c r="CA77" i="25" s="1"/>
  <c r="CB77" i="25" s="1"/>
  <c r="BZ79" i="25"/>
  <c r="BY79" i="25"/>
  <c r="CA79" i="25" s="1"/>
  <c r="CB79" i="25" s="1"/>
  <c r="CF79" i="25" s="1"/>
  <c r="CG79" i="25" s="1"/>
  <c r="CJ79" i="25" s="1"/>
  <c r="BY24" i="25"/>
  <c r="CA24" i="25" s="1"/>
  <c r="CB24" i="25" s="1"/>
  <c r="CF24" i="25" s="1"/>
  <c r="CG24" i="25" s="1"/>
  <c r="CJ24" i="25" s="1"/>
  <c r="BY28" i="25"/>
  <c r="CA28" i="25" s="1"/>
  <c r="CB28" i="25" s="1"/>
  <c r="CF28" i="25" s="1"/>
  <c r="CG28" i="25" s="1"/>
  <c r="CJ28" i="25" s="1"/>
  <c r="BY32" i="25"/>
  <c r="CA32" i="25" s="1"/>
  <c r="CB32" i="25" s="1"/>
  <c r="CF32" i="25" s="1"/>
  <c r="CG32" i="25" s="1"/>
  <c r="CJ32" i="25" s="1"/>
  <c r="BY36" i="25"/>
  <c r="CA36" i="25" s="1"/>
  <c r="CB36" i="25" s="1"/>
  <c r="CF36" i="25" s="1"/>
  <c r="CG36" i="25" s="1"/>
  <c r="CJ36" i="25" s="1"/>
  <c r="BY68" i="25"/>
  <c r="CA68" i="25" s="1"/>
  <c r="BY69" i="25"/>
  <c r="CA69" i="25" s="1"/>
  <c r="CB69" i="25" s="1"/>
  <c r="CF69" i="25" s="1"/>
  <c r="CG69" i="25" s="1"/>
  <c r="CJ69" i="25" s="1"/>
  <c r="DB74" i="25"/>
  <c r="BY76" i="25"/>
  <c r="CA76" i="25" s="1"/>
  <c r="CN88" i="25"/>
  <c r="CM88" i="25"/>
  <c r="CS88" i="25" s="1"/>
  <c r="CN39" i="25"/>
  <c r="DF40" i="25"/>
  <c r="CN43" i="25"/>
  <c r="DF44" i="25"/>
  <c r="CN46" i="25"/>
  <c r="DF47" i="25"/>
  <c r="CN50" i="25"/>
  <c r="DF51" i="25"/>
  <c r="CN54" i="25"/>
  <c r="DF55" i="25"/>
  <c r="CN58" i="25"/>
  <c r="DF59" i="25"/>
  <c r="CN62" i="25"/>
  <c r="CO66" i="25"/>
  <c r="BZ71" i="25"/>
  <c r="CM79" i="25"/>
  <c r="CS79" i="25" s="1"/>
  <c r="CN79" i="25"/>
  <c r="BZ87" i="25"/>
  <c r="BY87" i="25"/>
  <c r="CA87" i="25" s="1"/>
  <c r="CB87" i="25" s="1"/>
  <c r="CF87" i="25" s="1"/>
  <c r="CG87" i="25" s="1"/>
  <c r="CJ87" i="25" s="1"/>
  <c r="BY19" i="25"/>
  <c r="CA19" i="25" s="1"/>
  <c r="BY23" i="25"/>
  <c r="CA23" i="25" s="1"/>
  <c r="BY27" i="25"/>
  <c r="CA27" i="25" s="1"/>
  <c r="BZ74" i="25"/>
  <c r="CM75" i="25"/>
  <c r="CS75" i="25" s="1"/>
  <c r="CN75" i="25"/>
  <c r="DB78" i="25"/>
  <c r="BZ80" i="25"/>
  <c r="CP80" i="25"/>
  <c r="DB82" i="25"/>
  <c r="CN83" i="25"/>
  <c r="BZ84" i="25"/>
  <c r="CP84" i="25"/>
  <c r="DB86" i="25"/>
  <c r="BZ88" i="25"/>
  <c r="CP88" i="25"/>
  <c r="DB90" i="25"/>
  <c r="CP92" i="25"/>
  <c r="DF92" i="25"/>
  <c r="DB94" i="25"/>
  <c r="CN95" i="25"/>
  <c r="CP96" i="25"/>
  <c r="DF96" i="25"/>
  <c r="DB98" i="25"/>
  <c r="CN99" i="25"/>
  <c r="CP100" i="25"/>
  <c r="DF100" i="25"/>
  <c r="DB102" i="25"/>
  <c r="CN103" i="25"/>
  <c r="CP104" i="25"/>
  <c r="DF104" i="25"/>
  <c r="DB106" i="25"/>
  <c r="CN107" i="25"/>
  <c r="CP108" i="25"/>
  <c r="DF108" i="25"/>
  <c r="DB110" i="25"/>
  <c r="DF111" i="25"/>
  <c r="BY112" i="25"/>
  <c r="CA112" i="25" s="1"/>
  <c r="BS113" i="25"/>
  <c r="DF114" i="25"/>
  <c r="BS117" i="25"/>
  <c r="DB121" i="25"/>
  <c r="BY122" i="25"/>
  <c r="CA122" i="25" s="1"/>
  <c r="BY125" i="25"/>
  <c r="CA125" i="25" s="1"/>
  <c r="CX126" i="25"/>
  <c r="CY126" i="25" s="1"/>
  <c r="CZ126" i="25" s="1"/>
  <c r="DA126" i="25" s="1"/>
  <c r="DH134" i="25"/>
  <c r="DF134" i="25"/>
  <c r="BY136" i="25"/>
  <c r="CA136" i="25" s="1"/>
  <c r="CX137" i="25"/>
  <c r="CY137" i="25" s="1"/>
  <c r="CZ137" i="25" s="1"/>
  <c r="DA137" i="25" s="1"/>
  <c r="BZ139" i="25"/>
  <c r="DH141" i="25"/>
  <c r="DF141" i="25"/>
  <c r="CQ148" i="25"/>
  <c r="CR148" i="25" s="1"/>
  <c r="CP148" i="25"/>
  <c r="CO148" i="25"/>
  <c r="CN148" i="25"/>
  <c r="BY91" i="25"/>
  <c r="CA91" i="25" s="1"/>
  <c r="CB91" i="25" s="1"/>
  <c r="CF91" i="25" s="1"/>
  <c r="CG91" i="25" s="1"/>
  <c r="CJ91" i="25" s="1"/>
  <c r="BY95" i="25"/>
  <c r="CA95" i="25" s="1"/>
  <c r="CB95" i="25" s="1"/>
  <c r="CF95" i="25" s="1"/>
  <c r="CG95" i="25" s="1"/>
  <c r="CJ95" i="25" s="1"/>
  <c r="CQ121" i="25"/>
  <c r="CR121" i="25" s="1"/>
  <c r="CO121" i="25"/>
  <c r="CN121" i="25"/>
  <c r="CD128" i="25"/>
  <c r="CQ129" i="25"/>
  <c r="CR129" i="25" s="1"/>
  <c r="CP129" i="25"/>
  <c r="CO129" i="25"/>
  <c r="CN129" i="25"/>
  <c r="CD143" i="25"/>
  <c r="CQ152" i="25"/>
  <c r="CR152" i="25" s="1"/>
  <c r="CP152" i="25"/>
  <c r="CO152" i="25"/>
  <c r="CN152" i="25"/>
  <c r="CQ156" i="25"/>
  <c r="CR156" i="25" s="1"/>
  <c r="CP156" i="25"/>
  <c r="CO156" i="25"/>
  <c r="CN156" i="25"/>
  <c r="CN78" i="25"/>
  <c r="CD81" i="25"/>
  <c r="CN82" i="25"/>
  <c r="CD85" i="25"/>
  <c r="CN86" i="25"/>
  <c r="CD89" i="25"/>
  <c r="DB89" i="25"/>
  <c r="CN90" i="25"/>
  <c r="CD93" i="25"/>
  <c r="DB93" i="25"/>
  <c r="CN94" i="25"/>
  <c r="CD97" i="25"/>
  <c r="DB97" i="25"/>
  <c r="CN98" i="25"/>
  <c r="DF99" i="25"/>
  <c r="CD101" i="25"/>
  <c r="DB101" i="25"/>
  <c r="CN102" i="25"/>
  <c r="DF103" i="25"/>
  <c r="CD105" i="25"/>
  <c r="DB105" i="25"/>
  <c r="CN106" i="25"/>
  <c r="DF107" i="25"/>
  <c r="CD109" i="25"/>
  <c r="DB109" i="25"/>
  <c r="CN110" i="25"/>
  <c r="BY113" i="25"/>
  <c r="CA113" i="25" s="1"/>
  <c r="CB113" i="25" s="1"/>
  <c r="CD113" i="25"/>
  <c r="CN113" i="25"/>
  <c r="CN114" i="25"/>
  <c r="CN115" i="25"/>
  <c r="DF115" i="25"/>
  <c r="BY116" i="25"/>
  <c r="CA116" i="25" s="1"/>
  <c r="CB116" i="25" s="1"/>
  <c r="CF116" i="25" s="1"/>
  <c r="CG116" i="25" s="1"/>
  <c r="CJ116" i="25" s="1"/>
  <c r="CN116" i="25"/>
  <c r="BY117" i="25"/>
  <c r="CA117" i="25" s="1"/>
  <c r="CB117" i="25" s="1"/>
  <c r="CD117" i="25"/>
  <c r="CN117" i="25"/>
  <c r="CN118" i="25"/>
  <c r="CD120" i="25"/>
  <c r="CP121" i="25"/>
  <c r="BZ124" i="25"/>
  <c r="BY126" i="25"/>
  <c r="CA126" i="25" s="1"/>
  <c r="CD132" i="25"/>
  <c r="CQ133" i="25"/>
  <c r="CR133" i="25" s="1"/>
  <c r="CP133" i="25"/>
  <c r="CO133" i="25"/>
  <c r="CN133" i="25"/>
  <c r="DB144" i="25"/>
  <c r="BZ160" i="25"/>
  <c r="DB177" i="25"/>
  <c r="DB199" i="25"/>
  <c r="CO78" i="25"/>
  <c r="CO82" i="25"/>
  <c r="CO86" i="25"/>
  <c r="CO90" i="25"/>
  <c r="CO94" i="25"/>
  <c r="BY98" i="25"/>
  <c r="CA98" i="25" s="1"/>
  <c r="CO98" i="25"/>
  <c r="BY102" i="25"/>
  <c r="CA102" i="25" s="1"/>
  <c r="CO102" i="25"/>
  <c r="BY106" i="25"/>
  <c r="CA106" i="25" s="1"/>
  <c r="CO106" i="25"/>
  <c r="BY110" i="25"/>
  <c r="CA110" i="25" s="1"/>
  <c r="CO110" i="25"/>
  <c r="CO114" i="25"/>
  <c r="CO118" i="25"/>
  <c r="CQ125" i="25"/>
  <c r="CR125" i="25" s="1"/>
  <c r="CO125" i="25"/>
  <c r="CN125" i="25"/>
  <c r="CM129" i="25"/>
  <c r="CS129" i="25" s="1"/>
  <c r="DB136" i="25"/>
  <c r="CQ140" i="25"/>
  <c r="CR140" i="25" s="1"/>
  <c r="CP140" i="25"/>
  <c r="CO140" i="25"/>
  <c r="CN140" i="25"/>
  <c r="DH145" i="25"/>
  <c r="DF145" i="25"/>
  <c r="CP98" i="25"/>
  <c r="CP102" i="25"/>
  <c r="CP106" i="25"/>
  <c r="CP110" i="25"/>
  <c r="BZ120" i="25"/>
  <c r="BY120" i="25"/>
  <c r="CA120" i="25" s="1"/>
  <c r="CB120" i="25" s="1"/>
  <c r="CM125" i="25"/>
  <c r="CS125" i="25" s="1"/>
  <c r="BZ128" i="25"/>
  <c r="CM133" i="25"/>
  <c r="CS133" i="25" s="1"/>
  <c r="CX134" i="25"/>
  <c r="CY134" i="25" s="1"/>
  <c r="CZ134" i="25" s="1"/>
  <c r="DA134" i="25" s="1"/>
  <c r="DH137" i="25"/>
  <c r="DF137" i="25"/>
  <c r="BY140" i="25"/>
  <c r="CA140" i="25" s="1"/>
  <c r="CX141" i="25"/>
  <c r="CY141" i="25" s="1"/>
  <c r="CZ141" i="25" s="1"/>
  <c r="DA141" i="25" s="1"/>
  <c r="CD147" i="25"/>
  <c r="BY152" i="25"/>
  <c r="CA152" i="25" s="1"/>
  <c r="CM152" i="25"/>
  <c r="CS152" i="25" s="1"/>
  <c r="BY156" i="25"/>
  <c r="CA156" i="25" s="1"/>
  <c r="CM156" i="25"/>
  <c r="CS156" i="25" s="1"/>
  <c r="CM92" i="25"/>
  <c r="CS92" i="25" s="1"/>
  <c r="CM96" i="25"/>
  <c r="CS96" i="25" s="1"/>
  <c r="BY97" i="25"/>
  <c r="CA97" i="25" s="1"/>
  <c r="BY101" i="25"/>
  <c r="CA101" i="25" s="1"/>
  <c r="CB101" i="25" s="1"/>
  <c r="BY105" i="25"/>
  <c r="CA105" i="25" s="1"/>
  <c r="CB105" i="25" s="1"/>
  <c r="BY109" i="25"/>
  <c r="CA109" i="25" s="1"/>
  <c r="CB109" i="25" s="1"/>
  <c r="CQ114" i="25"/>
  <c r="CR114" i="25" s="1"/>
  <c r="CQ118" i="25"/>
  <c r="CR118" i="25" s="1"/>
  <c r="CX122" i="25"/>
  <c r="CY122" i="25" s="1"/>
  <c r="CZ122" i="25" s="1"/>
  <c r="DA122" i="25" s="1"/>
  <c r="DH122" i="25"/>
  <c r="BY123" i="25"/>
  <c r="CA123" i="25" s="1"/>
  <c r="CB123" i="25" s="1"/>
  <c r="CF123" i="25" s="1"/>
  <c r="CG123" i="25" s="1"/>
  <c r="CJ123" i="25" s="1"/>
  <c r="BZ123" i="25"/>
  <c r="CN123" i="25"/>
  <c r="CM123" i="25"/>
  <c r="CS123" i="25" s="1"/>
  <c r="CP125" i="25"/>
  <c r="CY129" i="25"/>
  <c r="CZ129" i="25" s="1"/>
  <c r="DA129" i="25" s="1"/>
  <c r="DB129" i="25"/>
  <c r="BZ132" i="25"/>
  <c r="CD139" i="25"/>
  <c r="CM140" i="25"/>
  <c r="CS140" i="25" s="1"/>
  <c r="DB148" i="25"/>
  <c r="DH149" i="25"/>
  <c r="DF149" i="25"/>
  <c r="DH153" i="25"/>
  <c r="DF153" i="25"/>
  <c r="DH157" i="25"/>
  <c r="DF157" i="25"/>
  <c r="BZ161" i="25"/>
  <c r="DB182" i="25"/>
  <c r="CQ113" i="25"/>
  <c r="CR113" i="25" s="1"/>
  <c r="CO113" i="25"/>
  <c r="CQ117" i="25"/>
  <c r="CR117" i="25" s="1"/>
  <c r="CO117" i="25"/>
  <c r="DB133" i="25"/>
  <c r="CQ144" i="25"/>
  <c r="CR144" i="25" s="1"/>
  <c r="CP144" i="25"/>
  <c r="CO144" i="25"/>
  <c r="CN144" i="25"/>
  <c r="CD151" i="25"/>
  <c r="DB152" i="25"/>
  <c r="CD155" i="25"/>
  <c r="DB156" i="25"/>
  <c r="CD159" i="25"/>
  <c r="BY163" i="25"/>
  <c r="CA163" i="25" s="1"/>
  <c r="BZ163" i="25"/>
  <c r="BZ174" i="25"/>
  <c r="CA174" i="25" s="1"/>
  <c r="CB174" i="25" s="1"/>
  <c r="BY174" i="25"/>
  <c r="BZ117" i="25"/>
  <c r="CD124" i="25"/>
  <c r="DB125" i="25"/>
  <c r="DH126" i="25"/>
  <c r="BY127" i="25"/>
  <c r="CA127" i="25" s="1"/>
  <c r="CB127" i="25" s="1"/>
  <c r="CF127" i="25" s="1"/>
  <c r="CG127" i="25" s="1"/>
  <c r="CJ127" i="25" s="1"/>
  <c r="BZ127" i="25"/>
  <c r="CN127" i="25"/>
  <c r="CM127" i="25"/>
  <c r="CS127" i="25" s="1"/>
  <c r="DH130" i="25"/>
  <c r="DF130" i="25"/>
  <c r="CQ136" i="25"/>
  <c r="CR136" i="25" s="1"/>
  <c r="CP136" i="25"/>
  <c r="CO136" i="25"/>
  <c r="CN136" i="25"/>
  <c r="DB140" i="25"/>
  <c r="BY144" i="25"/>
  <c r="CA144" i="25" s="1"/>
  <c r="CD166" i="25"/>
  <c r="BZ131" i="25"/>
  <c r="BZ135" i="25"/>
  <c r="DF135" i="25"/>
  <c r="CN137" i="25"/>
  <c r="BZ138" i="25"/>
  <c r="DF138" i="25"/>
  <c r="CN141" i="25"/>
  <c r="BZ142" i="25"/>
  <c r="DF142" i="25"/>
  <c r="CN145" i="25"/>
  <c r="BZ146" i="25"/>
  <c r="DF146" i="25"/>
  <c r="CN149" i="25"/>
  <c r="BZ150" i="25"/>
  <c r="DF150" i="25"/>
  <c r="CN153" i="25"/>
  <c r="BZ154" i="25"/>
  <c r="DF154" i="25"/>
  <c r="CN157" i="25"/>
  <c r="BZ158" i="25"/>
  <c r="DF158" i="25"/>
  <c r="DF164" i="25"/>
  <c r="BY165" i="25"/>
  <c r="CA165" i="25" s="1"/>
  <c r="BZ165" i="25"/>
  <c r="BZ207" i="25"/>
  <c r="CA207" i="25" s="1"/>
  <c r="CQ191" i="25"/>
  <c r="CR191" i="25" s="1"/>
  <c r="CP191" i="25"/>
  <c r="CO191" i="25"/>
  <c r="CN191" i="25"/>
  <c r="BZ202" i="25"/>
  <c r="CA202" i="25" s="1"/>
  <c r="CB202" i="25" s="1"/>
  <c r="BY202" i="25"/>
  <c r="DH209" i="25"/>
  <c r="DF209" i="25"/>
  <c r="CP171" i="25"/>
  <c r="CO171" i="25"/>
  <c r="CN171" i="25"/>
  <c r="CM171" i="25"/>
  <c r="CS171" i="25" s="1"/>
  <c r="CQ171" i="25"/>
  <c r="CR171" i="25" s="1"/>
  <c r="CP122" i="25"/>
  <c r="CP126" i="25"/>
  <c r="CP130" i="25"/>
  <c r="CP134" i="25"/>
  <c r="CP137" i="25"/>
  <c r="CP141" i="25"/>
  <c r="CP145" i="25"/>
  <c r="CP149" i="25"/>
  <c r="CP153" i="25"/>
  <c r="CP157" i="25"/>
  <c r="BY160" i="25"/>
  <c r="CA160" i="25" s="1"/>
  <c r="CB160" i="25" s="1"/>
  <c r="CQ163" i="25"/>
  <c r="CR163" i="25" s="1"/>
  <c r="CO163" i="25"/>
  <c r="BS164" i="25"/>
  <c r="CM164" i="25"/>
  <c r="CS164" i="25" s="1"/>
  <c r="CN164" i="25"/>
  <c r="BY170" i="25"/>
  <c r="CA170" i="25" s="1"/>
  <c r="CB170" i="25" s="1"/>
  <c r="BY173" i="25"/>
  <c r="DH178" i="25"/>
  <c r="DF178" i="25"/>
  <c r="CD176" i="25"/>
  <c r="BZ191" i="25"/>
  <c r="CA191" i="25" s="1"/>
  <c r="BZ189" i="25"/>
  <c r="CA189" i="25" s="1"/>
  <c r="CB189" i="25" s="1"/>
  <c r="BY189" i="25"/>
  <c r="DH186" i="25"/>
  <c r="DF186" i="25"/>
  <c r="CD194" i="25"/>
  <c r="BS160" i="25"/>
  <c r="BY162" i="25"/>
  <c r="CA162" i="25" s="1"/>
  <c r="CB162" i="25" s="1"/>
  <c r="CD162" i="25"/>
  <c r="BY166" i="25"/>
  <c r="CA166" i="25" s="1"/>
  <c r="CB166" i="25" s="1"/>
  <c r="DB167" i="25"/>
  <c r="BZ188" i="25"/>
  <c r="CA188" i="25" s="1"/>
  <c r="CB188" i="25" s="1"/>
  <c r="BY188" i="25"/>
  <c r="DB187" i="25"/>
  <c r="CM191" i="25"/>
  <c r="CS191" i="25" s="1"/>
  <c r="BZ198" i="25"/>
  <c r="CA198" i="25" s="1"/>
  <c r="CB198" i="25" s="1"/>
  <c r="BY198" i="25"/>
  <c r="BZ167" i="25"/>
  <c r="BY167" i="25"/>
  <c r="CA167" i="25" s="1"/>
  <c r="DB207" i="25"/>
  <c r="DB184" i="25"/>
  <c r="DH180" i="25"/>
  <c r="DF180" i="25"/>
  <c r="CQ177" i="25"/>
  <c r="CR177" i="25" s="1"/>
  <c r="CP177" i="25"/>
  <c r="CO177" i="25"/>
  <c r="CN177" i="25"/>
  <c r="CQ182" i="25"/>
  <c r="CR182" i="25" s="1"/>
  <c r="CP182" i="25"/>
  <c r="CO182" i="25"/>
  <c r="CN182" i="25"/>
  <c r="DB195" i="25"/>
  <c r="CQ199" i="25"/>
  <c r="CR199" i="25" s="1"/>
  <c r="CP199" i="25"/>
  <c r="CO199" i="25"/>
  <c r="CN199" i="25"/>
  <c r="CD202" i="25"/>
  <c r="BZ209" i="25"/>
  <c r="CA209" i="25" s="1"/>
  <c r="BZ344" i="25"/>
  <c r="CA344" i="25" s="1"/>
  <c r="CM245" i="25"/>
  <c r="CS245" i="25" s="1"/>
  <c r="CN245" i="25"/>
  <c r="BY124" i="25"/>
  <c r="CA124" i="25" s="1"/>
  <c r="CB124" i="25" s="1"/>
  <c r="BY128" i="25"/>
  <c r="CA128" i="25" s="1"/>
  <c r="CB128" i="25" s="1"/>
  <c r="CM131" i="25"/>
  <c r="CS131" i="25" s="1"/>
  <c r="BY132" i="25"/>
  <c r="CA132" i="25" s="1"/>
  <c r="CB132" i="25" s="1"/>
  <c r="CM135" i="25"/>
  <c r="CS135" i="25" s="1"/>
  <c r="CM138" i="25"/>
  <c r="CS138" i="25" s="1"/>
  <c r="BY139" i="25"/>
  <c r="CA139" i="25" s="1"/>
  <c r="CB139" i="25" s="1"/>
  <c r="CM142" i="25"/>
  <c r="CS142" i="25" s="1"/>
  <c r="BY143" i="25"/>
  <c r="CA143" i="25" s="1"/>
  <c r="CB143" i="25" s="1"/>
  <c r="CO143" i="25"/>
  <c r="CM146" i="25"/>
  <c r="CS146" i="25" s="1"/>
  <c r="BY147" i="25"/>
  <c r="CA147" i="25" s="1"/>
  <c r="CB147" i="25" s="1"/>
  <c r="CO147" i="25"/>
  <c r="BY151" i="25"/>
  <c r="CA151" i="25" s="1"/>
  <c r="CB151" i="25" s="1"/>
  <c r="CO151" i="25"/>
  <c r="BY155" i="25"/>
  <c r="CA155" i="25" s="1"/>
  <c r="CB155" i="25" s="1"/>
  <c r="CO155" i="25"/>
  <c r="BY159" i="25"/>
  <c r="CA159" i="25" s="1"/>
  <c r="CB159" i="25" s="1"/>
  <c r="DF159" i="25"/>
  <c r="CN160" i="25"/>
  <c r="DF160" i="25"/>
  <c r="BY161" i="25"/>
  <c r="CA161" i="25" s="1"/>
  <c r="CN161" i="25"/>
  <c r="DB163" i="25"/>
  <c r="CN166" i="25"/>
  <c r="CM166" i="25"/>
  <c r="CS166" i="25" s="1"/>
  <c r="DH168" i="25"/>
  <c r="DF168" i="25"/>
  <c r="DH208" i="25"/>
  <c r="DF208" i="25"/>
  <c r="DH192" i="25"/>
  <c r="DF192" i="25"/>
  <c r="CD174" i="25"/>
  <c r="BZ177" i="25"/>
  <c r="CA177" i="25" s="1"/>
  <c r="DB191" i="25"/>
  <c r="DH200" i="25"/>
  <c r="DF200" i="25"/>
  <c r="DH169" i="25"/>
  <c r="DF169" i="25"/>
  <c r="CD160" i="25"/>
  <c r="CQ187" i="25"/>
  <c r="CR187" i="25" s="1"/>
  <c r="CP187" i="25"/>
  <c r="CO187" i="25"/>
  <c r="CN187" i="25"/>
  <c r="BZ176" i="25"/>
  <c r="CA176" i="25" s="1"/>
  <c r="CB176" i="25" s="1"/>
  <c r="BY176" i="25"/>
  <c r="DH183" i="25"/>
  <c r="DF183" i="25"/>
  <c r="CD189" i="25"/>
  <c r="BZ182" i="25"/>
  <c r="CA182" i="25" s="1"/>
  <c r="BZ194" i="25"/>
  <c r="CA194" i="25" s="1"/>
  <c r="CB194" i="25" s="1"/>
  <c r="BY194" i="25"/>
  <c r="BZ199" i="25"/>
  <c r="CA199" i="25" s="1"/>
  <c r="CQ167" i="25"/>
  <c r="CR167" i="25" s="1"/>
  <c r="CP167" i="25"/>
  <c r="CO167" i="25"/>
  <c r="CN167" i="25"/>
  <c r="CD170" i="25"/>
  <c r="CQ207" i="25"/>
  <c r="CR207" i="25" s="1"/>
  <c r="CP207" i="25"/>
  <c r="CO207" i="25"/>
  <c r="CN207" i="25"/>
  <c r="CD173" i="25"/>
  <c r="CQ184" i="25"/>
  <c r="CR184" i="25" s="1"/>
  <c r="CP184" i="25"/>
  <c r="CO184" i="25"/>
  <c r="CN184" i="25"/>
  <c r="CD188" i="25"/>
  <c r="CM177" i="25"/>
  <c r="CS177" i="25" s="1"/>
  <c r="CQ195" i="25"/>
  <c r="CR195" i="25" s="1"/>
  <c r="CP195" i="25"/>
  <c r="CO195" i="25"/>
  <c r="CN195" i="25"/>
  <c r="DH196" i="25"/>
  <c r="DF196" i="25"/>
  <c r="CD198" i="25"/>
  <c r="CN168" i="25"/>
  <c r="BZ205" i="25"/>
  <c r="CA205" i="25" s="1"/>
  <c r="CN208" i="25"/>
  <c r="BZ179" i="25"/>
  <c r="CA179" i="25" s="1"/>
  <c r="CN192" i="25"/>
  <c r="BZ185" i="25"/>
  <c r="CA185" i="25" s="1"/>
  <c r="CN180" i="25"/>
  <c r="BZ175" i="25"/>
  <c r="CA175" i="25" s="1"/>
  <c r="CP175" i="25"/>
  <c r="CN178" i="25"/>
  <c r="BZ190" i="25"/>
  <c r="CA190" i="25" s="1"/>
  <c r="CP190" i="25"/>
  <c r="CN183" i="25"/>
  <c r="BZ459" i="25"/>
  <c r="CP459" i="25"/>
  <c r="CN186" i="25"/>
  <c r="BZ193" i="25"/>
  <c r="CA193" i="25" s="1"/>
  <c r="CP193" i="25"/>
  <c r="BZ197" i="25"/>
  <c r="CA197" i="25" s="1"/>
  <c r="CP197" i="25"/>
  <c r="BZ201" i="25"/>
  <c r="CA201" i="25" s="1"/>
  <c r="CP201" i="25"/>
  <c r="DH202" i="25"/>
  <c r="CN169" i="25"/>
  <c r="DH211" i="25"/>
  <c r="BZ204" i="25"/>
  <c r="CA204" i="25" s="1"/>
  <c r="CB204" i="25" s="1"/>
  <c r="DH204" i="25"/>
  <c r="CN344" i="25"/>
  <c r="BZ172" i="25"/>
  <c r="CA172" i="25" s="1"/>
  <c r="CQ172" i="25"/>
  <c r="CR172" i="25" s="1"/>
  <c r="CP172" i="25"/>
  <c r="CP212" i="25"/>
  <c r="CN212" i="25"/>
  <c r="BZ221" i="25"/>
  <c r="CQ226" i="25"/>
  <c r="CR226" i="25" s="1"/>
  <c r="CP226" i="25"/>
  <c r="CO226" i="25"/>
  <c r="CN226" i="25"/>
  <c r="BZ229" i="25"/>
  <c r="BZ230" i="25"/>
  <c r="DH231" i="25"/>
  <c r="DF231" i="25"/>
  <c r="CD233" i="25"/>
  <c r="BZ239" i="25"/>
  <c r="CA239" i="25" s="1"/>
  <c r="CN239" i="25"/>
  <c r="CM239" i="25"/>
  <c r="CS239" i="25" s="1"/>
  <c r="CD203" i="25"/>
  <c r="BZ214" i="25"/>
  <c r="BZ217" i="25"/>
  <c r="BY217" i="25"/>
  <c r="DH223" i="25"/>
  <c r="DF223" i="25"/>
  <c r="CD225" i="25"/>
  <c r="DB230" i="25"/>
  <c r="CM170" i="25"/>
  <c r="CS170" i="25" s="1"/>
  <c r="BY207" i="25"/>
  <c r="CM173" i="25"/>
  <c r="CS173" i="25" s="1"/>
  <c r="BY184" i="25"/>
  <c r="CM188" i="25"/>
  <c r="CS188" i="25" s="1"/>
  <c r="BY187" i="25"/>
  <c r="CM174" i="25"/>
  <c r="CS174" i="25" s="1"/>
  <c r="BY177" i="25"/>
  <c r="CM176" i="25"/>
  <c r="CS176" i="25" s="1"/>
  <c r="BY191" i="25"/>
  <c r="CM189" i="25"/>
  <c r="CS189" i="25" s="1"/>
  <c r="BY182" i="25"/>
  <c r="CM194" i="25"/>
  <c r="CS194" i="25" s="1"/>
  <c r="BY195" i="25"/>
  <c r="CM198" i="25"/>
  <c r="CS198" i="25" s="1"/>
  <c r="BY199" i="25"/>
  <c r="BY169" i="25"/>
  <c r="CD210" i="25"/>
  <c r="CM210" i="25"/>
  <c r="CS210" i="25" s="1"/>
  <c r="CQ211" i="25"/>
  <c r="CR211" i="25" s="1"/>
  <c r="BY209" i="25"/>
  <c r="CO209" i="25"/>
  <c r="DB222" i="25"/>
  <c r="CQ230" i="25"/>
  <c r="CR230" i="25" s="1"/>
  <c r="CP230" i="25"/>
  <c r="CO230" i="25"/>
  <c r="CN230" i="25"/>
  <c r="BZ234" i="25"/>
  <c r="CA234" i="25" s="1"/>
  <c r="DH235" i="25"/>
  <c r="DF235" i="25"/>
  <c r="CD237" i="25"/>
  <c r="CN202" i="25"/>
  <c r="CN210" i="25"/>
  <c r="CD204" i="25"/>
  <c r="CN204" i="25"/>
  <c r="DB172" i="25"/>
  <c r="DH212" i="25"/>
  <c r="DF212" i="25"/>
  <c r="BY171" i="25"/>
  <c r="CD213" i="25"/>
  <c r="DB218" i="25"/>
  <c r="BZ241" i="25"/>
  <c r="CA241" i="25" s="1"/>
  <c r="CP210" i="25"/>
  <c r="DH203" i="25"/>
  <c r="DF203" i="25"/>
  <c r="DB214" i="25"/>
  <c r="CD221" i="25"/>
  <c r="CQ222" i="25"/>
  <c r="CR222" i="25" s="1"/>
  <c r="CP222" i="25"/>
  <c r="CO222" i="25"/>
  <c r="CN222" i="25"/>
  <c r="DH227" i="25"/>
  <c r="DF227" i="25"/>
  <c r="CD229" i="25"/>
  <c r="DB234" i="25"/>
  <c r="BY238" i="25"/>
  <c r="CN201" i="25"/>
  <c r="CQ210" i="25"/>
  <c r="CR210" i="25" s="1"/>
  <c r="BY344" i="25"/>
  <c r="CD217" i="25"/>
  <c r="CQ218" i="25"/>
  <c r="CR218" i="25" s="1"/>
  <c r="CP218" i="25"/>
  <c r="CO218" i="25"/>
  <c r="CN218" i="25"/>
  <c r="CQ234" i="25"/>
  <c r="CR234" i="25" s="1"/>
  <c r="CP234" i="25"/>
  <c r="CO234" i="25"/>
  <c r="CN234" i="25"/>
  <c r="DB239" i="25"/>
  <c r="BZ210" i="25"/>
  <c r="CA210" i="25" s="1"/>
  <c r="CO211" i="25"/>
  <c r="CM344" i="25"/>
  <c r="CS344" i="25" s="1"/>
  <c r="CQ214" i="25"/>
  <c r="CR214" i="25" s="1"/>
  <c r="CP214" i="25"/>
  <c r="CO214" i="25"/>
  <c r="CN214" i="25"/>
  <c r="DB226" i="25"/>
  <c r="BZ237" i="25"/>
  <c r="CA237" i="25" s="1"/>
  <c r="CB237" i="25" s="1"/>
  <c r="BY237" i="25"/>
  <c r="DF213" i="25"/>
  <c r="CN215" i="25"/>
  <c r="CP216" i="25"/>
  <c r="CN219" i="25"/>
  <c r="CP220" i="25"/>
  <c r="CN223" i="25"/>
  <c r="CP224" i="25"/>
  <c r="DF224" i="25"/>
  <c r="DH225" i="25"/>
  <c r="CN227" i="25"/>
  <c r="CP228" i="25"/>
  <c r="DF228" i="25"/>
  <c r="DH229" i="25"/>
  <c r="CN231" i="25"/>
  <c r="CP232" i="25"/>
  <c r="DF232" i="25"/>
  <c r="DH233" i="25"/>
  <c r="CN235" i="25"/>
  <c r="CP236" i="25"/>
  <c r="DF236" i="25"/>
  <c r="DH237" i="25"/>
  <c r="CM241" i="25"/>
  <c r="CS241" i="25" s="1"/>
  <c r="BY244" i="25"/>
  <c r="DB217" i="25"/>
  <c r="DB221" i="25"/>
  <c r="DB225" i="25"/>
  <c r="DB229" i="25"/>
  <c r="DB233" i="25"/>
  <c r="DB237" i="25"/>
  <c r="CP241" i="25"/>
  <c r="CD216" i="25"/>
  <c r="CN217" i="25"/>
  <c r="CD220" i="25"/>
  <c r="CN221" i="25"/>
  <c r="CD224" i="25"/>
  <c r="CN225" i="25"/>
  <c r="DF226" i="25"/>
  <c r="CD228" i="25"/>
  <c r="CN229" i="25"/>
  <c r="DF230" i="25"/>
  <c r="CD232" i="25"/>
  <c r="CN233" i="25"/>
  <c r="DF234" i="25"/>
  <c r="CD236" i="25"/>
  <c r="CN237" i="25"/>
  <c r="CQ238" i="25"/>
  <c r="CR238" i="25" s="1"/>
  <c r="BY239" i="25"/>
  <c r="BY242" i="25"/>
  <c r="CN243" i="25"/>
  <c r="CO217" i="25"/>
  <c r="CO221" i="25"/>
  <c r="CO225" i="25"/>
  <c r="CO229" i="25"/>
  <c r="CO233" i="25"/>
  <c r="CO237" i="25"/>
  <c r="CP217" i="25"/>
  <c r="CP221" i="25"/>
  <c r="CP225" i="25"/>
  <c r="CP229" i="25"/>
  <c r="CP233" i="25"/>
  <c r="CP237" i="25"/>
  <c r="CM238" i="25"/>
  <c r="CS238" i="25" s="1"/>
  <c r="BS244" i="25"/>
  <c r="CN244" i="25"/>
  <c r="BY241" i="25"/>
  <c r="CO243" i="25"/>
  <c r="CM247" i="25"/>
  <c r="CS247" i="25" s="1"/>
  <c r="BY248" i="25"/>
  <c r="CM251" i="25"/>
  <c r="CS251" i="25" s="1"/>
  <c r="BY252" i="25"/>
  <c r="CM255" i="25"/>
  <c r="CS255" i="25" s="1"/>
  <c r="BY256" i="25"/>
  <c r="CM259" i="25"/>
  <c r="CS259" i="25" s="1"/>
  <c r="BY260" i="25"/>
  <c r="CM263" i="25"/>
  <c r="CS263" i="25" s="1"/>
  <c r="BY264" i="25"/>
  <c r="CO264" i="25"/>
  <c r="CQ265" i="25"/>
  <c r="CR265" i="25" s="1"/>
  <c r="CM267" i="25"/>
  <c r="CS267" i="25" s="1"/>
  <c r="DH273" i="25"/>
  <c r="DF273" i="25"/>
  <c r="CQ288" i="25"/>
  <c r="CR288" i="25" s="1"/>
  <c r="CP288" i="25"/>
  <c r="CO288" i="25"/>
  <c r="CN288" i="25"/>
  <c r="CD296" i="25"/>
  <c r="DB262" i="25"/>
  <c r="CP264" i="25"/>
  <c r="DH265" i="25"/>
  <c r="DB266" i="25"/>
  <c r="DH269" i="25"/>
  <c r="BZ271" i="25"/>
  <c r="CA271" i="25" s="1"/>
  <c r="CB271" i="25" s="1"/>
  <c r="BY271" i="25"/>
  <c r="DB276" i="25"/>
  <c r="BZ279" i="25"/>
  <c r="CA279" i="25" s="1"/>
  <c r="CB279" i="25" s="1"/>
  <c r="BZ283" i="25"/>
  <c r="CA283" i="25" s="1"/>
  <c r="CB283" i="25" s="1"/>
  <c r="BZ288" i="25"/>
  <c r="CA288" i="25" s="1"/>
  <c r="CX289" i="25"/>
  <c r="CY289" i="25" s="1"/>
  <c r="CZ289" i="25" s="1"/>
  <c r="DA289" i="25" s="1"/>
  <c r="CM250" i="25"/>
  <c r="CS250" i="25" s="1"/>
  <c r="BY251" i="25"/>
  <c r="CM254" i="25"/>
  <c r="CS254" i="25" s="1"/>
  <c r="BY255" i="25"/>
  <c r="CM258" i="25"/>
  <c r="CS258" i="25" s="1"/>
  <c r="BY259" i="25"/>
  <c r="BY269" i="25"/>
  <c r="CQ272" i="25"/>
  <c r="CR272" i="25" s="1"/>
  <c r="CP272" i="25"/>
  <c r="CO272" i="25"/>
  <c r="CN272" i="25"/>
  <c r="CD287" i="25"/>
  <c r="CM288" i="25"/>
  <c r="CS288" i="25" s="1"/>
  <c r="BZ293" i="25"/>
  <c r="CA293" i="25" s="1"/>
  <c r="BY293" i="25"/>
  <c r="CN293" i="25"/>
  <c r="CM293" i="25"/>
  <c r="CS293" i="25" s="1"/>
  <c r="CN262" i="25"/>
  <c r="DF263" i="25"/>
  <c r="CD265" i="25"/>
  <c r="CN266" i="25"/>
  <c r="DF267" i="25"/>
  <c r="BY268" i="25"/>
  <c r="CD275" i="25"/>
  <c r="DH277" i="25"/>
  <c r="DF277" i="25"/>
  <c r="DB280" i="25"/>
  <c r="DB284" i="25"/>
  <c r="CD291" i="25"/>
  <c r="BZ294" i="25"/>
  <c r="CA294" i="25" s="1"/>
  <c r="BY294" i="25"/>
  <c r="BY298" i="25"/>
  <c r="BZ298" i="25"/>
  <c r="CA298" i="25" s="1"/>
  <c r="BY246" i="25"/>
  <c r="CO246" i="25"/>
  <c r="CM249" i="25"/>
  <c r="CS249" i="25" s="1"/>
  <c r="BY250" i="25"/>
  <c r="CO250" i="25"/>
  <c r="CM253" i="25"/>
  <c r="CS253" i="25" s="1"/>
  <c r="BY254" i="25"/>
  <c r="CO254" i="25"/>
  <c r="CM257" i="25"/>
  <c r="CS257" i="25" s="1"/>
  <c r="BY258" i="25"/>
  <c r="CO258" i="25"/>
  <c r="CM261" i="25"/>
  <c r="CS261" i="25" s="1"/>
  <c r="BY262" i="25"/>
  <c r="CO262" i="25"/>
  <c r="BY266" i="25"/>
  <c r="CO266" i="25"/>
  <c r="CD268" i="25"/>
  <c r="CM268" i="25"/>
  <c r="CS268" i="25" s="1"/>
  <c r="CN270" i="25"/>
  <c r="CM270" i="25"/>
  <c r="CS270" i="25" s="1"/>
  <c r="CM272" i="25"/>
  <c r="CS272" i="25" s="1"/>
  <c r="DH281" i="25"/>
  <c r="DF281" i="25"/>
  <c r="DH285" i="25"/>
  <c r="DF285" i="25"/>
  <c r="DB288" i="25"/>
  <c r="CP250" i="25"/>
  <c r="CP254" i="25"/>
  <c r="CP258" i="25"/>
  <c r="CP262" i="25"/>
  <c r="CP266" i="25"/>
  <c r="CN268" i="25"/>
  <c r="BZ276" i="25"/>
  <c r="CA276" i="25" s="1"/>
  <c r="CQ276" i="25"/>
  <c r="CR276" i="25" s="1"/>
  <c r="CP276" i="25"/>
  <c r="CO276" i="25"/>
  <c r="CN276" i="25"/>
  <c r="BZ287" i="25"/>
  <c r="CA287" i="25" s="1"/>
  <c r="CB287" i="25" s="1"/>
  <c r="DH289" i="25"/>
  <c r="DF289" i="25"/>
  <c r="CM291" i="25"/>
  <c r="CS291" i="25" s="1"/>
  <c r="CN291" i="25"/>
  <c r="BY249" i="25"/>
  <c r="BY253" i="25"/>
  <c r="BY257" i="25"/>
  <c r="BY261" i="25"/>
  <c r="DB272" i="25"/>
  <c r="BZ275" i="25"/>
  <c r="CA275" i="25" s="1"/>
  <c r="CB275" i="25" s="1"/>
  <c r="CX277" i="25"/>
  <c r="CY277" i="25" s="1"/>
  <c r="CZ277" i="25" s="1"/>
  <c r="DA277" i="25" s="1"/>
  <c r="CD279" i="25"/>
  <c r="CD283" i="25"/>
  <c r="CQ268" i="25"/>
  <c r="CR268" i="25" s="1"/>
  <c r="BY270" i="25"/>
  <c r="CD271" i="25"/>
  <c r="BZ280" i="25"/>
  <c r="CA280" i="25" s="1"/>
  <c r="CQ280" i="25"/>
  <c r="CR280" i="25" s="1"/>
  <c r="CP280" i="25"/>
  <c r="CO280" i="25"/>
  <c r="CN280" i="25"/>
  <c r="CQ284" i="25"/>
  <c r="CR284" i="25" s="1"/>
  <c r="CP284" i="25"/>
  <c r="CO284" i="25"/>
  <c r="CN284" i="25"/>
  <c r="CP273" i="25"/>
  <c r="CP277" i="25"/>
  <c r="CP281" i="25"/>
  <c r="CP285" i="25"/>
  <c r="DH286" i="25"/>
  <c r="CP289" i="25"/>
  <c r="DH290" i="25"/>
  <c r="CM292" i="25"/>
  <c r="CS292" i="25" s="1"/>
  <c r="BY296" i="25"/>
  <c r="DB297" i="25"/>
  <c r="BY276" i="25"/>
  <c r="BY280" i="25"/>
  <c r="BY284" i="25"/>
  <c r="CQ285" i="25"/>
  <c r="CR285" i="25" s="1"/>
  <c r="BY288" i="25"/>
  <c r="CQ289" i="25"/>
  <c r="CR289" i="25" s="1"/>
  <c r="BY292" i="25"/>
  <c r="CN292" i="25"/>
  <c r="BY295" i="25"/>
  <c r="BY300" i="25"/>
  <c r="BZ302" i="25"/>
  <c r="CA302" i="25" s="1"/>
  <c r="BY302" i="25"/>
  <c r="BZ299" i="25"/>
  <c r="CA299" i="25" s="1"/>
  <c r="CB299" i="25" s="1"/>
  <c r="CF299" i="25" s="1"/>
  <c r="CG299" i="25" s="1"/>
  <c r="CJ299" i="25" s="1"/>
  <c r="BY299" i="25"/>
  <c r="CM274" i="25"/>
  <c r="CS274" i="25" s="1"/>
  <c r="BY275" i="25"/>
  <c r="BY279" i="25"/>
  <c r="BY283" i="25"/>
  <c r="CD281" i="25"/>
  <c r="CN282" i="25"/>
  <c r="CD285" i="25"/>
  <c r="CN286" i="25"/>
  <c r="DF287" i="25"/>
  <c r="CD289" i="25"/>
  <c r="CN290" i="25"/>
  <c r="CQ293" i="25"/>
  <c r="CR293" i="25" s="1"/>
  <c r="BY297" i="25"/>
  <c r="CN299" i="25"/>
  <c r="CM299" i="25"/>
  <c r="CS299" i="25" s="1"/>
  <c r="BY286" i="25"/>
  <c r="CO286" i="25"/>
  <c r="BY290" i="25"/>
  <c r="CO290" i="25"/>
  <c r="CQ292" i="25"/>
  <c r="CR292" i="25" s="1"/>
  <c r="CO292" i="25"/>
  <c r="BS298" i="25"/>
  <c r="CO297" i="25"/>
  <c r="CO301" i="25"/>
  <c r="CO305" i="25"/>
  <c r="CO309" i="25"/>
  <c r="CO313" i="25"/>
  <c r="BS317" i="25"/>
  <c r="CN318" i="25"/>
  <c r="CQ317" i="25"/>
  <c r="CR317" i="25" s="1"/>
  <c r="BY318" i="25"/>
  <c r="CA318" i="25" s="1"/>
  <c r="CN323" i="25"/>
  <c r="CM323" i="25"/>
  <c r="CS323" i="25" s="1"/>
  <c r="BY325" i="25"/>
  <c r="CA325" i="25" s="1"/>
  <c r="CO296" i="25"/>
  <c r="CO300" i="25"/>
  <c r="CM303" i="25"/>
  <c r="CS303" i="25" s="1"/>
  <c r="CO304" i="25"/>
  <c r="CM307" i="25"/>
  <c r="CS307" i="25" s="1"/>
  <c r="CO308" i="25"/>
  <c r="CQ309" i="25"/>
  <c r="CR309" i="25" s="1"/>
  <c r="CM311" i="25"/>
  <c r="CS311" i="25" s="1"/>
  <c r="CO312" i="25"/>
  <c r="CQ313" i="25"/>
  <c r="CR313" i="25" s="1"/>
  <c r="CM315" i="25"/>
  <c r="CS315" i="25" s="1"/>
  <c r="CO316" i="25"/>
  <c r="CN319" i="25"/>
  <c r="DF319" i="25"/>
  <c r="CN321" i="25"/>
  <c r="CN322" i="25"/>
  <c r="CM322" i="25"/>
  <c r="CS322" i="25" s="1"/>
  <c r="CP312" i="25"/>
  <c r="CP316" i="25"/>
  <c r="CD317" i="25"/>
  <c r="CM317" i="25"/>
  <c r="CS317" i="25" s="1"/>
  <c r="BZ322" i="25"/>
  <c r="CM298" i="25"/>
  <c r="CS298" i="25" s="1"/>
  <c r="CM302" i="25"/>
  <c r="CS302" i="25" s="1"/>
  <c r="BY303" i="25"/>
  <c r="CM306" i="25"/>
  <c r="CS306" i="25" s="1"/>
  <c r="BY307" i="25"/>
  <c r="CM310" i="25"/>
  <c r="CS310" i="25" s="1"/>
  <c r="BY311" i="25"/>
  <c r="CA311" i="25" s="1"/>
  <c r="CB311" i="25" s="1"/>
  <c r="CF311" i="25" s="1"/>
  <c r="CG311" i="25" s="1"/>
  <c r="CJ311" i="25" s="1"/>
  <c r="BY315" i="25"/>
  <c r="CA315" i="25" s="1"/>
  <c r="CB315" i="25" s="1"/>
  <c r="CF315" i="25" s="1"/>
  <c r="CG315" i="25" s="1"/>
  <c r="CJ315" i="25" s="1"/>
  <c r="CN317" i="25"/>
  <c r="BY321" i="25"/>
  <c r="CO317" i="25"/>
  <c r="BY306" i="25"/>
  <c r="BY310" i="25"/>
  <c r="BY314" i="25"/>
  <c r="CA314" i="25" s="1"/>
  <c r="BZ320" i="25"/>
  <c r="CN324" i="25"/>
  <c r="CM324" i="25"/>
  <c r="CS324" i="25" s="1"/>
  <c r="CN320" i="25"/>
  <c r="CY322" i="25"/>
  <c r="CZ322" i="25" s="1"/>
  <c r="DA322" i="25" s="1"/>
  <c r="BZ323" i="25"/>
  <c r="CA323" i="25" s="1"/>
  <c r="CB323" i="25" s="1"/>
  <c r="CF323" i="25" s="1"/>
  <c r="CG323" i="25" s="1"/>
  <c r="CJ323" i="25" s="1"/>
  <c r="BY323" i="25"/>
  <c r="CM326" i="25"/>
  <c r="CS326" i="25" s="1"/>
  <c r="BY327" i="25"/>
  <c r="CQ328" i="25"/>
  <c r="CR328" i="25" s="1"/>
  <c r="CM330" i="25"/>
  <c r="CS330" i="25" s="1"/>
  <c r="BY331" i="25"/>
  <c r="CQ332" i="25"/>
  <c r="CR332" i="25" s="1"/>
  <c r="CM335" i="25"/>
  <c r="CS335" i="25" s="1"/>
  <c r="BY336" i="25"/>
  <c r="CA336" i="25" s="1"/>
  <c r="CB336" i="25" s="1"/>
  <c r="CF336" i="25" s="1"/>
  <c r="CG336" i="25" s="1"/>
  <c r="CJ336" i="25" s="1"/>
  <c r="CQ337" i="25"/>
  <c r="CR337" i="25" s="1"/>
  <c r="CM339" i="25"/>
  <c r="CS339" i="25" s="1"/>
  <c r="BY340" i="25"/>
  <c r="CA340" i="25" s="1"/>
  <c r="CB340" i="25" s="1"/>
  <c r="CQ341" i="25"/>
  <c r="CR341" i="25" s="1"/>
  <c r="CM343" i="25"/>
  <c r="CS343" i="25" s="1"/>
  <c r="BY206" i="25"/>
  <c r="CA206" i="25" s="1"/>
  <c r="CB206" i="25" s="1"/>
  <c r="CQ345" i="25"/>
  <c r="CR345" i="25" s="1"/>
  <c r="CM347" i="25"/>
  <c r="CS347" i="25" s="1"/>
  <c r="BZ348" i="25"/>
  <c r="CA348" i="25" s="1"/>
  <c r="CB348" i="25" s="1"/>
  <c r="CF348" i="25" s="1"/>
  <c r="CG348" i="25" s="1"/>
  <c r="CJ348" i="25" s="1"/>
  <c r="DF348" i="25"/>
  <c r="DB349" i="25"/>
  <c r="DF350" i="25"/>
  <c r="BZ352" i="25"/>
  <c r="CA352" i="25" s="1"/>
  <c r="CB352" i="25" s="1"/>
  <c r="CF352" i="25" s="1"/>
  <c r="CG352" i="25" s="1"/>
  <c r="CJ352" i="25" s="1"/>
  <c r="CX355" i="25"/>
  <c r="CY355" i="25" s="1"/>
  <c r="CZ355" i="25" s="1"/>
  <c r="DA355" i="25" s="1"/>
  <c r="CQ357" i="25"/>
  <c r="CR357" i="25" s="1"/>
  <c r="CP357" i="25"/>
  <c r="CO357" i="25"/>
  <c r="CN357" i="25"/>
  <c r="CN354" i="25"/>
  <c r="CQ354" i="25"/>
  <c r="CR354" i="25" s="1"/>
  <c r="BY355" i="25"/>
  <c r="CD356" i="25"/>
  <c r="CQ353" i="25"/>
  <c r="CR353" i="25" s="1"/>
  <c r="CP353" i="25"/>
  <c r="CO353" i="25"/>
  <c r="BS354" i="25"/>
  <c r="BZ360" i="25"/>
  <c r="CA360" i="25" s="1"/>
  <c r="BY360" i="25"/>
  <c r="DH360" i="25"/>
  <c r="DF360" i="25"/>
  <c r="CO321" i="25"/>
  <c r="CO325" i="25"/>
  <c r="CM328" i="25"/>
  <c r="CS328" i="25" s="1"/>
  <c r="CM332" i="25"/>
  <c r="CS332" i="25" s="1"/>
  <c r="BY334" i="25"/>
  <c r="BY338" i="25"/>
  <c r="CA338" i="25" s="1"/>
  <c r="CQ349" i="25"/>
  <c r="CR349" i="25" s="1"/>
  <c r="CP349" i="25"/>
  <c r="CO349" i="25"/>
  <c r="CN350" i="25"/>
  <c r="CQ350" i="25"/>
  <c r="CR350" i="25" s="1"/>
  <c r="CN337" i="25"/>
  <c r="CD340" i="25"/>
  <c r="CN341" i="25"/>
  <c r="DF342" i="25"/>
  <c r="CD206" i="25"/>
  <c r="CN345" i="25"/>
  <c r="CP346" i="25"/>
  <c r="DF346" i="25"/>
  <c r="CO350" i="25"/>
  <c r="DH351" i="25"/>
  <c r="DF355" i="25"/>
  <c r="DH355" i="25"/>
  <c r="BZ356" i="25"/>
  <c r="CA356" i="25" s="1"/>
  <c r="CB356" i="25" s="1"/>
  <c r="BY356" i="25"/>
  <c r="CM357" i="25"/>
  <c r="CS357" i="25" s="1"/>
  <c r="DH357" i="25"/>
  <c r="DF357" i="25"/>
  <c r="CM327" i="25"/>
  <c r="CS327" i="25" s="1"/>
  <c r="CM331" i="25"/>
  <c r="CS331" i="25" s="1"/>
  <c r="CM336" i="25"/>
  <c r="CS336" i="25" s="1"/>
  <c r="BY337" i="25"/>
  <c r="CM340" i="25"/>
  <c r="CS340" i="25" s="1"/>
  <c r="BY341" i="25"/>
  <c r="CO341" i="25"/>
  <c r="CM206" i="25"/>
  <c r="CS206" i="25" s="1"/>
  <c r="BY345" i="25"/>
  <c r="CO345" i="25"/>
  <c r="CP350" i="25"/>
  <c r="BZ353" i="25"/>
  <c r="CA353" i="25" s="1"/>
  <c r="BY353" i="25"/>
  <c r="DF354" i="25"/>
  <c r="BZ359" i="25"/>
  <c r="CA359" i="25" s="1"/>
  <c r="DH362" i="25"/>
  <c r="DF362" i="25"/>
  <c r="BZ349" i="25"/>
  <c r="CA349" i="25" s="1"/>
  <c r="BY349" i="25"/>
  <c r="BZ351" i="25"/>
  <c r="CA351" i="25" s="1"/>
  <c r="DB353" i="25"/>
  <c r="DB354" i="25"/>
  <c r="CN360" i="25"/>
  <c r="CN365" i="25"/>
  <c r="DF365" i="25"/>
  <c r="DB368" i="25"/>
  <c r="BY357" i="25"/>
  <c r="CO360" i="25"/>
  <c r="BY362" i="25"/>
  <c r="CD363" i="25"/>
  <c r="CM363" i="25"/>
  <c r="CS363" i="25" s="1"/>
  <c r="CQ364" i="25"/>
  <c r="CR364" i="25" s="1"/>
  <c r="BY365" i="25"/>
  <c r="CO365" i="25"/>
  <c r="DH368" i="25"/>
  <c r="BZ374" i="25"/>
  <c r="CA374" i="25" s="1"/>
  <c r="CB374" i="25" s="1"/>
  <c r="CD376" i="25"/>
  <c r="DF376" i="25"/>
  <c r="CD382" i="25"/>
  <c r="CD358" i="25"/>
  <c r="CN358" i="25"/>
  <c r="CN363" i="25"/>
  <c r="CP365" i="25"/>
  <c r="CO367" i="25"/>
  <c r="CN367" i="25"/>
  <c r="CM368" i="25"/>
  <c r="CS368" i="25" s="1"/>
  <c r="DH374" i="25"/>
  <c r="BZ376" i="25"/>
  <c r="CA376" i="25" s="1"/>
  <c r="CB376" i="25" s="1"/>
  <c r="DB376" i="25"/>
  <c r="DF382" i="25"/>
  <c r="DH382" i="25"/>
  <c r="CP363" i="25"/>
  <c r="CD370" i="25"/>
  <c r="BZ382" i="25"/>
  <c r="CA382" i="25" s="1"/>
  <c r="CB382" i="25" s="1"/>
  <c r="BY382" i="25"/>
  <c r="BY359" i="25"/>
  <c r="BS360" i="25"/>
  <c r="CQ363" i="25"/>
  <c r="CR363" i="25" s="1"/>
  <c r="BY367" i="25"/>
  <c r="BZ368" i="25"/>
  <c r="CA368" i="25" s="1"/>
  <c r="CQ368" i="25"/>
  <c r="CR368" i="25" s="1"/>
  <c r="CP368" i="25"/>
  <c r="BZ370" i="25"/>
  <c r="CA370" i="25" s="1"/>
  <c r="CB370" i="25" s="1"/>
  <c r="BY370" i="25"/>
  <c r="BY379" i="25"/>
  <c r="DF381" i="25"/>
  <c r="CQ360" i="25"/>
  <c r="CR360" i="25" s="1"/>
  <c r="BZ373" i="25"/>
  <c r="CA373" i="25" s="1"/>
  <c r="DF378" i="25"/>
  <c r="DH378" i="25"/>
  <c r="CO379" i="25"/>
  <c r="CQ379" i="25"/>
  <c r="CR379" i="25" s="1"/>
  <c r="CP379" i="25"/>
  <c r="BY381" i="25"/>
  <c r="CN359" i="25"/>
  <c r="CD362" i="25"/>
  <c r="CN362" i="25"/>
  <c r="CP364" i="25"/>
  <c r="CQ367" i="25"/>
  <c r="CR367" i="25" s="1"/>
  <c r="CQ371" i="25"/>
  <c r="CR371" i="25" s="1"/>
  <c r="CO371" i="25"/>
  <c r="CN371" i="25"/>
  <c r="DB373" i="25"/>
  <c r="DH377" i="25"/>
  <c r="CM379" i="25"/>
  <c r="CS379" i="25" s="1"/>
  <c r="DB384" i="25"/>
  <c r="DH385" i="25"/>
  <c r="DF385" i="25"/>
  <c r="CP383" i="25"/>
  <c r="DH384" i="25"/>
  <c r="BZ388" i="25"/>
  <c r="CA388" i="25" s="1"/>
  <c r="CB388" i="25" s="1"/>
  <c r="BY388" i="25"/>
  <c r="CQ372" i="25"/>
  <c r="CR372" i="25" s="1"/>
  <c r="BY373" i="25"/>
  <c r="CO373" i="25"/>
  <c r="CO376" i="25"/>
  <c r="BY378" i="25"/>
  <c r="CQ383" i="25"/>
  <c r="CR383" i="25" s="1"/>
  <c r="CD374" i="25"/>
  <c r="CN374" i="25"/>
  <c r="CQ380" i="25"/>
  <c r="CR380" i="25" s="1"/>
  <c r="CQ384" i="25"/>
  <c r="CR384" i="25" s="1"/>
  <c r="CP384" i="25"/>
  <c r="CN384" i="25"/>
  <c r="CP385" i="25"/>
  <c r="CN385" i="25"/>
  <c r="BY375" i="25"/>
  <c r="BS376" i="25"/>
  <c r="DB380" i="25"/>
  <c r="CN381" i="25"/>
  <c r="CD388" i="25"/>
  <c r="CQ376" i="25"/>
  <c r="CR376" i="25" s="1"/>
  <c r="BZ384" i="25"/>
  <c r="CA384" i="25" s="1"/>
  <c r="CD386" i="25"/>
  <c r="BZ386" i="25"/>
  <c r="CA386" i="25" s="1"/>
  <c r="CB386" i="25" s="1"/>
  <c r="DH386" i="25"/>
  <c r="DF386" i="25"/>
  <c r="CP386" i="25"/>
  <c r="DH387" i="25"/>
  <c r="DB388" i="25"/>
  <c r="CN389" i="25"/>
  <c r="CQ505" i="25"/>
  <c r="CR505" i="25" s="1"/>
  <c r="CM507" i="25"/>
  <c r="CS507" i="25" s="1"/>
  <c r="CQ509" i="25"/>
  <c r="CR509" i="25" s="1"/>
  <c r="CM511" i="25"/>
  <c r="CS511" i="25" s="1"/>
  <c r="BY512" i="25"/>
  <c r="CA512" i="25" s="1"/>
  <c r="CB512" i="25" s="1"/>
  <c r="CF512" i="25" s="1"/>
  <c r="CG512" i="25" s="1"/>
  <c r="CJ512" i="25" s="1"/>
  <c r="DH513" i="25"/>
  <c r="CD517" i="25"/>
  <c r="CQ518" i="25"/>
  <c r="CR518" i="25" s="1"/>
  <c r="CQ519" i="25"/>
  <c r="CR519" i="25" s="1"/>
  <c r="CQ520" i="25"/>
  <c r="CR520" i="25" s="1"/>
  <c r="CN520" i="25"/>
  <c r="BY522" i="25"/>
  <c r="CA522" i="25" s="1"/>
  <c r="CB522" i="25" s="1"/>
  <c r="CF522" i="25" s="1"/>
  <c r="CG522" i="25" s="1"/>
  <c r="CJ522" i="25" s="1"/>
  <c r="CO389" i="25"/>
  <c r="DF512" i="25"/>
  <c r="CN514" i="25"/>
  <c r="DF515" i="25"/>
  <c r="BS520" i="25"/>
  <c r="CX521" i="25"/>
  <c r="CY521" i="25" s="1"/>
  <c r="CZ521" i="25" s="1"/>
  <c r="DA521" i="25" s="1"/>
  <c r="CD387" i="25"/>
  <c r="CN388" i="25"/>
  <c r="CP389" i="25"/>
  <c r="DF389" i="25"/>
  <c r="CM506" i="25"/>
  <c r="CS506" i="25" s="1"/>
  <c r="DB518" i="25"/>
  <c r="CO388" i="25"/>
  <c r="CN510" i="25"/>
  <c r="DF511" i="25"/>
  <c r="CM513" i="25"/>
  <c r="CS513" i="25" s="1"/>
  <c r="CP514" i="25"/>
  <c r="DF514" i="25"/>
  <c r="CD516" i="25"/>
  <c r="CO517" i="25"/>
  <c r="CM518" i="25"/>
  <c r="CS518" i="25" s="1"/>
  <c r="DF518" i="25"/>
  <c r="CM520" i="25"/>
  <c r="CS520" i="25" s="1"/>
  <c r="DF520" i="25"/>
  <c r="BZ521" i="25"/>
  <c r="CN521" i="25"/>
  <c r="CN387" i="25"/>
  <c r="CP388" i="25"/>
  <c r="DF388" i="25"/>
  <c r="BY506" i="25"/>
  <c r="CA506" i="25" s="1"/>
  <c r="BY510" i="25"/>
  <c r="CA510" i="25" s="1"/>
  <c r="DF517" i="25"/>
  <c r="CN518" i="25"/>
  <c r="CD520" i="25"/>
  <c r="CO520" i="25"/>
  <c r="CO387" i="25"/>
  <c r="CN505" i="25"/>
  <c r="CD508" i="25"/>
  <c r="CN509" i="25"/>
  <c r="CO518" i="25"/>
  <c r="CM519" i="25"/>
  <c r="CS519" i="25" s="1"/>
  <c r="CP520" i="25"/>
  <c r="CP518" i="25"/>
  <c r="CO519" i="25"/>
  <c r="CN522" i="25"/>
  <c r="CM522" i="25"/>
  <c r="CS522" i="25" s="1"/>
  <c r="BZ522" i="25"/>
  <c r="BZ525" i="25"/>
  <c r="BZ528" i="25"/>
  <c r="BY534" i="25"/>
  <c r="CA534" i="25" s="1"/>
  <c r="CQ535" i="25"/>
  <c r="CR535" i="25" s="1"/>
  <c r="CN541" i="25"/>
  <c r="BZ542" i="25"/>
  <c r="DB544" i="25"/>
  <c r="CN524" i="25"/>
  <c r="CN527" i="25"/>
  <c r="CD529" i="25"/>
  <c r="BY530" i="25"/>
  <c r="CA530" i="25" s="1"/>
  <c r="CD532" i="25"/>
  <c r="CN533" i="25"/>
  <c r="CP534" i="25"/>
  <c r="DF534" i="25"/>
  <c r="DH535" i="25"/>
  <c r="BY537" i="25"/>
  <c r="CA537" i="25" s="1"/>
  <c r="DB523" i="25"/>
  <c r="CO524" i="25"/>
  <c r="CD526" i="25"/>
  <c r="DB526" i="25"/>
  <c r="BY527" i="25"/>
  <c r="CA527" i="25" s="1"/>
  <c r="CO527" i="25"/>
  <c r="CM529" i="25"/>
  <c r="CS529" i="25" s="1"/>
  <c r="CO533" i="25"/>
  <c r="CQ534" i="25"/>
  <c r="CR534" i="25" s="1"/>
  <c r="CN536" i="25"/>
  <c r="CD539" i="25"/>
  <c r="CN540" i="25"/>
  <c r="DF541" i="25"/>
  <c r="CD543" i="25"/>
  <c r="CN544" i="25"/>
  <c r="CN532" i="25"/>
  <c r="DF533" i="25"/>
  <c r="CO536" i="25"/>
  <c r="CO540" i="25"/>
  <c r="CM543" i="25"/>
  <c r="CS543" i="25" s="1"/>
  <c r="BY544" i="25"/>
  <c r="CA544" i="25" s="1"/>
  <c r="CO544" i="25"/>
  <c r="CP544" i="25"/>
  <c r="BY523" i="25"/>
  <c r="CA523" i="25" s="1"/>
  <c r="CO523" i="25"/>
  <c r="CM525" i="25"/>
  <c r="CS525" i="25" s="1"/>
  <c r="BY526" i="25"/>
  <c r="CA526" i="25" s="1"/>
  <c r="CB526" i="25" s="1"/>
  <c r="CO526" i="25"/>
  <c r="CM528" i="25"/>
  <c r="CS528" i="25" s="1"/>
  <c r="DF529" i="25"/>
  <c r="CN531" i="25"/>
  <c r="DF532" i="25"/>
  <c r="CD534" i="25"/>
  <c r="CN535" i="25"/>
  <c r="CM538" i="25"/>
  <c r="CS538" i="25" s="1"/>
  <c r="BY539" i="25"/>
  <c r="CA539" i="25" s="1"/>
  <c r="CB539" i="25" s="1"/>
  <c r="CM542" i="25"/>
  <c r="CS542" i="25" s="1"/>
  <c r="BY543" i="25"/>
  <c r="CA543" i="25" s="1"/>
  <c r="CB543" i="25" s="1"/>
  <c r="CP523" i="25"/>
  <c r="BY531" i="25"/>
  <c r="CA531" i="25" s="1"/>
  <c r="CO531" i="25"/>
  <c r="CO535" i="25"/>
  <c r="CA459" i="25" l="1"/>
  <c r="CE459" i="25" s="1"/>
  <c r="CH459" i="25" s="1"/>
  <c r="CI459" i="25" s="1"/>
  <c r="CA222" i="25"/>
  <c r="CA173" i="25"/>
  <c r="CB173" i="25" s="1"/>
  <c r="CA221" i="25"/>
  <c r="CB221" i="25" s="1"/>
  <c r="CF221" i="25" s="1"/>
  <c r="CG221" i="25" s="1"/>
  <c r="CJ221" i="25" s="1"/>
  <c r="CA217" i="25"/>
  <c r="CB217" i="25" s="1"/>
  <c r="CF217" i="25" s="1"/>
  <c r="CG217" i="25" s="1"/>
  <c r="CJ217" i="25" s="1"/>
  <c r="CA218" i="25"/>
  <c r="CB218" i="25" s="1"/>
  <c r="CF218" i="25" s="1"/>
  <c r="CG218" i="25" s="1"/>
  <c r="CJ218" i="25" s="1"/>
  <c r="CA219" i="25"/>
  <c r="CE219" i="25" s="1"/>
  <c r="CH219" i="25" s="1"/>
  <c r="CI219" i="25" s="1"/>
  <c r="CA216" i="25"/>
  <c r="CB216" i="25" s="1"/>
  <c r="CF216" i="25" s="1"/>
  <c r="CG216" i="25" s="1"/>
  <c r="CJ216" i="25" s="1"/>
  <c r="CA214" i="25"/>
  <c r="CB214" i="25" s="1"/>
  <c r="CF214" i="25" s="1"/>
  <c r="CG214" i="25" s="1"/>
  <c r="CJ214" i="25" s="1"/>
  <c r="CA215" i="25"/>
  <c r="CE215" i="25" s="1"/>
  <c r="CH215" i="25" s="1"/>
  <c r="CI215" i="25" s="1"/>
  <c r="CA220" i="25"/>
  <c r="CB220" i="25" s="1"/>
  <c r="CF220" i="25" s="1"/>
  <c r="CG220" i="25" s="1"/>
  <c r="CJ220" i="25" s="1"/>
  <c r="CF59" i="25"/>
  <c r="CG59" i="25" s="1"/>
  <c r="CJ59" i="25" s="1"/>
  <c r="CF47" i="25"/>
  <c r="CG47" i="25" s="1"/>
  <c r="CJ47" i="25" s="1"/>
  <c r="CB46" i="25"/>
  <c r="CF46" i="25" s="1"/>
  <c r="CG46" i="25" s="1"/>
  <c r="CJ46" i="25" s="1"/>
  <c r="CE47" i="25"/>
  <c r="CH47" i="25" s="1"/>
  <c r="CI47" i="25" s="1"/>
  <c r="CE59" i="25"/>
  <c r="CH59" i="25" s="1"/>
  <c r="CI59" i="25" s="1"/>
  <c r="CE65" i="25"/>
  <c r="CH65" i="25" s="1"/>
  <c r="CI65" i="25" s="1"/>
  <c r="CB235" i="25"/>
  <c r="CF235" i="25" s="1"/>
  <c r="CG235" i="25" s="1"/>
  <c r="CJ235" i="25" s="1"/>
  <c r="CF224" i="25"/>
  <c r="CG224" i="25" s="1"/>
  <c r="CJ224" i="25" s="1"/>
  <c r="CE224" i="25"/>
  <c r="CH224" i="25" s="1"/>
  <c r="CI224" i="25" s="1"/>
  <c r="CB80" i="25"/>
  <c r="CF80" i="25" s="1"/>
  <c r="CG80" i="25" s="1"/>
  <c r="CJ80" i="25" s="1"/>
  <c r="CE278" i="25"/>
  <c r="CH278" i="25" s="1"/>
  <c r="CI278" i="25" s="1"/>
  <c r="CE71" i="25"/>
  <c r="CH71" i="25" s="1"/>
  <c r="CI71" i="25" s="1"/>
  <c r="CE92" i="25"/>
  <c r="CH92" i="25" s="1"/>
  <c r="CI92" i="25" s="1"/>
  <c r="CE511" i="25"/>
  <c r="CH511" i="25" s="1"/>
  <c r="CI511" i="25" s="1"/>
  <c r="CE55" i="25"/>
  <c r="CH55" i="25" s="1"/>
  <c r="CI55" i="25" s="1"/>
  <c r="CF55" i="25"/>
  <c r="CG55" i="25" s="1"/>
  <c r="CJ55" i="25" s="1"/>
  <c r="CB9" i="25"/>
  <c r="CF9" i="25" s="1"/>
  <c r="CG9" i="25" s="1"/>
  <c r="CJ9" i="25" s="1"/>
  <c r="CB270" i="25"/>
  <c r="CF270" i="25" s="1"/>
  <c r="CG270" i="25" s="1"/>
  <c r="CJ270" i="25" s="1"/>
  <c r="CE75" i="25"/>
  <c r="CH75" i="25" s="1"/>
  <c r="CI75" i="25" s="1"/>
  <c r="CE48" i="25"/>
  <c r="CH48" i="25" s="1"/>
  <c r="CI48" i="25" s="1"/>
  <c r="CE369" i="25"/>
  <c r="CH369" i="25" s="1"/>
  <c r="CI369" i="25" s="1"/>
  <c r="CE347" i="25"/>
  <c r="CH347" i="25" s="1"/>
  <c r="CI347" i="25" s="1"/>
  <c r="CF99" i="25"/>
  <c r="CG99" i="25" s="1"/>
  <c r="CJ99" i="25" s="1"/>
  <c r="CE99" i="25"/>
  <c r="CH99" i="25" s="1"/>
  <c r="CI99" i="25" s="1"/>
  <c r="CB223" i="25"/>
  <c r="CF223" i="25" s="1"/>
  <c r="CG223" i="25" s="1"/>
  <c r="CJ223" i="25" s="1"/>
  <c r="CB306" i="25"/>
  <c r="CF306" i="25" s="1"/>
  <c r="CG306" i="25" s="1"/>
  <c r="CJ306" i="25" s="1"/>
  <c r="CE119" i="25"/>
  <c r="CH119" i="25" s="1"/>
  <c r="CI119" i="25" s="1"/>
  <c r="CE324" i="25"/>
  <c r="CH324" i="25" s="1"/>
  <c r="CI324" i="25" s="1"/>
  <c r="CB88" i="25"/>
  <c r="CF88" i="25" s="1"/>
  <c r="CG88" i="25" s="1"/>
  <c r="CJ88" i="25" s="1"/>
  <c r="CE255" i="25"/>
  <c r="CH255" i="25" s="1"/>
  <c r="CI255" i="25" s="1"/>
  <c r="CB108" i="25"/>
  <c r="CF108" i="25" s="1"/>
  <c r="CG108" i="25" s="1"/>
  <c r="CJ108" i="25" s="1"/>
  <c r="CE20" i="25"/>
  <c r="CH20" i="25" s="1"/>
  <c r="CI20" i="25" s="1"/>
  <c r="CE115" i="25"/>
  <c r="CH115" i="25" s="1"/>
  <c r="CI115" i="25" s="1"/>
  <c r="CE188" i="25"/>
  <c r="CH188" i="25" s="1"/>
  <c r="CI188" i="25" s="1"/>
  <c r="CE131" i="25"/>
  <c r="CH131" i="25" s="1"/>
  <c r="CI131" i="25" s="1"/>
  <c r="CE60" i="25"/>
  <c r="CH60" i="25" s="1"/>
  <c r="CI60" i="25" s="1"/>
  <c r="CE524" i="25"/>
  <c r="CH524" i="25" s="1"/>
  <c r="CI524" i="25" s="1"/>
  <c r="CB290" i="25"/>
  <c r="CF290" i="25" s="1"/>
  <c r="CG290" i="25" s="1"/>
  <c r="CJ290" i="25" s="1"/>
  <c r="CB355" i="25"/>
  <c r="CF355" i="25" s="1"/>
  <c r="CG355" i="25" s="1"/>
  <c r="CJ355" i="25" s="1"/>
  <c r="CE387" i="25"/>
  <c r="CH387" i="25" s="1"/>
  <c r="CI387" i="25" s="1"/>
  <c r="CF387" i="25"/>
  <c r="CG387" i="25" s="1"/>
  <c r="CJ387" i="25" s="1"/>
  <c r="CE247" i="25"/>
  <c r="CH247" i="25" s="1"/>
  <c r="CI247" i="25" s="1"/>
  <c r="CB252" i="25"/>
  <c r="CF252" i="25" s="1"/>
  <c r="CG252" i="25" s="1"/>
  <c r="CJ252" i="25" s="1"/>
  <c r="CF362" i="25"/>
  <c r="CG362" i="25" s="1"/>
  <c r="CJ362" i="25" s="1"/>
  <c r="CF232" i="25"/>
  <c r="CG232" i="25" s="1"/>
  <c r="CJ232" i="25" s="1"/>
  <c r="CE232" i="25"/>
  <c r="CH232" i="25" s="1"/>
  <c r="CI232" i="25" s="1"/>
  <c r="CE267" i="25"/>
  <c r="CH267" i="25" s="1"/>
  <c r="CI267" i="25" s="1"/>
  <c r="CF529" i="25"/>
  <c r="CG529" i="25" s="1"/>
  <c r="CJ529" i="25" s="1"/>
  <c r="CE228" i="25"/>
  <c r="CH228" i="25" s="1"/>
  <c r="CI228" i="25" s="1"/>
  <c r="CB96" i="25"/>
  <c r="CF96" i="25" s="1"/>
  <c r="CG96" i="25" s="1"/>
  <c r="CJ96" i="25" s="1"/>
  <c r="CB330" i="25"/>
  <c r="CF330" i="25" s="1"/>
  <c r="CG330" i="25" s="1"/>
  <c r="CJ330" i="25" s="1"/>
  <c r="CB286" i="25"/>
  <c r="CF286" i="25" s="1"/>
  <c r="CG286" i="25" s="1"/>
  <c r="CJ286" i="25" s="1"/>
  <c r="CF228" i="25"/>
  <c r="CG228" i="25" s="1"/>
  <c r="CJ228" i="25" s="1"/>
  <c r="CF151" i="25"/>
  <c r="CG151" i="25" s="1"/>
  <c r="CJ151" i="25" s="1"/>
  <c r="CE174" i="25"/>
  <c r="CH174" i="25" s="1"/>
  <c r="CI174" i="25" s="1"/>
  <c r="CE529" i="25"/>
  <c r="CH529" i="25" s="1"/>
  <c r="CI529" i="25" s="1"/>
  <c r="CF166" i="25"/>
  <c r="CG166" i="25" s="1"/>
  <c r="CJ166" i="25" s="1"/>
  <c r="CE200" i="25"/>
  <c r="CH200" i="25" s="1"/>
  <c r="CI200" i="25" s="1"/>
  <c r="CF200" i="25"/>
  <c r="CG200" i="25" s="1"/>
  <c r="CJ200" i="25" s="1"/>
  <c r="CE541" i="25"/>
  <c r="CH541" i="25" s="1"/>
  <c r="CI541" i="25" s="1"/>
  <c r="CE362" i="25"/>
  <c r="CH362" i="25" s="1"/>
  <c r="CI362" i="25" s="1"/>
  <c r="CE251" i="25"/>
  <c r="CH251" i="25" s="1"/>
  <c r="CI251" i="25" s="1"/>
  <c r="CE107" i="25"/>
  <c r="CH107" i="25" s="1"/>
  <c r="CI107" i="25" s="1"/>
  <c r="CE366" i="25"/>
  <c r="CH366" i="25" s="1"/>
  <c r="CI366" i="25" s="1"/>
  <c r="CE142" i="25"/>
  <c r="CH142" i="25" s="1"/>
  <c r="CI142" i="25" s="1"/>
  <c r="CF303" i="25"/>
  <c r="CG303" i="25" s="1"/>
  <c r="CJ303" i="25" s="1"/>
  <c r="CE378" i="25"/>
  <c r="CH378" i="25" s="1"/>
  <c r="CI378" i="25" s="1"/>
  <c r="CE358" i="25"/>
  <c r="CH358" i="25" s="1"/>
  <c r="CI358" i="25" s="1"/>
  <c r="CE343" i="25"/>
  <c r="CH343" i="25" s="1"/>
  <c r="CI343" i="25" s="1"/>
  <c r="CF358" i="25"/>
  <c r="CG358" i="25" s="1"/>
  <c r="CJ358" i="25" s="1"/>
  <c r="CF77" i="25"/>
  <c r="CG77" i="25" s="1"/>
  <c r="CJ77" i="25" s="1"/>
  <c r="CB100" i="25"/>
  <c r="CF100" i="25" s="1"/>
  <c r="CG100" i="25" s="1"/>
  <c r="CJ100" i="25" s="1"/>
  <c r="CE533" i="25"/>
  <c r="CH533" i="25" s="1"/>
  <c r="CI533" i="25" s="1"/>
  <c r="CF147" i="25"/>
  <c r="CG147" i="25" s="1"/>
  <c r="CJ147" i="25" s="1"/>
  <c r="CE320" i="25"/>
  <c r="CH320" i="25" s="1"/>
  <c r="CI320" i="25" s="1"/>
  <c r="CE248" i="25"/>
  <c r="CH248" i="25" s="1"/>
  <c r="CI248" i="25" s="1"/>
  <c r="CF517" i="25"/>
  <c r="CG517" i="25" s="1"/>
  <c r="CJ517" i="25" s="1"/>
  <c r="CE517" i="25"/>
  <c r="CH517" i="25" s="1"/>
  <c r="CI517" i="25" s="1"/>
  <c r="CE319" i="25"/>
  <c r="CH319" i="25" s="1"/>
  <c r="CI319" i="25" s="1"/>
  <c r="CE331" i="25"/>
  <c r="CH331" i="25" s="1"/>
  <c r="CI331" i="25" s="1"/>
  <c r="CE263" i="25"/>
  <c r="CH263" i="25" s="1"/>
  <c r="CI263" i="25" s="1"/>
  <c r="CE240" i="25"/>
  <c r="CH240" i="25" s="1"/>
  <c r="CI240" i="25" s="1"/>
  <c r="CE260" i="25"/>
  <c r="CH260" i="25" s="1"/>
  <c r="CI260" i="25" s="1"/>
  <c r="CB84" i="25"/>
  <c r="CF84" i="25" s="1"/>
  <c r="CG84" i="25" s="1"/>
  <c r="CJ84" i="25" s="1"/>
  <c r="CB231" i="25"/>
  <c r="CF231" i="25" s="1"/>
  <c r="CG231" i="25" s="1"/>
  <c r="CJ231" i="25" s="1"/>
  <c r="CF244" i="25"/>
  <c r="CG244" i="25" s="1"/>
  <c r="CJ244" i="25" s="1"/>
  <c r="CE244" i="25"/>
  <c r="CH244" i="25" s="1"/>
  <c r="CI244" i="25" s="1"/>
  <c r="CF516" i="25"/>
  <c r="CG516" i="25" s="1"/>
  <c r="CJ516" i="25" s="1"/>
  <c r="CF194" i="25"/>
  <c r="CG194" i="25" s="1"/>
  <c r="CJ194" i="25" s="1"/>
  <c r="CE295" i="25"/>
  <c r="CH295" i="25" s="1"/>
  <c r="CI295" i="25" s="1"/>
  <c r="CE515" i="25"/>
  <c r="CH515" i="25" s="1"/>
  <c r="CI515" i="25" s="1"/>
  <c r="CF132" i="25"/>
  <c r="CG132" i="25" s="1"/>
  <c r="CJ132" i="25" s="1"/>
  <c r="CB264" i="25"/>
  <c r="CF264" i="25" s="1"/>
  <c r="CG264" i="25" s="1"/>
  <c r="CJ264" i="25" s="1"/>
  <c r="CE67" i="25"/>
  <c r="CH67" i="25" s="1"/>
  <c r="CI67" i="25" s="1"/>
  <c r="CB521" i="25"/>
  <c r="CF521" i="25" s="1"/>
  <c r="CG521" i="25" s="1"/>
  <c r="CJ521" i="25" s="1"/>
  <c r="CF291" i="25"/>
  <c r="CG291" i="25" s="1"/>
  <c r="CJ291" i="25" s="1"/>
  <c r="CE291" i="25"/>
  <c r="CH291" i="25" s="1"/>
  <c r="CI291" i="25" s="1"/>
  <c r="CE367" i="25"/>
  <c r="CH367" i="25" s="1"/>
  <c r="CI367" i="25" s="1"/>
  <c r="CF143" i="25"/>
  <c r="CG143" i="25" s="1"/>
  <c r="CJ143" i="25" s="1"/>
  <c r="CE525" i="25"/>
  <c r="CH525" i="25" s="1"/>
  <c r="CI525" i="25" s="1"/>
  <c r="CE377" i="25"/>
  <c r="CH377" i="25" s="1"/>
  <c r="CI377" i="25" s="1"/>
  <c r="CF155" i="25"/>
  <c r="CG155" i="25" s="1"/>
  <c r="CJ155" i="25" s="1"/>
  <c r="CE150" i="25"/>
  <c r="CH150" i="25" s="1"/>
  <c r="CI150" i="25" s="1"/>
  <c r="CB35" i="25"/>
  <c r="CF35" i="25" s="1"/>
  <c r="CG35" i="25" s="1"/>
  <c r="CJ35" i="25" s="1"/>
  <c r="CE51" i="25"/>
  <c r="CH51" i="25" s="1"/>
  <c r="CI51" i="25" s="1"/>
  <c r="E68" i="89"/>
  <c r="E89" i="89" s="1"/>
  <c r="M89" i="89"/>
  <c r="O89" i="89"/>
  <c r="E79" i="89"/>
  <c r="G89" i="89" s="1"/>
  <c r="K89" i="89"/>
  <c r="E56" i="89"/>
  <c r="C89" i="89" s="1"/>
  <c r="O90" i="89"/>
  <c r="E80" i="89"/>
  <c r="G90" i="89" s="1"/>
  <c r="E57" i="89"/>
  <c r="C90" i="89" s="1"/>
  <c r="K90" i="89"/>
  <c r="E71" i="89"/>
  <c r="E91" i="89" s="1"/>
  <c r="M91" i="89"/>
  <c r="E82" i="89"/>
  <c r="G91" i="89" s="1"/>
  <c r="O91" i="89"/>
  <c r="E59" i="89"/>
  <c r="C91" i="89" s="1"/>
  <c r="K91" i="89"/>
  <c r="M90" i="89"/>
  <c r="E69" i="89"/>
  <c r="E90" i="89" s="1"/>
  <c r="CF89" i="25"/>
  <c r="CG89" i="25" s="1"/>
  <c r="CJ89" i="25" s="1"/>
  <c r="CB274" i="25"/>
  <c r="CF274" i="25" s="1"/>
  <c r="CG274" i="25" s="1"/>
  <c r="CJ274" i="25" s="1"/>
  <c r="CE274" i="25"/>
  <c r="CH274" i="25" s="1"/>
  <c r="CI274" i="25" s="1"/>
  <c r="CE507" i="25"/>
  <c r="CH507" i="25" s="1"/>
  <c r="CI507" i="25" s="1"/>
  <c r="CB39" i="25"/>
  <c r="CF39" i="25" s="1"/>
  <c r="CG39" i="25" s="1"/>
  <c r="CJ39" i="25" s="1"/>
  <c r="CE381" i="25"/>
  <c r="CH381" i="25" s="1"/>
  <c r="CI381" i="25" s="1"/>
  <c r="CE169" i="25"/>
  <c r="CH169" i="25" s="1"/>
  <c r="CI169" i="25" s="1"/>
  <c r="CF85" i="25"/>
  <c r="CG85" i="25" s="1"/>
  <c r="CJ85" i="25" s="1"/>
  <c r="CB104" i="25"/>
  <c r="CF104" i="25" s="1"/>
  <c r="CG104" i="25" s="1"/>
  <c r="CJ104" i="25" s="1"/>
  <c r="CF508" i="25"/>
  <c r="CG508" i="25" s="1"/>
  <c r="CJ508" i="25" s="1"/>
  <c r="CF202" i="25"/>
  <c r="CG202" i="25" s="1"/>
  <c r="CJ202" i="25" s="1"/>
  <c r="CE146" i="25"/>
  <c r="CH146" i="25" s="1"/>
  <c r="CI146" i="25" s="1"/>
  <c r="CE83" i="25"/>
  <c r="CH83" i="25" s="1"/>
  <c r="CI83" i="25" s="1"/>
  <c r="CF542" i="25"/>
  <c r="CG542" i="25" s="1"/>
  <c r="CJ542" i="25" s="1"/>
  <c r="CE256" i="25"/>
  <c r="CH256" i="25" s="1"/>
  <c r="CI256" i="25" s="1"/>
  <c r="CE45" i="25"/>
  <c r="CH45" i="25" s="1"/>
  <c r="CI45" i="25" s="1"/>
  <c r="CE528" i="25"/>
  <c r="CH528" i="25" s="1"/>
  <c r="CI528" i="25" s="1"/>
  <c r="CF160" i="25"/>
  <c r="CG160" i="25" s="1"/>
  <c r="CJ160" i="25" s="1"/>
  <c r="CF159" i="25"/>
  <c r="CG159" i="25" s="1"/>
  <c r="CJ159" i="25" s="1"/>
  <c r="CE532" i="25"/>
  <c r="CH532" i="25" s="1"/>
  <c r="CI532" i="25" s="1"/>
  <c r="CE171" i="25"/>
  <c r="CH171" i="25" s="1"/>
  <c r="CI171" i="25" s="1"/>
  <c r="CF8" i="25"/>
  <c r="CG8" i="25" s="1"/>
  <c r="CJ8" i="25" s="1"/>
  <c r="CF225" i="25"/>
  <c r="CG225" i="25" s="1"/>
  <c r="CJ225" i="25" s="1"/>
  <c r="CE40" i="25"/>
  <c r="CH40" i="25" s="1"/>
  <c r="CI40" i="25" s="1"/>
  <c r="CF532" i="25"/>
  <c r="CG532" i="25" s="1"/>
  <c r="CJ532" i="25" s="1"/>
  <c r="CE8" i="25"/>
  <c r="CH8" i="25" s="1"/>
  <c r="CI8" i="25" s="1"/>
  <c r="CB513" i="25"/>
  <c r="CF513" i="25" s="1"/>
  <c r="CG513" i="25" s="1"/>
  <c r="CJ513" i="25" s="1"/>
  <c r="CE513" i="25"/>
  <c r="CH513" i="25" s="1"/>
  <c r="CI513" i="25" s="1"/>
  <c r="CB111" i="25"/>
  <c r="CF111" i="25" s="1"/>
  <c r="CG111" i="25" s="1"/>
  <c r="CJ111" i="25" s="1"/>
  <c r="CE111" i="25"/>
  <c r="CH111" i="25" s="1"/>
  <c r="CI111" i="25" s="1"/>
  <c r="CE374" i="25"/>
  <c r="CH374" i="25" s="1"/>
  <c r="CI374" i="25" s="1"/>
  <c r="CB361" i="25"/>
  <c r="CF361" i="25" s="1"/>
  <c r="CG361" i="25" s="1"/>
  <c r="CJ361" i="25" s="1"/>
  <c r="CE339" i="25"/>
  <c r="CH339" i="25" s="1"/>
  <c r="CI339" i="25" s="1"/>
  <c r="CE271" i="25"/>
  <c r="CH271" i="25" s="1"/>
  <c r="CI271" i="25" s="1"/>
  <c r="CB245" i="25"/>
  <c r="CF245" i="25" s="1"/>
  <c r="CG245" i="25" s="1"/>
  <c r="CJ245" i="25" s="1"/>
  <c r="CF81" i="25"/>
  <c r="CG81" i="25" s="1"/>
  <c r="CJ81" i="25" s="1"/>
  <c r="CE335" i="25"/>
  <c r="CH335" i="25" s="1"/>
  <c r="CI335" i="25" s="1"/>
  <c r="CE227" i="25"/>
  <c r="CH227" i="25" s="1"/>
  <c r="CI227" i="25" s="1"/>
  <c r="CE135" i="25"/>
  <c r="CH135" i="25" s="1"/>
  <c r="CI135" i="25" s="1"/>
  <c r="CF109" i="25"/>
  <c r="CG109" i="25" s="1"/>
  <c r="CJ109" i="25" s="1"/>
  <c r="CB31" i="25"/>
  <c r="CF31" i="25" s="1"/>
  <c r="CG31" i="25" s="1"/>
  <c r="CJ31" i="25" s="1"/>
  <c r="CF526" i="25"/>
  <c r="CG526" i="25" s="1"/>
  <c r="CJ526" i="25" s="1"/>
  <c r="CB282" i="25"/>
  <c r="CF282" i="25" s="1"/>
  <c r="CG282" i="25" s="1"/>
  <c r="CJ282" i="25" s="1"/>
  <c r="CF73" i="25"/>
  <c r="CG73" i="25" s="1"/>
  <c r="CJ73" i="25" s="1"/>
  <c r="CF51" i="25"/>
  <c r="CG51" i="25" s="1"/>
  <c r="CJ51" i="25" s="1"/>
  <c r="CE56" i="25"/>
  <c r="CH56" i="25" s="1"/>
  <c r="CI56" i="25" s="1"/>
  <c r="CF388" i="25"/>
  <c r="CG388" i="25" s="1"/>
  <c r="CJ388" i="25" s="1"/>
  <c r="CF139" i="25"/>
  <c r="CG139" i="25" s="1"/>
  <c r="CJ139" i="25" s="1"/>
  <c r="CF363" i="25"/>
  <c r="CG363" i="25" s="1"/>
  <c r="CJ363" i="25" s="1"/>
  <c r="CF233" i="25"/>
  <c r="CG233" i="25" s="1"/>
  <c r="CJ233" i="25" s="1"/>
  <c r="CF101" i="25"/>
  <c r="CG101" i="25" s="1"/>
  <c r="CJ101" i="25" s="1"/>
  <c r="CE154" i="25"/>
  <c r="CH154" i="25" s="1"/>
  <c r="CI154" i="25" s="1"/>
  <c r="CE518" i="25"/>
  <c r="CH518" i="25" s="1"/>
  <c r="CI518" i="25" s="1"/>
  <c r="CF229" i="25"/>
  <c r="CG229" i="25" s="1"/>
  <c r="CJ229" i="25" s="1"/>
  <c r="CF287" i="25"/>
  <c r="CG287" i="25" s="1"/>
  <c r="CJ287" i="25" s="1"/>
  <c r="CF198" i="25"/>
  <c r="CG198" i="25" s="1"/>
  <c r="CJ198" i="25" s="1"/>
  <c r="CE385" i="25"/>
  <c r="CH385" i="25" s="1"/>
  <c r="CI385" i="25" s="1"/>
  <c r="CE170" i="25"/>
  <c r="CH170" i="25" s="1"/>
  <c r="CI170" i="25" s="1"/>
  <c r="CF117" i="25"/>
  <c r="CG117" i="25" s="1"/>
  <c r="CJ117" i="25" s="1"/>
  <c r="CF236" i="25"/>
  <c r="CG236" i="25" s="1"/>
  <c r="CJ236" i="25" s="1"/>
  <c r="CE52" i="25"/>
  <c r="CH52" i="25" s="1"/>
  <c r="CI52" i="25" s="1"/>
  <c r="CB50" i="25"/>
  <c r="CF50" i="25" s="1"/>
  <c r="CG50" i="25" s="1"/>
  <c r="CJ50" i="25" s="1"/>
  <c r="CE538" i="25"/>
  <c r="CH538" i="25" s="1"/>
  <c r="CI538" i="25" s="1"/>
  <c r="CF237" i="25"/>
  <c r="CG237" i="25" s="1"/>
  <c r="CJ237" i="25" s="1"/>
  <c r="CE204" i="25"/>
  <c r="CH204" i="25" s="1"/>
  <c r="CI204" i="25" s="1"/>
  <c r="CF113" i="25"/>
  <c r="CG113" i="25" s="1"/>
  <c r="CJ113" i="25" s="1"/>
  <c r="CB62" i="25"/>
  <c r="CF62" i="25" s="1"/>
  <c r="CG62" i="25" s="1"/>
  <c r="CJ62" i="25" s="1"/>
  <c r="CE103" i="25"/>
  <c r="CH103" i="25" s="1"/>
  <c r="CI103" i="25" s="1"/>
  <c r="CE327" i="25"/>
  <c r="CH327" i="25" s="1"/>
  <c r="CI327" i="25" s="1"/>
  <c r="CB310" i="25"/>
  <c r="CF310" i="25" s="1"/>
  <c r="CG310" i="25" s="1"/>
  <c r="CJ310" i="25" s="1"/>
  <c r="CE236" i="25"/>
  <c r="CH236" i="25" s="1"/>
  <c r="CI236" i="25" s="1"/>
  <c r="CB519" i="25"/>
  <c r="CF519" i="25" s="1"/>
  <c r="CG519" i="25" s="1"/>
  <c r="CJ519" i="25" s="1"/>
  <c r="CE212" i="25"/>
  <c r="CH212" i="25" s="1"/>
  <c r="CI212" i="25" s="1"/>
  <c r="CF105" i="25"/>
  <c r="CG105" i="25" s="1"/>
  <c r="CJ105" i="25" s="1"/>
  <c r="CE44" i="25"/>
  <c r="CH44" i="25" s="1"/>
  <c r="CI44" i="25" s="1"/>
  <c r="CF44" i="25"/>
  <c r="CG44" i="25" s="1"/>
  <c r="CJ44" i="25" s="1"/>
  <c r="CF376" i="25"/>
  <c r="CG376" i="25" s="1"/>
  <c r="CJ376" i="25" s="1"/>
  <c r="CE303" i="25"/>
  <c r="CH303" i="25" s="1"/>
  <c r="CI303" i="25" s="1"/>
  <c r="CE189" i="25"/>
  <c r="CH189" i="25" s="1"/>
  <c r="CI189" i="25" s="1"/>
  <c r="CE91" i="25"/>
  <c r="CH91" i="25" s="1"/>
  <c r="CI91" i="25" s="1"/>
  <c r="CE17" i="25"/>
  <c r="CH17" i="25" s="1"/>
  <c r="CI17" i="25" s="1"/>
  <c r="CE542" i="25"/>
  <c r="CH542" i="25" s="1"/>
  <c r="CI542" i="25" s="1"/>
  <c r="CE348" i="25"/>
  <c r="CH348" i="25" s="1"/>
  <c r="CI348" i="25" s="1"/>
  <c r="CF285" i="25"/>
  <c r="CG285" i="25" s="1"/>
  <c r="CJ285" i="25" s="1"/>
  <c r="CF162" i="25"/>
  <c r="CG162" i="25" s="1"/>
  <c r="CJ162" i="25" s="1"/>
  <c r="CF307" i="25"/>
  <c r="CG307" i="25" s="1"/>
  <c r="CJ307" i="25" s="1"/>
  <c r="CE259" i="25"/>
  <c r="CH259" i="25" s="1"/>
  <c r="CI259" i="25" s="1"/>
  <c r="CB203" i="25"/>
  <c r="CF203" i="25" s="1"/>
  <c r="CG203" i="25" s="1"/>
  <c r="CJ203" i="25" s="1"/>
  <c r="CE203" i="25"/>
  <c r="CH203" i="25" s="1"/>
  <c r="CI203" i="25" s="1"/>
  <c r="CB138" i="25"/>
  <c r="CF138" i="25" s="1"/>
  <c r="CG138" i="25" s="1"/>
  <c r="CJ138" i="25" s="1"/>
  <c r="CE138" i="25"/>
  <c r="CH138" i="25" s="1"/>
  <c r="CI138" i="25" s="1"/>
  <c r="CB213" i="25"/>
  <c r="CF213" i="25" s="1"/>
  <c r="CG213" i="25" s="1"/>
  <c r="CJ213" i="25" s="1"/>
  <c r="CE213" i="25"/>
  <c r="CH213" i="25" s="1"/>
  <c r="CI213" i="25" s="1"/>
  <c r="CB158" i="25"/>
  <c r="CF158" i="25" s="1"/>
  <c r="CG158" i="25" s="1"/>
  <c r="CJ158" i="25" s="1"/>
  <c r="CE158" i="25"/>
  <c r="CH158" i="25" s="1"/>
  <c r="CI158" i="25" s="1"/>
  <c r="CE516" i="25"/>
  <c r="CH516" i="25" s="1"/>
  <c r="CI516" i="25" s="1"/>
  <c r="CE196" i="25"/>
  <c r="CH196" i="25" s="1"/>
  <c r="CI196" i="25" s="1"/>
  <c r="CF539" i="25"/>
  <c r="CG539" i="25" s="1"/>
  <c r="CJ539" i="25" s="1"/>
  <c r="CE383" i="25"/>
  <c r="CH383" i="25" s="1"/>
  <c r="CI383" i="25" s="1"/>
  <c r="CE352" i="25"/>
  <c r="CH352" i="25" s="1"/>
  <c r="CI352" i="25" s="1"/>
  <c r="CF271" i="25"/>
  <c r="CG271" i="25" s="1"/>
  <c r="CJ271" i="25" s="1"/>
  <c r="CE164" i="25"/>
  <c r="CH164" i="25" s="1"/>
  <c r="CI164" i="25" s="1"/>
  <c r="CE522" i="25"/>
  <c r="CH522" i="25" s="1"/>
  <c r="CI522" i="25" s="1"/>
  <c r="CE539" i="25"/>
  <c r="CH539" i="25" s="1"/>
  <c r="CI539" i="25" s="1"/>
  <c r="CF382" i="25"/>
  <c r="CG382" i="25" s="1"/>
  <c r="CJ382" i="25" s="1"/>
  <c r="CF317" i="25"/>
  <c r="CG317" i="25" s="1"/>
  <c r="CJ317" i="25" s="1"/>
  <c r="CF283" i="25"/>
  <c r="CG283" i="25" s="1"/>
  <c r="CJ283" i="25" s="1"/>
  <c r="CF103" i="25"/>
  <c r="CG103" i="25" s="1"/>
  <c r="CJ103" i="25" s="1"/>
  <c r="CE388" i="25"/>
  <c r="CH388" i="25" s="1"/>
  <c r="CI388" i="25" s="1"/>
  <c r="CE357" i="25"/>
  <c r="CH357" i="25" s="1"/>
  <c r="CI357" i="25" s="1"/>
  <c r="CF275" i="25"/>
  <c r="CG275" i="25" s="1"/>
  <c r="CJ275" i="25" s="1"/>
  <c r="CE370" i="25"/>
  <c r="CH370" i="25" s="1"/>
  <c r="CI370" i="25" s="1"/>
  <c r="CE249" i="25"/>
  <c r="CH249" i="25" s="1"/>
  <c r="CI249" i="25" s="1"/>
  <c r="CE21" i="25"/>
  <c r="CH21" i="25" s="1"/>
  <c r="CI21" i="25" s="1"/>
  <c r="CE168" i="25"/>
  <c r="CH168" i="25" s="1"/>
  <c r="CI168" i="25" s="1"/>
  <c r="CF188" i="25"/>
  <c r="CG188" i="25" s="1"/>
  <c r="CJ188" i="25" s="1"/>
  <c r="CE77" i="25"/>
  <c r="CH77" i="25" s="1"/>
  <c r="CI77" i="25" s="1"/>
  <c r="CE33" i="25"/>
  <c r="CH33" i="25" s="1"/>
  <c r="CI33" i="25" s="1"/>
  <c r="CE543" i="25"/>
  <c r="CH543" i="25" s="1"/>
  <c r="CI543" i="25" s="1"/>
  <c r="CF206" i="25"/>
  <c r="CG206" i="25" s="1"/>
  <c r="CJ206" i="25" s="1"/>
  <c r="CE139" i="25"/>
  <c r="CH139" i="25" s="1"/>
  <c r="CI139" i="25" s="1"/>
  <c r="CE12" i="25"/>
  <c r="CH12" i="25" s="1"/>
  <c r="CI12" i="25" s="1"/>
  <c r="CE16" i="25"/>
  <c r="CH16" i="25" s="1"/>
  <c r="CI16" i="25" s="1"/>
  <c r="CE508" i="25"/>
  <c r="CH508" i="25" s="1"/>
  <c r="CI508" i="25" s="1"/>
  <c r="CE307" i="25"/>
  <c r="CH307" i="25" s="1"/>
  <c r="CI307" i="25" s="1"/>
  <c r="CB353" i="25"/>
  <c r="CF353" i="25" s="1"/>
  <c r="CG353" i="25" s="1"/>
  <c r="CJ353" i="25" s="1"/>
  <c r="CE353" i="25"/>
  <c r="CH353" i="25" s="1"/>
  <c r="CI353" i="25" s="1"/>
  <c r="CB199" i="25"/>
  <c r="CF199" i="25" s="1"/>
  <c r="CG199" i="25" s="1"/>
  <c r="CJ199" i="25" s="1"/>
  <c r="CE199" i="25"/>
  <c r="CH199" i="25" s="1"/>
  <c r="CI199" i="25" s="1"/>
  <c r="CB64" i="25"/>
  <c r="CF64" i="25" s="1"/>
  <c r="CG64" i="25" s="1"/>
  <c r="CJ64" i="25" s="1"/>
  <c r="CE64" i="25"/>
  <c r="CH64" i="25" s="1"/>
  <c r="CI64" i="25" s="1"/>
  <c r="CB349" i="25"/>
  <c r="CF349" i="25" s="1"/>
  <c r="CG349" i="25" s="1"/>
  <c r="CJ349" i="25" s="1"/>
  <c r="CE349" i="25"/>
  <c r="CH349" i="25" s="1"/>
  <c r="CI349" i="25" s="1"/>
  <c r="CB191" i="25"/>
  <c r="CF191" i="25" s="1"/>
  <c r="CG191" i="25" s="1"/>
  <c r="CJ191" i="25" s="1"/>
  <c r="CE191" i="25"/>
  <c r="CH191" i="25" s="1"/>
  <c r="CI191" i="25" s="1"/>
  <c r="CB97" i="25"/>
  <c r="CF97" i="25" s="1"/>
  <c r="CG97" i="25" s="1"/>
  <c r="CJ97" i="25" s="1"/>
  <c r="CE97" i="25"/>
  <c r="CH97" i="25" s="1"/>
  <c r="CI97" i="25" s="1"/>
  <c r="CB152" i="25"/>
  <c r="CF152" i="25" s="1"/>
  <c r="CG152" i="25" s="1"/>
  <c r="CJ152" i="25" s="1"/>
  <c r="CE152" i="25"/>
  <c r="CH152" i="25" s="1"/>
  <c r="CI152" i="25" s="1"/>
  <c r="CE384" i="25"/>
  <c r="CH384" i="25" s="1"/>
  <c r="CI384" i="25" s="1"/>
  <c r="CB384" i="25"/>
  <c r="CF384" i="25" s="1"/>
  <c r="CG384" i="25" s="1"/>
  <c r="CJ384" i="25" s="1"/>
  <c r="CB172" i="25"/>
  <c r="CF172" i="25" s="1"/>
  <c r="CG172" i="25" s="1"/>
  <c r="CJ172" i="25" s="1"/>
  <c r="CE172" i="25"/>
  <c r="CH172" i="25" s="1"/>
  <c r="CI172" i="25" s="1"/>
  <c r="CB182" i="25"/>
  <c r="CF182" i="25" s="1"/>
  <c r="CG182" i="25" s="1"/>
  <c r="CJ182" i="25" s="1"/>
  <c r="CE182" i="25"/>
  <c r="CH182" i="25" s="1"/>
  <c r="CI182" i="25" s="1"/>
  <c r="CB177" i="25"/>
  <c r="CF177" i="25" s="1"/>
  <c r="CG177" i="25" s="1"/>
  <c r="CJ177" i="25" s="1"/>
  <c r="CE177" i="25"/>
  <c r="CH177" i="25" s="1"/>
  <c r="CI177" i="25" s="1"/>
  <c r="CB344" i="25"/>
  <c r="CF344" i="25" s="1"/>
  <c r="CG344" i="25" s="1"/>
  <c r="CJ344" i="25" s="1"/>
  <c r="CE344" i="25"/>
  <c r="CH344" i="25" s="1"/>
  <c r="CI344" i="25" s="1"/>
  <c r="CB144" i="25"/>
  <c r="CF144" i="25" s="1"/>
  <c r="CG144" i="25" s="1"/>
  <c r="CJ144" i="25" s="1"/>
  <c r="CE144" i="25"/>
  <c r="CH144" i="25" s="1"/>
  <c r="CI144" i="25" s="1"/>
  <c r="CB288" i="25"/>
  <c r="CF288" i="25" s="1"/>
  <c r="CG288" i="25" s="1"/>
  <c r="CJ288" i="25" s="1"/>
  <c r="CE288" i="25"/>
  <c r="CH288" i="25" s="1"/>
  <c r="CI288" i="25" s="1"/>
  <c r="CB10" i="25"/>
  <c r="CF10" i="25" s="1"/>
  <c r="CG10" i="25" s="1"/>
  <c r="CJ10" i="25" s="1"/>
  <c r="CE10" i="25"/>
  <c r="CH10" i="25" s="1"/>
  <c r="CI10" i="25" s="1"/>
  <c r="CE318" i="25"/>
  <c r="CH318" i="25" s="1"/>
  <c r="CI318" i="25" s="1"/>
  <c r="CB318" i="25"/>
  <c r="CF318" i="25" s="1"/>
  <c r="CG318" i="25" s="1"/>
  <c r="CJ318" i="25" s="1"/>
  <c r="CB534" i="25"/>
  <c r="CF534" i="25" s="1"/>
  <c r="CG534" i="25" s="1"/>
  <c r="CJ534" i="25" s="1"/>
  <c r="CE534" i="25"/>
  <c r="CH534" i="25" s="1"/>
  <c r="CI534" i="25" s="1"/>
  <c r="CB506" i="25"/>
  <c r="CF506" i="25" s="1"/>
  <c r="CG506" i="25" s="1"/>
  <c r="CJ506" i="25" s="1"/>
  <c r="CE506" i="25"/>
  <c r="CH506" i="25" s="1"/>
  <c r="CI506" i="25" s="1"/>
  <c r="CB359" i="25"/>
  <c r="CF359" i="25" s="1"/>
  <c r="CG359" i="25" s="1"/>
  <c r="CJ359" i="25" s="1"/>
  <c r="CE359" i="25"/>
  <c r="CH359" i="25" s="1"/>
  <c r="CI359" i="25" s="1"/>
  <c r="CB210" i="25"/>
  <c r="CF210" i="25" s="1"/>
  <c r="CG210" i="25" s="1"/>
  <c r="CJ210" i="25" s="1"/>
  <c r="CE210" i="25"/>
  <c r="CH210" i="25" s="1"/>
  <c r="CI210" i="25" s="1"/>
  <c r="CE19" i="25"/>
  <c r="CH19" i="25" s="1"/>
  <c r="CI19" i="25" s="1"/>
  <c r="CB19" i="25"/>
  <c r="CF19" i="25" s="1"/>
  <c r="CG19" i="25" s="1"/>
  <c r="CJ19" i="25" s="1"/>
  <c r="CB106" i="25"/>
  <c r="CF106" i="25" s="1"/>
  <c r="CG106" i="25" s="1"/>
  <c r="CJ106" i="25" s="1"/>
  <c r="CE106" i="25"/>
  <c r="CH106" i="25" s="1"/>
  <c r="CI106" i="25" s="1"/>
  <c r="CB234" i="25"/>
  <c r="CF234" i="25" s="1"/>
  <c r="CG234" i="25" s="1"/>
  <c r="CJ234" i="25" s="1"/>
  <c r="CE234" i="25"/>
  <c r="CH234" i="25" s="1"/>
  <c r="CI234" i="25" s="1"/>
  <c r="CB207" i="25"/>
  <c r="CF207" i="25" s="1"/>
  <c r="CG207" i="25" s="1"/>
  <c r="CJ207" i="25" s="1"/>
  <c r="CE207" i="25"/>
  <c r="CH207" i="25" s="1"/>
  <c r="CI207" i="25" s="1"/>
  <c r="CB156" i="25"/>
  <c r="CF156" i="25" s="1"/>
  <c r="CG156" i="25" s="1"/>
  <c r="CJ156" i="25" s="1"/>
  <c r="CE156" i="25"/>
  <c r="CH156" i="25" s="1"/>
  <c r="CI156" i="25" s="1"/>
  <c r="CB334" i="25"/>
  <c r="CF334" i="25" s="1"/>
  <c r="CG334" i="25" s="1"/>
  <c r="CJ334" i="25" s="1"/>
  <c r="CE334" i="25"/>
  <c r="CH334" i="25" s="1"/>
  <c r="CI334" i="25" s="1"/>
  <c r="CE175" i="25"/>
  <c r="CH175" i="25" s="1"/>
  <c r="CI175" i="25" s="1"/>
  <c r="CB175" i="25"/>
  <c r="CF175" i="25" s="1"/>
  <c r="CG175" i="25" s="1"/>
  <c r="CJ175" i="25" s="1"/>
  <c r="CB187" i="25"/>
  <c r="CF187" i="25" s="1"/>
  <c r="CG187" i="25" s="1"/>
  <c r="CJ187" i="25" s="1"/>
  <c r="CE187" i="25"/>
  <c r="CH187" i="25" s="1"/>
  <c r="CI187" i="25" s="1"/>
  <c r="CE145" i="25"/>
  <c r="CH145" i="25" s="1"/>
  <c r="CI145" i="25" s="1"/>
  <c r="CB145" i="25"/>
  <c r="CF145" i="25" s="1"/>
  <c r="CG145" i="25" s="1"/>
  <c r="CJ145" i="25" s="1"/>
  <c r="CE54" i="25"/>
  <c r="CH54" i="25" s="1"/>
  <c r="CI54" i="25" s="1"/>
  <c r="CB54" i="25"/>
  <c r="CF54" i="25" s="1"/>
  <c r="CG54" i="25" s="1"/>
  <c r="CJ54" i="25" s="1"/>
  <c r="CE526" i="25"/>
  <c r="CH526" i="25" s="1"/>
  <c r="CI526" i="25" s="1"/>
  <c r="CF543" i="25"/>
  <c r="CG543" i="25" s="1"/>
  <c r="CJ543" i="25" s="1"/>
  <c r="CB527" i="25"/>
  <c r="CF527" i="25" s="1"/>
  <c r="CG527" i="25" s="1"/>
  <c r="CJ527" i="25" s="1"/>
  <c r="CE527" i="25"/>
  <c r="CH527" i="25" s="1"/>
  <c r="CI527" i="25" s="1"/>
  <c r="CE512" i="25"/>
  <c r="CH512" i="25" s="1"/>
  <c r="CI512" i="25" s="1"/>
  <c r="CE379" i="25"/>
  <c r="CH379" i="25" s="1"/>
  <c r="CI379" i="25" s="1"/>
  <c r="CE364" i="25"/>
  <c r="CH364" i="25" s="1"/>
  <c r="CI364" i="25" s="1"/>
  <c r="CB364" i="25"/>
  <c r="CF364" i="25" s="1"/>
  <c r="CG364" i="25" s="1"/>
  <c r="CJ364" i="25" s="1"/>
  <c r="CE314" i="25"/>
  <c r="CH314" i="25" s="1"/>
  <c r="CI314" i="25" s="1"/>
  <c r="CB314" i="25"/>
  <c r="CF314" i="25" s="1"/>
  <c r="CG314" i="25" s="1"/>
  <c r="CJ314" i="25" s="1"/>
  <c r="CE206" i="25"/>
  <c r="CH206" i="25" s="1"/>
  <c r="CI206" i="25" s="1"/>
  <c r="CE305" i="25"/>
  <c r="CH305" i="25" s="1"/>
  <c r="CI305" i="25" s="1"/>
  <c r="CB305" i="25"/>
  <c r="CF305" i="25" s="1"/>
  <c r="CG305" i="25" s="1"/>
  <c r="CJ305" i="25" s="1"/>
  <c r="CE315" i="25"/>
  <c r="CH315" i="25" s="1"/>
  <c r="CI315" i="25" s="1"/>
  <c r="CE317" i="25"/>
  <c r="CH317" i="25" s="1"/>
  <c r="CI317" i="25" s="1"/>
  <c r="CE279" i="25"/>
  <c r="CH279" i="25" s="1"/>
  <c r="CI279" i="25" s="1"/>
  <c r="CB258" i="25"/>
  <c r="CF258" i="25" s="1"/>
  <c r="CG258" i="25" s="1"/>
  <c r="CJ258" i="25" s="1"/>
  <c r="CE258" i="25"/>
  <c r="CH258" i="25" s="1"/>
  <c r="CI258" i="25" s="1"/>
  <c r="CE275" i="25"/>
  <c r="CH275" i="25" s="1"/>
  <c r="CI275" i="25" s="1"/>
  <c r="CE257" i="25"/>
  <c r="CH257" i="25" s="1"/>
  <c r="CI257" i="25" s="1"/>
  <c r="CE211" i="25"/>
  <c r="CH211" i="25" s="1"/>
  <c r="CI211" i="25" s="1"/>
  <c r="CB211" i="25"/>
  <c r="CF211" i="25" s="1"/>
  <c r="CG211" i="25" s="1"/>
  <c r="CJ211" i="25" s="1"/>
  <c r="CE193" i="25"/>
  <c r="CH193" i="25" s="1"/>
  <c r="CI193" i="25" s="1"/>
  <c r="CB193" i="25"/>
  <c r="CF193" i="25" s="1"/>
  <c r="CG193" i="25" s="1"/>
  <c r="CJ193" i="25" s="1"/>
  <c r="CE159" i="25"/>
  <c r="CH159" i="25" s="1"/>
  <c r="CI159" i="25" s="1"/>
  <c r="CE151" i="25"/>
  <c r="CH151" i="25" s="1"/>
  <c r="CI151" i="25" s="1"/>
  <c r="CB98" i="25"/>
  <c r="CF98" i="25" s="1"/>
  <c r="CG98" i="25" s="1"/>
  <c r="CJ98" i="25" s="1"/>
  <c r="CE98" i="25"/>
  <c r="CH98" i="25" s="1"/>
  <c r="CI98" i="25" s="1"/>
  <c r="CE78" i="25"/>
  <c r="CH78" i="25" s="1"/>
  <c r="CI78" i="25" s="1"/>
  <c r="CB78" i="25"/>
  <c r="CF78" i="25" s="1"/>
  <c r="CG78" i="25" s="1"/>
  <c r="CJ78" i="25" s="1"/>
  <c r="CE127" i="25"/>
  <c r="CH127" i="25" s="1"/>
  <c r="CI127" i="25" s="1"/>
  <c r="CE120" i="25"/>
  <c r="CH120" i="25" s="1"/>
  <c r="CI120" i="25" s="1"/>
  <c r="CE265" i="25"/>
  <c r="CH265" i="25" s="1"/>
  <c r="CI265" i="25" s="1"/>
  <c r="CE143" i="25"/>
  <c r="CH143" i="25" s="1"/>
  <c r="CI143" i="25" s="1"/>
  <c r="CB148" i="25"/>
  <c r="CF148" i="25" s="1"/>
  <c r="CG148" i="25" s="1"/>
  <c r="CJ148" i="25" s="1"/>
  <c r="CE148" i="25"/>
  <c r="CH148" i="25" s="1"/>
  <c r="CI148" i="25" s="1"/>
  <c r="CE87" i="25"/>
  <c r="CH87" i="25" s="1"/>
  <c r="CI87" i="25" s="1"/>
  <c r="CE30" i="25"/>
  <c r="CH30" i="25" s="1"/>
  <c r="CI30" i="25" s="1"/>
  <c r="CB30" i="25"/>
  <c r="CF30" i="25" s="1"/>
  <c r="CG30" i="25" s="1"/>
  <c r="CJ30" i="25" s="1"/>
  <c r="CE81" i="25"/>
  <c r="CH81" i="25" s="1"/>
  <c r="CI81" i="25" s="1"/>
  <c r="CE43" i="25"/>
  <c r="CH43" i="25" s="1"/>
  <c r="CI43" i="25" s="1"/>
  <c r="CB43" i="25"/>
  <c r="CF43" i="25" s="1"/>
  <c r="CG43" i="25" s="1"/>
  <c r="CJ43" i="25" s="1"/>
  <c r="CB239" i="25"/>
  <c r="CF239" i="25" s="1"/>
  <c r="CG239" i="25" s="1"/>
  <c r="CJ239" i="25" s="1"/>
  <c r="CE239" i="25"/>
  <c r="CH239" i="25" s="1"/>
  <c r="CI239" i="25" s="1"/>
  <c r="CB342" i="25"/>
  <c r="CF342" i="25" s="1"/>
  <c r="CG342" i="25" s="1"/>
  <c r="CJ342" i="25" s="1"/>
  <c r="CE342" i="25"/>
  <c r="CH342" i="25" s="1"/>
  <c r="CI342" i="25" s="1"/>
  <c r="CE363" i="25"/>
  <c r="CH363" i="25" s="1"/>
  <c r="CI363" i="25" s="1"/>
  <c r="CB293" i="25"/>
  <c r="CF293" i="25" s="1"/>
  <c r="CG293" i="25" s="1"/>
  <c r="CJ293" i="25" s="1"/>
  <c r="CE293" i="25"/>
  <c r="CH293" i="25" s="1"/>
  <c r="CI293" i="25" s="1"/>
  <c r="CE302" i="25"/>
  <c r="CH302" i="25" s="1"/>
  <c r="CI302" i="25" s="1"/>
  <c r="CB302" i="25"/>
  <c r="CF302" i="25" s="1"/>
  <c r="CG302" i="25" s="1"/>
  <c r="CJ302" i="25" s="1"/>
  <c r="CF281" i="25"/>
  <c r="CG281" i="25" s="1"/>
  <c r="CJ281" i="25" s="1"/>
  <c r="CB254" i="25"/>
  <c r="CF254" i="25" s="1"/>
  <c r="CG254" i="25" s="1"/>
  <c r="CJ254" i="25" s="1"/>
  <c r="CE254" i="25"/>
  <c r="CH254" i="25" s="1"/>
  <c r="CI254" i="25" s="1"/>
  <c r="CE298" i="25"/>
  <c r="CH298" i="25" s="1"/>
  <c r="CI298" i="25" s="1"/>
  <c r="CB298" i="25"/>
  <c r="CF298" i="25" s="1"/>
  <c r="CG298" i="25" s="1"/>
  <c r="CJ298" i="25" s="1"/>
  <c r="CB272" i="25"/>
  <c r="CF272" i="25" s="1"/>
  <c r="CG272" i="25" s="1"/>
  <c r="CJ272" i="25" s="1"/>
  <c r="CE272" i="25"/>
  <c r="CH272" i="25" s="1"/>
  <c r="CI272" i="25" s="1"/>
  <c r="CE296" i="25"/>
  <c r="CH296" i="25" s="1"/>
  <c r="CI296" i="25" s="1"/>
  <c r="CB195" i="25"/>
  <c r="CF195" i="25" s="1"/>
  <c r="CG195" i="25" s="1"/>
  <c r="CJ195" i="25" s="1"/>
  <c r="CE195" i="25"/>
  <c r="CH195" i="25" s="1"/>
  <c r="CI195" i="25" s="1"/>
  <c r="CF176" i="25"/>
  <c r="CG176" i="25" s="1"/>
  <c r="CJ176" i="25" s="1"/>
  <c r="CB209" i="25"/>
  <c r="CF209" i="25" s="1"/>
  <c r="CG209" i="25" s="1"/>
  <c r="CJ209" i="25" s="1"/>
  <c r="CE209" i="25"/>
  <c r="CH209" i="25" s="1"/>
  <c r="CI209" i="25" s="1"/>
  <c r="CE178" i="25"/>
  <c r="CH178" i="25" s="1"/>
  <c r="CI178" i="25" s="1"/>
  <c r="CE176" i="25"/>
  <c r="CH176" i="25" s="1"/>
  <c r="CI176" i="25" s="1"/>
  <c r="CE165" i="25"/>
  <c r="CH165" i="25" s="1"/>
  <c r="CI165" i="25" s="1"/>
  <c r="CB165" i="25"/>
  <c r="CF165" i="25" s="1"/>
  <c r="CG165" i="25" s="1"/>
  <c r="CJ165" i="25" s="1"/>
  <c r="CB110" i="25"/>
  <c r="CF110" i="25" s="1"/>
  <c r="CG110" i="25" s="1"/>
  <c r="CJ110" i="25" s="1"/>
  <c r="CE110" i="25"/>
  <c r="CH110" i="25" s="1"/>
  <c r="CI110" i="25" s="1"/>
  <c r="CE128" i="25"/>
  <c r="CH128" i="25" s="1"/>
  <c r="CI128" i="25" s="1"/>
  <c r="CB112" i="25"/>
  <c r="CF112" i="25" s="1"/>
  <c r="CG112" i="25" s="1"/>
  <c r="CJ112" i="25" s="1"/>
  <c r="CE112" i="25"/>
  <c r="CH112" i="25" s="1"/>
  <c r="CI112" i="25" s="1"/>
  <c r="CE117" i="25"/>
  <c r="CH117" i="25" s="1"/>
  <c r="CI117" i="25" s="1"/>
  <c r="CE23" i="25"/>
  <c r="CH23" i="25" s="1"/>
  <c r="CI23" i="25" s="1"/>
  <c r="CB23" i="25"/>
  <c r="CF23" i="25" s="1"/>
  <c r="CG23" i="25" s="1"/>
  <c r="CJ23" i="25" s="1"/>
  <c r="CE101" i="25"/>
  <c r="CH101" i="25" s="1"/>
  <c r="CI101" i="25" s="1"/>
  <c r="CE113" i="25"/>
  <c r="CH113" i="25" s="1"/>
  <c r="CI113" i="25" s="1"/>
  <c r="CB70" i="25"/>
  <c r="CF70" i="25" s="1"/>
  <c r="CG70" i="25" s="1"/>
  <c r="CJ70" i="25" s="1"/>
  <c r="CE70" i="25"/>
  <c r="CH70" i="25" s="1"/>
  <c r="CI70" i="25" s="1"/>
  <c r="CE105" i="25"/>
  <c r="CH105" i="25" s="1"/>
  <c r="CI105" i="25" s="1"/>
  <c r="CE57" i="25"/>
  <c r="CH57" i="25" s="1"/>
  <c r="CI57" i="25" s="1"/>
  <c r="CB57" i="25"/>
  <c r="CF57" i="25" s="1"/>
  <c r="CG57" i="25" s="1"/>
  <c r="CJ57" i="25" s="1"/>
  <c r="CE49" i="25"/>
  <c r="CH49" i="25" s="1"/>
  <c r="CI49" i="25" s="1"/>
  <c r="CB49" i="25"/>
  <c r="CF49" i="25" s="1"/>
  <c r="CG49" i="25" s="1"/>
  <c r="CJ49" i="25" s="1"/>
  <c r="CE42" i="25"/>
  <c r="CH42" i="25" s="1"/>
  <c r="CI42" i="25" s="1"/>
  <c r="CB42" i="25"/>
  <c r="CF42" i="25" s="1"/>
  <c r="CG42" i="25" s="1"/>
  <c r="CJ42" i="25" s="1"/>
  <c r="CE93" i="25"/>
  <c r="CH93" i="25" s="1"/>
  <c r="CI93" i="25" s="1"/>
  <c r="CE73" i="25"/>
  <c r="CH73" i="25" s="1"/>
  <c r="CI73" i="25" s="1"/>
  <c r="CB14" i="25"/>
  <c r="CF14" i="25" s="1"/>
  <c r="CG14" i="25" s="1"/>
  <c r="CJ14" i="25" s="1"/>
  <c r="CE14" i="25"/>
  <c r="CH14" i="25" s="1"/>
  <c r="CI14" i="25" s="1"/>
  <c r="CB380" i="25"/>
  <c r="CF380" i="25" s="1"/>
  <c r="CG380" i="25" s="1"/>
  <c r="CJ380" i="25" s="1"/>
  <c r="CE380" i="25"/>
  <c r="CH380" i="25" s="1"/>
  <c r="CI380" i="25" s="1"/>
  <c r="CE328" i="25"/>
  <c r="CH328" i="25" s="1"/>
  <c r="CI328" i="25" s="1"/>
  <c r="CB328" i="25"/>
  <c r="CF328" i="25" s="1"/>
  <c r="CG328" i="25" s="1"/>
  <c r="CJ328" i="25" s="1"/>
  <c r="CE27" i="25"/>
  <c r="CH27" i="25" s="1"/>
  <c r="CI27" i="25" s="1"/>
  <c r="CB27" i="25"/>
  <c r="CF27" i="25" s="1"/>
  <c r="CG27" i="25" s="1"/>
  <c r="CJ27" i="25" s="1"/>
  <c r="CE509" i="25"/>
  <c r="CH509" i="25" s="1"/>
  <c r="CI509" i="25" s="1"/>
  <c r="CB509" i="25"/>
  <c r="CF509" i="25" s="1"/>
  <c r="CG509" i="25" s="1"/>
  <c r="CJ509" i="25" s="1"/>
  <c r="CE530" i="25"/>
  <c r="CH530" i="25" s="1"/>
  <c r="CI530" i="25" s="1"/>
  <c r="CB530" i="25"/>
  <c r="CF530" i="25" s="1"/>
  <c r="CG530" i="25" s="1"/>
  <c r="CJ530" i="25" s="1"/>
  <c r="CB514" i="25"/>
  <c r="CF514" i="25" s="1"/>
  <c r="CG514" i="25" s="1"/>
  <c r="CJ514" i="25" s="1"/>
  <c r="CE514" i="25"/>
  <c r="CH514" i="25" s="1"/>
  <c r="CI514" i="25" s="1"/>
  <c r="CE389" i="25"/>
  <c r="CH389" i="25" s="1"/>
  <c r="CI389" i="25" s="1"/>
  <c r="CB389" i="25"/>
  <c r="CF389" i="25" s="1"/>
  <c r="CG389" i="25" s="1"/>
  <c r="CJ389" i="25" s="1"/>
  <c r="CB375" i="25"/>
  <c r="CF375" i="25" s="1"/>
  <c r="CG375" i="25" s="1"/>
  <c r="CJ375" i="25" s="1"/>
  <c r="CE375" i="25"/>
  <c r="CH375" i="25" s="1"/>
  <c r="CI375" i="25" s="1"/>
  <c r="CB371" i="25"/>
  <c r="CF371" i="25" s="1"/>
  <c r="CG371" i="25" s="1"/>
  <c r="CJ371" i="25" s="1"/>
  <c r="CE371" i="25"/>
  <c r="CH371" i="25" s="1"/>
  <c r="CI371" i="25" s="1"/>
  <c r="CB365" i="25"/>
  <c r="CF365" i="25" s="1"/>
  <c r="CG365" i="25" s="1"/>
  <c r="CJ365" i="25" s="1"/>
  <c r="CE365" i="25"/>
  <c r="CH365" i="25" s="1"/>
  <c r="CI365" i="25" s="1"/>
  <c r="CF374" i="25"/>
  <c r="CG374" i="25" s="1"/>
  <c r="CJ374" i="25" s="1"/>
  <c r="CB329" i="25"/>
  <c r="CF329" i="25" s="1"/>
  <c r="CG329" i="25" s="1"/>
  <c r="CJ329" i="25" s="1"/>
  <c r="CE329" i="25"/>
  <c r="CH329" i="25" s="1"/>
  <c r="CI329" i="25" s="1"/>
  <c r="CE356" i="25"/>
  <c r="CH356" i="25" s="1"/>
  <c r="CI356" i="25" s="1"/>
  <c r="CE376" i="25"/>
  <c r="CH376" i="25" s="1"/>
  <c r="CI376" i="25" s="1"/>
  <c r="CE336" i="25"/>
  <c r="CH336" i="25" s="1"/>
  <c r="CI336" i="25" s="1"/>
  <c r="CF289" i="25"/>
  <c r="CG289" i="25" s="1"/>
  <c r="CJ289" i="25" s="1"/>
  <c r="CE299" i="25"/>
  <c r="CH299" i="25" s="1"/>
  <c r="CI299" i="25" s="1"/>
  <c r="CB284" i="25"/>
  <c r="CF284" i="25" s="1"/>
  <c r="CG284" i="25" s="1"/>
  <c r="CJ284" i="25" s="1"/>
  <c r="CE284" i="25"/>
  <c r="CH284" i="25" s="1"/>
  <c r="CI284" i="25" s="1"/>
  <c r="CB280" i="25"/>
  <c r="CF280" i="25" s="1"/>
  <c r="CG280" i="25" s="1"/>
  <c r="CJ280" i="25" s="1"/>
  <c r="CE280" i="25"/>
  <c r="CH280" i="25" s="1"/>
  <c r="CI280" i="25" s="1"/>
  <c r="CF268" i="25"/>
  <c r="CG268" i="25" s="1"/>
  <c r="CJ268" i="25" s="1"/>
  <c r="CE289" i="25"/>
  <c r="CH289" i="25" s="1"/>
  <c r="CI289" i="25" s="1"/>
  <c r="CF265" i="25"/>
  <c r="CG265" i="25" s="1"/>
  <c r="CJ265" i="25" s="1"/>
  <c r="CE238" i="25"/>
  <c r="CH238" i="25" s="1"/>
  <c r="CI238" i="25" s="1"/>
  <c r="CB238" i="25"/>
  <c r="CF238" i="25" s="1"/>
  <c r="CG238" i="25" s="1"/>
  <c r="CJ238" i="25" s="1"/>
  <c r="CE185" i="25"/>
  <c r="CH185" i="25" s="1"/>
  <c r="CI185" i="25" s="1"/>
  <c r="CB185" i="25"/>
  <c r="CF185" i="25" s="1"/>
  <c r="CG185" i="25" s="1"/>
  <c r="CJ185" i="25" s="1"/>
  <c r="CE192" i="25"/>
  <c r="CH192" i="25" s="1"/>
  <c r="CI192" i="25" s="1"/>
  <c r="CF128" i="25"/>
  <c r="CG128" i="25" s="1"/>
  <c r="CJ128" i="25" s="1"/>
  <c r="CE157" i="25"/>
  <c r="CH157" i="25" s="1"/>
  <c r="CI157" i="25" s="1"/>
  <c r="CB157" i="25"/>
  <c r="CF157" i="25" s="1"/>
  <c r="CG157" i="25" s="1"/>
  <c r="CJ157" i="25" s="1"/>
  <c r="CE141" i="25"/>
  <c r="CH141" i="25" s="1"/>
  <c r="CI141" i="25" s="1"/>
  <c r="CB141" i="25"/>
  <c r="CF141" i="25" s="1"/>
  <c r="CG141" i="25" s="1"/>
  <c r="CJ141" i="25" s="1"/>
  <c r="CE126" i="25"/>
  <c r="CH126" i="25" s="1"/>
  <c r="CI126" i="25" s="1"/>
  <c r="CB126" i="25"/>
  <c r="CF126" i="25" s="1"/>
  <c r="CG126" i="25" s="1"/>
  <c r="CJ126" i="25" s="1"/>
  <c r="CE194" i="25"/>
  <c r="CH194" i="25" s="1"/>
  <c r="CI194" i="25" s="1"/>
  <c r="CB163" i="25"/>
  <c r="CF163" i="25" s="1"/>
  <c r="CG163" i="25" s="1"/>
  <c r="CJ163" i="25" s="1"/>
  <c r="CE163" i="25"/>
  <c r="CH163" i="25" s="1"/>
  <c r="CI163" i="25" s="1"/>
  <c r="CE166" i="25"/>
  <c r="CH166" i="25" s="1"/>
  <c r="CI166" i="25" s="1"/>
  <c r="CE124" i="25"/>
  <c r="CH124" i="25" s="1"/>
  <c r="CI124" i="25" s="1"/>
  <c r="CB94" i="25"/>
  <c r="CF94" i="25" s="1"/>
  <c r="CG94" i="25" s="1"/>
  <c r="CJ94" i="25" s="1"/>
  <c r="CE94" i="25"/>
  <c r="CH94" i="25" s="1"/>
  <c r="CI94" i="25" s="1"/>
  <c r="CE147" i="25"/>
  <c r="CH147" i="25" s="1"/>
  <c r="CI147" i="25" s="1"/>
  <c r="CB125" i="25"/>
  <c r="CF125" i="25" s="1"/>
  <c r="CG125" i="25" s="1"/>
  <c r="CJ125" i="25" s="1"/>
  <c r="CE125" i="25"/>
  <c r="CH125" i="25" s="1"/>
  <c r="CI125" i="25" s="1"/>
  <c r="CE253" i="25"/>
  <c r="CH253" i="25" s="1"/>
  <c r="CI253" i="25" s="1"/>
  <c r="CE85" i="25"/>
  <c r="CH85" i="25" s="1"/>
  <c r="CI85" i="25" s="1"/>
  <c r="CE95" i="25"/>
  <c r="CH95" i="25" s="1"/>
  <c r="CI95" i="25" s="1"/>
  <c r="CE34" i="25"/>
  <c r="CH34" i="25" s="1"/>
  <c r="CI34" i="25" s="1"/>
  <c r="CB34" i="25"/>
  <c r="CF34" i="25" s="1"/>
  <c r="CG34" i="25" s="1"/>
  <c r="CJ34" i="25" s="1"/>
  <c r="CE22" i="25"/>
  <c r="CH22" i="25" s="1"/>
  <c r="CI22" i="25" s="1"/>
  <c r="CB22" i="25"/>
  <c r="CF22" i="25" s="1"/>
  <c r="CG22" i="25" s="1"/>
  <c r="CJ22" i="25" s="1"/>
  <c r="CE72" i="25"/>
  <c r="CH72" i="25" s="1"/>
  <c r="CI72" i="25" s="1"/>
  <c r="CB72" i="25"/>
  <c r="CF72" i="25" s="1"/>
  <c r="CG72" i="25" s="1"/>
  <c r="CJ72" i="25" s="1"/>
  <c r="CE58" i="25"/>
  <c r="CH58" i="25" s="1"/>
  <c r="CI58" i="25" s="1"/>
  <c r="CB58" i="25"/>
  <c r="CF58" i="25" s="1"/>
  <c r="CG58" i="25" s="1"/>
  <c r="CJ58" i="25" s="1"/>
  <c r="CE41" i="25"/>
  <c r="CH41" i="25" s="1"/>
  <c r="CI41" i="25" s="1"/>
  <c r="CE337" i="25"/>
  <c r="CH337" i="25" s="1"/>
  <c r="CI337" i="25" s="1"/>
  <c r="CB337" i="25"/>
  <c r="CF337" i="25" s="1"/>
  <c r="CG337" i="25" s="1"/>
  <c r="CJ337" i="25" s="1"/>
  <c r="CE535" i="25"/>
  <c r="CH535" i="25" s="1"/>
  <c r="CI535" i="25" s="1"/>
  <c r="CB535" i="25"/>
  <c r="CF535" i="25" s="1"/>
  <c r="CG535" i="25" s="1"/>
  <c r="CJ535" i="25" s="1"/>
  <c r="CF386" i="25"/>
  <c r="CG386" i="25" s="1"/>
  <c r="CJ386" i="25" s="1"/>
  <c r="CE520" i="25"/>
  <c r="CH520" i="25" s="1"/>
  <c r="CI520" i="25" s="1"/>
  <c r="CB373" i="25"/>
  <c r="CF373" i="25" s="1"/>
  <c r="CG373" i="25" s="1"/>
  <c r="CJ373" i="25" s="1"/>
  <c r="CE373" i="25"/>
  <c r="CH373" i="25" s="1"/>
  <c r="CI373" i="25" s="1"/>
  <c r="CF370" i="25"/>
  <c r="CG370" i="25" s="1"/>
  <c r="CJ370" i="25" s="1"/>
  <c r="CF356" i="25"/>
  <c r="CG356" i="25" s="1"/>
  <c r="CJ356" i="25" s="1"/>
  <c r="CB350" i="25"/>
  <c r="CF350" i="25" s="1"/>
  <c r="CG350" i="25" s="1"/>
  <c r="CJ350" i="25" s="1"/>
  <c r="CE350" i="25"/>
  <c r="CH350" i="25" s="1"/>
  <c r="CI350" i="25" s="1"/>
  <c r="CE309" i="25"/>
  <c r="CH309" i="25" s="1"/>
  <c r="CI309" i="25" s="1"/>
  <c r="CB309" i="25"/>
  <c r="CF309" i="25" s="1"/>
  <c r="CG309" i="25" s="1"/>
  <c r="CJ309" i="25" s="1"/>
  <c r="CE301" i="25"/>
  <c r="CH301" i="25" s="1"/>
  <c r="CI301" i="25" s="1"/>
  <c r="CB301" i="25"/>
  <c r="CF301" i="25" s="1"/>
  <c r="CG301" i="25" s="1"/>
  <c r="CJ301" i="25" s="1"/>
  <c r="CE316" i="25"/>
  <c r="CH316" i="25" s="1"/>
  <c r="CI316" i="25" s="1"/>
  <c r="CE311" i="25"/>
  <c r="CH311" i="25" s="1"/>
  <c r="CI311" i="25" s="1"/>
  <c r="CE277" i="25"/>
  <c r="CH277" i="25" s="1"/>
  <c r="CI277" i="25" s="1"/>
  <c r="CB277" i="25"/>
  <c r="CF277" i="25" s="1"/>
  <c r="CG277" i="25" s="1"/>
  <c r="CJ277" i="25" s="1"/>
  <c r="CB250" i="25"/>
  <c r="CF250" i="25" s="1"/>
  <c r="CG250" i="25" s="1"/>
  <c r="CJ250" i="25" s="1"/>
  <c r="CE250" i="25"/>
  <c r="CH250" i="25" s="1"/>
  <c r="CI250" i="25" s="1"/>
  <c r="CB222" i="25"/>
  <c r="CF222" i="25" s="1"/>
  <c r="CG222" i="25" s="1"/>
  <c r="CJ222" i="25" s="1"/>
  <c r="CE222" i="25"/>
  <c r="CH222" i="25" s="1"/>
  <c r="CI222" i="25" s="1"/>
  <c r="CE201" i="25"/>
  <c r="CH201" i="25" s="1"/>
  <c r="CI201" i="25" s="1"/>
  <c r="CB201" i="25"/>
  <c r="CF201" i="25" s="1"/>
  <c r="CG201" i="25" s="1"/>
  <c r="CJ201" i="25" s="1"/>
  <c r="CE198" i="25"/>
  <c r="CH198" i="25" s="1"/>
  <c r="CI198" i="25" s="1"/>
  <c r="CE208" i="25"/>
  <c r="CH208" i="25" s="1"/>
  <c r="CI208" i="25" s="1"/>
  <c r="CE161" i="25"/>
  <c r="CH161" i="25" s="1"/>
  <c r="CI161" i="25" s="1"/>
  <c r="CB161" i="25"/>
  <c r="CF161" i="25" s="1"/>
  <c r="CG161" i="25" s="1"/>
  <c r="CJ161" i="25" s="1"/>
  <c r="CF124" i="25"/>
  <c r="CG124" i="25" s="1"/>
  <c r="CJ124" i="25" s="1"/>
  <c r="CE202" i="25"/>
  <c r="CH202" i="25" s="1"/>
  <c r="CI202" i="25" s="1"/>
  <c r="CE186" i="25"/>
  <c r="CH186" i="25" s="1"/>
  <c r="CI186" i="25" s="1"/>
  <c r="CE122" i="25"/>
  <c r="CH122" i="25" s="1"/>
  <c r="CI122" i="25" s="1"/>
  <c r="CB122" i="25"/>
  <c r="CF122" i="25" s="1"/>
  <c r="CG122" i="25" s="1"/>
  <c r="CJ122" i="25" s="1"/>
  <c r="CF93" i="25"/>
  <c r="CG93" i="25" s="1"/>
  <c r="CJ93" i="25" s="1"/>
  <c r="CF174" i="25"/>
  <c r="CG174" i="25" s="1"/>
  <c r="CJ174" i="25" s="1"/>
  <c r="CE155" i="25"/>
  <c r="CH155" i="25" s="1"/>
  <c r="CI155" i="25" s="1"/>
  <c r="CE123" i="25"/>
  <c r="CH123" i="25" s="1"/>
  <c r="CI123" i="25" s="1"/>
  <c r="CE69" i="25"/>
  <c r="CH69" i="25" s="1"/>
  <c r="CI69" i="25" s="1"/>
  <c r="CE89" i="25"/>
  <c r="CH89" i="25" s="1"/>
  <c r="CI89" i="25" s="1"/>
  <c r="CE29" i="25"/>
  <c r="CH29" i="25" s="1"/>
  <c r="CI29" i="25" s="1"/>
  <c r="CE66" i="25"/>
  <c r="CH66" i="25" s="1"/>
  <c r="CI66" i="25" s="1"/>
  <c r="CE28" i="25"/>
  <c r="CH28" i="25" s="1"/>
  <c r="CI28" i="25" s="1"/>
  <c r="CE13" i="25"/>
  <c r="CH13" i="25" s="1"/>
  <c r="CI13" i="25" s="1"/>
  <c r="CB140" i="25"/>
  <c r="CF140" i="25" s="1"/>
  <c r="CG140" i="25" s="1"/>
  <c r="CJ140" i="25" s="1"/>
  <c r="CE140" i="25"/>
  <c r="CH140" i="25" s="1"/>
  <c r="CI140" i="25" s="1"/>
  <c r="CE76" i="25"/>
  <c r="CH76" i="25" s="1"/>
  <c r="CI76" i="25" s="1"/>
  <c r="CB76" i="25"/>
  <c r="CF76" i="25" s="1"/>
  <c r="CG76" i="25" s="1"/>
  <c r="CJ76" i="25" s="1"/>
  <c r="CB540" i="25"/>
  <c r="CF540" i="25" s="1"/>
  <c r="CG540" i="25" s="1"/>
  <c r="CJ540" i="25" s="1"/>
  <c r="CE540" i="25"/>
  <c r="CH540" i="25" s="1"/>
  <c r="CI540" i="25" s="1"/>
  <c r="CE531" i="25"/>
  <c r="CH531" i="25" s="1"/>
  <c r="CI531" i="25" s="1"/>
  <c r="CB531" i="25"/>
  <c r="CF531" i="25" s="1"/>
  <c r="CG531" i="25" s="1"/>
  <c r="CJ531" i="25" s="1"/>
  <c r="CE505" i="25"/>
  <c r="CH505" i="25" s="1"/>
  <c r="CI505" i="25" s="1"/>
  <c r="CB505" i="25"/>
  <c r="CF505" i="25" s="1"/>
  <c r="CG505" i="25" s="1"/>
  <c r="CJ505" i="25" s="1"/>
  <c r="CB325" i="25"/>
  <c r="CF325" i="25" s="1"/>
  <c r="CG325" i="25" s="1"/>
  <c r="CJ325" i="25" s="1"/>
  <c r="CE325" i="25"/>
  <c r="CH325" i="25" s="1"/>
  <c r="CI325" i="25" s="1"/>
  <c r="CB354" i="25"/>
  <c r="CF354" i="25" s="1"/>
  <c r="CG354" i="25" s="1"/>
  <c r="CJ354" i="25" s="1"/>
  <c r="CE354" i="25"/>
  <c r="CH354" i="25" s="1"/>
  <c r="CI354" i="25" s="1"/>
  <c r="CE341" i="25"/>
  <c r="CH341" i="25" s="1"/>
  <c r="CI341" i="25" s="1"/>
  <c r="CB341" i="25"/>
  <c r="CF341" i="25" s="1"/>
  <c r="CG341" i="25" s="1"/>
  <c r="CJ341" i="25" s="1"/>
  <c r="CE332" i="25"/>
  <c r="CH332" i="25" s="1"/>
  <c r="CI332" i="25" s="1"/>
  <c r="CB332" i="25"/>
  <c r="CF332" i="25" s="1"/>
  <c r="CG332" i="25" s="1"/>
  <c r="CJ332" i="25" s="1"/>
  <c r="CE323" i="25"/>
  <c r="CH323" i="25" s="1"/>
  <c r="CI323" i="25" s="1"/>
  <c r="CE300" i="25"/>
  <c r="CH300" i="25" s="1"/>
  <c r="CI300" i="25" s="1"/>
  <c r="CE292" i="25"/>
  <c r="CH292" i="25" s="1"/>
  <c r="CI292" i="25" s="1"/>
  <c r="CB292" i="25"/>
  <c r="CF292" i="25" s="1"/>
  <c r="CG292" i="25" s="1"/>
  <c r="CJ292" i="25" s="1"/>
  <c r="CE308" i="25"/>
  <c r="CH308" i="25" s="1"/>
  <c r="CI308" i="25" s="1"/>
  <c r="CB266" i="25"/>
  <c r="CF266" i="25" s="1"/>
  <c r="CG266" i="25" s="1"/>
  <c r="CJ266" i="25" s="1"/>
  <c r="CE266" i="25"/>
  <c r="CH266" i="25" s="1"/>
  <c r="CI266" i="25" s="1"/>
  <c r="CE294" i="25"/>
  <c r="CH294" i="25" s="1"/>
  <c r="CI294" i="25" s="1"/>
  <c r="CB294" i="25"/>
  <c r="CF294" i="25" s="1"/>
  <c r="CG294" i="25" s="1"/>
  <c r="CJ294" i="25" s="1"/>
  <c r="CE243" i="25"/>
  <c r="CH243" i="25" s="1"/>
  <c r="CI243" i="25" s="1"/>
  <c r="CB243" i="25"/>
  <c r="CF243" i="25" s="1"/>
  <c r="CG243" i="25" s="1"/>
  <c r="CJ243" i="25" s="1"/>
  <c r="CF279" i="25"/>
  <c r="CG279" i="25" s="1"/>
  <c r="CJ279" i="25" s="1"/>
  <c r="CE242" i="25"/>
  <c r="CH242" i="25" s="1"/>
  <c r="CI242" i="25" s="1"/>
  <c r="CB241" i="25"/>
  <c r="CF241" i="25" s="1"/>
  <c r="CG241" i="25" s="1"/>
  <c r="CJ241" i="25" s="1"/>
  <c r="CE241" i="25"/>
  <c r="CH241" i="25" s="1"/>
  <c r="CI241" i="25" s="1"/>
  <c r="CB230" i="25"/>
  <c r="CF230" i="25" s="1"/>
  <c r="CG230" i="25" s="1"/>
  <c r="CJ230" i="25" s="1"/>
  <c r="CE230" i="25"/>
  <c r="CH230" i="25" s="1"/>
  <c r="CI230" i="25" s="1"/>
  <c r="CE179" i="25"/>
  <c r="CH179" i="25" s="1"/>
  <c r="CI179" i="25" s="1"/>
  <c r="CB179" i="25"/>
  <c r="CF179" i="25" s="1"/>
  <c r="CG179" i="25" s="1"/>
  <c r="CJ179" i="25" s="1"/>
  <c r="CE180" i="25"/>
  <c r="CH180" i="25" s="1"/>
  <c r="CI180" i="25" s="1"/>
  <c r="CE153" i="25"/>
  <c r="CH153" i="25" s="1"/>
  <c r="CI153" i="25" s="1"/>
  <c r="CB153" i="25"/>
  <c r="CF153" i="25" s="1"/>
  <c r="CG153" i="25" s="1"/>
  <c r="CJ153" i="25" s="1"/>
  <c r="CE137" i="25"/>
  <c r="CH137" i="25" s="1"/>
  <c r="CI137" i="25" s="1"/>
  <c r="CB137" i="25"/>
  <c r="CF137" i="25" s="1"/>
  <c r="CG137" i="25" s="1"/>
  <c r="CJ137" i="25" s="1"/>
  <c r="CF173" i="25"/>
  <c r="CG173" i="25" s="1"/>
  <c r="CJ173" i="25" s="1"/>
  <c r="CE162" i="25"/>
  <c r="CH162" i="25" s="1"/>
  <c r="CI162" i="25" s="1"/>
  <c r="CB118" i="25"/>
  <c r="CF118" i="25" s="1"/>
  <c r="CG118" i="25" s="1"/>
  <c r="CJ118" i="25" s="1"/>
  <c r="CE118" i="25"/>
  <c r="CH118" i="25" s="1"/>
  <c r="CI118" i="25" s="1"/>
  <c r="CB90" i="25"/>
  <c r="CF90" i="25" s="1"/>
  <c r="CG90" i="25" s="1"/>
  <c r="CJ90" i="25" s="1"/>
  <c r="CE90" i="25"/>
  <c r="CH90" i="25" s="1"/>
  <c r="CI90" i="25" s="1"/>
  <c r="CB133" i="25"/>
  <c r="CF133" i="25" s="1"/>
  <c r="CG133" i="25" s="1"/>
  <c r="CJ133" i="25" s="1"/>
  <c r="CE133" i="25"/>
  <c r="CH133" i="25" s="1"/>
  <c r="CI133" i="25" s="1"/>
  <c r="CE74" i="25"/>
  <c r="CH74" i="25" s="1"/>
  <c r="CI74" i="25" s="1"/>
  <c r="CB74" i="25"/>
  <c r="CF74" i="25" s="1"/>
  <c r="CG74" i="25" s="1"/>
  <c r="CJ74" i="25" s="1"/>
  <c r="CE24" i="25"/>
  <c r="CH24" i="25" s="1"/>
  <c r="CI24" i="25" s="1"/>
  <c r="CE11" i="25"/>
  <c r="CH11" i="25" s="1"/>
  <c r="CI11" i="25" s="1"/>
  <c r="CB11" i="25"/>
  <c r="CF11" i="25" s="1"/>
  <c r="CG11" i="25" s="1"/>
  <c r="CJ11" i="25" s="1"/>
  <c r="CE32" i="25"/>
  <c r="CH32" i="25" s="1"/>
  <c r="CI32" i="25" s="1"/>
  <c r="CE322" i="25"/>
  <c r="CH322" i="25" s="1"/>
  <c r="CI322" i="25" s="1"/>
  <c r="CB322" i="25"/>
  <c r="CF322" i="25" s="1"/>
  <c r="CG322" i="25" s="1"/>
  <c r="CJ322" i="25" s="1"/>
  <c r="CE345" i="25"/>
  <c r="CH345" i="25" s="1"/>
  <c r="CI345" i="25" s="1"/>
  <c r="CB345" i="25"/>
  <c r="CF345" i="25" s="1"/>
  <c r="CG345" i="25" s="1"/>
  <c r="CJ345" i="25" s="1"/>
  <c r="CE130" i="25"/>
  <c r="CH130" i="25" s="1"/>
  <c r="CI130" i="25" s="1"/>
  <c r="CB130" i="25"/>
  <c r="CF130" i="25" s="1"/>
  <c r="CG130" i="25" s="1"/>
  <c r="CJ130" i="25" s="1"/>
  <c r="CE132" i="25"/>
  <c r="CH132" i="25" s="1"/>
  <c r="CI132" i="25" s="1"/>
  <c r="CE523" i="25"/>
  <c r="CH523" i="25" s="1"/>
  <c r="CI523" i="25" s="1"/>
  <c r="CB523" i="25"/>
  <c r="CF523" i="25" s="1"/>
  <c r="CG523" i="25" s="1"/>
  <c r="CJ523" i="25" s="1"/>
  <c r="CB536" i="25"/>
  <c r="CF536" i="25" s="1"/>
  <c r="CG536" i="25" s="1"/>
  <c r="CJ536" i="25" s="1"/>
  <c r="CE536" i="25"/>
  <c r="CH536" i="25" s="1"/>
  <c r="CI536" i="25" s="1"/>
  <c r="CE537" i="25"/>
  <c r="CH537" i="25" s="1"/>
  <c r="CI537" i="25" s="1"/>
  <c r="CB537" i="25"/>
  <c r="CF537" i="25" s="1"/>
  <c r="CG537" i="25" s="1"/>
  <c r="CJ537" i="25" s="1"/>
  <c r="CE386" i="25"/>
  <c r="CH386" i="25" s="1"/>
  <c r="CI386" i="25" s="1"/>
  <c r="CB360" i="25"/>
  <c r="CF360" i="25" s="1"/>
  <c r="CG360" i="25" s="1"/>
  <c r="CJ360" i="25" s="1"/>
  <c r="CE360" i="25"/>
  <c r="CH360" i="25" s="1"/>
  <c r="CI360" i="25" s="1"/>
  <c r="CE368" i="25"/>
  <c r="CH368" i="25" s="1"/>
  <c r="CI368" i="25" s="1"/>
  <c r="CB368" i="25"/>
  <c r="CF368" i="25" s="1"/>
  <c r="CG368" i="25" s="1"/>
  <c r="CJ368" i="25" s="1"/>
  <c r="CB346" i="25"/>
  <c r="CF346" i="25" s="1"/>
  <c r="CG346" i="25" s="1"/>
  <c r="CJ346" i="25" s="1"/>
  <c r="CE346" i="25"/>
  <c r="CH346" i="25" s="1"/>
  <c r="CI346" i="25" s="1"/>
  <c r="CB338" i="25"/>
  <c r="CF338" i="25" s="1"/>
  <c r="CG338" i="25" s="1"/>
  <c r="CJ338" i="25" s="1"/>
  <c r="CE338" i="25"/>
  <c r="CH338" i="25" s="1"/>
  <c r="CI338" i="25" s="1"/>
  <c r="CE321" i="25"/>
  <c r="CH321" i="25" s="1"/>
  <c r="CI321" i="25" s="1"/>
  <c r="CB321" i="25"/>
  <c r="CF321" i="25" s="1"/>
  <c r="CG321" i="25" s="1"/>
  <c r="CJ321" i="25" s="1"/>
  <c r="CF340" i="25"/>
  <c r="CG340" i="25" s="1"/>
  <c r="CJ340" i="25" s="1"/>
  <c r="CE297" i="25"/>
  <c r="CH297" i="25" s="1"/>
  <c r="CI297" i="25" s="1"/>
  <c r="CB297" i="25"/>
  <c r="CF297" i="25" s="1"/>
  <c r="CG297" i="25" s="1"/>
  <c r="CJ297" i="25" s="1"/>
  <c r="CE340" i="25"/>
  <c r="CH340" i="25" s="1"/>
  <c r="CI340" i="25" s="1"/>
  <c r="CE312" i="25"/>
  <c r="CH312" i="25" s="1"/>
  <c r="CI312" i="25" s="1"/>
  <c r="CE304" i="25"/>
  <c r="CH304" i="25" s="1"/>
  <c r="CI304" i="25" s="1"/>
  <c r="CE273" i="25"/>
  <c r="CH273" i="25" s="1"/>
  <c r="CI273" i="25" s="1"/>
  <c r="CB273" i="25"/>
  <c r="CF273" i="25" s="1"/>
  <c r="CG273" i="25" s="1"/>
  <c r="CJ273" i="25" s="1"/>
  <c r="CE283" i="25"/>
  <c r="CH283" i="25" s="1"/>
  <c r="CI283" i="25" s="1"/>
  <c r="CB262" i="25"/>
  <c r="CF262" i="25" s="1"/>
  <c r="CG262" i="25" s="1"/>
  <c r="CJ262" i="25" s="1"/>
  <c r="CE262" i="25"/>
  <c r="CH262" i="25" s="1"/>
  <c r="CI262" i="25" s="1"/>
  <c r="CB246" i="25"/>
  <c r="CF246" i="25" s="1"/>
  <c r="CG246" i="25" s="1"/>
  <c r="CJ246" i="25" s="1"/>
  <c r="CE246" i="25"/>
  <c r="CH246" i="25" s="1"/>
  <c r="CI246" i="25" s="1"/>
  <c r="CB276" i="25"/>
  <c r="CF276" i="25" s="1"/>
  <c r="CG276" i="25" s="1"/>
  <c r="CJ276" i="25" s="1"/>
  <c r="CE276" i="25"/>
  <c r="CH276" i="25" s="1"/>
  <c r="CI276" i="25" s="1"/>
  <c r="CE287" i="25"/>
  <c r="CH287" i="25" s="1"/>
  <c r="CI287" i="25" s="1"/>
  <c r="CE268" i="25"/>
  <c r="CH268" i="25" s="1"/>
  <c r="CI268" i="25" s="1"/>
  <c r="CE229" i="25"/>
  <c r="CH229" i="25" s="1"/>
  <c r="CI229" i="25" s="1"/>
  <c r="CE237" i="25"/>
  <c r="CH237" i="25" s="1"/>
  <c r="CI237" i="25" s="1"/>
  <c r="CE225" i="25"/>
  <c r="CH225" i="25" s="1"/>
  <c r="CI225" i="25" s="1"/>
  <c r="CF204" i="25"/>
  <c r="CG204" i="25" s="1"/>
  <c r="CJ204" i="25" s="1"/>
  <c r="CE197" i="25"/>
  <c r="CH197" i="25" s="1"/>
  <c r="CI197" i="25" s="1"/>
  <c r="CB197" i="25"/>
  <c r="CF197" i="25" s="1"/>
  <c r="CG197" i="25" s="1"/>
  <c r="CJ197" i="25" s="1"/>
  <c r="CE190" i="25"/>
  <c r="CH190" i="25" s="1"/>
  <c r="CI190" i="25" s="1"/>
  <c r="CB190" i="25"/>
  <c r="CF190" i="25" s="1"/>
  <c r="CG190" i="25" s="1"/>
  <c r="CJ190" i="25" s="1"/>
  <c r="CF170" i="25"/>
  <c r="CG170" i="25" s="1"/>
  <c r="CJ170" i="25" s="1"/>
  <c r="CB136" i="25"/>
  <c r="CF136" i="25" s="1"/>
  <c r="CG136" i="25" s="1"/>
  <c r="CJ136" i="25" s="1"/>
  <c r="CE136" i="25"/>
  <c r="CH136" i="25" s="1"/>
  <c r="CI136" i="25" s="1"/>
  <c r="CB102" i="25"/>
  <c r="CF102" i="25" s="1"/>
  <c r="CG102" i="25" s="1"/>
  <c r="CJ102" i="25" s="1"/>
  <c r="CE102" i="25"/>
  <c r="CH102" i="25" s="1"/>
  <c r="CI102" i="25" s="1"/>
  <c r="CB86" i="25"/>
  <c r="CF86" i="25" s="1"/>
  <c r="CG86" i="25" s="1"/>
  <c r="CJ86" i="25" s="1"/>
  <c r="CE86" i="25"/>
  <c r="CH86" i="25" s="1"/>
  <c r="CI86" i="25" s="1"/>
  <c r="CF120" i="25"/>
  <c r="CG120" i="25" s="1"/>
  <c r="CJ120" i="25" s="1"/>
  <c r="CE116" i="25"/>
  <c r="CH116" i="25" s="1"/>
  <c r="CI116" i="25" s="1"/>
  <c r="CB129" i="25"/>
  <c r="CF129" i="25" s="1"/>
  <c r="CG129" i="25" s="1"/>
  <c r="CJ129" i="25" s="1"/>
  <c r="CE129" i="25"/>
  <c r="CH129" i="25" s="1"/>
  <c r="CI129" i="25" s="1"/>
  <c r="CE68" i="25"/>
  <c r="CH68" i="25" s="1"/>
  <c r="CI68" i="25" s="1"/>
  <c r="CB68" i="25"/>
  <c r="CF68" i="25" s="1"/>
  <c r="CG68" i="25" s="1"/>
  <c r="CJ68" i="25" s="1"/>
  <c r="CE61" i="25"/>
  <c r="CH61" i="25" s="1"/>
  <c r="CI61" i="25" s="1"/>
  <c r="CB61" i="25"/>
  <c r="CF61" i="25" s="1"/>
  <c r="CG61" i="25" s="1"/>
  <c r="CJ61" i="25" s="1"/>
  <c r="CE53" i="25"/>
  <c r="CH53" i="25" s="1"/>
  <c r="CI53" i="25" s="1"/>
  <c r="CB53" i="25"/>
  <c r="CF53" i="25" s="1"/>
  <c r="CG53" i="25" s="1"/>
  <c r="CJ53" i="25" s="1"/>
  <c r="CE38" i="25"/>
  <c r="CH38" i="25" s="1"/>
  <c r="CI38" i="25" s="1"/>
  <c r="CB38" i="25"/>
  <c r="CF38" i="25" s="1"/>
  <c r="CG38" i="25" s="1"/>
  <c r="CJ38" i="25" s="1"/>
  <c r="CE26" i="25"/>
  <c r="CH26" i="25" s="1"/>
  <c r="CI26" i="25" s="1"/>
  <c r="CB26" i="25"/>
  <c r="CF26" i="25" s="1"/>
  <c r="CG26" i="25" s="1"/>
  <c r="CJ26" i="25" s="1"/>
  <c r="CE37" i="25"/>
  <c r="CH37" i="25" s="1"/>
  <c r="CI37" i="25" s="1"/>
  <c r="CE15" i="25"/>
  <c r="CH15" i="25" s="1"/>
  <c r="CI15" i="25" s="1"/>
  <c r="CB15" i="25"/>
  <c r="CF15" i="25" s="1"/>
  <c r="CG15" i="25" s="1"/>
  <c r="CJ15" i="25" s="1"/>
  <c r="CE167" i="25"/>
  <c r="CH167" i="25" s="1"/>
  <c r="CI167" i="25" s="1"/>
  <c r="CB167" i="25"/>
  <c r="CF167" i="25" s="1"/>
  <c r="CG167" i="25" s="1"/>
  <c r="CJ167" i="25" s="1"/>
  <c r="CB63" i="25"/>
  <c r="CF63" i="25" s="1"/>
  <c r="CG63" i="25" s="1"/>
  <c r="CJ63" i="25" s="1"/>
  <c r="CE63" i="25"/>
  <c r="CH63" i="25" s="1"/>
  <c r="CI63" i="25" s="1"/>
  <c r="CB544" i="25"/>
  <c r="CF544" i="25" s="1"/>
  <c r="CG544" i="25" s="1"/>
  <c r="CJ544" i="25" s="1"/>
  <c r="CE544" i="25"/>
  <c r="CH544" i="25" s="1"/>
  <c r="CI544" i="25" s="1"/>
  <c r="CB510" i="25"/>
  <c r="CF510" i="25" s="1"/>
  <c r="CG510" i="25" s="1"/>
  <c r="CJ510" i="25" s="1"/>
  <c r="CE510" i="25"/>
  <c r="CH510" i="25" s="1"/>
  <c r="CI510" i="25" s="1"/>
  <c r="CF520" i="25"/>
  <c r="CG520" i="25" s="1"/>
  <c r="CJ520" i="25" s="1"/>
  <c r="CE372" i="25"/>
  <c r="CH372" i="25" s="1"/>
  <c r="CI372" i="25" s="1"/>
  <c r="CB372" i="25"/>
  <c r="CF372" i="25" s="1"/>
  <c r="CG372" i="25" s="1"/>
  <c r="CJ372" i="25" s="1"/>
  <c r="CE382" i="25"/>
  <c r="CH382" i="25" s="1"/>
  <c r="CI382" i="25" s="1"/>
  <c r="CE351" i="25"/>
  <c r="CH351" i="25" s="1"/>
  <c r="CI351" i="25" s="1"/>
  <c r="CB351" i="25"/>
  <c r="CF351" i="25" s="1"/>
  <c r="CG351" i="25" s="1"/>
  <c r="CJ351" i="25" s="1"/>
  <c r="CB326" i="25"/>
  <c r="CF326" i="25" s="1"/>
  <c r="CG326" i="25" s="1"/>
  <c r="CJ326" i="25" s="1"/>
  <c r="CE326" i="25"/>
  <c r="CH326" i="25" s="1"/>
  <c r="CI326" i="25" s="1"/>
  <c r="CF296" i="25"/>
  <c r="CG296" i="25" s="1"/>
  <c r="CJ296" i="25" s="1"/>
  <c r="CE313" i="25"/>
  <c r="CH313" i="25" s="1"/>
  <c r="CI313" i="25" s="1"/>
  <c r="CB313" i="25"/>
  <c r="CF313" i="25" s="1"/>
  <c r="CG313" i="25" s="1"/>
  <c r="CJ313" i="25" s="1"/>
  <c r="CE269" i="25"/>
  <c r="CH269" i="25" s="1"/>
  <c r="CI269" i="25" s="1"/>
  <c r="CB269" i="25"/>
  <c r="CF269" i="25" s="1"/>
  <c r="CG269" i="25" s="1"/>
  <c r="CJ269" i="25" s="1"/>
  <c r="CE285" i="25"/>
  <c r="CH285" i="25" s="1"/>
  <c r="CI285" i="25" s="1"/>
  <c r="CE281" i="25"/>
  <c r="CH281" i="25" s="1"/>
  <c r="CI281" i="25" s="1"/>
  <c r="CE261" i="25"/>
  <c r="CH261" i="25" s="1"/>
  <c r="CI261" i="25" s="1"/>
  <c r="CE233" i="25"/>
  <c r="CH233" i="25" s="1"/>
  <c r="CI233" i="25" s="1"/>
  <c r="CB226" i="25"/>
  <c r="CF226" i="25" s="1"/>
  <c r="CG226" i="25" s="1"/>
  <c r="CJ226" i="25" s="1"/>
  <c r="CE226" i="25"/>
  <c r="CH226" i="25" s="1"/>
  <c r="CI226" i="25" s="1"/>
  <c r="CE205" i="25"/>
  <c r="CH205" i="25" s="1"/>
  <c r="CI205" i="25" s="1"/>
  <c r="CB205" i="25"/>
  <c r="CF205" i="25" s="1"/>
  <c r="CG205" i="25" s="1"/>
  <c r="CJ205" i="25" s="1"/>
  <c r="CB184" i="25"/>
  <c r="CF184" i="25" s="1"/>
  <c r="CG184" i="25" s="1"/>
  <c r="CJ184" i="25" s="1"/>
  <c r="CE184" i="25"/>
  <c r="CH184" i="25" s="1"/>
  <c r="CI184" i="25" s="1"/>
  <c r="CE160" i="25"/>
  <c r="CH160" i="25" s="1"/>
  <c r="CI160" i="25" s="1"/>
  <c r="CE149" i="25"/>
  <c r="CH149" i="25" s="1"/>
  <c r="CI149" i="25" s="1"/>
  <c r="CB149" i="25"/>
  <c r="CF149" i="25" s="1"/>
  <c r="CG149" i="25" s="1"/>
  <c r="CJ149" i="25" s="1"/>
  <c r="CE134" i="25"/>
  <c r="CH134" i="25" s="1"/>
  <c r="CI134" i="25" s="1"/>
  <c r="CB134" i="25"/>
  <c r="CF134" i="25" s="1"/>
  <c r="CG134" i="25" s="1"/>
  <c r="CJ134" i="25" s="1"/>
  <c r="CF189" i="25"/>
  <c r="CG189" i="25" s="1"/>
  <c r="CJ189" i="25" s="1"/>
  <c r="CE183" i="25"/>
  <c r="CH183" i="25" s="1"/>
  <c r="CI183" i="25" s="1"/>
  <c r="CB114" i="25"/>
  <c r="CF114" i="25" s="1"/>
  <c r="CG114" i="25" s="1"/>
  <c r="CJ114" i="25" s="1"/>
  <c r="CE114" i="25"/>
  <c r="CH114" i="25" s="1"/>
  <c r="CI114" i="25" s="1"/>
  <c r="CB82" i="25"/>
  <c r="CF82" i="25" s="1"/>
  <c r="CG82" i="25" s="1"/>
  <c r="CJ82" i="25" s="1"/>
  <c r="CE82" i="25"/>
  <c r="CH82" i="25" s="1"/>
  <c r="CI82" i="25" s="1"/>
  <c r="CB121" i="25"/>
  <c r="CF121" i="25" s="1"/>
  <c r="CG121" i="25" s="1"/>
  <c r="CJ121" i="25" s="1"/>
  <c r="CE121" i="25"/>
  <c r="CH121" i="25" s="1"/>
  <c r="CI121" i="25" s="1"/>
  <c r="CE18" i="25"/>
  <c r="CH18" i="25" s="1"/>
  <c r="CI18" i="25" s="1"/>
  <c r="CB18" i="25"/>
  <c r="CF18" i="25" s="1"/>
  <c r="CG18" i="25" s="1"/>
  <c r="CJ18" i="25" s="1"/>
  <c r="CE79" i="25"/>
  <c r="CH79" i="25" s="1"/>
  <c r="CI79" i="25" s="1"/>
  <c r="CE109" i="25"/>
  <c r="CH109" i="25" s="1"/>
  <c r="CI109" i="25" s="1"/>
  <c r="CE25" i="25"/>
  <c r="CH25" i="25" s="1"/>
  <c r="CI25" i="25" s="1"/>
  <c r="CE36" i="25"/>
  <c r="CH36" i="25" s="1"/>
  <c r="CI36" i="25" s="1"/>
  <c r="CB459" i="25" l="1"/>
  <c r="CF459" i="25" s="1"/>
  <c r="CG459" i="25" s="1"/>
  <c r="CJ459" i="25" s="1"/>
  <c r="CE218" i="25"/>
  <c r="CH218" i="25" s="1"/>
  <c r="CI218" i="25" s="1"/>
  <c r="CE217" i="25"/>
  <c r="CH217" i="25" s="1"/>
  <c r="CI217" i="25" s="1"/>
  <c r="CE221" i="25"/>
  <c r="CH221" i="25" s="1"/>
  <c r="CI221" i="25" s="1"/>
  <c r="CB219" i="25"/>
  <c r="CF219" i="25" s="1"/>
  <c r="CG219" i="25" s="1"/>
  <c r="CJ219" i="25" s="1"/>
  <c r="CE216" i="25"/>
  <c r="CH216" i="25" s="1"/>
  <c r="CI216" i="25" s="1"/>
  <c r="CE214" i="25"/>
  <c r="CH214" i="25" s="1"/>
  <c r="CI214" i="25" s="1"/>
  <c r="CE173" i="25"/>
  <c r="CH173" i="25" s="1"/>
  <c r="CI173" i="25" s="1"/>
  <c r="CE220" i="25"/>
  <c r="CH220" i="25" s="1"/>
  <c r="CI220" i="25" s="1"/>
  <c r="CB215" i="25"/>
  <c r="CF215" i="25" s="1"/>
  <c r="CG215" i="25" s="1"/>
  <c r="CJ215"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Mee Mee Thaw</author>
    <author>BJ</author>
    <author>acer</author>
    <author>Administrator</author>
  </authors>
  <commentList>
    <comment ref="B14" authorId="0" shapeId="0" xr:uid="{95AD915F-BD7D-4EF1-9F79-6484875DC402}">
      <text>
        <r>
          <rPr>
            <b/>
            <sz val="9"/>
            <color indexed="81"/>
            <rFont val="Tahoma"/>
            <family val="2"/>
          </rPr>
          <t>Mee Mee Thaw:</t>
        </r>
        <r>
          <rPr>
            <sz val="9"/>
            <color indexed="81"/>
            <rFont val="Tahoma"/>
            <family val="2"/>
          </rPr>
          <t xml:space="preserve">
KBC, Q3</t>
        </r>
      </text>
    </comment>
    <comment ref="C14" authorId="0" shapeId="0" xr:uid="{00000000-0006-0000-0200-000004000000}">
      <text>
        <r>
          <rPr>
            <b/>
            <sz val="9"/>
            <color indexed="81"/>
            <rFont val="Tahoma"/>
            <family val="2"/>
          </rPr>
          <t>Mee Mee Thaw:</t>
        </r>
        <r>
          <rPr>
            <sz val="9"/>
            <color indexed="81"/>
            <rFont val="Tahoma"/>
            <family val="2"/>
          </rPr>
          <t xml:space="preserve">
KBC, Q3</t>
        </r>
      </text>
    </comment>
    <comment ref="B18" authorId="0" shapeId="0" xr:uid="{37C7EEA9-4909-4C3D-8B1E-7E81E3172F16}">
      <text>
        <r>
          <rPr>
            <b/>
            <sz val="9"/>
            <color indexed="81"/>
            <rFont val="Tahoma"/>
            <family val="2"/>
          </rPr>
          <t>Mee Mee Thaw:</t>
        </r>
        <r>
          <rPr>
            <sz val="9"/>
            <color indexed="81"/>
            <rFont val="Tahoma"/>
            <family val="2"/>
          </rPr>
          <t xml:space="preserve">
KBC, Q3</t>
        </r>
      </text>
    </comment>
    <comment ref="W36" authorId="1" shapeId="0" xr:uid="{8DFA7DD2-4AC7-442A-A55A-0485A307AC0D}">
      <text>
        <r>
          <rPr>
            <sz val="9"/>
            <color indexed="81"/>
            <rFont val="Tahoma"/>
            <family val="2"/>
          </rPr>
          <t xml:space="preserve">KMSS WASH;
handpump with tower
</t>
        </r>
      </text>
    </comment>
    <comment ref="BL36" authorId="1" shapeId="0" xr:uid="{92D289DF-089B-48D1-B81A-8810E71C037C}">
      <text>
        <r>
          <rPr>
            <sz val="9"/>
            <color indexed="81"/>
            <rFont val="Tahoma"/>
            <family val="2"/>
          </rPr>
          <t xml:space="preserve">WASH KMSS:
 distributed per wonmen 
(13-50age)
</t>
        </r>
      </text>
    </comment>
    <comment ref="H37" authorId="0" shapeId="0" xr:uid="{00000000-0006-0000-0200-000001000000}">
      <text>
        <r>
          <rPr>
            <b/>
            <sz val="9"/>
            <color indexed="81"/>
            <rFont val="Tahoma"/>
            <family val="2"/>
          </rPr>
          <t>Mee Mee Thaw:</t>
        </r>
        <r>
          <rPr>
            <sz val="9"/>
            <color indexed="81"/>
            <rFont val="Tahoma"/>
            <family val="2"/>
          </rPr>
          <t xml:space="preserve">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r>
      </text>
    </comment>
    <comment ref="X44" authorId="1" shapeId="0" xr:uid="{231CE53A-B0D6-4941-8FBA-2D8B40E0E900}">
      <text>
        <r>
          <rPr>
            <sz val="9"/>
            <color indexed="81"/>
            <rFont val="Tahoma"/>
            <family val="2"/>
          </rPr>
          <t xml:space="preserve">KMSS WASH;
deep tube well
</t>
        </r>
      </text>
    </comment>
    <comment ref="B47" authorId="0" shapeId="0" xr:uid="{83E6D93F-3757-4ABB-ADF8-293962A0425C}">
      <text>
        <r>
          <rPr>
            <b/>
            <sz val="9"/>
            <color indexed="81"/>
            <rFont val="Tahoma"/>
            <family val="2"/>
          </rPr>
          <t>Mee Mee Thaw:</t>
        </r>
        <r>
          <rPr>
            <sz val="9"/>
            <color indexed="81"/>
            <rFont val="Tahoma"/>
            <family val="2"/>
          </rPr>
          <t xml:space="preserve">
KBC, Q3</t>
        </r>
      </text>
    </comment>
    <comment ref="X48" authorId="1" shapeId="0" xr:uid="{777E1AB2-E8C6-4A8B-B840-1EF278847BF8}">
      <text>
        <r>
          <rPr>
            <sz val="9"/>
            <color indexed="81"/>
            <rFont val="Tahoma"/>
            <family val="2"/>
          </rPr>
          <t xml:space="preserve">KMSS WASH;
Tube well
</t>
        </r>
      </text>
    </comment>
    <comment ref="H51" authorId="0" shapeId="0" xr:uid="{00000000-0006-0000-0200-000002000000}">
      <text>
        <r>
          <rPr>
            <b/>
            <sz val="9"/>
            <color indexed="81"/>
            <rFont val="Tahoma"/>
            <family val="2"/>
          </rPr>
          <t>Mee Mee Thaw:</t>
        </r>
        <r>
          <rPr>
            <sz val="9"/>
            <color indexed="81"/>
            <rFont val="Tahoma"/>
            <family val="2"/>
          </rPr>
          <t xml:space="preserve">
Combination of BTP 1,2,3</t>
        </r>
      </text>
    </comment>
    <comment ref="AA54" authorId="1" shapeId="0" xr:uid="{4DB5EEF5-B6ED-4167-994C-F4E18FEF8F41}">
      <text>
        <r>
          <rPr>
            <sz val="9"/>
            <color indexed="81"/>
            <rFont val="Tahoma"/>
            <family val="2"/>
          </rPr>
          <t xml:space="preserve">KMSS WASH;
GFS
</t>
        </r>
      </text>
    </comment>
    <comment ref="B70" authorId="0" shapeId="0" xr:uid="{17C00B1F-40D9-4E88-B45A-0B150818C100}">
      <text>
        <r>
          <rPr>
            <b/>
            <sz val="9"/>
            <color indexed="81"/>
            <rFont val="Tahoma"/>
            <family val="2"/>
          </rPr>
          <t>Mee Mee Thaw:</t>
        </r>
        <r>
          <rPr>
            <sz val="9"/>
            <color indexed="81"/>
            <rFont val="Tahoma"/>
            <family val="2"/>
          </rPr>
          <t xml:space="preserve">
KBC, Q3</t>
        </r>
      </text>
    </comment>
    <comment ref="C70" authorId="0" shapeId="0" xr:uid="{00000000-0006-0000-0200-000005000000}">
      <text>
        <r>
          <rPr>
            <b/>
            <sz val="9"/>
            <color indexed="81"/>
            <rFont val="Tahoma"/>
            <family val="2"/>
          </rPr>
          <t>Mee Mee Thaw:</t>
        </r>
        <r>
          <rPr>
            <sz val="9"/>
            <color indexed="81"/>
            <rFont val="Tahoma"/>
            <family val="2"/>
          </rPr>
          <t xml:space="preserve">
KBC, Q3</t>
        </r>
      </text>
    </comment>
    <comment ref="X76" authorId="1" shapeId="0" xr:uid="{34E96470-387A-408F-99A9-9F3937207953}">
      <text>
        <r>
          <rPr>
            <sz val="9"/>
            <color indexed="81"/>
            <rFont val="Tahoma"/>
            <family val="2"/>
          </rPr>
          <t xml:space="preserve">KMSS WASH;
Tube well
</t>
        </r>
      </text>
    </comment>
    <comment ref="W78" authorId="2" shapeId="0" xr:uid="{24D007F8-5F30-4999-BFB8-A615CB06B9A4}">
      <text>
        <r>
          <rPr>
            <b/>
            <sz val="9"/>
            <color indexed="81"/>
            <rFont val="Tahoma"/>
            <family val="2"/>
          </rPr>
          <t>acer:</t>
        </r>
        <r>
          <rPr>
            <sz val="9"/>
            <color indexed="81"/>
            <rFont val="Tahoma"/>
            <family val="2"/>
          </rPr>
          <t xml:space="preserve">
handpump</t>
        </r>
      </text>
    </comment>
    <comment ref="H84" authorId="0" shapeId="0" xr:uid="{00000000-0006-0000-0200-000003000000}">
      <text>
        <r>
          <rPr>
            <b/>
            <sz val="9"/>
            <color indexed="81"/>
            <rFont val="Tahoma"/>
            <family val="2"/>
          </rPr>
          <t>Mee Mee Thaw:</t>
        </r>
        <r>
          <rPr>
            <sz val="9"/>
            <color indexed="81"/>
            <rFont val="Tahoma"/>
            <family val="2"/>
          </rPr>
          <t xml:space="preserve">
combination of Loi je lisu 1+2+3+4</t>
        </r>
      </text>
    </comment>
    <comment ref="C101" authorId="3" shapeId="0" xr:uid="{B6807914-A867-411A-930A-D75BE64F95CB}">
      <text>
        <r>
          <rPr>
            <b/>
            <sz val="9"/>
            <color indexed="81"/>
            <rFont val="Tahoma"/>
            <family val="2"/>
          </rPr>
          <t>Administrator:</t>
        </r>
        <r>
          <rPr>
            <sz val="9"/>
            <color indexed="81"/>
            <rFont val="Tahoma"/>
            <family val="2"/>
          </rPr>
          <t xml:space="preserve">
in Q1-2019, KMSS started covered</t>
        </r>
      </text>
    </comment>
    <comment ref="W104" authorId="2" shapeId="0" xr:uid="{788BFC40-042E-43A1-B4F6-B0EAFFD3C7F4}">
      <text>
        <r>
          <rPr>
            <b/>
            <sz val="9"/>
            <color indexed="81"/>
            <rFont val="Tahoma"/>
            <family val="2"/>
          </rPr>
          <t>acer:</t>
        </r>
        <r>
          <rPr>
            <sz val="9"/>
            <color indexed="81"/>
            <rFont val="Tahoma"/>
            <family val="2"/>
          </rPr>
          <t xml:space="preserve">
handpump</t>
        </r>
      </text>
    </comment>
    <comment ref="H143" authorId="3" shapeId="0" xr:uid="{4A73E561-B8F6-4BF9-A25B-F8A19E73E91E}">
      <text>
        <r>
          <rPr>
            <b/>
            <sz val="9"/>
            <color indexed="81"/>
            <rFont val="Tahoma"/>
            <family val="2"/>
          </rPr>
          <t>Administrator:</t>
        </r>
        <r>
          <rPr>
            <sz val="9"/>
            <color indexed="81"/>
            <rFont val="Tahoma"/>
            <family val="2"/>
          </rPr>
          <t xml:space="preserve">
this camp will be relocate and KMSS have the plan to stop WASH implementation activities on April 2019</t>
        </r>
      </text>
    </comment>
    <comment ref="B148" authorId="0" shapeId="0" xr:uid="{2CBAA3A6-C698-4AB2-BD64-51BB775DE87F}">
      <text>
        <r>
          <rPr>
            <b/>
            <sz val="9"/>
            <color indexed="81"/>
            <rFont val="Tahoma"/>
            <family val="2"/>
          </rPr>
          <t>Mee Mee Thaw:</t>
        </r>
        <r>
          <rPr>
            <sz val="9"/>
            <color indexed="81"/>
            <rFont val="Tahoma"/>
            <family val="2"/>
          </rPr>
          <t xml:space="preserve">
KBC, Q3</t>
        </r>
      </text>
    </comment>
    <comment ref="C149" authorId="3" shapeId="0" xr:uid="{35BB544C-904F-4DBB-8ABE-CDFA8525B59F}">
      <text>
        <r>
          <rPr>
            <b/>
            <sz val="9"/>
            <color indexed="81"/>
            <rFont val="Tahoma"/>
            <family val="2"/>
          </rPr>
          <t>Administrator:</t>
        </r>
        <r>
          <rPr>
            <sz val="9"/>
            <color indexed="81"/>
            <rFont val="Tahoma"/>
            <family val="2"/>
          </rPr>
          <t xml:space="preserve">
KMSS reported in Q1-2019</t>
        </r>
      </text>
    </comment>
    <comment ref="B164" authorId="0" shapeId="0" xr:uid="{20B4A0C7-95DC-45BA-8746-F89513923D32}">
      <text>
        <r>
          <rPr>
            <b/>
            <sz val="9"/>
            <color indexed="81"/>
            <rFont val="Tahoma"/>
            <family val="2"/>
          </rPr>
          <t>Mee Mee Thaw:</t>
        </r>
        <r>
          <rPr>
            <sz val="9"/>
            <color indexed="81"/>
            <rFont val="Tahoma"/>
            <family val="2"/>
          </rPr>
          <t xml:space="preserve">
KBC, Q3</t>
        </r>
      </text>
    </comment>
    <comment ref="H172" authorId="3" shapeId="0" xr:uid="{E8982B89-56A8-485C-B406-F7300B511C18}">
      <text>
        <r>
          <rPr>
            <b/>
            <sz val="9"/>
            <color indexed="81"/>
            <rFont val="Tahoma"/>
            <family val="2"/>
          </rPr>
          <t>Administrator:</t>
        </r>
        <r>
          <rPr>
            <sz val="9"/>
            <color indexed="81"/>
            <rFont val="Tahoma"/>
            <family val="2"/>
          </rPr>
          <t xml:space="preserve">
Ku Lar Te?</t>
        </r>
      </text>
    </comment>
    <comment ref="H199" authorId="3" shapeId="0" xr:uid="{E3388A27-1610-4893-8087-9B96C827ADA5}">
      <text>
        <r>
          <rPr>
            <b/>
            <sz val="9"/>
            <color indexed="81"/>
            <rFont val="Tahoma"/>
          </rPr>
          <t>Administrator:</t>
        </r>
        <r>
          <rPr>
            <sz val="9"/>
            <color indexed="81"/>
            <rFont val="Tahoma"/>
          </rPr>
          <t xml:space="preserve">
Ka Yin or Ka Nyin</t>
        </r>
      </text>
    </comment>
    <comment ref="BJ206" authorId="3" shapeId="0" xr:uid="{6C3508D8-81A9-417F-B2C0-AF2593CAD325}">
      <text>
        <r>
          <rPr>
            <b/>
            <sz val="9"/>
            <color indexed="81"/>
            <rFont val="Tahoma"/>
            <family val="2"/>
          </rPr>
          <t>Administrator:</t>
        </r>
        <r>
          <rPr>
            <sz val="9"/>
            <color indexed="81"/>
            <rFont val="Tahoma"/>
            <family val="2"/>
          </rPr>
          <t xml:space="preserve">
need to be confirmed</t>
        </r>
      </text>
    </comment>
    <comment ref="H296" authorId="3" shapeId="0" xr:uid="{EA5820C7-BA20-4FEA-90A6-ACC952EDE365}">
      <text>
        <r>
          <rPr>
            <b/>
            <sz val="9"/>
            <color indexed="81"/>
            <rFont val="Tahoma"/>
          </rPr>
          <t>Administrator:</t>
        </r>
        <r>
          <rPr>
            <sz val="9"/>
            <color indexed="81"/>
            <rFont val="Tahoma"/>
          </rPr>
          <t xml:space="preserve">
Taw Tan or Taw Kan??</t>
        </r>
      </text>
    </comment>
    <comment ref="H314" authorId="3" shapeId="0" xr:uid="{834B9D71-23B0-41A5-A563-0B42D091809C}">
      <text>
        <r>
          <rPr>
            <b/>
            <sz val="9"/>
            <color indexed="81"/>
            <rFont val="Tahoma"/>
            <family val="2"/>
          </rPr>
          <t>Administrator:</t>
        </r>
        <r>
          <rPr>
            <sz val="9"/>
            <color indexed="81"/>
            <rFont val="Tahoma"/>
            <family val="2"/>
          </rPr>
          <t xml:space="preserve">
Baw Du Pha (IDP in host families)</t>
        </r>
      </text>
    </comment>
    <comment ref="H396" authorId="3" shapeId="0" xr:uid="{2FE0CED2-C102-43FB-9C22-D83946E6AE65}">
      <text>
        <r>
          <rPr>
            <b/>
            <sz val="9"/>
            <color indexed="81"/>
            <rFont val="Tahoma"/>
          </rPr>
          <t>Administrator:</t>
        </r>
        <r>
          <rPr>
            <sz val="9"/>
            <color indexed="81"/>
            <rFont val="Tahoma"/>
          </rPr>
          <t xml:space="preserve">
VT?</t>
        </r>
      </text>
    </comment>
    <comment ref="H397" authorId="3" shapeId="0" xr:uid="{F5B558A8-9133-4B11-8679-EF79605A9CC1}">
      <text>
        <r>
          <rPr>
            <b/>
            <sz val="9"/>
            <color indexed="81"/>
            <rFont val="Tahoma"/>
          </rPr>
          <t>Administrator:</t>
        </r>
        <r>
          <rPr>
            <sz val="9"/>
            <color indexed="81"/>
            <rFont val="Tahoma"/>
          </rPr>
          <t xml:space="preserve">
VT?</t>
        </r>
      </text>
    </comment>
    <comment ref="H406" authorId="3" shapeId="0" xr:uid="{428B2370-90BA-46FA-AE94-7FFAFC53F1EA}">
      <text>
        <r>
          <rPr>
            <b/>
            <sz val="9"/>
            <color indexed="81"/>
            <rFont val="Tahoma"/>
          </rPr>
          <t>Administrator:</t>
        </r>
        <r>
          <rPr>
            <sz val="9"/>
            <color indexed="81"/>
            <rFont val="Tahoma"/>
          </rPr>
          <t xml:space="preserve">
VT? 2 Pi Pin Yin</t>
        </r>
      </text>
    </comment>
    <comment ref="H412" authorId="3" shapeId="0" xr:uid="{A388D47D-298E-4FB1-8AAD-1DBDAF381111}">
      <text>
        <r>
          <rPr>
            <b/>
            <sz val="9"/>
            <color indexed="81"/>
            <rFont val="Tahoma"/>
          </rPr>
          <t>Administrator:</t>
        </r>
        <r>
          <rPr>
            <sz val="9"/>
            <color indexed="81"/>
            <rFont val="Tahoma"/>
          </rPr>
          <t xml:space="preserve">
Sin Baw Kaing?</t>
        </r>
      </text>
    </comment>
    <comment ref="H414" authorId="3" shapeId="0" xr:uid="{8B1563A9-0727-4387-A19D-C5366DBB0859}">
      <text>
        <r>
          <rPr>
            <b/>
            <sz val="9"/>
            <color indexed="81"/>
            <rFont val="Tahoma"/>
          </rPr>
          <t>Administrator:</t>
        </r>
        <r>
          <rPr>
            <sz val="9"/>
            <color indexed="81"/>
            <rFont val="Tahoma"/>
          </rPr>
          <t xml:space="preserve">
Ywar Haung or Ywar Thit</t>
        </r>
      </text>
    </comment>
    <comment ref="H448" authorId="3" shapeId="0" xr:uid="{A9FBAFA3-B792-48B5-A2C0-4B0A4961E784}">
      <text>
        <r>
          <rPr>
            <b/>
            <sz val="9"/>
            <color indexed="81"/>
            <rFont val="Tahoma"/>
          </rPr>
          <t>Administrator:</t>
        </r>
        <r>
          <rPr>
            <sz val="9"/>
            <color indexed="81"/>
            <rFont val="Tahoma"/>
          </rPr>
          <t xml:space="preserve">
VT? 2 HPC in kyauktaw</t>
        </r>
      </text>
    </comment>
    <comment ref="H471" authorId="3" shapeId="0" xr:uid="{70DA1D8A-4EB1-4F51-9A8C-9EDA3EF81536}">
      <text>
        <r>
          <rPr>
            <b/>
            <sz val="9"/>
            <color indexed="81"/>
            <rFont val="Tahoma"/>
            <family val="2"/>
          </rPr>
          <t>Administrator:</t>
        </r>
        <r>
          <rPr>
            <sz val="9"/>
            <color indexed="81"/>
            <rFont val="Tahoma"/>
            <family val="2"/>
          </rPr>
          <t xml:space="preserve">
Ywar haung or Ywar Thit</t>
        </r>
      </text>
    </comment>
    <comment ref="B505" authorId="3" shapeId="0" xr:uid="{DE33B255-C68E-4994-9E76-BC1067F336BE}">
      <text>
        <r>
          <rPr>
            <b/>
            <sz val="9"/>
            <color indexed="81"/>
            <rFont val="Tahoma"/>
            <family val="2"/>
          </rPr>
          <t>Administrator:</t>
        </r>
        <r>
          <rPr>
            <sz val="9"/>
            <color indexed="81"/>
            <rFont val="Tahoma"/>
            <family val="2"/>
          </rPr>
          <t xml:space="preserve">
SCI, in q4 2018</t>
        </r>
      </text>
    </comment>
    <comment ref="C505" authorId="3" shapeId="0" xr:uid="{4A4B8022-684C-4B58-AB4D-A1F74D184870}">
      <text>
        <r>
          <rPr>
            <b/>
            <sz val="9"/>
            <color indexed="81"/>
            <rFont val="Tahoma"/>
            <family val="2"/>
          </rPr>
          <t>Administrator:</t>
        </r>
        <r>
          <rPr>
            <sz val="9"/>
            <color indexed="81"/>
            <rFont val="Tahoma"/>
            <family val="2"/>
          </rPr>
          <t xml:space="preserve">
SCI, in q4 2018</t>
        </r>
      </text>
    </comment>
    <comment ref="B513" authorId="3" shapeId="0" xr:uid="{74BB5BEE-2DEE-43FE-ABC3-C93E5DAA5038}">
      <text>
        <r>
          <rPr>
            <b/>
            <sz val="9"/>
            <color indexed="81"/>
            <rFont val="Tahoma"/>
            <family val="2"/>
          </rPr>
          <t>Administrator:</t>
        </r>
        <r>
          <rPr>
            <sz val="9"/>
            <color indexed="81"/>
            <rFont val="Tahoma"/>
            <family val="2"/>
          </rPr>
          <t xml:space="preserve">
SCI, in q4 2018</t>
        </r>
      </text>
    </comment>
    <comment ref="C513" authorId="3" shapeId="0" xr:uid="{C02744C0-B61B-44F5-AE7F-AA2D113CB38E}">
      <text>
        <r>
          <rPr>
            <b/>
            <sz val="9"/>
            <color indexed="81"/>
            <rFont val="Tahoma"/>
            <family val="2"/>
          </rPr>
          <t>Administrator:</t>
        </r>
        <r>
          <rPr>
            <sz val="9"/>
            <color indexed="81"/>
            <rFont val="Tahoma"/>
            <family val="2"/>
          </rPr>
          <t xml:space="preserve">
SCI, in q4 2018</t>
        </r>
      </text>
    </comment>
    <comment ref="B514" authorId="3" shapeId="0" xr:uid="{8BE38766-4F0D-47B7-AF94-07CA1697F3A8}">
      <text>
        <r>
          <rPr>
            <b/>
            <sz val="9"/>
            <color indexed="81"/>
            <rFont val="Tahoma"/>
            <family val="2"/>
          </rPr>
          <t>Administrator:</t>
        </r>
        <r>
          <rPr>
            <sz val="9"/>
            <color indexed="81"/>
            <rFont val="Tahoma"/>
            <family val="2"/>
          </rPr>
          <t xml:space="preserve">
SCI, in q4 2018</t>
        </r>
      </text>
    </comment>
    <comment ref="C514" authorId="3" shapeId="0" xr:uid="{E8E7A04F-0A26-4D5A-8BFF-0228301D06FB}">
      <text>
        <r>
          <rPr>
            <b/>
            <sz val="9"/>
            <color indexed="81"/>
            <rFont val="Tahoma"/>
            <family val="2"/>
          </rPr>
          <t>Administrator:</t>
        </r>
        <r>
          <rPr>
            <sz val="9"/>
            <color indexed="81"/>
            <rFont val="Tahoma"/>
            <family val="2"/>
          </rPr>
          <t xml:space="preserve">
SCI, in q4 2018</t>
        </r>
      </text>
    </comment>
    <comment ref="B517" authorId="3" shapeId="0" xr:uid="{F5FF53AE-01A3-4C28-8F6E-82FA9D014C66}">
      <text>
        <r>
          <rPr>
            <b/>
            <sz val="9"/>
            <color indexed="81"/>
            <rFont val="Tahoma"/>
            <family val="2"/>
          </rPr>
          <t>Administrator:</t>
        </r>
        <r>
          <rPr>
            <sz val="9"/>
            <color indexed="81"/>
            <rFont val="Tahoma"/>
            <family val="2"/>
          </rPr>
          <t xml:space="preserve">
SCI, in q4 2018</t>
        </r>
      </text>
    </comment>
    <comment ref="C517" authorId="3" shapeId="0" xr:uid="{9EF230C6-6A62-46DE-8D94-6267D6F84A96}">
      <text>
        <r>
          <rPr>
            <b/>
            <sz val="9"/>
            <color indexed="81"/>
            <rFont val="Tahoma"/>
            <family val="2"/>
          </rPr>
          <t>Administrator:</t>
        </r>
        <r>
          <rPr>
            <sz val="9"/>
            <color indexed="81"/>
            <rFont val="Tahoma"/>
            <family val="2"/>
          </rPr>
          <t xml:space="preserve">
SCI, in q4 2018</t>
        </r>
      </text>
    </comment>
    <comment ref="B518" authorId="3" shapeId="0" xr:uid="{2E1E108D-B15C-45AE-A77F-FDACEF0D7EBE}">
      <text>
        <r>
          <rPr>
            <b/>
            <sz val="9"/>
            <color indexed="81"/>
            <rFont val="Tahoma"/>
            <family val="2"/>
          </rPr>
          <t>Administrator:</t>
        </r>
        <r>
          <rPr>
            <sz val="9"/>
            <color indexed="81"/>
            <rFont val="Tahoma"/>
            <family val="2"/>
          </rPr>
          <t xml:space="preserve">
SCI, in q4 2018</t>
        </r>
      </text>
    </comment>
    <comment ref="C518" authorId="3" shapeId="0" xr:uid="{855F8962-DD69-4A8A-92A7-476D80ED1334}">
      <text>
        <r>
          <rPr>
            <b/>
            <sz val="9"/>
            <color indexed="81"/>
            <rFont val="Tahoma"/>
            <family val="2"/>
          </rPr>
          <t>Administrator:</t>
        </r>
        <r>
          <rPr>
            <sz val="9"/>
            <color indexed="81"/>
            <rFont val="Tahoma"/>
            <family val="2"/>
          </rPr>
          <t xml:space="preserve">
SCI, in q4 2018</t>
        </r>
      </text>
    </comment>
    <comment ref="B529" authorId="3" shapeId="0" xr:uid="{48310B62-6FB1-4965-9D50-CC186B6B5590}">
      <text>
        <r>
          <rPr>
            <b/>
            <sz val="9"/>
            <color indexed="81"/>
            <rFont val="Tahoma"/>
            <family val="2"/>
          </rPr>
          <t>Administrator:</t>
        </r>
        <r>
          <rPr>
            <sz val="9"/>
            <color indexed="81"/>
            <rFont val="Tahoma"/>
            <family val="2"/>
          </rPr>
          <t xml:space="preserve">
SCI, in q4 2018</t>
        </r>
      </text>
    </comment>
    <comment ref="C529" authorId="3" shapeId="0" xr:uid="{6DE73E93-602A-4343-B9A4-F3BDBB9ADF3C}">
      <text>
        <r>
          <rPr>
            <b/>
            <sz val="9"/>
            <color indexed="81"/>
            <rFont val="Tahoma"/>
            <family val="2"/>
          </rPr>
          <t>Administrator:</t>
        </r>
        <r>
          <rPr>
            <sz val="9"/>
            <color indexed="81"/>
            <rFont val="Tahoma"/>
            <family val="2"/>
          </rPr>
          <t xml:space="preserve">
SCI, in q4 2018</t>
        </r>
      </text>
    </comment>
    <comment ref="B530" authorId="3" shapeId="0" xr:uid="{F2459990-01DD-4865-AE60-C768535F73DD}">
      <text>
        <r>
          <rPr>
            <b/>
            <sz val="9"/>
            <color indexed="81"/>
            <rFont val="Tahoma"/>
            <family val="2"/>
          </rPr>
          <t>Administrator:</t>
        </r>
        <r>
          <rPr>
            <sz val="9"/>
            <color indexed="81"/>
            <rFont val="Tahoma"/>
            <family val="2"/>
          </rPr>
          <t xml:space="preserve">
SCI, in q4 2018</t>
        </r>
      </text>
    </comment>
    <comment ref="C530" authorId="3" shapeId="0" xr:uid="{90A4C33C-DA4F-4EC3-8C27-E2E882C08F5A}">
      <text>
        <r>
          <rPr>
            <b/>
            <sz val="9"/>
            <color indexed="81"/>
            <rFont val="Tahoma"/>
            <family val="2"/>
          </rPr>
          <t>Administrator:</t>
        </r>
        <r>
          <rPr>
            <sz val="9"/>
            <color indexed="81"/>
            <rFont val="Tahoma"/>
            <family val="2"/>
          </rPr>
          <t xml:space="preserve">
SCI, in q4 2018</t>
        </r>
      </text>
    </comment>
    <comment ref="B536" authorId="3" shapeId="0" xr:uid="{A6F5F261-523E-4997-ACCF-023E7DE43A7C}">
      <text>
        <r>
          <rPr>
            <b/>
            <sz val="9"/>
            <color indexed="81"/>
            <rFont val="Tahoma"/>
            <family val="2"/>
          </rPr>
          <t>Administrator:</t>
        </r>
        <r>
          <rPr>
            <sz val="9"/>
            <color indexed="81"/>
            <rFont val="Tahoma"/>
            <family val="2"/>
          </rPr>
          <t xml:space="preserve">
SCI, in q4 2018</t>
        </r>
      </text>
    </comment>
    <comment ref="C536" authorId="3" shapeId="0" xr:uid="{868D8C23-A722-458F-A307-06D5005D0AAF}">
      <text>
        <r>
          <rPr>
            <b/>
            <sz val="9"/>
            <color indexed="81"/>
            <rFont val="Tahoma"/>
            <family val="2"/>
          </rPr>
          <t>Administrator:</t>
        </r>
        <r>
          <rPr>
            <sz val="9"/>
            <color indexed="81"/>
            <rFont val="Tahoma"/>
            <family val="2"/>
          </rPr>
          <t xml:space="preserve">
SCI, in q4 2018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Than Kyaw Soe</author>
  </authors>
  <commentList>
    <comment ref="E420" authorId="0" shapeId="0" xr:uid="{00000000-0006-0000-0F00-000001000000}">
      <text>
        <r>
          <rPr>
            <b/>
            <sz val="9"/>
            <color indexed="81"/>
            <rFont val="Tahoma"/>
            <family val="2"/>
          </rPr>
          <t>Than Kyaw Soe:</t>
        </r>
        <r>
          <rPr>
            <sz val="9"/>
            <color indexed="81"/>
            <rFont val="Tahoma"/>
            <family val="2"/>
          </rPr>
          <t xml:space="preserve">
move to another locations need to change the GPS Point</t>
        </r>
      </text>
    </comment>
  </commentList>
</comments>
</file>

<file path=xl/sharedStrings.xml><?xml version="1.0" encoding="utf-8"?>
<sst xmlns="http://schemas.openxmlformats.org/spreadsheetml/2006/main" count="21685" uniqueCount="3291">
  <si>
    <t>V1</t>
  </si>
  <si>
    <t>V2</t>
  </si>
  <si>
    <t>V3</t>
  </si>
  <si>
    <t>V4</t>
  </si>
  <si>
    <t>V5</t>
  </si>
  <si>
    <t>V7</t>
  </si>
  <si>
    <t>V8</t>
  </si>
  <si>
    <t>x1</t>
  </si>
  <si>
    <t>x2</t>
  </si>
  <si>
    <t>x4</t>
  </si>
  <si>
    <t>x5</t>
  </si>
  <si>
    <t>x6</t>
  </si>
  <si>
    <t>x7</t>
  </si>
  <si>
    <t>x8</t>
  </si>
  <si>
    <t>x9</t>
  </si>
  <si>
    <t>x10</t>
  </si>
  <si>
    <t>drop down</t>
  </si>
  <si>
    <t>#</t>
  </si>
  <si>
    <t>Text</t>
  </si>
  <si>
    <t>date</t>
  </si>
  <si>
    <t>Reporting Period</t>
  </si>
  <si>
    <t>WASH focal Agency</t>
  </si>
  <si>
    <t>State</t>
  </si>
  <si>
    <t>Township</t>
  </si>
  <si>
    <t>Site Name</t>
  </si>
  <si>
    <t>Total HH</t>
  </si>
  <si>
    <t xml:space="preserve">Total PoP </t>
  </si>
  <si>
    <t xml:space="preserve">Primary Donor covering WASH activities at site </t>
  </si>
  <si>
    <t>CCCM Management</t>
  </si>
  <si>
    <t>CCCM Focal Agency</t>
  </si>
  <si>
    <t>Type of accommodation</t>
  </si>
  <si>
    <t>Ethnic or GCA/NGCA</t>
  </si>
  <si>
    <t>Lat</t>
  </si>
  <si>
    <t>Long</t>
  </si>
  <si>
    <t>Pcode</t>
  </si>
  <si>
    <t>Covered</t>
  </si>
  <si>
    <t>Remark</t>
  </si>
  <si>
    <t>2017_Q4</t>
  </si>
  <si>
    <t>KMSS</t>
  </si>
  <si>
    <t>Kachin</t>
  </si>
  <si>
    <t>Mansi</t>
  </si>
  <si>
    <t>Maing Khaung Catholic Church</t>
  </si>
  <si>
    <t>DFID/HARP</t>
  </si>
  <si>
    <t>Yes</t>
  </si>
  <si>
    <t>KMSS-BMO</t>
  </si>
  <si>
    <t>Camp</t>
  </si>
  <si>
    <t>GCA</t>
  </si>
  <si>
    <t>HRP calculation</t>
  </si>
  <si>
    <t>Current Indicators</t>
  </si>
  <si>
    <t>Definitions/Remarks</t>
  </si>
  <si>
    <t xml:space="preserve">CAMP </t>
  </si>
  <si>
    <t xml:space="preserve">VILLAGE </t>
  </si>
  <si>
    <t>V9</t>
  </si>
  <si>
    <t>V10</t>
  </si>
  <si>
    <t># Work days (approx) lost in this site due to access restrictions</t>
  </si>
  <si>
    <t>Yes/No</t>
  </si>
  <si>
    <t>V11</t>
  </si>
  <si>
    <t>%</t>
  </si>
  <si>
    <t>V12</t>
  </si>
  <si>
    <t>HRP 1 (improved sources)</t>
  </si>
  <si>
    <t>V13</t>
  </si>
  <si>
    <t># of functional public wells/boreholes ( deep tube well, shallow tube well) with water flowing/available all day with a functional flowrate</t>
  </si>
  <si>
    <t xml:space="preserve">Protected/fenced ponds do not count as improved water source or safe drinking water unless the results for ceramic filters and negative e.coli water quality test results are in place. </t>
  </si>
  <si>
    <t>V17</t>
  </si>
  <si>
    <t># of water points that have been fully handed over to families and community as part of the exit strategy. Note repairs might still be done by committees</t>
  </si>
  <si>
    <t>V16</t>
  </si>
  <si>
    <t>WATER
Comments                                         
(If you have gaps or questions)</t>
  </si>
  <si>
    <t>V18</t>
  </si>
  <si>
    <t>N/A</t>
  </si>
  <si>
    <t>V20</t>
  </si>
  <si>
    <t>V21</t>
  </si>
  <si>
    <t>V22</t>
  </si>
  <si>
    <t>Sanitation 
Comments                                               
(If you have gaps or questions)</t>
  </si>
  <si>
    <t>V23</t>
  </si>
  <si>
    <t>V25</t>
  </si>
  <si>
    <t>V26</t>
  </si>
  <si>
    <t>V27</t>
  </si>
  <si>
    <t>V28</t>
  </si>
  <si>
    <t>Is sufficient soap available for TLS? (Yes/No)</t>
  </si>
  <si>
    <t>Hygiene
Comments                                                               
(If you have gaps or questions)</t>
  </si>
  <si>
    <t>HRP Code</t>
  </si>
  <si>
    <t>4W Code</t>
  </si>
  <si>
    <t>Corresponding 4W indicator</t>
  </si>
  <si>
    <t>Unit</t>
  </si>
  <si>
    <t>HRP1</t>
  </si>
  <si>
    <t>Number of people with access to functional sanitation facilities</t>
  </si>
  <si>
    <t>Number of people reached by regular dedicated hygiene promotion/behavior change activities</t>
  </si>
  <si>
    <r>
      <rPr>
        <sz val="18"/>
        <color theme="0"/>
        <rFont val="Calibri"/>
        <family val="2"/>
      </rPr>
      <t>WASH CLUSTER</t>
    </r>
    <r>
      <rPr>
        <b/>
        <sz val="18"/>
        <color theme="0"/>
        <rFont val="Calibri"/>
        <family val="2"/>
      </rPr>
      <t xml:space="preserve"> 4W MATRIX </t>
    </r>
    <r>
      <rPr>
        <sz val="18"/>
        <color theme="0"/>
        <rFont val="Calibri"/>
        <family val="2"/>
      </rPr>
      <t>MYANMAR</t>
    </r>
  </si>
  <si>
    <t>Objectives of the 4W matrix:</t>
  </si>
  <si>
    <t>To identify the geographical positionning of the different intervenants (Who)</t>
  </si>
  <si>
    <t>To reduce the geographical gaps coverage (Where)</t>
  </si>
  <si>
    <t>To produce a basic analysis of the needs covered, and needs remaining (What)</t>
  </si>
  <si>
    <t>To predict at minima the coverage extension or reduction in short term (When)</t>
  </si>
  <si>
    <t>To support defining priorities (traffic light)</t>
  </si>
  <si>
    <t>To offer a synthetic situation overview, a relavant and comparable analysis over time</t>
  </si>
  <si>
    <t>The 4W exercise cannot replace more complex and field monitoring tools and analysis.</t>
  </si>
  <si>
    <t xml:space="preserve"> It won't analyse much the qualitative aspect of the intervention, while it is a pre-condition for any intervention </t>
  </si>
  <si>
    <t>To respect minimum technical standards, shared and contextualised by the cluster</t>
  </si>
  <si>
    <t>Principle</t>
  </si>
  <si>
    <t>The matrix remain a flexible tools and can be frequently adapted, based on field experience, needs, and change in the intervention context</t>
  </si>
  <si>
    <t>The Wash cluster has the duty to offer a feed back on data provided by the Agency, and offer a consolidated analysis.</t>
  </si>
  <si>
    <t>The wash cluster meeting, state level or country level, are the place to exchange on result findings</t>
  </si>
  <si>
    <t>The 4W should be updated at quaterly basis, while all agencies are requested to fill the form to offer a more accurate and relevant outlook of the situation</t>
  </si>
  <si>
    <t>The 4W and its analysis is shared with the Myanmar autorities at state and national level</t>
  </si>
  <si>
    <t>The wash cluster is in charge of gathering the information from the State government, in case of technical direct implementation</t>
  </si>
  <si>
    <t>The 4W consolidated by the wash cluster and its analysis will be quarterly shared through the google wash group, WASH Cluster google drive and the MIMU internet site</t>
  </si>
  <si>
    <t>Use of Excel Sheet:</t>
  </si>
  <si>
    <t>DATABASE: Main database for Data Entry by partners</t>
  </si>
  <si>
    <t>HRP Calculations: Calculations method for HRP indicators</t>
  </si>
  <si>
    <t>ANALYSIS: overall Analysis based on partner's  quarterly update 4 Ws</t>
  </si>
  <si>
    <t>Kachin/Rakhine/Shan: Quarterly Snapshot by state. Mapping can not be included in data entry period. It will be included in final version of 4 W released.</t>
  </si>
  <si>
    <t>By Camp: camp level analysis with different dimensions</t>
  </si>
  <si>
    <t>Focal point Agency:</t>
  </si>
  <si>
    <t xml:space="preserve">As per WASH cluster strategic plan and SOF, the approach remains one main wash actor per camp </t>
  </si>
  <si>
    <t>However, depending of the needs, two actors can be considered per sub sector, and different regarding wash sub-sector</t>
  </si>
  <si>
    <t>From a cluster point of view, to facilitate the data collection, the defined focal wash agency is reporting for the overall wash situation in the location, and not only on its own activities</t>
  </si>
  <si>
    <t>The agency focal point is defined on an bilateral agreement between NGOs, while the Cluster can accompaign any process difficulties</t>
  </si>
  <si>
    <t>Geographical reporting coverage</t>
  </si>
  <si>
    <t>WASH Cluster, through intersectorial coordination with CCCM, is providing a site baseline data. However,  this pre-defined list is not closed to new locations, if related to the emergency.</t>
  </si>
  <si>
    <t>In case of new location (ex: spontaneous camps not registered with CCCM, host communities considered directly affected, isolated villages facing</t>
  </si>
  <si>
    <t>humanitarian risk…), please mark in the Database, and engage exchange with the Wash cluster in order to properly recognize this location, and allow to exchange with CCCM if needed.</t>
  </si>
  <si>
    <t>The agencies are also welcome to cross check the data and mention major discrepancies with field observations. The wash cluster in that case ensures a follow up at the inter-cluster level</t>
  </si>
  <si>
    <t>CALCULATION</t>
  </si>
  <si>
    <t>V14</t>
  </si>
  <si>
    <t>V15</t>
  </si>
  <si>
    <t>Access to safe drinking water through improved water points (for Camp)</t>
  </si>
  <si>
    <t>Access to safe drinking water through improved water points (for Village)</t>
  </si>
  <si>
    <t>Equitable and continuous access to sufficient quantity of safe drinking water through improved water sources</t>
  </si>
  <si>
    <t>Number of People with equitable and continuous access to sufficient quantity of safe drinking water through improved water sources</t>
  </si>
  <si>
    <t>Number of People access to unimproved water sources</t>
  </si>
  <si>
    <t>% Equitable and continuous access to sufficient quantity of domestic water (borehole+ponds)</t>
  </si>
  <si>
    <t># of Water points coverage</t>
  </si>
  <si>
    <r>
      <t>% of equitable and continuous access to sufficient quantity of safe drinking and domestic water's GAP</t>
    </r>
    <r>
      <rPr>
        <b/>
        <sz val="10"/>
        <color rgb="FFFF0000"/>
        <rFont val="Corbel"/>
        <family val="2"/>
      </rPr>
      <t/>
    </r>
  </si>
  <si>
    <t># Potential required new water points</t>
  </si>
  <si>
    <t>Total required water points</t>
  </si>
  <si>
    <t># potential required new latrines</t>
  </si>
  <si>
    <t>Total required Latrines</t>
  </si>
  <si>
    <t>Hygiene Coverage %</t>
  </si>
  <si>
    <t>%people reached by regular dedicated hygiene promotion/behavior change activities</t>
  </si>
  <si>
    <t>% of HH with access to soap</t>
  </si>
  <si>
    <t>% of HH with access to Sanitary Pad</t>
  </si>
  <si>
    <t>Nb of HH with access to Hand Washing Station</t>
  </si>
  <si>
    <t>Location Type</t>
  </si>
  <si>
    <t>Location Type 1</t>
  </si>
  <si>
    <t>No</t>
  </si>
  <si>
    <t>Functional</t>
  </si>
  <si>
    <t>Household</t>
  </si>
  <si>
    <t>Sin Bo</t>
  </si>
  <si>
    <t>NA</t>
  </si>
  <si>
    <t>KBC</t>
  </si>
  <si>
    <t>Waingmaw</t>
  </si>
  <si>
    <t>Sha-It Yang</t>
  </si>
  <si>
    <t xml:space="preserve">Plan/GFFO,ADRA/CANADA  </t>
  </si>
  <si>
    <t>Both</t>
  </si>
  <si>
    <t>Chipwi</t>
  </si>
  <si>
    <t>Hpare Hkyer - BP6</t>
  </si>
  <si>
    <t>Hpakant</t>
  </si>
  <si>
    <t>Hlaing Naung Baptist</t>
  </si>
  <si>
    <t>ADRA/CANADA</t>
  </si>
  <si>
    <t>Non_Functional</t>
  </si>
  <si>
    <t>Mogaung</t>
  </si>
  <si>
    <t xml:space="preserve">Kyun Taw Baptist Church </t>
  </si>
  <si>
    <t>Mang Hawng Baptist Church</t>
  </si>
  <si>
    <t xml:space="preserve">Nat Gyi Kone Baptist Church </t>
  </si>
  <si>
    <t>Sar Hmaw - KBC</t>
  </si>
  <si>
    <t>Mohnyin</t>
  </si>
  <si>
    <t xml:space="preserve">Nawng Ing (Indawgyi) Baptist Church </t>
  </si>
  <si>
    <t>Myitkyina</t>
  </si>
  <si>
    <t>Du Kahtawng Baptist</t>
  </si>
  <si>
    <t>Jan Mai Kawng Baptist Church</t>
  </si>
  <si>
    <t>Kyun Pin Thar Baptist Church</t>
  </si>
  <si>
    <t>Le Kone Bethlehem Church</t>
  </si>
  <si>
    <t xml:space="preserve">Le Kone Ziun Baptist Church </t>
  </si>
  <si>
    <t>Maliyang Baptist Church</t>
  </si>
  <si>
    <t>Man Hkring Baptist Church</t>
  </si>
  <si>
    <t xml:space="preserve">Njang Dung Baptist Church </t>
  </si>
  <si>
    <t>Shatapru Sut Ngai Tawng</t>
  </si>
  <si>
    <t>Shwe Zet Baptist Church</t>
  </si>
  <si>
    <t>Tat Kone Baptist Church</t>
  </si>
  <si>
    <t>Tat Kone Galile Baptist Church</t>
  </si>
  <si>
    <t>Tat Kone San Pya Baptist Church</t>
  </si>
  <si>
    <t>Puta-O</t>
  </si>
  <si>
    <t>Lung Sut</t>
  </si>
  <si>
    <t>Hkau Shau (BP 12)</t>
  </si>
  <si>
    <t>Mading Baptist Church</t>
  </si>
  <si>
    <t xml:space="preserve">Maga Yang </t>
  </si>
  <si>
    <t>Maina KBC (Bawng Ring)</t>
  </si>
  <si>
    <t>Maina Lawang Baptist Church</t>
  </si>
  <si>
    <t>Pajau - Jan Mai</t>
  </si>
  <si>
    <t>Qtr. 2 Myoma Baptist Church</t>
  </si>
  <si>
    <t>Shing Jai</t>
  </si>
  <si>
    <t>Maing Khaung</t>
  </si>
  <si>
    <t>Sumprabum</t>
  </si>
  <si>
    <t>Ndup Yang</t>
  </si>
  <si>
    <t>Not_inPlace</t>
  </si>
  <si>
    <t>Salang Yang</t>
  </si>
  <si>
    <t xml:space="preserve">Shar Du Zut KBC church </t>
  </si>
  <si>
    <t>Shar Du Zut RC church</t>
  </si>
  <si>
    <t>Muyin church (Aung Yar pre-school compound)</t>
  </si>
  <si>
    <t>Shar Du Zut SanPya</t>
  </si>
  <si>
    <t>Metta</t>
  </si>
  <si>
    <t>Mansi Baptist Church</t>
  </si>
  <si>
    <t>USAID, Christian AID, HIDA</t>
  </si>
  <si>
    <t>Bhamo</t>
  </si>
  <si>
    <t>Aung Thar Church</t>
  </si>
  <si>
    <t>WHH ( BMZ ),USAID</t>
  </si>
  <si>
    <t>Htoi San Church</t>
  </si>
  <si>
    <t>USAID, Christian AID, HIDA, WHH ( AA )</t>
  </si>
  <si>
    <t>Lisu Boarding-House</t>
  </si>
  <si>
    <t>Mu-yin Baptist Church</t>
  </si>
  <si>
    <t>WHH ( BMZ ),USAID, HIDA</t>
  </si>
  <si>
    <t>Nant Hlaing Church</t>
  </si>
  <si>
    <t>Yoe Kyi Monastery</t>
  </si>
  <si>
    <t>Momauk</t>
  </si>
  <si>
    <t>Agritural Compound (KBC)</t>
  </si>
  <si>
    <t>Kachin Su Baptist Church (ECCD)</t>
  </si>
  <si>
    <t>USAID,Christian Aid, HIDA</t>
  </si>
  <si>
    <t>Khar Nan (1) Baptist Church</t>
  </si>
  <si>
    <t>Man Bung Catholic compound</t>
  </si>
  <si>
    <t>Mandalay Monestry</t>
  </si>
  <si>
    <t>WHH ( BMZ ),USAID, Christian AID</t>
  </si>
  <si>
    <t>Momauk Baptist Church</t>
  </si>
  <si>
    <t>Shwegu</t>
  </si>
  <si>
    <t>Shwe Gu Baptist Church</t>
  </si>
  <si>
    <t>Shwe Gu Catholic Church</t>
  </si>
  <si>
    <t xml:space="preserve">Hpun Lum Yang </t>
  </si>
  <si>
    <t>WHH-BMZ,WHH-AA</t>
  </si>
  <si>
    <t>Boys Boarding house, A Len Bum</t>
  </si>
  <si>
    <t>Girl Boarding house, A Len Bum</t>
  </si>
  <si>
    <t xml:space="preserve">Woi Chyai </t>
  </si>
  <si>
    <t>Woi Chyai host families</t>
  </si>
  <si>
    <t>Woi Chyai (Mong Lai)</t>
  </si>
  <si>
    <t>IDP Boarding School, A Len Bum</t>
  </si>
  <si>
    <t>Pan Wa</t>
  </si>
  <si>
    <t>DFID/UNICEF</t>
  </si>
  <si>
    <t>Saw Zam</t>
  </si>
  <si>
    <t xml:space="preserve">DFID / UNICEF </t>
  </si>
  <si>
    <t>Communal</t>
  </si>
  <si>
    <t>5 Ward RC Church(lon Khin)</t>
  </si>
  <si>
    <t>Nant Ma Hpit Catholic Church</t>
  </si>
  <si>
    <t xml:space="preserve">Dum Bung </t>
  </si>
  <si>
    <t>Jan Mai Kawng Catholic Church</t>
  </si>
  <si>
    <t>Nan Kway St. John Catholic Church</t>
  </si>
  <si>
    <t>Pa Dauk Myaing(Pa La Na)</t>
  </si>
  <si>
    <t>Border Post 8</t>
  </si>
  <si>
    <t>Maina Catholic Church (St. Joseph)</t>
  </si>
  <si>
    <t>Post 6 Camp</t>
  </si>
  <si>
    <t xml:space="preserve">St. Patrick Catholic Church </t>
  </si>
  <si>
    <t xml:space="preserve">Ma Hawng RC </t>
  </si>
  <si>
    <t>UNICEF</t>
  </si>
  <si>
    <t>Shalom</t>
  </si>
  <si>
    <t>Lawng Hkang Shait Yang Camp​ ( Lel Pyin)​ </t>
  </si>
  <si>
    <t>OFDA</t>
  </si>
  <si>
    <t>Chipwi KBC camp</t>
  </si>
  <si>
    <t>UNICEF/OFDA</t>
  </si>
  <si>
    <t>Lhaovao Baptist Church (LBC)</t>
  </si>
  <si>
    <t>AG Church, Hmaw Si Sa</t>
  </si>
  <si>
    <t>AG Church, Maw Wan</t>
  </si>
  <si>
    <t>Baptist Church, Hmaw Si Sar(Lon Khin)</t>
  </si>
  <si>
    <t>Chin Church, Seik Mu</t>
  </si>
  <si>
    <t>Dhama Rakhita, Nyein Chan Tar Yar Ward(Lon Khin)</t>
  </si>
  <si>
    <t>Hmaw Wan, Anglican</t>
  </si>
  <si>
    <t>Hpakant Baptist Church, Nam Ma Hpit</t>
  </si>
  <si>
    <t>Lisu Baptist Church, Maw Shan Vil,. Seik Mu</t>
  </si>
  <si>
    <t>Lisu Baptist Church, Maw Wan Ward</t>
  </si>
  <si>
    <t>Maw Wan, Mu-yin Baptist Church</t>
  </si>
  <si>
    <t>Nam Ma Phyit, COC</t>
  </si>
  <si>
    <t>Rawan Baptist Church, Maw Shan Vil., Seik Mu</t>
  </si>
  <si>
    <t>Sai Nai Baptish Church, Maw Shan Vil., Seki Mu</t>
  </si>
  <si>
    <t xml:space="preserve">Ward 2 Sai Taung Baptist Church, Seik Mu </t>
  </si>
  <si>
    <t>Yumar Baptist Church</t>
  </si>
  <si>
    <t>Maw Hpawng Hka Nan Baptist Church</t>
  </si>
  <si>
    <t>Maw Hpawng Lhaovo Baptist Church</t>
  </si>
  <si>
    <t>Shatapru Thida Aye Baptist Church</t>
  </si>
  <si>
    <t>Tat Kone COC Baptist - Tat Kone Htoi San</t>
  </si>
  <si>
    <t>Tat Kone Emanuel Church</t>
  </si>
  <si>
    <t xml:space="preserve">Hkat Cho </t>
  </si>
  <si>
    <t>Maina AG Church</t>
  </si>
  <si>
    <t>Nawng Hee Village</t>
  </si>
  <si>
    <t>Qtr. 2 Lhaovo Baptist Church</t>
  </si>
  <si>
    <t>Qtr. 3 Mu-yin  Baptist Church</t>
  </si>
  <si>
    <t>Qtr. 4 Monestry (Thargaya Thayett Taw)</t>
  </si>
  <si>
    <t>Thargaya Lisu Baptist Church</t>
  </si>
  <si>
    <t>Waingmaw AG Church</t>
  </si>
  <si>
    <t>SI</t>
  </si>
  <si>
    <t>AD-2000 Tharthana Compound</t>
  </si>
  <si>
    <t>ECHO/OFDA</t>
  </si>
  <si>
    <t>Phan Khar Kone</t>
  </si>
  <si>
    <t>Robert Church</t>
  </si>
  <si>
    <t>Loi Je Baptist Church</t>
  </si>
  <si>
    <t>Loi Je Catholic Church</t>
  </si>
  <si>
    <t>Loi Je Lisu Camp</t>
  </si>
  <si>
    <t xml:space="preserve">Nyaung Na Pin </t>
  </si>
  <si>
    <t>ECHO,OFDA</t>
  </si>
  <si>
    <t xml:space="preserve">Seng Ja </t>
  </si>
  <si>
    <t>Man Bung Edin Baptist Church</t>
  </si>
  <si>
    <t>Lwegel High School</t>
  </si>
  <si>
    <t>Laiza Je Yang School</t>
  </si>
  <si>
    <t xml:space="preserve">Je Yang Hka </t>
  </si>
  <si>
    <t>WPN</t>
  </si>
  <si>
    <t>ECHO</t>
  </si>
  <si>
    <t>Unknown</t>
  </si>
  <si>
    <t>Lana Zup Ja</t>
  </si>
  <si>
    <t xml:space="preserve">Nhkawng Pa </t>
  </si>
  <si>
    <t xml:space="preserve">Pa Kahtawng </t>
  </si>
  <si>
    <t>SCI</t>
  </si>
  <si>
    <t>Man Wing Baptist Church</t>
  </si>
  <si>
    <t>MHF</t>
  </si>
  <si>
    <t>Man Wing Baptist Church Cultural Compound</t>
  </si>
  <si>
    <t>Man Wing Catholic Church</t>
  </si>
  <si>
    <t>Man Wing Catholic Church II</t>
  </si>
  <si>
    <t>MA_UK</t>
  </si>
  <si>
    <t>Rakhine</t>
  </si>
  <si>
    <t>Sittwe</t>
  </si>
  <si>
    <t>MAA</t>
  </si>
  <si>
    <t>DFID</t>
  </si>
  <si>
    <t>Dar Paing Village</t>
  </si>
  <si>
    <t>None</t>
  </si>
  <si>
    <t>Phwe Yar Gone village</t>
  </si>
  <si>
    <t>Thar Yar Kone (M)</t>
  </si>
  <si>
    <t>Kyauktaw</t>
  </si>
  <si>
    <t>Ah Lel Mu</t>
  </si>
  <si>
    <t>CARE</t>
  </si>
  <si>
    <t>Maungdaw</t>
  </si>
  <si>
    <t>Alay Mushee</t>
  </si>
  <si>
    <t>EU</t>
  </si>
  <si>
    <t>Malteser</t>
  </si>
  <si>
    <t>Aung Thay Pyay (NaTaLa)</t>
  </si>
  <si>
    <t>AA</t>
  </si>
  <si>
    <t>Aung Thay Pyay (San Suri)</t>
  </si>
  <si>
    <t>Minbya</t>
  </si>
  <si>
    <t>Cheit Taung</t>
  </si>
  <si>
    <t>ACF</t>
  </si>
  <si>
    <t>DPA</t>
  </si>
  <si>
    <t>Europaid</t>
  </si>
  <si>
    <t>Fatar</t>
  </si>
  <si>
    <t>CDN</t>
  </si>
  <si>
    <t>Buthidaung</t>
  </si>
  <si>
    <t xml:space="preserve">Faw Tay Ali </t>
  </si>
  <si>
    <t>ZOA</t>
  </si>
  <si>
    <t>Kha Maung Seik North</t>
  </si>
  <si>
    <t>Ma Gyi Koung</t>
  </si>
  <si>
    <t>Majee Ywa</t>
  </si>
  <si>
    <t>Ann</t>
  </si>
  <si>
    <t>Mingalar on</t>
  </si>
  <si>
    <t>BMZ</t>
  </si>
  <si>
    <t>Muslim (Aley Ywa)</t>
  </si>
  <si>
    <t>Muslim (Taung Ywa)</t>
  </si>
  <si>
    <t>Myaunk Ywa_R</t>
  </si>
  <si>
    <t>Nant Yar Gaing (Nant Yar Gaing)</t>
  </si>
  <si>
    <t>Nat Chaung (Garapyin)</t>
  </si>
  <si>
    <t>Palae' Kaine</t>
  </si>
  <si>
    <t>GIZ</t>
  </si>
  <si>
    <t>Phas Kawri</t>
  </si>
  <si>
    <t>Pin Zaing</t>
  </si>
  <si>
    <t>Rathedaung</t>
  </si>
  <si>
    <t>Pyaing Taung (Rakhine)</t>
  </si>
  <si>
    <t>LIFT</t>
  </si>
  <si>
    <t>Rakhine Ywa</t>
  </si>
  <si>
    <t>Rakhine Ywa_R</t>
  </si>
  <si>
    <t>Raza Bil</t>
  </si>
  <si>
    <t>Sapar Seik (Shari)</t>
  </si>
  <si>
    <t>Shwe Yin Aye</t>
  </si>
  <si>
    <t>Thit Taw Ywa</t>
  </si>
  <si>
    <t>Thit Tone Na Gwa Sone (Daung Ywa)</t>
  </si>
  <si>
    <t>Thit Tone Na Gwa Sone (Ywa Ma)</t>
  </si>
  <si>
    <t>Thit Tone Nar Lay Myo</t>
  </si>
  <si>
    <t>Thone Gwa</t>
  </si>
  <si>
    <t>Wa Khote Chaung</t>
  </si>
  <si>
    <t>Wai Thar Le</t>
  </si>
  <si>
    <t>Ywa Ma</t>
  </si>
  <si>
    <t>Ywa Thar Yar</t>
  </si>
  <si>
    <t>Ramree</t>
  </si>
  <si>
    <t>Ramree Ward 6</t>
  </si>
  <si>
    <t>Ramree Town</t>
  </si>
  <si>
    <t>Kyaukpyu</t>
  </si>
  <si>
    <t>Yae Myet</t>
  </si>
  <si>
    <t>Kyauk Ka Lay</t>
  </si>
  <si>
    <t>Baw Ya Par</t>
  </si>
  <si>
    <t>Rakhine Min Pyin</t>
  </si>
  <si>
    <t>Chin Ywar Min Pyin</t>
  </si>
  <si>
    <t>Wa Hmyaung</t>
  </si>
  <si>
    <t>Pyu Chaing</t>
  </si>
  <si>
    <t>War Net Chun</t>
  </si>
  <si>
    <t>Oxfam</t>
  </si>
  <si>
    <t>Ka Nyin Taw</t>
  </si>
  <si>
    <t>Kyauk Ta Lone</t>
  </si>
  <si>
    <t>MHDO</t>
  </si>
  <si>
    <t>Aung Thar Yar</t>
  </si>
  <si>
    <t>Mei Za Li Kaing</t>
  </si>
  <si>
    <t>Nyaung Chaung_ann</t>
  </si>
  <si>
    <t>Kan Za Li</t>
  </si>
  <si>
    <t>Taik Maw</t>
  </si>
  <si>
    <t>Wet Mee To</t>
  </si>
  <si>
    <t>Lun Kyaw</t>
  </si>
  <si>
    <t>Taung Chauk</t>
  </si>
  <si>
    <t>Oe Pone</t>
  </si>
  <si>
    <t>Sa Khan Maw</t>
  </si>
  <si>
    <t>Tan Chaung</t>
  </si>
  <si>
    <t>Laung Sat</t>
  </si>
  <si>
    <t>Kha Yan Kyun</t>
  </si>
  <si>
    <t>Nga Let Kya</t>
  </si>
  <si>
    <t>Chin Kone</t>
  </si>
  <si>
    <t>Pyaung Chaung</t>
  </si>
  <si>
    <t>Sin U Taik</t>
  </si>
  <si>
    <t>Zu Kaing</t>
  </si>
  <si>
    <t>Swi Chaung</t>
  </si>
  <si>
    <t>Kyeik Chaung</t>
  </si>
  <si>
    <t>Za Yat Kwin</t>
  </si>
  <si>
    <t>Dar Let (South)</t>
  </si>
  <si>
    <t>Ywar Haung Ah Htet</t>
  </si>
  <si>
    <t>Dar Let Ah Lel Kyun</t>
  </si>
  <si>
    <t>Nat Maw (Upper)</t>
  </si>
  <si>
    <t>Shan Kone</t>
  </si>
  <si>
    <t>Dar Let (North)</t>
  </si>
  <si>
    <t>Kwayt Shey Ywar Thit
(Kwayt Shay)</t>
  </si>
  <si>
    <t>RI</t>
  </si>
  <si>
    <t>Myebon</t>
  </si>
  <si>
    <t>Taung Paw</t>
  </si>
  <si>
    <t>Kan Thar Htwat Wa</t>
  </si>
  <si>
    <t>Pauktaw</t>
  </si>
  <si>
    <t>Sin Tet Maw Rakhine(Baw Da Li)</t>
  </si>
  <si>
    <t>Sin Tet Maw (Host)</t>
  </si>
  <si>
    <t>Sin Tet Maw</t>
  </si>
  <si>
    <t>Nget Chaung 1</t>
  </si>
  <si>
    <t>Nget Chaung 2</t>
  </si>
  <si>
    <t>Sin Aing</t>
  </si>
  <si>
    <t>DRC</t>
  </si>
  <si>
    <t>Kyein Ni Pyin</t>
  </si>
  <si>
    <t>Ah Nauk Ye Ku Lar</t>
  </si>
  <si>
    <t>Ah Nauk Ywe</t>
  </si>
  <si>
    <t>Bar Sa Yar Host</t>
  </si>
  <si>
    <t>Basare</t>
  </si>
  <si>
    <t>Bu May</t>
  </si>
  <si>
    <t>Set Yone Su 1</t>
  </si>
  <si>
    <t>Thea Chaung Let Tha Mar Kone</t>
  </si>
  <si>
    <t>Sat Roe Kya 1</t>
  </si>
  <si>
    <t>Sat Roe Kya 2</t>
  </si>
  <si>
    <t>Set Yone Su 3</t>
  </si>
  <si>
    <t>Thea Chaung Ku Lar</t>
  </si>
  <si>
    <t>Thae Chaung</t>
  </si>
  <si>
    <t>Dar Pai (IDP in host families)</t>
  </si>
  <si>
    <t>Dar Pai</t>
  </si>
  <si>
    <t>Baw Du Pha 1</t>
  </si>
  <si>
    <t xml:space="preserve">Thet Kae Pyin </t>
  </si>
  <si>
    <t>Baw Du Pha 2</t>
  </si>
  <si>
    <t>Thet Kae Pyin Village (IDPs in host family)</t>
  </si>
  <si>
    <t>Hla May Shwe</t>
  </si>
  <si>
    <t>Ohn Taw Gyi (South)</t>
  </si>
  <si>
    <t>Maw Ti Ngar</t>
  </si>
  <si>
    <t>Ohn Taw Gyi (North)</t>
  </si>
  <si>
    <t>Say Tha Mar Nge</t>
  </si>
  <si>
    <t>Thet Kay Pyin Ywar Ma</t>
  </si>
  <si>
    <t>Done Pyin Village</t>
  </si>
  <si>
    <t>Ohn Taw Gyi</t>
  </si>
  <si>
    <t>Say Tha Mar Gyi village</t>
  </si>
  <si>
    <t>Zaw Pu Gyar</t>
  </si>
  <si>
    <t>Say Tha Mar Gyi</t>
  </si>
  <si>
    <t>Ohn Taw Shey</t>
  </si>
  <si>
    <t>Ohn Taw Chay</t>
  </si>
  <si>
    <t>Nga/ Pun Ywar Shey</t>
  </si>
  <si>
    <t>Daung Pyauk Kay</t>
  </si>
  <si>
    <t>Kan Ni</t>
  </si>
  <si>
    <t>Nga/ Pun Ywar Gyi</t>
  </si>
  <si>
    <t>Thein Tan</t>
  </si>
  <si>
    <t>Me la zi Kone</t>
  </si>
  <si>
    <t>Ah Lar Than</t>
  </si>
  <si>
    <t xml:space="preserve">Aung Daing </t>
  </si>
  <si>
    <t>Kyet Taw Pyin</t>
  </si>
  <si>
    <t>Nga/Tauk Tet</t>
  </si>
  <si>
    <t>Ponnagyun</t>
  </si>
  <si>
    <t>Tan Khoe</t>
  </si>
  <si>
    <t>Kywi Te</t>
  </si>
  <si>
    <t>Chi Laing Hpin</t>
  </si>
  <si>
    <t>Tan Zwei</t>
  </si>
  <si>
    <t>Nyaung Pin Gyi (Ku Lar)</t>
  </si>
  <si>
    <t>Nyaung Pin Gyi (Rakhine)</t>
  </si>
  <si>
    <t>Thar Si</t>
  </si>
  <si>
    <t>Tha Dar</t>
  </si>
  <si>
    <t>Irish Aid</t>
  </si>
  <si>
    <t>Chaik Taung</t>
  </si>
  <si>
    <t>Shwe Zin Khin (Rakhine)</t>
  </si>
  <si>
    <t>Kan Chaung Wa</t>
  </si>
  <si>
    <t>San Htoe Tan</t>
  </si>
  <si>
    <t>Ah Nauk Pyin</t>
  </si>
  <si>
    <t>Chein Khar Li</t>
  </si>
  <si>
    <t>Yoe Ngu</t>
  </si>
  <si>
    <t>Koe Tan Kauk</t>
  </si>
  <si>
    <t>Naw Wai</t>
  </si>
  <si>
    <t>Mrauk-U</t>
  </si>
  <si>
    <t>Let Than Chi (Ywar Thit)</t>
  </si>
  <si>
    <t>Kyauk Sar Taing</t>
  </si>
  <si>
    <t>Let Than Chi (Haung)</t>
  </si>
  <si>
    <t>Nyaung Pin Hla</t>
  </si>
  <si>
    <t>Zee kone Tan (or) Kon Tan Zay</t>
  </si>
  <si>
    <t>Mi Chaung Yae Thauk</t>
  </si>
  <si>
    <t>Baw Di Kone</t>
  </si>
  <si>
    <t>Yan Aung Pyin</t>
  </si>
  <si>
    <t>Lone Tin</t>
  </si>
  <si>
    <t>Myet Tauk</t>
  </si>
  <si>
    <t>Thit Ka Toe</t>
  </si>
  <si>
    <t>Bu Chaung</t>
  </si>
  <si>
    <t>Dar Peit</t>
  </si>
  <si>
    <t>Kyone Pyin</t>
  </si>
  <si>
    <t xml:space="preserve">U Htoe Dan </t>
  </si>
  <si>
    <t>Tauk Sone</t>
  </si>
  <si>
    <t>Navy Seik</t>
  </si>
  <si>
    <t>Pann Phaw Pyin</t>
  </si>
  <si>
    <t>Shwe Ta Mar</t>
  </si>
  <si>
    <t>Sin Oe</t>
  </si>
  <si>
    <t>Kyauk Pan Du (NTL)</t>
  </si>
  <si>
    <t>Pauk Pin Yin</t>
  </si>
  <si>
    <t>Be Lar Mi</t>
  </si>
  <si>
    <t>Ah Du</t>
  </si>
  <si>
    <t>Than Du</t>
  </si>
  <si>
    <t>Ni Lin Paw</t>
  </si>
  <si>
    <t>Ah Htet Nan Yar (Muslim)</t>
  </si>
  <si>
    <t>Ah Htet Nan Yar (Rakhine)</t>
  </si>
  <si>
    <t>Yin Chaung</t>
  </si>
  <si>
    <t>Ah Htet Nan Yar</t>
  </si>
  <si>
    <t>Chut Pyin</t>
  </si>
  <si>
    <t>Chin Ywa(Pyaing Taung)</t>
  </si>
  <si>
    <t>Maw Htet</t>
  </si>
  <si>
    <t>Tha Yet Oak</t>
  </si>
  <si>
    <t>Pyin Chay</t>
  </si>
  <si>
    <t>Pyin Hlyar Shey</t>
  </si>
  <si>
    <t>Kar Di</t>
  </si>
  <si>
    <t>Kywe Lan Chaung</t>
  </si>
  <si>
    <t>Pet Khwet Seik</t>
  </si>
  <si>
    <t>Nga San Baw (Moke Soe Chaung) (Ywar Haung)</t>
  </si>
  <si>
    <t>Maung Hpyu (Da Pyu Chaung)</t>
  </si>
  <si>
    <t>Kyauk Yan Thar Si</t>
  </si>
  <si>
    <t>Gaw Yaw Ma Ni</t>
  </si>
  <si>
    <t>Maw</t>
  </si>
  <si>
    <t>Kyaung Taung</t>
  </si>
  <si>
    <t>Ngwe Taung</t>
  </si>
  <si>
    <t>Kone Tan</t>
  </si>
  <si>
    <t>Zin Kha Mar</t>
  </si>
  <si>
    <t>Ah Myet Taung</t>
  </si>
  <si>
    <t>Pyaing Taung</t>
  </si>
  <si>
    <t>Taung Chaung</t>
  </si>
  <si>
    <t>Yet Khone Taing</t>
  </si>
  <si>
    <t>Taung Maw</t>
  </si>
  <si>
    <t>Thein Taung pyin (Dine Net)</t>
  </si>
  <si>
    <t>Kon Tan (U Daung Ah Nauk)</t>
  </si>
  <si>
    <t>Zee Khaung</t>
  </si>
  <si>
    <t>Zon Mar</t>
  </si>
  <si>
    <t>Hla Tha Ma</t>
  </si>
  <si>
    <t>Thein Taung pyin (Muslim)</t>
  </si>
  <si>
    <t>Langui</t>
  </si>
  <si>
    <t>Kyauk Pyin Seik</t>
  </si>
  <si>
    <t>Say Tha Ma</t>
  </si>
  <si>
    <t>Pe Tha Du</t>
  </si>
  <si>
    <t>Ahr Kar Taung</t>
  </si>
  <si>
    <t>Oke Taung Pyin</t>
  </si>
  <si>
    <t>Kan Sit</t>
  </si>
  <si>
    <t>Gan Gaw Myaing ( Na Ta La )</t>
  </si>
  <si>
    <t>Ohn Chaung</t>
  </si>
  <si>
    <t>Aung Pa</t>
  </si>
  <si>
    <t>Kar Di (Kywe Cho Maw)</t>
  </si>
  <si>
    <t>Thaing Ta Poke</t>
  </si>
  <si>
    <t>Oke Hpo (Oe Hpauk)</t>
  </si>
  <si>
    <t>Nyaung Chaung</t>
  </si>
  <si>
    <t>Phyar Pyin</t>
  </si>
  <si>
    <t>Oe Hpauk Ywar Thit</t>
  </si>
  <si>
    <t>In Bar Yi</t>
  </si>
  <si>
    <t>Ah Htet See Maung</t>
  </si>
  <si>
    <t>Oke Kan</t>
  </si>
  <si>
    <t>Gwa Sone Muslim</t>
  </si>
  <si>
    <t>Gwa Sone Rakhine</t>
  </si>
  <si>
    <t>Doke Kan Chaung</t>
  </si>
  <si>
    <t>Tha Pyay Seik</t>
  </si>
  <si>
    <t>Goke Pi Htaunt (Rakhine)</t>
  </si>
  <si>
    <t>Nay Pu Khan</t>
  </si>
  <si>
    <t>Goke Pi Htaunt</t>
  </si>
  <si>
    <t>Honsara (Zaw Ma Tat)</t>
  </si>
  <si>
    <t>Hin Thar Ra</t>
  </si>
  <si>
    <t>Du Than Dar</t>
  </si>
  <si>
    <t>Kine Gyi (Rakhine)</t>
  </si>
  <si>
    <t>Sin Khone Taing (Ku Lar)</t>
  </si>
  <si>
    <t>Saw Kina Ma</t>
  </si>
  <si>
    <t>Zaw Ma Tat</t>
  </si>
  <si>
    <t>Lam Bar Gone Nah</t>
  </si>
  <si>
    <t>Din Gar</t>
  </si>
  <si>
    <t>Ah Pauk Wa</t>
  </si>
  <si>
    <t>Gaung Gyi</t>
  </si>
  <si>
    <t>Maw Staw Bis</t>
  </si>
  <si>
    <t>Ywar Thit Kay</t>
  </si>
  <si>
    <t>Wet Ma Kya</t>
  </si>
  <si>
    <t>Sin Khone Taing (Rakhine)</t>
  </si>
  <si>
    <t>Say Taung</t>
  </si>
  <si>
    <t>Yun Nyar</t>
  </si>
  <si>
    <t>Pyin  Hla Zay Ywa</t>
  </si>
  <si>
    <t>Zedi Taung (Muslim)</t>
  </si>
  <si>
    <t>Thein Tan (Rakhine)</t>
  </si>
  <si>
    <t>Thein Tan (Muslim)</t>
  </si>
  <si>
    <t>Kan Pyin</t>
  </si>
  <si>
    <t xml:space="preserve">Baw Li </t>
  </si>
  <si>
    <t>Kyauk Sar Dine</t>
  </si>
  <si>
    <t>Gudar Pyin</t>
  </si>
  <si>
    <t>Nwar Yone Taung</t>
  </si>
  <si>
    <t>Tha Yet Taung</t>
  </si>
  <si>
    <t>San Go Taung</t>
  </si>
  <si>
    <t>Kha Yay Myaing (NaTaLa)</t>
  </si>
  <si>
    <t>Shat Shar Taung</t>
  </si>
  <si>
    <t>Kyauk Yan (Rakhine)</t>
  </si>
  <si>
    <t>U Yin Thar</t>
  </si>
  <si>
    <t>Godzilla (Hteik Tu Pauk Myauk)</t>
  </si>
  <si>
    <t>Tat Oo Anauk</t>
  </si>
  <si>
    <t>Sein Hnyin Pyar_Tha Pyay Taw</t>
  </si>
  <si>
    <t>Let Wea Det Pyin Shey_Tha Pyay Taw</t>
  </si>
  <si>
    <t>Shwe Hlaing</t>
  </si>
  <si>
    <t>Nur Ru Lar</t>
  </si>
  <si>
    <t>Shwe Hlaing Rakhine</t>
  </si>
  <si>
    <t>Min Thar Seik</t>
  </si>
  <si>
    <t>Mardilla</t>
  </si>
  <si>
    <t>Taung Ywa</t>
  </si>
  <si>
    <t>Phwe Ra</t>
  </si>
  <si>
    <t>Taungchay Ywa Muslim</t>
  </si>
  <si>
    <t>Chaung Pauk</t>
  </si>
  <si>
    <t>Myauk Ywa</t>
  </si>
  <si>
    <t>Kan Tha Ya</t>
  </si>
  <si>
    <t>Kyar Nyo Pyin (Rakhine)
+ Pyar Yae</t>
  </si>
  <si>
    <t>Ashit Ywa_M</t>
  </si>
  <si>
    <t>Ashit Ywa_R</t>
  </si>
  <si>
    <t>Hla Nyo Kan</t>
  </si>
  <si>
    <t>Ah Nauk</t>
  </si>
  <si>
    <t>Kin Chaung</t>
  </si>
  <si>
    <t>Let Saung Kauk</t>
  </si>
  <si>
    <t>Ywar Gyi</t>
  </si>
  <si>
    <t>Ywar Gyi (Middle)</t>
  </si>
  <si>
    <t>Kyar Nyo Pyin (Muslim)</t>
  </si>
  <si>
    <t>Taung Pauk</t>
  </si>
  <si>
    <t>Kyauk Se</t>
  </si>
  <si>
    <t>Ngar Yauk Kaing</t>
  </si>
  <si>
    <t>Done Thein</t>
  </si>
  <si>
    <t>Let Thar Ywa</t>
  </si>
  <si>
    <t>Bomu Ywa</t>
  </si>
  <si>
    <t>Kin Taung (Taung + Myauk)</t>
  </si>
  <si>
    <t>Kan Pyi Tha Zi</t>
  </si>
  <si>
    <t>Thaung Paing Nyar</t>
  </si>
  <si>
    <t>Ywa Haung_M</t>
  </si>
  <si>
    <t>Ywa Haung_R</t>
  </si>
  <si>
    <t xml:space="preserve">Kan Kyar Taung </t>
  </si>
  <si>
    <t>Ywa thit Kay</t>
  </si>
  <si>
    <t>Ah Lel Ywa</t>
  </si>
  <si>
    <t>Myoma Myauk (Chitta Ywa)</t>
  </si>
  <si>
    <t>Kan Kyar Myauk</t>
  </si>
  <si>
    <t>Shauk Chaung</t>
  </si>
  <si>
    <t>Myaung Nar</t>
  </si>
  <si>
    <t>Ward-6 (Lay Myaing)</t>
  </si>
  <si>
    <t>Let Wea Det Pyin Shey_Ywar Thit</t>
  </si>
  <si>
    <t>Inn Hpauk</t>
  </si>
  <si>
    <t>Gar Pu (Lower)</t>
  </si>
  <si>
    <t>Ah Htet Gar Pu</t>
  </si>
  <si>
    <t>Let Wea Det Pyin Shey</t>
  </si>
  <si>
    <t>Taung Htaung Ha Yar</t>
  </si>
  <si>
    <t>Ywa Gyi (Tha Yet Kin Ma Nu)</t>
  </si>
  <si>
    <t>Ka Doe Seik</t>
  </si>
  <si>
    <t>Taung (Pale Taung)</t>
  </si>
  <si>
    <t>Kyet Mauk Taung (Myauk Ywar)</t>
  </si>
  <si>
    <t>Kyet Mauk Taung (Taung Ywar)</t>
  </si>
  <si>
    <t>Play Taung Ywa Gyi North</t>
  </si>
  <si>
    <t>Khaung Htoke</t>
  </si>
  <si>
    <t>Nan Yah Gone Ahtet</t>
  </si>
  <si>
    <t>Gone Nar</t>
  </si>
  <si>
    <t>Doe Tan</t>
  </si>
  <si>
    <t>Kyauk Yit Muslim</t>
  </si>
  <si>
    <t>Kyauk Yit RK</t>
  </si>
  <si>
    <t>Palay Taung Ywa Thit</t>
  </si>
  <si>
    <t>Let Wea Det</t>
  </si>
  <si>
    <t>Pyaing Chaung</t>
  </si>
  <si>
    <t>Kyar Nyo Inn</t>
  </si>
  <si>
    <t>Si Tar (Pa Zun Chaung)</t>
  </si>
  <si>
    <t>Pa Lat Kay</t>
  </si>
  <si>
    <t>Aung Thar Yar (NaTaLa)</t>
  </si>
  <si>
    <t>Pale Taung</t>
  </si>
  <si>
    <t>Kha Yu Chaung (Muslim)</t>
  </si>
  <si>
    <t>Laung Chaung (Daing Net)</t>
  </si>
  <si>
    <t>Ba Da Nar</t>
  </si>
  <si>
    <t>Mee Chaung Zay_Ywar Thit</t>
  </si>
  <si>
    <t>Inn Chaung (Muslim)</t>
  </si>
  <si>
    <t>Inn Chaung (Daing Net)</t>
  </si>
  <si>
    <t>Hpar Wut Chaung</t>
  </si>
  <si>
    <t>Hpar Wut Chaung (Myauk Ywar)</t>
  </si>
  <si>
    <t>Zay Teit Taung</t>
  </si>
  <si>
    <t>Chin Pyin</t>
  </si>
  <si>
    <t>Ywar Thar Yar</t>
  </si>
  <si>
    <t>Zin Paing Nyar</t>
  </si>
  <si>
    <t>San Pai Pin Yin</t>
  </si>
  <si>
    <t>Ngan Chaung_Gone Nar</t>
  </si>
  <si>
    <t>Yai Myet Taung Ywa Thit</t>
  </si>
  <si>
    <t>Khat Pa Kaung</t>
  </si>
  <si>
    <t>Lu Fan Pyin</t>
  </si>
  <si>
    <t>Kywe Ta Ma</t>
  </si>
  <si>
    <t>Nga Khu Ya (Myauk Ywar)</t>
  </si>
  <si>
    <t>Kyein Chaung</t>
  </si>
  <si>
    <t>Hindu</t>
  </si>
  <si>
    <t>Koun Tan</t>
  </si>
  <si>
    <t>Lin Bar Gone Nar</t>
  </si>
  <si>
    <t>Yai Mya</t>
  </si>
  <si>
    <t>Sa Pe Kong A Nauk Ywa</t>
  </si>
  <si>
    <t>Sin Thay Pyin (Zay Di Pyin)</t>
  </si>
  <si>
    <t>Kyun Pauk Ku Lar</t>
  </si>
  <si>
    <t>Thet Kaing Ngyar</t>
  </si>
  <si>
    <t>That Kaing Nyar (Thet)</t>
  </si>
  <si>
    <t>Ah Nauk Ka Maung Seik</t>
  </si>
  <si>
    <t>Thae Chaung(Rakhine)</t>
  </si>
  <si>
    <t>Taung Htaung</t>
  </si>
  <si>
    <t>Nga Ta Paung</t>
  </si>
  <si>
    <t>Tha Yet Oke Ywar Haung</t>
  </si>
  <si>
    <t>Pyein Chaung</t>
  </si>
  <si>
    <t>Pyaung Seik</t>
  </si>
  <si>
    <t>La Mu Ta Pin</t>
  </si>
  <si>
    <t>Ahla Madi</t>
  </si>
  <si>
    <t>Kyaung Swae Phyu</t>
  </si>
  <si>
    <t>Shan (North)</t>
  </si>
  <si>
    <t>Namhkan</t>
  </si>
  <si>
    <t>Nam Hkam Catholic Church ( St. Thomas I)</t>
  </si>
  <si>
    <t>ECHO,HARP</t>
  </si>
  <si>
    <t>Kutkai</t>
  </si>
  <si>
    <t>Kutkai downtown (RC Church)</t>
  </si>
  <si>
    <t>HARP</t>
  </si>
  <si>
    <t>Manton</t>
  </si>
  <si>
    <t>Mandung - RC</t>
  </si>
  <si>
    <t>Mungji Pa Dabang (Catholic Church)</t>
  </si>
  <si>
    <t>Muse</t>
  </si>
  <si>
    <t>Muse Catholic Church</t>
  </si>
  <si>
    <t>Nam Hkam - Nay Win Ni (Palawng)</t>
  </si>
  <si>
    <t>Mungji Pa Dabang (Baptist Church)</t>
  </si>
  <si>
    <t>WHH</t>
  </si>
  <si>
    <t>Nam Hkawng</t>
  </si>
  <si>
    <t xml:space="preserve">Nam Hpak Ka Mare </t>
  </si>
  <si>
    <t>WHH(BMZ,AA)</t>
  </si>
  <si>
    <t>WHH(BMZ, AA)</t>
  </si>
  <si>
    <t>Hseni</t>
  </si>
  <si>
    <t>Nam Sa Larp</t>
  </si>
  <si>
    <t>Namtu</t>
  </si>
  <si>
    <t>Pan Ta Pyae</t>
  </si>
  <si>
    <t>Zup Aung Camp</t>
  </si>
  <si>
    <t>Other</t>
  </si>
  <si>
    <t>Kone Khem Camp</t>
  </si>
  <si>
    <t>Kutkai downtown (KBC Church)</t>
  </si>
  <si>
    <t xml:space="preserve">New Pang Ku </t>
  </si>
  <si>
    <t>Kyu Sot</t>
  </si>
  <si>
    <t>Lisu Church Namtu</t>
  </si>
  <si>
    <t xml:space="preserve">Mung Hawm </t>
  </si>
  <si>
    <t>Kutkai downtown (KBC Church-2)</t>
  </si>
  <si>
    <t>Nam Tu Baptist</t>
  </si>
  <si>
    <t>Mandung - Jinghpaw</t>
  </si>
  <si>
    <t>Mine Yu Lay village</t>
  </si>
  <si>
    <t>Muse Baptist Church</t>
  </si>
  <si>
    <t>Nam Hkam (KBC Jaw Wang) II</t>
  </si>
  <si>
    <t>WHH(BMZ, AA),ECHO</t>
  </si>
  <si>
    <t>Namhkan - Pang Long KBC</t>
  </si>
  <si>
    <t>Man Loi</t>
  </si>
  <si>
    <t>Hpai Kawng</t>
  </si>
  <si>
    <t>Hsipaw</t>
  </si>
  <si>
    <t>Man Kaung/Naung Ti Kyar Village</t>
  </si>
  <si>
    <t>Narte</t>
  </si>
  <si>
    <t>Hpai Kawng Mare</t>
  </si>
  <si>
    <t>Man Sa</t>
  </si>
  <si>
    <t>Mong Wee Shan</t>
  </si>
  <si>
    <t>Pan Law</t>
  </si>
  <si>
    <t>Nam Hkam (KBC Jaw Wang)</t>
  </si>
  <si>
    <t>Tsan Lun - Namjarap</t>
  </si>
  <si>
    <t>Kutkhai KBC-2 (Block-6)</t>
  </si>
  <si>
    <t>Jwan Jaw KBC</t>
  </si>
  <si>
    <t>Type of Accommodation</t>
  </si>
  <si>
    <t>HRP categories</t>
  </si>
  <si>
    <t>Current 4 W reported list</t>
  </si>
  <si>
    <t>Updated Date</t>
  </si>
  <si>
    <t>Site Name_(Old)</t>
  </si>
  <si>
    <t>Aung Mingalar_(Swan Saw ward)</t>
  </si>
  <si>
    <t>Closed Camp</t>
  </si>
  <si>
    <t>IDPs in collective centers or self-settled - pre existing</t>
  </si>
  <si>
    <t>Q1_2017</t>
  </si>
  <si>
    <t>B.E.H.S 2 (Ho Mun ward)</t>
  </si>
  <si>
    <t>B.E.H.S 4 (Ho Mun ward)</t>
  </si>
  <si>
    <t>Ban Hkung (School)</t>
  </si>
  <si>
    <t>Ban Hkung Yang</t>
  </si>
  <si>
    <t>Ban Hkung Yang (Boarding School)</t>
  </si>
  <si>
    <t>Daw Hpum Yang Ninghtawn</t>
  </si>
  <si>
    <t>Gant Gwin</t>
  </si>
  <si>
    <t>KBC (Ho Mun Ward)</t>
  </si>
  <si>
    <t>Lawk Awng Mare D. (Sinbo Area)</t>
  </si>
  <si>
    <t>Host Families</t>
  </si>
  <si>
    <t>IDPs in host families</t>
  </si>
  <si>
    <t>Lawk Hkawng Ginwang</t>
  </si>
  <si>
    <t>Injangyang</t>
  </si>
  <si>
    <t>Camp like setting</t>
  </si>
  <si>
    <t>Nam Hka Mare (west of Man Wing)</t>
  </si>
  <si>
    <t>NGCA</t>
  </si>
  <si>
    <t xml:space="preserve">Nam Hkam Malut Jak </t>
  </si>
  <si>
    <t>Q4_2016</t>
  </si>
  <si>
    <t>Nam Lim Pa    (Boarding School)</t>
  </si>
  <si>
    <t>Namt Hkun monastery</t>
  </si>
  <si>
    <t>Namtu KBC 1</t>
  </si>
  <si>
    <t>3/Jul/2017: Changed camp status as "Closed" according to the information of KBC. Note from KBC "Namtu KBC 1(MMR015CMP230) and Namtu KBC 2 (MMR015CMP231) are already integrated into the old camp ( Nam Tu Baptist (MMR015CMP014)".
17-01-2017: New added camp. Missing data will be collected from partners and present in next Report.</t>
  </si>
  <si>
    <t>Namtu KBC 2</t>
  </si>
  <si>
    <t>combined with KBC 1</t>
  </si>
  <si>
    <t>Namtu RC</t>
  </si>
  <si>
    <t>all IDPs returned home; open status in July 31 CCCM camp list</t>
  </si>
  <si>
    <t>Si Hkan Gyi</t>
  </si>
  <si>
    <t>St. Peter Church (Ho Mun ward)</t>
  </si>
  <si>
    <t>Thu Kha Waddy</t>
  </si>
  <si>
    <t xml:space="preserve">Wein Sai Church </t>
  </si>
  <si>
    <t>UNHCR</t>
  </si>
  <si>
    <t>Planned Camp</t>
  </si>
  <si>
    <t>Muslim</t>
  </si>
  <si>
    <t>Ward 6</t>
  </si>
  <si>
    <t>Self Settled Camp</t>
  </si>
  <si>
    <t>Village</t>
  </si>
  <si>
    <t xml:space="preserve">WASH - resettled, relocated, surrounding communities &amp; host communities </t>
  </si>
  <si>
    <t>Nga/Oke</t>
  </si>
  <si>
    <t xml:space="preserve">Kyauk Ta Lone </t>
  </si>
  <si>
    <t>Q2_2017</t>
  </si>
  <si>
    <t>MHDO updated</t>
  </si>
  <si>
    <t>Village_Not HRP</t>
  </si>
  <si>
    <t>Q3_2016</t>
  </si>
  <si>
    <t>Taik Maw(Tike Maw)</t>
  </si>
  <si>
    <t>Chin+Rakhine</t>
  </si>
  <si>
    <t>Nga Lat Kya</t>
  </si>
  <si>
    <t>Zu Kaing(Ka Zu Kaing)</t>
  </si>
  <si>
    <t>Kywi Pyin</t>
  </si>
  <si>
    <t>Chin</t>
  </si>
  <si>
    <t>Kyeik Chaung(Jade Chaung)</t>
  </si>
  <si>
    <t>Yaw Haung Ah Htet
(Ywar Haung)</t>
  </si>
  <si>
    <t>Nat Maw Upper + Nat Maw</t>
  </si>
  <si>
    <t>Nga Shwe Pyin</t>
  </si>
  <si>
    <t>Ah Ngu Ywar Haung</t>
  </si>
  <si>
    <t>Ah Ngu Ywar Thit</t>
  </si>
  <si>
    <t>Ohn Taw</t>
  </si>
  <si>
    <t>Aung Le Byin</t>
  </si>
  <si>
    <t>Pyin Taw Che</t>
  </si>
  <si>
    <t>Relocated</t>
  </si>
  <si>
    <t>Chin (Khame)</t>
  </si>
  <si>
    <t>Khame</t>
  </si>
  <si>
    <t>Chin (Rakhine)</t>
  </si>
  <si>
    <t>Taung Pyin</t>
  </si>
  <si>
    <t>Sin Tet Maw (from Nget Chaung)</t>
  </si>
  <si>
    <t>Sin Tet Maw (Nget Chaung)</t>
  </si>
  <si>
    <t xml:space="preserve">Pyar Tha Kywe </t>
  </si>
  <si>
    <t>Thit Khoke Taw</t>
  </si>
  <si>
    <t>Thit Khaung Taw</t>
  </si>
  <si>
    <t>Nget Chaung</t>
  </si>
  <si>
    <t>Gaung Hpyu</t>
  </si>
  <si>
    <t>Yet Chaung</t>
  </si>
  <si>
    <t>Dagon</t>
  </si>
  <si>
    <t>Pein Hne Chaung</t>
  </si>
  <si>
    <t>Painnal Chaung</t>
  </si>
  <si>
    <t>A Nauk Ywe</t>
  </si>
  <si>
    <t>Wet Gaung</t>
  </si>
  <si>
    <t>Pa Lin Pyin (Muslim)</t>
  </si>
  <si>
    <t>Basara</t>
  </si>
  <si>
    <t>Pa Lin Pyin (Rakhine, Fisher)</t>
  </si>
  <si>
    <t>Pa Lin Pyin (Rakhine, Main)</t>
  </si>
  <si>
    <t>Pyar Lay Chaung (New)</t>
  </si>
  <si>
    <t>Pyar Lay Chaung (Old)</t>
  </si>
  <si>
    <t>Ohn Yee Paw</t>
  </si>
  <si>
    <t>Maramargyi</t>
  </si>
  <si>
    <t>Thea Chaung  carpenter</t>
  </si>
  <si>
    <t>Kyauk Nga Nwar</t>
  </si>
  <si>
    <t>Sat Roe Kya</t>
  </si>
  <si>
    <t>Dohn Taik Kwin</t>
  </si>
  <si>
    <t>Done Dike Kwin host</t>
  </si>
  <si>
    <t>Thae Chaung (Kyaukphyu)</t>
  </si>
  <si>
    <t>Thea Chaung (IDPs from Kyaukphyu)*</t>
  </si>
  <si>
    <t>Thea Chaung Village</t>
  </si>
  <si>
    <t>Thea Chaung market</t>
  </si>
  <si>
    <t xml:space="preserve">Thea Chaung </t>
  </si>
  <si>
    <t>agencies gap,combine with village pop</t>
  </si>
  <si>
    <t>Dar Pai (IDP in host family)</t>
  </si>
  <si>
    <t>Ba Wan Chaung Wa Su</t>
  </si>
  <si>
    <t>agencies gap</t>
  </si>
  <si>
    <t>Ba Wunn Chaung Wa Su</t>
  </si>
  <si>
    <t>agencies gap,to ask SI to be splicted BDP1, BDP2</t>
  </si>
  <si>
    <t>Thet Kel Pyin</t>
  </si>
  <si>
    <t>Hmansi ( from Kaung Doke Khar)</t>
  </si>
  <si>
    <t>Baw Du Pha</t>
  </si>
  <si>
    <t>Kaung Doke Khar (excl. Hmanzi)</t>
  </si>
  <si>
    <t>Baw Du Pha (IDP in host family)</t>
  </si>
  <si>
    <t>Ohn Taw Gyi South</t>
  </si>
  <si>
    <t>Maw Ti Ngar (TKP west)</t>
  </si>
  <si>
    <t>Ohn Taw Gyi North</t>
  </si>
  <si>
    <t>Gwa Son</t>
  </si>
  <si>
    <t>Khwa Sone</t>
  </si>
  <si>
    <t>Phwe Yar Gone</t>
  </si>
  <si>
    <t>Kann Ni</t>
  </si>
  <si>
    <t>Nga/Pun Ywar Gyi</t>
  </si>
  <si>
    <t>Ah Haung Taung</t>
  </si>
  <si>
    <t>Ah Houng Taung</t>
  </si>
  <si>
    <t>Thin Pone Tan</t>
  </si>
  <si>
    <t>village</t>
  </si>
  <si>
    <t>Sa Par Htar</t>
  </si>
  <si>
    <t>Nat Seik</t>
  </si>
  <si>
    <t>Met Ka Lar Kya</t>
  </si>
  <si>
    <t>Returned</t>
  </si>
  <si>
    <t>Nyaung Pin Gyi</t>
  </si>
  <si>
    <t>Kyauk Seik</t>
  </si>
  <si>
    <t>Paik Thay</t>
  </si>
  <si>
    <t>Shwe Laung Tin</t>
  </si>
  <si>
    <t>Chait Taung - Tha Dar</t>
  </si>
  <si>
    <t>Mixed</t>
  </si>
  <si>
    <t>Chait Taung</t>
  </si>
  <si>
    <t>Shwe Zin Khin</t>
  </si>
  <si>
    <t>Chein Khar Li (Rakhine)</t>
  </si>
  <si>
    <t>old data update on 24.4.2017</t>
  </si>
  <si>
    <t>Chait Taung - San Htoe Tan</t>
  </si>
  <si>
    <t>Sam Ba Le</t>
  </si>
  <si>
    <t>Set Yone Maw</t>
  </si>
  <si>
    <t>Koe Tan Kauk (Rakhine)</t>
  </si>
  <si>
    <t>Let Than Chi (Tiit)</t>
  </si>
  <si>
    <t>Aung Taing</t>
  </si>
  <si>
    <t>Bucheung</t>
  </si>
  <si>
    <t>Da Pae</t>
  </si>
  <si>
    <t>Thi Kyar</t>
  </si>
  <si>
    <t>Yai-Thei-Thi Kyar</t>
  </si>
  <si>
    <t>Yai Thei-Muslim</t>
  </si>
  <si>
    <t>Yai Thei</t>
  </si>
  <si>
    <t>Kyun Paw (Pauk Taw)</t>
  </si>
  <si>
    <t>Auk Nan Yar</t>
  </si>
  <si>
    <t>Zay Di Pyin</t>
  </si>
  <si>
    <t>Pa Rein</t>
  </si>
  <si>
    <t>Pi Dauk Myaing</t>
  </si>
  <si>
    <t>Padauk Myaing</t>
  </si>
  <si>
    <t>Pu Yain Kone</t>
  </si>
  <si>
    <t>Doe Wai Chaung</t>
  </si>
  <si>
    <t>Sa Hpo Gyun</t>
  </si>
  <si>
    <t>Kyein Tan</t>
  </si>
  <si>
    <t>Kardi</t>
  </si>
  <si>
    <t>Raw Ma Ni Sin Oe</t>
  </si>
  <si>
    <t>Kyawe Lan Chaung</t>
  </si>
  <si>
    <t>Pet Kwet Seik</t>
  </si>
  <si>
    <t>Lan Paik Khwin</t>
  </si>
  <si>
    <t>Zan Kha Ma</t>
  </si>
  <si>
    <t>Prine Taung</t>
  </si>
  <si>
    <t>Not_HRP</t>
  </si>
  <si>
    <t>Oo Daung Ah Nauk Ywa</t>
  </si>
  <si>
    <t>Zumar Ywa</t>
  </si>
  <si>
    <t>Q3_2017</t>
  </si>
  <si>
    <t>CDN Updated, CLTS village</t>
  </si>
  <si>
    <t>Im Bar Yi</t>
  </si>
  <si>
    <t>Ah Htet See Maun</t>
  </si>
  <si>
    <t>Kaing Gyi</t>
  </si>
  <si>
    <t>Ah Pauk Wa Village</t>
  </si>
  <si>
    <t>U Saung Tan (lower)</t>
  </si>
  <si>
    <t>CDN Updated</t>
  </si>
  <si>
    <t>Kha Yai Myaing</t>
  </si>
  <si>
    <t>Ashit Ywa</t>
  </si>
  <si>
    <t>A Nauk Ywa</t>
  </si>
  <si>
    <t>Ywa Gyi</t>
  </si>
  <si>
    <t>Middle</t>
  </si>
  <si>
    <t>Tha Yet Oke Ywar Thit</t>
  </si>
  <si>
    <t xml:space="preserve">M </t>
  </si>
  <si>
    <t>Taung Pine Nyar</t>
  </si>
  <si>
    <t>Ywa Haung</t>
  </si>
  <si>
    <t>Nidin</t>
  </si>
  <si>
    <t>Ni Din</t>
  </si>
  <si>
    <t>Play Taung South</t>
  </si>
  <si>
    <t>Kyet Mauk Taung Myuak</t>
  </si>
  <si>
    <t>Than Chay  RK</t>
  </si>
  <si>
    <t>Ah Lel Kyun</t>
  </si>
  <si>
    <t>Ah Lel</t>
  </si>
  <si>
    <t>Taung Bwe</t>
  </si>
  <si>
    <t>Daing Net</t>
  </si>
  <si>
    <t>Myaunk Ywa_M</t>
  </si>
  <si>
    <t>Rakhine/Dinet</t>
  </si>
  <si>
    <t>Tha Pon</t>
  </si>
  <si>
    <t>Muslim (Myaunk Ywa)</t>
  </si>
  <si>
    <t>Ba Gone Nar</t>
  </si>
  <si>
    <t>Thar Yar Koung</t>
  </si>
  <si>
    <t>Thet Kaing Ngyar (Thet Kaing Ngyar)</t>
  </si>
  <si>
    <t>Thet Kaing Ngyar (Thet Ywa)</t>
  </si>
  <si>
    <t>Kaung Maung Seik</t>
  </si>
  <si>
    <t>Ah Shey Kha Maung Seik</t>
  </si>
  <si>
    <t>NSS WASH cluster comment: camp closed by end of Mar'17. open status in July 31 CCCM camp list</t>
  </si>
  <si>
    <t>Man Kaung village</t>
  </si>
  <si>
    <t>NSS WASH Cluster comments:Metta distributed hygiene kit in Apr'17 but no assessment done for other WASH needs. Water supply and latrines shared with host families. Metta could cover latrine construction if needed.</t>
  </si>
  <si>
    <t>Nam Tu RC</t>
  </si>
  <si>
    <t xml:space="preserve">Shwe Myint Thar Monastery </t>
  </si>
  <si>
    <t>2/June/2017: Changed camp status as "Closed" according to UNHCR_Lashio information. IDPs are moved to Kyu Sot camp</t>
  </si>
  <si>
    <t>Village Type Camp</t>
  </si>
  <si>
    <t xml:space="preserve">Mungji Pa Dabang (Baptist Church)         </t>
  </si>
  <si>
    <t>27/Apr/2017: Changed camp status as "Closed", Data source: KBC.</t>
  </si>
  <si>
    <t>6/April/2017: New Added camp. Data source: UNOCHA, Partners and CCCM.</t>
  </si>
  <si>
    <t xml:space="preserve">Mungji Pa Dabang (RC Church)         </t>
  </si>
  <si>
    <t>NSS WASH Cluster comments:land space very limited for infra; IDPs stay with and share WASH facilities from host families.</t>
  </si>
  <si>
    <t>Mong Wee Ta'ang</t>
  </si>
  <si>
    <t>Nam Lim Pa</t>
  </si>
  <si>
    <t>Nam Lim Pa - Scattered IDPs in forest</t>
  </si>
  <si>
    <t>Man Wing Host Families</t>
  </si>
  <si>
    <t>Clutural Compound</t>
  </si>
  <si>
    <t>MWG -RC2</t>
  </si>
  <si>
    <t>Bang Lung</t>
  </si>
  <si>
    <t>Jaw 2</t>
  </si>
  <si>
    <t>NSS WASH Cluster comments: Metta distributed hygiene kit in Apr'17 but no assessment done for other WASH needs.</t>
  </si>
  <si>
    <t xml:space="preserve">Lagatyan </t>
  </si>
  <si>
    <t>Lung Kawk  ( Hka Hkye Zup)</t>
  </si>
  <si>
    <t>Howa</t>
  </si>
  <si>
    <t>Nam Hkyet</t>
  </si>
  <si>
    <t>Maing Khaung KBC 2</t>
  </si>
  <si>
    <t>SI did emergency response</t>
  </si>
  <si>
    <t>Bum Tsit Pa * (2)</t>
  </si>
  <si>
    <t>Muse KBC Church</t>
  </si>
  <si>
    <t>Muse RC Church</t>
  </si>
  <si>
    <t xml:space="preserve">Mung Baw </t>
  </si>
  <si>
    <t>Munekoe Pa (Giwang) - Hka San (Mung  Go  Pa )</t>
  </si>
  <si>
    <t xml:space="preserve">Munekoe Pa (Giwang) - Hka San (Mung  Go  Pa ) </t>
  </si>
  <si>
    <t>Mansi_Host Families</t>
  </si>
  <si>
    <t>Updated Date 11/7/17:Not known</t>
  </si>
  <si>
    <t>Mansi Host Families</t>
  </si>
  <si>
    <t>Man Kawng Baptist Church</t>
  </si>
  <si>
    <t>Camp close in CCCM list but WASH agencies presence</t>
  </si>
  <si>
    <t>Man Kawng Catholic Church</t>
  </si>
  <si>
    <t>Mung Ding Pa  (Boarder)</t>
  </si>
  <si>
    <t>Shwegu_Host Families</t>
  </si>
  <si>
    <t>Updated Date 11/7/17:Not known; Changed to Closed status in July 31 camp list,WC does not include in Q3 2017 report</t>
  </si>
  <si>
    <t>Momauk_Host Families</t>
  </si>
  <si>
    <t>Momauk Host Families</t>
  </si>
  <si>
    <t>Momauk Catholic Church (St. Patrick)</t>
  </si>
  <si>
    <t>Ni Thaw Ka Monestry</t>
  </si>
  <si>
    <t>Kannar Yeik Thar</t>
  </si>
  <si>
    <t>Bhamo_Host Families</t>
  </si>
  <si>
    <t>Updated Date 11/7/17:Not known and did not identify among WASH partners</t>
  </si>
  <si>
    <t>Ta Gun Taing Monastery (Shwe Kyi Na)</t>
  </si>
  <si>
    <t>Khun Sint Village</t>
  </si>
  <si>
    <t>Updated date 11/7/2017: Not known</t>
  </si>
  <si>
    <t xml:space="preserve">Myo Thit </t>
  </si>
  <si>
    <t>Updated Date 11/7/2017 : not known</t>
  </si>
  <si>
    <t xml:space="preserve">Man Nawng </t>
  </si>
  <si>
    <t>Updated Date 11/7/2017 : not known;Changed to Closed status in July 31 camp list,WC does not include in Q3 2017 report</t>
  </si>
  <si>
    <t xml:space="preserve">Mai Khat </t>
  </si>
  <si>
    <t>Updated Date 11/7/2017 : not known;Changed to Closed status in July 31 camp list, WC does not include in Q3 2017 report</t>
  </si>
  <si>
    <t xml:space="preserve">Tarli </t>
  </si>
  <si>
    <t>Dawthponeyan Boarding School</t>
  </si>
  <si>
    <t>Updated date 11/7/2017: already moved to other place;Changed to Closed status in July 31 camp list</t>
  </si>
  <si>
    <t xml:space="preserve">Phar Kay/Nant Waing </t>
  </si>
  <si>
    <t>Updated Date 11/7/2017 : not known;Changed to Closed status in July 31 camp list;Changed to Closed status in July 31 camp list,WC does not include in Q3 2017 report</t>
  </si>
  <si>
    <t>Laiza Market 3 - Laiza Gat</t>
  </si>
  <si>
    <t>Laiza Market 3 / Laiza Gat</t>
  </si>
  <si>
    <t>Boarding School</t>
  </si>
  <si>
    <t>Man Ting</t>
  </si>
  <si>
    <t>Updated Date 11/7/2017 : not known; Changed to Closed status in July 31 camp list,WC does not include in Q3 2017 report,WC does not include in Q3 2017 report</t>
  </si>
  <si>
    <t>Moenyin Host Families</t>
  </si>
  <si>
    <t>Updated date 11/7/2017: IDP families live in host community</t>
  </si>
  <si>
    <t>Village Type camp</t>
  </si>
  <si>
    <t>Pajau / Jan Mai</t>
  </si>
  <si>
    <t>Hopin Host Families</t>
  </si>
  <si>
    <t>Nant Mun</t>
  </si>
  <si>
    <t>Nawng Ing (Indawgyi) Baptist Church</t>
  </si>
  <si>
    <t>Zai Awng - Mung Ga Zup</t>
  </si>
  <si>
    <t>Zai Awng / Mung Ga Zup</t>
  </si>
  <si>
    <t>Laiza Muklum Hpyen  Yen Mungshawa ni</t>
  </si>
  <si>
    <t>Sar Hmaw - ICM</t>
  </si>
  <si>
    <t>intervention finished;Changed to Closed status in July 31 camp list</t>
  </si>
  <si>
    <t>Sar Maw-ICM</t>
  </si>
  <si>
    <t>Hka Shi</t>
  </si>
  <si>
    <t>2/June/2017: New added camp. Data source: WASH cluster, WV (World Vision). SI did emergency response</t>
  </si>
  <si>
    <t>Waingmaw Baptist Zonal Office</t>
  </si>
  <si>
    <t>intervention finished</t>
  </si>
  <si>
    <t>Wun Tho Buddhist Monastery</t>
  </si>
  <si>
    <t>Changed to Closed status in July 31 camp list</t>
  </si>
  <si>
    <t>Myay Myint Baptist Church</t>
  </si>
  <si>
    <t>Sadung</t>
  </si>
  <si>
    <t>Du Kahtawng Qtr. 14, 4 and 5 is combined into Du Kahtawng Baptist in 31st CCCM camp list</t>
  </si>
  <si>
    <t>Du Kahtawng Qtr. 4</t>
  </si>
  <si>
    <t>Du Kahtawng Qtr. 5</t>
  </si>
  <si>
    <t>Du Kahtawng Qtr. 14</t>
  </si>
  <si>
    <t>Tat Kone COC Baptist / Tat Kone Htoi San</t>
  </si>
  <si>
    <t>Ward 2 Cahotlic Church, Seik Mu</t>
  </si>
  <si>
    <t xml:space="preserve">Pan Wa (Saw Zam) camp </t>
  </si>
  <si>
    <t>5 Ward Baptist Church(lon Khin)</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</si>
  <si>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</si>
  <si>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Muring Baptist Church, Awng Ra, Wa Ra Zut VT</t>
  </si>
  <si>
    <t>Baptist Church, Sai Ra village</t>
  </si>
  <si>
    <t xml:space="preserve">Lan Jaw </t>
  </si>
  <si>
    <t>Updated date 11/7/1017:Not known and did not identify among WASH partners; Changed to Closed status in July 31 camp list,WC does not include in Q3 2017 report</t>
  </si>
  <si>
    <t>Baptist Church, Naung Hmee VT</t>
  </si>
  <si>
    <t>Ku Day Maw KBC</t>
  </si>
  <si>
    <t>Wara Zup KBC Church</t>
  </si>
  <si>
    <t>Updated date 11/7/2017: KBC has a plan to implement this location through ADRA; Changed to Closed status in July 31 camp list,WC does not include in Q3 2017 report</t>
  </si>
  <si>
    <t>A Lo Taw Pyae monastery</t>
  </si>
  <si>
    <t>Thar Ta Na Aung San monastery</t>
  </si>
  <si>
    <t>Updated date 11/7/2017: there is no camp</t>
  </si>
  <si>
    <t>Ndup Yang 1</t>
  </si>
  <si>
    <t>La Ja</t>
  </si>
  <si>
    <t>Khaunglanhpu</t>
  </si>
  <si>
    <t>Inn Lel Yan - Host Families</t>
  </si>
  <si>
    <t>Updated date 11/7/2017: KBC implement this camp since 2014 and some IDP families moved to other camps</t>
  </si>
  <si>
    <t>Naung Khaing</t>
  </si>
  <si>
    <t>Machanbaw - KBC</t>
  </si>
  <si>
    <t>Machanbaw</t>
  </si>
  <si>
    <t>Machanbaw-KBC</t>
  </si>
  <si>
    <t>Tote Tan Ward</t>
  </si>
  <si>
    <t>Updated date 11/7/2017: already moved to other place</t>
  </si>
  <si>
    <t>Lone Sut</t>
  </si>
  <si>
    <t>6/May/2017: New added camp. Data source: KBC. Camp was confirmed by CCCM unit. The missing informaiton will be updated as soon as possible.</t>
  </si>
  <si>
    <t>(Nam Hoi) Host families</t>
  </si>
  <si>
    <t>Namtu (Nam Hoi) Host families</t>
  </si>
  <si>
    <t>AD-2000 Extension camp</t>
  </si>
  <si>
    <t>camp</t>
  </si>
  <si>
    <t>AG Church Pa Ma Tee</t>
  </si>
  <si>
    <t>opening date: 16/8/17 and updated date in CCCM list: 31/8/17 ; New displacement from Ka Sung,not yet updated in Q3 4W</t>
  </si>
  <si>
    <t>not found in camp list. Partners said sub-camp of momauk baptist church</t>
  </si>
  <si>
    <t>Aung Thay Pyay (San Suri))</t>
  </si>
  <si>
    <t>Aung Zay Gone</t>
  </si>
  <si>
    <t>Baw Du Pha Village</t>
  </si>
  <si>
    <t>Bhamo Host Families</t>
  </si>
  <si>
    <t>not found in camp list</t>
  </si>
  <si>
    <t>Bum Tsit Pa * (3)</t>
  </si>
  <si>
    <t>Chin Ywar</t>
  </si>
  <si>
    <t>Chipwi (School coumpound)</t>
  </si>
  <si>
    <t>School</t>
  </si>
  <si>
    <t>Doke Htan Ward</t>
  </si>
  <si>
    <t>Hpaung Taw Pyin</t>
  </si>
  <si>
    <t>Ka Bu Dam CoC</t>
  </si>
  <si>
    <t>Opening date: 7/13/2017 and updated date in CCCM list: not yet updated in Q3 4W</t>
  </si>
  <si>
    <t>Kutkai (host High School)</t>
  </si>
  <si>
    <t>Opeing date: 1/6/2017 and updated date in CCCM list: 31/7/2017 ; 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</si>
  <si>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Lisu Baptist Church</t>
  </si>
  <si>
    <t>Loi Je Lisu (2) Camp</t>
  </si>
  <si>
    <t>Loi Je Lisu  (2) Camp</t>
  </si>
  <si>
    <t>Loi Je Lisu (3) Camp</t>
  </si>
  <si>
    <t>Loi Je Lisu  (3) Camp</t>
  </si>
  <si>
    <t>Loi Je Lisu (4) Camp</t>
  </si>
  <si>
    <t>Loi Je Lisu  (4) Camp</t>
  </si>
  <si>
    <t>Loi Je RC Boarding School</t>
  </si>
  <si>
    <t>Man Wing Baptist Church Boarding House</t>
  </si>
  <si>
    <t>Man wing gyi (host school)</t>
  </si>
  <si>
    <t>Mong Wee - Shan</t>
  </si>
  <si>
    <t>Muslim
 (Aley Ywa)</t>
  </si>
  <si>
    <t>Muslim
 (Taung Ywa)</t>
  </si>
  <si>
    <t>Muslim
 (Myaunk Ywa)</t>
  </si>
  <si>
    <t>Nam Hpak Ka (Man Mau host school)</t>
  </si>
  <si>
    <t>Nampaka (Man Mau host school)</t>
  </si>
  <si>
    <t>Namti</t>
  </si>
  <si>
    <t>opening date: 16/8/17 and updated date in CCCM list: 31/8/17 ; Displacement out of Ka Sung,not yet updated in Q3 4W</t>
  </si>
  <si>
    <t>Ndup Yang 2</t>
  </si>
  <si>
    <t>N-Lwe Yan</t>
  </si>
  <si>
    <t>Ohnmadee monastery</t>
  </si>
  <si>
    <t>Naung Cho</t>
  </si>
  <si>
    <t>Pa Kahtawng 1B</t>
  </si>
  <si>
    <t>Pa Kahtawng 2</t>
  </si>
  <si>
    <t xml:space="preserve">Pa Kahtawng Boarding High School </t>
  </si>
  <si>
    <t xml:space="preserve">Pa Kahtawng Boarding Middle School </t>
  </si>
  <si>
    <t>Pa Kahtawng Host Families</t>
  </si>
  <si>
    <t>Pa Kahtawng Primary House</t>
  </si>
  <si>
    <t>Paung Mae</t>
  </si>
  <si>
    <t>Rakhine Ywa_M</t>
  </si>
  <si>
    <t>6/June/2017: Added as new camp instead of Zai Awng - Mung Ga Zup camp because of the conflict on Dec, 2016. So IDPs ( from Zai Awng - Mung Ga Zup ) flew to Lung Byen. They stay awhile at Lung Byen and then they moved to Shait Yang on 17 Jan 2017. Changed the camp name as "Shait Yan</t>
  </si>
  <si>
    <t>Shwe Zin Khin (Ku Lar)</t>
  </si>
  <si>
    <t>Shwegu Host Families</t>
  </si>
  <si>
    <t>Tanai</t>
  </si>
  <si>
    <t>Opeing date: 1/6/2017 and updated date in CCCM list: 29/6/2017;not yet updated in Q3 4W</t>
  </si>
  <si>
    <t>Tanai CoC</t>
  </si>
  <si>
    <t>Opeing date: 1/6/2017 and updated date in CCCM list: 29/6/2017; not yet updated in Q3 4W</t>
  </si>
  <si>
    <t xml:space="preserve">Tanai RC Church - Kinsa Ra </t>
  </si>
  <si>
    <t>Tat Kone (Ra Da Kawng)</t>
  </si>
  <si>
    <t>Taung Oo Maw</t>
  </si>
  <si>
    <t>Thet Kel Pyin Village</t>
  </si>
  <si>
    <t>Thit Tone Na Gwa Sone (HlaeMro)</t>
  </si>
  <si>
    <t>Vote Par Yone monastery</t>
  </si>
  <si>
    <t>Kah Mee</t>
  </si>
  <si>
    <t>West</t>
  </si>
  <si>
    <t>CAMP</t>
  </si>
  <si>
    <t>Zupyan camp</t>
  </si>
  <si>
    <t>new camp added in 30/9/2017</t>
  </si>
  <si>
    <t>V6</t>
  </si>
  <si>
    <t>V19</t>
  </si>
  <si>
    <t>V24</t>
  </si>
  <si>
    <t>For Township dropdown</t>
  </si>
  <si>
    <t>Dropdown</t>
  </si>
  <si>
    <t>Wash focal point Agency</t>
  </si>
  <si>
    <t># work days (approx) lost in this site due to access restrictions</t>
  </si>
  <si>
    <t>WASH Committee part of camp management structures</t>
  </si>
  <si>
    <t>Primary Donor covering WASH activities at site</t>
  </si>
  <si>
    <t>Expected end of funding for WASH activties at site</t>
  </si>
  <si>
    <t xml:space="preserve">% of women on camp WASH committee </t>
  </si>
  <si>
    <t># Functioning protected open wells (without hand pump)</t>
  </si>
  <si>
    <t># functional wells/boreholes (with hand pump)</t>
  </si>
  <si>
    <t xml:space="preserve"># functional tapstands </t>
  </si>
  <si>
    <t>Litres/Day provided with Overhead or storage tank with reticulation/ Water  gravity system
based on SPHERE standard ( 15L/P/D : 8 hr tapstand open)</t>
  </si>
  <si>
    <t>% of E-Coli  Water quality test result
(@ water source or HH level)</t>
  </si>
  <si>
    <t xml:space="preserve"># water points managed by families or small group of families </t>
  </si>
  <si>
    <t># latrines functional &amp; appropriate</t>
  </si>
  <si>
    <t># Latrines requiring urgent desludging</t>
  </si>
  <si>
    <t xml:space="preserve"># Latrines managed by families or small group of families </t>
  </si>
  <si>
    <t>Is there an effective solid waste management system in place</t>
  </si>
  <si>
    <t>Does the camp have drainage of surface water</t>
  </si>
  <si>
    <t>% HHs with access to functional hand washing station  (communal or HHs level)</t>
  </si>
  <si>
    <t>Handwashing approch to camp - household, communal, or both?</t>
  </si>
  <si>
    <t xml:space="preserve"># of individual bathing spaces functional </t>
  </si>
  <si>
    <t xml:space="preserve"># Hygiene Promoters </t>
  </si>
  <si>
    <t xml:space="preserve">% of HHs with access to sufficient soap (250g/ person/month) </t>
  </si>
  <si>
    <t>State_list</t>
  </si>
  <si>
    <t>TSps</t>
  </si>
  <si>
    <t>2013_Q4</t>
  </si>
  <si>
    <t>ABCD</t>
  </si>
  <si>
    <t>2014_Q1</t>
  </si>
  <si>
    <t>Not_Functional</t>
  </si>
  <si>
    <t>2014_Q2</t>
  </si>
  <si>
    <t>ACF, CDN</t>
  </si>
  <si>
    <t>AusAid</t>
  </si>
  <si>
    <t>2014_Q4</t>
  </si>
  <si>
    <t>ACTED</t>
  </si>
  <si>
    <t>2015_Q1</t>
  </si>
  <si>
    <t>Arche nova</t>
  </si>
  <si>
    <t>CIDA</t>
  </si>
  <si>
    <t>2015_Q2</t>
  </si>
  <si>
    <t>DANIDA</t>
  </si>
  <si>
    <t>2015_Q3</t>
  </si>
  <si>
    <t>CARE, CDN</t>
  </si>
  <si>
    <t>DFAT</t>
  </si>
  <si>
    <t>2015_Q4</t>
  </si>
  <si>
    <t>CDN, MA_UK</t>
  </si>
  <si>
    <t>2016_Q1</t>
  </si>
  <si>
    <t>Cesvi</t>
  </si>
  <si>
    <t>2016_Q2</t>
  </si>
  <si>
    <t>Cesvi, SI</t>
  </si>
  <si>
    <t>2016_Q3</t>
  </si>
  <si>
    <t>CNN</t>
  </si>
  <si>
    <t>Nawngmun</t>
  </si>
  <si>
    <t>2016_Q4</t>
  </si>
  <si>
    <t>2017_Q1</t>
  </si>
  <si>
    <t>DRD</t>
  </si>
  <si>
    <t>2017_Q2</t>
  </si>
  <si>
    <t>IRC</t>
  </si>
  <si>
    <t>2017_Q3</t>
  </si>
  <si>
    <t>Tsawlaw</t>
  </si>
  <si>
    <t>2018_Q1</t>
  </si>
  <si>
    <t>KMSS, KBC-HDD-NSS</t>
  </si>
  <si>
    <t>FCA</t>
  </si>
  <si>
    <t>KMSS, Metta</t>
  </si>
  <si>
    <t>France</t>
  </si>
  <si>
    <t>KMSS, SCI</t>
  </si>
  <si>
    <t>KMSS, KBC</t>
  </si>
  <si>
    <t>Gwa</t>
  </si>
  <si>
    <t>HIDA</t>
  </si>
  <si>
    <t>MDCG</t>
  </si>
  <si>
    <t>Merlin</t>
  </si>
  <si>
    <t>Metta, ICRC</t>
  </si>
  <si>
    <t>OCHA</t>
  </si>
  <si>
    <t>Munaung</t>
  </si>
  <si>
    <t>Metta, KBC-HDD-NSS</t>
  </si>
  <si>
    <t>Metta, KBC-HDD-NSS, KMSS</t>
  </si>
  <si>
    <t>Metta, SI</t>
  </si>
  <si>
    <t>MSF</t>
  </si>
  <si>
    <t>Thandwe</t>
  </si>
  <si>
    <t>ICRC</t>
  </si>
  <si>
    <t>Toungup</t>
  </si>
  <si>
    <t>Myauk Ywa (Kyet Mauk Taung)</t>
  </si>
  <si>
    <t>Aik Chan (Ai' Chun)</t>
  </si>
  <si>
    <t>Oxfam, MA_UK</t>
  </si>
  <si>
    <t>Chinshwehaw Sub-township (Kokang SAZ)</t>
  </si>
  <si>
    <t>Oxfam, KMSS</t>
  </si>
  <si>
    <t>Hkun Mar (Hkwin Ma)</t>
  </si>
  <si>
    <t>PLAN</t>
  </si>
  <si>
    <t>Hopang</t>
  </si>
  <si>
    <t>Hsawng Hpa (Saun Pha)</t>
  </si>
  <si>
    <t>SCI, MA_UK</t>
  </si>
  <si>
    <t>SCI, KBC-HDD-NSS</t>
  </si>
  <si>
    <t>Ka Lawng Hpar</t>
  </si>
  <si>
    <t>SCI, KMSS</t>
  </si>
  <si>
    <t>Kawng Min Hsang</t>
  </si>
  <si>
    <t>Konkyan</t>
  </si>
  <si>
    <t>Konkyan (Kokang SAZ)</t>
  </si>
  <si>
    <t>SI, MA_UK</t>
  </si>
  <si>
    <t>Kunlong</t>
  </si>
  <si>
    <t>SI, KBC</t>
  </si>
  <si>
    <t>Unicef</t>
  </si>
  <si>
    <t>Kyaukme</t>
  </si>
  <si>
    <t>Lashio</t>
  </si>
  <si>
    <t>Laukkaing</t>
  </si>
  <si>
    <t>Laukkaing (Kokang SAZ)</t>
  </si>
  <si>
    <t>Lin Haw</t>
  </si>
  <si>
    <t>Long Htan</t>
  </si>
  <si>
    <t>Mabein</t>
  </si>
  <si>
    <t>Man Man Hseng</t>
  </si>
  <si>
    <t>Man Tun</t>
  </si>
  <si>
    <t>Matman</t>
  </si>
  <si>
    <t>Mongmao</t>
  </si>
  <si>
    <t>Mongmit</t>
  </si>
  <si>
    <t>Mongyai</t>
  </si>
  <si>
    <t>Nam Tit</t>
  </si>
  <si>
    <t>Namhsan</t>
  </si>
  <si>
    <t>Nar Kawng</t>
  </si>
  <si>
    <t>Nar Wee (Na Wi)</t>
  </si>
  <si>
    <t>Narphan</t>
  </si>
  <si>
    <t>Nawng Hkit</t>
  </si>
  <si>
    <t>Nawnghkio</t>
  </si>
  <si>
    <t>Pang Hkam</t>
  </si>
  <si>
    <t>Pang Yang</t>
  </si>
  <si>
    <t>Pangsang</t>
  </si>
  <si>
    <t>Pangwaun</t>
  </si>
  <si>
    <t>Tangyan</t>
  </si>
  <si>
    <t>Yawng Lin</t>
  </si>
  <si>
    <t>Yin Pang</t>
  </si>
  <si>
    <t>ANauk Ywa</t>
  </si>
  <si>
    <t>Myaunk Ywa</t>
  </si>
  <si>
    <t xml:space="preserve">Thet Kel Pyin </t>
  </si>
  <si>
    <t>AD-2000 Tharthana Compound*</t>
  </si>
  <si>
    <t>Phan Khar Kone*</t>
  </si>
  <si>
    <t>Robert Church*</t>
  </si>
  <si>
    <t>Pan Ku</t>
  </si>
  <si>
    <t>Bum Tsit Pa * (1)</t>
  </si>
  <si>
    <t>Lana Zup Ja *</t>
  </si>
  <si>
    <t>Maing Khaung Baptist Church</t>
  </si>
  <si>
    <t>Man Wing Baptist Church*</t>
  </si>
  <si>
    <t>Man Wing Catholic Church*</t>
  </si>
  <si>
    <t>Mansi Baptist Church*</t>
  </si>
  <si>
    <t xml:space="preserve">Nawng Ing (Indawgyi) Baptist Church  </t>
  </si>
  <si>
    <t>Loi Je Lisu  (1) Camp</t>
  </si>
  <si>
    <t xml:space="preserve">Loi Je Nyaung Na Pin </t>
  </si>
  <si>
    <t xml:space="preserve">Loi Je Seng Ja </t>
  </si>
  <si>
    <t>Pa Kahtawng 1 A</t>
  </si>
  <si>
    <t>Nam Hkawng/Manaung kaung</t>
  </si>
  <si>
    <t>Namtu Baptist</t>
  </si>
  <si>
    <t>Woi Chyai  host families</t>
  </si>
  <si>
    <t>Parameter/Assumptions</t>
  </si>
  <si>
    <t>1 latrine = 1 drophole</t>
  </si>
  <si>
    <t>In sites existing for a few years, the semi-permanent design is the only applicable option to be counted. If there are new sites due to new displacements, the emergency design latrine should be counted.Functional definition includes only mildly damaged roof, wall or door, with lock or some safety/door closure device, no major crack, on slab, no major leakage on pit,  pit is not full. (full pit: gap of 1ft height left before full)</t>
  </si>
  <si>
    <t>V29</t>
  </si>
  <si>
    <t>V30</t>
  </si>
  <si>
    <t>V31</t>
  </si>
  <si>
    <t>V32</t>
  </si>
  <si>
    <t>V33</t>
  </si>
  <si>
    <t>V34</t>
  </si>
  <si>
    <t>V35</t>
  </si>
  <si>
    <t>V36</t>
  </si>
  <si>
    <t>V37</t>
  </si>
  <si>
    <t>V38</t>
  </si>
  <si>
    <t>HRP 1</t>
  </si>
  <si>
    <t>HRP 2</t>
  </si>
  <si>
    <t>Chauk Maing</t>
  </si>
  <si>
    <t>Pang Kawng</t>
  </si>
  <si>
    <t xml:space="preserve">Mai Ja Yang </t>
  </si>
  <si>
    <t xml:space="preserve">New Lana Zup Ja </t>
  </si>
  <si>
    <t>MMR015CMP237</t>
  </si>
  <si>
    <t>MMR015CMP241</t>
  </si>
  <si>
    <t>MMR015CMP242</t>
  </si>
  <si>
    <t>MMR001CMP215</t>
  </si>
  <si>
    <t>MMR001CMP216</t>
  </si>
  <si>
    <t>MMR001CMP214</t>
  </si>
  <si>
    <t>MMR001CMP153</t>
  </si>
  <si>
    <t>MMR001CMP046</t>
  </si>
  <si>
    <t>KMSS-MYT</t>
  </si>
  <si>
    <t>MMR015CMP236</t>
  </si>
  <si>
    <t>MMR015CMP233</t>
  </si>
  <si>
    <t>MMR001CMP147</t>
  </si>
  <si>
    <t>MMR001CMP146</t>
  </si>
  <si>
    <t>MMR015CMP232</t>
  </si>
  <si>
    <t>KMSS-LSO</t>
  </si>
  <si>
    <t>MMR015CMP222</t>
  </si>
  <si>
    <t>MMR001CMP136</t>
  </si>
  <si>
    <t>MMR015CMP002</t>
  </si>
  <si>
    <t>MMR015CMP139</t>
  </si>
  <si>
    <t>MMR001CMP209</t>
  </si>
  <si>
    <t>MMR015CMP238</t>
  </si>
  <si>
    <t>MMR015CMP230</t>
  </si>
  <si>
    <t>MMR015CMP231</t>
  </si>
  <si>
    <t>MMR015CMP229</t>
  </si>
  <si>
    <t>MMR001CMP219</t>
  </si>
  <si>
    <t>MMR015CMP239</t>
  </si>
  <si>
    <t>MMR001CMP211</t>
  </si>
  <si>
    <t>MMR015CMP243</t>
  </si>
  <si>
    <t>MMR012CMP037</t>
  </si>
  <si>
    <t>MMR012CMP038</t>
  </si>
  <si>
    <t>MMR012CMP036</t>
  </si>
  <si>
    <t>MMR012CMP035</t>
  </si>
  <si>
    <t>MMR012CMP014</t>
  </si>
  <si>
    <t>MMR012CMP013</t>
  </si>
  <si>
    <t>MMR012CMP019</t>
  </si>
  <si>
    <t>MMR012CMP096</t>
  </si>
  <si>
    <t>MMR012CMP017</t>
  </si>
  <si>
    <t>MMR012CMP018</t>
  </si>
  <si>
    <t>MMR012CMP016</t>
  </si>
  <si>
    <t>MMR012CMP039</t>
  </si>
  <si>
    <t>MMR012CMP056</t>
  </si>
  <si>
    <t>MMR012CMP105</t>
  </si>
  <si>
    <t>MMR012CMP111</t>
  </si>
  <si>
    <t>MMR012CMP112</t>
  </si>
  <si>
    <t>MMR012CMP057</t>
  </si>
  <si>
    <t>MMR012CMP093</t>
  </si>
  <si>
    <t>MMR012CMP047</t>
  </si>
  <si>
    <t>MMR012CMP046</t>
  </si>
  <si>
    <t>MMR012CMP097</t>
  </si>
  <si>
    <t>MMR012CMP041</t>
  </si>
  <si>
    <t>MMR012CMP015</t>
  </si>
  <si>
    <t>MMR012CMP113</t>
  </si>
  <si>
    <t>MMR012CMP048</t>
  </si>
  <si>
    <t>MMR012CMP040</t>
  </si>
  <si>
    <t>MMR012CMP114</t>
  </si>
  <si>
    <t>MMR012CMP091</t>
  </si>
  <si>
    <t>MMR012CMP042</t>
  </si>
  <si>
    <t>MMR012CMP103</t>
  </si>
  <si>
    <t>MMR012CMP116</t>
  </si>
  <si>
    <t>MMR012CMP092</t>
  </si>
  <si>
    <t>MMR012CMP115</t>
  </si>
  <si>
    <t>MMR012CMP045</t>
  </si>
  <si>
    <t>MMR012CMP098</t>
  </si>
  <si>
    <t>MMR012CMP031</t>
  </si>
  <si>
    <t>MMR012CMP001</t>
  </si>
  <si>
    <t>MMR012CMP002</t>
  </si>
  <si>
    <t>MMR012CMP003</t>
  </si>
  <si>
    <t>MMR012CMP032</t>
  </si>
  <si>
    <t>MMR012CMP008</t>
  </si>
  <si>
    <t>MMR012CMP033</t>
  </si>
  <si>
    <t>MMR012CMP104</t>
  </si>
  <si>
    <t>MMR012CMP110</t>
  </si>
  <si>
    <t>MMR012CMP006</t>
  </si>
  <si>
    <t>MMR012CMP117</t>
  </si>
  <si>
    <t>MMR012CMP010</t>
  </si>
  <si>
    <t>MMR012CMP034</t>
  </si>
  <si>
    <t>MMR012CMP009</t>
  </si>
  <si>
    <t>MMR012CMP005</t>
  </si>
  <si>
    <t>MMR012CMP012</t>
  </si>
  <si>
    <t>MMR012CMP026</t>
  </si>
  <si>
    <t>MMR012CMP027</t>
  </si>
  <si>
    <t>MMR012CMP109</t>
  </si>
  <si>
    <t>MMR012CMP088</t>
  </si>
  <si>
    <t>MMR012CMP024</t>
  </si>
  <si>
    <t>MMR012CMP028</t>
  </si>
  <si>
    <t>MMR012CMP029</t>
  </si>
  <si>
    <t>MMR012CMP020</t>
  </si>
  <si>
    <t>MMR012CMP084</t>
  </si>
  <si>
    <t>MMR012CMP086</t>
  </si>
  <si>
    <t>MMR012CMP082</t>
  </si>
  <si>
    <t>MMR012CMP085</t>
  </si>
  <si>
    <t>MMR012CMP083</t>
  </si>
  <si>
    <t>MMR012CMP095</t>
  </si>
  <si>
    <t>MMR012CMP023</t>
  </si>
  <si>
    <t>MMR012CMP030</t>
  </si>
  <si>
    <t>MMR012CMP025</t>
  </si>
  <si>
    <t>MMR012CMP022</t>
  </si>
  <si>
    <t>MMR012CMP021</t>
  </si>
  <si>
    <t>MMR012CMP094</t>
  </si>
  <si>
    <t>MMR015CMP244</t>
  </si>
  <si>
    <t>MMR015CMP221</t>
  </si>
  <si>
    <t>MMR015CMP210</t>
  </si>
  <si>
    <t>MMR015CMP014</t>
  </si>
  <si>
    <t>MMR015CMP248</t>
  </si>
  <si>
    <t>MMR015CMP228</t>
  </si>
  <si>
    <t>MMR015CMP209</t>
  </si>
  <si>
    <t>MMR015CMP009</t>
  </si>
  <si>
    <t>MMR015CMP226</t>
  </si>
  <si>
    <t>MMR015CMP218</t>
  </si>
  <si>
    <t>MMR015CMP207</t>
  </si>
  <si>
    <t>MMR015CMP020</t>
  </si>
  <si>
    <t>MMR015CMP006</t>
  </si>
  <si>
    <t>MMR015CMP015</t>
  </si>
  <si>
    <t>MMR015CMP219</t>
  </si>
  <si>
    <t>MMR015CMP016</t>
  </si>
  <si>
    <t>MMR015CMP245</t>
  </si>
  <si>
    <t>MMR015CMP017</t>
  </si>
  <si>
    <t>MMR015CMP217</t>
  </si>
  <si>
    <t>MMR015CMP018</t>
  </si>
  <si>
    <t>MMR015CMP220</t>
  </si>
  <si>
    <t>MMR015CMP224</t>
  </si>
  <si>
    <t>MMR015CMP223</t>
  </si>
  <si>
    <t>MMR015CMP225</t>
  </si>
  <si>
    <t>MMR015CMP007</t>
  </si>
  <si>
    <t>MMR001CMP204</t>
  </si>
  <si>
    <t>MMR001CMP137</t>
  </si>
  <si>
    <t>MMR015CMP004</t>
  </si>
  <si>
    <t>MMR001CMP134</t>
  </si>
  <si>
    <t>MMR015CMP003</t>
  </si>
  <si>
    <t>MMR015CMP001</t>
  </si>
  <si>
    <t>MMR001CMP230</t>
  </si>
  <si>
    <t>MMR001CMP133</t>
  </si>
  <si>
    <t>MMR001CMP228</t>
  </si>
  <si>
    <t>MMR001CMP132</t>
  </si>
  <si>
    <t>MMR015CMP215</t>
  </si>
  <si>
    <t>MMR015CMP214</t>
  </si>
  <si>
    <t>MMR015CMP227</t>
  </si>
  <si>
    <t>MMR001CMP202</t>
  </si>
  <si>
    <t>MMR001CMP135</t>
  </si>
  <si>
    <t>MMR015CMP010</t>
  </si>
  <si>
    <t>MMR001CMP218</t>
  </si>
  <si>
    <t>MMR001CMP223</t>
  </si>
  <si>
    <t>MMR015CMP011</t>
  </si>
  <si>
    <t>Camp_not registered</t>
  </si>
  <si>
    <t>MMR001CMP226</t>
  </si>
  <si>
    <t>MMR001CMP129</t>
  </si>
  <si>
    <t>MMR015CMP213</t>
  </si>
  <si>
    <t>MMR015CMP216</t>
  </si>
  <si>
    <t>MMR015CMP005</t>
  </si>
  <si>
    <t>MMR001CMP128</t>
  </si>
  <si>
    <t>MMR015CMP022</t>
  </si>
  <si>
    <t>MMR015CMP012</t>
  </si>
  <si>
    <t>MMR001CMP196</t>
  </si>
  <si>
    <t>MMR001CMP066</t>
  </si>
  <si>
    <t>MMR001CMP212</t>
  </si>
  <si>
    <t>MMR001CMP213</t>
  </si>
  <si>
    <t>MMR001CMP067</t>
  </si>
  <si>
    <t>MMR001CMP068</t>
  </si>
  <si>
    <t>MMR001CMP070</t>
  </si>
  <si>
    <t>MMR001CMP071</t>
  </si>
  <si>
    <t>MMR001CMP069</t>
  </si>
  <si>
    <t>MMR001CMP072</t>
  </si>
  <si>
    <t>MMR001CMP203</t>
  </si>
  <si>
    <t>MMR001CMP073</t>
  </si>
  <si>
    <t>MMR001CMP193</t>
  </si>
  <si>
    <t>MMR001CMP199</t>
  </si>
  <si>
    <t>MMR001CMP062</t>
  </si>
  <si>
    <t>MMR001CMP052</t>
  </si>
  <si>
    <t>MMR001CMP053</t>
  </si>
  <si>
    <t>MMR001CMP056</t>
  </si>
  <si>
    <t>MMR001CMP197</t>
  </si>
  <si>
    <t>MMR001CMP057</t>
  </si>
  <si>
    <t>MMR001CMP058</t>
  </si>
  <si>
    <t>MMR001CMP051</t>
  </si>
  <si>
    <t>MMR001CMP059</t>
  </si>
  <si>
    <t>MMR001CMP194</t>
  </si>
  <si>
    <t>MMR001CMP050</t>
  </si>
  <si>
    <t>MMR001CMP048</t>
  </si>
  <si>
    <t>MMR001CMP049</t>
  </si>
  <si>
    <t>MMR001CMP163</t>
  </si>
  <si>
    <t>MMR001CMP047</t>
  </si>
  <si>
    <t>MMR001CMP126</t>
  </si>
  <si>
    <t>MMR001CMP055</t>
  </si>
  <si>
    <t>MMR001CMP054</t>
  </si>
  <si>
    <t>MMR001CMP200</t>
  </si>
  <si>
    <t>MMR001CMP131</t>
  </si>
  <si>
    <t>MMR001CMP061</t>
  </si>
  <si>
    <t>MMR001CMP063</t>
  </si>
  <si>
    <t>MMR001CMP064</t>
  </si>
  <si>
    <t>MMR001CMP123</t>
  </si>
  <si>
    <t>MMR001CMP060</t>
  </si>
  <si>
    <t>MMR001CMP240</t>
  </si>
  <si>
    <t>MMR001CMP065</t>
  </si>
  <si>
    <t>MMR001CMP122</t>
  </si>
  <si>
    <t>MMR001CMP121</t>
  </si>
  <si>
    <t>MMR001CMP117</t>
  </si>
  <si>
    <t>MMR001CMP208</t>
  </si>
  <si>
    <t>MMR001CMP116</t>
  </si>
  <si>
    <t>MMR001CMP198</t>
  </si>
  <si>
    <t>MMR001CMP080</t>
  </si>
  <si>
    <t>MMR001CMP233</t>
  </si>
  <si>
    <t>MMR001CMP120</t>
  </si>
  <si>
    <t>MMR001CMP119</t>
  </si>
  <si>
    <t>MMR001CMP232</t>
  </si>
  <si>
    <t>MMR001CMP081</t>
  </si>
  <si>
    <t>MMR001CMP152</t>
  </si>
  <si>
    <t>MMR001CMP111</t>
  </si>
  <si>
    <t>MMR001CMP149</t>
  </si>
  <si>
    <t>MMR001CMP115</t>
  </si>
  <si>
    <t>MMR001CMP113</t>
  </si>
  <si>
    <t>MMR001CMP235</t>
  </si>
  <si>
    <t>MMR001CMP236</t>
  </si>
  <si>
    <t>MMR001CMP160</t>
  </si>
  <si>
    <t>MMR001CMP077</t>
  </si>
  <si>
    <t>MMR001CMP237</t>
  </si>
  <si>
    <t>MMR001CMP079</t>
  </si>
  <si>
    <t>MMR001CMP248</t>
  </si>
  <si>
    <t>MMR001CMP078</t>
  </si>
  <si>
    <t>MMR001CMP028</t>
  </si>
  <si>
    <t>MMR001CMP037</t>
  </si>
  <si>
    <t>MMR001CMP030</t>
  </si>
  <si>
    <t>MMR001CMP026</t>
  </si>
  <si>
    <t>MMR001CMP014</t>
  </si>
  <si>
    <t>MMR001CMP038</t>
  </si>
  <si>
    <t>MMR001CMP025</t>
  </si>
  <si>
    <t>MMR001CMP033</t>
  </si>
  <si>
    <t>MMR001CMP032</t>
  </si>
  <si>
    <t>MMR001CMP036</t>
  </si>
  <si>
    <t>MMR001CMP027</t>
  </si>
  <si>
    <t>MMR001CMP016</t>
  </si>
  <si>
    <t>MMR001CMP015</t>
  </si>
  <si>
    <t>MMR001CMP013</t>
  </si>
  <si>
    <t>MMR001CMP021</t>
  </si>
  <si>
    <t>MMR001CMP020</t>
  </si>
  <si>
    <t>MMR001CMP022</t>
  </si>
  <si>
    <t>MMR001CMP017</t>
  </si>
  <si>
    <t>MMR001CMP010</t>
  </si>
  <si>
    <t>MMR001CMP011</t>
  </si>
  <si>
    <t>MMR001CMP012</t>
  </si>
  <si>
    <t>MMR001CMP019</t>
  </si>
  <si>
    <t>MMR001CMP018</t>
  </si>
  <si>
    <t>MMR001CMP005</t>
  </si>
  <si>
    <t>MMR001CMP003</t>
  </si>
  <si>
    <t>MMR001CMP039</t>
  </si>
  <si>
    <t>MMR001CMP024</t>
  </si>
  <si>
    <t>MMR001CMP040</t>
  </si>
  <si>
    <t>MMR001CMP006</t>
  </si>
  <si>
    <t>MMR001CMP001</t>
  </si>
  <si>
    <t>MMR001CMP029</t>
  </si>
  <si>
    <t>MMR001CMP004</t>
  </si>
  <si>
    <t>MMR001CMP041</t>
  </si>
  <si>
    <t>MMR001CMP002</t>
  </si>
  <si>
    <t>MMR001CMP023</t>
  </si>
  <si>
    <t>MMR001CMP007</t>
  </si>
  <si>
    <t>MMR001CMP031</t>
  </si>
  <si>
    <t>MMR001CMP008</t>
  </si>
  <si>
    <t>MMR001CMP009</t>
  </si>
  <si>
    <t>MMR001CMP162</t>
  </si>
  <si>
    <t>MMR001CMP148</t>
  </si>
  <si>
    <t>MMR001CMP182</t>
  </si>
  <si>
    <t>MMR001CMP181</t>
  </si>
  <si>
    <t>MMR001CMP184</t>
  </si>
  <si>
    <t>MMR001CMP185</t>
  </si>
  <si>
    <t>MMR001CMP109</t>
  </si>
  <si>
    <t>MMR001CMP105</t>
  </si>
  <si>
    <t>MMR001CMP210</t>
  </si>
  <si>
    <t>MMR001CMP229</t>
  </si>
  <si>
    <t>MMR001CMP103</t>
  </si>
  <si>
    <t>MMR001CMP091</t>
  </si>
  <si>
    <t>MMR001CMP191</t>
  </si>
  <si>
    <t>MMR001CMP190</t>
  </si>
  <si>
    <t>MMR001CMP192</t>
  </si>
  <si>
    <t>MMR001CMP167</t>
  </si>
  <si>
    <t>MMR001CMP176</t>
  </si>
  <si>
    <t>MMR001CMP174</t>
  </si>
  <si>
    <t>MMR001CMP225</t>
  </si>
  <si>
    <t>MMR001CMP169</t>
  </si>
  <si>
    <t>MMR001CMP168</t>
  </si>
  <si>
    <t>MMR001CMP179</t>
  </si>
  <si>
    <t>MMR001CMP177</t>
  </si>
  <si>
    <t>MMR001CMP183</t>
  </si>
  <si>
    <t>MMR001CMP172</t>
  </si>
  <si>
    <t>MMR001CMP045</t>
  </si>
  <si>
    <t>MMR001CMP188</t>
  </si>
  <si>
    <t>MMR001CMP043</t>
  </si>
  <si>
    <t>MMR001CMP231</t>
  </si>
  <si>
    <t>MMR001CMP242</t>
  </si>
  <si>
    <t>MMR001CMP195</t>
  </si>
  <si>
    <t>MMR001CMP042</t>
  </si>
  <si>
    <t>MMR001CMP243</t>
  </si>
  <si>
    <t>MMR001CMP247</t>
  </si>
  <si>
    <t>MMR001CMP244</t>
  </si>
  <si>
    <t>MMR001CMP246</t>
  </si>
  <si>
    <t>MMR001CMP245</t>
  </si>
  <si>
    <t>MMR001CMP206</t>
  </si>
  <si>
    <t>MMR001CMP239</t>
  </si>
  <si>
    <t>MMR001CMP238</t>
  </si>
  <si>
    <t>MMR001CMP074</t>
  </si>
  <si>
    <t>MMR001CMP227</t>
  </si>
  <si>
    <t>MMR001CMP220</t>
  </si>
  <si>
    <t>MMR001CMP221</t>
  </si>
  <si>
    <t>MMR001CMP075</t>
  </si>
  <si>
    <t>MMR001CMP234</t>
  </si>
  <si>
    <t>MMR015CMP247</t>
  </si>
  <si>
    <t>MMR001CMP250</t>
  </si>
  <si>
    <t>MMR015CMP246</t>
  </si>
  <si>
    <t>MMR001CMP249</t>
  </si>
  <si>
    <t>MMR001CMP252</t>
  </si>
  <si>
    <t>MMR001CMP254</t>
  </si>
  <si>
    <t>MMR001CMP253</t>
  </si>
  <si>
    <t>MMR001CMP251</t>
  </si>
  <si>
    <t>HRP 3</t>
  </si>
  <si>
    <t># HH received Sanitary Pads</t>
  </si>
  <si>
    <t># HH received soaps</t>
  </si>
  <si>
    <t>Access to safe drinking water for Camp</t>
  </si>
  <si>
    <t>Access to safe drinking water for Village</t>
  </si>
  <si>
    <t>%Equitable and continuous access to sufficient quantity of safe drinking water</t>
  </si>
  <si>
    <t>#Water points coverage</t>
  </si>
  <si>
    <t>#Potential required new water points</t>
  </si>
  <si>
    <t>WATER Comments</t>
  </si>
  <si>
    <t>Sanitation Comments</t>
  </si>
  <si>
    <t>Hygiene Coverage%</t>
  </si>
  <si>
    <t>Hygiene Gap%</t>
  </si>
  <si>
    <t>%people reached by regular dedicated hygiene promotion</t>
  </si>
  <si>
    <t>%HH with access to soap</t>
  </si>
  <si>
    <t>#HH with access to Hand Washing Station</t>
  </si>
  <si>
    <t>Standard amount of Soap and sanitary pad</t>
  </si>
  <si>
    <t>Camps only</t>
  </si>
  <si>
    <t>#People access to unimproved water sources</t>
  </si>
  <si>
    <t>Row Labels</t>
  </si>
  <si>
    <t>(Multiple Items)</t>
  </si>
  <si>
    <t>Grand Total</t>
  </si>
  <si>
    <t>Indicators</t>
  </si>
  <si>
    <t>State/Region</t>
  </si>
  <si>
    <t xml:space="preserve"> In Need</t>
  </si>
  <si>
    <t>Overall reached</t>
  </si>
  <si>
    <t>Male 
(est 45%)</t>
  </si>
  <si>
    <t>Female 
(est 55%)</t>
  </si>
  <si>
    <t xml:space="preserve"> Children (&lt;18 yrs)
(est 35%)</t>
  </si>
  <si>
    <t xml:space="preserve"> Adult (18-59 yrs)
(est 40%)</t>
  </si>
  <si>
    <t xml:space="preserve"> Elderly (&gt;59 yrs)
(est 25%)</t>
  </si>
  <si>
    <t>Coverage</t>
  </si>
  <si>
    <t>Gap</t>
  </si>
  <si>
    <t>Number of people with equitable and safe access to sufficient quantity of drinking water</t>
  </si>
  <si>
    <t>Number of people with equitable and safe access to sufficient quantity of domestic water</t>
  </si>
  <si>
    <t>Number of people who received regular supply of hygiene items</t>
  </si>
  <si>
    <t>Number of people with access to continuous sanitation services</t>
  </si>
  <si>
    <t>Robert -Middle school</t>
  </si>
  <si>
    <t>Target</t>
  </si>
  <si>
    <t>SCI, ADRA/CANADA</t>
  </si>
  <si>
    <t>Total Population reached</t>
  </si>
  <si>
    <t>Overall HRP Target</t>
  </si>
  <si>
    <t>open in cccm?</t>
  </si>
  <si>
    <t>Vtract</t>
  </si>
  <si>
    <t>VillageWard</t>
  </si>
  <si>
    <t>not in cccm2018Mar</t>
  </si>
  <si>
    <t>closed_cccm2018Mar</t>
  </si>
  <si>
    <t>Man Nway (Pang Hseng (Kyu Koke)) Sub-township</t>
  </si>
  <si>
    <t>Nam Hkawng Khu</t>
  </si>
  <si>
    <t>Kha Maung Chi Taing</t>
  </si>
  <si>
    <t>No (6) Ward</t>
  </si>
  <si>
    <t>Kha Maung Chay Taing</t>
  </si>
  <si>
    <t>Khaung Doke Kar</t>
  </si>
  <si>
    <t>Aung Daing</t>
  </si>
  <si>
    <t>Hpwe Ywar Kone</t>
  </si>
  <si>
    <t>(Du) Chee Yar Tan</t>
  </si>
  <si>
    <t>King Chaung(No standard name yet)</t>
  </si>
  <si>
    <t>Kawng Wein</t>
  </si>
  <si>
    <t>Kar Lai Kone Hsar</t>
  </si>
  <si>
    <t>Kar Lai</t>
  </si>
  <si>
    <t>Momauk Town</t>
  </si>
  <si>
    <t>Ah Lin Kawng Ward</t>
  </si>
  <si>
    <t>Seik Mu</t>
  </si>
  <si>
    <t>Maw Shan</t>
  </si>
  <si>
    <t>Muse Town</t>
  </si>
  <si>
    <t>Swei Taw Ward</t>
  </si>
  <si>
    <t>Ho Mun Ward</t>
  </si>
  <si>
    <t>Man Wein</t>
  </si>
  <si>
    <t>Nawng Hkam</t>
  </si>
  <si>
    <t>Nam Lin Pa</t>
  </si>
  <si>
    <t>Nam Pang</t>
  </si>
  <si>
    <t>Nam Hkon</t>
  </si>
  <si>
    <t>Namtu Town</t>
  </si>
  <si>
    <t>Namtu Ward</t>
  </si>
  <si>
    <t>Sin Tet Maw (Ku Lar)</t>
  </si>
  <si>
    <t>Urban</t>
  </si>
  <si>
    <t>Sut Yoe Kya Ward</t>
  </si>
  <si>
    <t>Ywar Gyi (North) Ward</t>
  </si>
  <si>
    <t>Baw Du Hpa</t>
  </si>
  <si>
    <t>Mong Wee</t>
  </si>
  <si>
    <t>Man Mawn</t>
  </si>
  <si>
    <t>La Gat Dawt</t>
  </si>
  <si>
    <t>Man Pying (Pang Hseng (Kyu Koke)) Sub-township</t>
  </si>
  <si>
    <t>Hawwa</t>
  </si>
  <si>
    <t>Mone Paw Nam Chet (Zay) (Pang Hseng (Kyu Koke)) Sub-township</t>
  </si>
  <si>
    <t>Mone Paw Nam Chet</t>
  </si>
  <si>
    <t>Dum Buk</t>
  </si>
  <si>
    <t>Mai Bat</t>
  </si>
  <si>
    <t>Man Kawng</t>
  </si>
  <si>
    <t>Mung Ding Pa</t>
  </si>
  <si>
    <t>Kyay Nan Waing Ward</t>
  </si>
  <si>
    <t>Man Nawng</t>
  </si>
  <si>
    <t>Maing Khat</t>
  </si>
  <si>
    <t>Tar Li</t>
  </si>
  <si>
    <t>Dawthponeyan  Town</t>
  </si>
  <si>
    <t>No (2) Ward</t>
  </si>
  <si>
    <t>Hpar Kei (Dawthponeyan Sub-township)</t>
  </si>
  <si>
    <t>Hpar Kei</t>
  </si>
  <si>
    <t>Nam Sang Yang</t>
  </si>
  <si>
    <t>Man Ping (Ping) (Dawthponeyan Sub-township)</t>
  </si>
  <si>
    <t>Man Ping</t>
  </si>
  <si>
    <t>Nam Mun</t>
  </si>
  <si>
    <t>Hpawt Dawt</t>
  </si>
  <si>
    <t>Mon Gar Zut</t>
  </si>
  <si>
    <t>Sar Hmaw</t>
  </si>
  <si>
    <t>Waingmaw Town</t>
  </si>
  <si>
    <t>Myitkyina Town</t>
  </si>
  <si>
    <t>Kachin Su Ward</t>
  </si>
  <si>
    <t>Myay Myint Ward</t>
  </si>
  <si>
    <t>Lone Khin</t>
  </si>
  <si>
    <t>Ma Sut Yang</t>
  </si>
  <si>
    <t>Lang Jaw (Pang War Sub-township)</t>
  </si>
  <si>
    <t>Lang Jaw</t>
  </si>
  <si>
    <t>Nawng Mi</t>
  </si>
  <si>
    <t>Nawng Myi</t>
  </si>
  <si>
    <t>Ku Day</t>
  </si>
  <si>
    <t>Wa Ra Zut</t>
  </si>
  <si>
    <t>Shar Du Zut</t>
  </si>
  <si>
    <t>La Ja Ga</t>
  </si>
  <si>
    <t>Lang Taung</t>
  </si>
  <si>
    <t>Nawng Hkaing</t>
  </si>
  <si>
    <t>Pa Ma Tee</t>
  </si>
  <si>
    <t>Mogaung Town</t>
  </si>
  <si>
    <t>cccm_2018March</t>
  </si>
  <si>
    <t>Taung Yin</t>
  </si>
  <si>
    <t>Gone Chein</t>
  </si>
  <si>
    <t>Say Poke Kay</t>
  </si>
  <si>
    <t>Kan Thar Htwet Wa Ward</t>
  </si>
  <si>
    <t>Pon Nar Gyi</t>
  </si>
  <si>
    <t>Cha Eik</t>
  </si>
  <si>
    <t>San Pya Ward</t>
  </si>
  <si>
    <t>Ah Nauk San Pya Ward</t>
  </si>
  <si>
    <t>Dar Paing Ywar Thit</t>
  </si>
  <si>
    <t>Kha War De Ywar Haung</t>
  </si>
  <si>
    <t>Say Tha Mar</t>
  </si>
  <si>
    <t>Kin Seik</t>
  </si>
  <si>
    <t>Thar Dar</t>
  </si>
  <si>
    <t>Tha Yet Oke</t>
  </si>
  <si>
    <t>Goke Pi Htaunt (Ku Lar)</t>
  </si>
  <si>
    <t>Sin Oe Chaing</t>
  </si>
  <si>
    <t>Shwe Hlaing Ku Lar</t>
  </si>
  <si>
    <t>Hpa Yar Paung</t>
  </si>
  <si>
    <t>Myo Ma (East) Ward</t>
  </si>
  <si>
    <t>Wa Kin</t>
  </si>
  <si>
    <t>Khaung Toke</t>
  </si>
  <si>
    <t>Khaung Toke (Ku Lar)</t>
  </si>
  <si>
    <t>Moe Tay</t>
  </si>
  <si>
    <t>Nawng Tha Kyar</t>
  </si>
  <si>
    <t>Pang Long</t>
  </si>
  <si>
    <t>Pang Tha Pyay</t>
  </si>
  <si>
    <t>Nar Tee</t>
  </si>
  <si>
    <t>Kutkai Town</t>
  </si>
  <si>
    <t>No (5) Ward</t>
  </si>
  <si>
    <t>No (3) Ward</t>
  </si>
  <si>
    <t>Long Waun Nam Rein (Tarmoenye Sub-township)</t>
  </si>
  <si>
    <t>Mai Pong (Shu See)</t>
  </si>
  <si>
    <t>Mong Yu</t>
  </si>
  <si>
    <t>Nam Hpat Kar</t>
  </si>
  <si>
    <t>Nam Hpat Kar (Ho Pon + Pang Sa Lorp)</t>
  </si>
  <si>
    <t>Ho Nar</t>
  </si>
  <si>
    <t>Mung Hawm</t>
  </si>
  <si>
    <t xml:space="preserve">Htoi San Yang </t>
  </si>
  <si>
    <t>Mansi Town</t>
  </si>
  <si>
    <t>Kawng Yar Ward</t>
  </si>
  <si>
    <t>Shwegu Town</t>
  </si>
  <si>
    <t>Lwegel Town</t>
  </si>
  <si>
    <t>Aung Zay Yar Ward</t>
  </si>
  <si>
    <t>Aung Chan Thar Ward</t>
  </si>
  <si>
    <t>Saing Gyar Ward</t>
  </si>
  <si>
    <t>Han Te</t>
  </si>
  <si>
    <t>Hpan Hkar Kone</t>
  </si>
  <si>
    <t>Man Pon</t>
  </si>
  <si>
    <t>Bhamo Town</t>
  </si>
  <si>
    <t>Pauk Kone Ward</t>
  </si>
  <si>
    <t>Aung Thar</t>
  </si>
  <si>
    <t>Moe Hping</t>
  </si>
  <si>
    <t>Nyaung Pin Ward</t>
  </si>
  <si>
    <t>Kawng Hsa (Lwegel Sub-township)</t>
  </si>
  <si>
    <t>Mai Gyar Yang</t>
  </si>
  <si>
    <t>Nam Hlaing</t>
  </si>
  <si>
    <t>Ba Lawng Kawng (Lwegel Sub-township)</t>
  </si>
  <si>
    <t>Hpa Lum</t>
  </si>
  <si>
    <t>Zee Wone Gawt</t>
  </si>
  <si>
    <t>Dum Bung</t>
  </si>
  <si>
    <t>In Baw Mai Kyin (Dawthponeyan Sub-township)</t>
  </si>
  <si>
    <t>Hpun Lum Yang</t>
  </si>
  <si>
    <t>Mohnyin Town</t>
  </si>
  <si>
    <t>Aung Tha Pyay Ward</t>
  </si>
  <si>
    <t>Sa Ma</t>
  </si>
  <si>
    <t>Par Jaung</t>
  </si>
  <si>
    <t>Nar Gu</t>
  </si>
  <si>
    <t>Saga Pa</t>
  </si>
  <si>
    <t>Hkau Shau</t>
  </si>
  <si>
    <t>Saga Pa (Sadung Sub-township)</t>
  </si>
  <si>
    <t>Nawng Kaing Htaw</t>
  </si>
  <si>
    <t>Ma Haung</t>
  </si>
  <si>
    <t>Nat Gyi Kone Ward</t>
  </si>
  <si>
    <t>Kyun Taw Ward</t>
  </si>
  <si>
    <t>Hkat Shu</t>
  </si>
  <si>
    <t>No (4) Ward</t>
  </si>
  <si>
    <t>Lel Kone Ward</t>
  </si>
  <si>
    <t>Ma Hkan Tee</t>
  </si>
  <si>
    <t>Nawng Hee</t>
  </si>
  <si>
    <t>Mading</t>
  </si>
  <si>
    <t>Mading/Hka Kun</t>
  </si>
  <si>
    <t>Maliyang Ward</t>
  </si>
  <si>
    <t>Kyun Pin Thar Ward</t>
  </si>
  <si>
    <t>Maw Hpawng</t>
  </si>
  <si>
    <t>Du Ka Htaung Ward</t>
  </si>
  <si>
    <t>Jan Mai Kawng</t>
  </si>
  <si>
    <t>Tat Kone Ward</t>
  </si>
  <si>
    <t>Mai Na</t>
  </si>
  <si>
    <t>Nam Koi</t>
  </si>
  <si>
    <t>Si Tar Pu Ward</t>
  </si>
  <si>
    <t>Waw Shung (Kan Paik Ti Sub-township)</t>
  </si>
  <si>
    <t>Shan Kyaing</t>
  </si>
  <si>
    <t>N Jang Dung</t>
  </si>
  <si>
    <t>Man Khein Ward</t>
  </si>
  <si>
    <t>Shwe Set Ward</t>
  </si>
  <si>
    <t>Pa La Na Sa Khan Myar</t>
  </si>
  <si>
    <t>Pi Tauk Myaing</t>
  </si>
  <si>
    <t>Nam Si In (Karmaing Sub-township)</t>
  </si>
  <si>
    <t>Htwe San Yang</t>
  </si>
  <si>
    <t>Sai Taung (Ywar Haung)</t>
  </si>
  <si>
    <t>Nam Ma Hpyit</t>
  </si>
  <si>
    <t>Pang War Town</t>
  </si>
  <si>
    <t>Hpakan Town</t>
  </si>
  <si>
    <t>Maw Wam Ward</t>
  </si>
  <si>
    <t>Nyein Chan Thar Yar</t>
  </si>
  <si>
    <t>Hmaw Si Zar</t>
  </si>
  <si>
    <t>Hpa Re (Pang War Sub-township)</t>
  </si>
  <si>
    <t>Hpa Re Waw Jang</t>
  </si>
  <si>
    <t>Rit Law</t>
  </si>
  <si>
    <t>Chipwi Town</t>
  </si>
  <si>
    <t>Ba Leit Dan Ward</t>
  </si>
  <si>
    <t>Puta-O Town</t>
  </si>
  <si>
    <t>Lone Sut Ward</t>
  </si>
  <si>
    <t>Hpai Kawng (Pang Hseng-Kyu Koke Sub-township</t>
  </si>
  <si>
    <t>Lel Pyin</t>
  </si>
  <si>
    <t>Kawng Hkar Man Pying</t>
  </si>
  <si>
    <t>Ba Wan Chaung Wa Su Ward</t>
  </si>
  <si>
    <t>San Bar Lay</t>
  </si>
  <si>
    <t>Zi War</t>
  </si>
  <si>
    <t>Na Yan</t>
  </si>
  <si>
    <t>Sat Yon Maw (Ku Lar)</t>
  </si>
  <si>
    <t>Oke Kar Kyaw</t>
  </si>
  <si>
    <t>Yin Thei</t>
  </si>
  <si>
    <t>Pu Rein</t>
  </si>
  <si>
    <t>Raw Ma Ni</t>
  </si>
  <si>
    <t>Ah Lel Kyun Ku Lar</t>
  </si>
  <si>
    <t>Ya Da Nar Pon</t>
  </si>
  <si>
    <t>Ku Lar Taung Bway</t>
  </si>
  <si>
    <t>Shwe Kyee Nar Ward</t>
  </si>
  <si>
    <t>Myo Thit</t>
  </si>
  <si>
    <t>Khon Sint</t>
  </si>
  <si>
    <t>Hopin Town</t>
  </si>
  <si>
    <t>Myo Ma (South) Ward</t>
  </si>
  <si>
    <t>Moke Lwe</t>
  </si>
  <si>
    <t>Khar Shi</t>
  </si>
  <si>
    <t>Sumprabum Town</t>
  </si>
  <si>
    <t>Inn Lel Yan</t>
  </si>
  <si>
    <t>Doke Tan Ward</t>
  </si>
  <si>
    <t>Ka Bu Dam</t>
  </si>
  <si>
    <t>Set Yon Su Ward</t>
  </si>
  <si>
    <t>Individual House</t>
  </si>
  <si>
    <t>added by WASHcluster</t>
  </si>
  <si>
    <t>Ei Naing</t>
  </si>
  <si>
    <t>Zaw  Pu Gyar</t>
  </si>
  <si>
    <t>Daung Puauk Kay</t>
  </si>
  <si>
    <t>Nga Pun Ywar  Shee</t>
  </si>
  <si>
    <t>Bar Sa Ra Host</t>
  </si>
  <si>
    <t xml:space="preserve">Me La Zi Kone </t>
  </si>
  <si>
    <t>Bumtsit Pa (1,2,3)</t>
  </si>
  <si>
    <t>Bum Tsit Pa 3</t>
  </si>
  <si>
    <t>SCI/FFO</t>
  </si>
  <si>
    <t>Assume 5 people per hh. 100 hh per Hygiene promoters. So, 500 people per hygiene promotor</t>
  </si>
  <si>
    <t>(All)</t>
  </si>
  <si>
    <t>Gap%</t>
  </si>
  <si>
    <t>Column Labels</t>
  </si>
  <si>
    <t>Values</t>
  </si>
  <si>
    <t>Shan</t>
  </si>
  <si>
    <t>Count of Site Name</t>
  </si>
  <si>
    <t>Access to unimproved water points</t>
  </si>
  <si>
    <t>Sum of Total HH</t>
  </si>
  <si>
    <t>Sum of #HH with access to Hand Washing Station</t>
  </si>
  <si>
    <t>#HH reached by regular dedicated hygiene promotion</t>
  </si>
  <si>
    <t xml:space="preserve">PoP </t>
  </si>
  <si>
    <t>none</t>
  </si>
  <si>
    <t>Coverage%</t>
  </si>
  <si>
    <t>Total population</t>
  </si>
  <si>
    <t>Total</t>
  </si>
  <si>
    <t>Kachin Total</t>
  </si>
  <si>
    <t>Bum Tsit Pa</t>
  </si>
  <si>
    <t>Bum Tsit Pa Camp II</t>
  </si>
  <si>
    <t>MMR015CMP249</t>
  </si>
  <si>
    <t>Change camp to village</t>
  </si>
  <si>
    <t>Set Yone Su 3 (Mingan)</t>
  </si>
  <si>
    <t>Nga Kyi Tauk Daing Nat</t>
  </si>
  <si>
    <t>Ka Nyin</t>
  </si>
  <si>
    <t>Min Ga Lar Gyi</t>
  </si>
  <si>
    <t>Paung Zar</t>
  </si>
  <si>
    <t>Ywet Nyo Taung ( Rakhine)</t>
  </si>
  <si>
    <t>Q1_2018</t>
  </si>
  <si>
    <t>Tha Ray Kon Baung</t>
  </si>
  <si>
    <t>rakhine</t>
  </si>
  <si>
    <t>Mi Nyo Htaunt</t>
  </si>
  <si>
    <t>Mi Nyo Htaunt_Thar Si</t>
  </si>
  <si>
    <t>% Latrines requiring  repairs</t>
  </si>
  <si>
    <t># people reached by regular dedicated hygiene promotion_5</t>
  </si>
  <si>
    <t>SCI, Metta</t>
  </si>
  <si>
    <t xml:space="preserve"> Reached by Sex</t>
  </si>
  <si>
    <t xml:space="preserve">  Reached by Age</t>
  </si>
  <si>
    <t>Gap in active camps / township</t>
  </si>
  <si>
    <t xml:space="preserve">Partners </t>
  </si>
  <si>
    <t xml:space="preserve"> % 
Water Gap</t>
  </si>
  <si>
    <t xml:space="preserve"> %
 Sanitation Gap</t>
  </si>
  <si>
    <t>%  
Hygiene Gap</t>
  </si>
  <si>
    <t>Sum of # people reached by regular dedicated hygiene promotion_5</t>
  </si>
  <si>
    <t>Nb of People who received regular supply of hygiene items</t>
  </si>
  <si>
    <t># People with access to soap</t>
  </si>
  <si>
    <t># People with access to Sanity Pads</t>
  </si>
  <si>
    <t># People received regular supply of hygiene items_6</t>
  </si>
  <si>
    <t>(in active camps)</t>
  </si>
  <si>
    <t>KBC, Metta</t>
  </si>
  <si>
    <t># latrines (target)</t>
  </si>
  <si>
    <t># latrines desludged</t>
  </si>
  <si>
    <t># in GCA (20:1)</t>
  </si>
  <si>
    <t># in NGCA (20:1)</t>
  </si>
  <si>
    <t># in active camps (20:1)</t>
  </si>
  <si>
    <t># in villages (6:1)</t>
  </si>
  <si>
    <t>HRP target</t>
  </si>
  <si>
    <t>No Test</t>
  </si>
  <si>
    <t>Tested</t>
  </si>
  <si>
    <t>HHs</t>
  </si>
  <si>
    <t>Pops</t>
  </si>
  <si>
    <t>% WATER GAP</t>
  </si>
  <si>
    <t>% LATRINE GAP</t>
  </si>
  <si>
    <t>% HYGIENE GAP</t>
  </si>
  <si>
    <t>WinE</t>
  </si>
  <si>
    <t xml:space="preserve"> # of hand washing stations for TLS</t>
  </si>
  <si>
    <t xml:space="preserve"> # of latrines in TLS (schools)</t>
  </si>
  <si>
    <t>GAP</t>
  </si>
  <si>
    <t>Latrines handed over</t>
  </si>
  <si>
    <t>Latrines not handed over</t>
  </si>
  <si>
    <t>%equitable and continuous access to sufficient quantity of safe drinking and domestic water's GAP</t>
  </si>
  <si>
    <t>% of Latrine Gap</t>
  </si>
  <si>
    <t>Functioning</t>
  </si>
  <si>
    <t>Desludging</t>
  </si>
  <si>
    <t xml:space="preserve"> </t>
  </si>
  <si>
    <t>Indicator Summary (Eng/MM): All indicators and their propsed definition used in DATABASE</t>
  </si>
  <si>
    <t>Total Population</t>
  </si>
  <si>
    <t>Quarterly Dashboard: Dashboard for 1st Quarter 2017. We can view the analysis with different dimensions</t>
  </si>
  <si>
    <t>Kamai RC church</t>
  </si>
  <si>
    <t>Q2_2018</t>
  </si>
  <si>
    <t>Lawa St.Paul Catholic</t>
  </si>
  <si>
    <t xml:space="preserve">Langwa RC </t>
  </si>
  <si>
    <t xml:space="preserve">Langwa KBC </t>
  </si>
  <si>
    <t>Momauk KBC church</t>
  </si>
  <si>
    <t>Ti Yang Zug</t>
  </si>
  <si>
    <t>Trinity Church</t>
  </si>
  <si>
    <t>Jowmasat Baptist Church (Naw Khuu)</t>
  </si>
  <si>
    <t>Mine Yin Village Monastery</t>
  </si>
  <si>
    <t>Ywar Thit Kone AG Church (relocation)</t>
  </si>
  <si>
    <t>Waingmaw Behtela KBC church</t>
  </si>
  <si>
    <t>closed_cccm2018May</t>
  </si>
  <si>
    <t>31/May/2018: Population update. Data source: Shalom ( Camp Status change to Closed Camp, As per Shalom, the camp was closed on 28 May 2018). 
Updated date: 11/7/2017:SI did not WASH implement since july 2016</t>
  </si>
  <si>
    <t>MMR001CMP256</t>
  </si>
  <si>
    <t>Myo Oo St. Dominic RC Church</t>
  </si>
  <si>
    <t>Lan Gwa St.Paul RC Church</t>
  </si>
  <si>
    <t>Emmanuel AG Church</t>
  </si>
  <si>
    <t>Tang Hpre RC Church</t>
  </si>
  <si>
    <t>Ti Yang Zup</t>
  </si>
  <si>
    <t>MMR001CMP259</t>
  </si>
  <si>
    <t>MMR001CMP260</t>
  </si>
  <si>
    <t>MMR001CMP261</t>
  </si>
  <si>
    <t>MMR001CMP262</t>
  </si>
  <si>
    <t>MMR001CMP263</t>
  </si>
  <si>
    <t>MMR001CMP264</t>
  </si>
  <si>
    <t>MMR001CMP265</t>
  </si>
  <si>
    <t>MMR001CMP267</t>
  </si>
  <si>
    <t>MMR001CMP269</t>
  </si>
  <si>
    <t>MMR001CMP257</t>
  </si>
  <si>
    <t>MMR001CMP255</t>
  </si>
  <si>
    <t>MMR001CMP258</t>
  </si>
  <si>
    <t>Lawa RC Church</t>
  </si>
  <si>
    <t>MMR001CMP268</t>
  </si>
  <si>
    <t>Karmaing RC Church</t>
  </si>
  <si>
    <t>MMR001CMP270</t>
  </si>
  <si>
    <t>6/5/2018: Status changed into Closed. Source Metta NSS
Lack of access. Not updated since Mar/2014.
Change to Host Families.</t>
  </si>
  <si>
    <t>22/May/2017: Camp status change to Closed. Data Source: KBC 
2/June/2017: Population updated. Data source: WASH Cluster (dated 7/April_outlook mail)
Change to Host Families.</t>
  </si>
  <si>
    <t>Tanai AG Church</t>
  </si>
  <si>
    <t>2018_Q2</t>
  </si>
  <si>
    <t>V39</t>
  </si>
  <si>
    <t>Number of paid camp based WASH skilled labor</t>
  </si>
  <si>
    <t>V40</t>
  </si>
  <si>
    <t>Number of paid camp based WASH unskilled labor</t>
  </si>
  <si>
    <t>စခန္းအတြင္း အဖြဲ႕အစည္းမွ အခေၾကးေငြျဖင့္ခန္႔ထားေသာ (က်ြမ္းက်င္) WASH ၀န္ထမ္း အေရအတြက္</t>
  </si>
  <si>
    <t># Water points in TLS</t>
  </si>
  <si>
    <t>new site</t>
  </si>
  <si>
    <t>Gaps analysis - Traffic light</t>
  </si>
  <si>
    <t>New Site</t>
  </si>
  <si>
    <t>Lambraw Yang Rc, Namatee</t>
  </si>
  <si>
    <t>InjangYang  host families</t>
  </si>
  <si>
    <t>Ma Ji Bum</t>
  </si>
  <si>
    <t>New Camp April</t>
  </si>
  <si>
    <t>New Camp May</t>
  </si>
  <si>
    <t>New Camp April, , Not include in CCCM may 2018</t>
  </si>
  <si>
    <t>Not include in CCCM may 2018</t>
  </si>
  <si>
    <t>WATER</t>
  </si>
  <si>
    <t>SANITATION</t>
  </si>
  <si>
    <t>HYGIENE</t>
  </si>
  <si>
    <t>Area GAP</t>
  </si>
  <si>
    <t>Dinet</t>
  </si>
  <si>
    <t>Pi Htu_Wa Lar Kan</t>
  </si>
  <si>
    <t>Rakhine, Mro, Khami</t>
  </si>
  <si>
    <t>Mro</t>
  </si>
  <si>
    <t>Taung Htaung Hayar_Wa Lar Kan (Ku Lar)</t>
  </si>
  <si>
    <t>% Reached</t>
  </si>
  <si>
    <t>% Gap</t>
  </si>
  <si>
    <t>National</t>
  </si>
  <si>
    <t>Malteser reported in Q2 2018</t>
  </si>
  <si>
    <t>Thin Baw Hla (Rakhine) (Thar Yar Gone)</t>
  </si>
  <si>
    <t>Ta Man Thar</t>
  </si>
  <si>
    <t>Thea Chaung</t>
  </si>
  <si>
    <t>Kyet Yoe Pyin</t>
  </si>
  <si>
    <t>Kyet Yoe Pyin (Ywa Ma)</t>
  </si>
  <si>
    <t>Ta Man Thar (Thar Zay)_(Myo)</t>
  </si>
  <si>
    <t>??</t>
  </si>
  <si>
    <t>Kyan Taw</t>
  </si>
  <si>
    <t>Taw Kan</t>
  </si>
  <si>
    <t>Yar Tan</t>
  </si>
  <si>
    <t>Yae Chan Pyin</t>
  </si>
  <si>
    <t>Kha Tin Paik</t>
  </si>
  <si>
    <t>Pyin Shey</t>
  </si>
  <si>
    <t>Win Su</t>
  </si>
  <si>
    <t>Nga Pwint Gyi</t>
  </si>
  <si>
    <t>War Bo</t>
  </si>
  <si>
    <t>DFID/HARP,LDS</t>
  </si>
  <si>
    <t>9/30/2020,9/30/18</t>
  </si>
  <si>
    <t>Pang Hkawn Yang</t>
  </si>
  <si>
    <t>Lone Khin Catholic Church</t>
  </si>
  <si>
    <t>Momauk IDP new Extension camp
(Alen Kawng Lawk)</t>
  </si>
  <si>
    <t>Namatee AG</t>
  </si>
  <si>
    <t>Mohyin</t>
  </si>
  <si>
    <t>Zupra</t>
  </si>
  <si>
    <t>Ban Dang</t>
  </si>
  <si>
    <t>Sut Chyai</t>
  </si>
  <si>
    <t>Da Wei</t>
  </si>
  <si>
    <t>Htai Ra Yang</t>
  </si>
  <si>
    <t>Lawt Awng</t>
  </si>
  <si>
    <t>30/06/2019</t>
  </si>
  <si>
    <t>Water Quality</t>
  </si>
  <si>
    <t>Improved water source</t>
  </si>
  <si>
    <t>Unimproved water source</t>
  </si>
  <si>
    <r>
      <rPr>
        <b/>
        <sz val="11"/>
        <color rgb="FFFF0000"/>
        <rFont val="Corbel"/>
        <family val="2"/>
      </rPr>
      <t>Red &gt;=30%</t>
    </r>
    <r>
      <rPr>
        <b/>
        <sz val="11"/>
        <color theme="0"/>
        <rFont val="Corbel"/>
        <family val="2"/>
      </rPr>
      <t>,</t>
    </r>
    <r>
      <rPr>
        <b/>
        <sz val="11"/>
        <color theme="5"/>
        <rFont val="Corbel"/>
        <family val="2"/>
      </rPr>
      <t>Orange 0%~29%</t>
    </r>
    <r>
      <rPr>
        <b/>
        <sz val="11"/>
        <color theme="0"/>
        <rFont val="Corbel"/>
        <family val="2"/>
      </rPr>
      <t>,</t>
    </r>
    <r>
      <rPr>
        <b/>
        <sz val="11"/>
        <color theme="9" tint="-0.499984740745262"/>
        <rFont val="Corbel"/>
        <family val="2"/>
      </rPr>
      <t>Green =0%</t>
    </r>
  </si>
  <si>
    <t>Aung Ba La</t>
  </si>
  <si>
    <t>Shwe Zar (west)</t>
  </si>
  <si>
    <t>Kan Paing Nar</t>
  </si>
  <si>
    <t>Shwe Zar (North)</t>
  </si>
  <si>
    <t>Shwe Zar (Middle)</t>
  </si>
  <si>
    <t>Aung Zay Ya (Su See)</t>
  </si>
  <si>
    <t>Kyee Kan Pyin ( Temoprary Tent)</t>
  </si>
  <si>
    <t>Kyee Kan Pyin ( Surrounding)</t>
  </si>
  <si>
    <t>Aung Sit Pyin ( Done Pike)</t>
  </si>
  <si>
    <t>A Lei Ywar</t>
  </si>
  <si>
    <t>Ah Kyaw (Arisha Para)</t>
  </si>
  <si>
    <t>La Baw Zar</t>
  </si>
  <si>
    <t>Dar Shey</t>
  </si>
  <si>
    <t>Pyin Hpyu</t>
  </si>
  <si>
    <t>Thar Zay Kone (Thar Zi Kone)</t>
  </si>
  <si>
    <t>Kyauk Hlay Kar</t>
  </si>
  <si>
    <t>Thea Chaung Pyu Su</t>
  </si>
  <si>
    <t>Thea Chaung Ywar Thit Kay</t>
  </si>
  <si>
    <t>Ka Nyin Tan</t>
  </si>
  <si>
    <t>Maung Ni</t>
  </si>
  <si>
    <t>Pan Taw Pyin</t>
  </si>
  <si>
    <t>Shwe Yin Aye (NaTaLa)</t>
  </si>
  <si>
    <t>Zaw Ma Tat ( Kyine Gyi)</t>
  </si>
  <si>
    <t>Zaw Ma Tat ( Myo/ Relocation)</t>
  </si>
  <si>
    <t>Taung Pyo ( 4 Quarter)</t>
  </si>
  <si>
    <t>Taung Pyo ( 3Quarter)</t>
  </si>
  <si>
    <t>Taung Pyo ( 2 Quarter)</t>
  </si>
  <si>
    <t>Taung Pyo ( 1 Quarter)</t>
  </si>
  <si>
    <t>Kun Thee Pin</t>
  </si>
  <si>
    <t>Gyit Chaung</t>
  </si>
  <si>
    <t>Ngar Sar Kyu</t>
  </si>
  <si>
    <t>Ngan Chaung</t>
  </si>
  <si>
    <t>Thi Ho Kyun Tha Dar ( Myo/ Temporary)</t>
  </si>
  <si>
    <t>Myo U</t>
  </si>
  <si>
    <t>Sar Kon Boke (Hindu Para)</t>
  </si>
  <si>
    <t>Chan Pyin</t>
  </si>
  <si>
    <t>Sa Bai Pin Yin</t>
  </si>
  <si>
    <t>Kat Pa Kaung</t>
  </si>
  <si>
    <t>Ywet Nyo Taung</t>
  </si>
  <si>
    <t>Ah Bu Gyar</t>
  </si>
  <si>
    <t>Dar Gyi Zar</t>
  </si>
  <si>
    <t>Min Ga Lar Ahr Sheik Kyar</t>
  </si>
  <si>
    <t>Thu U Lar</t>
  </si>
  <si>
    <t>Inn Din (Rakhine)</t>
  </si>
  <si>
    <t>Kyauk Pan Du</t>
  </si>
  <si>
    <t>Myo</t>
  </si>
  <si>
    <t>Ma Ya Ma Gyi</t>
  </si>
  <si>
    <t xml:space="preserve">Dyine Net </t>
  </si>
  <si>
    <t>Ma Ya Ma Gyi + Dyine Net</t>
  </si>
  <si>
    <t>Dyine Net + Rakhine</t>
  </si>
  <si>
    <t>Dyine Net</t>
  </si>
  <si>
    <t>Shwe Zar Kat Pa Kaung</t>
  </si>
  <si>
    <t>Gaung Nyar</t>
  </si>
  <si>
    <t>Kan Beit</t>
  </si>
  <si>
    <t>Ka Nyin Chaung</t>
  </si>
  <si>
    <t>Aung Mingalar (NaTaLa)</t>
  </si>
  <si>
    <t>Hpar Wut Chaung (Ywar Thit)</t>
  </si>
  <si>
    <t>Wet Kyein (Myo)</t>
  </si>
  <si>
    <t>Pa Da Kar Ywar Thit</t>
  </si>
  <si>
    <t>Min Gyi (Tu Lar Tu Li)</t>
  </si>
  <si>
    <t>U Daung (NaTaLa)</t>
  </si>
  <si>
    <t>Mee Taik</t>
  </si>
  <si>
    <t>Yae Nauk Ngar Thar (Daing Nat)</t>
  </si>
  <si>
    <t>Ta Man Thar Ah Nauk (Rakhine)</t>
  </si>
  <si>
    <t>Mingalar Nyunt (NaTaLa)</t>
  </si>
  <si>
    <t>Min Kha Maung (NaTaLa)</t>
  </si>
  <si>
    <t>Thit Tone Nar Gwa Son</t>
  </si>
  <si>
    <t>Laung Don (Myo)</t>
  </si>
  <si>
    <t>Nga Khu Ya</t>
  </si>
  <si>
    <t>Nga Ku Ya (Ku Lar)</t>
  </si>
  <si>
    <t>Shwe Zar _Hindu</t>
  </si>
  <si>
    <t>Inn Din_new village</t>
  </si>
  <si>
    <t>MMR012009702501</t>
  </si>
  <si>
    <t>MMR012009702502</t>
  </si>
  <si>
    <t>MMR012009702503</t>
  </si>
  <si>
    <t>MMR012009702504</t>
  </si>
  <si>
    <t>KBC, Metta, SI</t>
  </si>
  <si>
    <t>KBC, KMSS, Shalom</t>
  </si>
  <si>
    <t>KBC, KMSS, Metta, SCI, WPN</t>
  </si>
  <si>
    <t>KBC, KMSS</t>
  </si>
  <si>
    <t>KBC, KMSS, Metta, Shalom</t>
  </si>
  <si>
    <t>Malteser, MHDO</t>
  </si>
  <si>
    <t>only camp</t>
  </si>
  <si>
    <t>only village</t>
  </si>
  <si>
    <t>(in active villages)</t>
  </si>
  <si>
    <t>Gap in active camps / Township</t>
  </si>
  <si>
    <t>Gap in active villages/ Township</t>
  </si>
  <si>
    <t>Jaw Masat Camp</t>
  </si>
  <si>
    <t>Pa Dauk Myaing(Pa La Na)-II</t>
  </si>
  <si>
    <t>MMR001CMP271</t>
  </si>
  <si>
    <t>Q3_2018</t>
  </si>
  <si>
    <t>31/July /2018: Population update. Data source: KMSS M
6/1/2018: Added as new camp (Camp Like Setting).</t>
  </si>
  <si>
    <t>2/June/2017: Updated Accessibility NGCA to GCA. Data source: UNOCHA.
Change to Host Families.</t>
  </si>
  <si>
    <t>Closed_cccm2018Aug</t>
  </si>
  <si>
    <t>Waimaw Baptist Zonal Office 2</t>
  </si>
  <si>
    <t>Namti Labraw Yang KBC Camp</t>
  </si>
  <si>
    <t>Ma Hawng Baptist Church</t>
  </si>
  <si>
    <t>Trinity Camp</t>
  </si>
  <si>
    <t>Tanai KBC Camp</t>
  </si>
  <si>
    <t>Mai Yu Lay New (Ta'ang)</t>
  </si>
  <si>
    <t>Mine Yu Lay village ( Old)</t>
  </si>
  <si>
    <t>Nam Hpak Ka Ta'ang ( Aung Tha Pyay)</t>
  </si>
  <si>
    <t>uncovered</t>
  </si>
  <si>
    <t>Closed : Source, OCHA</t>
  </si>
  <si>
    <t>Closed: Source UNHCR-Bhamo</t>
  </si>
  <si>
    <t>31/May/2018: Population update. Data source: Shalom ( Camp Status change to Closed Camp, As per Shalom, the camp was closed on 28 May 2018).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 Shalom)
Population update: Source: Camp Profile Round 2.</t>
  </si>
  <si>
    <t>Closed. Rellocated to Tharthana Ahlin Yaung.</t>
  </si>
  <si>
    <t>2-Apr-15 (Closed. Source: GAD)
Responsible Agency update. KMSS-BMO to KMSS-MYT.</t>
  </si>
  <si>
    <t>11/Jul/2017: Change status to Close as no update available since December 2016</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</si>
  <si>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2-Apr-15 (Population update, Source: UNHCR CCCM Mission)
Population Update. Source: KBC.</t>
  </si>
  <si>
    <t>24/Apr/2017: Changed camp status as "closed". Data source: KMSS_Myitkyina and CCCM unit.
16/Sep/2016: New added camp. There no responsible organization.</t>
  </si>
  <si>
    <t>19-Aug-15 Closed. IDP were provided with individual lands within Naung Hmee village and transit toward semi-permanent settlement. Source: CCCM Unit
2-Apr-15 (Population update, Source: UNHCR CCCM Mission)
Population update: Source: Camp Profile Round 2.</t>
  </si>
  <si>
    <t>Only one HH left, included in Lon Khin Baptist distribution list.</t>
  </si>
  <si>
    <t>30/June /2018: Population update. Data source: UNHCR/Cluster partners
30/May/2018: Population update. Data source: UNHCR/Cluster partners
30/May/2018: Added as new camp</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</si>
  <si>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18-May-15 (Population update by field mission)
Source: CCCM Unit (Hpakant Assessement Mission)</t>
  </si>
  <si>
    <t>Closed.</t>
  </si>
  <si>
    <t>11/Jul/2017: Change status into closed: Data source: KBC
25/Jul/2016: Added as new camp according to KBC data. Data was given by Jade</t>
  </si>
  <si>
    <t>Move to Nant Ma Hpit Catholic Church.</t>
  </si>
  <si>
    <t>Close. According to RRC's info, this camp does not include in reported list.</t>
  </si>
  <si>
    <t>Closed Camp
Update data from OCHA IDPs List</t>
  </si>
  <si>
    <t>25-Jun-15 (Relocate to Long Sut)
Geo-Info, HH/Pop data received from MIRA Form</t>
  </si>
  <si>
    <t>Closed. Rellocated to Man Win and La Ga Yaung</t>
  </si>
  <si>
    <t>27-Mar-15 (Closed. Source: UNHCR-Bhamo)
New Camp</t>
  </si>
  <si>
    <t>16/Sep/2016: Changes camp status. Actually it was not closed. It was combined as one camp with Bum Tsit Pa. Data source: KMSS_Bhamo.
28/Jan/2016. Population update. Data source: KBC
Population Update. Source: Save The Children.</t>
  </si>
  <si>
    <t>Closed. Source: Save The Children</t>
  </si>
  <si>
    <t>19-Aug-15 Close. Source: CCCM Unit.
Population source: KMSS-BMO</t>
  </si>
  <si>
    <t>Closed. Duplicate with Maing Khaung.</t>
  </si>
  <si>
    <t>Closed. Move to Bum Tist Pa II and Man Wing. HH113/Pop837</t>
  </si>
  <si>
    <t xml:space="preserve">This IDP are registered in Nam Lim pa (Boarder) (MMR001CMP204). We should not calculate this number in total. </t>
  </si>
  <si>
    <t>Close (Source: OCHA)</t>
  </si>
  <si>
    <t>30/Mar/2018: Camp Status change to Closed: Relocate to Nongpong. 
29/June/2017: Population update. Planning to local integration through KMSS_Myitkyina. Relocated to Naung Pon
3/May/2017: Pop update. Data source: KMSS_Myitkyina
24/Apr/2017: Pop update. Data source: KMSS_Myitkyina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</si>
  <si>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IDPs returned</t>
  </si>
  <si>
    <t>11/Jul/2017: Closed camp. No update information.
25-Jun-2015 (New host families. Source: RRD)</t>
  </si>
  <si>
    <t>Closed. Duplicate with (Nawng Ing (Indawgyi) Baptist Church)</t>
  </si>
  <si>
    <t>11/Jul/2017: Closed camp. No update information since Nov 2015.
9/Nov/2015. Population update. Data source: mail from WFP.
New added Boarding School</t>
  </si>
  <si>
    <t>11/Jul/2017: Change status to Close as no update available since June/2017.
Geo-Info, HH/Pop data was updated from Google Earth.</t>
  </si>
  <si>
    <t>11/Jul/17: Change status to Close as no update available.</t>
  </si>
  <si>
    <t>11/Jul/2017: Change status to Close as no update available
Geo-Info, HH/Pop data was updated from Google Earth.</t>
  </si>
  <si>
    <t>9/Nov/2015. updated camp status (Closed). Data Source; Lu Lu Awng by mail.
19-Aug-15 Population update. Source: Shalom
25-Jun-15 (Population update. Source : Shalom)
Checked with Shalom data, IDPs figure do not change</t>
  </si>
  <si>
    <t>Closed. Population relocated to Man Bung Catholic Compound (MMR001CMP062)</t>
  </si>
  <si>
    <t>16/Jun/2016: Camp Closed. Data source: Shalom. Commnets from Shalom "Household return to Kayuk sa khan village"
9/Nov/15. Population update. Data source: monthly report by HAP.
19-Aug-15 Population update. Source: Shalom
25-Jun-15 (Population update. Source : Shalom)
Population update: Source UNHCR-Bhamo</t>
  </si>
  <si>
    <t>11/Jul/2017: Change status to Close as no update available since Jan/2017.
Update from OCHA Data (2 Jan 2014)</t>
  </si>
  <si>
    <t>11/Jul/2017: Change status to Close as no update available since June 2014
Geo-Info, HH/Pop data was updated from Google Earth.</t>
  </si>
  <si>
    <t>New displacement from Ka Sung</t>
  </si>
  <si>
    <t>25-Jun-15 Relocate to Shatapru Thida Aye Baptist Church
Population update: Source: Camp Profile Round 2.</t>
  </si>
  <si>
    <t>Closed july 2017</t>
  </si>
  <si>
    <t>25-Jun-15 (Relocated to Lone Sut)
Geo-Info, HH/Pop data received from MIRA Form</t>
  </si>
  <si>
    <t>11/Jul/2017: Change status to Close as no update available.</t>
  </si>
  <si>
    <t>25-Jun-15 (Relocated to Hpum Lone Yan and Wai Choi)
Population Update. Source: UNHCR Cross-Line Mission Report. (July 2014)</t>
  </si>
  <si>
    <t>22/June/2018: camp status change to Closed Camp. 44 HHs shifted to Maina Governent plan low cost housing. 35 HHs stayed in the host community where they already bought land and constructed houses.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</si>
  <si>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UNHCR/DRC joint mission</t>
  </si>
  <si>
    <t>3/Mar/2016. Closed Camp. Data source: January report from KBC.
28/Jan/2016. Population update. Data source: KBC (mail by maran)
2/Dec/2015 (Population update. Data source: Monthly report by KBC).
25-Jun-2015 Update population. Data Source: KBC
Changed to Boarding School.</t>
  </si>
  <si>
    <t>6/June/2017: Changed camp status as "Closed" because of the conflict on Dec, 2016. So IDPs ( from Zai Awng - Mung Ga Zup) flew to Lung Byen. They stay awhile at Lung Byen and then they moved to Shait Yang on 17 Jan 2017. Added as a new camp (Shait Yang) instead of Zai Awng-Mung Ga Zup".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</si>
  <si>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Population update. Source KBC.
25-Jun-15 New camp. Data Source : KBC</t>
  </si>
  <si>
    <t>6/5/2018: Status changed into Closed. Source Metta NSS,some IDP have returned, some moved to host families in Namtu and Kha Shi village, Lashio township
Lack of access. Not updated since Mar/2014.
Change to Host Families.</t>
  </si>
  <si>
    <t>11/Jul/2017: Camp status change into closed. KBC said Camp will be combine with Nam Sa Larp. DATA Source: KBC
25/Jul/2016: Added as new camp according to KBC data. Data was given by Jade</t>
  </si>
  <si>
    <t>5/June/2018: Data Updated
17-01-2017: New added camp. Missing data will be collected from partners and present in next Report.</t>
  </si>
  <si>
    <t>27/Apr/2017: Changed camp status as "Closed", Data source: KBC.
15/Mar/2017: Population update, KBC is not responsible  org started from December 2016. Data Source: KBC
24/Feb/2017: Population update. Data source: KBC
18/Jul/2016: Population updte. Data source: KBC
12/May/2016. Population update. Data source: KBC
25-Jun-15 Population update. Source: KBC
Update population. Source: Camp Profile.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</si>
  <si>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Update population. Source: Camp Profile.</t>
  </si>
  <si>
    <t>30/June/2018: Population update. Data source: KBC,
31/May/2018: Population update. Data source: KBC
30/Apr/2018: Population update. Data source: KBC
27/Mar/2018: Population update. Data source: KBC
5/Mar/2018: Population update. Data source: KBC
CCCM activities start in july 2017</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</si>
  <si>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updated. Source: Shelter unit.</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</si>
  <si>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and Responsible agency update. Data source: KBC.
10/Jan/2017: Population update. Data source: KBC
18/Jul/2016: Added as new camp according to KBC_Brang Mai.</t>
  </si>
  <si>
    <t>5/June/2018. Data Updated.
6/May/2017: New added camp. Data source: KBC. Camp was confirmed by CCCM unit. The missing informaiton will be updated as soon as possible.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</si>
  <si>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</si>
  <si>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5/June/2018: Data Source Metta NSS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</si>
  <si>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27-Mar-15 (Changed to GCA. Source UNHCR-Bhamo)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</si>
  <si>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27-Mar-15 (Changed to GCA. Source UNHCR-Bhamo)
New camp. Source: KMSS-BMO</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</si>
  <si>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</si>
  <si>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5/Marcy/2018: Population update. Data source: KMSS-LSO.
From Jan 2018, camp like setting status change to Camp as KMSS-LSO will be cover the Camp 
6/Apr/2017: Population update. Data source: CCCM and confirmed by camp manager.
20/Feb/2017: Updating GPS coordiante.
25/Jul/2016: Added as new camp according to KBC data. Data was given by Jade</t>
  </si>
  <si>
    <t>31/July/2018: Data Source (UNHCR-LSH)
6/June/2018: Data Source ( IRC, KMSS-Lsh)
11/Jul/2017: Updated from UNOCHA, visited on March 2017 
9/Nov/15. New added camp. Data source: UNHCR CCCM officer NSS mission 8-12 July 2015.</t>
  </si>
  <si>
    <t>31/July/2018: Data Source (UNHCR-LSH)
5/June/2018: Data Source: IRC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</si>
  <si>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18/Jul/2016: Population updte. Data source: KBC
15/Jun/2016: Population update. Data source: monthly report by KBC
12/May/2016. Population update. Data source: KBC
28/Jan/2016. Population update. Data source: KBC
25-Jun-15 Population update. Source: KBC
Population update. Source: KBC.</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</si>
  <si>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Changed NGCA to GCA. Source: CCCM Unit</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</si>
  <si>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New Camp</t>
  </si>
  <si>
    <t>6/Apr/2017: Changed camp status as "closed". Data source: CCCM_UNHCR, comfirmed by partners (KBC)
17-01-2017: New added camp. Missing data will be collected from partners and present in next Report.</t>
  </si>
  <si>
    <t>6/Apr/2017: Changed the camp status as "Closed". Data source: CCCM and comfirmed by partner (KBC). And it was updated since 3/Mar/2014.
Change to Host Families.</t>
  </si>
  <si>
    <t>Camp Closed. Updated on 15 Jun 2016. Data source: Camp Profiling Data from KBC (Our NSS KBC-ERC team confirmed that Munekoe Pa camp has been closed regarding to their request. )
12/May/2016. Population update. Data source: KBC
28/Jan/2016. Population update. Data source: KBC (mail by maran)
2/Dec/2015. Population update. Data source: KBC
25-Jun-15 Population update. Source: KBC
Update population. Source: Camp Profile.</t>
  </si>
  <si>
    <t>6/April/2017: Changed the camp stutas as "Closed". Data source CCCM and comfirmed by partner (KBC). And it was updated since 3/March/2017
Change to Host Families.</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</si>
  <si>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New camp.</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</si>
  <si>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 Source: Save The Children.</t>
  </si>
  <si>
    <t>Closed as of 1st of September 2017</t>
  </si>
  <si>
    <t>31/July/2018: Data Source (UNHCR-LSH)
5/Jun/2018: Population update. Data source: DRC, SCI
2/Jun/2017: Population update. Data source: WASH cluster.
25/Jul/2016: Added as new camp according to KBC data. Data was given by Jade</t>
  </si>
  <si>
    <t>2/June/2017: Changed camp status as "Closed". Data source: UNOCHA and confirmed by CCCM unit.
25/Jul/2016: Added as new camp according to KBC data. Data was given by Jade</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</si>
  <si>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</si>
  <si>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</si>
  <si>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</si>
  <si>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Population update. Changed NGCA to GCA. Source: CCCM Unit</t>
  </si>
  <si>
    <t>Closed. Same with (Nam Hkam Catholic Church  St. Thomas II)</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</si>
  <si>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</si>
  <si>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CCCM activities start in july 2017</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</si>
  <si>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Namtu KBC 1(MMR015CMP230) and Namtu KBC 2 (MMR015CMP231) are already integrated into the old camp ( Nam Tu Baptist (MMR015CMP014)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</si>
  <si>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18th - 19th May joint assessment of OCHA and UNHCR, population returned to place of origin. Location is closed. Change to Host Families. Source: Programme Unit.</t>
  </si>
  <si>
    <t>31/July/2018: Data Source (UNHCR-LSH)
6/June/2018: Data source ( DRC- NSS)
25/Jul/2016: Added as new camp according to KBC data.</t>
  </si>
  <si>
    <t>2/June/2017: Changed camp status as "Closed" according to UNHCR_Lashio information.
17-01-2017: New added camp. Missing data will be collected from partners and present in next Report.</t>
  </si>
  <si>
    <t>Comments form CCCM</t>
  </si>
  <si>
    <t>New camp June</t>
  </si>
  <si>
    <t>KBC,KMSS</t>
  </si>
  <si>
    <t>V41</t>
  </si>
  <si>
    <t>2018_Q3</t>
  </si>
  <si>
    <t>2018_Q4</t>
  </si>
  <si>
    <t>in active camps</t>
  </si>
  <si>
    <t>Ah Lay Yaw / Kar Di (Ah Le)</t>
  </si>
  <si>
    <t>Pyar</t>
  </si>
  <si>
    <t>Kar Di Har Yar</t>
  </si>
  <si>
    <t xml:space="preserve">Nga Saung Bet </t>
  </si>
  <si>
    <t>San Pay Hla</t>
  </si>
  <si>
    <t>San Thit Pyin</t>
  </si>
  <si>
    <t xml:space="preserve">Thin Ga Net </t>
  </si>
  <si>
    <t>Ponn Nar</t>
  </si>
  <si>
    <t>Kar Di (Middle)</t>
  </si>
  <si>
    <t>Kar Di Ha Yar</t>
  </si>
  <si>
    <t>Ngar Saung Bet</t>
  </si>
  <si>
    <t>Sabei Hla</t>
  </si>
  <si>
    <t>San Thar Pyin</t>
  </si>
  <si>
    <t>Thin Ga Net</t>
  </si>
  <si>
    <t>Pon Nar</t>
  </si>
  <si>
    <t>Mee Pho Kone</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</si>
  <si>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The camp name also change from "Tanai RC Church - Kinsa Ra" to St. Joseph Tanai RC camp. 
31/July /2018: Population update. Data source: KMSS M
 30/June/2018: Population update. Data source: UNHCR/Cluster partners
30/May/2018: Population update. Data source: UNHCR/Cluster partners</t>
  </si>
  <si>
    <t xml:space="preserve">St. Joseph Tanai RC camp </t>
  </si>
  <si>
    <t>Information received from UNHCR PU remote monitoring tool that all the IDPs moved to nearby location ; Yartikaun; camp like setting changed from Opened to Closed on the date of 31 Aust 2018</t>
  </si>
  <si>
    <t>Closed_cccm2018Oct</t>
  </si>
  <si>
    <t>Galeng (Palaung) &amp; Kone Khem</t>
  </si>
  <si>
    <t>MMR015CMP212</t>
  </si>
  <si>
    <t>Galeng</t>
  </si>
  <si>
    <t>Q4_2018</t>
  </si>
  <si>
    <t>new camp added in 1/11/18</t>
  </si>
  <si>
    <t>1/Nov/2018: Changed camp status as "reopen", Data source: NSS Cluster Partners: Reopen as per NSS Cluster Partners confirm that the IDPs are staying in the location during Cluster Meeting. 
Close: Duplicate Camp (MMR015CMP015 - Kone Khem Camp) 21-Jan-14</t>
  </si>
  <si>
    <t>Hu Hku &amp; Ho Hko</t>
  </si>
  <si>
    <t>MMR015CMP250</t>
  </si>
  <si>
    <t>Pang Kai Pang Lawt</t>
  </si>
  <si>
    <t>new cam added in 1/11/2018. opening date is 20/4/2018 at CCCM</t>
  </si>
  <si>
    <t>closed_CCCM2018Oct</t>
  </si>
  <si>
    <t>No agency has visited since Jul/2016, KBC to follow up.
25/Jul/2016: Added as new camp according to KBC data/ all the hh stayed temporarily and returned to VoO in 2016; source of information: cluster meeting 15 Aug 2018. Lashio, by Metta, KBC, KMSS-L</t>
  </si>
  <si>
    <t xml:space="preserve">1/Nov/2018: Changed camp status as "reopen", Data source: NSS Cluster Partners: Reopen as per NSS Cluster Partners confirm that the IDPs are staying in the location during Cluster Meeting. 
Close: Duplicate Camp (MMR015CMP015 - Kone Khem Camp) 21-Jan-14.1/November/2018: Data Source: UNHCR-LSH and Partners
IDPs relocated from  Mai Yu Lay New (Ta'ang) ( MMR015CMP220)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</si>
  <si>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</si>
  <si>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12/May/2016. Population update. Data source: KBC
28/Jan/2016. Population update. Data source: KBC
2/Dec/2015. Population update. Data source: KBC
25-Jun-2015 Update population. Data Source: KBC
Update population according to KBC data</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</si>
  <si>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30/June /2018: Population update. Data source: UNHCR/Cluster partners
30/May/2018: Population update. Data source: UNHCR/Cluster partners
30/May/2018: Added as new camp</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</si>
  <si>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30/May/2018: Added as new camp</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</si>
  <si>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13/Dec/2014. Population update. Data source: Mail by Ko Maran. Reason for Pop changes: Following September 2016 conflict there was sudden increase of IDP pp in Mansi and Mahkawng
2/Dec/2015. Population update. Data source: KBC
2-Oct-14 Population update (New arrival). Data source: NFI distribution list from Bhamo.
19-Aug-15 Population update. Source: KBC.
25-Jun-15 Population update. Source: KBC
Population update: Source: Camp Profile Round 2.</t>
  </si>
  <si>
    <t>31/August /2018: Population update. Data source: KMSS M;Remaining IDPs voluntarily moved to PaMaTi area
30/June /2018: Population update. Data source: UNHCR/Cluster partners
30/May/2018: Population update. Data source: UNHCR/Cluster partners
21/May/2018: Added as new camp. Data source: MIRA (Multi Sector Assessment Team)</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</si>
  <si>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</si>
  <si>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Lan Gwa KBC Church) change to Namti Labraw Yang KBC camp)  As per KBC email sent on Thu 7/5/2018 5:47 PM by PC KBC- HDD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</si>
  <si>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18/Jul/2016: Population updte. Data source: KBC
15/Jun/2016: Population update. Data source: monthly report by KBC
12/May/2016. Population update. Data source: KBC
28/Jan/2016. Population update. Data source: KBC 
2/Dec/2015. Population update. Data source: KBC.
19-Aug-15 Population update. Source: KBC.
25-Jun-15 Population update. Source: KBC
Update population according to KBC data</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</si>
  <si>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“Nawng Nan, Jaw Ma Sat KBC Church) change to Jaw Masat Camp)  As per KBC email sent on Thu 7/5/2018 5:47 PM by PC KBC- HDD 
30/June /2018: Population update. Data source: UNHCR/Cluster partners
30/May/2018: Population update. Data source: UNHCR/Cluster partners
30/May/2018: Added as new camp</t>
  </si>
  <si>
    <t xml:space="preserve">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5/Mar/2018: Population update. Data source:  Camp manager 
New displacement from Tingkawk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</si>
  <si>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</si>
  <si>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6/1/2018: Added as new camp (Camp Like Setting).</t>
  </si>
  <si>
    <t>31/August/2018: Population update. Data source: KMSS_Myitkyina
31/July /2018: Population update. Data source: UNHCR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</si>
  <si>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Trinity KBC Church) change to Trinity camp)  As per KBC email sent on Thu 7/5/2018 5:47 PM by PC KBC- HDD 
30/June /2018: Population update. Data source: UNHCR/Cluster partners
30/May/2018: Population update. Data source: UNHCR/Cluster partners
21/May/2018: Added as new camp. Data source: MIRA (Multi Sector Assessment Team)</t>
  </si>
  <si>
    <t>1/Nov/2018: Population update. Data source: KMSS_Myitkyina
1/October/2018: Population update. Data source: KMSS_Myitkyina
31/August/2018: Population update. Data source: KMSS_Myitkyina
31/July /2018: Population update. Data source: KMSS M</t>
  </si>
  <si>
    <t xml:space="preserve">1/Nov/2018: Population update. Data source: KBC
1/October/2018: Population update. Data source: KBC
31/August/2018: Population update. Data source: KBC
31/July/2018: Population update: Data Source: KBC ( The camp status change to Camp from Camp like setting as KBC covers as CMA from July 2018
5/July/2018: The camp name “ Tanail KBC Church) change to Tanai KBC camp  As per KBC email sent on Thu 7/5/2018 5:47 PM by PC KBC- HDD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</si>
  <si>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</si>
  <si>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</si>
  <si>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6/June/2017: Added as new camp instead of Zai Awng - Mung Ga Zup camp because of the conflict on Dec, 2016. So IDPs ( from Zai Awng - Mung Ga Zup ) flew to Lung Byen. They stay awhile at Lung Byen and then they moved to Shait Yang on 17 Jan 2017. Changed the camp name as "Shait Yan</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</si>
  <si>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25-Jun-2015 Update population. Data Source: KBC
Changed NGCA to GCA. Source: Programme Unit.</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</si>
  <si>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change Bethela KBC church to  Waimaw Baptist Zonal Offie 2 As per KBC email sent on Thu 7/5/2018 5:47 PM by PC KBC- HDD 
30/June /2018: Population update. Data source: UNHCR/Cluster partners
30/May/2018: Population update. Data source: UNHCR/Cluster partners
30/May/2018: Added as new camp</t>
  </si>
  <si>
    <t>1/Nov/2018: Population update. Data source: KMSS_Myitkyina
1/October/2018: Population update. Data source: KMSS_Myitkyina
31/August/2018: Population update. Data source: KMSS_Myitkyina ( Number of household and population was increase in July ( +9HHs/45pax ). Living in host community. This families came from Maga Yang and Sha It Yang along with their children who have to attend the high School in Laiza which is nearby Woi Chyai)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16/Feb/2016. HH and Pop correction
28/Jan/2016. Population update. Data source: KBC 
2/Dec/2015 (Population update. Data source: Monthly report by KMSS_MYT). Reason for pop changes; Travelling from the camp for daily work.
23-Oct-15 (Population update. Data sorce: Monthly report by KMSS-MYT). Reason for changes; Arrived from daily work.
2-Oct-15 (Population update. Data Source: Monthly report by KMSS-MYT)
19-Aug-15 (Population update: Data Source: KMSS-MYT)
25-Jun-15 (Population update. Source: IRRC)
Population Update. Source: KMSS-MYT</t>
  </si>
  <si>
    <t>ECHO, OFDA, MHF</t>
  </si>
  <si>
    <t>CDA</t>
  </si>
  <si>
    <t>Pyin Hpyu Maw</t>
  </si>
  <si>
    <t>newly added in Q4 2018</t>
  </si>
  <si>
    <t>Ba laung Chaung</t>
  </si>
  <si>
    <t>Thin Pyin</t>
  </si>
  <si>
    <t>Kauk Kyaing</t>
  </si>
  <si>
    <t>Pone Sar</t>
  </si>
  <si>
    <t>Aung Zay Ya</t>
  </si>
  <si>
    <t>Pyeing Chaung</t>
  </si>
  <si>
    <t>CDN - newly added in Q4</t>
  </si>
  <si>
    <t>Than Pyin</t>
  </si>
  <si>
    <t>Kauk Kyit</t>
  </si>
  <si>
    <t>Pon Sar</t>
  </si>
  <si>
    <t>OXSI (Oxfam)</t>
  </si>
  <si>
    <t>09/30/2020, 1/30/2019</t>
  </si>
  <si>
    <t>OXSI (SI)</t>
  </si>
  <si>
    <t xml:space="preserve"> # of hand washing stations with sufficient soap</t>
  </si>
  <si>
    <t>DRC, OXSI (SI), OXSI (Oxfam), MA_UK</t>
  </si>
  <si>
    <t>Plan/GFFO</t>
  </si>
  <si>
    <t>Khaung Doke Khar 1</t>
  </si>
  <si>
    <t>Khaung Doke Khar 2 (Hmanzi)</t>
  </si>
  <si>
    <t>Phwe Yar Kone (Say Tha Mar Gyi)</t>
  </si>
  <si>
    <t>CCCM_2018Dec</t>
  </si>
  <si>
    <t>Agritural Compound (KBC) Total</t>
  </si>
  <si>
    <t>Aung Thar Church Total</t>
  </si>
  <si>
    <t>Htoi San Church Total</t>
  </si>
  <si>
    <t>IDP Boarding School, A Len Bum Total</t>
  </si>
  <si>
    <t>Kachin Su Baptist Church (ECCD) Total</t>
  </si>
  <si>
    <t>Khar Nan (1) Baptist Church Total</t>
  </si>
  <si>
    <t>Lisu Boarding-House Total</t>
  </si>
  <si>
    <t>Man Bung Catholic compound Total</t>
  </si>
  <si>
    <t>Mandalay Monestry Total</t>
  </si>
  <si>
    <t>Mansi Baptist Church Total</t>
  </si>
  <si>
    <t>Momauk Baptist Church Total</t>
  </si>
  <si>
    <t>Mu-yin Baptist Church Total</t>
  </si>
  <si>
    <t>Nant Hlaing Church Total</t>
  </si>
  <si>
    <t>Shwe Gu Baptist Church Total</t>
  </si>
  <si>
    <t>Shwe Gu Catholic Church Total</t>
  </si>
  <si>
    <t>Woi Chyai (Mong Lai) Total</t>
  </si>
  <si>
    <t>Woi Chyai host families Total</t>
  </si>
  <si>
    <t>Yoe Kyi Monastery Total</t>
  </si>
  <si>
    <t>4W Activities (2019)</t>
  </si>
  <si>
    <t>Activity
Measurement</t>
  </si>
  <si>
    <t>Output
Measurement</t>
  </si>
  <si>
    <t>State
(Rakhine, Kachin-Shan, All)</t>
  </si>
  <si>
    <t>Reporting period</t>
  </si>
  <si>
    <t>All</t>
  </si>
  <si>
    <t>WASH project agency</t>
  </si>
  <si>
    <t>Name of WASH program agency (program agency and implementing agency may be the same)</t>
  </si>
  <si>
    <t>WASH implementing agency</t>
  </si>
  <si>
    <t>Name of WASH implementing agency (program agency and implementing agency may be the same)</t>
  </si>
  <si>
    <t>Donors</t>
  </si>
  <si>
    <t>Named from Myanmar national naming conventions</t>
  </si>
  <si>
    <t>Site type (camp or village)</t>
  </si>
  <si>
    <t>The site may be either a CCCM registered camp or a village</t>
  </si>
  <si>
    <t xml:space="preserve">Site name </t>
  </si>
  <si>
    <t>All camp names need to be aligned with CCCM naming conventions</t>
  </si>
  <si>
    <t>Project start date</t>
  </si>
  <si>
    <t>Current project start date</t>
  </si>
  <si>
    <t>Project end date</t>
  </si>
  <si>
    <t>Current project end date</t>
  </si>
  <si>
    <t>Person work days lost due to access restrictions to the site</t>
  </si>
  <si>
    <t>Is there a WASH focal point/team included in the camp management structure?</t>
  </si>
  <si>
    <t>drop down
(Yes, No)</t>
  </si>
  <si>
    <t>Number of men on camp WASH team</t>
  </si>
  <si>
    <t>Number of women on camp WASH team</t>
  </si>
  <si>
    <t>Estimate liters/person/day</t>
  </si>
  <si>
    <t># of public open wells with sealed walls with water flowing/available all day used for drinking/domestic water</t>
  </si>
  <si>
    <t>HRP1: Percentage of women, men, boys and girls benefitting from safe/improved drinking water, meeting demand for domestic purposes, at minimum/agreed standards</t>
  </si>
  <si>
    <t xml:space="preserve">Water boating or water trucking
</t>
  </si>
  <si>
    <t>Aim for dry season is 7.5 liters/person/day minimum</t>
  </si>
  <si>
    <t>HRP 1 (unimproved sources)</t>
  </si>
  <si>
    <t>HRP  (unimproved sources)</t>
  </si>
  <si>
    <t>Water points fully handed over  (managed by families / small group of families with repairs by WASH/camp committees)</t>
  </si>
  <si>
    <t># of water sources tested for contamination during the reporting period</t>
  </si>
  <si>
    <t># of water sources treated (ie shock chlorination) due to contamination during the reporting period</t>
  </si>
  <si>
    <t># of households tested for contamination during the reporting period</t>
  </si>
  <si>
    <t>HRP 2 (latrine X 20 ppl)</t>
  </si>
  <si>
    <t>HRP 2 (latrine X 6 ppl)</t>
  </si>
  <si>
    <t xml:space="preserve">HRP2: Percentage of targeted women, men, boys and girls benefitting from a functional excreta disposal system, reducing safety/public health/environmental risks
</t>
  </si>
  <si>
    <t>V42</t>
  </si>
  <si>
    <t>Report current number of non-functional latrines (Cluster &amp; Non-Cluster Partner)</t>
  </si>
  <si>
    <t>V43</t>
  </si>
  <si>
    <t>V44</t>
  </si>
  <si>
    <t>V45</t>
  </si>
  <si>
    <t>HRP 2 (Latrine X 20 ppl)</t>
  </si>
  <si>
    <t>V46</t>
  </si>
  <si>
    <t>V47</t>
  </si>
  <si>
    <t>V48</t>
  </si>
  <si>
    <t>Provide bins, incinerator, regular collection system and final disposal system</t>
  </si>
  <si>
    <t>V49</t>
  </si>
  <si>
    <t xml:space="preserve">Is the drainage system functional/effective? This means no stagnant water / water with continuous flow. No stagnant water around WASH facilities and preventing access. And no standing water/mosquito breeding areas throughout the camp during the dry season. </t>
  </si>
  <si>
    <t>V50</t>
  </si>
  <si>
    <t>V51</t>
  </si>
  <si>
    <t>V52</t>
  </si>
  <si>
    <t>V53</t>
  </si>
  <si>
    <t>V54</t>
  </si>
  <si>
    <t># handwashing stations constructed</t>
  </si>
  <si>
    <t>V55</t>
  </si>
  <si>
    <t># of communal bathing spaces constructed</t>
  </si>
  <si>
    <t>V56</t>
  </si>
  <si>
    <t># of individual bathing spaces constructed</t>
  </si>
  <si>
    <t>V57</t>
  </si>
  <si>
    <t>Number of male hygiene promoters</t>
  </si>
  <si>
    <t># of female hygiene promoters working during the reporting period per site (camp or village based) that are paid or receive some sort of incentive by the cluster partner.</t>
  </si>
  <si>
    <t>HRP 3 (1:100 HHs)</t>
  </si>
  <si>
    <t>HRP35 (1:100 HHs)</t>
  </si>
  <si>
    <t>HRP3: Percentage of targeted women, men, boys and girls benefitting from timely/adequate/tailored personal hygiene items and receiving appropriate/ community tailored messages that enable health seeking behavior</t>
  </si>
  <si>
    <t>V58</t>
  </si>
  <si>
    <t>Number of female hygiene promoters</t>
  </si>
  <si>
    <t># of male hygiene promoters working during the reporting period per site (camp or village based) that are paid or receive some sort of incentive by the cluster partner.</t>
  </si>
  <si>
    <t>V59</t>
  </si>
  <si>
    <t>Number of households that received standard amount of soap for this quarter</t>
  </si>
  <si>
    <t>HRP 3 (11ks / HH / Qtr)</t>
  </si>
  <si>
    <t>V60</t>
  </si>
  <si>
    <t>Number of households that received standard amount of sanitary pads for this quarter</t>
  </si>
  <si>
    <t>HRP 3 (45 sanitary pads / menstrating age female / HH / quater)</t>
  </si>
  <si>
    <t>V61</t>
  </si>
  <si>
    <t>V62</t>
  </si>
  <si>
    <t>V63</t>
  </si>
  <si>
    <t>2019 HRP Calculation</t>
  </si>
  <si>
    <t xml:space="preserve">HRP 2019 Indicators </t>
  </si>
  <si>
    <t>Percentage of women, men, boys and girls benefitting from safe/improved drinking water, meeting demand for domestic purposes, at minimum/agreed standards</t>
  </si>
  <si>
    <r>
      <rPr>
        <b/>
        <sz val="12"/>
        <color rgb="FF2C2C2C"/>
        <rFont val="Gill Sans MT"/>
        <family val="2"/>
      </rPr>
      <t>Camp:</t>
    </r>
    <r>
      <rPr>
        <sz val="12"/>
        <color rgb="FF2C2C2C"/>
        <rFont val="Gill Sans MT"/>
        <family val="2"/>
      </rPr>
      <t xml:space="preserve">Hand dug well </t>
    </r>
    <r>
      <rPr>
        <b/>
        <sz val="12"/>
        <color rgb="FF2C2C2C"/>
        <rFont val="Gill Sans MT"/>
        <family val="2"/>
      </rPr>
      <t>400</t>
    </r>
    <r>
      <rPr>
        <sz val="12"/>
        <color rgb="FF2C2C2C"/>
        <rFont val="Gill Sans MT"/>
        <family val="2"/>
      </rPr>
      <t xml:space="preserve"> PPL, Hand Pump </t>
    </r>
    <r>
      <rPr>
        <b/>
        <sz val="12"/>
        <color rgb="FF2C2C2C"/>
        <rFont val="Gill Sans MT"/>
        <family val="2"/>
      </rPr>
      <t>500</t>
    </r>
    <r>
      <rPr>
        <sz val="12"/>
        <color rgb="FF2C2C2C"/>
        <rFont val="Gill Sans MT"/>
        <family val="2"/>
      </rPr>
      <t xml:space="preserve"> PPL, Tank, Water Boating/Trucking, Distribution System, Pond = 15L/P/D : 8 hr tapstand open, 
</t>
    </r>
    <r>
      <rPr>
        <b/>
        <sz val="12"/>
        <color rgb="FF2C2C2C"/>
        <rFont val="Gill Sans MT"/>
        <family val="2"/>
      </rPr>
      <t>Village:</t>
    </r>
    <r>
      <rPr>
        <sz val="12"/>
        <color rgb="FF2C2C2C"/>
        <rFont val="Gill Sans MT"/>
        <family val="2"/>
      </rPr>
      <t xml:space="preserve"> Hand dug well 250 PPL, Hand Pump 250 PPL,15L/P/D : 8 hr tapstand open</t>
    </r>
  </si>
  <si>
    <t>Percentage of people per safe/improved water source</t>
  </si>
  <si>
    <t>Percentage of targeted women, men, boys and girls benefitting from a functional excreta disposal system, reducing safety/public health/environmental risks</t>
  </si>
  <si>
    <t xml:space="preserve"># of male hygiene promoters
# of female hygiene promoters
# of households that received standard amount of soap for this quarter
# of households that received standard amount of sanitary pads for this quarter
</t>
  </si>
  <si>
    <t>Percentage of HH per hygiene promoter
Percentage of HH coverage</t>
  </si>
  <si>
    <t>#_Non-functional latrines</t>
  </si>
  <si>
    <t>#_Operation &amp; maintenance of latrines</t>
  </si>
  <si>
    <t>#_Non Cluster partner latrines</t>
  </si>
  <si>
    <t>#_Latrines desludged during the past quarter</t>
  </si>
  <si>
    <t>#_Cubic meters of desludging in past quarter</t>
  </si>
  <si>
    <t>#_Latrines fully handed over</t>
  </si>
  <si>
    <t>Is there provision of solid waste management equipment (i.e. waste bins, incinerator, community-led waste management system)?</t>
  </si>
  <si>
    <t xml:space="preserve">Is there constructed surface water drainage system?
</t>
  </si>
  <si>
    <t>Is there provision of solid waste management equipment?</t>
  </si>
  <si>
    <t>#_ paid camp based WASH skilled labor</t>
  </si>
  <si>
    <t>#_paid camp based unskilled WASH unskilled labor</t>
  </si>
  <si>
    <t>#_men on camp WASH team</t>
  </si>
  <si>
    <t>#_women on camp WASH team</t>
  </si>
  <si>
    <t>#_Non-functional protected hand dug well</t>
  </si>
  <si>
    <t>#_Operation &amp; Maintenance of hand dug well</t>
  </si>
  <si>
    <t>#_Non-functional tube wells/boreholes/handpumps</t>
  </si>
  <si>
    <t>#_Operation &amp; Maintenance of tube wells/boreholes/handpumps</t>
  </si>
  <si>
    <t>#_Non-Cluster partner water tube-wells/boreholes/handpumps</t>
  </si>
  <si>
    <t>#_Non-functional storage tank gravity fed reticulation system</t>
  </si>
  <si>
    <t>#_Operation &amp; maintenance of storage tank and reticulation system</t>
  </si>
  <si>
    <t>#_Water boating or water trucking</t>
  </si>
  <si>
    <t>#_Water points fully handed over</t>
  </si>
  <si>
    <t>#_Water sources tested for contamination</t>
  </si>
  <si>
    <t>#_Water sources treated</t>
  </si>
  <si>
    <t>#_Household water samples tested for contamination</t>
  </si>
  <si>
    <t>#_Household received remediation action due to contamination</t>
  </si>
  <si>
    <t>#_male hygiene promoters</t>
  </si>
  <si>
    <t>#_female hygiene promoters</t>
  </si>
  <si>
    <t>#_households that received standard amount of soap for this quarter</t>
  </si>
  <si>
    <t>#_households that received standard amount of sanitary pads for this quarter</t>
  </si>
  <si>
    <t>#_Hygiene Promotion activities (sessions) in TLS?</t>
  </si>
  <si>
    <t xml:space="preserve">Hygiene
Comments </t>
  </si>
  <si>
    <t>Camp figures is needed to align with CCCM</t>
  </si>
  <si>
    <t>Site information</t>
  </si>
  <si>
    <t>Project Duration</t>
  </si>
  <si>
    <t>WASH Partner &amp; Donor information</t>
  </si>
  <si>
    <t>2019_Q1</t>
  </si>
  <si>
    <t>2019_Q2</t>
  </si>
  <si>
    <t>2019_Q3</t>
  </si>
  <si>
    <t>2019_Q4</t>
  </si>
  <si>
    <t>Total # of Functioning latrine</t>
  </si>
  <si>
    <t># of Functioning latrine</t>
  </si>
  <si>
    <t>2019 HRP Indicators</t>
  </si>
  <si>
    <t># people access to continuous sanitation services desluding</t>
  </si>
  <si>
    <t>Number of people with equitable access to continuous sanitation services (desluding)</t>
  </si>
  <si>
    <t>Number of students with equitable access to functioing school latrines</t>
  </si>
  <si>
    <t>အစီရင္ခံစာ ေပးပို႔သည္႔ကာလ</t>
  </si>
  <si>
    <t xml:space="preserve">အဖြဲ႔အစည္းအမည္ </t>
  </si>
  <si>
    <t>စခန္းတြင္သြားေရာက္ ေထာက္ပံ႔ေသာ အဖြဲ႔အစည္းအမည္</t>
  </si>
  <si>
    <t>အလွဴရွင္ အမည္</t>
  </si>
  <si>
    <t xml:space="preserve">ျပည္နယ္ </t>
  </si>
  <si>
    <t>ျမိဳ႔နယ္</t>
  </si>
  <si>
    <t>စခန္း အမ်ိဳးအစား ( ယာယီ စခန္း ၊ ယာယီမဟုတ္ေသာ စခန္း )</t>
  </si>
  <si>
    <t>စခန္းအမည္ ( စခန္းစီမံခန္႔ခြဲေရးေကာ္မတီမွ ေပးေသာ နာမည္ )</t>
  </si>
  <si>
    <t>စီမံကိန္းစတင္သည္႔ေန႔</t>
  </si>
  <si>
    <t>စီမံကိန္း ျပီးဆံုးမည္႔ေန႔</t>
  </si>
  <si>
    <t>စခန္းအတြင္း WASH ႏွင့္ သက္ဆိုင္ေသာ လုပ္ငန္းမ်ားလုပ္ေဆာင္ရန္ အဖြဲ႕အစည္းမွ အခေၾကးေငြျဖင့္ခန္႔ထားေသာ (က်ြမ္းက်င္)၀န္ထမ္း  အေရအတြက္</t>
  </si>
  <si>
    <t>စခန္းအတြင္း အဖြဲ႕အစည္းမွ အခေၾကးေငြျဖင့္ခန္႔ထားေသာ (အေထြေထြလုပ္သား) WASH ၀န္ထမ္း အေရအတြက္</t>
  </si>
  <si>
    <t>စခန္းအတြင္း WASH ႏွင့္ သက္ဆိုင္ေသာ လုပ္ငန္းမ်ားလုပ္ေဆာင္ရန္ အဖြဲ႕အစည္းမွ အခေၾကးေငြျဖင့္ခန္႔ထားေသာ (အေထြေထြလုပ္သား)၀န္ထမ္း  အေရအတြက္</t>
  </si>
  <si>
    <t>သြားလာခြင့္ အကန္႔အသတ္မ်ားေၾကာင့္ လုပ္ငန္း ရပ္တန္႔ေနေသာ ရက္မ်ား</t>
  </si>
  <si>
    <t>သြားလာခြင့္ အကန္႔အသတ္မ်ားေၾကာင့္အလုပ္သမားမ်ား  လုပ္ငန္း ရပ္တန္႔ေနေသာ ရက္မ်ား ( စုစုေပါင္းအလုပ္နားရက္)</t>
  </si>
  <si>
    <t>WASH ေကာ္မတီသည္ စခန္းဧ။္  စီမံခန္႔ခြဲမွု အဖြဲ႔တြင္ပါ၀င္မွုရွိသလား</t>
  </si>
  <si>
    <t>စခန္း ဧ။္ WASH အဖြဲ႔တြင္ ပါ၀င္ေသာ အမ်ိဴးသား ဦးေရ</t>
  </si>
  <si>
    <t>စခန္း ဧ။္ WASH အဖြဲ႔တြင္ ပါ၀င္ေသာ အမ်ိဴးသမီး ဦးေရ</t>
  </si>
  <si>
    <t>ေရ သယ္ယူေထာက္ပံ႔ျခင္းလုပ္ငန္း ( ကားျဖင္႔ (သို႔မဟုတ္) ေလွျဖင္႔ )</t>
  </si>
  <si>
    <t xml:space="preserve">ေရျပတ္လပ္ေသာလ တြင္ စံခ်ိန္ စံညြန္း ႏွင္႔ အညီ ေထာက္ပံ႔ ေပးခဲ႔ ေသာ ေရ လီတာေပါင္း ( လူတစ္ဦး အတြက္ တစ္ရက္လွ်င္ အနည္းဆံုး ၇.၅ လီတာ ခန္႔ ) </t>
  </si>
  <si>
    <t>e.coli ပိုးရွိ မရွိ စစ္ေဆးထားေသာ္လဲ ေျမေရစစ္အိုးျဖင္႔ မေသာက္သံုးပါ က ကာရံထားေသာ ေရ ကန္ ၊ ေရအိုင္မွေရအား သန္႔ရွင္းေသာ ေသာက္သံုးေရ ဟုမဆိုနိုင္ပါ။</t>
  </si>
  <si>
    <t>ေရႏွင္႔ ပါတ္သက္ျပီး ထပ္မံျဖည္႔စြက္လိုေသာ အေၾကာင္းအရာရွိပါက ျဖည္႔ရန္</t>
  </si>
  <si>
    <t>မိသားစု မ်ားမွ မိမိတို႔ကိုယ္တိုင္ စီမံခန္႔ခြဲ ႏိုင္ေသာ အိမ္သာအျဖစ္ လံုးဝလြဲေျပာင္းျပီးေသာ အိမ္သာ အေရအတြက္</t>
  </si>
  <si>
    <t>ေကာင္းမြန္ေသာ စံမံခန္႔ခြဲမႈရွိေသာ အမိႈက္သိမ္းစနစ္ ရွိပါသလား ( အမိႈက္မီးရွိဳ႕ စက္ ၊ အမိႈက္ကားျဖင္႔ သိမ္းစနစ္ ၊ လူထုမွ ကိုယ္တိုင္သန္႔ရွင္းေရးစနစ္ )</t>
  </si>
  <si>
    <t>ေကာင္းမြန္ေသာ စံမံခန္႔ခြဲမႈရွိေသာ အမိႈက္သိမ္းစနစ္ ရွိပါသလား ( အမိႈက္မီးရွိဳ႕ စက္ ၊ အမိႈက္ကားျဖင္႔ သိမ္းစနစ္ ၊ လူထုမွ အမိႈက္ပံုးမ်ားျဖင္႔  ကိုယ္တိုင္သန္႔ရွင္းေရးစနစ္ )</t>
  </si>
  <si>
    <t>ေကာင္းမြန္ေသာ ေရဆိုးထုတ္ ေျမာင္းစနစ္ ရွိပါသလား ( စခန္းအတြင္းေရအိုင္မ်ားမရွိျခင္း ၊ ျခင္ေပါက္ပြားမႈမရွိျခင္း၊  ေရဆိုးမ်ားပိတ္ဆို႔မႈမရွိဘဲ အၿမဲစီးဆင္းေနေသာ ေရေျမာင္းစနစ္အားဆိုလိုပါသည္။ )</t>
  </si>
  <si>
    <t xml:space="preserve">ကေလးသံုးအိမ္သာ အေရအတြက္ </t>
  </si>
  <si>
    <t>ကေလးသံုး အိမ္သာစုစုေပါင္း ( တံခါး အေရအတြက္အတိုင္း ေကာက္ယူပါမည္)</t>
  </si>
  <si>
    <t>မသန္စြမ္း ႏွင္႔ သက္ၾကီးရြယ္အိုမ်ားအသံုးျပဳႏိုင္ေသာ အိမ္သာ အေရအတြက္</t>
  </si>
  <si>
    <t>မသန္စြမ္း ႏွင္႔ သက္ၾကီးရြယ္အိုမ်ားအသံုးျပဳႏိုင္ေသာ အိမ္သာစုစုေပါင္း (  တံခါး အေရအတြက္အတိုင္း ေကာက္ယူပါမည္)</t>
  </si>
  <si>
    <t>မိလႅာသန္႔ရွင္းႏွင္႔ပါတ္သက္ျပီး ထပ္မံျဖည္႔စြက္လိုေသာ အေၾကာင္းအရာရွိပါက ျဖည္႔ရန္</t>
  </si>
  <si>
    <t>ထပ္မံျဖည္႔စြက္လိုေသာ အေၾကာင္းအရာရွိပါက ျဖည္႔ရန္</t>
  </si>
  <si>
    <t>စခန္းအတြင္းရွိ လက္ေဆးစင္ အေရအတြက္</t>
  </si>
  <si>
    <t>စခန္းအတြင္းရွိအသံုးျပဳရေသာ ( ေရႏွင္႔ ဆပ္ျပာရွိျပီး ပိုက္ေခါင္းမ်ား ေကာင္းေသာ) လက္ေဆးစင္ အေရအတြက္</t>
  </si>
  <si>
    <t>စခန္းအတြင္းရွိ မိသားစုသံုး သီးသန္႔ ေရခ်ိဳးခန္း အေရအတြက္</t>
  </si>
  <si>
    <t>စခန္းအတြင္အမ်ိဳးသမီး အမ်ိဳးသားခြဲထားေသာေကာင္းမြန္ေသာ အမ်ားသံုး ေရခ်ိဳးခန္း အေရအတြက္</t>
  </si>
  <si>
    <t>စခန္းအတြင္အမ်ိဳးသမီး အမ်ိဳးသားခြဲထားေသာ အမ်ားသံုး ေရခ်ိဳးခန္း အေရအတြက္ ( တံခါးမ်ားေကာင္းမြန္ျခင္း ၊ လံုျခံဳစိတ္ခ်မႈ႔ရွိျခင္း ၊ ေရစီးေရလာေကာင္းမြန္ျခင္း )</t>
  </si>
  <si>
    <t>စခန္းအတြင္းရွိ က်န္းမာေရး ၊ သန္႔ရွင္းေရး ျမွင္႔တင္ေရး လုပ္အားေပးဝန္ထမ္း-အမ်ိဳးသမီး  ( အဖြဲ႔အစည္းမ်ားမွ လုပ္အားဂုဏ္ျပဳေငြသို႔မဟုတ္ ၊ အေထာက္အပ႔ံ ရရွိေသာသူ) အေရအတြက္</t>
  </si>
  <si>
    <t>တစ္လလွ်င္ လူတစ္ဦး ရသင္႔ေသာ စံခ်ိန္စံညြန္းအတိုင္း ဆပ္ျပာ ရရွိေသာ အိမ္ေထာင္စု</t>
  </si>
  <si>
    <t>တစ္လလွ်င္ လူတစ္ဦး ရသင္႔ေသာ စံခ်ိန္စံညြန္းအတိုင္း အမ်ိဳးသမီးလစဥ္သံုး ပစၥည္း ရရွိေသာ အိမ္ေထာင္စု</t>
  </si>
  <si>
    <t>ယာယီစာသင္ေက်ာင္းေဆာင္တြင္ လက္ေဆးရန္လိုအပ္ေသာ ဆပ္ျပာရွိပါသလား ( ရွိ ၊ မရွိ ) သာေျဖရန္</t>
  </si>
  <si>
    <t>တကိုယ္ရည္သန္႔ရွင္းေရးျမွင္႔ တင္ျခင္းလုပ္ငန္းႏွင္႔ပါတ္သက္ျပီးထပ္မံျဖည္႔စြက္လိုပါက ထပ္ထည္႔ရန္</t>
  </si>
  <si>
    <t xml:space="preserve">စခန္းအတြင္းရွိ အဝီစီတြင္း ( တြင္းတိမ္ / တြင္းနက္ ) ႏွင္႔ လက္နိွပ္တံုကင္မ်ား သည္ အျခားေသာ ပုဂၢလိ က အဖြဲ႔အစည္းမ်ားမွ လွဴထားျပီး အစီရင္ခံ သည္႔ စာရင္းတြင္ မပါ ရွိေသာ အေရအတြက္ </t>
  </si>
  <si>
    <t>သဘာဝ ေရစီးဆင္းမႈစနစ္ျဖင္႔ တည္ေဆာက္ထားေသာ ေရသြယ္တန္းမႈစနစ္ ၊ ပိုက္လိုင္း ၊ သိုေလွာင္ကန္ အေရ အတြက္</t>
  </si>
  <si>
    <t xml:space="preserve">ေကာင္းမြန္ေသာ ေရဆိုးထုတ္ ေျမာင္းစနစ္ ရွိပါသလား </t>
  </si>
  <si>
    <t>စခန္းအတြင္းရွိ (အမ်ိဳးသား) က်န္းမာေရး ၊ သန္႔ရွင္းေရး  ျမွင္႔တင္ေရး လုပ္အားေပးဝန္ထမ္း</t>
  </si>
  <si>
    <t>အစီရင္ခံသည္႔ကာလ အတြင္း စခန္းအတြင္းရွိ က်န္းမာေရး ၊ သန္႔ရွင္းေရး ျမွင္႔တင္ေရး လုပ္အားေပးဝန္ထမ္း-အမ်ိဳးသား  ( အဖြဲ႔အစည္းမ်ားမွ လုပ္အားဂုဏ္ျပဳေငြသို႔မဟုတ္ ၊ အေထာက္အပ႔ံ ရရွိေသာသူ) အေရအတြက္</t>
  </si>
  <si>
    <t>စခန္းအတြင္းရွိ (အမ်ိဳးသမီး) က်န္းမာေရး ၊ သန္႔ရွင္းေရး  ျမွင္႔တင္ေရး လုပ္အားေပးဝန္ထမ္း</t>
  </si>
  <si>
    <t>စုစုေပါင္း လူဦးေရ အေရအတြက္</t>
  </si>
  <si>
    <t>စုစုေပါင္းအိမ္ေထာင္စု အေရအတြက္</t>
  </si>
  <si>
    <t>Water sources tested for contamination during reporting period</t>
  </si>
  <si>
    <t>Water sources treated  during reporting period</t>
  </si>
  <si>
    <t>Household water samples tested for contamination  during reporting period</t>
  </si>
  <si>
    <t>Cubic meters of desludging during reporting period</t>
  </si>
  <si>
    <t># Liters/person/day</t>
  </si>
  <si>
    <t>drop down (Yes,No)</t>
  </si>
  <si>
    <t>Dropdown (Functional,Not_Functional,No,NA)</t>
  </si>
  <si>
    <t>Non-functional protected hand dug well during reporting period</t>
  </si>
  <si>
    <t># of non-functional hand dug wells reported l during reporting period</t>
  </si>
  <si>
    <t>Operation &amp; Maintenance of hand dug well during reporting period</t>
  </si>
  <si>
    <t>Dropdown (Yes,No)</t>
  </si>
  <si>
    <t>အစီရင္ခံစာ ေပးပို႔သည္႔ကာလအတြင္း ေကာင္းမြန္စြာ အသံုးမျပဳႏိုင္ေသာ ဖံုးကာထားသည့္ ေရတြင္း အေရအတြက္</t>
  </si>
  <si>
    <t>အစီရင္ခံစာ ေပးပို႔သည္႔ကာလအတြင္း လက္ယက္ေရတြင္း စီမံခန္႔ခြဲျခင္း ႏွင္႔ ျပဳျပင္ထိမ္းသိမ္းျခင္း</t>
  </si>
  <si>
    <t>အစီရင္ခံစာ ေပးပို႔သည္႔ကာလအတြင္း စခန္းအတြင္း ရွိ္လက္ယက္ေရတြင္း မ်ား  စီမံခန္႔ခြဲျခင္း ႏွင္႔ ျပဳျပင္ထိမ္းသိမ္းျခင္း ျပဳလုပ္ေသာ အေရအတြက္</t>
  </si>
  <si>
    <r>
      <t>အစီရင္ခံစာ ေပးပို႔သည္႔ကာလအတြင္း သဘာ၀ ေရစီးဆင္းမွုစနစ္ျဖင္႔ တည္ေဆာက္ထားျပီး အသံုးျပဳ</t>
    </r>
    <r>
      <rPr>
        <sz val="10"/>
        <rFont val="Zawgyi-One"/>
        <family val="2"/>
      </rPr>
      <t>၍</t>
    </r>
    <r>
      <rPr>
        <sz val="9"/>
        <rFont val="zawgyi1"/>
        <family val="2"/>
      </rPr>
      <t xml:space="preserve"> မရေသာ </t>
    </r>
    <r>
      <rPr>
        <sz val="10"/>
        <rFont val="zawgyi1"/>
        <family val="2"/>
      </rPr>
      <t xml:space="preserve"> ေရသြယ္တန္းမႈ စနစ္ ၊ ပိုက္လိုင္း ၊ သိုေလွာင္ကန္ အေရ အတြက္ </t>
    </r>
  </si>
  <si>
    <r>
      <t xml:space="preserve">အစီရင္ခံစာ ေပးပို႔သည္႔ကာလအတြင္း ျပဳျပင္ထိမ္းသိမ္းမႈ႔ ျပဳလုပ္ေသာ  သဘာဝ ေရစီးဆင္းမႈ႔စနစ္ျဖင္႔ တည္ေဆာက္ထားျပီး </t>
    </r>
    <r>
      <rPr>
        <sz val="9"/>
        <rFont val="zawgyi1"/>
        <family val="2"/>
      </rPr>
      <t xml:space="preserve"> </t>
    </r>
    <r>
      <rPr>
        <sz val="10"/>
        <rFont val="zawgyi1"/>
        <family val="2"/>
      </rPr>
      <t xml:space="preserve"> ေရသြယ္တန္းမႈ႕ စနစ္ ၊ ပိုက္လိုင္း ၊ သိုေလွာင္ကန္ တုိ႔ အေရတြက္</t>
    </r>
  </si>
  <si>
    <t>အစီရင္ခံစာ ေပးပို႔သည္႔ကာလအတြင္း ေရထြက္ပင္ရင္းအားေရစမ္းသပ္ျပီးေနာက္ ကလိုရင္းေဆး ျဖင္႔ပိုးသတ္ျခင္းျပဳလုပ္သည္႔အေရအတြက္</t>
  </si>
  <si>
    <t>အစီရင္ခံစာ ေပးပို႔သည္႔ကာလအတြင္း ေရထြက္ပင္ရင္းမွ ေရနမူနာယူျပီး ေရစမ္းသပ္ျခင္း</t>
  </si>
  <si>
    <t>အစီရင္ခံစာ ေပးပို႔သည္႔ကာလအတြင္း ေရထြက္ပင္ရင္းမွ ေရနမူနာယူျပီး ေရစမ္းသပ္ျခင္း ျပဳလုပ္ေသာ နမူအေရအတြက္</t>
  </si>
  <si>
    <t>အစီရင္ခံစာ ေပးပို႔သည္႔ကာလအတြင္း မိသားစုသံုး ေသာက္ေရမွ ေရနမူနာယူျပီး ေရစမ္းသပ္ျခင္း ျပဳလုပ္ျပီးစီးသည္႔ အေရအတြက္</t>
  </si>
  <si>
    <t xml:space="preserve">အစီရင္ခံစာ ေပးပို႔သည္႔ကာလအတြင္း ေသာက္သံုးေရတြင္ ပိုးပါေသာ အိမ္ေထာင္စုမ်ားအားျပဳလုပ္ေသာေနာက္ဆက္တြဲ လုပ္ငန္းစဥ္ အၾကိမ္ အေရအတြက္ ( တကိုယ္ေရသန္႔ရွင္းေရး ေသာက္သံုးေရသန္႔ရွင္းေရးပညာေပး၊ ကလိုရင္းေဆးခတ္ျခင္း ) </t>
  </si>
  <si>
    <t>အစီရင္ခံစာ ေပးပို႔သည္႔ကာလအတြင္း မိသားစုသံုး ေသာက္ေရမွ ေရနမူနာယူျပီး ေရစမ္းသပ္ျခင္း</t>
  </si>
  <si>
    <t>အစီရင္ခံစာ ေပးပို႔သည္႔ကာလအတြင္း ေသာက္သံုးေရတြင္ ပိုးပါေသာ အိမ္ေထာင္စုမ်ားအားျပဳလုပ္ေသာေနာက္ဆက္တြဲ လုပ္ငန္းစဥ္</t>
  </si>
  <si>
    <t>အစီရင္ခံစာ ေပးပို႔သည္႔ကာလအတြင္း  မိလႅာစုပ္ထုတ္ခဲ႔ေသာ က်င္းအေရအတြက္</t>
  </si>
  <si>
    <t>အစီရင္ခံစာ ေပးပို႔သည္႔ကာလအတြင္း မိလႅာစုပ္ထုတ္ခဲ႔ေသာ က်င္းအေရအတြက္ ( အိမ္သာခန္းအေရအတြက္ ျဖင္႔ေကာက္ယူရန္  )</t>
  </si>
  <si>
    <t>အစီရင္ခံစာ ေပးပို႔သည္႔ကာလအတြင္း မိလႅာစုပ္ထုတ္ခဲ႔ေသာထုထည္ ပမာဏ ( ကုဗ မိတာ) - အလ်ား x အနံ x အျမင္႔  ( ၁၀၀ စီတီမိတာ = ၁ မိတာ ) မိတာျဖင္႔တိုင္းတာရန္</t>
  </si>
  <si>
    <t>အစီရင္ခံစာ ေပးပို႔သည္႔ကာလအတြင္း မိလႅာစုပ္ထုတ္ခဲ႔ေသာထုထည္ ပမာဏ</t>
  </si>
  <si>
    <t>မိသားစုသံုး အိမ္သာအျဖစ္  လံုးဝလြဲေျပာင္းျပီးေသာ အိမ္သာ အေရအတြက္</t>
  </si>
  <si>
    <t>လက္ရွိ ကာရံ ဖံုးအုပ္ထားေသာ ေရကန္၊ ေရအိုင္ အေရအတြက္</t>
  </si>
  <si>
    <r>
      <t>စခန္းအတြင္းရွိ လက္ရွိအိမ္သာအေရအတြင္း  ( ယာယီတိမ္းေရွာင္စခန္း တြင္ အေရးေပၚကာလသံုး ဒီဇိုင္း(သို႔) ယာယီမဟုတ္ေသာ တိ္မ္းေရွာင္စခန္း မ်ားတြင္စံခ်ိန္စံညြန္းႏွင္႔အညီေဆာက္လုပ္ျခင္း ) ႏွင္႔ အသံုးျပဳ</t>
    </r>
    <r>
      <rPr>
        <sz val="10"/>
        <rFont val="Zawgyi-One"/>
        <family val="2"/>
      </rPr>
      <t>၍</t>
    </r>
    <r>
      <rPr>
        <sz val="9"/>
        <rFont val="zawgyi1"/>
        <family val="2"/>
      </rPr>
      <t>ရေသာ အိမ္သာဆိုသည္မွာ ( က်င္း ေကာင္းမြန္ျခင္း၊ မိလႅာမ်ားျပည္႔မေနျခင္း ၊ လံု (၃) လံုႏွင္႔ျပ္ည္႔စံုျခင္း၊ အတြင္း တံခါး ၊ ေသာ႔မ်ား ၊ ၾကမ္းခင္းမ်ား ေကာင္းမြန္ျခင္း) တို႔ႏွင္ျပည္႔စံုရမည္။</t>
    </r>
  </si>
  <si>
    <t>Storage Capacity - meters cube</t>
  </si>
  <si>
    <t>Constructed/Existing protected/fenced ponds</t>
  </si>
  <si>
    <t>Constructed/Existing child friendly latrines</t>
  </si>
  <si>
    <t xml:space="preserve">Constructed/Existing disabled &amp; elderly friendly latrines </t>
  </si>
  <si>
    <t>Constructed/Existing hand washing stations</t>
  </si>
  <si>
    <t xml:space="preserve">Constructed/Existing individual bathing spaces </t>
  </si>
  <si>
    <t xml:space="preserve">Constructed/Existing communal bathing spaces </t>
  </si>
  <si>
    <t>#_Constructed/Existingwater storage tank with gravity fed reticulation system</t>
  </si>
  <si>
    <t>#_Constructed/Existing protected/fenced ponds</t>
  </si>
  <si>
    <t>#_Constructed/Existing water distribution system from river or natural spring</t>
  </si>
  <si>
    <t>#_Constructed/Existing hand washing stations at TLS</t>
  </si>
  <si>
    <t>#_Constructed/Existing child friendly latrines</t>
  </si>
  <si>
    <t xml:space="preserve">#_Constructed/Existing disabled &amp; elderly friendly latrines </t>
  </si>
  <si>
    <t>#_Constructed/Existing latrines in TLS</t>
  </si>
  <si>
    <t>#_Constructed/Existing hand washing stations</t>
  </si>
  <si>
    <t xml:space="preserve">#_Constructed/Existing communal bathing spaces </t>
  </si>
  <si>
    <t>Rakhine/Kachin</t>
  </si>
  <si>
    <t>site A</t>
  </si>
  <si>
    <t>auto calculation</t>
  </si>
  <si>
    <t># of hand dug wells that have undergone operation and maintenance work during reporting period</t>
  </si>
  <si>
    <t>Constructed tube wells/boreholes/handpumps by WASH agency</t>
  </si>
  <si>
    <t>ေကာင္းမြန္စြာ အသံုးျပဳႏိုင္ေသာ ဖံုးကာထားသည္ စခန္းအတြင္းရွိ ေရတြင္း အေရအတြက္</t>
  </si>
  <si>
    <t>WASH အဖြဲ႔အစည္းမွ စခန္းေန လူထု အတြက္ လံုေလာက္ေသာ ပမာဏ အား ေန႔စဥ္ ထုတ္ေပးနိုင္ေသာ အသံုးျပဳေနဆဲ အဝီစီတြင္း ( တြင္းတိမ္ / တြင္းနက္ ) ႏွင္႔ လက္ႏိုပ္တံုကင္မ်ား အေရအတြက္</t>
  </si>
  <si>
    <t>ပုဂၢလိက/အျခားအလွဴရွင္မ်ား/အဖြဲ့အစည္းမ်ားမွ လွဴထားေသာ  အဝီစီတြင္း ( တြင္းတိမ္ / တြင္းနက္ ) ႏွင္႔ လက္နိွပ္တံုကင္မ်ား အေရအတြက္</t>
  </si>
  <si>
    <t>Constructed/existing protected hand dug well</t>
  </si>
  <si>
    <t>Constructed water tube-wells/boreholes/handpumps by Non-cluster partners</t>
  </si>
  <si>
    <t xml:space="preserve"># of tube-wells/boreholes/handpumps constructed by non-traditional WASH Cluster partners or partners that have not been reporting to the WASH Cluster </t>
  </si>
  <si>
    <t>Constructed latrines (cluster semi-permanent design for protracted sites; cluster emergency design for new displacement sites) by WASH agency</t>
  </si>
  <si>
    <t xml:space="preserve">Constructed latrines by Non-Cluster partner </t>
  </si>
  <si>
    <t>Report construction of latrines by non-traditional WASH Cluster partners or partners that have not be reporting to the WASH Cluster</t>
  </si>
  <si>
    <t>V64</t>
  </si>
  <si>
    <t>V65</t>
  </si>
  <si>
    <t>Donors should be filled WASH program agency's donor if WASH project agency and WASH implementing agency is different.</t>
  </si>
  <si>
    <t>Non-functional storage tank with gravity fed reticulation system  during reporting period</t>
  </si>
  <si>
    <t>Operation &amp; maintenance of storage tank with gravity fed reticulation system during reporting period</t>
  </si>
  <si>
    <t># of Non-functional storage tank gravity fed reticulation system  during reporting period</t>
  </si>
  <si>
    <t># of water storage tank that have undergone operation and maintenance work  during reporting period</t>
  </si>
  <si>
    <t>Non-Functional hand washing stations during reporting period</t>
  </si>
  <si>
    <t># Non-Functional hand washing stations during reporting period</t>
  </si>
  <si>
    <t>Non-Functional communal bathing spaces during reporting period</t>
  </si>
  <si>
    <t># Non-Functional communal bathing spaces during reporting period</t>
  </si>
  <si>
    <r>
      <t xml:space="preserve">% Latrines requiring  repairs/maintenance
</t>
    </r>
    <r>
      <rPr>
        <b/>
        <sz val="10"/>
        <color rgb="FFFF0000"/>
        <rFont val="Crobel"/>
      </rPr>
      <t>Red &gt;=10%,</t>
    </r>
    <r>
      <rPr>
        <b/>
        <sz val="10"/>
        <color theme="0"/>
        <rFont val="Crobel"/>
      </rPr>
      <t xml:space="preserve">
</t>
    </r>
    <r>
      <rPr>
        <b/>
        <sz val="10"/>
        <color theme="5" tint="-0.249977111117893"/>
        <rFont val="Crobel"/>
      </rPr>
      <t>Orange 0%~9%,</t>
    </r>
    <r>
      <rPr>
        <b/>
        <sz val="10"/>
        <color theme="0"/>
        <rFont val="Crobel"/>
      </rPr>
      <t xml:space="preserve">
</t>
    </r>
    <r>
      <rPr>
        <b/>
        <sz val="10"/>
        <color rgb="FF00B050"/>
        <rFont val="Crobel"/>
      </rPr>
      <t>Green =0%</t>
    </r>
  </si>
  <si>
    <r>
      <t xml:space="preserve">Hygiene Gap %
</t>
    </r>
    <r>
      <rPr>
        <b/>
        <sz val="10"/>
        <color rgb="FFFF0000"/>
        <rFont val="Crobel"/>
      </rPr>
      <t>Red &gt;=30%,</t>
    </r>
    <r>
      <rPr>
        <b/>
        <sz val="10"/>
        <color theme="0"/>
        <rFont val="Crobel"/>
      </rPr>
      <t xml:space="preserve">
</t>
    </r>
    <r>
      <rPr>
        <b/>
        <sz val="10"/>
        <color rgb="FFFFC000"/>
        <rFont val="Crobel"/>
      </rPr>
      <t>Orange 0%~29%,</t>
    </r>
    <r>
      <rPr>
        <b/>
        <sz val="10"/>
        <color theme="0"/>
        <rFont val="Crobel"/>
      </rPr>
      <t xml:space="preserve"> 
</t>
    </r>
    <r>
      <rPr>
        <b/>
        <sz val="10"/>
        <color theme="9" tint="-0.499984740745262"/>
        <rFont val="Crobel"/>
      </rPr>
      <t>Green =0%</t>
    </r>
  </si>
  <si>
    <t>အကယ္၍ V2 ႏွင့္ v3 မတူေနလွ်င္ အလွဴရွင္ အမည္သည္ v2 ၏ အလွဴရွင္ အမည္ျဖစ္သင့္သည္။</t>
  </si>
  <si>
    <t xml:space="preserve">စီမံကိန္းကို ဦးေဆာင္ေသာ အဖြဲ႔အစည္းအမည္ </t>
  </si>
  <si>
    <t>စခန္းတြင္းရွိ စုစုေပါင္းအိမ္ေထာင္စု အေရအတြက္</t>
  </si>
  <si>
    <t>စခန္းတြင္းရွိ  စုစုေပါင္း လူဦးေရ အေရအတြက္</t>
  </si>
  <si>
    <t>WASH အဖြဲ႔သည္ စခန္းစီမံ ခန္႔ခြဲမႈ နွင္႔ ခ်ိတ္ဆက္မႈရွိျပီး သတင္းအခ်က္အလက္မ်ားမ်ွေဝျခင္း (ရွိ ၊ မရွိ)</t>
  </si>
  <si>
    <t>စခန္းအတြင္း WASH အဖြဲ႔တြင္  ပါ၀င္ေသာ အမ်ိဳးသမီးဦးေရ</t>
  </si>
  <si>
    <t>စခန္းအတြင္း WASH အဖြဲ႔တြင္  ပါ၀င္ေသာ အမ်ိဳးသားဦးေရ</t>
  </si>
  <si>
    <t>ေကာင္းမြန္စြာ အသံုးျပဳႏိုင္ေသာ ဖံုးကာထားသည့္ စခန္းအတြင္းရွိ ေရတြင္း အေရအတြက္။ တစ္ေန့လံုး ေသာက္ေရ၊သံူးေရ အျဖစ္ သံုးစြဲလို႔ရသည္။</t>
  </si>
  <si>
    <t>သဘာ၀ ေရစီးဆင္းမွုစနစ္ျဖင္႔ တည္ေဆာက္ထားေသာ ေရသြယ္တန္းမႈစနစ္ ၊ ပိုက္လိုင္း ၊ သိုေလွာင္ကန္ အေရ အတြက္</t>
  </si>
  <si>
    <t>( WASH အဖြဲ႔အစည္းမွ ပံ့ပိုးထားေသာ) စခန္းအတြင္းရွိ  လက္ရွိအိမ္သာအေရအတြင္း ( ယာယီတိမ္းေရွာင္စခန္း တြင္ အေရးေပၚကာလသံုး ဒီဇိုင္း(သို႔) ယာယီမဟုတ္ေသာ တိ္မ္းေရွာင္စခန္း မ်ားတြင္စံခ်ိန္စံညြန္းႏွင္႔အညီေဆာက္လုပ္ျခင္း )</t>
  </si>
  <si>
    <t>WASH အစုအဖြဲ႔သို႔ သတင္းေပးပို႔ရာတြင္ မပါဝင္ေသာ ပုဂၢလိက/အျခားအလွဴရွင္မ်ား/အဖြဲ့အစည္းမ်ားမွ လွဴထားေသာ   အိမ္သာမ်ား အေရအတြက္</t>
  </si>
  <si>
    <t>အစီရင္ခံစာ ေပးပို႔သည္႔ကာလအတြင္း အသံုးျပဳမရေသာ လက္ေဆးစင္ အေရအတြက္</t>
  </si>
  <si>
    <t>အစီရင္ခံစာ ေပးပို႔သည္႔ကာလအတြင္း အသံုးျပဳမရေသာ င္အမ်ိဳးသမီး အမ်ိဳးသားခြဲထားေသာ အမ်ားသံုး ေရခ်ိဳးခန္း အေရအတြက္</t>
  </si>
  <si>
    <t>အစီရင္ခံစာ ေပးပို႔သည္႔ကာလအတြင္း သဘာဝ ေရစီးဆင္းမွုစနစ္ျဖင္႔ တည္ေဆာက္ထားျပီး အသံုးျပဳ၍ မရေသာ  ေရသြယ္တန္းမႈစနစ္ ၊ ပိုက္လိုင္း ၊ သိုေလွာင္ကန္ အေရ အတြက္</t>
  </si>
  <si>
    <t>#_Non-Functional_hand_washing_stations</t>
  </si>
  <si>
    <t xml:space="preserve">#_Constructed/Existing_individual_bathing_spaces </t>
  </si>
  <si>
    <t xml:space="preserve">#_Non-Functional communal_bathing spaces </t>
  </si>
  <si>
    <t>WASH Focal in camp management structure?</t>
  </si>
  <si>
    <t>#_Constructed/existing protected hand dug well</t>
  </si>
  <si>
    <t>#_Constructed/Existing tube wells/boreholes/handpumps_WASH_agency</t>
  </si>
  <si>
    <t>#_Constructed latrines_by_WASHAgencies</t>
  </si>
  <si>
    <t>#of students in TLS (Temporary Learning Space) and CFS (Child Frendly Space)</t>
  </si>
  <si>
    <t>How many camp based skilled WASH labor employed ?
(monthly paid labour)</t>
  </si>
  <si>
    <r>
      <t xml:space="preserve">How many camp based unskilled WASH labor employed ?
(monthly paid labour)
</t>
    </r>
    <r>
      <rPr>
        <b/>
        <u/>
        <sz val="10"/>
        <color rgb="FFFF0000"/>
        <rFont val="Corbel"/>
        <family val="2"/>
      </rPr>
      <t/>
    </r>
  </si>
  <si>
    <t>Number of person days</t>
  </si>
  <si>
    <r>
      <rPr>
        <b/>
        <sz val="10"/>
        <rFont val="Corbel"/>
        <family val="2"/>
      </rPr>
      <t>Example:</t>
    </r>
    <r>
      <rPr>
        <sz val="10"/>
        <rFont val="Corbel"/>
        <family val="2"/>
      </rPr>
      <t xml:space="preserve"> If one paid employee could not access the site for 3 days and one paid employee could not access for 1 day due to access restrictions, total = 4 days lost (not 2 people)</t>
    </r>
  </si>
  <si>
    <t>Request information from CCCM if not available from WASH implementing agency</t>
  </si>
  <si>
    <t>To collect from WASH implementing agency</t>
  </si>
  <si>
    <t>Non-functional tube wells/boreholes/handpumps during reporting period (including non-cluster partners)</t>
  </si>
  <si>
    <t># of non-functional tubewells reported during reporting period including non-cluster partners</t>
  </si>
  <si>
    <t>Operation &amp; Maintenance of tube wells/boreholes/handpumps during reporting period (including non-cluster partners)</t>
  </si>
  <si>
    <t># of tube-wells/boreholes/handpumps that have undergone operation and maintenance work during reporting period including non-cluster partners</t>
  </si>
  <si>
    <t>Constructed/Existing water storage tank with gravity fed reticulation system from spring</t>
  </si>
  <si>
    <t>#cubic meters</t>
  </si>
  <si>
    <t>Estimate liters/person/day (cubic meters)</t>
  </si>
  <si>
    <t>Constructed water distribution system from river</t>
  </si>
  <si>
    <t>A water distribution system constructed from a naturally occuring surface water source. (based on  water flow rate (liter/sec))</t>
  </si>
  <si>
    <t>How many committes/technicians trained and maintaining the water points (ownership by community)?</t>
  </si>
  <si>
    <t># of committes/technicians trained and maintaining the water points (ownership by community)?</t>
  </si>
  <si>
    <t>Household received corrective action due to contamination  in reporting period</t>
  </si>
  <si>
    <t># of households that received water treatment activities (ie P&amp;G/aqua tabs with hygiene promotion) due to water contamination during the reporting period</t>
  </si>
  <si>
    <t xml:space="preserve">Constructed/Existing hand washing stations at TLS and CFS </t>
  </si>
  <si>
    <t xml:space="preserve"># of handwashing stations constructed at temporary learing spacse and Child Friendly Spaces
</t>
  </si>
  <si>
    <t xml:space="preserve">Number of water points in TLS and CFS 
</t>
  </si>
  <si>
    <t xml:space="preserve">number of waterpoints constructed or rehabilitated in temporary learing spacse and Child Friendly Spaces
</t>
  </si>
  <si>
    <t>Indicate the name of Non-Cluster partner who constructed latrines</t>
  </si>
  <si>
    <t>Non-functional latrines during reporting quarter (including Non-Cluster partner)</t>
  </si>
  <si>
    <t>Operation &amp; maintenance of latrines (major repairs/maintenance)  during reporting quarter (including Non-Cluster partner)</t>
  </si>
  <si>
    <t>Major repairs or maintenance include: need for coverage of septic tank, major structural damage with no doors, superstructure/walls, roof, major pipes breakage, steps/access which makes the latrine to be considered a 'non-functional latrine.' (Cluster &amp; Non-Cluster Partner)</t>
  </si>
  <si>
    <t>Latrines desludged during reporting period (including Non-Cluster partner)</t>
  </si>
  <si>
    <t># of latrines desludged during reporting quarter (Count the number of latrine dropholes or doors, not number of septic tanks)  (including Non-Cluster partner)</t>
  </si>
  <si>
    <t>Calculate the cubic meters of sludge removed from latrines during that last quarter (for big septic tanks)</t>
  </si>
  <si>
    <t>Latrines fully handed over (managed by a family or small group of families)</t>
  </si>
  <si>
    <t># of shared latrines accessible to all persons in the family and managed by a family or a small group of families/neighbors. Fully handed over from WASH cluster partner to family/community.</t>
  </si>
  <si>
    <t xml:space="preserve">Constructed/Existing latrines in TLS and CFS </t>
  </si>
  <si>
    <t>Kachin/Shan</t>
  </si>
  <si>
    <t>HHs targeted (i.e. 89% in Rakhine) who received soap at least once in the reporting quarter (Soap means: a pack of soaps as provided in a standard Hygiene Kit )</t>
  </si>
  <si>
    <t>HHs targeted (i.e. 89% of HHs in Rakhine) who received sanitary pads at least once in the reporting quarter (sanitary pads mean: a pack of sanitary pads as provided in a standard Hygiene Kit.)</t>
  </si>
  <si>
    <t>Is soap available for TLS and CFS? (Yes/No)</t>
  </si>
  <si>
    <t>V66</t>
  </si>
  <si>
    <r>
      <t>Provision of Hygiene Promotion activities (</t>
    </r>
    <r>
      <rPr>
        <b/>
        <sz val="10"/>
        <rFont val="Corbel"/>
        <family val="2"/>
      </rPr>
      <t>sessions?</t>
    </r>
    <r>
      <rPr>
        <sz val="10"/>
        <rFont val="Corbel"/>
        <family val="2"/>
      </rPr>
      <t>) in TLS and CFS during the reporting period</t>
    </r>
  </si>
  <si>
    <t># sessions on hygiene promotion are organized with the students and/or support provided to the teachers during the reporting period</t>
  </si>
  <si>
    <t>V67</t>
  </si>
  <si>
    <t>% of students reached by Hygiene Promition activities</t>
  </si>
  <si>
    <t>V68</t>
  </si>
  <si>
    <t>ယာယီ ေက်ာင္းေဆာင္မ်ား နွင့္ ကေလးေပ်ာ္ေနရာမ်ား တြင္တက္ေရာက္ေနေသာ ေက်ာင္းသားဦးေရ</t>
  </si>
  <si>
    <t>WASH အဖြဲ႔အစည္းမွ ပံ့ပိုးထားေသာ အဝီစီတြင္း ( တြင္းတိမ္ / တြင္းနက္ ) ႏွင္႔ လက္နိွပ္တံုကင္မ်ား အေရအတြက္</t>
  </si>
  <si>
    <t>အစီရင္ခံစာ ေပးပို႔သည္႔ကာလအတြင္း  ေကာင္းမြန္စြာ အသံုးမျပဳႏိုင္ေသာ အဝီစီတြင္း ( တြင္းတိမ္ / တြင္းနက္ ) ႏွင္႔  လက္နိွပ္တံုကင္မ်ား အေရအတြက္ (ပုဂၢလိက/အျခားအလွဴရွင္မ်ား/အဖြဲ့အစည္းမ်ားမွ လွဴဒါန္းမွုမ်ားအပါအ၀င္)</t>
  </si>
  <si>
    <t>အစီရင္ခံစာ ေပးပို႔သည္႔ကာလအတြင္း စီမံခန္႔ခြဲျခင္း ႏွင္႔ ျပဳျပင္ထိမ္းသိမ္းျခင္း ျပဳလုပ္ရေသာ အဝီစီတြင္း ( တြင္းတိမ္ / တြင္းနက္ ) ႏွင့္ လက္နိွပ္တံုကင္မ်ား အေရအတြက္ (ပုဂၢလိက/အျခားအလွဴရွင္မ်ား/အဖြဲ့အစည္းမ်ားမွ လွဴဒါန္းမွုမ်ားအပါအ၀င္)</t>
  </si>
  <si>
    <t>အစီရင္ခံစာ ေပးပို႔သည္႔ကာလအတြင္း ျပဳျပင္ထိမ္းသိမ္းမႈ ျပဳလုပ္ျပီးစီးေသာ  (သဘာဝ ေရစီးဆင္းမႈ႔စနစ္ျဖင္႔ တည္ေဆာက္ထားျပီး) ေရသြယ္တန္းမႈ႕ စနစ္ ၊ ပိုက္လိုင္း ၊ သိုေလွာင္ကန္ တုိ႔ အေရတြက္</t>
  </si>
  <si>
    <t>လက္ရွိ တည္ေဆာက္အသံုးျပဳေနေသာ ေရ အရင္းအျမစ္ ( ျမစ္ေခ်ာင္း) မွ တဆင္ ့ ေရျဖန္႔ျဖဴးေသာ စနစ္</t>
  </si>
  <si>
    <t>လက္ရွိ တည္ေဆာက္အသံုးျပဳေနေသာ ေရ အရင္းအျမစ္ ( ျမစ္ေခ်ာင္း) မွ ေန႔စဥ္ထုတ္ယူ အသံုးျပဳႏိုင္ေသာ ေရပမာဏ</t>
  </si>
  <si>
    <t>စခန္းတြင္းေနထိုင္သူမ်ားသို႔ လႊဲေျပာင္းေပးျပီးေသာ ေရထြက္ပင္ရင္းေနရာမ်ားအား ျပဳျပင္ထိန္းသိမ္းျခင္း သင္တန္းရရွိျပီးေသာ က်ြမ္းက်င္သူအေရအတြက္</t>
  </si>
  <si>
    <t>စခန္းေန ျပည္သူသို႔ အျပည္မဝ လႊဲေျပာင္းေပးျပီးေသာ ေရထြက္ပင္ရင္းေနရာမ်ား ( စခန္းေနထိုင္သူမ်ားမွ စီမံခန္႔ခြဲၿပီး WASH ေကာ္မတီမွ ျပဳျပင္ထိန္းသိမ္းျခင္း )</t>
  </si>
  <si>
    <t>စခန္းေန ျပည္သူသို႔ အျပည္မဝ   လႊဲေျပာင္းေပးျပီးေသာ ေရထြက္ပင္ရင္းေနရာမ်ား ၏ အေရအတြက္ ( စခန္းေနထိုင္သူမ်ားမွ စီမံခန္႔ခြဲၿပီး WASH ေကာ္မတီမွ ျပဳျပင္ထိန္းသိမ္းျခင္း )</t>
  </si>
  <si>
    <t>ယာယီ ေက်ာင္းေဆာင္မ်ား ႏွင့္ ကေလးေပ်ာ္ေနရာမ်ား တြင္ ရွိေသာ လက္ေဆးစင္ အေရအတြက္</t>
  </si>
  <si>
    <t>ယာယီ ေက်ာင္းေဆာင္မ်ား နွင့္ ကေလးေပ်ာ္ေနရာမ်ားတြင္ ေဆာက္လုပ္ၿပီးစီးသည္႔ လက္ေဆးစင္ အေရအတြက္</t>
  </si>
  <si>
    <t>ယာယီ ေက်ာင္းေဆာင္မ်ား နွင့္ ကေလးေပ်ာ္ေနရာမ်ားတြင္ ေဆာက္လုပ္ထားေသာ ေရထြက္ပင္ရင္း ေရသံုးရန္ ေနရာ</t>
  </si>
  <si>
    <t>ယာယီ ေက်ာင္းေဆာင္မ်ား နွင့္ ကေလးေပ်ာ္ေနရာမ်ားတြင္ ေဆာက္လုပ္ထားေသာ ေရထြက္ပင္ရင္း ေရသံုးရန္ ေနရာ ေဆာက္လုပ္ျပီးစီးသည္႔ အေရအတြက္ (သို႔) ျပဳျပင္ေပးသည္႔ အေရအတြက္</t>
  </si>
  <si>
    <t>ပုဂၢလိက/အျခားအလွဴရွင္မ်ား/အဖြဲ့အစည္းမ်ားမွ လွဴထားေသာ   အိမ္သာအေရအတြက္</t>
  </si>
  <si>
    <r>
      <t>အိမ္သာလွဴထားေသာ ပုဂၢလိက/အျခားအလွဴရွင္မ်ား/အဖြဲ့အစည္းမ်ား</t>
    </r>
    <r>
      <rPr>
        <sz val="10"/>
        <rFont val="zawgyi1"/>
        <family val="2"/>
      </rPr>
      <t>၏</t>
    </r>
    <r>
      <rPr>
        <sz val="10"/>
        <rFont val="Zawgyi-One"/>
        <family val="2"/>
      </rPr>
      <t xml:space="preserve"> အမည္</t>
    </r>
  </si>
  <si>
    <t>အိမ္သာလွဴထားေသာ ပုဂၢလိက/အျခားအလွဴရွင္မ်ား/အဖြဲ့အစည္းမ်ား၏ အမည္</t>
  </si>
  <si>
    <t>အစီရင္ခံစာ ေပးပို႔သည္႔ကာလအတြင္း အသံုးျပဳမရေသာ အိမ္သာမ်ား အေရအတြက္ (ပုဂၢလိက/အျခားအလွဴရွင္မ်ား/အဖြဲ့အစည္းမ်ားမွ လွဴဒါန္းမွုမ်ားအပါအ၀င္)</t>
  </si>
  <si>
    <t>အစီရင္ခံစာ ေပးပို႔သည္႔ကာလအတြင္း အသံုး ျပဳမရေသာ အိမ္သာ အေရအတြက္ (ပုဂၢလိက/အျခားအလွဴရွင္မ်ား/အဖြဲ့အစည္းမ်ားမွ လွဴဒါန္းမွုမ်ားအပါအ၀င္)</t>
  </si>
  <si>
    <t>အစီရင္ခံစာ ေပးပို႔သည္႔ကာလအတြင္း အၾကီးစားျပင္ဆင္ရန္လိုအပ္ေသာ အိမ္သာ ( အသံုးျပဳမရေသာ အေျခအေန) (ပုဂၢလိက/အျခားအလွဴရွင္မ်ား/အဖြဲ့အစည္းမ်ားမွ လွဴဒါန္းမွုမ်ားအပါအ၀င္)</t>
  </si>
  <si>
    <t>အၾကီးစားျပင္ဆင္ရန္လိုအပ္ေသာ အေျခအေန ဆိုသည္မွာ ( မိလႅာက်င္းဖံုး မရွိျခင္း ၊ ပ်က္စီးျခင္း၊ အမိုး အကာ မ်ားပ်က္စီးျခင္း ၊ ၾကမ္းခင္းမ်ားပ်က္စီးျခင္း ၊ အတက္အဆင္းေလွကားထစ္ မရွိျခင္း ပ်က္စီးျခင္း ၊ ပိုက္ ခြက္မ်ား ပ်က္စီးျခင္း ၊ ပိုက္လိုင္းမ်ားပ်က္စီးျခင္းတို႔ပါဝင္သည္။) (ပုဂၢလိက/အျခားအလွဴရွင္မ်ား/အဖြဲ့အစည္းမ်ားမွ လွဴဒါန္းမွုမ်ားအပါအ၀င္)</t>
  </si>
  <si>
    <t xml:space="preserve">စခန္းတြင္းရွိ ယာယီစာသင္ေက်ာင္းမ်ား နွင့္ ကေလးေပ်ာ္ေနရာမ်ား တြင္ရွိေသာ အိမ္သာအေရအတြက္ </t>
  </si>
  <si>
    <t>စခန္းတြင္းရွိ ယာယီစာသင္ေက်ာင္းမ်ား နွင့္ ကေလးေပ်ာ္ေနရာမ်ား တြင္ရွိေသာ အိမ္သာ  အေရအတြက္ (  တံခါး အေရအတြက္အတိုင္း ေကာက္ယူပါမည္)</t>
  </si>
  <si>
    <t>ယာယီစာသင္ေက်ာင္းေဆာင္မ်ား နွင့္ ကေလးေပ်ာ္ေနရာမ်ားတြင္ တကိုယ္ရည္သန္႔ရွင္းေရးပညာေပးအစီအစဥ္  
( အၾကိမ္အေရတြက္ ) သာေျဖရန္</t>
  </si>
  <si>
    <t>တကိုယ္ရည္သန္႔ရွင္းေရးပညာေပးအစီအစဥ္မ်ား ရရွိေသာ ေက်ာင္းသား ရာခိုင္နွိုင္း</t>
  </si>
  <si>
    <t>V20, 23, 24, 27, 30, 31, 32</t>
  </si>
  <si>
    <t xml:space="preserve"># Constructed/Existing protected hand dug well
# Constructed tube wells/boreholes/handpumps by WASH agency
# Constructed water tube-wells/boreholes/handpumps by Non-cluster partners
# Constructed/existing of water storage tank with gravity fed reticulation system
# Water boating or water trucking
# Constructed/Existing protected/fenced ponds
# Constructed water distribution system from river
</t>
  </si>
  <si>
    <t>Percentage of targeted women, men, boys and girls benefitting from timely/adequate/tailored personal hygiene items and receiving appropriate/ community tailored messages that enable health seeking behavior</t>
  </si>
  <si>
    <t>V61, 62, 63, 64</t>
  </si>
  <si>
    <r>
      <t>Constructed/Existing latrines in TLS and</t>
    </r>
    <r>
      <rPr>
        <sz val="10"/>
        <color rgb="FFFF0000"/>
        <rFont val="Corbel"/>
        <family val="2"/>
      </rPr>
      <t xml:space="preserve"> CFS </t>
    </r>
  </si>
  <si>
    <r>
      <t>အိမ္သာလွဴထားေသာ ပုဂၢလိက/အျခားအလွဴရွင္မ်ား/အဖြဲ့အစည္းမ်ား</t>
    </r>
    <r>
      <rPr>
        <sz val="8"/>
        <rFont val="Zawgyi-One"/>
        <family val="2"/>
      </rPr>
      <t>၏ အမည္</t>
    </r>
  </si>
  <si>
    <t>#_students at TLS_CFS</t>
  </si>
  <si>
    <t>#_committes/technicians trained and maintaining the water points</t>
  </si>
  <si>
    <t xml:space="preserve">#_of water points in TLS and CFS </t>
  </si>
  <si>
    <t>Name of Non-Cluster partner who constructed latrines</t>
  </si>
  <si>
    <t>% of students reached by HP activities</t>
  </si>
  <si>
    <t>% Household received corrective actions</t>
  </si>
  <si>
    <t>% of water sources treated</t>
  </si>
  <si>
    <t>% Household received corrective actions due to contamination</t>
  </si>
  <si>
    <t>Warter quality test done</t>
  </si>
  <si>
    <t>Functional protected hand dug well during reporting period</t>
  </si>
  <si>
    <t>Functional tube wells/boreholes/handpumps during reporting period (including non-cluster partners)</t>
  </si>
  <si>
    <t>Functional storage tank with gravity fed reticulation system  during reporting period</t>
  </si>
  <si>
    <t>Functional protected hand dug well</t>
  </si>
  <si>
    <t>Functional tube wells/boreholes/handpumps (including non-cluster partners)</t>
  </si>
  <si>
    <t>Functional storage tank with gravity fed reticulation system</t>
  </si>
  <si>
    <t xml:space="preserve">
Water boating or water trucking</t>
  </si>
  <si>
    <t>Water boating or water trucking</t>
  </si>
  <si>
    <t>(1 cm3=1000 liters)</t>
  </si>
  <si>
    <t>Safe drinking water</t>
  </si>
  <si>
    <t>% Equitable and continuous access to sufficient quantity of domestic water</t>
  </si>
  <si>
    <t># people with equitable and continuous access to sufficient quantity of safe drinking water</t>
  </si>
  <si>
    <t>Number of women, men, boys and girls benefitting from safe/improved drinking water, meeting demand for domestic purposes, at minimum/agreed standards</t>
  </si>
  <si>
    <t># people needs equitable and continuous access to sufficient quantity of safe drinking and domestic water GAP</t>
  </si>
  <si>
    <t>water point gap</t>
  </si>
  <si>
    <r>
      <t>WATER GAP</t>
    </r>
    <r>
      <rPr>
        <b/>
        <sz val="12"/>
        <color rgb="FFFF0000"/>
        <rFont val="Corbel"/>
        <family val="2"/>
      </rPr>
      <t/>
    </r>
  </si>
  <si>
    <t># students access to functioning school latrines</t>
  </si>
  <si>
    <t>Number of  targeted women, men, boys and girls benefitting from a functional excreta disposal system, reducing safety/public health/environmental risks</t>
  </si>
  <si>
    <t>HRP2</t>
  </si>
  <si>
    <t># people needs equitable and continuous access to sufficient quantity of safe drinking and domestic water -GAP</t>
  </si>
  <si>
    <t># Functional hand washing stations during reporting period</t>
  </si>
  <si>
    <t>Nb of Functional hand washing stations during reporting period</t>
  </si>
  <si>
    <t>HRP3</t>
  </si>
  <si>
    <t>HRP 3a</t>
  </si>
  <si>
    <t>HRP 3b</t>
  </si>
  <si>
    <t xml:space="preserve"> # of women, men, boys and girls benefitting from timely/adequate/tailored personal hygiene items and receiving appropriate/ community tailored messages that enable health seeking behavior</t>
  </si>
  <si>
    <t xml:space="preserve">Camp: 100HH:1 
Village: 100HH:1
Sphere: 750 grams of soap for bathing per person per quater (11kgs/HH/Qtr - HH=5 People)
Sphere: either absorbent cotton material (4 square metres per year), disposable pads (45 pe rquater) or reusable sanitary pads (six per year), as preferred by women and girls. + extra 750grms soap.
</t>
  </si>
  <si>
    <t># of hand washing stations with soap in TLS</t>
  </si>
  <si>
    <t>Nb of hand washing stations with soap in TLS</t>
  </si>
  <si>
    <t>Provision of Hygiene Promotion activities (sessions?) in TLS and CFS during the reporting period</t>
  </si>
  <si>
    <t xml:space="preserve"> HRP1</t>
  </si>
  <si>
    <t xml:space="preserve"> HRP2</t>
  </si>
  <si>
    <t xml:space="preserve"> HRP3</t>
  </si>
  <si>
    <t>Number of  women, men, boys and girls benefitting from safe/improved drinking water, meeting demand for domestic purposes, at minimum/agreed standards</t>
  </si>
  <si>
    <t>Number of targeted women, men, boys and girls benefitting from a functional excreta disposal system, reducing safety/public health/environmental risks</t>
  </si>
  <si>
    <t>Number of targeted women, men, boys and girls benefitting from timely/adequate/tailored personal hygiene items and receiving appropriate/ community tailored messages that enable health seeking behavior</t>
  </si>
  <si>
    <t>benefitting from timely/adequate/tailored personal hygiene items and receiving appropriate/ community tailored messages that enable health seeking behavior</t>
  </si>
  <si>
    <t>benefitting from a functional excreta disposal system, reducing safety/public health/environmental risks</t>
  </si>
  <si>
    <t>benefitting from safe/improved drinking water, meeting demand for domestic purposes, at minimum/agreed standards</t>
  </si>
  <si>
    <t>PIN</t>
  </si>
  <si>
    <t>IOM</t>
  </si>
  <si>
    <t>Htan Shauk Khan</t>
  </si>
  <si>
    <t>Ah Twin Hnget Thay</t>
  </si>
  <si>
    <t>Pyar Pin Yin</t>
  </si>
  <si>
    <t>Ward (1)</t>
  </si>
  <si>
    <t>Sha Kay Ywa</t>
  </si>
  <si>
    <t>Tha Yet Pyin (Rakhine)</t>
  </si>
  <si>
    <t>Tha Bauk Chaung</t>
  </si>
  <si>
    <t>Baw Li (Rakhine)</t>
  </si>
  <si>
    <t>Baw Li (Muslim)</t>
  </si>
  <si>
    <t>Gwa Sone (Muslim)</t>
  </si>
  <si>
    <t>Gwa Sone (Rakhine)</t>
  </si>
  <si>
    <t>Thay Kan (Muslim)</t>
  </si>
  <si>
    <t>Thay Kan (Rakhine)</t>
  </si>
  <si>
    <t>Na Nwin Ku</t>
  </si>
  <si>
    <t>Kyauk Yant (Rakhine)</t>
  </si>
  <si>
    <t>Than Chay (Rakhine)</t>
  </si>
  <si>
    <t>Kyauk Yit (Rakhine)</t>
  </si>
  <si>
    <t>Shwe Baho</t>
  </si>
  <si>
    <t>Wai Thar Li</t>
  </si>
  <si>
    <t>Ar Kya</t>
  </si>
  <si>
    <t>Ka Yin</t>
  </si>
  <si>
    <t>Ka Yin Taw</t>
  </si>
  <si>
    <t>Gyin Chaung</t>
  </si>
  <si>
    <t>Wa  Lan</t>
  </si>
  <si>
    <t>Wa Lan Kone</t>
  </si>
  <si>
    <t>Na Htoe Pyin</t>
  </si>
  <si>
    <t>Yar Taik</t>
  </si>
  <si>
    <t>Ku Lar Thein</t>
  </si>
  <si>
    <t>Yae Hnyin Chaung</t>
  </si>
  <si>
    <t>Kyu Yaw Chaing</t>
  </si>
  <si>
    <t>Ku Lar Te</t>
  </si>
  <si>
    <t>Auk Thin Pone Than/ Phar Kywe</t>
  </si>
  <si>
    <t> A Htet Myat Lay</t>
  </si>
  <si>
    <t>Tha Lu Chaung</t>
  </si>
  <si>
    <t xml:space="preserve"> Zay Ywar </t>
  </si>
  <si>
    <t>Nga Pha Yone</t>
  </si>
  <si>
    <t xml:space="preserve">Wah Net Yone </t>
  </si>
  <si>
    <t>Nil</t>
  </si>
  <si>
    <t>Kar Hpi Chaung</t>
  </si>
  <si>
    <t>U Gar Hton</t>
  </si>
  <si>
    <t>Ma La Kyun</t>
  </si>
  <si>
    <t>Dway Cha</t>
  </si>
  <si>
    <t>MHF,EU</t>
  </si>
  <si>
    <t>1-March-2019
1-March-2019</t>
  </si>
  <si>
    <t>31-July-2019
31-Oct-2019</t>
  </si>
  <si>
    <t>During this time, the contamination at the water sources are not too serious relative to the usual Sittwe camps WASH situation (34%)
 but HH level contamination is higher than the water source(71%). Additionally, there are many private handpumps (around 120) which are owned by IDPs, some of which were built by other organisations then privatised - there are maintained by households themselves and we monitor the water quality but water treatment depends on the consultation and agreement, which was mostly accepted, but some households would not alow treatment (shock chlorination).</t>
  </si>
  <si>
    <t>Around 18302.2</t>
  </si>
  <si>
    <t>There have been some overflowing latrines in the camp and there are still challenges to cover all the latrine pits due to a high rate of theft/vandalism. The government provided 240 latrines which will be at high risk of flooding during the rainy season. DRC plans to repair 150 latrines and to construct 23 new latrines for people with disabilities (PwD).</t>
  </si>
  <si>
    <t>RDC distributed 2259 kits based on needs identified by PDM (toothpaste,shampoo, 
 jerry cans), and plans to conduct WASH in schools hygiene promotion sessions. According to the PDM results, the amount of sanitary pads is not enough for much female family members, so DRC is trying to identify funding to provide female hygiene kits.</t>
  </si>
  <si>
    <t>During this time, the contamination at the water sources are not too serious relative to the usual Sittwe camps situation (27% were low risk and medium risk and were treated by shock chlorination)
 but HH level contamination is higher than the water source (86%were low risk,medium risk and high risk). Same issue with private handpumps as in OTG-S.</t>
  </si>
  <si>
    <t>There has been a problem with overflowing latrine pits in the camp due to desludging capacity, and DRC is still having challenges to cover all the latrine pits (due to a hgh rate of theft and vandalism of the concrete covers). Overflowing of latrine pits is likely to be a challenge during the rainy season. DRC plans to repair 50 latrines and construct 12 adult latrines and 10 latrines for people with disabilities (PwD).</t>
  </si>
  <si>
    <t>400 household kits (jerry cans, shampoo, toothpaste)
were distributed in repsonse to a PDM. DRC plans to conduct WASH in schools hygiene promotion sessions. According to the PDM result, the amount of sanitary pads is not enough for most female family members, so DRC is trying to identify funding to cover this gap.</t>
  </si>
  <si>
    <t>YinYeKan</t>
  </si>
  <si>
    <t>OhnHnanChaung</t>
  </si>
  <si>
    <t>ThonePetChaing</t>
  </si>
  <si>
    <t>MiGyaungTet</t>
  </si>
  <si>
    <t>KaLarChaung</t>
  </si>
  <si>
    <t>PyunTo</t>
  </si>
  <si>
    <t>Sar Pyin</t>
  </si>
  <si>
    <t>Nga Khu Chaung</t>
  </si>
  <si>
    <t>Tha Yet Cho</t>
  </si>
  <si>
    <t>Tha Yet</t>
  </si>
  <si>
    <t>NgweTwinDway</t>
  </si>
  <si>
    <t>NgaWetSway</t>
  </si>
  <si>
    <t>HlaKhaing</t>
  </si>
  <si>
    <t>MinPauk</t>
  </si>
  <si>
    <t>Pyein Chaung (ngwe Twin Dway tract)</t>
  </si>
  <si>
    <t>MRCS</t>
  </si>
  <si>
    <t>Town</t>
  </si>
  <si>
    <t>Shit Thaung Monastery</t>
  </si>
  <si>
    <t>Shaw Me (Primary School)</t>
  </si>
  <si>
    <t>Mya Ta Saung Monastery</t>
  </si>
  <si>
    <t>Let Kauk Zay Monastery</t>
  </si>
  <si>
    <t>Phayapaw Phayathein</t>
  </si>
  <si>
    <t>Tin Nyo (Primary School)</t>
  </si>
  <si>
    <t>Out Thar Kan Monastery</t>
  </si>
  <si>
    <t>Shwe Taung Monastery</t>
  </si>
  <si>
    <t>Payar Por Thain Taw Gyi Monastery</t>
  </si>
  <si>
    <t>Myat Yeik Kyun Monastery</t>
  </si>
  <si>
    <t>Chaung Thit Monastery</t>
  </si>
  <si>
    <t>Sin Kae (High School)</t>
  </si>
  <si>
    <t>Sin Khing Baw (Primary School)</t>
  </si>
  <si>
    <t>Chaung New Min Gan</t>
  </si>
  <si>
    <t>Kan Pyin Ywa Haung</t>
  </si>
  <si>
    <t>Kan Pyin Ywar Thit</t>
  </si>
  <si>
    <t>Thone Saung</t>
  </si>
  <si>
    <t>Kyauk Tan Gyi</t>
  </si>
  <si>
    <t>Kyauk Tan Chay</t>
  </si>
  <si>
    <t>Kyar Ma Thauk</t>
  </si>
  <si>
    <t>Done Pyin (North)</t>
  </si>
  <si>
    <t>Done Pyin (South)</t>
  </si>
  <si>
    <t>Maung Ni Pyin</t>
  </si>
  <si>
    <t>Pyar Lay Chaung Ywar Haung</t>
  </si>
  <si>
    <t>Ohn Ye Paw</t>
  </si>
  <si>
    <t>Pyin Shey Ku lar</t>
  </si>
  <si>
    <t>Bu May Ohn Daw Chay</t>
  </si>
  <si>
    <t>Dar Paing Ywar Haung</t>
  </si>
  <si>
    <t>Sa Ma Nya Village</t>
  </si>
  <si>
    <t>Koe Saung (1) village</t>
  </si>
  <si>
    <t>Koe Song (2) Village</t>
  </si>
  <si>
    <t>Thet Kay Pyin</t>
  </si>
  <si>
    <t>Kyan Taik</t>
  </si>
  <si>
    <t>Sat Yon Maw (Rakhine)</t>
  </si>
  <si>
    <t>Ann Thar</t>
  </si>
  <si>
    <t>Naw Naw(Rakhine)</t>
  </si>
  <si>
    <t>Naw Naw(Ku Lar)</t>
  </si>
  <si>
    <t>Ah Pyin Done Chaung</t>
  </si>
  <si>
    <t>Thin Ga Zar</t>
  </si>
  <si>
    <t>Than Shin Ywar Thit</t>
  </si>
  <si>
    <t>Tan Seik</t>
  </si>
  <si>
    <t>Sat Kyar</t>
  </si>
  <si>
    <t>Let Taw Ri</t>
  </si>
  <si>
    <t>Har Ra Paing</t>
  </si>
  <si>
    <t>Kan Hpay</t>
  </si>
  <si>
    <t>Thin Khaung Maw</t>
  </si>
  <si>
    <t>Beik Taung</t>
  </si>
  <si>
    <t>Taw Tan</t>
  </si>
  <si>
    <t>Sin Seik</t>
  </si>
  <si>
    <t>Ta Khun Taing</t>
  </si>
  <si>
    <t>Done Thar</t>
  </si>
  <si>
    <t>War Taung</t>
  </si>
  <si>
    <t>Athay Kar La</t>
  </si>
  <si>
    <t>Myin Kan Seik</t>
  </si>
  <si>
    <t>Seik Ta Ra</t>
  </si>
  <si>
    <t>Gwa Sone Chin</t>
  </si>
  <si>
    <t>Taung Poke Kay</t>
  </si>
  <si>
    <t>Shwe Zin Yaw</t>
  </si>
  <si>
    <t>OXSI(Oxfam), MA_UK</t>
  </si>
  <si>
    <t>45 meters cube storage planned to be installed in the next months</t>
  </si>
  <si>
    <t>the HHs use to have bathing place inside the shelter or as shelter extension</t>
  </si>
  <si>
    <t>28/02/2018 and 28/02/2019, 01/07/2018, 01/10/2018</t>
  </si>
  <si>
    <t>28/02/2019 and 28/02/2020, 30/06/2019, 30/09/2019</t>
  </si>
  <si>
    <t>SI does not deliver treated water to ANY village, only CWF and HP sessions</t>
  </si>
  <si>
    <t>HHs latrines distributed in 2017 after Mora cyclone</t>
  </si>
  <si>
    <t>SI does not deliver treated water in NC1, pilot on istallation of sand pond filter in 1 pond + distribution of HH filters</t>
  </si>
  <si>
    <t>no drainage possible since NC1 is under the level of the sea</t>
  </si>
  <si>
    <t>no drainage possible since NC2 is under the level of the sea</t>
  </si>
  <si>
    <t xml:space="preserve"> -   </t>
  </si>
  <si>
    <t>Temporary location</t>
  </si>
  <si>
    <t>Kyar Nyo Pyin</t>
  </si>
  <si>
    <t>Mro/ Kha Mee</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</si>
  <si>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Added New camp. 
As per mail from KBC-HDD, we have to close two camps (5 Ward Baptist Church( Lon Khin- MMR001CMP179, and Ku Day Maw KBC- MMR001CMP231) and open new camp as Lawng Hkang Shait Yang Camp ( Lel Pyin) under Hpakant Township. So technically, the mentioned two camp will be combine into one camp as Lawng Hkang Shait Yang Camp ( Lel Pyin) More over  19/12/2017:  Sai Nai Baptish Church, Maw Shan Vil., Seki Mu (Closed the camp. The camp combine atLawng Hkang Shait Yang Camp? ( Lel Pyin)? </t>
  </si>
  <si>
    <t>3/Jul/2017: Population update. Data source: KBC
3/Jul/2017: Population update. Data source: KBC
19/12/2017: Closed the camp. The camp combine atLawng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14-Oct-15 Population update. Soruce; Hpakant Mission Report_WFP
25-Jun-15 Population update. Source: KBC
2-Apr-15 (Population update, Source: UNHCR CCCM Mission)
Update population according to KBC data</t>
  </si>
  <si>
    <t>Q1_2019</t>
  </si>
  <si>
    <t>Hpon Nyo Leik</t>
  </si>
  <si>
    <t>Tha Yet Pyin</t>
  </si>
  <si>
    <t>Wet Ma Kya (a) Zay Di Taung</t>
  </si>
  <si>
    <t>Thay Kan Gwa Son</t>
  </si>
  <si>
    <t>Kyauk Hpyu Thar Thay Kan</t>
  </si>
  <si>
    <t>Kyauk Yant</t>
  </si>
  <si>
    <t>Nan Yar Kone</t>
  </si>
  <si>
    <t>San Goe Taung</t>
  </si>
  <si>
    <t>Kyee Kan Pyin</t>
  </si>
  <si>
    <t>Gaw Du Tha Yah</t>
  </si>
  <si>
    <t>Myo Thu Gyi</t>
  </si>
  <si>
    <t>KhaMi</t>
  </si>
  <si>
    <t>Pyein Chaung (Ngwe Twin Dway tract)</t>
  </si>
  <si>
    <t>Pond Rehabilition</t>
  </si>
  <si>
    <t>ECHO, OFDA</t>
  </si>
  <si>
    <t>01/01/2018, 01/07/2018</t>
  </si>
  <si>
    <t>28-02-2019, 30/06/2019</t>
  </si>
  <si>
    <t>we put combine data information for AD 2000 &amp; AD ext</t>
  </si>
  <si>
    <t>we put combine data information for all lisu camps.</t>
  </si>
  <si>
    <t>WHH-AA / USAID</t>
  </si>
  <si>
    <t xml:space="preserve">Water shortage in summer and inadequate water </t>
  </si>
  <si>
    <t xml:space="preserve">IDP received hygiene icentive items; body soap 6 pcs, laundry soap 30 pcs and detergant powder 15 pcs from HE Session, its about 3 months covered. </t>
  </si>
  <si>
    <t>UNICEF, WHH(AA)</t>
  </si>
  <si>
    <t>1/2/19,1/10/18</t>
  </si>
  <si>
    <t>31/1/20,30/9/20</t>
  </si>
  <si>
    <t>ေရႏႈတ္ေျမာင္းတူးရန္ အစီစဥ္ရွိသည္။</t>
  </si>
  <si>
    <t>GFFO</t>
  </si>
  <si>
    <t>most of the lartines are needed to repair</t>
  </si>
  <si>
    <t>Drinking water problem</t>
  </si>
  <si>
    <t>GFFO, (UNICEF, WHH(AA))</t>
  </si>
  <si>
    <t>12/1/2017,(1/2/19,1/10/18)</t>
  </si>
  <si>
    <t>11/30/2019,(31/1/20,30/9/20)</t>
  </si>
  <si>
    <t>31-3-2019 / 30-Nov-2019</t>
  </si>
  <si>
    <t>31-3-2019</t>
  </si>
  <si>
    <t>Metta, KMSS</t>
  </si>
  <si>
    <t>WHH-AA, UNIUCEF</t>
  </si>
  <si>
    <t>12/1/2018,10/1/2018</t>
  </si>
  <si>
    <t>11.30/2019,9/30/2020</t>
  </si>
  <si>
    <t>1-Jan-2019 / 1-Dec-2018</t>
  </si>
  <si>
    <t>WHH-AA, UNICEF</t>
  </si>
  <si>
    <t>10/1/2018, 12/1/2018</t>
  </si>
  <si>
    <t>9/30/2020, 11/30/2019</t>
  </si>
  <si>
    <t>Shan (North) Total</t>
  </si>
  <si>
    <t>Hpai Kawng Mare Total</t>
  </si>
  <si>
    <t>Kutkai downtown (KBC Church) Total</t>
  </si>
  <si>
    <t>Kutkai downtown (RC Church) Total</t>
  </si>
  <si>
    <t>Lisu Church Namtu Total</t>
  </si>
  <si>
    <t>Mandung - Jinghpaw Total</t>
  </si>
  <si>
    <t>Muse Baptist Church Total</t>
  </si>
  <si>
    <t>Nam Sa Larp Total</t>
  </si>
  <si>
    <t>Nam Tu Baptist Total</t>
  </si>
  <si>
    <t>Pan Ta Pyae Total</t>
  </si>
  <si>
    <t>Boe Taw monastery</t>
  </si>
  <si>
    <t>Man Li</t>
  </si>
  <si>
    <t>Sasana 2500 monastery</t>
  </si>
  <si>
    <t>German (AA/BMZ)</t>
  </si>
  <si>
    <t>Baw Du Pha Village (IDP in host families)</t>
  </si>
  <si>
    <t>UMCOR</t>
  </si>
  <si>
    <t>NiDin</t>
  </si>
  <si>
    <t>OXSI (OXFAM)</t>
  </si>
  <si>
    <t>IDP only</t>
  </si>
  <si>
    <t>Village + New IDPs</t>
  </si>
  <si>
    <t>camp + village + new IDP</t>
  </si>
  <si>
    <t>only new IDP</t>
  </si>
  <si>
    <t>IDP camp</t>
  </si>
  <si>
    <t>Northern Rakhine</t>
  </si>
  <si>
    <t>Central Rakhine</t>
  </si>
  <si>
    <t>Central Rakhine Total</t>
  </si>
  <si>
    <t>Northern Rakhine Total</t>
  </si>
  <si>
    <t xml:space="preserve"> #_students at TLS_CFS</t>
  </si>
  <si>
    <t xml:space="preserve"> # People received regular supply of hygiene items</t>
  </si>
  <si>
    <t># People access to Handwashing Station</t>
  </si>
  <si>
    <t xml:space="preserve"> # People access to Handwashing Station</t>
  </si>
  <si>
    <t>Targeted population provided with sanitation or hygiene kits or key hygiene items</t>
  </si>
  <si>
    <t>Targeted population in humanitarian situations accessing appropriate hygiene education in schools, temporary learning spaces and other child friendly spaces</t>
  </si>
  <si>
    <t xml:space="preserve"> # people reached by regular dedicated hygiene promotion</t>
  </si>
  <si>
    <t>New IDPs</t>
  </si>
  <si>
    <t>GCA (500:1)</t>
  </si>
  <si>
    <t>NGCA (500:1)</t>
  </si>
  <si>
    <t>Temporary location_Town</t>
  </si>
  <si>
    <t>New Temporary Site</t>
  </si>
  <si>
    <t>Count of Warter quality test done</t>
  </si>
  <si>
    <t>% Access to unimproved water points</t>
  </si>
  <si>
    <t># Operation &amp; maintenance of latrines</t>
  </si>
  <si>
    <t># Latrines desludged</t>
  </si>
  <si>
    <t># handed over</t>
  </si>
  <si>
    <t>Sum of # Existing functional latrines</t>
  </si>
  <si>
    <t xml:space="preserve">  Total # of latrine</t>
  </si>
  <si>
    <t>Operation &amp; maintenance</t>
  </si>
  <si>
    <t>it is included non-functioning latrines</t>
  </si>
  <si>
    <t>functioning latrines</t>
  </si>
  <si>
    <t># Operation &amp; maintenance</t>
  </si>
  <si>
    <t xml:space="preserve">Count of Is there constructed surface water drainage system?
</t>
  </si>
  <si>
    <t>Count of Is there provision of solid waste management equipment?</t>
  </si>
  <si>
    <r>
      <t>% of Latrine</t>
    </r>
    <r>
      <rPr>
        <b/>
        <sz val="10"/>
        <color theme="5" tint="-0.249977111117893"/>
        <rFont val="Crobel"/>
      </rPr>
      <t xml:space="preserve"> Gap</t>
    </r>
    <r>
      <rPr>
        <b/>
        <sz val="10"/>
        <color theme="0"/>
        <rFont val="Crobel"/>
      </rPr>
      <t xml:space="preserve">
</t>
    </r>
    <r>
      <rPr>
        <b/>
        <sz val="10"/>
        <color rgb="FFFF0000"/>
        <rFont val="Crobel"/>
      </rPr>
      <t>Red &gt;=10%,</t>
    </r>
    <r>
      <rPr>
        <b/>
        <sz val="10"/>
        <color theme="0"/>
        <rFont val="Crobel"/>
      </rPr>
      <t xml:space="preserve">
</t>
    </r>
    <r>
      <rPr>
        <b/>
        <sz val="10"/>
        <color theme="5"/>
        <rFont val="Crobel"/>
      </rPr>
      <t>Orange 0%~9%,</t>
    </r>
    <r>
      <rPr>
        <b/>
        <sz val="10"/>
        <color theme="0"/>
        <rFont val="Crobel"/>
      </rPr>
      <t xml:space="preserve">
</t>
    </r>
    <r>
      <rPr>
        <b/>
        <sz val="10"/>
        <color rgb="FF00B050"/>
        <rFont val="Crobel"/>
      </rPr>
      <t>Green =0%</t>
    </r>
  </si>
  <si>
    <t>% people access to functioning Latrine</t>
  </si>
  <si>
    <t>Closed_cccm2019Apr</t>
  </si>
  <si>
    <t xml:space="preserve">Hka Garan Yang </t>
  </si>
  <si>
    <t>MMR001CMP272</t>
  </si>
  <si>
    <t>cccm_2019Apr</t>
  </si>
  <si>
    <t>KBC-BMO</t>
  </si>
  <si>
    <t>KBC-MYT</t>
  </si>
  <si>
    <t>KBC-NSS</t>
  </si>
  <si>
    <t>Plan/GFFO,ADRA/CANADA ,UNICEF</t>
  </si>
  <si>
    <t>1/4/19,12/1/2018</t>
  </si>
  <si>
    <t>7/31/19,31/3/2019</t>
  </si>
  <si>
    <t>Sum of #_households that received standard amount of soap for this quarter</t>
  </si>
  <si>
    <t>Sum of #_households that received standard amount of sanitary pads for this quarter</t>
  </si>
  <si>
    <t>#HH reached by dedicated hygiene promotion</t>
  </si>
  <si>
    <t>Opeing date: 1/6/2017 and updated date in CCCM list: 29/6/2017;not yet updated in Q3 4W. Closed in  31 Aust 2018 in CCCM list but KMSS covered still Q4 2018. in Q1 2019, no report from KMSS</t>
  </si>
  <si>
    <t>KMSS covered till Q4 2018. No report from KMSS in Q1 2019.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</si>
  <si>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NSS WASH Cluster comments:Metta distributed hygiene kit in Apr'17 but no assessment done for other WASH needs. Security concern is high to travel.
SCI covered till Q4 2018. No report from SCI in Q1 2019</t>
  </si>
  <si>
    <t xml:space="preserve"> #_of water points in TLS and CFS </t>
  </si>
  <si>
    <t xml:space="preserve"> #_Constructed/Existing latrines in TLS</t>
  </si>
  <si>
    <t xml:space="preserve"> #_Constructed/Existing hand washing stations at TLS</t>
  </si>
  <si>
    <t xml:space="preserve"> #_Hygiene Promotion activities (sessions) in TLS?</t>
  </si>
  <si>
    <t xml:space="preserve"> # of hand washing stations with soap in TLS</t>
  </si>
  <si>
    <t># Hygiene Promotion activities (sessions) in TLS</t>
  </si>
  <si>
    <t>Number of people with equitable and continuous access to sufficient quantity of domestic water</t>
  </si>
  <si>
    <t>Number of people with equitable and continuous access to safe sanitation facilities</t>
  </si>
  <si>
    <t>Number of People adopt basic personal and community hygiene practices</t>
  </si>
  <si>
    <t>Kin Taung</t>
  </si>
  <si>
    <t>Tha Win Chaung</t>
  </si>
  <si>
    <t>UNICEF response through WFP</t>
  </si>
  <si>
    <t>Thein Tan (Ku Lar)</t>
  </si>
  <si>
    <t>Hpa Yar Pyin Thein Tan</t>
  </si>
  <si>
    <t>Ah Lel Chaung</t>
  </si>
  <si>
    <t>Zay Di Taung</t>
  </si>
  <si>
    <t>Ka Kyet Bet Kan Pyin</t>
  </si>
  <si>
    <t>Kin Taung (a) Kyar Nyo Pyin</t>
  </si>
  <si>
    <t>Aung Tha Pyay</t>
  </si>
  <si>
    <t>Kar Lar Day Hpet</t>
  </si>
  <si>
    <t>Yae Nauk Ngar Thar</t>
  </si>
  <si>
    <t>Kha Maung Seik</t>
  </si>
  <si>
    <t>Wet Kyein</t>
  </si>
  <si>
    <t>Ah Lel Than Kyaw</t>
  </si>
  <si>
    <t>Tha Win Chaung (Kan Pyo)</t>
  </si>
  <si>
    <t>WFP</t>
  </si>
  <si>
    <t>DFID/HARP, EU</t>
  </si>
  <si>
    <t>Ba Da Nar Ku Lar</t>
  </si>
  <si>
    <t>Thar Yar Kone (Rakhine)</t>
  </si>
  <si>
    <t>Thar Yar Kone (Dyine Net)</t>
  </si>
  <si>
    <t>Hpon Thar Wa</t>
  </si>
  <si>
    <t>Done Gyi</t>
  </si>
  <si>
    <t>Min Zi</t>
  </si>
  <si>
    <t>Chaung Wa</t>
  </si>
  <si>
    <t>Pan Hpaw Pyin</t>
  </si>
  <si>
    <t>Pyein Taw</t>
  </si>
  <si>
    <t>Pyin Shey (Sa Hpo Kyun)</t>
  </si>
  <si>
    <t>Chaung Nwe</t>
  </si>
  <si>
    <t>A Lei Ywar (Rakhine)</t>
  </si>
  <si>
    <t>A Lei Ywar (Ma Ya Ma Gyi)</t>
  </si>
  <si>
    <t>Myauk Ywar (Rakhine)</t>
  </si>
  <si>
    <t>Myauk Ywar (Hindu)</t>
  </si>
  <si>
    <t>Thin Baw Hla (Dyine Net) (Thar Yar Gone)</t>
  </si>
  <si>
    <t>Baw Ya Bar</t>
  </si>
  <si>
    <t>Kha Tin Paik Gyi</t>
  </si>
  <si>
    <t>New Temporary Sites</t>
  </si>
  <si>
    <t>KBC, KMSS, Metta, WPN</t>
  </si>
  <si>
    <t>KBC, Metta, KMSS, SI, WPN</t>
  </si>
  <si>
    <t>KBC, KMSS, SCI, Metta</t>
  </si>
  <si>
    <t>KMSS, SCI, Metta</t>
  </si>
  <si>
    <t>SCI, SI</t>
  </si>
  <si>
    <t>DRC,OXSI (SI),OXSI(Oxfam), MA_UK</t>
  </si>
  <si>
    <t>Gap in new temporary sites / township</t>
  </si>
  <si>
    <t>(in new temporary sites)</t>
  </si>
  <si>
    <t>MHDO, Unicef</t>
  </si>
  <si>
    <t>GIZ, SCI, SI</t>
  </si>
  <si>
    <t>ACF, OXSI (Oxfam), OXSI (SI)</t>
  </si>
  <si>
    <t>Gap in new temporary sites / Township</t>
  </si>
  <si>
    <t>MHDO, Unicef, WFP</t>
  </si>
  <si>
    <t>DFID(HARP)/UNICEF</t>
  </si>
  <si>
    <t>DFID(HARP)</t>
  </si>
  <si>
    <t># of People adopt basic personal and community hygiene practices</t>
  </si>
  <si>
    <t># of people access to functioning  sanitation facilities</t>
  </si>
  <si>
    <t># of people Equitable and continuous access to sufficient quantity of domestic water</t>
  </si>
  <si>
    <t>2019-1st Qtr 4W Camp DASHBOARD</t>
  </si>
  <si>
    <t>Sites with TLS</t>
  </si>
  <si>
    <t>Count of Sites with TLS</t>
  </si>
  <si>
    <t>Northern Shan</t>
  </si>
  <si>
    <t>Oxfam/ ICRC</t>
  </si>
  <si>
    <t>Chruch</t>
  </si>
  <si>
    <t>Shalom &amp; Chruch</t>
  </si>
  <si>
    <t>Unicef &amp; World vision</t>
  </si>
  <si>
    <t>KBC &amp; World vision</t>
  </si>
  <si>
    <t>UNHCR &amp; World vision</t>
  </si>
  <si>
    <t>(blank)</t>
  </si>
  <si>
    <t>remove from db, ipds moved to lawa rc church</t>
  </si>
  <si>
    <t>HH
(Rakhine-CCCM as of 31st Jan 2019)
(Kachin/Shan-CCCM as of 31st March 2019)</t>
  </si>
  <si>
    <t>Pop
(Rakhine-CCCM as of 31st Jan 2019)
(Kachin/Shan-CCCM as of 31st March 2019)</t>
  </si>
  <si>
    <t>CCCM_2019Jan</t>
  </si>
  <si>
    <t xml:space="preserve"># Constructed latrines (cluster semi-permanent design for protracted sites; cluster emergency design for new displacement sites) by WASH agency
# Constructed latrines by Non-Cluster partner 
</t>
  </si>
  <si>
    <t>V42, 43</t>
  </si>
  <si>
    <r>
      <t xml:space="preserve">Camp:20PPL:1
Village: 6 PPL:1
</t>
    </r>
    <r>
      <rPr>
        <sz val="12"/>
        <color theme="1"/>
        <rFont val="Gill Sans MT"/>
        <family val="2"/>
      </rPr>
      <t xml:space="preserve">
</t>
    </r>
  </si>
  <si>
    <t>Percentage of people per latrine</t>
  </si>
  <si>
    <t xml:space="preserve">Site_DB: if partners have a new site, this needs to be added/edited here (camp, village). Otherwise, no need for partners input as it's already linked with the core Database. WC IMO updated HHs and Pop figures based on updated CCCM's camp list </t>
  </si>
  <si>
    <t>HRP report: linked with 2019 WASH Cluster HRP report and outcome of quarterly WASH Cluster 4 W</t>
  </si>
  <si>
    <t>(Non-IDP)</t>
  </si>
  <si>
    <t>Hygiene Items distributed</t>
  </si>
  <si>
    <t>PIN/MHDO,UNICEF/WFP</t>
  </si>
  <si>
    <t>Malteser, PIN/MHDO, UNICEF/WFP</t>
  </si>
  <si>
    <t>Ah Htet Thin Pone Tan</t>
  </si>
  <si>
    <t>Yoe Ta Yote</t>
  </si>
  <si>
    <t>Sin Thi Pein Hne Taw (Sin Tae)</t>
  </si>
  <si>
    <t>MRCS, PLAN, RI</t>
  </si>
  <si>
    <t>MRCS,others</t>
  </si>
  <si>
    <t>Kan Sauk</t>
  </si>
  <si>
    <t>Taung Min Ku Lar</t>
  </si>
  <si>
    <t>Kyun Taw</t>
  </si>
  <si>
    <t>MRCS,Others</t>
  </si>
  <si>
    <t>Say Oe Kya ( Host+ Displaced)</t>
  </si>
  <si>
    <t>Thay Kan Gwa Sone ( Host)</t>
  </si>
  <si>
    <t>Zay Di Taung  ( Host + Displaced)</t>
  </si>
  <si>
    <t>UNICEF/ UNHCR/UNFPA</t>
  </si>
  <si>
    <t>MRCS,UNICEF</t>
  </si>
  <si>
    <t>MRCS,Others,ACF</t>
  </si>
  <si>
    <t>Pan Myaung (Aung Mingalar Monastery)</t>
  </si>
  <si>
    <t>Gye Kyaung</t>
  </si>
  <si>
    <t>Win Zar</t>
  </si>
  <si>
    <t>Others</t>
  </si>
  <si>
    <t>Tin Nyo Thit Monastery</t>
  </si>
  <si>
    <t>Thu Yiya Yaung Chi Monastery</t>
  </si>
  <si>
    <t>Ywar Thit Kay Monastery</t>
  </si>
  <si>
    <t>Tin Htein Kan Monastery</t>
  </si>
  <si>
    <t>Thin Pan Kaing</t>
  </si>
  <si>
    <t>Wet Hla Middle School</t>
  </si>
  <si>
    <t>Taung Myint</t>
  </si>
  <si>
    <t>Pi Pin Yin Monastery</t>
  </si>
  <si>
    <t>Aung Tat Ward (Aung Mingalar Monastery)</t>
  </si>
  <si>
    <t>Aung Tat Ward (Aung Zaydi Hpayar Thin)</t>
  </si>
  <si>
    <t>Aung Tat Ward (Dein Kyi Monastery)</t>
  </si>
  <si>
    <t>Aung Tat Ward (Myo Thit Monastery)</t>
  </si>
  <si>
    <t>Aung Tat Ward (Naratsar Hpayar Thin)</t>
  </si>
  <si>
    <t>Myet Yeik Kyun Monastery</t>
  </si>
  <si>
    <t>Tein Nyo</t>
  </si>
  <si>
    <t>Kyauk Reik Kay Monastery</t>
  </si>
  <si>
    <t>Nyaung Bin Hla Village</t>
  </si>
  <si>
    <t>Mya Yaike Kyun</t>
  </si>
  <si>
    <t>Ywar Thit Monastery/Pan Myaung</t>
  </si>
  <si>
    <t>Hpar Kywe Wa</t>
  </si>
  <si>
    <t>Kun Taung</t>
  </si>
  <si>
    <t>Taung Yin School Compound</t>
  </si>
  <si>
    <t>Ban Bwee</t>
  </si>
  <si>
    <t>Auk Myat Lay</t>
  </si>
  <si>
    <t>Let Wea Myan</t>
  </si>
  <si>
    <t>Nga/Pyauk Se</t>
  </si>
  <si>
    <t>Be Kho</t>
  </si>
  <si>
    <t>Nga Sin Rine Kine Primary School</t>
  </si>
  <si>
    <t>Hnget Pyaw Chaung</t>
  </si>
  <si>
    <t>Doke Kan Chaung Monastery</t>
  </si>
  <si>
    <t>Myo Thit Ward</t>
  </si>
  <si>
    <t>Paik Thei Ward</t>
  </si>
  <si>
    <t>Bo Min Monastery</t>
  </si>
  <si>
    <t>Aung Zay Ya Monastery</t>
  </si>
  <si>
    <t>Ba Ra War Monastery</t>
  </si>
  <si>
    <t>Kyar Nin Kan Monastery</t>
  </si>
  <si>
    <t>Zin Khar Chay Monastery</t>
  </si>
  <si>
    <t>Min Hla Kaing</t>
  </si>
  <si>
    <t>Zedi Pyin</t>
  </si>
  <si>
    <t>Yay Myet</t>
  </si>
  <si>
    <t>Phat Lake</t>
  </si>
  <si>
    <t>Aung Si Kone</t>
  </si>
  <si>
    <t>Ah Shae Myauk Quarter</t>
  </si>
  <si>
    <t>Tha Mee Hla</t>
  </si>
  <si>
    <t>Ray Zar Chaung</t>
  </si>
  <si>
    <t>Sin Khone Taing</t>
  </si>
  <si>
    <t>Gan Kya</t>
  </si>
  <si>
    <t>Ba Wan Chaung Wa Su Ward / Monastery</t>
  </si>
  <si>
    <t>MRCS, Others</t>
  </si>
  <si>
    <t>MRCS, UNICEF</t>
  </si>
  <si>
    <t>UNICEF/ACF, MRCS, Others</t>
  </si>
  <si>
    <t>MRCS, PLAN, RI, WVI, Others</t>
  </si>
  <si>
    <t>CARE, UNICEF</t>
  </si>
  <si>
    <t xml:space="preserve"> % Water GAP</t>
  </si>
  <si>
    <t xml:space="preserve"> % Sanitation GAP</t>
  </si>
  <si>
    <t xml:space="preserve"> % Hygiene Gap</t>
  </si>
  <si>
    <t xml:space="preserve">  % Hygiene Gap</t>
  </si>
  <si>
    <t xml:space="preserve"> % Water Coverage</t>
  </si>
  <si>
    <t xml:space="preserve">  % Sanitation GAP</t>
  </si>
  <si>
    <t xml:space="preserve">  % Sanitation Coverage</t>
  </si>
  <si>
    <t xml:space="preserve">  % Latrine Coverage</t>
  </si>
  <si>
    <t xml:space="preserve">  % Latrine GAP</t>
  </si>
  <si>
    <t xml:space="preserve"> % Latrine Coverage</t>
  </si>
  <si>
    <t xml:space="preserve">  % Hygiene Coverage</t>
  </si>
  <si>
    <t>Shaw Me (primary school)</t>
  </si>
  <si>
    <t>Tin Nyo (Primary school)</t>
  </si>
  <si>
    <t>MRCS, PLAN, RI,Others</t>
  </si>
  <si>
    <t>others</t>
  </si>
  <si>
    <t>MRCS,Others,UNICEF/ACF</t>
  </si>
  <si>
    <t>UNICEF,Others</t>
  </si>
  <si>
    <t>CARE,Others</t>
  </si>
  <si>
    <t>Others/ WVI</t>
  </si>
  <si>
    <t>Others,MRCS</t>
  </si>
  <si>
    <t>MRCS, ACF</t>
  </si>
  <si>
    <t xml:space="preserve">Shwe Thee </t>
  </si>
  <si>
    <t>BUT_Sa Par Htar</t>
  </si>
  <si>
    <t>War Taung Camp</t>
  </si>
  <si>
    <t>MMR012004701502</t>
  </si>
  <si>
    <t>MMR012004701505</t>
  </si>
  <si>
    <t>Auk Thar Kan</t>
  </si>
  <si>
    <t>MMR012003701505</t>
  </si>
  <si>
    <t>Htan Ma Rit (Kwet Thit)</t>
  </si>
  <si>
    <t>Mra_Zay Di Taung</t>
  </si>
  <si>
    <t>Sin Baw Kaing (Monastery)</t>
  </si>
  <si>
    <t>Sin Baw Kaing (School)</t>
  </si>
  <si>
    <t>Thit Pok Chaung</t>
  </si>
  <si>
    <t>Kyu Taw Chaing</t>
  </si>
  <si>
    <t>MMR012007701505</t>
  </si>
  <si>
    <t>Ah Htet Myat Hle</t>
  </si>
  <si>
    <t>Auk Myat Hle</t>
  </si>
  <si>
    <t>Yoe Ta Yoke</t>
  </si>
  <si>
    <t>Sin Thi Pein Hne Taw</t>
  </si>
  <si>
    <t>RAT_Zay Di Pyin</t>
  </si>
  <si>
    <t>Hpet Leik</t>
  </si>
  <si>
    <t>Aung Zay Kone</t>
  </si>
  <si>
    <t>Ah Shey (North) Ward</t>
  </si>
  <si>
    <t>MMR012008701503</t>
  </si>
  <si>
    <t>KAT_Nyaung Chaung</t>
  </si>
  <si>
    <t xml:space="preserve">Sum of Total PoP </t>
  </si>
  <si>
    <t>Ywa Thit</t>
  </si>
  <si>
    <t>Teik Tu Pauk</t>
  </si>
  <si>
    <t>Kan Thar Yar</t>
  </si>
  <si>
    <t>Shwe Baho+Sein P M</t>
  </si>
  <si>
    <t>Tat U Chaung (West)</t>
  </si>
  <si>
    <t>WVI</t>
  </si>
  <si>
    <t>Zay Di Taung (Rakhine)</t>
  </si>
  <si>
    <t>Bar Ri Zar</t>
  </si>
  <si>
    <t>Tat U Chaung</t>
  </si>
  <si>
    <t>Pyar Pyin Thein Tan</t>
  </si>
  <si>
    <t>Sum of #_Water sources tested for contamination2</t>
  </si>
  <si>
    <t>Count of #_Water sources tested for contamination</t>
  </si>
  <si>
    <t>Sum of #_Household water samples tested for contamination2</t>
  </si>
  <si>
    <t>Count of #_Household water samples tested for contamination</t>
  </si>
  <si>
    <t>Sum of #_Household received remediation action due to contamination</t>
  </si>
  <si>
    <t>Sum of #_Water sources treated</t>
  </si>
  <si>
    <t># Tested</t>
  </si>
  <si>
    <t xml:space="preserve"> # Treated</t>
  </si>
  <si>
    <t>No test</t>
  </si>
  <si>
    <t xml:space="preserve"> # Tested</t>
  </si>
  <si>
    <t xml:space="preserve"> # Household received remediation action</t>
  </si>
  <si>
    <t xml:space="preserve">RAKHINE STATE  (2019 - Qtr 1 - 4W Analysis, as of 31 March 2019) </t>
  </si>
  <si>
    <t xml:space="preserve">KACHIN STATE (2019 - Qtr 1 - 4W Analysis, as of 31 March 2019) </t>
  </si>
  <si>
    <t xml:space="preserve">NORTHERN SHAN STATE  (2019 - Qtr 1 - 4W Analysis, as of 31 March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</si>
</sst>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_(* #,##0_);_(* \(#,##0\);_(* &quot;-&quot;??_);_(@_)"/>
    <numFmt numFmtId="165" formatCode="[$-409]d\-mmm\-yy;@"/>
    <numFmt numFmtId="166" formatCode="[$-409]d/mmm/yy;@"/>
    <numFmt numFmtId="167" formatCode="yyyy/mm/dd"/>
    <numFmt numFmtId="168" formatCode="[$-409]d\-mmm\-yyyy;@"/>
  </numFmts>
  <fonts count="15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font>
    <font>
      <sz val="12"/>
      <color theme="1"/>
      <name val="Times New Roman"/>
      <family val="2"/>
    </font>
    <font>
      <sz val="11"/>
      <color theme="1"/>
      <name val="Calibri"/>
      <family val="2"/>
      <scheme val="minor"/>
    </font>
    <font>
      <b/>
      <sz val="9"/>
      <color indexed="81"/>
      <name val="Tahoma"/>
      <family val="2"/>
    </font>
    <font>
      <sz val="9"/>
      <color indexed="81"/>
      <name val="Tahoma"/>
      <family val="2"/>
    </font>
    <font>
      <b/>
      <sz val="10"/>
      <color rgb="FFFFFFFF"/>
      <name val="Corbel"/>
      <family val="2"/>
    </font>
    <font>
      <sz val="10"/>
      <color rgb="FF2C2C2C"/>
      <name val="Corbel"/>
      <family val="2"/>
    </font>
    <font>
      <b/>
      <sz val="12"/>
      <color theme="1"/>
      <name val="Gill Sans MT"/>
      <family val="2"/>
    </font>
    <font>
      <sz val="12"/>
      <color theme="1"/>
      <name val="Gill Sans MT"/>
      <family val="2"/>
    </font>
    <font>
      <b/>
      <sz val="10"/>
      <color rgb="FF2C2C2C"/>
      <name val="Corbel"/>
      <family val="2"/>
    </font>
    <font>
      <sz val="12"/>
      <color rgb="FF2C2C2C"/>
      <name val="Gill Sans MT"/>
      <family val="2"/>
    </font>
    <font>
      <b/>
      <sz val="11"/>
      <color theme="1"/>
      <name val="Calibri"/>
      <family val="2"/>
      <scheme val="minor"/>
    </font>
    <font>
      <sz val="10"/>
      <color theme="1"/>
      <name val="Corbel"/>
      <family val="2"/>
    </font>
    <font>
      <sz val="10"/>
      <name val="Corbel"/>
      <family val="2"/>
    </font>
    <font>
      <sz val="10"/>
      <color theme="1"/>
      <name val="Calibri"/>
      <family val="2"/>
      <scheme val="minor"/>
    </font>
    <font>
      <b/>
      <sz val="10"/>
      <name val="Corbel"/>
      <family val="2"/>
    </font>
    <font>
      <b/>
      <sz val="14"/>
      <color theme="0"/>
      <name val="Corbel"/>
      <family val="2"/>
    </font>
    <font>
      <sz val="12"/>
      <color theme="1"/>
      <name val="Corbel"/>
      <family val="2"/>
    </font>
    <font>
      <b/>
      <sz val="18"/>
      <color theme="0"/>
      <name val="Calibri"/>
      <family val="2"/>
      <scheme val="minor"/>
    </font>
    <font>
      <sz val="18"/>
      <color theme="0"/>
      <name val="Calibri"/>
      <family val="2"/>
    </font>
    <font>
      <b/>
      <sz val="18"/>
      <color theme="0"/>
      <name val="Calibri"/>
      <family val="2"/>
    </font>
    <font>
      <b/>
      <sz val="12"/>
      <color theme="0"/>
      <name val="Corbel"/>
      <family val="2"/>
    </font>
    <font>
      <sz val="12"/>
      <color theme="0"/>
      <name val="Corbel"/>
      <family val="2"/>
    </font>
    <font>
      <b/>
      <sz val="10"/>
      <color rgb="FFFF0000"/>
      <name val="Corbel"/>
      <family val="2"/>
    </font>
    <font>
      <b/>
      <sz val="11"/>
      <color theme="0"/>
      <name val="Corbel"/>
      <family val="2"/>
    </font>
    <font>
      <b/>
      <sz val="11"/>
      <color rgb="FFFF0000"/>
      <name val="Corbel"/>
      <family val="2"/>
    </font>
    <font>
      <b/>
      <sz val="12"/>
      <color theme="1"/>
      <name val="Times New Roman"/>
      <family val="1"/>
    </font>
    <font>
      <b/>
      <sz val="11"/>
      <color theme="9" tint="-0.499984740745262"/>
      <name val="Corbel"/>
      <family val="2"/>
    </font>
    <font>
      <sz val="10"/>
      <color indexed="8"/>
      <name val="Arial"/>
      <family val="2"/>
    </font>
    <font>
      <sz val="10"/>
      <color rgb="FF2C2C2C"/>
      <name val="Calibri"/>
      <family val="2"/>
      <scheme val="minor"/>
    </font>
    <font>
      <sz val="10"/>
      <color indexed="8"/>
      <name val="Calibri"/>
      <family val="2"/>
      <scheme val="minor"/>
    </font>
    <font>
      <b/>
      <sz val="10"/>
      <color theme="0" tint="-0.249977111117893"/>
      <name val="Corbel"/>
      <family val="2"/>
    </font>
    <font>
      <sz val="10"/>
      <color theme="0" tint="-0.249977111117893"/>
      <name val="Corbel"/>
      <family val="2"/>
    </font>
    <font>
      <sz val="11"/>
      <color rgb="FF006100"/>
      <name val="Calibri"/>
      <family val="2"/>
    </font>
    <font>
      <sz val="11"/>
      <color rgb="FF9C0006"/>
      <name val="Calibri"/>
      <family val="2"/>
    </font>
    <font>
      <b/>
      <sz val="11"/>
      <color rgb="FF006100"/>
      <name val="Calibri"/>
      <family val="2"/>
      <scheme val="minor"/>
    </font>
    <font>
      <b/>
      <sz val="11"/>
      <color rgb="FF9C0006"/>
      <name val="Calibri"/>
      <family val="2"/>
      <scheme val="minor"/>
    </font>
    <font>
      <b/>
      <sz val="15"/>
      <color theme="0"/>
      <name val="Corbel"/>
      <family val="2"/>
    </font>
    <font>
      <sz val="10"/>
      <color theme="4" tint="0.59999389629810485"/>
      <name val="Corbel"/>
      <family val="2"/>
    </font>
    <font>
      <sz val="10"/>
      <color theme="5" tint="0.79998168889431442"/>
      <name val="Corbel"/>
      <family val="2"/>
    </font>
    <font>
      <sz val="10"/>
      <color rgb="FF92D050"/>
      <name val="Corbel"/>
      <family val="2"/>
    </font>
    <font>
      <sz val="11"/>
      <color theme="4" tint="0.79998168889431442"/>
      <name val="Calibri"/>
      <family val="2"/>
      <scheme val="minor"/>
    </font>
    <font>
      <sz val="10"/>
      <color rgb="FFFF0000"/>
      <name val="Corbel"/>
      <family val="2"/>
    </font>
    <font>
      <sz val="11"/>
      <color theme="5" tint="0.79998168889431442"/>
      <name val="Calibri"/>
      <family val="2"/>
      <scheme val="minor"/>
    </font>
    <font>
      <sz val="11"/>
      <color theme="9" tint="0.79998168889431442"/>
      <name val="Calibri"/>
      <family val="2"/>
      <scheme val="minor"/>
    </font>
    <font>
      <sz val="9"/>
      <color theme="1"/>
      <name val="Corbel"/>
      <family val="2"/>
    </font>
    <font>
      <sz val="9"/>
      <color rgb="FF2C2C2C"/>
      <name val="Corbel"/>
      <family val="2"/>
    </font>
    <font>
      <sz val="9"/>
      <name val="Corbel"/>
      <family val="2"/>
    </font>
    <font>
      <sz val="12"/>
      <color theme="1"/>
      <name val="Calibri"/>
      <family val="2"/>
      <scheme val="minor"/>
    </font>
    <font>
      <b/>
      <sz val="12"/>
      <color theme="1"/>
      <name val="Calibri"/>
      <family val="2"/>
      <scheme val="minor"/>
    </font>
    <font>
      <b/>
      <sz val="15"/>
      <color theme="3"/>
      <name val="Calibri"/>
      <family val="2"/>
      <scheme val="minor"/>
    </font>
    <font>
      <sz val="14"/>
      <color theme="1"/>
      <name val="Calibri"/>
      <family val="2"/>
      <scheme val="minor"/>
    </font>
    <font>
      <b/>
      <sz val="20"/>
      <color theme="0"/>
      <name val="Corbel"/>
      <family val="2"/>
    </font>
    <font>
      <sz val="10"/>
      <name val="Calibri"/>
      <family val="2"/>
      <scheme val="minor"/>
    </font>
    <font>
      <sz val="12"/>
      <color theme="0"/>
      <name val="Calibri"/>
      <family val="2"/>
      <scheme val="minor"/>
    </font>
    <font>
      <sz val="12"/>
      <color rgb="FF2C2C2C"/>
      <name val="Calibri"/>
      <family val="2"/>
      <scheme val="minor"/>
    </font>
    <font>
      <b/>
      <sz val="12"/>
      <color rgb="FF000000"/>
      <name val="Calibri"/>
      <family val="2"/>
      <scheme val="minor"/>
    </font>
    <font>
      <b/>
      <sz val="12"/>
      <color rgb="FFFF0000"/>
      <name val="Calibri"/>
      <family val="2"/>
      <scheme val="minor"/>
    </font>
    <font>
      <b/>
      <sz val="14"/>
      <color theme="1"/>
      <name val="Calibri"/>
      <family val="2"/>
      <scheme val="minor"/>
    </font>
    <font>
      <b/>
      <sz val="20"/>
      <color theme="0"/>
      <name val="Calibri"/>
      <family val="2"/>
      <scheme val="minor"/>
    </font>
    <font>
      <b/>
      <sz val="14"/>
      <color theme="0"/>
      <name val="Calibri"/>
      <family val="2"/>
      <scheme val="minor"/>
    </font>
    <font>
      <b/>
      <sz val="11"/>
      <color theme="0"/>
      <name val="Calibri"/>
      <family val="2"/>
      <scheme val="minor"/>
    </font>
    <font>
      <sz val="11"/>
      <color theme="1"/>
      <name val="Times New Roman"/>
      <family val="2"/>
    </font>
    <font>
      <sz val="11"/>
      <color theme="4" tint="-0.249977111117893"/>
      <name val="Calibri"/>
      <family val="2"/>
      <scheme val="minor"/>
    </font>
    <font>
      <sz val="11"/>
      <color theme="5" tint="-0.249977111117893"/>
      <name val="Calibri"/>
      <family val="2"/>
      <scheme val="minor"/>
    </font>
    <font>
      <sz val="11"/>
      <color theme="0"/>
      <name val="Calibri"/>
      <family val="2"/>
      <scheme val="minor"/>
    </font>
    <font>
      <b/>
      <sz val="10"/>
      <color theme="1"/>
      <name val="Calibri"/>
      <family val="2"/>
      <scheme val="minor"/>
    </font>
    <font>
      <b/>
      <i/>
      <sz val="11"/>
      <color theme="1"/>
      <name val="Calibri"/>
      <family val="2"/>
      <scheme val="minor"/>
    </font>
    <font>
      <b/>
      <sz val="12"/>
      <color theme="0"/>
      <name val="Calibri"/>
      <family val="2"/>
      <scheme val="minor"/>
    </font>
    <font>
      <sz val="10"/>
      <color theme="1"/>
      <name val="Calibri"/>
      <family val="2"/>
      <scheme val="minor"/>
    </font>
    <font>
      <sz val="11"/>
      <color indexed="8"/>
      <name val="Calibri"/>
      <family val="2"/>
      <scheme val="minor"/>
    </font>
    <font>
      <b/>
      <sz val="12"/>
      <color rgb="FFFF0000"/>
      <name val="Corbel"/>
      <family val="2"/>
    </font>
    <font>
      <b/>
      <sz val="11"/>
      <color theme="5"/>
      <name val="Corbel"/>
      <family val="2"/>
    </font>
    <font>
      <b/>
      <sz val="12"/>
      <color theme="1"/>
      <name val="Times New Roman"/>
      <family val="2"/>
    </font>
    <font>
      <sz val="11"/>
      <color theme="1"/>
      <name val="Calibri"/>
      <family val="2"/>
      <scheme val="minor"/>
    </font>
    <font>
      <sz val="10"/>
      <color theme="1"/>
      <name val="Calibri"/>
      <family val="2"/>
      <scheme val="minor"/>
    </font>
    <font>
      <b/>
      <sz val="16"/>
      <color theme="0"/>
      <name val="Calibri"/>
      <family val="2"/>
      <scheme val="minor"/>
    </font>
    <font>
      <sz val="11"/>
      <name val="Calibri"/>
      <family val="2"/>
      <scheme val="minor"/>
    </font>
    <font>
      <b/>
      <i/>
      <u/>
      <sz val="11"/>
      <color theme="1"/>
      <name val="Calibri"/>
      <family val="2"/>
      <scheme val="minor"/>
    </font>
    <font>
      <sz val="10"/>
      <color theme="1"/>
      <name val="Calibri"/>
      <family val="2"/>
      <scheme val="minor"/>
    </font>
    <font>
      <sz val="10"/>
      <color theme="1"/>
      <name val="Calibri"/>
      <family val="2"/>
      <scheme val="minor"/>
    </font>
    <font>
      <b/>
      <sz val="10"/>
      <color theme="0"/>
      <name val="Calibri"/>
      <family val="2"/>
      <scheme val="minor"/>
    </font>
    <font>
      <b/>
      <u/>
      <sz val="10"/>
      <color rgb="FFFF0000"/>
      <name val="Corbel"/>
      <family val="2"/>
    </font>
    <font>
      <b/>
      <sz val="12"/>
      <color rgb="FF2C2C2C"/>
      <name val="Gill Sans MT"/>
      <family val="2"/>
    </font>
    <font>
      <sz val="9"/>
      <name val="zawgyi1"/>
      <family val="2"/>
    </font>
    <font>
      <sz val="9"/>
      <color theme="0"/>
      <name val="Corbel"/>
      <family val="2"/>
    </font>
    <font>
      <b/>
      <sz val="12"/>
      <color rgb="FFFFFFFF"/>
      <name val="Corbel"/>
      <family val="2"/>
    </font>
    <font>
      <sz val="10"/>
      <name val="zawgyi1"/>
      <family val="2"/>
    </font>
    <font>
      <sz val="10"/>
      <name val="Zawgyi-One"/>
      <family val="2"/>
    </font>
    <font>
      <sz val="9"/>
      <name val="Zawgyi-One"/>
      <family val="2"/>
    </font>
    <font>
      <b/>
      <sz val="10"/>
      <name val="Zawgyi-One"/>
      <family val="2"/>
    </font>
    <font>
      <sz val="8"/>
      <color theme="1"/>
      <name val="zawgyi1"/>
      <family val="2"/>
    </font>
    <font>
      <b/>
      <sz val="8"/>
      <color theme="0"/>
      <name val="zawgyi1"/>
      <family val="2"/>
    </font>
    <font>
      <b/>
      <sz val="8"/>
      <name val="zawgyi1"/>
      <family val="2"/>
    </font>
    <font>
      <b/>
      <sz val="10"/>
      <name val="Crobel"/>
    </font>
    <font>
      <sz val="10"/>
      <name val="Crobel"/>
    </font>
    <font>
      <b/>
      <sz val="10"/>
      <color theme="0"/>
      <name val="Crobel"/>
    </font>
    <font>
      <b/>
      <sz val="10"/>
      <color rgb="FFFF0000"/>
      <name val="Crobel"/>
    </font>
    <font>
      <b/>
      <sz val="10"/>
      <color theme="5" tint="-0.249977111117893"/>
      <name val="Crobel"/>
    </font>
    <font>
      <b/>
      <sz val="10"/>
      <color rgb="FF00B050"/>
      <name val="Crobel"/>
    </font>
    <font>
      <b/>
      <sz val="10"/>
      <color rgb="FFFFC000"/>
      <name val="Crobel"/>
    </font>
    <font>
      <b/>
      <sz val="10"/>
      <color theme="9" tint="-0.499984740745262"/>
      <name val="Crobel"/>
    </font>
    <font>
      <sz val="10"/>
      <color theme="1"/>
      <name val="Crobel"/>
    </font>
    <font>
      <sz val="18"/>
      <name val="Corbel"/>
      <family val="2"/>
    </font>
    <font>
      <sz val="11"/>
      <name val="Calibri"/>
      <family val="2"/>
    </font>
    <font>
      <b/>
      <sz val="11"/>
      <name val="Calibri"/>
      <family val="2"/>
      <scheme val="minor"/>
    </font>
    <font>
      <b/>
      <sz val="15"/>
      <name val="Corbel"/>
      <family val="2"/>
    </font>
    <font>
      <sz val="18"/>
      <name val="zawgyi1"/>
      <family val="2"/>
    </font>
    <font>
      <sz val="11"/>
      <name val="zawgyi1"/>
      <family val="2"/>
    </font>
    <font>
      <sz val="8"/>
      <color rgb="FF2C2C2C"/>
      <name val="Zawgyi-One"/>
      <family val="2"/>
    </font>
    <font>
      <sz val="8"/>
      <name val="Zawgyi-One"/>
      <family val="2"/>
    </font>
    <font>
      <sz val="8"/>
      <color theme="1"/>
      <name val="Zawgyi-One"/>
      <family val="2"/>
    </font>
    <font>
      <b/>
      <sz val="10"/>
      <color theme="0"/>
      <name val="Corbel"/>
      <family val="2"/>
    </font>
    <font>
      <b/>
      <sz val="10"/>
      <color rgb="FF0070C0"/>
      <name val="Crobel"/>
    </font>
    <font>
      <b/>
      <sz val="14"/>
      <color theme="0"/>
      <name val="zawgyi1"/>
      <family val="2"/>
    </font>
    <font>
      <b/>
      <sz val="14"/>
      <color rgb="FFFFC000"/>
      <name val="zawgyi1"/>
      <family val="2"/>
    </font>
    <font>
      <sz val="10"/>
      <color rgb="FF2C2C2C"/>
      <name val="Corbel"/>
      <family val="2"/>
    </font>
    <font>
      <sz val="10"/>
      <color rgb="FF2C2C2C"/>
      <name val="Zawgyi-One"/>
      <family val="2"/>
    </font>
    <font>
      <sz val="10"/>
      <color rgb="FF2C2C2C"/>
      <name val="zawgyi1"/>
      <family val="2"/>
    </font>
    <font>
      <sz val="12"/>
      <color theme="0"/>
      <name val="Times New Roman"/>
      <family val="2"/>
    </font>
    <font>
      <sz val="12"/>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5"/>
      <name val="Crobel"/>
    </font>
    <font>
      <sz val="10"/>
      <color theme="1"/>
      <name val="Calibri"/>
      <family val="2"/>
      <scheme val="minor"/>
    </font>
    <font>
      <sz val="10"/>
      <color rgb="FF2C2C2C"/>
      <name val="Corbel"/>
      <family val="2"/>
    </font>
    <font>
      <sz val="11"/>
      <color theme="1"/>
      <name val="Calibri"/>
      <family val="2"/>
      <scheme val="minor"/>
    </font>
    <font>
      <sz val="10"/>
      <color rgb="FF2C2C2C"/>
      <name val="Corbel"/>
    </font>
    <font>
      <sz val="9"/>
      <color indexed="81"/>
      <name val="Tahoma"/>
    </font>
    <font>
      <b/>
      <sz val="9"/>
      <color indexed="81"/>
      <name val="Tahoma"/>
    </font>
    <font>
      <sz val="10"/>
      <color indexed="8"/>
      <name val="Corbel"/>
      <family val="2"/>
    </font>
    <font>
      <sz val="12"/>
      <color theme="1"/>
      <name val="Calibri"/>
      <scheme val="minor"/>
    </font>
    <font>
      <sz val="12"/>
      <color theme="0"/>
      <name val="Calibri"/>
      <scheme val="minor"/>
    </font>
    <font>
      <b/>
      <sz val="12"/>
      <color theme="0"/>
      <name val="Calibri"/>
      <scheme val="minor"/>
    </font>
    <font>
      <sz val="12"/>
      <name val="Calibri"/>
      <scheme val="minor"/>
    </font>
    <font>
      <sz val="11"/>
      <color theme="1"/>
      <name val="Calibri"/>
      <scheme val="minor"/>
    </font>
    <font>
      <b/>
      <sz val="11"/>
      <color theme="0"/>
      <name val="Calibri"/>
      <scheme val="minor"/>
    </font>
  </fonts>
  <fills count="52">
    <fill>
      <patternFill patternType="none"/>
    </fill>
    <fill>
      <patternFill patternType="gray125"/>
    </fill>
    <fill>
      <patternFill patternType="solid">
        <fgColor rgb="FFFFC000"/>
        <bgColor indexed="64"/>
      </patternFill>
    </fill>
    <fill>
      <patternFill patternType="solid">
        <fgColor rgb="FFFFE8CB"/>
        <bgColor indexed="64"/>
      </patternFill>
    </fill>
    <fill>
      <patternFill patternType="solid">
        <fgColor rgb="FFFFF4E7"/>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6"/>
        <bgColor indexed="64"/>
      </patternFill>
    </fill>
    <fill>
      <patternFill patternType="solid">
        <fgColor theme="2" tint="-0.249977111117893"/>
        <bgColor indexed="64"/>
      </patternFill>
    </fill>
    <fill>
      <patternFill patternType="solid">
        <fgColor theme="8"/>
        <bgColor indexed="64"/>
      </patternFill>
    </fill>
    <fill>
      <patternFill patternType="solid">
        <fgColor rgb="FFC6EFCE"/>
      </patternFill>
    </fill>
    <fill>
      <patternFill patternType="solid">
        <fgColor rgb="FFFFC7CE"/>
      </patternFill>
    </fill>
    <fill>
      <patternFill patternType="solid">
        <fgColor theme="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rgb="FFD4E8C6"/>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85C2FF"/>
        <bgColor indexed="64"/>
      </patternFill>
    </fill>
    <fill>
      <patternFill patternType="solid">
        <fgColor theme="7" tint="0.39997558519241921"/>
        <bgColor indexed="64"/>
      </patternFill>
    </fill>
    <fill>
      <patternFill patternType="solid">
        <fgColor theme="4"/>
        <bgColor theme="4"/>
      </patternFill>
    </fill>
    <fill>
      <patternFill patternType="solid">
        <fgColor theme="9" tint="-0.499984740745262"/>
        <bgColor indexed="64"/>
      </patternFill>
    </fill>
    <fill>
      <patternFill patternType="solid">
        <fgColor theme="0" tint="-0.34998626667073579"/>
        <bgColor indexed="64"/>
      </patternFill>
    </fill>
    <fill>
      <patternFill patternType="solid">
        <fgColor rgb="FFFF898C"/>
        <bgColor indexed="64"/>
      </patternFill>
    </fill>
    <fill>
      <patternFill patternType="solid">
        <fgColor theme="5" tint="-0.249977111117893"/>
        <bgColor theme="5" tint="-0.249977111117893"/>
      </patternFill>
    </fill>
    <fill>
      <patternFill patternType="solid">
        <fgColor rgb="FF002060"/>
        <bgColor indexed="64"/>
      </patternFill>
    </fill>
    <fill>
      <patternFill patternType="solid">
        <fgColor rgb="FF098A9B"/>
        <bgColor indexed="64"/>
      </patternFill>
    </fill>
    <fill>
      <patternFill patternType="solid">
        <fgColor rgb="FFFFFF00"/>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2" tint="-0.89999084444715716"/>
        <bgColor indexed="64"/>
      </patternFill>
    </fill>
    <fill>
      <patternFill patternType="solid">
        <fgColor theme="0" tint="-0.499984740745262"/>
        <bgColor indexed="64"/>
      </patternFill>
    </fill>
    <fill>
      <patternFill patternType="solid">
        <fgColor rgb="FF0070C0"/>
        <bgColor theme="9" tint="-0.499984740745262"/>
      </patternFill>
    </fill>
    <fill>
      <patternFill patternType="solid">
        <fgColor theme="9" tint="-0.499984740745262"/>
        <bgColor theme="9" tint="-0.499984740745262"/>
      </patternFill>
    </fill>
    <fill>
      <patternFill patternType="solid">
        <fgColor rgb="FF0070C0"/>
        <bgColor theme="9" tint="-0.249977111117893"/>
      </patternFill>
    </fill>
    <fill>
      <patternFill patternType="solid">
        <fgColor rgb="FF0070C0"/>
        <bgColor theme="5" tint="-0.249977111117893"/>
      </patternFill>
    </fill>
    <fill>
      <patternFill patternType="solid">
        <fgColor theme="8" tint="0.79998168889431442"/>
        <bgColor theme="8" tint="0.79998168889431442"/>
      </patternFill>
    </fill>
  </fills>
  <borders count="157">
    <border>
      <left/>
      <right/>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rgb="FFFFFFFF"/>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style="medium">
        <color rgb="FFFFFFFF"/>
      </left>
      <right/>
      <top style="medium">
        <color rgb="FFFFFFFF"/>
      </top>
      <bottom style="medium">
        <color rgb="FFFFFFFF"/>
      </bottom>
      <diagonal/>
    </border>
    <border>
      <left style="medium">
        <color rgb="FFFFFFFF"/>
      </left>
      <right style="medium">
        <color rgb="FFFFFFFF"/>
      </right>
      <top style="thick">
        <color rgb="FFFFFFFF"/>
      </top>
      <bottom/>
      <diagonal/>
    </border>
    <border>
      <left style="thin">
        <color indexed="22"/>
      </left>
      <right style="thin">
        <color indexed="22"/>
      </right>
      <top style="thin">
        <color indexed="22"/>
      </top>
      <bottom style="thin">
        <color indexed="22"/>
      </bottom>
      <diagonal/>
    </border>
    <border>
      <left style="medium">
        <color rgb="FFFFFFFF"/>
      </left>
      <right style="medium">
        <color rgb="FFFFFFFF"/>
      </right>
      <top/>
      <bottom/>
      <diagonal/>
    </border>
    <border>
      <left/>
      <right/>
      <top style="thick">
        <color rgb="FFFFFFFF"/>
      </top>
      <bottom/>
      <diagonal/>
    </border>
    <border>
      <left/>
      <right style="medium">
        <color rgb="FFFFFFFF"/>
      </right>
      <top style="thick">
        <color rgb="FFFFFFFF"/>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4"/>
      </left>
      <right style="thin">
        <color theme="4"/>
      </right>
      <top style="thin">
        <color theme="4"/>
      </top>
      <bottom style="thin">
        <color theme="4"/>
      </bottom>
      <diagonal/>
    </border>
    <border>
      <left style="thin">
        <color indexed="64"/>
      </left>
      <right/>
      <top style="thin">
        <color indexed="64"/>
      </top>
      <bottom style="thin">
        <color indexed="64"/>
      </bottom>
      <diagonal/>
    </border>
    <border>
      <left style="thin">
        <color theme="7" tint="-0.249977111117893"/>
      </left>
      <right style="thin">
        <color theme="7" tint="-0.249977111117893"/>
      </right>
      <top style="thin">
        <color theme="7" tint="-0.249977111117893"/>
      </top>
      <bottom style="thin">
        <color theme="7" tint="-0.24997711111789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thin">
        <color theme="4" tint="0.39997558519241921"/>
      </bottom>
      <diagonal/>
    </border>
    <border>
      <left/>
      <right/>
      <top/>
      <bottom style="thick">
        <color theme="4"/>
      </bottom>
      <diagonal/>
    </border>
    <border>
      <left style="thin">
        <color theme="8"/>
      </left>
      <right style="thin">
        <color theme="8"/>
      </right>
      <top style="thin">
        <color theme="8"/>
      </top>
      <bottom style="thin">
        <color theme="8"/>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right/>
      <top/>
      <bottom style="thin">
        <color theme="4"/>
      </bottom>
      <diagonal/>
    </border>
    <border>
      <left style="medium">
        <color theme="4"/>
      </left>
      <right style="thin">
        <color theme="4"/>
      </right>
      <top style="medium">
        <color theme="4"/>
      </top>
      <bottom style="medium">
        <color theme="4"/>
      </bottom>
      <diagonal/>
    </border>
    <border>
      <left style="thin">
        <color theme="4"/>
      </left>
      <right style="thin">
        <color theme="4"/>
      </right>
      <top/>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n">
        <color theme="4" tint="0.59999389629810485"/>
      </left>
      <right style="thin">
        <color theme="4"/>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39994506668294322"/>
      </left>
      <right style="thin">
        <color theme="4" tint="0.39994506668294322"/>
      </right>
      <top/>
      <bottom/>
      <diagonal/>
    </border>
    <border>
      <left style="thin">
        <color theme="4" tint="0.39994506668294322"/>
      </left>
      <right style="thin">
        <color theme="4"/>
      </right>
      <top/>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top style="thin">
        <color theme="5" tint="0.59996337778862885"/>
      </top>
      <bottom style="thin">
        <color theme="5" tint="0.59996337778862885"/>
      </bottom>
      <diagonal/>
    </border>
    <border>
      <left style="thin">
        <color theme="5" tint="0.59996337778862885"/>
      </left>
      <right/>
      <top style="thin">
        <color theme="5" tint="0.59996337778862885"/>
      </top>
      <bottom/>
      <diagonal/>
    </border>
    <border>
      <left style="thin">
        <color theme="5"/>
      </left>
      <right style="thin">
        <color theme="5"/>
      </right>
      <top/>
      <bottom/>
      <diagonal/>
    </border>
    <border>
      <left style="thin">
        <color theme="5" tint="0.59996337778862885"/>
      </left>
      <right style="thin">
        <color theme="5" tint="0.59996337778862885"/>
      </right>
      <top style="medium">
        <color theme="5" tint="0.59996337778862885"/>
      </top>
      <bottom style="thin">
        <color theme="5" tint="0.59996337778862885"/>
      </bottom>
      <diagonal/>
    </border>
    <border>
      <left style="thin">
        <color theme="5" tint="0.59996337778862885"/>
      </left>
      <right style="medium">
        <color theme="5" tint="0.59996337778862885"/>
      </right>
      <top style="medium">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theme="5" tint="0.59996337778862885"/>
      </right>
      <top style="thin">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medium">
        <color theme="5" tint="0.59996337778862885"/>
      </bottom>
      <diagonal/>
    </border>
    <border>
      <left style="thin">
        <color theme="5" tint="0.59996337778862885"/>
      </left>
      <right style="thin">
        <color theme="5" tint="0.59996337778862885"/>
      </right>
      <top style="thin">
        <color theme="5" tint="0.59996337778862885"/>
      </top>
      <bottom style="medium">
        <color theme="5" tint="0.59996337778862885"/>
      </bottom>
      <diagonal/>
    </border>
    <border>
      <left style="thin">
        <color theme="5" tint="0.59996337778862885"/>
      </left>
      <right style="medium">
        <color theme="5" tint="0.59996337778862885"/>
      </right>
      <top style="thin">
        <color theme="5" tint="0.59996337778862885"/>
      </top>
      <bottom style="medium">
        <color theme="5" tint="0.59996337778862885"/>
      </bottom>
      <diagonal/>
    </border>
    <border>
      <left/>
      <right style="thin">
        <color theme="4" tint="0.39997558519241921"/>
      </right>
      <top/>
      <bottom/>
      <diagonal/>
    </border>
    <border>
      <left/>
      <right/>
      <top style="thin">
        <color theme="5" tint="0.79998168889431442"/>
      </top>
      <bottom style="thin">
        <color theme="5" tint="0.79998168889431442"/>
      </bottom>
      <diagonal/>
    </border>
    <border>
      <left style="thin">
        <color theme="5"/>
      </left>
      <right style="thin">
        <color theme="5"/>
      </right>
      <top style="thin">
        <color theme="5"/>
      </top>
      <bottom style="thin">
        <color theme="5"/>
      </bottom>
      <diagonal/>
    </border>
    <border>
      <left/>
      <right/>
      <top style="thin">
        <color theme="5" tint="-0.249977111117893"/>
      </top>
      <bottom style="thin">
        <color theme="5" tint="0.79998168889431442"/>
      </bottom>
      <diagonal/>
    </border>
    <border>
      <left/>
      <right/>
      <top style="thin">
        <color theme="5" tint="-0.249977111117893"/>
      </top>
      <bottom style="thin">
        <color theme="5" tint="0.59999389629810485"/>
      </bottom>
      <diagonal/>
    </border>
    <border>
      <left/>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79998168889431442"/>
      </top>
      <bottom style="thin">
        <color theme="5" tint="0.79998168889431442"/>
      </bottom>
      <diagonal/>
    </border>
    <border>
      <left style="thin">
        <color theme="4"/>
      </left>
      <right style="thin">
        <color theme="4"/>
      </right>
      <top/>
      <bottom style="thin">
        <color theme="4"/>
      </bottom>
      <diagonal/>
    </border>
    <border>
      <left style="thin">
        <color indexed="64"/>
      </left>
      <right/>
      <top/>
      <bottom style="thin">
        <color theme="7" tint="-0.249977111117893"/>
      </bottom>
      <diagonal/>
    </border>
    <border>
      <left/>
      <right/>
      <top/>
      <bottom style="thin">
        <color theme="7" tint="-0.249977111117893"/>
      </bottom>
      <diagonal/>
    </border>
    <border>
      <left style="thin">
        <color theme="7" tint="-0.249977111117893"/>
      </left>
      <right/>
      <top style="thin">
        <color indexed="64"/>
      </top>
      <bottom style="thin">
        <color theme="7" tint="-0.249977111117893"/>
      </bottom>
      <diagonal/>
    </border>
    <border>
      <left/>
      <right/>
      <top style="thin">
        <color indexed="64"/>
      </top>
      <bottom style="thin">
        <color theme="7" tint="-0.249977111117893"/>
      </bottom>
      <diagonal/>
    </border>
    <border>
      <left style="thin">
        <color theme="7" tint="-0.249977111117893"/>
      </left>
      <right/>
      <top/>
      <bottom style="thin">
        <color theme="7" tint="-0.249977111117893"/>
      </bottom>
      <diagonal/>
    </border>
    <border>
      <left style="thin">
        <color theme="4"/>
      </left>
      <right style="thin">
        <color theme="4"/>
      </right>
      <top style="thin">
        <color theme="4"/>
      </top>
      <bottom/>
      <diagonal/>
    </border>
    <border>
      <left/>
      <right style="thin">
        <color theme="4"/>
      </right>
      <top/>
      <bottom style="thin">
        <color theme="4"/>
      </bottom>
      <diagonal/>
    </border>
    <border>
      <left style="thin">
        <color theme="4"/>
      </left>
      <right/>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diagonal/>
    </border>
    <border>
      <left style="thin">
        <color theme="4"/>
      </left>
      <right/>
      <top style="thin">
        <color theme="4"/>
      </top>
      <bottom/>
      <diagonal/>
    </border>
    <border>
      <left/>
      <right style="thin">
        <color theme="4"/>
      </right>
      <top style="double">
        <color theme="4"/>
      </top>
      <bottom/>
      <diagonal/>
    </border>
    <border>
      <left style="thin">
        <color theme="4"/>
      </left>
      <right style="thin">
        <color theme="4"/>
      </right>
      <top style="double">
        <color theme="4"/>
      </top>
      <bottom/>
      <diagonal/>
    </border>
    <border>
      <left/>
      <right style="thin">
        <color theme="8"/>
      </right>
      <top style="thin">
        <color theme="8"/>
      </top>
      <bottom style="thin">
        <color theme="8"/>
      </bottom>
      <diagonal/>
    </border>
    <border>
      <left style="thin">
        <color theme="8"/>
      </left>
      <right/>
      <top style="thin">
        <color theme="8"/>
      </top>
      <bottom style="thin">
        <color theme="8"/>
      </bottom>
      <diagonal/>
    </border>
    <border>
      <left/>
      <right style="thin">
        <color theme="8"/>
      </right>
      <top style="double">
        <color theme="8"/>
      </top>
      <bottom/>
      <diagonal/>
    </border>
    <border>
      <left style="thin">
        <color theme="8"/>
      </left>
      <right style="thin">
        <color theme="8"/>
      </right>
      <top style="double">
        <color theme="8"/>
      </top>
      <bottom/>
      <diagonal/>
    </border>
    <border>
      <left style="thin">
        <color theme="8"/>
      </left>
      <right/>
      <top style="double">
        <color theme="8"/>
      </top>
      <bottom/>
      <diagonal/>
    </border>
    <border>
      <left style="thin">
        <color theme="8"/>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style="thin">
        <color theme="8"/>
      </right>
      <top/>
      <bottom style="thin">
        <color theme="8"/>
      </bottom>
      <diagonal/>
    </border>
    <border>
      <left style="thin">
        <color theme="8"/>
      </left>
      <right style="thin">
        <color theme="8"/>
      </right>
      <top/>
      <bottom style="thin">
        <color theme="8"/>
      </bottom>
      <diagonal/>
    </border>
    <border>
      <left style="thin">
        <color theme="8"/>
      </left>
      <right style="thin">
        <color theme="8"/>
      </right>
      <top style="thin">
        <color theme="8"/>
      </top>
      <bottom/>
      <diagonal/>
    </border>
    <border>
      <left style="thin">
        <color theme="4"/>
      </left>
      <right/>
      <top style="double">
        <color theme="4"/>
      </top>
      <bottom/>
      <diagonal/>
    </border>
    <border>
      <left/>
      <right/>
      <top style="double">
        <color theme="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medium">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style="medium">
        <color theme="0"/>
      </left>
      <right/>
      <top/>
      <bottom style="medium">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rgb="FFFF0000"/>
      </left>
      <right style="thin">
        <color theme="0"/>
      </right>
      <top style="medium">
        <color rgb="FFFF0000"/>
      </top>
      <bottom style="thin">
        <color theme="0"/>
      </bottom>
      <diagonal/>
    </border>
    <border>
      <left style="thin">
        <color theme="0"/>
      </left>
      <right style="thin">
        <color theme="0"/>
      </right>
      <top style="medium">
        <color rgb="FFFF0000"/>
      </top>
      <bottom style="thin">
        <color theme="0"/>
      </bottom>
      <diagonal/>
    </border>
    <border>
      <left style="thin">
        <color theme="0"/>
      </left>
      <right style="medium">
        <color rgb="FFFF0000"/>
      </right>
      <top style="medium">
        <color rgb="FFFF0000"/>
      </top>
      <bottom style="thin">
        <color theme="0"/>
      </bottom>
      <diagonal/>
    </border>
    <border>
      <left style="medium">
        <color rgb="FFFF0000"/>
      </left>
      <right style="thin">
        <color theme="0"/>
      </right>
      <top style="thin">
        <color theme="0"/>
      </top>
      <bottom style="thin">
        <color theme="0"/>
      </bottom>
      <diagonal/>
    </border>
    <border>
      <left style="thin">
        <color theme="0"/>
      </left>
      <right style="medium">
        <color rgb="FFFF0000"/>
      </right>
      <top style="thin">
        <color theme="0"/>
      </top>
      <bottom style="thin">
        <color theme="0"/>
      </bottom>
      <diagonal/>
    </border>
    <border>
      <left style="medium">
        <color rgb="FFFF0000"/>
      </left>
      <right style="thin">
        <color theme="0"/>
      </right>
      <top style="thin">
        <color theme="0"/>
      </top>
      <bottom style="medium">
        <color rgb="FFFF0000"/>
      </bottom>
      <diagonal/>
    </border>
    <border>
      <left style="thin">
        <color theme="0"/>
      </left>
      <right style="thin">
        <color theme="0"/>
      </right>
      <top style="thin">
        <color theme="0"/>
      </top>
      <bottom style="medium">
        <color rgb="FFFF0000"/>
      </bottom>
      <diagonal/>
    </border>
    <border>
      <left style="thin">
        <color theme="0"/>
      </left>
      <right style="medium">
        <color rgb="FFFF0000"/>
      </right>
      <top style="thin">
        <color theme="0"/>
      </top>
      <bottom style="medium">
        <color rgb="FFFF0000"/>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medium">
        <color rgb="FFFF0000"/>
      </left>
      <right style="thin">
        <color theme="0"/>
      </right>
      <top style="medium">
        <color theme="0"/>
      </top>
      <bottom style="thin">
        <color theme="0"/>
      </bottom>
      <diagonal/>
    </border>
    <border>
      <left style="medium">
        <color rgb="FFFF0000"/>
      </left>
      <right style="thin">
        <color theme="0"/>
      </right>
      <top style="thin">
        <color theme="0"/>
      </top>
      <bottom/>
      <diagonal/>
    </border>
    <border>
      <left style="medium">
        <color rgb="FFFF0000"/>
      </left>
      <right/>
      <top style="thin">
        <color theme="0"/>
      </top>
      <bottom/>
      <diagonal/>
    </border>
    <border>
      <left/>
      <right style="medium">
        <color rgb="FFFF0000"/>
      </right>
      <top style="thin">
        <color theme="0"/>
      </top>
      <bottom/>
      <diagonal/>
    </border>
    <border>
      <left style="medium">
        <color rgb="FFFF0000"/>
      </left>
      <right/>
      <top/>
      <bottom style="thin">
        <color theme="0"/>
      </bottom>
      <diagonal/>
    </border>
    <border>
      <left/>
      <right style="medium">
        <color rgb="FFFF0000"/>
      </right>
      <top/>
      <bottom style="thin">
        <color theme="0"/>
      </bottom>
      <diagonal/>
    </border>
    <border>
      <left style="thin">
        <color theme="0"/>
      </left>
      <right style="medium">
        <color rgb="FFFF0000"/>
      </right>
      <top style="thin">
        <color theme="0"/>
      </top>
      <bottom/>
      <diagonal/>
    </border>
    <border>
      <left style="thin">
        <color theme="0"/>
      </left>
      <right style="medium">
        <color rgb="FFFF0000"/>
      </right>
      <top/>
      <bottom style="thin">
        <color theme="0"/>
      </bottom>
      <diagonal/>
    </border>
    <border>
      <left style="thin">
        <color theme="0"/>
      </left>
      <right/>
      <top style="medium">
        <color theme="0"/>
      </top>
      <bottom style="thin">
        <color theme="0"/>
      </bottom>
      <diagonal/>
    </border>
    <border>
      <left/>
      <right/>
      <top style="thin">
        <color theme="0"/>
      </top>
      <bottom/>
      <diagonal/>
    </border>
    <border>
      <left/>
      <right/>
      <top/>
      <bottom style="thin">
        <color theme="0"/>
      </bottom>
      <diagonal/>
    </border>
    <border>
      <left style="medium">
        <color rgb="FFFF0000"/>
      </left>
      <right style="medium">
        <color rgb="FFFF0000"/>
      </right>
      <top style="medium">
        <color rgb="FFFF0000"/>
      </top>
      <bottom style="thin">
        <color theme="0"/>
      </bottom>
      <diagonal/>
    </border>
    <border>
      <left style="medium">
        <color rgb="FFFF0000"/>
      </left>
      <right style="medium">
        <color rgb="FFFF0000"/>
      </right>
      <top style="thin">
        <color theme="0"/>
      </top>
      <bottom style="thin">
        <color theme="0"/>
      </bottom>
      <diagonal/>
    </border>
    <border>
      <left style="medium">
        <color rgb="FFFF0000"/>
      </left>
      <right style="medium">
        <color rgb="FFFF0000"/>
      </right>
      <top style="thin">
        <color theme="0"/>
      </top>
      <bottom style="medium">
        <color rgb="FFFF0000"/>
      </bottom>
      <diagonal/>
    </border>
    <border>
      <left/>
      <right style="medium">
        <color rgb="FF0070C0"/>
      </right>
      <top/>
      <bottom/>
      <diagonal/>
    </border>
    <border>
      <left style="thin">
        <color theme="4"/>
      </left>
      <right style="thin">
        <color theme="4"/>
      </right>
      <top/>
      <bottom style="thin">
        <color theme="0"/>
      </bottom>
      <diagonal/>
    </border>
    <border>
      <left/>
      <right style="thin">
        <color theme="8"/>
      </right>
      <top/>
      <bottom style="medium">
        <color theme="8"/>
      </bottom>
      <diagonal/>
    </border>
    <border>
      <left style="thin">
        <color theme="8"/>
      </left>
      <right style="thin">
        <color theme="8"/>
      </right>
      <top/>
      <bottom style="medium">
        <color theme="8"/>
      </bottom>
      <diagonal/>
    </border>
    <border>
      <left style="thin">
        <color theme="8"/>
      </left>
      <right/>
      <top/>
      <bottom style="medium">
        <color theme="8"/>
      </bottom>
      <diagonal/>
    </border>
    <border>
      <left/>
      <right style="thin">
        <color theme="8"/>
      </right>
      <top/>
      <bottom style="double">
        <color theme="8"/>
      </bottom>
      <diagonal/>
    </border>
    <border>
      <left style="thin">
        <color theme="8"/>
      </left>
      <right style="thin">
        <color theme="8"/>
      </right>
      <top/>
      <bottom style="double">
        <color theme="8"/>
      </bottom>
      <diagonal/>
    </border>
    <border>
      <left style="thin">
        <color theme="8"/>
      </left>
      <right/>
      <top/>
      <bottom style="double">
        <color theme="8"/>
      </bottom>
      <diagonal/>
    </border>
    <border>
      <left style="thin">
        <color theme="4"/>
      </left>
      <right style="thin">
        <color theme="4"/>
      </right>
      <top style="double">
        <color theme="4"/>
      </top>
      <bottom style="thin">
        <color theme="4"/>
      </bottom>
      <diagonal/>
    </border>
    <border>
      <left style="medium">
        <color theme="4"/>
      </left>
      <right style="thin">
        <color theme="4"/>
      </right>
      <top style="thin">
        <color theme="0"/>
      </top>
      <bottom style="medium">
        <color theme="4"/>
      </bottom>
      <diagonal/>
    </border>
    <border>
      <left style="thin">
        <color theme="4"/>
      </left>
      <right style="thin">
        <color theme="4"/>
      </right>
      <top style="thin">
        <color theme="0"/>
      </top>
      <bottom style="medium">
        <color theme="4"/>
      </bottom>
      <diagonal/>
    </border>
    <border>
      <left style="thin">
        <color theme="4"/>
      </left>
      <right style="medium">
        <color theme="4"/>
      </right>
      <top style="thin">
        <color theme="0"/>
      </top>
      <bottom style="medium">
        <color theme="4"/>
      </bottom>
      <diagonal/>
    </border>
    <border>
      <left style="thin">
        <color theme="4" tint="0.39994506668294322"/>
      </left>
      <right style="thin">
        <color theme="4" tint="0.39994506668294322"/>
      </right>
      <top style="medium">
        <color theme="4"/>
      </top>
      <bottom style="medium">
        <color theme="4"/>
      </bottom>
      <diagonal/>
    </border>
    <border>
      <left style="thin">
        <color theme="4" tint="0.39994506668294322"/>
      </left>
      <right style="medium">
        <color theme="4"/>
      </right>
      <top style="medium">
        <color theme="4"/>
      </top>
      <bottom style="medium">
        <color theme="4"/>
      </bottom>
      <diagonal/>
    </border>
  </borders>
  <cellStyleXfs count="43">
    <xf numFmtId="0" fontId="0" fillId="0" borderId="0"/>
    <xf numFmtId="9" fontId="14" fillId="0" borderId="0" applyFont="0" applyFill="0" applyBorder="0" applyAlignment="0" applyProtection="0"/>
    <xf numFmtId="0" fontId="15" fillId="0" borderId="0"/>
    <xf numFmtId="9"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43" fontId="15" fillId="0" borderId="0" applyFont="0" applyFill="0" applyBorder="0" applyAlignment="0" applyProtection="0"/>
    <xf numFmtId="166" fontId="15" fillId="0" borderId="0"/>
    <xf numFmtId="0" fontId="41" fillId="0" borderId="0"/>
    <xf numFmtId="0" fontId="41" fillId="0" borderId="0"/>
    <xf numFmtId="0" fontId="13" fillId="0" borderId="0"/>
    <xf numFmtId="9" fontId="13" fillId="0" borderId="0" applyFont="0" applyFill="0" applyBorder="0" applyAlignment="0" applyProtection="0"/>
    <xf numFmtId="0" fontId="63" fillId="0" borderId="32" applyNumberFormat="0" applyFill="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166" fontId="11" fillId="0" borderId="0"/>
    <xf numFmtId="0" fontId="12" fillId="0" borderId="0"/>
    <xf numFmtId="9" fontId="12" fillId="0" borderId="0" applyFont="0" applyFill="0" applyBorder="0" applyAlignment="0" applyProtection="0"/>
    <xf numFmtId="0" fontId="41" fillId="0" borderId="0"/>
    <xf numFmtId="0" fontId="14" fillId="0" borderId="0"/>
    <xf numFmtId="0" fontId="46" fillId="24" borderId="0" applyNumberFormat="0" applyBorder="0" applyAlignment="0" applyProtection="0"/>
    <xf numFmtId="0" fontId="47" fillId="25" borderId="0" applyNumberFormat="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166"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166" fontId="10"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166"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166" fontId="2" fillId="0" borderId="0"/>
  </cellStyleXfs>
  <cellXfs count="1120">
    <xf numFmtId="0" fontId="0" fillId="0" borderId="0" xfId="0"/>
    <xf numFmtId="0" fontId="18" fillId="2" borderId="1" xfId="0" applyFont="1" applyFill="1" applyBorder="1" applyAlignment="1">
      <alignment horizontal="left" vertical="center" readingOrder="1"/>
    </xf>
    <xf numFmtId="0" fontId="18" fillId="5" borderId="2" xfId="0" applyFont="1" applyFill="1" applyBorder="1" applyAlignment="1">
      <alignment horizontal="left" vertical="center" readingOrder="1"/>
    </xf>
    <xf numFmtId="0" fontId="18" fillId="8" borderId="2" xfId="0" applyFont="1" applyFill="1" applyBorder="1" applyAlignment="1">
      <alignment horizontal="left" vertical="center" readingOrder="1"/>
    </xf>
    <xf numFmtId="0" fontId="18" fillId="8" borderId="3" xfId="0" applyFont="1" applyFill="1" applyBorder="1" applyAlignment="1">
      <alignment horizontal="left" vertical="center" readingOrder="1"/>
    </xf>
    <xf numFmtId="0" fontId="18" fillId="9" borderId="2" xfId="0" applyFont="1" applyFill="1" applyBorder="1" applyAlignment="1">
      <alignment horizontal="left" vertical="center" readingOrder="1"/>
    </xf>
    <xf numFmtId="0" fontId="19" fillId="3" borderId="1" xfId="0" applyFont="1" applyFill="1" applyBorder="1" applyAlignment="1">
      <alignment horizontal="left" vertical="center" readingOrder="1"/>
    </xf>
    <xf numFmtId="0" fontId="19" fillId="4" borderId="2" xfId="0" applyFont="1" applyFill="1" applyBorder="1" applyAlignment="1">
      <alignment horizontal="left" vertical="center" readingOrder="1"/>
    </xf>
    <xf numFmtId="0" fontId="19" fillId="3" borderId="2" xfId="0" applyFont="1" applyFill="1" applyBorder="1" applyAlignment="1">
      <alignment horizontal="left" vertical="center" readingOrder="1"/>
    </xf>
    <xf numFmtId="0" fontId="19" fillId="3" borderId="3" xfId="0" applyFont="1" applyFill="1" applyBorder="1" applyAlignment="1">
      <alignment horizontal="left" vertical="center" readingOrder="1"/>
    </xf>
    <xf numFmtId="14" fontId="19" fillId="3" borderId="2" xfId="0" applyNumberFormat="1" applyFont="1" applyFill="1" applyBorder="1" applyAlignment="1">
      <alignment horizontal="left" vertical="center" readingOrder="1"/>
    </xf>
    <xf numFmtId="14" fontId="19" fillId="6" borderId="2" xfId="0" applyNumberFormat="1" applyFont="1" applyFill="1" applyBorder="1" applyAlignment="1">
      <alignment horizontal="left" vertical="center" readingOrder="1"/>
    </xf>
    <xf numFmtId="0" fontId="19" fillId="7" borderId="2" xfId="0" applyFont="1" applyFill="1" applyBorder="1" applyAlignment="1">
      <alignment horizontal="left" vertical="center" readingOrder="1"/>
    </xf>
    <xf numFmtId="0" fontId="22" fillId="7" borderId="2" xfId="0" applyFont="1" applyFill="1" applyBorder="1" applyAlignment="1">
      <alignment horizontal="left" vertical="top" wrapText="1" readingOrder="1"/>
    </xf>
    <xf numFmtId="14" fontId="22" fillId="6" borderId="1" xfId="0" applyNumberFormat="1" applyFont="1" applyFill="1" applyBorder="1" applyAlignment="1">
      <alignment horizontal="left" vertical="top" wrapText="1" readingOrder="1"/>
    </xf>
    <xf numFmtId="9" fontId="19" fillId="3" borderId="2" xfId="1" applyFont="1" applyFill="1" applyBorder="1" applyAlignment="1">
      <alignment horizontal="left" vertical="center" readingOrder="1"/>
    </xf>
    <xf numFmtId="9" fontId="19" fillId="6" borderId="1" xfId="1" applyFont="1" applyFill="1" applyBorder="1" applyAlignment="1">
      <alignment horizontal="left" vertical="top" wrapText="1" readingOrder="1"/>
    </xf>
    <xf numFmtId="0" fontId="27" fillId="0" borderId="0" xfId="0" applyFont="1"/>
    <xf numFmtId="0" fontId="25" fillId="0" borderId="0" xfId="0" applyFont="1"/>
    <xf numFmtId="0" fontId="30" fillId="0" borderId="0" xfId="0" applyFont="1" applyAlignment="1"/>
    <xf numFmtId="0" fontId="30" fillId="0" borderId="0" xfId="0" applyFont="1" applyFill="1" applyAlignment="1"/>
    <xf numFmtId="166" fontId="15" fillId="13" borderId="0" xfId="8" applyFill="1"/>
    <xf numFmtId="166" fontId="15" fillId="13" borderId="0" xfId="8" applyFill="1" applyAlignment="1">
      <alignment horizontal="center" vertical="center"/>
    </xf>
    <xf numFmtId="166" fontId="15" fillId="20" borderId="8" xfId="8" applyFill="1" applyBorder="1"/>
    <xf numFmtId="166" fontId="15" fillId="20" borderId="0" xfId="8" applyFill="1" applyBorder="1"/>
    <xf numFmtId="166" fontId="15" fillId="20" borderId="9" xfId="8" applyFill="1" applyBorder="1"/>
    <xf numFmtId="166" fontId="24" fillId="20" borderId="0" xfId="8" applyFont="1" applyFill="1" applyBorder="1"/>
    <xf numFmtId="166" fontId="15" fillId="20" borderId="10" xfId="8" applyFill="1" applyBorder="1"/>
    <xf numFmtId="166" fontId="15" fillId="20" borderId="11" xfId="8" applyFill="1" applyBorder="1"/>
    <xf numFmtId="166" fontId="15" fillId="20" borderId="12" xfId="8" applyFill="1" applyBorder="1"/>
    <xf numFmtId="0" fontId="19" fillId="0" borderId="0" xfId="0" applyFont="1" applyFill="1" applyBorder="1" applyAlignment="1">
      <alignment horizontal="left" vertical="center" readingOrder="1"/>
    </xf>
    <xf numFmtId="9" fontId="30" fillId="0" borderId="0" xfId="0" applyNumberFormat="1" applyFont="1" applyFill="1" applyAlignment="1"/>
    <xf numFmtId="9" fontId="30" fillId="0" borderId="0" xfId="1" applyFont="1" applyFill="1" applyAlignment="1"/>
    <xf numFmtId="1" fontId="30" fillId="0" borderId="0" xfId="0" applyNumberFormat="1" applyFont="1" applyFill="1" applyAlignment="1"/>
    <xf numFmtId="0" fontId="28" fillId="22" borderId="2" xfId="0" applyNumberFormat="1" applyFont="1" applyFill="1" applyBorder="1" applyAlignment="1">
      <alignment horizontal="left" vertical="center" readingOrder="1"/>
    </xf>
    <xf numFmtId="14" fontId="30" fillId="0" borderId="0" xfId="0" applyNumberFormat="1" applyFont="1" applyFill="1" applyAlignment="1"/>
    <xf numFmtId="0" fontId="30" fillId="0" borderId="0" xfId="0" applyFont="1" applyFill="1" applyAlignment="1">
      <alignment horizontal="left"/>
    </xf>
    <xf numFmtId="1" fontId="30" fillId="0" borderId="0" xfId="1" applyNumberFormat="1" applyFont="1" applyFill="1" applyAlignment="1"/>
    <xf numFmtId="0" fontId="30" fillId="0" borderId="0" xfId="1" applyNumberFormat="1" applyFont="1" applyFill="1" applyAlignment="1"/>
    <xf numFmtId="0" fontId="30" fillId="0" borderId="0" xfId="0" applyNumberFormat="1" applyFont="1" applyFill="1" applyAlignment="1"/>
    <xf numFmtId="1" fontId="30" fillId="0" borderId="0" xfId="0" applyNumberFormat="1" applyFont="1" applyFill="1" applyAlignment="1">
      <alignment horizontal="left"/>
    </xf>
    <xf numFmtId="0" fontId="28" fillId="22" borderId="13" xfId="0" applyNumberFormat="1" applyFont="1" applyFill="1" applyBorder="1" applyAlignment="1">
      <alignment horizontal="left" vertical="center" readingOrder="1"/>
    </xf>
    <xf numFmtId="0" fontId="19" fillId="3" borderId="0" xfId="0" applyFont="1" applyFill="1" applyBorder="1" applyAlignment="1">
      <alignment horizontal="left" vertical="center" readingOrder="1"/>
    </xf>
    <xf numFmtId="0" fontId="19" fillId="0" borderId="1" xfId="0" applyFont="1" applyFill="1" applyBorder="1" applyAlignment="1">
      <alignment horizontal="left" vertical="center" readingOrder="1"/>
    </xf>
    <xf numFmtId="14" fontId="19" fillId="3" borderId="18" xfId="0" applyNumberFormat="1" applyFont="1" applyFill="1" applyBorder="1" applyAlignment="1">
      <alignment horizontal="left" vertical="center" readingOrder="1"/>
    </xf>
    <xf numFmtId="0" fontId="27" fillId="0" borderId="0" xfId="0" applyNumberFormat="1" applyFont="1"/>
    <xf numFmtId="1" fontId="27" fillId="0" borderId="0" xfId="0" applyNumberFormat="1" applyFont="1"/>
    <xf numFmtId="0" fontId="27" fillId="0" borderId="0" xfId="0" applyFont="1" applyAlignment="1">
      <alignment wrapText="1" readingOrder="1"/>
    </xf>
    <xf numFmtId="0" fontId="19" fillId="7" borderId="0" xfId="0" applyFont="1" applyFill="1" applyBorder="1" applyAlignment="1">
      <alignment horizontal="left" vertical="center" readingOrder="1"/>
    </xf>
    <xf numFmtId="0" fontId="18" fillId="9" borderId="15" xfId="0" applyFont="1" applyFill="1" applyBorder="1" applyAlignment="1">
      <alignment horizontal="left" vertical="center" readingOrder="1"/>
    </xf>
    <xf numFmtId="0" fontId="19" fillId="7" borderId="15" xfId="0" applyFont="1" applyFill="1" applyBorder="1" applyAlignment="1">
      <alignment horizontal="left" vertical="center" readingOrder="1"/>
    </xf>
    <xf numFmtId="0" fontId="44" fillId="2" borderId="1" xfId="0" applyFont="1" applyFill="1" applyBorder="1" applyAlignment="1">
      <alignment horizontal="left" vertical="center" readingOrder="1"/>
    </xf>
    <xf numFmtId="14" fontId="45" fillId="6" borderId="2" xfId="0" applyNumberFormat="1" applyFont="1" applyFill="1" applyBorder="1" applyAlignment="1">
      <alignment horizontal="left" vertical="center" readingOrder="1"/>
    </xf>
    <xf numFmtId="14" fontId="44" fillId="6" borderId="1" xfId="0" applyNumberFormat="1" applyFont="1" applyFill="1" applyBorder="1" applyAlignment="1">
      <alignment horizontal="left" vertical="top" wrapText="1" readingOrder="1"/>
    </xf>
    <xf numFmtId="0" fontId="45" fillId="3" borderId="2" xfId="0" applyFont="1" applyFill="1" applyBorder="1" applyAlignment="1">
      <alignment horizontal="left" vertical="center" readingOrder="1"/>
    </xf>
    <xf numFmtId="0" fontId="45" fillId="7" borderId="2" xfId="0" applyFont="1" applyFill="1" applyBorder="1" applyAlignment="1">
      <alignment horizontal="left" vertical="center" readingOrder="1"/>
    </xf>
    <xf numFmtId="0" fontId="45" fillId="7" borderId="2" xfId="0" applyFont="1" applyFill="1" applyBorder="1" applyAlignment="1">
      <alignment horizontal="left" vertical="top" wrapText="1" readingOrder="1"/>
    </xf>
    <xf numFmtId="0" fontId="19" fillId="3" borderId="16" xfId="0" applyFont="1" applyFill="1" applyBorder="1" applyAlignment="1">
      <alignment horizontal="left" vertical="center" readingOrder="1"/>
    </xf>
    <xf numFmtId="165" fontId="19" fillId="0" borderId="0" xfId="0" applyNumberFormat="1" applyFont="1" applyFill="1" applyAlignment="1">
      <alignment horizontal="left" vertical="center" readingOrder="1"/>
    </xf>
    <xf numFmtId="0" fontId="22" fillId="7" borderId="15" xfId="0" applyFont="1" applyFill="1" applyBorder="1" applyAlignment="1">
      <alignment horizontal="left" vertical="top" wrapText="1" readingOrder="1"/>
    </xf>
    <xf numFmtId="0" fontId="19" fillId="3" borderId="15" xfId="0" applyFont="1" applyFill="1" applyBorder="1" applyAlignment="1">
      <alignment horizontal="left" vertical="center" readingOrder="1"/>
    </xf>
    <xf numFmtId="0" fontId="61" fillId="0" borderId="0" xfId="0" applyFont="1"/>
    <xf numFmtId="0" fontId="61" fillId="0" borderId="0" xfId="0" applyFont="1" applyAlignment="1">
      <alignment wrapText="1"/>
    </xf>
    <xf numFmtId="164" fontId="61" fillId="0" borderId="26" xfId="4" applyNumberFormat="1" applyFont="1" applyBorder="1"/>
    <xf numFmtId="164" fontId="61" fillId="0" borderId="0" xfId="0" applyNumberFormat="1" applyFont="1"/>
    <xf numFmtId="0" fontId="25" fillId="0" borderId="21" xfId="0" applyFont="1" applyFill="1" applyBorder="1"/>
    <xf numFmtId="0" fontId="25" fillId="0" borderId="31" xfId="0" applyFont="1" applyFill="1" applyBorder="1"/>
    <xf numFmtId="0" fontId="25" fillId="0" borderId="29" xfId="0" applyFont="1" applyFill="1" applyBorder="1"/>
    <xf numFmtId="0" fontId="25" fillId="0" borderId="0" xfId="0" applyFont="1" applyBorder="1"/>
    <xf numFmtId="0" fontId="45" fillId="0" borderId="0" xfId="0" applyFont="1"/>
    <xf numFmtId="0" fontId="45" fillId="0" borderId="0" xfId="0" applyFont="1" applyAlignment="1"/>
    <xf numFmtId="9" fontId="61" fillId="0" borderId="0" xfId="1" applyFont="1"/>
    <xf numFmtId="0" fontId="27" fillId="0" borderId="0" xfId="0" applyNumberFormat="1" applyFont="1" applyAlignment="1">
      <alignment wrapText="1"/>
    </xf>
    <xf numFmtId="1" fontId="27" fillId="0" borderId="0" xfId="0" applyNumberFormat="1" applyFont="1" applyAlignment="1">
      <alignment wrapText="1"/>
    </xf>
    <xf numFmtId="0" fontId="19" fillId="0" borderId="23" xfId="0" applyFont="1" applyFill="1" applyBorder="1" applyAlignment="1">
      <alignment horizontal="left" vertical="center" readingOrder="1"/>
    </xf>
    <xf numFmtId="0" fontId="0" fillId="0" borderId="0" xfId="0" pivotButton="1"/>
    <xf numFmtId="0" fontId="27" fillId="0" borderId="0" xfId="0" applyFont="1" applyFill="1"/>
    <xf numFmtId="0" fontId="19" fillId="0" borderId="0" xfId="0" applyFont="1" applyFill="1" applyBorder="1" applyAlignment="1">
      <alignment horizontal="left" vertical="center" readingOrder="1"/>
    </xf>
    <xf numFmtId="165" fontId="19" fillId="0" borderId="0" xfId="0" applyNumberFormat="1" applyFont="1" applyFill="1" applyBorder="1" applyAlignment="1">
      <alignment horizontal="left" vertical="center" readingOrder="1"/>
    </xf>
    <xf numFmtId="9" fontId="19" fillId="0" borderId="0" xfId="0" applyNumberFormat="1" applyFont="1" applyFill="1" applyBorder="1" applyAlignment="1">
      <alignment horizontal="left" vertical="center" readingOrder="1"/>
    </xf>
    <xf numFmtId="1" fontId="19" fillId="0" borderId="0" xfId="0" applyNumberFormat="1" applyFont="1" applyFill="1" applyBorder="1" applyAlignment="1">
      <alignment horizontal="left" vertical="center" readingOrder="1"/>
    </xf>
    <xf numFmtId="1" fontId="19" fillId="0" borderId="0" xfId="1" applyNumberFormat="1" applyFont="1" applyFill="1" applyBorder="1" applyAlignment="1">
      <alignment horizontal="left" vertical="center" readingOrder="1"/>
    </xf>
    <xf numFmtId="9" fontId="19" fillId="0" borderId="0" xfId="1" applyFont="1" applyFill="1" applyBorder="1" applyAlignment="1">
      <alignment horizontal="left" vertical="center" readingOrder="1"/>
    </xf>
    <xf numFmtId="9" fontId="19" fillId="0" borderId="0" xfId="1" applyNumberFormat="1" applyFont="1" applyFill="1" applyBorder="1" applyAlignment="1">
      <alignment horizontal="left" vertical="center" readingOrder="1"/>
    </xf>
    <xf numFmtId="14" fontId="34" fillId="16" borderId="0" xfId="0" applyNumberFormat="1" applyFont="1" applyFill="1" applyBorder="1" applyAlignment="1">
      <alignment horizontal="left"/>
    </xf>
    <xf numFmtId="9" fontId="65" fillId="23" borderId="0" xfId="0" applyNumberFormat="1" applyFont="1" applyFill="1" applyBorder="1" applyAlignment="1">
      <alignment vertical="center"/>
    </xf>
    <xf numFmtId="0" fontId="27" fillId="0" borderId="0" xfId="0" applyFont="1" applyFill="1" applyBorder="1"/>
    <xf numFmtId="1" fontId="65" fillId="23" borderId="0" xfId="0" applyNumberFormat="1" applyFont="1" applyFill="1" applyBorder="1" applyAlignment="1">
      <alignment vertical="center"/>
    </xf>
    <xf numFmtId="1" fontId="19" fillId="0" borderId="0" xfId="4" applyNumberFormat="1" applyFont="1" applyFill="1" applyBorder="1" applyAlignment="1">
      <alignment horizontal="left" vertical="center" readingOrder="1"/>
    </xf>
    <xf numFmtId="0" fontId="68" fillId="10" borderId="26" xfId="0" applyFont="1" applyFill="1" applyBorder="1" applyAlignment="1">
      <alignment horizontal="center" vertical="top" wrapText="1"/>
    </xf>
    <xf numFmtId="0" fontId="61" fillId="7" borderId="26" xfId="0" applyFont="1" applyFill="1" applyBorder="1" applyAlignment="1">
      <alignment horizontal="center" vertical="top" wrapText="1"/>
    </xf>
    <xf numFmtId="0" fontId="61" fillId="11" borderId="26" xfId="0" applyFont="1" applyFill="1" applyBorder="1" applyAlignment="1">
      <alignment horizontal="center" vertical="top" wrapText="1"/>
    </xf>
    <xf numFmtId="164" fontId="61" fillId="0" borderId="26" xfId="4" applyNumberFormat="1" applyFont="1" applyBorder="1" applyAlignment="1">
      <alignment vertical="top" wrapText="1"/>
    </xf>
    <xf numFmtId="0" fontId="61" fillId="18" borderId="25" xfId="0" applyFont="1" applyFill="1" applyBorder="1" applyAlignment="1">
      <alignment horizontal="center"/>
    </xf>
    <xf numFmtId="0" fontId="61" fillId="18" borderId="27" xfId="0" applyFont="1" applyFill="1" applyBorder="1" applyAlignment="1">
      <alignment horizontal="center"/>
    </xf>
    <xf numFmtId="0" fontId="61" fillId="18" borderId="28" xfId="0" applyFont="1" applyFill="1" applyBorder="1" applyAlignment="1">
      <alignment horizontal="center"/>
    </xf>
    <xf numFmtId="164" fontId="61" fillId="10" borderId="34" xfId="4" applyNumberFormat="1" applyFont="1" applyFill="1" applyBorder="1" applyAlignment="1">
      <alignment vertical="top" wrapText="1"/>
    </xf>
    <xf numFmtId="164" fontId="61" fillId="10" borderId="34" xfId="4" applyNumberFormat="1" applyFont="1" applyFill="1" applyBorder="1"/>
    <xf numFmtId="164" fontId="61" fillId="7" borderId="34" xfId="4" applyNumberFormat="1" applyFont="1" applyFill="1" applyBorder="1" applyAlignment="1">
      <alignment vertical="top" wrapText="1"/>
    </xf>
    <xf numFmtId="164" fontId="61" fillId="7" borderId="34" xfId="4" applyNumberFormat="1" applyFont="1" applyFill="1" applyBorder="1"/>
    <xf numFmtId="164" fontId="61" fillId="11" borderId="34" xfId="4" applyNumberFormat="1" applyFont="1" applyFill="1" applyBorder="1" applyAlignment="1">
      <alignment vertical="top" wrapText="1"/>
    </xf>
    <xf numFmtId="164" fontId="61" fillId="11" borderId="34" xfId="4" applyNumberFormat="1" applyFont="1" applyFill="1" applyBorder="1"/>
    <xf numFmtId="0" fontId="69" fillId="33" borderId="38" xfId="0" applyFont="1" applyFill="1" applyBorder="1" applyAlignment="1">
      <alignment horizontal="center" vertical="center" wrapText="1"/>
    </xf>
    <xf numFmtId="0" fontId="69" fillId="33" borderId="34" xfId="0" applyFont="1" applyFill="1" applyBorder="1" applyAlignment="1">
      <alignment horizontal="center" vertical="center" wrapText="1"/>
    </xf>
    <xf numFmtId="0" fontId="69" fillId="33" borderId="39" xfId="0" applyFont="1" applyFill="1" applyBorder="1" applyAlignment="1">
      <alignment horizontal="center" vertical="center" wrapText="1"/>
    </xf>
    <xf numFmtId="164" fontId="61" fillId="10" borderId="38" xfId="4" applyNumberFormat="1" applyFont="1" applyFill="1" applyBorder="1"/>
    <xf numFmtId="164" fontId="61" fillId="10" borderId="39" xfId="4" applyNumberFormat="1" applyFont="1" applyFill="1" applyBorder="1"/>
    <xf numFmtId="164" fontId="61" fillId="7" borderId="38" xfId="4" applyNumberFormat="1" applyFont="1" applyFill="1" applyBorder="1"/>
    <xf numFmtId="164" fontId="61" fillId="7" borderId="39" xfId="4" applyNumberFormat="1" applyFont="1" applyFill="1" applyBorder="1"/>
    <xf numFmtId="164" fontId="61" fillId="11" borderId="38" xfId="4" applyNumberFormat="1" applyFont="1" applyFill="1" applyBorder="1"/>
    <xf numFmtId="164" fontId="61" fillId="11" borderId="39" xfId="4" applyNumberFormat="1" applyFont="1" applyFill="1" applyBorder="1"/>
    <xf numFmtId="0" fontId="62" fillId="0" borderId="35" xfId="0" applyFont="1" applyBorder="1" applyAlignment="1">
      <alignment horizontal="center" vertical="center"/>
    </xf>
    <xf numFmtId="0" fontId="69" fillId="0" borderId="36" xfId="0" applyFont="1" applyBorder="1" applyAlignment="1">
      <alignment horizontal="center" vertical="center" wrapText="1"/>
    </xf>
    <xf numFmtId="0" fontId="69" fillId="13" borderId="36" xfId="0" applyFont="1" applyFill="1" applyBorder="1" applyAlignment="1">
      <alignment horizontal="center" vertical="center" wrapText="1"/>
    </xf>
    <xf numFmtId="0" fontId="70" fillId="13" borderId="37" xfId="0" applyFont="1" applyFill="1" applyBorder="1" applyAlignment="1">
      <alignment horizontal="center" vertical="center" wrapText="1"/>
    </xf>
    <xf numFmtId="0" fontId="27" fillId="0" borderId="0" xfId="0" applyFont="1" applyFill="1" applyBorder="1" applyAlignment="1">
      <alignment horizontal="left"/>
    </xf>
    <xf numFmtId="9" fontId="27" fillId="0" borderId="0" xfId="0" applyNumberFormat="1" applyFont="1" applyFill="1" applyBorder="1"/>
    <xf numFmtId="0" fontId="67" fillId="8" borderId="24" xfId="0" applyFont="1" applyFill="1" applyBorder="1" applyAlignment="1">
      <alignment horizontal="center" vertical="center" wrapText="1"/>
    </xf>
    <xf numFmtId="0" fontId="67" fillId="36" borderId="24" xfId="0" applyFont="1" applyFill="1" applyBorder="1" applyAlignment="1">
      <alignment horizontal="center" vertical="center" wrapText="1"/>
    </xf>
    <xf numFmtId="0" fontId="0" fillId="0" borderId="24" xfId="0" applyBorder="1"/>
    <xf numFmtId="0" fontId="61" fillId="0" borderId="24" xfId="0" applyFont="1" applyBorder="1"/>
    <xf numFmtId="0" fontId="67" fillId="14" borderId="24" xfId="0" applyFont="1" applyFill="1" applyBorder="1" applyAlignment="1">
      <alignment horizontal="center" vertical="center" wrapText="1"/>
    </xf>
    <xf numFmtId="0" fontId="0" fillId="37" borderId="24" xfId="0" applyFill="1" applyBorder="1"/>
    <xf numFmtId="164" fontId="67" fillId="14" borderId="24" xfId="4" applyNumberFormat="1" applyFont="1" applyFill="1" applyBorder="1" applyAlignment="1">
      <alignment horizontal="right" vertical="center"/>
    </xf>
    <xf numFmtId="164" fontId="67" fillId="8" borderId="24" xfId="4" applyNumberFormat="1" applyFont="1" applyFill="1" applyBorder="1" applyAlignment="1">
      <alignment horizontal="right" vertical="center"/>
    </xf>
    <xf numFmtId="164" fontId="67" fillId="36" borderId="24" xfId="4" applyNumberFormat="1" applyFont="1" applyFill="1" applyBorder="1" applyAlignment="1">
      <alignment horizontal="right" vertical="center"/>
    </xf>
    <xf numFmtId="164" fontId="67" fillId="14" borderId="24" xfId="4" applyNumberFormat="1" applyFont="1" applyFill="1" applyBorder="1" applyAlignment="1">
      <alignment horizontal="center" vertical="center" wrapText="1"/>
    </xf>
    <xf numFmtId="164" fontId="67" fillId="36" borderId="24" xfId="4" applyNumberFormat="1" applyFont="1" applyFill="1" applyBorder="1" applyAlignment="1">
      <alignment horizontal="center" vertical="center" wrapText="1"/>
    </xf>
    <xf numFmtId="0" fontId="27" fillId="27" borderId="0" xfId="0" applyFont="1" applyFill="1"/>
    <xf numFmtId="166" fontId="11" fillId="20" borderId="0" xfId="8" applyFont="1" applyFill="1" applyBorder="1"/>
    <xf numFmtId="0" fontId="61" fillId="0" borderId="0" xfId="0" applyFont="1" applyAlignment="1">
      <alignment horizontal="center" vertical="center" wrapText="1"/>
    </xf>
    <xf numFmtId="0" fontId="27" fillId="0" borderId="0" xfId="0" applyNumberFormat="1" applyFont="1" applyFill="1"/>
    <xf numFmtId="1" fontId="27" fillId="0" borderId="0" xfId="0" applyNumberFormat="1" applyFont="1" applyFill="1"/>
    <xf numFmtId="0" fontId="27" fillId="0" borderId="0" xfId="0" applyFont="1" applyFill="1" applyAlignment="1">
      <alignment wrapText="1" readingOrder="1"/>
    </xf>
    <xf numFmtId="0" fontId="0" fillId="0" borderId="0" xfId="0" applyFill="1"/>
    <xf numFmtId="14" fontId="27" fillId="0" borderId="0" xfId="0" applyNumberFormat="1" applyFont="1"/>
    <xf numFmtId="165" fontId="27" fillId="0" borderId="0" xfId="0" applyNumberFormat="1" applyFont="1"/>
    <xf numFmtId="165" fontId="27" fillId="0" borderId="0" xfId="0" applyNumberFormat="1" applyFont="1" applyFill="1"/>
    <xf numFmtId="0" fontId="73" fillId="8" borderId="0" xfId="0" applyFont="1" applyFill="1"/>
    <xf numFmtId="0" fontId="73" fillId="38" borderId="0" xfId="0" applyFont="1" applyFill="1"/>
    <xf numFmtId="0" fontId="11" fillId="0" borderId="0" xfId="0" applyFont="1"/>
    <xf numFmtId="0" fontId="24" fillId="0" borderId="0" xfId="0" applyFont="1"/>
    <xf numFmtId="0" fontId="11" fillId="0" borderId="0" xfId="0" applyFont="1" applyAlignment="1">
      <alignment horizontal="left"/>
    </xf>
    <xf numFmtId="9" fontId="11" fillId="0" borderId="0" xfId="0" applyNumberFormat="1" applyFont="1"/>
    <xf numFmtId="0" fontId="11" fillId="0" borderId="0" xfId="0" applyNumberFormat="1" applyFont="1"/>
    <xf numFmtId="0" fontId="11" fillId="0" borderId="0" xfId="0" applyFont="1" applyAlignment="1">
      <alignment wrapText="1"/>
    </xf>
    <xf numFmtId="164" fontId="11" fillId="0" borderId="0" xfId="0" applyNumberFormat="1" applyFont="1"/>
    <xf numFmtId="0" fontId="75" fillId="0" borderId="0" xfId="0" applyFont="1"/>
    <xf numFmtId="0" fontId="74" fillId="14" borderId="0" xfId="0" applyFont="1" applyFill="1"/>
    <xf numFmtId="1" fontId="11" fillId="0" borderId="0" xfId="0" applyNumberFormat="1" applyFont="1"/>
    <xf numFmtId="0" fontId="24" fillId="0" borderId="35" xfId="0" applyFont="1" applyBorder="1" applyAlignment="1">
      <alignment wrapText="1"/>
    </xf>
    <xf numFmtId="0" fontId="76" fillId="0" borderId="38" xfId="0" applyFont="1" applyBorder="1" applyAlignment="1">
      <alignment horizontal="left"/>
    </xf>
    <xf numFmtId="0" fontId="76" fillId="0" borderId="40" xfId="0" applyFont="1" applyBorder="1" applyAlignment="1">
      <alignment horizontal="left"/>
    </xf>
    <xf numFmtId="0" fontId="24" fillId="0" borderId="36" xfId="0" applyFont="1" applyBorder="1"/>
    <xf numFmtId="0" fontId="24" fillId="0" borderId="37" xfId="0" applyFont="1" applyBorder="1"/>
    <xf numFmtId="0" fontId="76" fillId="0" borderId="34" xfId="0" applyNumberFormat="1" applyFont="1" applyBorder="1"/>
    <xf numFmtId="0" fontId="76" fillId="0" borderId="39" xfId="0" applyNumberFormat="1" applyFont="1" applyBorder="1"/>
    <xf numFmtId="0" fontId="76" fillId="0" borderId="41" xfId="0" applyNumberFormat="1" applyFont="1" applyBorder="1"/>
    <xf numFmtId="0" fontId="76" fillId="0" borderId="42" xfId="0" applyNumberFormat="1" applyFont="1" applyBorder="1"/>
    <xf numFmtId="0" fontId="11" fillId="0" borderId="0" xfId="0" applyFont="1" applyFill="1"/>
    <xf numFmtId="0" fontId="11" fillId="0" borderId="0" xfId="0" applyFont="1" applyFill="1" applyBorder="1" applyAlignment="1">
      <alignment horizontal="left"/>
    </xf>
    <xf numFmtId="0" fontId="11" fillId="0" borderId="0" xfId="0" applyNumberFormat="1" applyFont="1" applyFill="1" applyBorder="1"/>
    <xf numFmtId="9" fontId="11" fillId="0" borderId="0" xfId="0" applyNumberFormat="1" applyFont="1" applyFill="1"/>
    <xf numFmtId="0" fontId="11" fillId="0" borderId="0" xfId="0" applyNumberFormat="1" applyFont="1" applyFill="1"/>
    <xf numFmtId="0" fontId="11" fillId="17" borderId="33" xfId="0" applyFont="1" applyFill="1" applyBorder="1"/>
    <xf numFmtId="164" fontId="75" fillId="0" borderId="0" xfId="0" applyNumberFormat="1" applyFont="1"/>
    <xf numFmtId="0" fontId="11" fillId="19" borderId="0" xfId="0" applyFont="1" applyFill="1"/>
    <xf numFmtId="1" fontId="11" fillId="0" borderId="0" xfId="4" applyNumberFormat="1" applyFont="1"/>
    <xf numFmtId="164" fontId="11" fillId="0" borderId="0" xfId="4" applyNumberFormat="1" applyFont="1"/>
    <xf numFmtId="0" fontId="11" fillId="34" borderId="0" xfId="0" applyFont="1" applyFill="1"/>
    <xf numFmtId="0" fontId="24" fillId="10" borderId="0" xfId="0" applyFont="1" applyFill="1"/>
    <xf numFmtId="0" fontId="76" fillId="0" borderId="48" xfId="0" applyFont="1" applyBorder="1" applyAlignment="1">
      <alignment horizontal="left"/>
    </xf>
    <xf numFmtId="0" fontId="76" fillId="0" borderId="45" xfId="0" applyFont="1" applyBorder="1" applyAlignment="1">
      <alignment horizontal="left"/>
    </xf>
    <xf numFmtId="0" fontId="73" fillId="8" borderId="0" xfId="0" applyFont="1" applyFill="1" applyAlignment="1">
      <alignment horizontal="left"/>
    </xf>
    <xf numFmtId="9" fontId="73" fillId="8" borderId="0" xfId="0" applyNumberFormat="1" applyFont="1" applyFill="1"/>
    <xf numFmtId="0" fontId="73" fillId="8" borderId="0" xfId="0" applyNumberFormat="1" applyFont="1" applyFill="1"/>
    <xf numFmtId="0" fontId="71" fillId="0" borderId="0" xfId="0" applyFont="1"/>
    <xf numFmtId="0" fontId="64" fillId="0" borderId="0" xfId="0" applyFont="1"/>
    <xf numFmtId="0" fontId="74" fillId="29" borderId="55" xfId="0" applyFont="1" applyFill="1" applyBorder="1" applyAlignment="1">
      <alignment horizontal="left" vertical="center" wrapText="1"/>
    </xf>
    <xf numFmtId="0" fontId="74" fillId="29" borderId="53" xfId="0" applyFont="1" applyFill="1" applyBorder="1"/>
    <xf numFmtId="164" fontId="24" fillId="0" borderId="56" xfId="4" applyNumberFormat="1" applyFont="1" applyBorder="1"/>
    <xf numFmtId="164" fontId="24" fillId="0" borderId="57" xfId="4" applyNumberFormat="1" applyFont="1" applyBorder="1"/>
    <xf numFmtId="164" fontId="77" fillId="0" borderId="58" xfId="4" applyNumberFormat="1" applyFont="1" applyBorder="1" applyAlignment="1">
      <alignment horizontal="left" wrapText="1"/>
    </xf>
    <xf numFmtId="164" fontId="77" fillId="0" borderId="52" xfId="4" applyNumberFormat="1" applyFont="1" applyBorder="1" applyAlignment="1">
      <alignment horizontal="left" wrapText="1"/>
    </xf>
    <xf numFmtId="164" fontId="77" fillId="0" borderId="59" xfId="4" applyNumberFormat="1" applyFont="1" applyBorder="1" applyAlignment="1">
      <alignment horizontal="left" wrapText="1"/>
    </xf>
    <xf numFmtId="0" fontId="77" fillId="0" borderId="60" xfId="0" applyFont="1" applyBorder="1" applyAlignment="1">
      <alignment horizontal="left"/>
    </xf>
    <xf numFmtId="0" fontId="77" fillId="0" borderId="61" xfId="0" applyNumberFormat="1" applyFont="1" applyBorder="1"/>
    <xf numFmtId="0" fontId="77" fillId="0" borderId="62" xfId="0" applyNumberFormat="1" applyFont="1" applyBorder="1"/>
    <xf numFmtId="0" fontId="74" fillId="29" borderId="54" xfId="0" applyFont="1" applyFill="1" applyBorder="1"/>
    <xf numFmtId="0" fontId="77" fillId="0" borderId="0" xfId="0" applyFont="1" applyBorder="1" applyAlignment="1">
      <alignment horizontal="left"/>
    </xf>
    <xf numFmtId="0" fontId="77" fillId="0" borderId="0" xfId="0" applyNumberFormat="1" applyFont="1" applyBorder="1"/>
    <xf numFmtId="0" fontId="77" fillId="0" borderId="65" xfId="0" applyFont="1" applyBorder="1"/>
    <xf numFmtId="0" fontId="77" fillId="0" borderId="65" xfId="0" applyFont="1" applyBorder="1" applyAlignment="1">
      <alignment horizontal="left"/>
    </xf>
    <xf numFmtId="0" fontId="77" fillId="0" borderId="65" xfId="0" applyNumberFormat="1" applyFont="1" applyBorder="1"/>
    <xf numFmtId="0" fontId="11" fillId="0" borderId="64" xfId="0" applyFont="1" applyBorder="1" applyAlignment="1">
      <alignment horizontal="left"/>
    </xf>
    <xf numFmtId="0" fontId="11" fillId="0" borderId="64" xfId="0" applyNumberFormat="1" applyFont="1" applyBorder="1"/>
    <xf numFmtId="0" fontId="11" fillId="0" borderId="68" xfId="0" applyFont="1" applyBorder="1" applyAlignment="1">
      <alignment horizontal="left"/>
    </xf>
    <xf numFmtId="0" fontId="11" fillId="0" borderId="68" xfId="0" applyNumberFormat="1" applyFont="1" applyBorder="1"/>
    <xf numFmtId="0" fontId="11" fillId="0" borderId="69" xfId="0" applyNumberFormat="1" applyFont="1" applyBorder="1"/>
    <xf numFmtId="0" fontId="11" fillId="0" borderId="70" xfId="0" applyNumberFormat="1" applyFont="1" applyBorder="1"/>
    <xf numFmtId="0" fontId="78" fillId="39" borderId="66" xfId="0" applyFont="1" applyFill="1" applyBorder="1"/>
    <xf numFmtId="0" fontId="78" fillId="9" borderId="0" xfId="0" applyFont="1" applyFill="1"/>
    <xf numFmtId="0" fontId="74" fillId="32" borderId="0" xfId="0" applyFont="1" applyFill="1"/>
    <xf numFmtId="0" fontId="73" fillId="14" borderId="0" xfId="0" applyFont="1" applyFill="1"/>
    <xf numFmtId="0" fontId="73" fillId="9" borderId="0" xfId="0" applyFont="1" applyFill="1"/>
    <xf numFmtId="0" fontId="71" fillId="34" borderId="0" xfId="0" applyFont="1" applyFill="1"/>
    <xf numFmtId="0" fontId="73" fillId="32" borderId="0" xfId="0" applyFont="1" applyFill="1"/>
    <xf numFmtId="0" fontId="71" fillId="10" borderId="0" xfId="0" applyFont="1" applyFill="1"/>
    <xf numFmtId="0" fontId="80" fillId="0" borderId="0" xfId="0" applyFont="1"/>
    <xf numFmtId="164" fontId="11" fillId="31" borderId="0" xfId="4" applyNumberFormat="1" applyFont="1" applyFill="1" applyBorder="1" applyAlignment="1">
      <alignment vertical="center"/>
    </xf>
    <xf numFmtId="9" fontId="11" fillId="31" borderId="0" xfId="0" applyNumberFormat="1" applyFont="1" applyFill="1" applyBorder="1" applyAlignment="1">
      <alignment horizontal="center" vertical="center"/>
    </xf>
    <xf numFmtId="0" fontId="11" fillId="31" borderId="0" xfId="0" applyFont="1" applyFill="1" applyBorder="1" applyAlignment="1">
      <alignment vertical="center"/>
    </xf>
    <xf numFmtId="0" fontId="11" fillId="31" borderId="0" xfId="0" applyFont="1" applyFill="1" applyBorder="1" applyAlignment="1">
      <alignment horizontal="left" vertical="center"/>
    </xf>
    <xf numFmtId="0" fontId="34" fillId="21" borderId="0" xfId="1" applyNumberFormat="1" applyFont="1" applyFill="1" applyBorder="1" applyAlignment="1">
      <alignment horizontal="center"/>
    </xf>
    <xf numFmtId="0" fontId="34" fillId="21" borderId="0" xfId="0" applyNumberFormat="1" applyFont="1" applyFill="1" applyBorder="1" applyAlignment="1">
      <alignment horizontal="center"/>
    </xf>
    <xf numFmtId="0" fontId="19" fillId="0" borderId="0" xfId="0" applyNumberFormat="1" applyFont="1" applyFill="1" applyBorder="1" applyAlignment="1">
      <alignment horizontal="left" vertical="center" readingOrder="1"/>
    </xf>
    <xf numFmtId="0" fontId="69" fillId="0" borderId="35" xfId="0" applyFont="1" applyBorder="1" applyAlignment="1">
      <alignment vertical="center" wrapText="1"/>
    </xf>
    <xf numFmtId="0" fontId="69" fillId="0" borderId="36" xfId="0" applyFont="1" applyBorder="1" applyAlignment="1">
      <alignment vertical="center" wrapText="1"/>
    </xf>
    <xf numFmtId="9" fontId="61" fillId="10" borderId="39" xfId="1" applyFont="1" applyFill="1" applyBorder="1"/>
    <xf numFmtId="9" fontId="61" fillId="7" borderId="39" xfId="1" applyFont="1" applyFill="1" applyBorder="1"/>
    <xf numFmtId="9" fontId="61" fillId="11" borderId="39" xfId="1" applyFont="1" applyFill="1" applyBorder="1"/>
    <xf numFmtId="0" fontId="67" fillId="14" borderId="26" xfId="0" applyFont="1" applyFill="1" applyBorder="1" applyAlignment="1">
      <alignment horizontal="center" vertical="top" wrapText="1"/>
    </xf>
    <xf numFmtId="164" fontId="67" fillId="14" borderId="26" xfId="4" applyNumberFormat="1" applyFont="1" applyFill="1" applyBorder="1" applyAlignment="1">
      <alignment horizontal="center" vertical="top" wrapText="1"/>
    </xf>
    <xf numFmtId="164" fontId="68" fillId="10" borderId="26" xfId="4" applyNumberFormat="1" applyFont="1" applyFill="1" applyBorder="1" applyAlignment="1">
      <alignment horizontal="center" vertical="top" wrapText="1"/>
    </xf>
    <xf numFmtId="164" fontId="61" fillId="7" borderId="26" xfId="4" applyNumberFormat="1" applyFont="1" applyFill="1" applyBorder="1" applyAlignment="1">
      <alignment horizontal="center" vertical="top" wrapText="1"/>
    </xf>
    <xf numFmtId="0" fontId="67" fillId="8" borderId="26" xfId="0" applyFont="1" applyFill="1" applyBorder="1" applyAlignment="1">
      <alignment horizontal="center" vertical="top" wrapText="1"/>
    </xf>
    <xf numFmtId="164" fontId="67" fillId="8" borderId="26" xfId="4" applyNumberFormat="1" applyFont="1" applyFill="1" applyBorder="1" applyAlignment="1">
      <alignment horizontal="center" vertical="top" wrapText="1"/>
    </xf>
    <xf numFmtId="0" fontId="67" fillId="9" borderId="26" xfId="0" applyFont="1" applyFill="1" applyBorder="1" applyAlignment="1">
      <alignment horizontal="center" vertical="top" wrapText="1"/>
    </xf>
    <xf numFmtId="164" fontId="67" fillId="9" borderId="26" xfId="4" applyNumberFormat="1" applyFont="1" applyFill="1" applyBorder="1"/>
    <xf numFmtId="164" fontId="61" fillId="11" borderId="26" xfId="4" applyNumberFormat="1" applyFont="1" applyFill="1" applyBorder="1"/>
    <xf numFmtId="9" fontId="68" fillId="10" borderId="26" xfId="1" applyFont="1" applyFill="1" applyBorder="1" applyAlignment="1">
      <alignment horizontal="center" vertical="top" wrapText="1"/>
    </xf>
    <xf numFmtId="9" fontId="61" fillId="7" borderId="26" xfId="1" applyFont="1" applyFill="1" applyBorder="1" applyAlignment="1">
      <alignment horizontal="center" vertical="top" wrapText="1"/>
    </xf>
    <xf numFmtId="9" fontId="61" fillId="11" borderId="26" xfId="1" applyFont="1" applyFill="1" applyBorder="1" applyAlignment="1">
      <alignment horizontal="center" vertical="top" wrapText="1"/>
    </xf>
    <xf numFmtId="9" fontId="67" fillId="14" borderId="26" xfId="1" applyFont="1" applyFill="1" applyBorder="1"/>
    <xf numFmtId="9" fontId="67" fillId="8" borderId="26" xfId="1" applyFont="1" applyFill="1" applyBorder="1"/>
    <xf numFmtId="9" fontId="67" fillId="9" borderId="26" xfId="1" applyFont="1" applyFill="1" applyBorder="1"/>
    <xf numFmtId="0" fontId="61" fillId="0" borderId="0" xfId="0" applyFont="1" applyFill="1"/>
    <xf numFmtId="0" fontId="81" fillId="26" borderId="71" xfId="0" applyFont="1" applyFill="1" applyBorder="1"/>
    <xf numFmtId="0" fontId="73" fillId="41" borderId="0" xfId="0" applyFont="1" applyFill="1" applyAlignment="1">
      <alignment vertical="center"/>
    </xf>
    <xf numFmtId="1" fontId="82" fillId="0" borderId="0" xfId="0" applyNumberFormat="1" applyFont="1" applyFill="1"/>
    <xf numFmtId="0" fontId="82" fillId="0" borderId="0" xfId="0" applyFont="1" applyFill="1"/>
    <xf numFmtId="0" fontId="82" fillId="0" borderId="0" xfId="0" applyNumberFormat="1" applyFont="1" applyFill="1" applyAlignment="1">
      <alignment wrapText="1" readingOrder="1"/>
    </xf>
    <xf numFmtId="165" fontId="82" fillId="0" borderId="0" xfId="0" applyNumberFormat="1" applyFont="1" applyFill="1"/>
    <xf numFmtId="0" fontId="82" fillId="0" borderId="0" xfId="0" applyFont="1" applyFill="1" applyAlignment="1">
      <alignment wrapText="1" readingOrder="1"/>
    </xf>
    <xf numFmtId="0" fontId="82" fillId="0" borderId="0" xfId="0" applyNumberFormat="1" applyFont="1" applyFill="1" applyBorder="1"/>
    <xf numFmtId="0" fontId="19" fillId="0" borderId="0" xfId="1" applyNumberFormat="1" applyFont="1" applyFill="1" applyBorder="1" applyAlignment="1">
      <alignment horizontal="left" vertical="center" readingOrder="1"/>
    </xf>
    <xf numFmtId="0" fontId="82" fillId="0" borderId="29" xfId="0" applyNumberFormat="1" applyFont="1" applyFill="1" applyBorder="1"/>
    <xf numFmtId="1" fontId="82" fillId="0" borderId="30" xfId="0" applyNumberFormat="1" applyFont="1" applyFill="1" applyBorder="1"/>
    <xf numFmtId="164" fontId="61" fillId="0" borderId="0" xfId="4" applyNumberFormat="1" applyFont="1"/>
    <xf numFmtId="0" fontId="86" fillId="0" borderId="0" xfId="0" applyFont="1"/>
    <xf numFmtId="0" fontId="27" fillId="0" borderId="78" xfId="0" applyFont="1" applyBorder="1" applyAlignment="1">
      <alignment vertical="center" wrapText="1"/>
    </xf>
    <xf numFmtId="0" fontId="27" fillId="0" borderId="94" xfId="0" applyFont="1" applyBorder="1" applyAlignment="1">
      <alignment vertical="center" wrapText="1"/>
    </xf>
    <xf numFmtId="164" fontId="67" fillId="36" borderId="24" xfId="4" applyNumberFormat="1" applyFont="1" applyFill="1" applyBorder="1" applyAlignment="1">
      <alignment vertical="center"/>
    </xf>
    <xf numFmtId="164" fontId="67" fillId="8" borderId="24" xfId="4" applyNumberFormat="1" applyFont="1" applyFill="1" applyBorder="1" applyAlignment="1">
      <alignment vertical="center"/>
    </xf>
    <xf numFmtId="164" fontId="67" fillId="14" borderId="24" xfId="4" applyNumberFormat="1" applyFont="1" applyFill="1" applyBorder="1" applyAlignment="1">
      <alignment vertical="center"/>
    </xf>
    <xf numFmtId="164" fontId="67" fillId="8" borderId="24" xfId="4" applyNumberFormat="1" applyFont="1" applyFill="1" applyBorder="1" applyAlignment="1">
      <alignment horizontal="center" vertical="center" wrapText="1"/>
    </xf>
    <xf numFmtId="9" fontId="87" fillId="0" borderId="0" xfId="0" applyNumberFormat="1" applyFont="1" applyFill="1" applyAlignment="1">
      <alignment horizontal="center" vertical="center"/>
    </xf>
    <xf numFmtId="0" fontId="88" fillId="0" borderId="0" xfId="0" applyNumberFormat="1" applyFont="1" applyFill="1" applyAlignment="1">
      <alignment vertical="center"/>
    </xf>
    <xf numFmtId="0" fontId="87" fillId="0" borderId="0" xfId="4" applyNumberFormat="1" applyFont="1" applyFill="1" applyAlignment="1">
      <alignment vertical="center"/>
    </xf>
    <xf numFmtId="167" fontId="19" fillId="0" borderId="0" xfId="0" applyNumberFormat="1" applyFont="1" applyFill="1" applyBorder="1" applyAlignment="1">
      <alignment horizontal="left" vertical="center" readingOrder="1"/>
    </xf>
    <xf numFmtId="0" fontId="91" fillId="0" borderId="0" xfId="0" applyFont="1"/>
    <xf numFmtId="164" fontId="76" fillId="0" borderId="49" xfId="4" applyNumberFormat="1" applyFont="1" applyBorder="1"/>
    <xf numFmtId="164" fontId="76" fillId="0" borderId="50" xfId="4" applyNumberFormat="1" applyFont="1" applyBorder="1"/>
    <xf numFmtId="164" fontId="76" fillId="0" borderId="51" xfId="4" applyNumberFormat="1" applyFont="1" applyBorder="1"/>
    <xf numFmtId="1" fontId="92" fillId="0" borderId="0" xfId="0" applyNumberFormat="1" applyFont="1" applyFill="1"/>
    <xf numFmtId="0" fontId="92" fillId="0" borderId="0" xfId="0" applyFont="1" applyFill="1"/>
    <xf numFmtId="0" fontId="92" fillId="0" borderId="0" xfId="0" applyNumberFormat="1" applyFont="1" applyFill="1" applyAlignment="1">
      <alignment wrapText="1" readingOrder="1"/>
    </xf>
    <xf numFmtId="165" fontId="92" fillId="0" borderId="0" xfId="0" applyNumberFormat="1" applyFont="1" applyFill="1"/>
    <xf numFmtId="0" fontId="92" fillId="0" borderId="0" xfId="0" applyFont="1" applyFill="1" applyAlignment="1">
      <alignment wrapText="1" readingOrder="1"/>
    </xf>
    <xf numFmtId="0" fontId="92" fillId="0" borderId="0" xfId="0" applyNumberFormat="1" applyFont="1" applyFill="1" applyBorder="1"/>
    <xf numFmtId="1" fontId="92" fillId="0" borderId="0" xfId="0" applyNumberFormat="1" applyFont="1" applyFill="1" applyBorder="1"/>
    <xf numFmtId="0" fontId="27" fillId="10" borderId="0" xfId="0" applyFont="1" applyFill="1"/>
    <xf numFmtId="168" fontId="27" fillId="0" borderId="0" xfId="0" applyNumberFormat="1" applyFont="1" applyAlignment="1">
      <alignment wrapText="1"/>
    </xf>
    <xf numFmtId="49" fontId="90" fillId="0" borderId="0" xfId="21" applyNumberFormat="1" applyFont="1" applyFill="1" applyBorder="1" applyAlignment="1">
      <alignment horizontal="left" vertical="center" wrapText="1"/>
    </xf>
    <xf numFmtId="1" fontId="93" fillId="0" borderId="0" xfId="0" applyNumberFormat="1" applyFont="1" applyFill="1"/>
    <xf numFmtId="0" fontId="93" fillId="0" borderId="0" xfId="0" applyFont="1" applyFill="1"/>
    <xf numFmtId="0" fontId="93" fillId="0" borderId="0" xfId="0" applyNumberFormat="1" applyFont="1" applyFill="1" applyAlignment="1">
      <alignment wrapText="1" readingOrder="1"/>
    </xf>
    <xf numFmtId="165" fontId="93" fillId="0" borderId="0" xfId="0" applyNumberFormat="1" applyFont="1" applyFill="1"/>
    <xf numFmtId="0" fontId="93" fillId="0" borderId="0" xfId="0" applyFont="1" applyFill="1" applyAlignment="1">
      <alignment wrapText="1" readingOrder="1"/>
    </xf>
    <xf numFmtId="0" fontId="93" fillId="0" borderId="0" xfId="0" applyNumberFormat="1" applyFont="1" applyFill="1" applyBorder="1"/>
    <xf numFmtId="1" fontId="93" fillId="0" borderId="0" xfId="0" applyNumberFormat="1" applyFont="1" applyFill="1" applyBorder="1"/>
    <xf numFmtId="0" fontId="86" fillId="0" borderId="31" xfId="0" applyFont="1" applyBorder="1"/>
    <xf numFmtId="0" fontId="86" fillId="31" borderId="31" xfId="0" applyFont="1" applyFill="1" applyBorder="1"/>
    <xf numFmtId="0" fontId="94" fillId="35" borderId="0" xfId="0" applyFont="1" applyFill="1" applyBorder="1" applyAlignment="1">
      <alignment horizontal="center" vertical="center" wrapText="1"/>
    </xf>
    <xf numFmtId="0" fontId="94" fillId="35" borderId="0" xfId="0" applyFont="1" applyFill="1" applyBorder="1" applyAlignment="1">
      <alignment horizontal="center" vertical="center"/>
    </xf>
    <xf numFmtId="0" fontId="94" fillId="35" borderId="71" xfId="0" applyFont="1" applyFill="1" applyBorder="1" applyAlignment="1">
      <alignment horizontal="center" vertical="center"/>
    </xf>
    <xf numFmtId="0" fontId="94" fillId="35" borderId="71" xfId="0" applyFont="1" applyFill="1" applyBorder="1" applyAlignment="1">
      <alignment horizontal="center" vertical="center" wrapText="1"/>
    </xf>
    <xf numFmtId="0" fontId="94" fillId="35" borderId="79" xfId="0" applyFont="1" applyFill="1" applyBorder="1" applyAlignment="1">
      <alignment horizontal="center" vertical="center" wrapText="1"/>
    </xf>
    <xf numFmtId="0" fontId="94" fillId="35" borderId="95" xfId="0" applyFont="1" applyFill="1" applyBorder="1" applyAlignment="1">
      <alignment horizontal="center" vertical="center"/>
    </xf>
    <xf numFmtId="0" fontId="94" fillId="35" borderId="95" xfId="0" applyFont="1" applyFill="1" applyBorder="1" applyAlignment="1">
      <alignment horizontal="center" vertical="center" wrapText="1"/>
    </xf>
    <xf numFmtId="0" fontId="94" fillId="35" borderId="93" xfId="0" applyFont="1" applyFill="1" applyBorder="1" applyAlignment="1">
      <alignment horizontal="center" vertical="center" wrapText="1"/>
    </xf>
    <xf numFmtId="0" fontId="86" fillId="42" borderId="0" xfId="0" applyFont="1" applyFill="1"/>
    <xf numFmtId="9" fontId="11" fillId="0" borderId="0" xfId="0" applyNumberFormat="1" applyFont="1" applyFill="1" applyAlignment="1">
      <alignment vertical="center"/>
    </xf>
    <xf numFmtId="0" fontId="79" fillId="0" borderId="85" xfId="0" applyNumberFormat="1" applyFont="1" applyFill="1" applyBorder="1" applyAlignment="1">
      <alignment vertical="center"/>
    </xf>
    <xf numFmtId="0" fontId="24" fillId="0" borderId="84" xfId="0" applyFont="1" applyFill="1" applyBorder="1" applyAlignment="1">
      <alignment horizontal="left" vertical="center"/>
    </xf>
    <xf numFmtId="9" fontId="24" fillId="0" borderId="98" xfId="0" applyNumberFormat="1" applyFont="1" applyFill="1" applyBorder="1" applyAlignment="1">
      <alignment horizontal="center" vertical="center"/>
    </xf>
    <xf numFmtId="9" fontId="24" fillId="0" borderId="98" xfId="0" applyNumberFormat="1" applyFont="1" applyFill="1" applyBorder="1" applyAlignment="1">
      <alignment vertical="center"/>
    </xf>
    <xf numFmtId="164" fontId="24" fillId="0" borderId="97" xfId="4" applyNumberFormat="1" applyFont="1" applyFill="1" applyBorder="1" applyAlignment="1">
      <alignment vertical="center"/>
    </xf>
    <xf numFmtId="0" fontId="24" fillId="0" borderId="85" xfId="0" applyFont="1" applyFill="1" applyBorder="1" applyAlignment="1">
      <alignment vertical="center"/>
    </xf>
    <xf numFmtId="0" fontId="11" fillId="0" borderId="86" xfId="0" applyFont="1" applyFill="1" applyBorder="1" applyAlignment="1">
      <alignment vertical="center"/>
    </xf>
    <xf numFmtId="0" fontId="11" fillId="0" borderId="33" xfId="0" applyFont="1" applyFill="1" applyBorder="1" applyAlignment="1">
      <alignment vertical="center"/>
    </xf>
    <xf numFmtId="164" fontId="11" fillId="0" borderId="33" xfId="4" applyNumberFormat="1" applyFont="1" applyFill="1" applyBorder="1" applyAlignment="1">
      <alignment vertical="center"/>
    </xf>
    <xf numFmtId="9" fontId="11" fillId="0" borderId="33" xfId="0" applyNumberFormat="1" applyFont="1" applyFill="1" applyBorder="1" applyAlignment="1">
      <alignment horizontal="center" vertical="center"/>
    </xf>
    <xf numFmtId="9" fontId="11" fillId="0" borderId="87" xfId="0" applyNumberFormat="1" applyFont="1" applyFill="1" applyBorder="1" applyAlignment="1">
      <alignment horizontal="center" vertical="center"/>
    </xf>
    <xf numFmtId="0" fontId="11" fillId="0" borderId="86" xfId="0" applyFont="1" applyFill="1" applyBorder="1" applyAlignment="1">
      <alignment horizontal="left" vertical="center"/>
    </xf>
    <xf numFmtId="164" fontId="27" fillId="0" borderId="33" xfId="4" applyNumberFormat="1" applyFont="1" applyFill="1" applyBorder="1" applyAlignment="1">
      <alignment vertical="center"/>
    </xf>
    <xf numFmtId="0" fontId="24" fillId="0" borderId="88" xfId="0" applyFont="1" applyFill="1" applyBorder="1" applyAlignment="1">
      <alignment horizontal="left" vertical="center"/>
    </xf>
    <xf numFmtId="0" fontId="24" fillId="0" borderId="89" xfId="0" applyFont="1" applyFill="1" applyBorder="1" applyAlignment="1">
      <alignment vertical="center"/>
    </xf>
    <xf numFmtId="164" fontId="79" fillId="0" borderId="89" xfId="0" applyNumberFormat="1" applyFont="1" applyFill="1" applyBorder="1" applyAlignment="1">
      <alignment vertical="center"/>
    </xf>
    <xf numFmtId="9" fontId="24" fillId="0" borderId="89" xfId="0" applyNumberFormat="1" applyFont="1" applyFill="1" applyBorder="1" applyAlignment="1">
      <alignment horizontal="center" vertical="center"/>
    </xf>
    <xf numFmtId="9" fontId="24" fillId="0" borderId="90" xfId="0" applyNumberFormat="1" applyFont="1" applyFill="1" applyBorder="1" applyAlignment="1">
      <alignment horizontal="center" vertical="center"/>
    </xf>
    <xf numFmtId="0" fontId="11" fillId="0" borderId="80" xfId="0" applyFont="1" applyFill="1" applyBorder="1" applyAlignment="1">
      <alignment vertical="center"/>
    </xf>
    <xf numFmtId="0" fontId="11" fillId="0" borderId="24" xfId="0" applyFont="1" applyFill="1" applyBorder="1" applyAlignment="1">
      <alignment vertical="center"/>
    </xf>
    <xf numFmtId="164" fontId="11" fillId="0" borderId="24" xfId="4" applyNumberFormat="1" applyFont="1" applyFill="1" applyBorder="1" applyAlignment="1">
      <alignment vertical="center"/>
    </xf>
    <xf numFmtId="9" fontId="11" fillId="0" borderId="24" xfId="0" applyNumberFormat="1" applyFont="1" applyFill="1" applyBorder="1" applyAlignment="1">
      <alignment horizontal="center" vertical="center"/>
    </xf>
    <xf numFmtId="9" fontId="11" fillId="0" borderId="81" xfId="0" applyNumberFormat="1" applyFont="1" applyFill="1" applyBorder="1" applyAlignment="1">
      <alignment horizontal="center" vertical="center"/>
    </xf>
    <xf numFmtId="0" fontId="11" fillId="0" borderId="82" xfId="0" applyFont="1" applyFill="1" applyBorder="1" applyAlignment="1">
      <alignment vertical="center"/>
    </xf>
    <xf numFmtId="0" fontId="11" fillId="0" borderId="77" xfId="0" applyFont="1" applyFill="1" applyBorder="1" applyAlignment="1">
      <alignment vertical="center" wrapText="1"/>
    </xf>
    <xf numFmtId="164" fontId="11" fillId="0" borderId="77" xfId="4" applyNumberFormat="1" applyFont="1" applyFill="1" applyBorder="1" applyAlignment="1">
      <alignment vertical="center"/>
    </xf>
    <xf numFmtId="9" fontId="11" fillId="0" borderId="77" xfId="0" applyNumberFormat="1" applyFont="1" applyFill="1" applyBorder="1" applyAlignment="1">
      <alignment horizontal="center" vertical="center"/>
    </xf>
    <xf numFmtId="9" fontId="11" fillId="0" borderId="83" xfId="0" applyNumberFormat="1" applyFont="1" applyFill="1" applyBorder="1" applyAlignment="1">
      <alignment horizontal="center" vertical="center"/>
    </xf>
    <xf numFmtId="164" fontId="24" fillId="0" borderId="85" xfId="0" applyNumberFormat="1" applyFont="1" applyFill="1" applyBorder="1" applyAlignment="1">
      <alignment vertical="center"/>
    </xf>
    <xf numFmtId="9" fontId="24" fillId="0" borderId="85" xfId="1" applyFont="1" applyFill="1" applyBorder="1" applyAlignment="1">
      <alignment horizontal="center" vertical="center"/>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164" fontId="11" fillId="0" borderId="0" xfId="4" applyNumberFormat="1" applyFont="1" applyFill="1" applyBorder="1" applyAlignment="1">
      <alignment vertical="center"/>
    </xf>
    <xf numFmtId="9" fontId="11" fillId="0" borderId="0" xfId="0" applyNumberFormat="1" applyFont="1" applyFill="1" applyBorder="1" applyAlignment="1">
      <alignment horizontal="center" vertical="center"/>
    </xf>
    <xf numFmtId="164" fontId="24" fillId="0" borderId="98" xfId="4" applyNumberFormat="1" applyFont="1" applyFill="1" applyBorder="1" applyAlignment="1">
      <alignment vertical="center"/>
    </xf>
    <xf numFmtId="0" fontId="12" fillId="0" borderId="0" xfId="19" applyFont="1" applyAlignment="1">
      <alignment horizontal="left" vertical="center"/>
    </xf>
    <xf numFmtId="0" fontId="25" fillId="0" borderId="0" xfId="22" applyFont="1" applyAlignment="1">
      <alignment horizontal="left" vertical="center"/>
    </xf>
    <xf numFmtId="0" fontId="12" fillId="0" borderId="0" xfId="19" applyAlignment="1">
      <alignment horizontal="left" vertical="center"/>
    </xf>
    <xf numFmtId="0" fontId="48" fillId="24" borderId="99" xfId="23" applyFont="1" applyBorder="1" applyAlignment="1">
      <alignment horizontal="center" vertical="center" wrapText="1"/>
    </xf>
    <xf numFmtId="0" fontId="49" fillId="25" borderId="99" xfId="24" applyFont="1" applyBorder="1" applyAlignment="1">
      <alignment horizontal="center" vertical="center" wrapText="1"/>
    </xf>
    <xf numFmtId="0" fontId="50" fillId="26" borderId="99" xfId="22" applyFont="1" applyFill="1" applyBorder="1" applyAlignment="1">
      <alignment horizontal="center" vertical="center"/>
    </xf>
    <xf numFmtId="0" fontId="46" fillId="24" borderId="99" xfId="23" applyBorder="1" applyAlignment="1">
      <alignment horizontal="left" vertical="center"/>
    </xf>
    <xf numFmtId="0" fontId="47" fillId="25" borderId="99" xfId="24" applyBorder="1" applyAlignment="1">
      <alignment horizontal="left" vertical="center"/>
    </xf>
    <xf numFmtId="0" fontId="25" fillId="44" borderId="99" xfId="22" applyFont="1" applyFill="1" applyBorder="1" applyAlignment="1">
      <alignment horizontal="left" vertical="center"/>
    </xf>
    <xf numFmtId="0" fontId="26" fillId="18" borderId="99" xfId="19" applyFont="1" applyFill="1" applyBorder="1" applyAlignment="1">
      <alignment horizontal="left" vertical="center" wrapText="1" readingOrder="1"/>
    </xf>
    <xf numFmtId="0" fontId="54" fillId="5" borderId="99" xfId="23" applyFont="1" applyFill="1" applyBorder="1" applyAlignment="1">
      <alignment horizontal="left" vertical="center"/>
    </xf>
    <xf numFmtId="0" fontId="54" fillId="5" borderId="99" xfId="24" applyFont="1" applyFill="1" applyBorder="1" applyAlignment="1">
      <alignment horizontal="left" vertical="center"/>
    </xf>
    <xf numFmtId="0" fontId="51" fillId="26" borderId="99" xfId="22" applyFont="1" applyFill="1" applyBorder="1" applyAlignment="1">
      <alignment horizontal="left" vertical="center" wrapText="1"/>
    </xf>
    <xf numFmtId="1" fontId="26" fillId="18" borderId="99" xfId="19" applyNumberFormat="1" applyFont="1" applyFill="1" applyBorder="1" applyAlignment="1">
      <alignment horizontal="left" vertical="center" wrapText="1" readingOrder="1"/>
    </xf>
    <xf numFmtId="0" fontId="46" fillId="24" borderId="102" xfId="23" applyBorder="1" applyAlignment="1">
      <alignment horizontal="left" vertical="center"/>
    </xf>
    <xf numFmtId="0" fontId="47" fillId="25" borderId="102" xfId="24" applyBorder="1" applyAlignment="1">
      <alignment horizontal="left" vertical="center"/>
    </xf>
    <xf numFmtId="9" fontId="26" fillId="18" borderId="99" xfId="19" applyNumberFormat="1" applyFont="1" applyFill="1" applyBorder="1" applyAlignment="1">
      <alignment horizontal="left" vertical="center" wrapText="1" readingOrder="1"/>
    </xf>
    <xf numFmtId="9" fontId="26" fillId="18" borderId="99" xfId="20" applyNumberFormat="1" applyFont="1" applyFill="1" applyBorder="1" applyAlignment="1">
      <alignment horizontal="left" vertical="center" wrapText="1" readingOrder="1"/>
    </xf>
    <xf numFmtId="0" fontId="56" fillId="8" borderId="99" xfId="23" applyFont="1" applyFill="1" applyBorder="1" applyAlignment="1">
      <alignment horizontal="left" vertical="center"/>
    </xf>
    <xf numFmtId="0" fontId="56" fillId="8" borderId="99" xfId="24" applyFont="1" applyFill="1" applyBorder="1" applyAlignment="1">
      <alignment horizontal="left" vertical="center"/>
    </xf>
    <xf numFmtId="0" fontId="52" fillId="26" borderId="99" xfId="22" applyFont="1" applyFill="1" applyBorder="1" applyAlignment="1">
      <alignment horizontal="left" vertical="center" wrapText="1"/>
    </xf>
    <xf numFmtId="1" fontId="26" fillId="7" borderId="99" xfId="19" applyNumberFormat="1" applyFont="1" applyFill="1" applyBorder="1" applyAlignment="1">
      <alignment horizontal="left" vertical="center" wrapText="1" readingOrder="1"/>
    </xf>
    <xf numFmtId="0" fontId="57" fillId="36" borderId="99" xfId="23" applyFont="1" applyFill="1" applyBorder="1" applyAlignment="1">
      <alignment horizontal="left" vertical="center"/>
    </xf>
    <xf numFmtId="0" fontId="57" fillId="36" borderId="99" xfId="24" applyFont="1" applyFill="1" applyBorder="1" applyAlignment="1">
      <alignment horizontal="left" vertical="center"/>
    </xf>
    <xf numFmtId="0" fontId="53" fillId="26" borderId="99" xfId="22" applyFont="1" applyFill="1" applyBorder="1" applyAlignment="1">
      <alignment horizontal="left" vertical="center" wrapText="1"/>
    </xf>
    <xf numFmtId="0" fontId="78" fillId="36" borderId="99" xfId="23" applyFont="1" applyFill="1" applyBorder="1" applyAlignment="1">
      <alignment horizontal="left" vertical="center" wrapText="1"/>
    </xf>
    <xf numFmtId="0" fontId="25" fillId="44" borderId="102" xfId="22" applyFont="1" applyFill="1" applyBorder="1" applyAlignment="1">
      <alignment horizontal="left" vertical="center"/>
    </xf>
    <xf numFmtId="0" fontId="14" fillId="0" borderId="0" xfId="22" applyAlignment="1">
      <alignment vertical="top" wrapText="1"/>
    </xf>
    <xf numFmtId="0" fontId="39" fillId="0" borderId="0" xfId="22" applyFont="1" applyAlignment="1">
      <alignment vertical="top" wrapText="1"/>
    </xf>
    <xf numFmtId="0" fontId="14" fillId="0" borderId="0" xfId="22" applyAlignment="1">
      <alignment wrapText="1"/>
    </xf>
    <xf numFmtId="0" fontId="20" fillId="12" borderId="4" xfId="22" applyFont="1" applyFill="1" applyBorder="1" applyAlignment="1">
      <alignment vertical="top" wrapText="1"/>
    </xf>
    <xf numFmtId="0" fontId="23" fillId="10" borderId="4" xfId="22" applyFont="1" applyFill="1" applyBorder="1" applyAlignment="1">
      <alignment horizontal="left" vertical="top" wrapText="1"/>
    </xf>
    <xf numFmtId="0" fontId="23" fillId="10" borderId="4" xfId="22" applyFont="1" applyFill="1" applyBorder="1" applyAlignment="1">
      <alignment horizontal="left" vertical="center" wrapText="1"/>
    </xf>
    <xf numFmtId="0" fontId="21" fillId="7" borderId="4" xfId="22" applyFont="1" applyFill="1" applyBorder="1" applyAlignment="1">
      <alignment vertical="top" wrapText="1"/>
    </xf>
    <xf numFmtId="0" fontId="21" fillId="11" borderId="4" xfId="22" applyFont="1" applyFill="1" applyBorder="1" applyAlignment="1">
      <alignment vertical="top" wrapText="1"/>
    </xf>
    <xf numFmtId="9" fontId="14" fillId="0" borderId="0" xfId="22" applyNumberFormat="1" applyAlignment="1">
      <alignment vertical="top" wrapText="1"/>
    </xf>
    <xf numFmtId="0" fontId="18" fillId="45" borderId="99" xfId="22" applyNumberFormat="1" applyFont="1" applyFill="1" applyBorder="1" applyAlignment="1">
      <alignment horizontal="center" vertical="center"/>
    </xf>
    <xf numFmtId="0" fontId="18" fillId="2" borderId="99" xfId="22" applyNumberFormat="1" applyFont="1" applyFill="1" applyBorder="1" applyAlignment="1">
      <alignment horizontal="center" vertical="center"/>
    </xf>
    <xf numFmtId="0" fontId="18" fillId="37" borderId="99" xfId="22" applyNumberFormat="1" applyFont="1" applyFill="1" applyBorder="1" applyAlignment="1">
      <alignment horizontal="center" vertical="center"/>
    </xf>
    <xf numFmtId="1" fontId="60" fillId="18" borderId="14" xfId="0" applyNumberFormat="1" applyFont="1" applyFill="1" applyBorder="1" applyAlignment="1">
      <alignment horizontal="left" vertical="top" wrapText="1" readingOrder="1"/>
    </xf>
    <xf numFmtId="0" fontId="18" fillId="38" borderId="99" xfId="22" applyNumberFormat="1" applyFont="1" applyFill="1" applyBorder="1" applyAlignment="1">
      <alignment horizontal="center" vertical="center"/>
    </xf>
    <xf numFmtId="0" fontId="60" fillId="27" borderId="99" xfId="22" applyNumberFormat="1" applyFont="1" applyFill="1" applyBorder="1" applyAlignment="1">
      <alignment horizontal="center" vertical="center" wrapText="1"/>
    </xf>
    <xf numFmtId="14" fontId="59" fillId="12" borderId="99" xfId="19" applyNumberFormat="1" applyFont="1" applyFill="1" applyBorder="1" applyAlignment="1">
      <alignment horizontal="center" vertical="center" wrapText="1"/>
    </xf>
    <xf numFmtId="14" fontId="59" fillId="22" borderId="99" xfId="19" applyNumberFormat="1" applyFont="1" applyFill="1" applyBorder="1" applyAlignment="1">
      <alignment horizontal="center" vertical="center" wrapText="1"/>
    </xf>
    <xf numFmtId="1" fontId="58" fillId="7" borderId="99" xfId="19" applyNumberFormat="1" applyFont="1" applyFill="1" applyBorder="1" applyAlignment="1">
      <alignment horizontal="center" vertical="center" wrapText="1"/>
    </xf>
    <xf numFmtId="0" fontId="58" fillId="7" borderId="99" xfId="19" applyFont="1" applyFill="1" applyBorder="1" applyAlignment="1">
      <alignment horizontal="center" vertical="center" wrapText="1"/>
    </xf>
    <xf numFmtId="0" fontId="58" fillId="7" borderId="0" xfId="19" applyFont="1" applyFill="1" applyBorder="1" applyAlignment="1">
      <alignment horizontal="center" vertical="center" wrapText="1"/>
    </xf>
    <xf numFmtId="0" fontId="18" fillId="9" borderId="99" xfId="22" applyNumberFormat="1" applyFont="1" applyFill="1" applyBorder="1" applyAlignment="1">
      <alignment horizontal="center" vertical="center"/>
    </xf>
    <xf numFmtId="164" fontId="19" fillId="0" borderId="0" xfId="4" applyNumberFormat="1" applyFont="1" applyFill="1" applyBorder="1" applyAlignment="1">
      <alignment horizontal="left" vertical="center" readingOrder="1"/>
    </xf>
    <xf numFmtId="164" fontId="19" fillId="0" borderId="23" xfId="4" applyNumberFormat="1" applyFont="1" applyFill="1" applyBorder="1" applyAlignment="1">
      <alignment horizontal="left" vertical="center" readingOrder="1"/>
    </xf>
    <xf numFmtId="164" fontId="19" fillId="0" borderId="0" xfId="4" applyNumberFormat="1" applyFont="1" applyFill="1" applyAlignment="1">
      <alignment horizontal="left" vertical="center" readingOrder="1"/>
    </xf>
    <xf numFmtId="14" fontId="19" fillId="17" borderId="99" xfId="19" applyNumberFormat="1" applyFont="1" applyFill="1" applyBorder="1" applyAlignment="1">
      <alignment horizontal="center" vertical="center" wrapText="1" readingOrder="1"/>
    </xf>
    <xf numFmtId="1" fontId="58" fillId="7" borderId="99" xfId="20" applyNumberFormat="1" applyFont="1" applyFill="1" applyBorder="1" applyAlignment="1">
      <alignment horizontal="center" vertical="center" wrapText="1"/>
    </xf>
    <xf numFmtId="1" fontId="60" fillId="7" borderId="99" xfId="19" applyNumberFormat="1" applyFont="1" applyFill="1" applyBorder="1" applyAlignment="1">
      <alignment horizontal="center" vertical="center" wrapText="1"/>
    </xf>
    <xf numFmtId="14" fontId="59" fillId="7" borderId="99" xfId="19" applyNumberFormat="1" applyFont="1" applyFill="1" applyBorder="1" applyAlignment="1">
      <alignment horizontal="center" vertical="center" wrapText="1"/>
    </xf>
    <xf numFmtId="0" fontId="59" fillId="7" borderId="99" xfId="19" applyFont="1" applyFill="1" applyBorder="1" applyAlignment="1">
      <alignment horizontal="center" vertical="center" wrapText="1"/>
    </xf>
    <xf numFmtId="0" fontId="34" fillId="14" borderId="0" xfId="0" applyFont="1" applyFill="1" applyBorder="1" applyAlignment="1"/>
    <xf numFmtId="1" fontId="34" fillId="8" borderId="0" xfId="0" applyNumberFormat="1" applyFont="1" applyFill="1" applyBorder="1" applyAlignment="1"/>
    <xf numFmtId="0" fontId="18" fillId="9" borderId="103" xfId="22" applyNumberFormat="1" applyFont="1" applyFill="1" applyBorder="1" applyAlignment="1">
      <alignment horizontal="center" vertical="center"/>
    </xf>
    <xf numFmtId="0" fontId="18" fillId="14" borderId="102" xfId="22" applyNumberFormat="1" applyFont="1" applyFill="1" applyBorder="1" applyAlignment="1">
      <alignment horizontal="center" vertical="center"/>
    </xf>
    <xf numFmtId="0" fontId="99" fillId="37" borderId="99" xfId="22" applyNumberFormat="1" applyFont="1" applyFill="1" applyBorder="1" applyAlignment="1">
      <alignment horizontal="left" vertical="center"/>
    </xf>
    <xf numFmtId="0" fontId="18" fillId="6" borderId="99" xfId="22" applyNumberFormat="1" applyFont="1" applyFill="1" applyBorder="1" applyAlignment="1">
      <alignment horizontal="center" vertical="center"/>
    </xf>
    <xf numFmtId="0" fontId="99" fillId="6" borderId="99" xfId="22" applyNumberFormat="1" applyFont="1" applyFill="1" applyBorder="1" applyAlignment="1">
      <alignment horizontal="left" vertical="center"/>
    </xf>
    <xf numFmtId="14" fontId="59" fillId="17" borderId="14" xfId="0" applyNumberFormat="1" applyFont="1" applyFill="1" applyBorder="1" applyAlignment="1">
      <alignment horizontal="left" vertical="top" wrapText="1" readingOrder="1"/>
    </xf>
    <xf numFmtId="0" fontId="60" fillId="18" borderId="14" xfId="0" applyFont="1" applyFill="1" applyBorder="1" applyAlignment="1">
      <alignment horizontal="left" vertical="top" wrapText="1" readingOrder="1"/>
    </xf>
    <xf numFmtId="0" fontId="60" fillId="22" borderId="19" xfId="0" applyNumberFormat="1" applyFont="1" applyFill="1" applyBorder="1" applyAlignment="1">
      <alignment horizontal="left" vertical="top" wrapText="1" readingOrder="1"/>
    </xf>
    <xf numFmtId="0" fontId="60" fillId="22" borderId="20" xfId="0" applyNumberFormat="1" applyFont="1" applyFill="1" applyBorder="1" applyAlignment="1">
      <alignment horizontal="left" vertical="top" wrapText="1" readingOrder="1"/>
    </xf>
    <xf numFmtId="0" fontId="60" fillId="22" borderId="2" xfId="0" applyNumberFormat="1" applyFont="1" applyFill="1" applyBorder="1" applyAlignment="1">
      <alignment horizontal="left" vertical="center" wrapText="1" readingOrder="1"/>
    </xf>
    <xf numFmtId="0" fontId="58" fillId="0" borderId="0" xfId="0" applyFont="1" applyAlignment="1">
      <alignment vertical="top" wrapText="1"/>
    </xf>
    <xf numFmtId="0" fontId="100" fillId="18" borderId="99" xfId="19" applyFont="1" applyFill="1" applyBorder="1" applyAlignment="1">
      <alignment horizontal="left" vertical="center" wrapText="1" readingOrder="1"/>
    </xf>
    <xf numFmtId="1" fontId="100" fillId="18" borderId="99" xfId="19" applyNumberFormat="1" applyFont="1" applyFill="1" applyBorder="1" applyAlignment="1">
      <alignment horizontal="left" vertical="center" wrapText="1" readingOrder="1"/>
    </xf>
    <xf numFmtId="0" fontId="101" fillId="18" borderId="99" xfId="19" applyFont="1" applyFill="1" applyBorder="1" applyAlignment="1">
      <alignment horizontal="left" vertical="center" wrapText="1" readingOrder="1"/>
    </xf>
    <xf numFmtId="0" fontId="100" fillId="18" borderId="99" xfId="19" applyFont="1" applyFill="1" applyBorder="1" applyAlignment="1">
      <alignment horizontal="left" vertical="center" wrapText="1"/>
    </xf>
    <xf numFmtId="1" fontId="101" fillId="18" borderId="99" xfId="19" applyNumberFormat="1" applyFont="1" applyFill="1" applyBorder="1" applyAlignment="1">
      <alignment horizontal="left" vertical="center" wrapText="1" readingOrder="1"/>
    </xf>
    <xf numFmtId="1" fontId="101" fillId="7" borderId="99" xfId="19" applyNumberFormat="1" applyFont="1" applyFill="1" applyBorder="1" applyAlignment="1">
      <alignment horizontal="left" vertical="center" wrapText="1" readingOrder="1"/>
    </xf>
    <xf numFmtId="0" fontId="100" fillId="28" borderId="99" xfId="19" applyFont="1" applyFill="1" applyBorder="1" applyAlignment="1">
      <alignment horizontal="left" vertical="center" wrapText="1"/>
    </xf>
    <xf numFmtId="14" fontId="101" fillId="7" borderId="99" xfId="19" applyNumberFormat="1" applyFont="1" applyFill="1" applyBorder="1" applyAlignment="1">
      <alignment horizontal="left" vertical="center" wrapText="1" readingOrder="1"/>
    </xf>
    <xf numFmtId="0" fontId="101" fillId="11" borderId="99" xfId="20" applyNumberFormat="1" applyFont="1" applyFill="1" applyBorder="1" applyAlignment="1">
      <alignment horizontal="left" vertical="center" wrapText="1" readingOrder="1"/>
    </xf>
    <xf numFmtId="1" fontId="101" fillId="11" borderId="99" xfId="19" applyNumberFormat="1" applyFont="1" applyFill="1" applyBorder="1" applyAlignment="1">
      <alignment horizontal="left" vertical="center" wrapText="1" readingOrder="1"/>
    </xf>
    <xf numFmtId="0" fontId="100" fillId="0" borderId="99" xfId="19" applyFont="1" applyFill="1" applyBorder="1" applyAlignment="1">
      <alignment horizontal="left" vertical="center" wrapText="1"/>
    </xf>
    <xf numFmtId="0" fontId="100" fillId="30" borderId="99" xfId="20" applyNumberFormat="1" applyFont="1" applyFill="1" applyBorder="1" applyAlignment="1">
      <alignment horizontal="left" vertical="center" wrapText="1" readingOrder="1"/>
    </xf>
    <xf numFmtId="14" fontId="101" fillId="17" borderId="99" xfId="19" applyNumberFormat="1" applyFont="1" applyFill="1" applyBorder="1" applyAlignment="1">
      <alignment horizontal="left" vertical="center" wrapText="1" readingOrder="1"/>
    </xf>
    <xf numFmtId="0" fontId="103" fillId="16" borderId="99" xfId="19" applyFont="1" applyFill="1" applyBorder="1" applyAlignment="1">
      <alignment horizontal="center" vertical="center" wrapText="1"/>
    </xf>
    <xf numFmtId="0" fontId="106" fillId="22" borderId="13" xfId="0" applyNumberFormat="1" applyFont="1" applyFill="1" applyBorder="1" applyAlignment="1">
      <alignment horizontal="left" vertical="center" wrapText="1" readingOrder="1"/>
    </xf>
    <xf numFmtId="0" fontId="106" fillId="22" borderId="2" xfId="0" applyNumberFormat="1" applyFont="1" applyFill="1" applyBorder="1" applyAlignment="1">
      <alignment horizontal="left" vertical="center" wrapText="1" readingOrder="1"/>
    </xf>
    <xf numFmtId="0" fontId="104" fillId="0" borderId="0" xfId="0" applyFont="1" applyAlignment="1"/>
    <xf numFmtId="0" fontId="47" fillId="25" borderId="100" xfId="24" applyBorder="1" applyAlignment="1">
      <alignment horizontal="left" vertical="center"/>
    </xf>
    <xf numFmtId="0" fontId="25" fillId="44" borderId="100" xfId="22" applyFont="1" applyFill="1" applyBorder="1" applyAlignment="1">
      <alignment horizontal="left" vertical="center"/>
    </xf>
    <xf numFmtId="0" fontId="54" fillId="5" borderId="0" xfId="23" applyFont="1" applyFill="1" applyBorder="1" applyAlignment="1">
      <alignment horizontal="left" vertical="center"/>
    </xf>
    <xf numFmtId="0" fontId="54" fillId="5" borderId="0" xfId="24" applyFont="1" applyFill="1" applyBorder="1" applyAlignment="1">
      <alignment horizontal="left" vertical="center"/>
    </xf>
    <xf numFmtId="0" fontId="51" fillId="26" borderId="0" xfId="22" applyFont="1" applyFill="1" applyBorder="1" applyAlignment="1">
      <alignment horizontal="left" vertical="center" wrapText="1"/>
    </xf>
    <xf numFmtId="14" fontId="26" fillId="18" borderId="99" xfId="19" applyNumberFormat="1" applyFont="1" applyFill="1" applyBorder="1" applyAlignment="1">
      <alignment horizontal="left" vertical="center" wrapText="1" readingOrder="1"/>
    </xf>
    <xf numFmtId="0" fontId="26" fillId="10" borderId="99" xfId="19" applyFont="1" applyFill="1" applyBorder="1" applyAlignment="1">
      <alignment horizontal="left" vertical="center" wrapText="1"/>
    </xf>
    <xf numFmtId="14" fontId="100" fillId="18" borderId="99" xfId="19" applyNumberFormat="1" applyFont="1" applyFill="1" applyBorder="1" applyAlignment="1">
      <alignment horizontal="left" vertical="center" wrapText="1" readingOrder="1"/>
    </xf>
    <xf numFmtId="9" fontId="26" fillId="11" borderId="99" xfId="19" applyNumberFormat="1" applyFont="1" applyFill="1" applyBorder="1" applyAlignment="1">
      <alignment horizontal="left" vertical="center" wrapText="1" readingOrder="1"/>
    </xf>
    <xf numFmtId="0" fontId="46" fillId="24" borderId="101" xfId="23" applyBorder="1" applyAlignment="1">
      <alignment horizontal="left" vertical="center"/>
    </xf>
    <xf numFmtId="0" fontId="46" fillId="24" borderId="106" xfId="23" applyBorder="1" applyAlignment="1">
      <alignment horizontal="left" vertical="center"/>
    </xf>
    <xf numFmtId="1" fontId="26" fillId="18" borderId="99" xfId="20" applyNumberFormat="1" applyFont="1" applyFill="1" applyBorder="1" applyAlignment="1">
      <alignment horizontal="left" vertical="center" wrapText="1" readingOrder="1"/>
    </xf>
    <xf numFmtId="0" fontId="107" fillId="22" borderId="13" xfId="0" applyNumberFormat="1" applyFont="1" applyFill="1" applyBorder="1" applyAlignment="1">
      <alignment horizontal="left" vertical="center" wrapText="1" readingOrder="1"/>
    </xf>
    <xf numFmtId="0" fontId="107" fillId="22" borderId="2" xfId="0" applyNumberFormat="1" applyFont="1" applyFill="1" applyBorder="1" applyAlignment="1">
      <alignment horizontal="left" vertical="center" wrapText="1" readingOrder="1"/>
    </xf>
    <xf numFmtId="0" fontId="115" fillId="0" borderId="0" xfId="0" applyFont="1" applyAlignment="1"/>
    <xf numFmtId="0" fontId="18" fillId="2" borderId="99" xfId="22" applyNumberFormat="1" applyFont="1" applyFill="1" applyBorder="1" applyAlignment="1">
      <alignment horizontal="center" vertical="center" wrapText="1"/>
    </xf>
    <xf numFmtId="0" fontId="18" fillId="6" borderId="99" xfId="22" applyNumberFormat="1" applyFont="1" applyFill="1" applyBorder="1" applyAlignment="1">
      <alignment horizontal="center" vertical="center" wrapText="1"/>
    </xf>
    <xf numFmtId="0" fontId="18" fillId="37" borderId="99" xfId="22" applyNumberFormat="1" applyFont="1" applyFill="1" applyBorder="1" applyAlignment="1">
      <alignment horizontal="center" vertical="center" wrapText="1"/>
    </xf>
    <xf numFmtId="0" fontId="18" fillId="45" borderId="99" xfId="22" applyNumberFormat="1" applyFont="1" applyFill="1" applyBorder="1" applyAlignment="1">
      <alignment horizontal="center" vertical="center" wrapText="1"/>
    </xf>
    <xf numFmtId="0" fontId="18" fillId="14" borderId="102" xfId="22" applyNumberFormat="1" applyFont="1" applyFill="1" applyBorder="1" applyAlignment="1">
      <alignment horizontal="center" vertical="center" wrapText="1"/>
    </xf>
    <xf numFmtId="0" fontId="18" fillId="38" borderId="99" xfId="22" applyNumberFormat="1" applyFont="1" applyFill="1" applyBorder="1" applyAlignment="1">
      <alignment horizontal="center" vertical="center" wrapText="1"/>
    </xf>
    <xf numFmtId="0" fontId="18" fillId="9" borderId="99" xfId="22" applyNumberFormat="1" applyFont="1" applyFill="1" applyBorder="1" applyAlignment="1">
      <alignment horizontal="center" vertical="center" wrapText="1"/>
    </xf>
    <xf numFmtId="0" fontId="28" fillId="22" borderId="13" xfId="0" applyNumberFormat="1" applyFont="1" applyFill="1" applyBorder="1" applyAlignment="1">
      <alignment horizontal="left" vertical="center" wrapText="1" readingOrder="1"/>
    </xf>
    <xf numFmtId="0" fontId="28" fillId="22" borderId="2" xfId="0" applyNumberFormat="1" applyFont="1" applyFill="1" applyBorder="1" applyAlignment="1">
      <alignment horizontal="left" vertical="center" wrapText="1" readingOrder="1"/>
    </xf>
    <xf numFmtId="0" fontId="30" fillId="0" borderId="0" xfId="0" applyFont="1" applyAlignment="1">
      <alignment wrapText="1"/>
    </xf>
    <xf numFmtId="0" fontId="117" fillId="0" borderId="0" xfId="19" applyFont="1" applyAlignment="1">
      <alignment horizontal="left" vertical="center"/>
    </xf>
    <xf numFmtId="0" fontId="26" fillId="0" borderId="0" xfId="22" applyFont="1" applyAlignment="1">
      <alignment horizontal="left" vertical="center"/>
    </xf>
    <xf numFmtId="0" fontId="28" fillId="16" borderId="99" xfId="22" applyFont="1" applyFill="1" applyBorder="1" applyAlignment="1">
      <alignment horizontal="center" vertical="center" wrapText="1"/>
    </xf>
    <xf numFmtId="0" fontId="28" fillId="16" borderId="99" xfId="19" applyFont="1" applyFill="1" applyBorder="1" applyAlignment="1">
      <alignment horizontal="center" vertical="center" wrapText="1"/>
    </xf>
    <xf numFmtId="0" fontId="118" fillId="24" borderId="99" xfId="23" applyFont="1" applyBorder="1" applyAlignment="1">
      <alignment horizontal="center" vertical="center" wrapText="1"/>
    </xf>
    <xf numFmtId="0" fontId="118" fillId="25" borderId="99" xfId="24" applyFont="1" applyBorder="1" applyAlignment="1">
      <alignment horizontal="center" vertical="center" wrapText="1"/>
    </xf>
    <xf numFmtId="0" fontId="119" fillId="26" borderId="99" xfId="22" applyFont="1" applyFill="1" applyBorder="1" applyAlignment="1">
      <alignment horizontal="center" vertical="center"/>
    </xf>
    <xf numFmtId="0" fontId="117" fillId="0" borderId="0" xfId="19" applyFont="1" applyAlignment="1">
      <alignment horizontal="center" vertical="center"/>
    </xf>
    <xf numFmtId="0" fontId="28" fillId="2" borderId="99" xfId="22" applyNumberFormat="1" applyFont="1" applyFill="1" applyBorder="1" applyAlignment="1">
      <alignment horizontal="left" vertical="center" indent="1" readingOrder="1"/>
    </xf>
    <xf numFmtId="14" fontId="26" fillId="17" borderId="99" xfId="19" applyNumberFormat="1" applyFont="1" applyFill="1" applyBorder="1" applyAlignment="1">
      <alignment horizontal="left" vertical="center" wrapText="1" readingOrder="1"/>
    </xf>
    <xf numFmtId="0" fontId="26" fillId="0" borderId="99" xfId="19" applyFont="1" applyFill="1" applyBorder="1" applyAlignment="1">
      <alignment horizontal="left" vertical="center" wrapText="1"/>
    </xf>
    <xf numFmtId="0" fontId="117" fillId="24" borderId="99" xfId="23" applyFont="1" applyBorder="1" applyAlignment="1">
      <alignment horizontal="left" vertical="center"/>
    </xf>
    <xf numFmtId="0" fontId="117" fillId="25" borderId="99" xfId="24" applyFont="1" applyBorder="1" applyAlignment="1">
      <alignment horizontal="left" vertical="center"/>
    </xf>
    <xf numFmtId="0" fontId="26" fillId="44" borderId="99" xfId="22" applyFont="1" applyFill="1" applyBorder="1" applyAlignment="1">
      <alignment horizontal="left" vertical="center"/>
    </xf>
    <xf numFmtId="0" fontId="28" fillId="14" borderId="99" xfId="22" applyNumberFormat="1" applyFont="1" applyFill="1" applyBorder="1" applyAlignment="1">
      <alignment horizontal="left" vertical="center" indent="1" readingOrder="1"/>
    </xf>
    <xf numFmtId="0" fontId="90" fillId="5" borderId="99" xfId="23" applyFont="1" applyFill="1" applyBorder="1" applyAlignment="1">
      <alignment horizontal="left" vertical="center"/>
    </xf>
    <xf numFmtId="0" fontId="90" fillId="5" borderId="99" xfId="24" applyFont="1" applyFill="1" applyBorder="1" applyAlignment="1">
      <alignment horizontal="left" vertical="center"/>
    </xf>
    <xf numFmtId="0" fontId="26" fillId="26" borderId="99" xfId="22" applyFont="1" applyFill="1" applyBorder="1" applyAlignment="1">
      <alignment horizontal="left" vertical="center" wrapText="1"/>
    </xf>
    <xf numFmtId="0" fontId="117" fillId="24" borderId="101" xfId="23" applyFont="1" applyBorder="1" applyAlignment="1">
      <alignment horizontal="left" vertical="center"/>
    </xf>
    <xf numFmtId="0" fontId="117" fillId="24" borderId="106" xfId="23" applyFont="1" applyBorder="1" applyAlignment="1">
      <alignment horizontal="left" vertical="center"/>
    </xf>
    <xf numFmtId="0" fontId="117" fillId="25" borderId="100" xfId="24" applyFont="1" applyBorder="1" applyAlignment="1">
      <alignment horizontal="left" vertical="center"/>
    </xf>
    <xf numFmtId="0" fontId="26" fillId="44" borderId="100" xfId="22" applyFont="1" applyFill="1" applyBorder="1" applyAlignment="1">
      <alignment horizontal="left" vertical="center"/>
    </xf>
    <xf numFmtId="0" fontId="90" fillId="5" borderId="0" xfId="23" applyFont="1" applyFill="1" applyBorder="1" applyAlignment="1">
      <alignment horizontal="left" vertical="center"/>
    </xf>
    <xf numFmtId="0" fontId="90" fillId="5" borderId="0" xfId="24" applyFont="1" applyFill="1" applyBorder="1" applyAlignment="1">
      <alignment horizontal="left" vertical="center"/>
    </xf>
    <xf numFmtId="0" fontId="26" fillId="26" borderId="0" xfId="22" applyFont="1" applyFill="1" applyBorder="1" applyAlignment="1">
      <alignment horizontal="left" vertical="center" wrapText="1"/>
    </xf>
    <xf numFmtId="0" fontId="117" fillId="0" borderId="0" xfId="19" applyFont="1" applyBorder="1" applyAlignment="1">
      <alignment horizontal="left" vertical="center"/>
    </xf>
    <xf numFmtId="1" fontId="26" fillId="18" borderId="102" xfId="20" applyNumberFormat="1" applyFont="1" applyFill="1" applyBorder="1" applyAlignment="1">
      <alignment horizontal="left" vertical="center" wrapText="1" readingOrder="1"/>
    </xf>
    <xf numFmtId="0" fontId="26" fillId="18" borderId="102" xfId="19" applyFont="1" applyFill="1" applyBorder="1" applyAlignment="1">
      <alignment horizontal="left" vertical="center" wrapText="1" readingOrder="1"/>
    </xf>
    <xf numFmtId="1" fontId="26" fillId="18" borderId="102" xfId="19" applyNumberFormat="1" applyFont="1" applyFill="1" applyBorder="1" applyAlignment="1">
      <alignment horizontal="left" vertical="center" wrapText="1" readingOrder="1"/>
    </xf>
    <xf numFmtId="0" fontId="26" fillId="10" borderId="102" xfId="19" applyFont="1" applyFill="1" applyBorder="1" applyAlignment="1">
      <alignment horizontal="left" vertical="center" wrapText="1"/>
    </xf>
    <xf numFmtId="0" fontId="117" fillId="24" borderId="102" xfId="23" applyFont="1" applyBorder="1" applyAlignment="1">
      <alignment horizontal="left" vertical="center"/>
    </xf>
    <xf numFmtId="0" fontId="117" fillId="25" borderId="102" xfId="24" applyFont="1" applyBorder="1" applyAlignment="1">
      <alignment horizontal="left" vertical="center"/>
    </xf>
    <xf numFmtId="0" fontId="26" fillId="44" borderId="102" xfId="22" applyFont="1" applyFill="1" applyBorder="1" applyAlignment="1">
      <alignment horizontal="left" vertical="center"/>
    </xf>
    <xf numFmtId="0" fontId="28" fillId="38" borderId="99" xfId="22" applyNumberFormat="1" applyFont="1" applyFill="1" applyBorder="1" applyAlignment="1">
      <alignment horizontal="left" vertical="center" indent="1" readingOrder="1"/>
    </xf>
    <xf numFmtId="0" fontId="26" fillId="28" borderId="99" xfId="19" applyFont="1" applyFill="1" applyBorder="1" applyAlignment="1">
      <alignment horizontal="left" vertical="center" wrapText="1"/>
    </xf>
    <xf numFmtId="0" fontId="90" fillId="8" borderId="99" xfId="23" applyFont="1" applyFill="1" applyBorder="1" applyAlignment="1">
      <alignment horizontal="left" vertical="center"/>
    </xf>
    <xf numFmtId="0" fontId="90" fillId="8" borderId="99" xfId="24" applyFont="1" applyFill="1" applyBorder="1" applyAlignment="1">
      <alignment horizontal="left" vertical="center"/>
    </xf>
    <xf numFmtId="1" fontId="26" fillId="7" borderId="99" xfId="20" applyNumberFormat="1" applyFont="1" applyFill="1" applyBorder="1" applyAlignment="1">
      <alignment horizontal="left" vertical="center" wrapText="1" readingOrder="1"/>
    </xf>
    <xf numFmtId="14" fontId="26" fillId="7" borderId="99" xfId="19" applyNumberFormat="1" applyFont="1" applyFill="1" applyBorder="1" applyAlignment="1">
      <alignment horizontal="left" vertical="center" wrapText="1"/>
    </xf>
    <xf numFmtId="14" fontId="26" fillId="7" borderId="99" xfId="19" applyNumberFormat="1" applyFont="1" applyFill="1" applyBorder="1" applyAlignment="1">
      <alignment horizontal="left" vertical="center" wrapText="1" readingOrder="1"/>
    </xf>
    <xf numFmtId="0" fontId="26" fillId="7" borderId="99" xfId="19" applyFont="1" applyFill="1" applyBorder="1" applyAlignment="1">
      <alignment horizontal="left" vertical="center" wrapText="1"/>
    </xf>
    <xf numFmtId="0" fontId="26" fillId="7" borderId="99" xfId="19" applyFont="1" applyFill="1" applyBorder="1" applyAlignment="1">
      <alignment horizontal="left" vertical="center" wrapText="1" readingOrder="1"/>
    </xf>
    <xf numFmtId="0" fontId="28" fillId="9" borderId="99" xfId="22" applyNumberFormat="1" applyFont="1" applyFill="1" applyBorder="1" applyAlignment="1">
      <alignment horizontal="left" vertical="center" indent="1" readingOrder="1"/>
    </xf>
    <xf numFmtId="0" fontId="26" fillId="11" borderId="99" xfId="20" applyNumberFormat="1" applyFont="1" applyFill="1" applyBorder="1" applyAlignment="1">
      <alignment horizontal="left" vertical="center" wrapText="1" readingOrder="1"/>
    </xf>
    <xf numFmtId="0" fontId="26" fillId="30" borderId="99" xfId="20" applyNumberFormat="1" applyFont="1" applyFill="1" applyBorder="1" applyAlignment="1">
      <alignment horizontal="left" vertical="center" wrapText="1" readingOrder="1"/>
    </xf>
    <xf numFmtId="1" fontId="26" fillId="11" borderId="99" xfId="19" applyNumberFormat="1" applyFont="1" applyFill="1" applyBorder="1" applyAlignment="1">
      <alignment horizontal="left" vertical="center" wrapText="1" readingOrder="1"/>
    </xf>
    <xf numFmtId="0" fontId="26" fillId="30" borderId="99" xfId="19" applyFont="1" applyFill="1" applyBorder="1" applyAlignment="1">
      <alignment horizontal="left" vertical="center" wrapText="1"/>
    </xf>
    <xf numFmtId="0" fontId="90" fillId="36" borderId="99" xfId="23" applyFont="1" applyFill="1" applyBorder="1" applyAlignment="1">
      <alignment horizontal="left" vertical="center"/>
    </xf>
    <xf numFmtId="0" fontId="90" fillId="36" borderId="99" xfId="24" applyFont="1" applyFill="1" applyBorder="1" applyAlignment="1">
      <alignment horizontal="left" vertical="center"/>
    </xf>
    <xf numFmtId="0" fontId="90" fillId="36" borderId="99" xfId="23" applyFont="1" applyFill="1" applyBorder="1" applyAlignment="1">
      <alignment horizontal="left" vertical="center" wrapText="1"/>
    </xf>
    <xf numFmtId="9" fontId="26" fillId="11" borderId="102" xfId="19" applyNumberFormat="1" applyFont="1" applyFill="1" applyBorder="1" applyAlignment="1">
      <alignment horizontal="left" vertical="center" wrapText="1" readingOrder="1"/>
    </xf>
    <xf numFmtId="0" fontId="26" fillId="30" borderId="102" xfId="19" applyFont="1" applyFill="1" applyBorder="1" applyAlignment="1">
      <alignment horizontal="left" vertical="center" wrapText="1"/>
    </xf>
    <xf numFmtId="0" fontId="60" fillId="0" borderId="0" xfId="19" applyFont="1" applyAlignment="1">
      <alignment horizontal="left" vertical="center"/>
    </xf>
    <xf numFmtId="0" fontId="26" fillId="0" borderId="0" xfId="19" applyFont="1" applyAlignment="1">
      <alignment horizontal="left" vertical="center"/>
    </xf>
    <xf numFmtId="0" fontId="121" fillId="0" borderId="0" xfId="19" applyFont="1" applyAlignment="1">
      <alignment horizontal="left" vertical="center"/>
    </xf>
    <xf numFmtId="0" fontId="121" fillId="0" borderId="0" xfId="19" applyFont="1" applyAlignment="1">
      <alignment horizontal="center" vertical="center"/>
    </xf>
    <xf numFmtId="0" fontId="28" fillId="14" borderId="101" xfId="22" applyNumberFormat="1" applyFont="1" applyFill="1" applyBorder="1" applyAlignment="1">
      <alignment horizontal="left" vertical="center" indent="1" readingOrder="1"/>
    </xf>
    <xf numFmtId="0" fontId="121" fillId="0" borderId="0" xfId="19" applyFont="1" applyBorder="1" applyAlignment="1">
      <alignment horizontal="left" vertical="center"/>
    </xf>
    <xf numFmtId="0" fontId="102" fillId="0" borderId="0" xfId="19" applyFont="1" applyAlignment="1">
      <alignment horizontal="left" vertical="center"/>
    </xf>
    <xf numFmtId="0" fontId="100" fillId="0" borderId="0" xfId="19" applyFont="1" applyAlignment="1">
      <alignment horizontal="left" vertical="center"/>
    </xf>
    <xf numFmtId="0" fontId="101" fillId="0" borderId="0" xfId="19" applyFont="1" applyAlignment="1">
      <alignment horizontal="left" vertical="center"/>
    </xf>
    <xf numFmtId="0" fontId="18" fillId="9" borderId="0" xfId="22" applyNumberFormat="1" applyFont="1" applyFill="1" applyBorder="1" applyAlignment="1">
      <alignment horizontal="center" vertical="center"/>
    </xf>
    <xf numFmtId="14" fontId="19" fillId="17" borderId="99" xfId="19" applyNumberFormat="1" applyFont="1" applyFill="1" applyBorder="1" applyAlignment="1">
      <alignment horizontal="center" vertical="center" wrapText="1"/>
    </xf>
    <xf numFmtId="14" fontId="19" fillId="7" borderId="99" xfId="19" applyNumberFormat="1" applyFont="1" applyFill="1" applyBorder="1" applyAlignment="1">
      <alignment horizontal="center" vertical="center" wrapText="1"/>
    </xf>
    <xf numFmtId="14" fontId="19" fillId="27" borderId="99" xfId="19" applyNumberFormat="1" applyFont="1" applyFill="1" applyBorder="1" applyAlignment="1">
      <alignment horizontal="center" vertical="center" wrapText="1"/>
    </xf>
    <xf numFmtId="14" fontId="19" fillId="22" borderId="99" xfId="19" applyNumberFormat="1" applyFont="1" applyFill="1" applyBorder="1" applyAlignment="1">
      <alignment horizontal="center" vertical="center" wrapText="1"/>
    </xf>
    <xf numFmtId="14" fontId="19" fillId="17" borderId="105" xfId="19" applyNumberFormat="1" applyFont="1" applyFill="1" applyBorder="1" applyAlignment="1">
      <alignment horizontal="center" vertical="center" wrapText="1"/>
    </xf>
    <xf numFmtId="0" fontId="26" fillId="18" borderId="104" xfId="19" applyFont="1" applyFill="1" applyBorder="1" applyAlignment="1">
      <alignment horizontal="center" vertical="center" wrapText="1"/>
    </xf>
    <xf numFmtId="0" fontId="26" fillId="18" borderId="108" xfId="19" applyFont="1" applyFill="1" applyBorder="1" applyAlignment="1">
      <alignment horizontal="center" vertical="center" wrapText="1"/>
    </xf>
    <xf numFmtId="0" fontId="26" fillId="18" borderId="107" xfId="19" applyFont="1" applyFill="1" applyBorder="1" applyAlignment="1">
      <alignment horizontal="center" vertical="center" wrapText="1"/>
    </xf>
    <xf numFmtId="9" fontId="25" fillId="18" borderId="107" xfId="19" applyNumberFormat="1" applyFont="1" applyFill="1" applyBorder="1" applyAlignment="1">
      <alignment horizontal="left" vertical="center" wrapText="1" readingOrder="1"/>
    </xf>
    <xf numFmtId="0" fontId="26" fillId="18" borderId="109" xfId="19" applyFont="1" applyFill="1" applyBorder="1" applyAlignment="1">
      <alignment horizontal="center" vertical="center" wrapText="1"/>
    </xf>
    <xf numFmtId="1" fontId="25" fillId="7" borderId="99" xfId="19" applyNumberFormat="1" applyFont="1" applyFill="1" applyBorder="1" applyAlignment="1">
      <alignment horizontal="center" vertical="center" wrapText="1"/>
    </xf>
    <xf numFmtId="1" fontId="25" fillId="7" borderId="99" xfId="20" applyNumberFormat="1" applyFont="1" applyFill="1" applyBorder="1" applyAlignment="1">
      <alignment horizontal="center" vertical="center" wrapText="1"/>
    </xf>
    <xf numFmtId="1" fontId="26" fillId="7" borderId="99" xfId="19" applyNumberFormat="1" applyFont="1" applyFill="1" applyBorder="1" applyAlignment="1">
      <alignment horizontal="center" vertical="center" wrapText="1"/>
    </xf>
    <xf numFmtId="0" fontId="19" fillId="7" borderId="99" xfId="19" applyFont="1" applyFill="1" applyBorder="1" applyAlignment="1">
      <alignment horizontal="center" vertical="center" wrapText="1"/>
    </xf>
    <xf numFmtId="0" fontId="25" fillId="7" borderId="99" xfId="19" applyFont="1" applyFill="1" applyBorder="1" applyAlignment="1">
      <alignment horizontal="center" vertical="center" wrapText="1"/>
    </xf>
    <xf numFmtId="1" fontId="25" fillId="11" borderId="99" xfId="19" applyNumberFormat="1" applyFont="1" applyFill="1" applyBorder="1" applyAlignment="1">
      <alignment horizontal="center" vertical="center" wrapText="1"/>
    </xf>
    <xf numFmtId="1" fontId="19" fillId="11" borderId="99" xfId="19" applyNumberFormat="1" applyFont="1" applyFill="1" applyBorder="1" applyAlignment="1">
      <alignment horizontal="center" vertical="center" wrapText="1"/>
    </xf>
    <xf numFmtId="9" fontId="25" fillId="11" borderId="99" xfId="19" applyNumberFormat="1" applyFont="1" applyFill="1" applyBorder="1" applyAlignment="1">
      <alignment horizontal="center" vertical="center" wrapText="1"/>
    </xf>
    <xf numFmtId="9" fontId="25" fillId="11" borderId="105" xfId="19" applyNumberFormat="1" applyFont="1" applyFill="1" applyBorder="1" applyAlignment="1">
      <alignment horizontal="center" vertical="center" wrapText="1"/>
    </xf>
    <xf numFmtId="0" fontId="18" fillId="9" borderId="105" xfId="22" applyNumberFormat="1" applyFont="1" applyFill="1" applyBorder="1" applyAlignment="1">
      <alignment horizontal="center" vertical="center" wrapText="1"/>
    </xf>
    <xf numFmtId="14" fontId="122" fillId="17" borderId="99" xfId="19" applyNumberFormat="1" applyFont="1" applyFill="1" applyBorder="1" applyAlignment="1">
      <alignment horizontal="center" vertical="center" wrapText="1"/>
    </xf>
    <xf numFmtId="14" fontId="122" fillId="7" borderId="99" xfId="19" applyNumberFormat="1" applyFont="1" applyFill="1" applyBorder="1" applyAlignment="1">
      <alignment horizontal="center" vertical="center" wrapText="1"/>
    </xf>
    <xf numFmtId="14" fontId="122" fillId="27" borderId="99" xfId="19" applyNumberFormat="1" applyFont="1" applyFill="1" applyBorder="1" applyAlignment="1">
      <alignment horizontal="center" vertical="center" wrapText="1"/>
    </xf>
    <xf numFmtId="14" fontId="122" fillId="22" borderId="99" xfId="19" applyNumberFormat="1" applyFont="1" applyFill="1" applyBorder="1" applyAlignment="1">
      <alignment horizontal="center" vertical="center" wrapText="1"/>
    </xf>
    <xf numFmtId="14" fontId="122" fillId="17" borderId="105" xfId="19" applyNumberFormat="1" applyFont="1" applyFill="1" applyBorder="1" applyAlignment="1">
      <alignment horizontal="center" vertical="center" wrapText="1"/>
    </xf>
    <xf numFmtId="0" fontId="123" fillId="18" borderId="104" xfId="19" applyFont="1" applyFill="1" applyBorder="1" applyAlignment="1">
      <alignment horizontal="center" vertical="center" wrapText="1"/>
    </xf>
    <xf numFmtId="0" fontId="123" fillId="18" borderId="108" xfId="19" applyFont="1" applyFill="1" applyBorder="1" applyAlignment="1">
      <alignment horizontal="center" vertical="center" wrapText="1"/>
    </xf>
    <xf numFmtId="0" fontId="123" fillId="18" borderId="107" xfId="19" applyFont="1" applyFill="1" applyBorder="1" applyAlignment="1">
      <alignment horizontal="center" vertical="center" wrapText="1"/>
    </xf>
    <xf numFmtId="9" fontId="124" fillId="18" borderId="107" xfId="19" applyNumberFormat="1" applyFont="1" applyFill="1" applyBorder="1" applyAlignment="1">
      <alignment horizontal="left" vertical="center" wrapText="1" readingOrder="1"/>
    </xf>
    <xf numFmtId="0" fontId="123" fillId="18" borderId="109" xfId="19" applyFont="1" applyFill="1" applyBorder="1" applyAlignment="1">
      <alignment horizontal="center" vertical="center" wrapText="1"/>
    </xf>
    <xf numFmtId="1" fontId="124" fillId="7" borderId="99" xfId="19" applyNumberFormat="1" applyFont="1" applyFill="1" applyBorder="1" applyAlignment="1">
      <alignment horizontal="center" vertical="center" wrapText="1"/>
    </xf>
    <xf numFmtId="1" fontId="124" fillId="7" borderId="99" xfId="20" applyNumberFormat="1" applyFont="1" applyFill="1" applyBorder="1" applyAlignment="1">
      <alignment horizontal="center" vertical="center" wrapText="1"/>
    </xf>
    <xf numFmtId="1" fontId="123" fillId="7" borderId="99" xfId="19" applyNumberFormat="1" applyFont="1" applyFill="1" applyBorder="1" applyAlignment="1">
      <alignment horizontal="center" vertical="center" wrapText="1"/>
    </xf>
    <xf numFmtId="0" fontId="122" fillId="7" borderId="99" xfId="19" applyFont="1" applyFill="1" applyBorder="1" applyAlignment="1">
      <alignment horizontal="center" vertical="center" wrapText="1"/>
    </xf>
    <xf numFmtId="0" fontId="124" fillId="7" borderId="99" xfId="19" applyFont="1" applyFill="1" applyBorder="1" applyAlignment="1">
      <alignment horizontal="center" vertical="center" wrapText="1"/>
    </xf>
    <xf numFmtId="1" fontId="124" fillId="11" borderId="99" xfId="19" applyNumberFormat="1" applyFont="1" applyFill="1" applyBorder="1" applyAlignment="1">
      <alignment horizontal="center" vertical="center" wrapText="1"/>
    </xf>
    <xf numFmtId="1" fontId="122" fillId="11" borderId="99" xfId="19" applyNumberFormat="1" applyFont="1" applyFill="1" applyBorder="1" applyAlignment="1">
      <alignment horizontal="center" vertical="center" wrapText="1"/>
    </xf>
    <xf numFmtId="9" fontId="124" fillId="11" borderId="99" xfId="19" applyNumberFormat="1" applyFont="1" applyFill="1" applyBorder="1" applyAlignment="1">
      <alignment horizontal="center" vertical="center" wrapText="1"/>
    </xf>
    <xf numFmtId="9" fontId="124" fillId="11" borderId="105" xfId="19" applyNumberFormat="1" applyFont="1" applyFill="1" applyBorder="1" applyAlignment="1">
      <alignment horizontal="center" vertical="center" wrapText="1"/>
    </xf>
    <xf numFmtId="1" fontId="98" fillId="18" borderId="0" xfId="0" applyNumberFormat="1" applyFont="1" applyFill="1" applyBorder="1" applyAlignment="1">
      <alignment vertical="top" wrapText="1"/>
    </xf>
    <xf numFmtId="0" fontId="98" fillId="18" borderId="110" xfId="0" applyFont="1" applyFill="1" applyBorder="1" applyAlignment="1">
      <alignment vertical="top" wrapText="1"/>
    </xf>
    <xf numFmtId="0" fontId="98" fillId="18" borderId="111" xfId="0" applyFont="1" applyFill="1" applyBorder="1" applyAlignment="1">
      <alignment vertical="top" wrapText="1"/>
    </xf>
    <xf numFmtId="1" fontId="109" fillId="18" borderId="114" xfId="0" applyNumberFormat="1" applyFont="1" applyFill="1" applyBorder="1" applyAlignment="1">
      <alignment vertical="top" wrapText="1"/>
    </xf>
    <xf numFmtId="1" fontId="108" fillId="18" borderId="114" xfId="0" applyNumberFormat="1" applyFont="1" applyFill="1" applyBorder="1" applyAlignment="1">
      <alignment horizontal="center" vertical="center" wrapText="1"/>
    </xf>
    <xf numFmtId="0" fontId="109" fillId="18" borderId="114" xfId="0" applyFont="1" applyFill="1" applyBorder="1" applyAlignment="1">
      <alignment vertical="top" wrapText="1"/>
    </xf>
    <xf numFmtId="0" fontId="125" fillId="5" borderId="114" xfId="0" applyFont="1" applyFill="1" applyBorder="1" applyAlignment="1">
      <alignment horizontal="center" vertical="center" wrapText="1"/>
    </xf>
    <xf numFmtId="1" fontId="109" fillId="18" borderId="115" xfId="0" applyNumberFormat="1" applyFont="1" applyFill="1" applyBorder="1" applyAlignment="1">
      <alignment vertical="top" wrapText="1"/>
    </xf>
    <xf numFmtId="0" fontId="125" fillId="5" borderId="115" xfId="0" applyFont="1" applyFill="1" applyBorder="1" applyAlignment="1">
      <alignment horizontal="center" vertical="center" wrapText="1"/>
    </xf>
    <xf numFmtId="0" fontId="109" fillId="18" borderId="116" xfId="0" applyFont="1" applyFill="1" applyBorder="1" applyAlignment="1">
      <alignment vertical="top" wrapText="1"/>
    </xf>
    <xf numFmtId="0" fontId="109" fillId="18" borderId="117" xfId="0" applyFont="1" applyFill="1" applyBorder="1" applyAlignment="1">
      <alignment vertical="top" wrapText="1"/>
    </xf>
    <xf numFmtId="1" fontId="109" fillId="18" borderId="118" xfId="0" applyNumberFormat="1" applyFont="1" applyFill="1" applyBorder="1" applyAlignment="1">
      <alignment vertical="top" wrapText="1"/>
    </xf>
    <xf numFmtId="0" fontId="109" fillId="18" borderId="119" xfId="0" applyFont="1" applyFill="1" applyBorder="1" applyAlignment="1">
      <alignment vertical="top" wrapText="1"/>
    </xf>
    <xf numFmtId="1" fontId="109" fillId="18" borderId="120" xfId="0" applyNumberFormat="1" applyFont="1" applyFill="1" applyBorder="1" applyAlignment="1">
      <alignment vertical="top" wrapText="1"/>
    </xf>
    <xf numFmtId="0" fontId="98" fillId="18" borderId="121" xfId="0" applyFont="1" applyFill="1" applyBorder="1" applyAlignment="1">
      <alignment vertical="top" wrapText="1"/>
    </xf>
    <xf numFmtId="0" fontId="98" fillId="18" borderId="122" xfId="0" applyFont="1" applyFill="1" applyBorder="1" applyAlignment="1">
      <alignment vertical="top" wrapText="1"/>
    </xf>
    <xf numFmtId="1" fontId="98" fillId="18" borderId="123" xfId="0" applyNumberFormat="1" applyFont="1" applyFill="1" applyBorder="1" applyAlignment="1">
      <alignment vertical="top" wrapText="1"/>
    </xf>
    <xf numFmtId="0" fontId="125" fillId="5" borderId="124" xfId="0" applyFont="1" applyFill="1" applyBorder="1" applyAlignment="1">
      <alignment horizontal="center" vertical="center" wrapText="1"/>
    </xf>
    <xf numFmtId="0" fontId="98" fillId="18" borderId="112" xfId="0" applyFont="1" applyFill="1" applyBorder="1" applyAlignment="1">
      <alignment vertical="top" wrapText="1"/>
    </xf>
    <xf numFmtId="1" fontId="109" fillId="18" borderId="124" xfId="0" applyNumberFormat="1" applyFont="1" applyFill="1" applyBorder="1" applyAlignment="1">
      <alignment vertical="top" wrapText="1"/>
    </xf>
    <xf numFmtId="1" fontId="126" fillId="18" borderId="114" xfId="0" applyNumberFormat="1" applyFont="1" applyFill="1" applyBorder="1" applyAlignment="1">
      <alignment vertical="top" wrapText="1"/>
    </xf>
    <xf numFmtId="1" fontId="126" fillId="18" borderId="124" xfId="0" applyNumberFormat="1" applyFont="1" applyFill="1" applyBorder="1" applyAlignment="1">
      <alignment vertical="top" wrapText="1"/>
    </xf>
    <xf numFmtId="1" fontId="98" fillId="5" borderId="113" xfId="0" applyNumberFormat="1" applyFont="1" applyFill="1" applyBorder="1" applyAlignment="1">
      <alignment vertical="top" wrapText="1"/>
    </xf>
    <xf numFmtId="0" fontId="29" fillId="5" borderId="114" xfId="0" applyFont="1" applyFill="1" applyBorder="1" applyAlignment="1">
      <alignment vertical="center" wrapText="1"/>
    </xf>
    <xf numFmtId="0" fontId="98" fillId="18" borderId="114" xfId="0" applyFont="1" applyFill="1" applyBorder="1" applyAlignment="1">
      <alignment vertical="top" wrapText="1"/>
    </xf>
    <xf numFmtId="9" fontId="98" fillId="18" borderId="114" xfId="0" applyNumberFormat="1" applyFont="1" applyFill="1" applyBorder="1" applyAlignment="1">
      <alignment vertical="top" wrapText="1"/>
    </xf>
    <xf numFmtId="0" fontId="29" fillId="5" borderId="124" xfId="0" applyFont="1" applyFill="1" applyBorder="1" applyAlignment="1">
      <alignment vertical="center" wrapText="1"/>
    </xf>
    <xf numFmtId="1" fontId="98" fillId="18" borderId="124" xfId="0" applyNumberFormat="1" applyFont="1" applyFill="1" applyBorder="1" applyAlignment="1">
      <alignment vertical="top" wrapText="1"/>
    </xf>
    <xf numFmtId="1" fontId="109" fillId="18" borderId="129" xfId="0" applyNumberFormat="1" applyFont="1" applyFill="1" applyBorder="1" applyAlignment="1">
      <alignment vertical="top" wrapText="1"/>
    </xf>
    <xf numFmtId="1" fontId="109" fillId="18" borderId="119" xfId="0" applyNumberFormat="1" applyFont="1" applyFill="1" applyBorder="1" applyAlignment="1">
      <alignment vertical="top" wrapText="1"/>
    </xf>
    <xf numFmtId="0" fontId="29" fillId="5" borderId="119" xfId="0" applyFont="1" applyFill="1" applyBorder="1" applyAlignment="1">
      <alignment vertical="center" wrapText="1"/>
    </xf>
    <xf numFmtId="1" fontId="98" fillId="18" borderId="130" xfId="0" applyNumberFormat="1" applyFont="1" applyFill="1" applyBorder="1" applyAlignment="1">
      <alignment vertical="top" wrapText="1"/>
    </xf>
    <xf numFmtId="0" fontId="109" fillId="18" borderId="120" xfId="0" applyFont="1" applyFill="1" applyBorder="1" applyAlignment="1">
      <alignment vertical="top" wrapText="1"/>
    </xf>
    <xf numFmtId="1" fontId="109" fillId="18" borderId="137" xfId="0" applyNumberFormat="1" applyFont="1" applyFill="1" applyBorder="1" applyAlignment="1">
      <alignment vertical="top" wrapText="1"/>
    </xf>
    <xf numFmtId="1" fontId="98" fillId="18" borderId="125" xfId="0" applyNumberFormat="1" applyFont="1" applyFill="1" applyBorder="1" applyAlignment="1">
      <alignment vertical="top" wrapText="1"/>
    </xf>
    <xf numFmtId="0" fontId="109" fillId="6" borderId="114" xfId="0" applyFont="1" applyFill="1" applyBorder="1" applyAlignment="1">
      <alignment vertical="top" wrapText="1"/>
    </xf>
    <xf numFmtId="1" fontId="109" fillId="6" borderId="114" xfId="0" applyNumberFormat="1" applyFont="1" applyFill="1" applyBorder="1" applyAlignment="1">
      <alignment vertical="top" wrapText="1"/>
    </xf>
    <xf numFmtId="1" fontId="111" fillId="6" borderId="114" xfId="0" applyNumberFormat="1" applyFont="1" applyFill="1" applyBorder="1" applyAlignment="1">
      <alignment vertical="top" wrapText="1"/>
    </xf>
    <xf numFmtId="0" fontId="29" fillId="8" borderId="114" xfId="0" applyFont="1" applyFill="1" applyBorder="1" applyAlignment="1">
      <alignment vertical="center" wrapText="1"/>
    </xf>
    <xf numFmtId="1" fontId="29" fillId="8" borderId="114" xfId="0" applyNumberFormat="1" applyFont="1" applyFill="1" applyBorder="1" applyAlignment="1">
      <alignment vertical="center" wrapText="1"/>
    </xf>
    <xf numFmtId="1" fontId="34" fillId="8" borderId="114" xfId="0" applyNumberFormat="1" applyFont="1" applyFill="1" applyBorder="1" applyAlignment="1">
      <alignment vertical="center" wrapText="1"/>
    </xf>
    <xf numFmtId="0" fontId="98" fillId="6" borderId="114" xfId="0" applyFont="1" applyFill="1" applyBorder="1" applyAlignment="1">
      <alignment vertical="top" wrapText="1"/>
    </xf>
    <xf numFmtId="1" fontId="109" fillId="6" borderId="124" xfId="0" applyNumberFormat="1" applyFont="1" applyFill="1" applyBorder="1" applyAlignment="1">
      <alignment vertical="top" wrapText="1"/>
    </xf>
    <xf numFmtId="0" fontId="29" fillId="8" borderId="124" xfId="0" applyFont="1" applyFill="1" applyBorder="1" applyAlignment="1">
      <alignment vertical="center" wrapText="1"/>
    </xf>
    <xf numFmtId="1" fontId="98" fillId="6" borderId="124" xfId="0" applyNumberFormat="1" applyFont="1" applyFill="1" applyBorder="1" applyAlignment="1">
      <alignment vertical="top" wrapText="1"/>
    </xf>
    <xf numFmtId="0" fontId="109" fillId="6" borderId="115" xfId="0" applyFont="1" applyFill="1" applyBorder="1" applyAlignment="1">
      <alignment vertical="top" wrapText="1"/>
    </xf>
    <xf numFmtId="0" fontId="29" fillId="8" borderId="115" xfId="0" applyFont="1" applyFill="1" applyBorder="1" applyAlignment="1">
      <alignment vertical="center" wrapText="1"/>
    </xf>
    <xf numFmtId="0" fontId="98" fillId="6" borderId="115" xfId="0" applyFont="1" applyFill="1" applyBorder="1" applyAlignment="1">
      <alignment vertical="top" wrapText="1"/>
    </xf>
    <xf numFmtId="1" fontId="109" fillId="6" borderId="116" xfId="0" applyNumberFormat="1" applyFont="1" applyFill="1" applyBorder="1" applyAlignment="1">
      <alignment vertical="top" wrapText="1"/>
    </xf>
    <xf numFmtId="0" fontId="109" fillId="6" borderId="118" xfId="0" applyFont="1" applyFill="1" applyBorder="1" applyAlignment="1">
      <alignment vertical="top" wrapText="1"/>
    </xf>
    <xf numFmtId="1" fontId="109" fillId="6" borderId="119" xfId="0" applyNumberFormat="1" applyFont="1" applyFill="1" applyBorder="1" applyAlignment="1">
      <alignment vertical="top" wrapText="1"/>
    </xf>
    <xf numFmtId="0" fontId="109" fillId="6" borderId="120" xfId="0" applyFont="1" applyFill="1" applyBorder="1" applyAlignment="1">
      <alignment vertical="top" wrapText="1"/>
    </xf>
    <xf numFmtId="0" fontId="29" fillId="8" borderId="119" xfId="0" applyFont="1" applyFill="1" applyBorder="1" applyAlignment="1">
      <alignment vertical="center" wrapText="1"/>
    </xf>
    <xf numFmtId="0" fontId="29" fillId="8" borderId="120" xfId="0" applyFont="1" applyFill="1" applyBorder="1" applyAlignment="1">
      <alignment vertical="center" wrapText="1"/>
    </xf>
    <xf numFmtId="1" fontId="98" fillId="6" borderId="121" xfId="0" applyNumberFormat="1" applyFont="1" applyFill="1" applyBorder="1" applyAlignment="1">
      <alignment vertical="top" wrapText="1"/>
    </xf>
    <xf numFmtId="0" fontId="98" fillId="6" borderId="123" xfId="0" applyFont="1" applyFill="1" applyBorder="1" applyAlignment="1">
      <alignment vertical="top" wrapText="1"/>
    </xf>
    <xf numFmtId="1" fontId="109" fillId="9" borderId="114" xfId="0" applyNumberFormat="1" applyFont="1" applyFill="1" applyBorder="1" applyAlignment="1">
      <alignment vertical="top" wrapText="1"/>
    </xf>
    <xf numFmtId="1" fontId="109" fillId="9" borderId="114" xfId="0" applyNumberFormat="1" applyFont="1" applyFill="1" applyBorder="1" applyAlignment="1">
      <alignment vertical="top"/>
    </xf>
    <xf numFmtId="1" fontId="35" fillId="9" borderId="114" xfId="1" applyNumberFormat="1" applyFont="1" applyFill="1" applyBorder="1" applyAlignment="1">
      <alignment vertical="center"/>
    </xf>
    <xf numFmtId="1" fontId="29" fillId="9" borderId="114" xfId="0" applyNumberFormat="1" applyFont="1" applyFill="1" applyBorder="1" applyAlignment="1">
      <alignment vertical="center" wrapText="1"/>
    </xf>
    <xf numFmtId="1" fontId="105" fillId="9" borderId="114" xfId="0" applyNumberFormat="1" applyFont="1" applyFill="1" applyBorder="1" applyAlignment="1">
      <alignment vertical="top" wrapText="1"/>
    </xf>
    <xf numFmtId="1" fontId="127" fillId="9" borderId="114" xfId="0" applyNumberFormat="1" applyFont="1" applyFill="1" applyBorder="1" applyAlignment="1">
      <alignment horizontal="center" vertical="center"/>
    </xf>
    <xf numFmtId="1" fontId="105" fillId="9" borderId="114" xfId="0" applyNumberFormat="1" applyFont="1" applyFill="1" applyBorder="1" applyAlignment="1">
      <alignment vertical="top"/>
    </xf>
    <xf numFmtId="1" fontId="35" fillId="9" borderId="114" xfId="1" applyNumberFormat="1" applyFont="1" applyFill="1" applyBorder="1" applyAlignment="1">
      <alignment vertical="center" wrapText="1"/>
    </xf>
    <xf numFmtId="1" fontId="37" fillId="9" borderId="114" xfId="0" applyNumberFormat="1" applyFont="1" applyFill="1" applyBorder="1" applyAlignment="1">
      <alignment horizontal="center" vertical="center" wrapText="1"/>
    </xf>
    <xf numFmtId="1" fontId="98" fillId="9" borderId="114" xfId="0" applyNumberFormat="1" applyFont="1" applyFill="1" applyBorder="1" applyAlignment="1">
      <alignment vertical="top" wrapText="1"/>
    </xf>
    <xf numFmtId="1" fontId="98" fillId="19" borderId="114" xfId="0" applyNumberFormat="1" applyFont="1" applyFill="1" applyBorder="1" applyAlignment="1">
      <alignment vertical="top" wrapText="1"/>
    </xf>
    <xf numFmtId="1" fontId="113" fillId="9" borderId="114" xfId="0" applyNumberFormat="1" applyFont="1" applyFill="1" applyBorder="1" applyAlignment="1">
      <alignment vertical="top" wrapText="1"/>
    </xf>
    <xf numFmtId="1" fontId="128" fillId="9" borderId="114" xfId="0" applyNumberFormat="1" applyFont="1" applyFill="1" applyBorder="1" applyAlignment="1">
      <alignment horizontal="center" vertical="center"/>
    </xf>
    <xf numFmtId="9" fontId="109" fillId="9" borderId="124" xfId="1" applyNumberFormat="1" applyFont="1" applyFill="1" applyBorder="1" applyAlignment="1">
      <alignment vertical="top" wrapText="1"/>
    </xf>
    <xf numFmtId="9" fontId="29" fillId="9" borderId="124" xfId="1" applyFont="1" applyFill="1" applyBorder="1" applyAlignment="1">
      <alignment vertical="center" wrapText="1"/>
    </xf>
    <xf numFmtId="9" fontId="105" fillId="9" borderId="124" xfId="1" applyNumberFormat="1" applyFont="1" applyFill="1" applyBorder="1" applyAlignment="1">
      <alignment vertical="top" wrapText="1"/>
    </xf>
    <xf numFmtId="1" fontId="37" fillId="9" borderId="124" xfId="0" applyNumberFormat="1" applyFont="1" applyFill="1" applyBorder="1" applyAlignment="1">
      <alignment horizontal="center" vertical="center" wrapText="1"/>
    </xf>
    <xf numFmtId="1" fontId="98" fillId="19" borderId="124" xfId="0" applyNumberFormat="1" applyFont="1" applyFill="1" applyBorder="1" applyAlignment="1">
      <alignment vertical="top" wrapText="1"/>
    </xf>
    <xf numFmtId="1" fontId="109" fillId="9" borderId="115" xfId="0" applyNumberFormat="1" applyFont="1" applyFill="1" applyBorder="1" applyAlignment="1">
      <alignment vertical="top" wrapText="1"/>
    </xf>
    <xf numFmtId="1" fontId="29" fillId="9" borderId="115" xfId="0" applyNumberFormat="1" applyFont="1" applyFill="1" applyBorder="1" applyAlignment="1">
      <alignment vertical="center" wrapText="1"/>
    </xf>
    <xf numFmtId="1" fontId="105" fillId="9" borderId="115" xfId="0" applyNumberFormat="1" applyFont="1" applyFill="1" applyBorder="1" applyAlignment="1">
      <alignment vertical="top" wrapText="1"/>
    </xf>
    <xf numFmtId="1" fontId="37" fillId="9" borderId="115" xfId="0" applyNumberFormat="1" applyFont="1" applyFill="1" applyBorder="1" applyAlignment="1">
      <alignment horizontal="center" vertical="center" wrapText="1"/>
    </xf>
    <xf numFmtId="1" fontId="98" fillId="19" borderId="115" xfId="0" applyNumberFormat="1" applyFont="1" applyFill="1" applyBorder="1" applyAlignment="1">
      <alignment vertical="top" wrapText="1"/>
    </xf>
    <xf numFmtId="9" fontId="109" fillId="9" borderId="140" xfId="1" applyNumberFormat="1" applyFont="1" applyFill="1" applyBorder="1" applyAlignment="1">
      <alignment vertical="top" wrapText="1"/>
    </xf>
    <xf numFmtId="9" fontId="29" fillId="9" borderId="141" xfId="1" applyFont="1" applyFill="1" applyBorder="1" applyAlignment="1">
      <alignment vertical="center" wrapText="1"/>
    </xf>
    <xf numFmtId="9" fontId="105" fillId="9" borderId="141" xfId="1" applyNumberFormat="1" applyFont="1" applyFill="1" applyBorder="1" applyAlignment="1">
      <alignment vertical="top" wrapText="1"/>
    </xf>
    <xf numFmtId="9" fontId="109" fillId="9" borderId="141" xfId="1" applyNumberFormat="1" applyFont="1" applyFill="1" applyBorder="1" applyAlignment="1">
      <alignment vertical="top" wrapText="1"/>
    </xf>
    <xf numFmtId="1" fontId="37" fillId="9" borderId="141" xfId="0" applyNumberFormat="1" applyFont="1" applyFill="1" applyBorder="1" applyAlignment="1">
      <alignment horizontal="center" vertical="center" wrapText="1"/>
    </xf>
    <xf numFmtId="9" fontId="98" fillId="9" borderId="142" xfId="0" applyNumberFormat="1" applyFont="1" applyFill="1" applyBorder="1" applyAlignment="1">
      <alignment vertical="top" wrapText="1"/>
    </xf>
    <xf numFmtId="9" fontId="26" fillId="11" borderId="99" xfId="19" applyNumberFormat="1" applyFont="1" applyFill="1" applyBorder="1" applyAlignment="1">
      <alignment horizontal="center" vertical="center" wrapText="1"/>
    </xf>
    <xf numFmtId="1" fontId="98" fillId="5" borderId="114" xfId="0" applyNumberFormat="1" applyFont="1" applyFill="1" applyBorder="1" applyAlignment="1">
      <alignment horizontal="center" vertical="center" wrapText="1"/>
    </xf>
    <xf numFmtId="0" fontId="98" fillId="8" borderId="114" xfId="0" applyFont="1" applyFill="1" applyBorder="1" applyAlignment="1">
      <alignment horizontal="center" vertical="center" wrapText="1"/>
    </xf>
    <xf numFmtId="1" fontId="98" fillId="9" borderId="114" xfId="0" applyNumberFormat="1" applyFont="1" applyFill="1" applyBorder="1" applyAlignment="1">
      <alignment horizontal="center" vertical="center" wrapText="1"/>
    </xf>
    <xf numFmtId="164" fontId="67" fillId="36" borderId="24" xfId="4" applyNumberFormat="1" applyFont="1" applyFill="1" applyBorder="1" applyAlignment="1">
      <alignment horizontal="center" vertical="center"/>
    </xf>
    <xf numFmtId="164" fontId="67" fillId="8" borderId="24" xfId="4" applyNumberFormat="1" applyFont="1" applyFill="1" applyBorder="1" applyAlignment="1">
      <alignment horizontal="center" vertical="center"/>
    </xf>
    <xf numFmtId="164" fontId="67" fillId="14" borderId="24" xfId="4" applyNumberFormat="1" applyFont="1" applyFill="1" applyBorder="1" applyAlignment="1">
      <alignment horizontal="center" vertical="center"/>
    </xf>
    <xf numFmtId="0" fontId="61" fillId="0" borderId="0" xfId="0" applyFont="1" applyFill="1" applyBorder="1"/>
    <xf numFmtId="0" fontId="61" fillId="46" borderId="0" xfId="0" applyFont="1" applyFill="1"/>
    <xf numFmtId="0" fontId="0" fillId="46" borderId="0" xfId="0" applyFill="1"/>
    <xf numFmtId="0" fontId="31" fillId="46" borderId="0" xfId="0" applyFont="1" applyFill="1"/>
    <xf numFmtId="167" fontId="129" fillId="0" borderId="0" xfId="0" applyNumberFormat="1" applyFont="1" applyFill="1" applyAlignment="1">
      <alignment horizontal="left" vertical="center" readingOrder="1"/>
    </xf>
    <xf numFmtId="0" fontId="27" fillId="0" borderId="0" xfId="0" applyFont="1" applyFill="1"/>
    <xf numFmtId="1" fontId="27" fillId="0" borderId="0" xfId="0" applyNumberFormat="1" applyFont="1" applyFill="1"/>
    <xf numFmtId="0" fontId="27" fillId="0" borderId="0" xfId="0" applyFont="1" applyFill="1" applyAlignment="1">
      <alignment wrapText="1" readingOrder="1"/>
    </xf>
    <xf numFmtId="165" fontId="27" fillId="0" borderId="0" xfId="0" applyNumberFormat="1" applyFont="1" applyFill="1"/>
    <xf numFmtId="168" fontId="19" fillId="0" borderId="0" xfId="0" applyNumberFormat="1" applyFont="1" applyFill="1" applyBorder="1" applyAlignment="1">
      <alignment horizontal="left" vertical="center" readingOrder="1"/>
    </xf>
    <xf numFmtId="0" fontId="129" fillId="0" borderId="0" xfId="1" applyNumberFormat="1" applyFont="1" applyFill="1" applyAlignment="1">
      <alignment horizontal="left" vertical="center" readingOrder="1"/>
    </xf>
    <xf numFmtId="0" fontId="129" fillId="0" borderId="0" xfId="0" applyFont="1" applyFill="1" applyAlignment="1">
      <alignment horizontal="left" vertical="center" readingOrder="1"/>
    </xf>
    <xf numFmtId="1" fontId="129" fillId="0" borderId="0" xfId="0" applyNumberFormat="1" applyFont="1" applyFill="1" applyAlignment="1">
      <alignment horizontal="left" vertical="center" readingOrder="1"/>
    </xf>
    <xf numFmtId="164" fontId="129" fillId="0" borderId="0" xfId="4" applyNumberFormat="1" applyFont="1" applyFill="1" applyAlignment="1">
      <alignment horizontal="left" vertical="center" readingOrder="1"/>
    </xf>
    <xf numFmtId="1" fontId="129" fillId="0" borderId="0" xfId="1" applyNumberFormat="1" applyFont="1" applyFill="1" applyAlignment="1">
      <alignment horizontal="left" vertical="center" readingOrder="1"/>
    </xf>
    <xf numFmtId="9" fontId="129" fillId="0" borderId="0" xfId="1" applyFont="1" applyFill="1" applyAlignment="1">
      <alignment horizontal="left" vertical="center" readingOrder="1"/>
    </xf>
    <xf numFmtId="9" fontId="129" fillId="0" borderId="0" xfId="1" applyNumberFormat="1" applyFont="1" applyFill="1" applyAlignment="1">
      <alignment horizontal="left" vertical="center" readingOrder="1"/>
    </xf>
    <xf numFmtId="9" fontId="129" fillId="0" borderId="0" xfId="0" applyNumberFormat="1" applyFont="1" applyFill="1" applyAlignment="1">
      <alignment horizontal="left" vertical="center" readingOrder="1"/>
    </xf>
    <xf numFmtId="1" fontId="129" fillId="0" borderId="0" xfId="4" applyNumberFormat="1" applyFont="1" applyFill="1" applyAlignment="1">
      <alignment horizontal="left" vertical="center" readingOrder="1"/>
    </xf>
    <xf numFmtId="0" fontId="129" fillId="0" borderId="0" xfId="0" applyNumberFormat="1" applyFont="1" applyFill="1" applyAlignment="1">
      <alignment horizontal="left" vertical="center" readingOrder="1"/>
    </xf>
    <xf numFmtId="168" fontId="129" fillId="0" borderId="0" xfId="0" applyNumberFormat="1" applyFont="1" applyFill="1" applyAlignment="1">
      <alignment horizontal="left" vertical="center" readingOrder="1"/>
    </xf>
    <xf numFmtId="165" fontId="129" fillId="0" borderId="0" xfId="0" applyNumberFormat="1" applyFont="1" applyFill="1" applyAlignment="1">
      <alignment horizontal="left" vertical="center" readingOrder="1"/>
    </xf>
    <xf numFmtId="168" fontId="129" fillId="0" borderId="0" xfId="0" applyNumberFormat="1" applyFont="1" applyFill="1" applyAlignment="1">
      <alignment horizontal="left" vertical="center" wrapText="1" readingOrder="1"/>
    </xf>
    <xf numFmtId="165" fontId="129" fillId="0" borderId="0" xfId="0" applyNumberFormat="1" applyFont="1" applyFill="1" applyAlignment="1">
      <alignment horizontal="left" vertical="center" wrapText="1" readingOrder="1"/>
    </xf>
    <xf numFmtId="0" fontId="129" fillId="0" borderId="0" xfId="0" applyNumberFormat="1" applyFont="1" applyFill="1" applyAlignment="1">
      <alignment horizontal="left" vertical="center" wrapText="1" readingOrder="1"/>
    </xf>
    <xf numFmtId="1" fontId="27" fillId="0" borderId="0" xfId="0" applyNumberFormat="1" applyFont="1" applyFill="1" applyBorder="1" applyAlignment="1">
      <alignment wrapText="1"/>
    </xf>
    <xf numFmtId="0" fontId="27" fillId="0" borderId="0" xfId="0" applyFont="1" applyFill="1" applyAlignment="1">
      <alignment wrapText="1"/>
    </xf>
    <xf numFmtId="0" fontId="27" fillId="0" borderId="0" xfId="0" applyNumberFormat="1" applyFont="1" applyFill="1" applyAlignment="1">
      <alignment wrapText="1"/>
    </xf>
    <xf numFmtId="0" fontId="0" fillId="0" borderId="0" xfId="0"/>
    <xf numFmtId="14" fontId="19" fillId="3" borderId="2" xfId="0" applyNumberFormat="1" applyFont="1" applyFill="1" applyBorder="1" applyAlignment="1">
      <alignment horizontal="left" vertical="center" readingOrder="1"/>
    </xf>
    <xf numFmtId="0" fontId="19" fillId="0" borderId="0" xfId="0" applyFont="1" applyFill="1" applyBorder="1" applyAlignment="1">
      <alignment horizontal="left" vertical="center" readingOrder="1"/>
    </xf>
    <xf numFmtId="0" fontId="43" fillId="0" borderId="0" xfId="9" applyFont="1" applyFill="1" applyBorder="1" applyAlignment="1">
      <alignment horizontal="right"/>
    </xf>
    <xf numFmtId="0" fontId="0" fillId="0" borderId="0" xfId="0" pivotButton="1"/>
    <xf numFmtId="0" fontId="27" fillId="0" borderId="0" xfId="0" applyFont="1" applyFill="1"/>
    <xf numFmtId="1" fontId="19" fillId="0" borderId="0" xfId="0" applyNumberFormat="1" applyFont="1" applyFill="1" applyBorder="1" applyAlignment="1">
      <alignment horizontal="left" vertical="center" readingOrder="1"/>
    </xf>
    <xf numFmtId="0" fontId="27" fillId="0" borderId="0" xfId="0" applyFont="1" applyFill="1" applyBorder="1"/>
    <xf numFmtId="0" fontId="66" fillId="0" borderId="0" xfId="0" applyNumberFormat="1" applyFont="1" applyFill="1"/>
    <xf numFmtId="0" fontId="27" fillId="0" borderId="0" xfId="0" applyNumberFormat="1" applyFont="1" applyFill="1"/>
    <xf numFmtId="1" fontId="27" fillId="0" borderId="0" xfId="0" applyNumberFormat="1" applyFont="1" applyFill="1"/>
    <xf numFmtId="0" fontId="27" fillId="0" borderId="0" xfId="0" applyFont="1" applyFill="1" applyAlignment="1">
      <alignment wrapText="1" readingOrder="1"/>
    </xf>
    <xf numFmtId="0" fontId="27" fillId="0" borderId="17" xfId="0" applyFont="1" applyFill="1" applyBorder="1"/>
    <xf numFmtId="0" fontId="27" fillId="0" borderId="0" xfId="0" applyNumberFormat="1" applyFont="1" applyFill="1" applyBorder="1"/>
    <xf numFmtId="1" fontId="27" fillId="0" borderId="0" xfId="0" applyNumberFormat="1" applyFont="1" applyFill="1" applyBorder="1"/>
    <xf numFmtId="0" fontId="27" fillId="0" borderId="0" xfId="0" applyFont="1" applyFill="1" applyBorder="1" applyAlignment="1">
      <alignment wrapText="1" readingOrder="1"/>
    </xf>
    <xf numFmtId="0" fontId="0" fillId="0" borderId="0" xfId="0" applyFill="1"/>
    <xf numFmtId="0" fontId="27" fillId="0" borderId="0" xfId="0" applyNumberFormat="1" applyFont="1" applyFill="1" applyAlignment="1">
      <alignment wrapText="1" readingOrder="1"/>
    </xf>
    <xf numFmtId="0" fontId="27" fillId="0" borderId="0" xfId="0" applyNumberFormat="1" applyFont="1" applyFill="1" applyBorder="1" applyAlignment="1">
      <alignment wrapText="1" readingOrder="1"/>
    </xf>
    <xf numFmtId="0" fontId="42" fillId="0" borderId="0" xfId="0" applyFont="1" applyFill="1" applyBorder="1" applyAlignment="1">
      <alignment horizontal="left" vertical="center" readingOrder="1"/>
    </xf>
    <xf numFmtId="0" fontId="42" fillId="0" borderId="0" xfId="0" applyNumberFormat="1" applyFont="1" applyFill="1" applyBorder="1" applyAlignment="1">
      <alignment horizontal="left" vertical="center" readingOrder="1"/>
    </xf>
    <xf numFmtId="0" fontId="43" fillId="0" borderId="0" xfId="9" applyFont="1" applyFill="1" applyAlignment="1"/>
    <xf numFmtId="0" fontId="43" fillId="0" borderId="0" xfId="0" applyNumberFormat="1" applyFont="1" applyFill="1" applyBorder="1" applyAlignment="1"/>
    <xf numFmtId="0" fontId="27" fillId="0" borderId="22" xfId="0" applyFont="1" applyFill="1" applyBorder="1"/>
    <xf numFmtId="0" fontId="27" fillId="0" borderId="21" xfId="0" applyFont="1" applyFill="1" applyBorder="1"/>
    <xf numFmtId="0" fontId="27" fillId="0" borderId="21" xfId="0" applyNumberFormat="1" applyFont="1" applyFill="1" applyBorder="1"/>
    <xf numFmtId="1" fontId="27" fillId="0" borderId="21" xfId="0" applyNumberFormat="1" applyFont="1" applyFill="1" applyBorder="1"/>
    <xf numFmtId="0" fontId="27" fillId="0" borderId="30" xfId="0" applyFont="1" applyFill="1" applyBorder="1"/>
    <xf numFmtId="0" fontId="27" fillId="0" borderId="29" xfId="0" applyFont="1" applyFill="1" applyBorder="1"/>
    <xf numFmtId="165" fontId="27" fillId="0" borderId="0" xfId="0" applyNumberFormat="1" applyFont="1" applyFill="1"/>
    <xf numFmtId="165" fontId="27" fillId="0" borderId="0" xfId="0" applyNumberFormat="1" applyFont="1" applyFill="1" applyBorder="1"/>
    <xf numFmtId="0" fontId="27" fillId="0" borderId="63" xfId="0" applyFont="1" applyFill="1" applyBorder="1"/>
    <xf numFmtId="0" fontId="83" fillId="0" borderId="0" xfId="9" applyFont="1" applyFill="1" applyBorder="1" applyAlignment="1"/>
    <xf numFmtId="0" fontId="19" fillId="0" borderId="0" xfId="1" applyNumberFormat="1" applyFont="1" applyFill="1" applyBorder="1" applyAlignment="1">
      <alignment horizontal="left" vertical="center" readingOrder="1"/>
    </xf>
    <xf numFmtId="0" fontId="27" fillId="0" borderId="29" xfId="0" applyNumberFormat="1" applyFont="1" applyFill="1" applyBorder="1"/>
    <xf numFmtId="1" fontId="27" fillId="0" borderId="30" xfId="0" applyNumberFormat="1" applyFont="1" applyFill="1" applyBorder="1"/>
    <xf numFmtId="1" fontId="42" fillId="0" borderId="0" xfId="0" applyNumberFormat="1" applyFont="1" applyFill="1" applyBorder="1" applyAlignment="1">
      <alignment horizontal="left" vertical="center" readingOrder="1"/>
    </xf>
    <xf numFmtId="49" fontId="90" fillId="0" borderId="0" xfId="0" applyNumberFormat="1" applyFont="1" applyFill="1" applyBorder="1" applyAlignment="1">
      <alignment horizontal="left" vertical="center"/>
    </xf>
    <xf numFmtId="0" fontId="83" fillId="0" borderId="0" xfId="9" applyFont="1" applyFill="1" applyBorder="1" applyAlignment="1">
      <alignment horizontal="right"/>
    </xf>
    <xf numFmtId="164" fontId="19" fillId="0" borderId="0" xfId="4" applyNumberFormat="1" applyFont="1" applyFill="1" applyBorder="1" applyAlignment="1">
      <alignment horizontal="left" vertical="center" readingOrder="1"/>
    </xf>
    <xf numFmtId="0" fontId="19" fillId="0" borderId="0" xfId="0" applyFont="1" applyFill="1" applyAlignment="1">
      <alignment horizontal="left" vertical="center" readingOrder="1"/>
    </xf>
    <xf numFmtId="1" fontId="19" fillId="0" borderId="0" xfId="0" applyNumberFormat="1" applyFont="1" applyFill="1" applyAlignment="1">
      <alignment horizontal="left" vertical="center" readingOrder="1"/>
    </xf>
    <xf numFmtId="0" fontId="19" fillId="0" borderId="0" xfId="0" applyNumberFormat="1" applyFont="1" applyFill="1" applyAlignment="1">
      <alignment horizontal="left" vertical="center" readingOrder="1"/>
    </xf>
    <xf numFmtId="1" fontId="27" fillId="0" borderId="22" xfId="0" applyNumberFormat="1" applyFont="1" applyFill="1" applyBorder="1"/>
    <xf numFmtId="0" fontId="0" fillId="0" borderId="0" xfId="0" applyFill="1" applyBorder="1"/>
    <xf numFmtId="0" fontId="19" fillId="32" borderId="0" xfId="0" applyFont="1" applyFill="1" applyBorder="1" applyAlignment="1">
      <alignment horizontal="left" vertical="center" readingOrder="1"/>
    </xf>
    <xf numFmtId="164" fontId="130" fillId="0" borderId="0" xfId="4" applyNumberFormat="1" applyFont="1" applyFill="1" applyAlignment="1">
      <alignment horizontal="left" vertical="center" readingOrder="1"/>
    </xf>
    <xf numFmtId="0" fontId="131" fillId="0" borderId="0" xfId="1" applyNumberFormat="1" applyFont="1" applyFill="1" applyAlignment="1">
      <alignment horizontal="left" vertical="center" readingOrder="1"/>
    </xf>
    <xf numFmtId="0" fontId="19" fillId="0" borderId="0" xfId="1" applyNumberFormat="1" applyFont="1" applyFill="1" applyAlignment="1">
      <alignment horizontal="left" vertical="center" readingOrder="1"/>
    </xf>
    <xf numFmtId="168" fontId="19" fillId="0" borderId="0" xfId="0" applyNumberFormat="1" applyFont="1" applyFill="1" applyAlignment="1">
      <alignment horizontal="left" vertical="center" readingOrder="1"/>
    </xf>
    <xf numFmtId="9" fontId="19" fillId="0" borderId="0" xfId="1" applyFont="1" applyFill="1" applyAlignment="1">
      <alignment horizontal="left" vertical="center" readingOrder="1"/>
    </xf>
    <xf numFmtId="1" fontId="19" fillId="0" borderId="0" xfId="1" applyNumberFormat="1" applyFont="1" applyFill="1" applyAlignment="1">
      <alignment horizontal="left" vertical="center" readingOrder="1"/>
    </xf>
    <xf numFmtId="9" fontId="19" fillId="0" borderId="0" xfId="1" applyNumberFormat="1" applyFont="1" applyFill="1" applyAlignment="1">
      <alignment horizontal="left" vertical="center" readingOrder="1"/>
    </xf>
    <xf numFmtId="9" fontId="19" fillId="0" borderId="0" xfId="0" applyNumberFormat="1" applyFont="1" applyFill="1" applyAlignment="1">
      <alignment horizontal="left" vertical="center" readingOrder="1"/>
    </xf>
    <xf numFmtId="1" fontId="19" fillId="0" borderId="0" xfId="4" applyNumberFormat="1" applyFont="1" applyFill="1" applyAlignment="1">
      <alignment horizontal="left" vertical="center" readingOrder="1"/>
    </xf>
    <xf numFmtId="167" fontId="19" fillId="0" borderId="0" xfId="0" applyNumberFormat="1" applyFont="1" applyFill="1" applyAlignment="1">
      <alignment horizontal="left" vertical="center" readingOrder="1"/>
    </xf>
    <xf numFmtId="0" fontId="61" fillId="0" borderId="0" xfId="0" pivotButton="1" applyFont="1"/>
    <xf numFmtId="0" fontId="74" fillId="40" borderId="0" xfId="0" applyFont="1" applyFill="1" applyAlignment="1">
      <alignment wrapText="1"/>
    </xf>
    <xf numFmtId="1" fontId="19" fillId="0" borderId="0" xfId="0" applyNumberFormat="1" applyFont="1" applyFill="1" applyBorder="1" applyAlignment="1">
      <alignment horizontal="right" vertical="center" readingOrder="1"/>
    </xf>
    <xf numFmtId="1" fontId="19" fillId="0" borderId="0" xfId="0" applyNumberFormat="1" applyFont="1" applyFill="1" applyBorder="1" applyAlignment="1">
      <alignment vertical="center" readingOrder="1"/>
    </xf>
    <xf numFmtId="0" fontId="19" fillId="0" borderId="0" xfId="0" applyFont="1" applyFill="1" applyBorder="1" applyAlignment="1">
      <alignment horizontal="right" vertical="center" readingOrder="1"/>
    </xf>
    <xf numFmtId="0" fontId="19" fillId="0" borderId="0" xfId="0" applyFont="1" applyFill="1" applyAlignment="1">
      <alignment horizontal="right" vertical="center" readingOrder="1"/>
    </xf>
    <xf numFmtId="0" fontId="31" fillId="0" borderId="0" xfId="0" applyFont="1" applyFill="1"/>
    <xf numFmtId="0" fontId="61" fillId="0" borderId="0" xfId="0" applyFont="1" applyBorder="1"/>
    <xf numFmtId="0" fontId="132" fillId="26" borderId="0" xfId="0" applyFont="1" applyFill="1"/>
    <xf numFmtId="164" fontId="133" fillId="0" borderId="0" xfId="0" applyNumberFormat="1" applyFont="1" applyFill="1"/>
    <xf numFmtId="164" fontId="61" fillId="0" borderId="0" xfId="0" applyNumberFormat="1" applyFont="1" applyFill="1"/>
    <xf numFmtId="0" fontId="0" fillId="0" borderId="24" xfId="0" pivotButton="1" applyBorder="1"/>
    <xf numFmtId="0" fontId="61" fillId="0" borderId="24" xfId="0" pivotButton="1" applyFont="1" applyBorder="1"/>
    <xf numFmtId="0" fontId="0" fillId="37" borderId="24" xfId="0" pivotButton="1" applyFill="1" applyBorder="1"/>
    <xf numFmtId="164" fontId="133" fillId="7" borderId="39" xfId="4" applyNumberFormat="1" applyFont="1" applyFill="1" applyBorder="1"/>
    <xf numFmtId="164" fontId="133" fillId="11" borderId="39" xfId="4" applyNumberFormat="1" applyFont="1" applyFill="1" applyBorder="1"/>
    <xf numFmtId="0" fontId="74" fillId="29" borderId="45" xfId="0" applyFont="1" applyFill="1" applyBorder="1"/>
    <xf numFmtId="0" fontId="9" fillId="0" borderId="0" xfId="0" applyFont="1"/>
    <xf numFmtId="1" fontId="98" fillId="19" borderId="0" xfId="0" applyNumberFormat="1" applyFont="1" applyFill="1" applyBorder="1" applyAlignment="1">
      <alignment vertical="top" wrapText="1"/>
    </xf>
    <xf numFmtId="164" fontId="133" fillId="12" borderId="39" xfId="4" applyNumberFormat="1" applyFont="1" applyFill="1" applyBorder="1"/>
    <xf numFmtId="164" fontId="133" fillId="12" borderId="34" xfId="4" applyNumberFormat="1" applyFont="1" applyFill="1" applyBorder="1" applyAlignment="1">
      <alignment vertical="top" wrapText="1"/>
    </xf>
    <xf numFmtId="164" fontId="133" fillId="12" borderId="34" xfId="4" applyNumberFormat="1" applyFont="1" applyFill="1" applyBorder="1"/>
    <xf numFmtId="9" fontId="133" fillId="12" borderId="39" xfId="1" applyFont="1" applyFill="1" applyBorder="1"/>
    <xf numFmtId="164" fontId="133" fillId="12" borderId="38" xfId="4" applyNumberFormat="1" applyFont="1" applyFill="1" applyBorder="1"/>
    <xf numFmtId="0" fontId="11" fillId="0" borderId="0" xfId="0" pivotButton="1" applyFont="1"/>
    <xf numFmtId="0" fontId="11" fillId="0" borderId="0" xfId="0" pivotButton="1" applyFont="1" applyAlignment="1">
      <alignment wrapText="1"/>
    </xf>
    <xf numFmtId="0" fontId="134" fillId="0" borderId="0" xfId="0" applyFont="1" applyAlignment="1">
      <alignment wrapText="1"/>
    </xf>
    <xf numFmtId="0" fontId="135" fillId="40" borderId="0" xfId="0" applyFont="1" applyFill="1" applyAlignment="1">
      <alignment wrapText="1"/>
    </xf>
    <xf numFmtId="0" fontId="135" fillId="40" borderId="0" xfId="0" applyFont="1" applyFill="1" applyAlignment="1"/>
    <xf numFmtId="9" fontId="55" fillId="18" borderId="107" xfId="19" applyNumberFormat="1" applyFont="1" applyFill="1" applyBorder="1" applyAlignment="1">
      <alignment horizontal="left" vertical="center" wrapText="1" readingOrder="1"/>
    </xf>
    <xf numFmtId="0" fontId="55" fillId="18" borderId="107" xfId="19" applyFont="1" applyFill="1" applyBorder="1" applyAlignment="1">
      <alignment horizontal="center" vertical="center" wrapText="1"/>
    </xf>
    <xf numFmtId="0" fontId="8" fillId="0" borderId="0" xfId="0" applyFont="1" applyFill="1"/>
    <xf numFmtId="0" fontId="75" fillId="0" borderId="0" xfId="0" applyFont="1" applyFill="1"/>
    <xf numFmtId="0" fontId="74" fillId="0" borderId="0" xfId="0" applyFont="1" applyFill="1" applyAlignment="1">
      <alignment wrapText="1"/>
    </xf>
    <xf numFmtId="0" fontId="135" fillId="0" borderId="0" xfId="0" applyFont="1" applyFill="1" applyAlignment="1">
      <alignment wrapText="1"/>
    </xf>
    <xf numFmtId="0" fontId="78" fillId="0" borderId="0" xfId="0" applyFont="1"/>
    <xf numFmtId="0" fontId="29" fillId="8" borderId="114" xfId="0" applyFont="1" applyFill="1" applyBorder="1" applyAlignment="1">
      <alignment horizontal="center" vertical="center" wrapText="1"/>
    </xf>
    <xf numFmtId="164" fontId="77" fillId="0" borderId="61" xfId="4" applyNumberFormat="1" applyFont="1" applyBorder="1"/>
    <xf numFmtId="164" fontId="77" fillId="0" borderId="62" xfId="4" applyNumberFormat="1" applyFont="1" applyBorder="1"/>
    <xf numFmtId="0" fontId="27" fillId="0" borderId="30" xfId="0" applyFont="1" applyFill="1" applyBorder="1" applyAlignment="1">
      <alignment wrapText="1"/>
    </xf>
    <xf numFmtId="0" fontId="136" fillId="39" borderId="67" xfId="0" applyFont="1" applyFill="1" applyBorder="1"/>
    <xf numFmtId="0" fontId="90" fillId="0" borderId="0" xfId="0" applyFont="1" applyFill="1" applyAlignment="1">
      <alignment vertical="center"/>
    </xf>
    <xf numFmtId="0" fontId="27" fillId="9" borderId="0" xfId="0" applyFont="1" applyFill="1"/>
    <xf numFmtId="0" fontId="66" fillId="0" borderId="0" xfId="0" applyFont="1" applyFill="1"/>
    <xf numFmtId="0" fontId="66" fillId="0" borderId="0" xfId="0" applyNumberFormat="1" applyFont="1" applyFill="1" applyBorder="1"/>
    <xf numFmtId="0" fontId="66" fillId="0" borderId="0" xfId="0" applyFont="1" applyFill="1" applyBorder="1"/>
    <xf numFmtId="0" fontId="74" fillId="40" borderId="0" xfId="0" applyFont="1" applyFill="1" applyAlignment="1"/>
    <xf numFmtId="1" fontId="82" fillId="0" borderId="0" xfId="0" applyNumberFormat="1" applyFont="1" applyFill="1" applyBorder="1"/>
    <xf numFmtId="0" fontId="82" fillId="0" borderId="0" xfId="0" applyNumberFormat="1" applyFont="1" applyFill="1" applyBorder="1" applyAlignment="1">
      <alignment wrapText="1" readingOrder="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11" fillId="0" borderId="0" xfId="0" pivotButton="1" applyNumberFormat="1" applyFont="1" applyFill="1" applyBorder="1"/>
    <xf numFmtId="0" fontId="7" fillId="19" borderId="0" xfId="0" applyFont="1" applyFill="1"/>
    <xf numFmtId="0" fontId="7" fillId="17" borderId="33" xfId="0" applyFont="1" applyFill="1" applyBorder="1"/>
    <xf numFmtId="0" fontId="75" fillId="0" borderId="0" xfId="0" applyFont="1" applyAlignment="1">
      <alignment wrapText="1"/>
    </xf>
    <xf numFmtId="0" fontId="11" fillId="0" borderId="0" xfId="0" applyFont="1" applyAlignment="1">
      <alignment horizontal="center" vertical="center" wrapText="1"/>
    </xf>
    <xf numFmtId="0" fontId="24" fillId="0" borderId="44" xfId="0" applyFont="1" applyBorder="1" applyAlignment="1">
      <alignment horizontal="center" vertical="center" wrapText="1"/>
    </xf>
    <xf numFmtId="0" fontId="75" fillId="0" borderId="0" xfId="0" applyFont="1" applyAlignment="1">
      <alignment horizontal="center" vertical="center" wrapText="1"/>
    </xf>
    <xf numFmtId="1" fontId="138" fillId="0" borderId="0" xfId="0" applyNumberFormat="1" applyFont="1" applyFill="1"/>
    <xf numFmtId="0" fontId="138" fillId="0" borderId="29" xfId="0" applyNumberFormat="1" applyFont="1" applyFill="1" applyBorder="1"/>
    <xf numFmtId="0" fontId="138" fillId="0" borderId="0" xfId="0" applyFont="1" applyFill="1"/>
    <xf numFmtId="0" fontId="138" fillId="0" borderId="0" xfId="0" applyNumberFormat="1" applyFont="1" applyFill="1" applyAlignment="1">
      <alignment wrapText="1" readingOrder="1"/>
    </xf>
    <xf numFmtId="165" fontId="138" fillId="0" borderId="0" xfId="0" applyNumberFormat="1" applyFont="1" applyFill="1"/>
    <xf numFmtId="165" fontId="138" fillId="0" borderId="0" xfId="0" applyNumberFormat="1" applyFont="1" applyFill="1" applyAlignment="1">
      <alignment wrapText="1" readingOrder="1"/>
    </xf>
    <xf numFmtId="0" fontId="138" fillId="0" borderId="0" xfId="0" applyFont="1" applyFill="1" applyAlignment="1">
      <alignment wrapText="1" readingOrder="1"/>
    </xf>
    <xf numFmtId="0" fontId="139" fillId="0" borderId="0" xfId="0" applyFont="1" applyFill="1" applyAlignment="1">
      <alignment horizontal="left" vertical="center" readingOrder="1"/>
    </xf>
    <xf numFmtId="0" fontId="139" fillId="0" borderId="0" xfId="1" applyNumberFormat="1" applyFont="1" applyFill="1" applyBorder="1" applyAlignment="1">
      <alignment horizontal="left" vertical="center" readingOrder="1"/>
    </xf>
    <xf numFmtId="1" fontId="139" fillId="0" borderId="0" xfId="0" applyNumberFormat="1" applyFont="1" applyFill="1" applyAlignment="1">
      <alignment horizontal="left" vertical="center" readingOrder="1"/>
    </xf>
    <xf numFmtId="168" fontId="139" fillId="0" borderId="0" xfId="0" applyNumberFormat="1" applyFont="1" applyFill="1" applyAlignment="1">
      <alignment horizontal="left" vertical="center" readingOrder="1"/>
    </xf>
    <xf numFmtId="165" fontId="139" fillId="0" borderId="0" xfId="0" applyNumberFormat="1" applyFont="1" applyFill="1" applyAlignment="1">
      <alignment horizontal="left" vertical="center" readingOrder="1"/>
    </xf>
    <xf numFmtId="164" fontId="139" fillId="0" borderId="0" xfId="4" applyNumberFormat="1" applyFont="1" applyFill="1" applyAlignment="1">
      <alignment horizontal="left" vertical="center" readingOrder="1"/>
    </xf>
    <xf numFmtId="0" fontId="139" fillId="0" borderId="0" xfId="0" applyNumberFormat="1" applyFont="1" applyFill="1" applyAlignment="1">
      <alignment horizontal="left" vertical="center" readingOrder="1"/>
    </xf>
    <xf numFmtId="9" fontId="139" fillId="0" borderId="0" xfId="1" applyFont="1" applyFill="1" applyAlignment="1">
      <alignment horizontal="left" vertical="center" readingOrder="1"/>
    </xf>
    <xf numFmtId="0" fontId="139" fillId="0" borderId="0" xfId="1" applyNumberFormat="1" applyFont="1" applyFill="1" applyAlignment="1">
      <alignment horizontal="left" vertical="center" readingOrder="1"/>
    </xf>
    <xf numFmtId="1" fontId="139" fillId="0" borderId="0" xfId="1" applyNumberFormat="1" applyFont="1" applyFill="1" applyAlignment="1">
      <alignment horizontal="left" vertical="center" readingOrder="1"/>
    </xf>
    <xf numFmtId="9" fontId="139" fillId="0" borderId="0" xfId="1" applyNumberFormat="1" applyFont="1" applyFill="1" applyAlignment="1">
      <alignment horizontal="left" vertical="center" readingOrder="1"/>
    </xf>
    <xf numFmtId="9" fontId="139" fillId="0" borderId="0" xfId="0" applyNumberFormat="1" applyFont="1" applyFill="1" applyAlignment="1">
      <alignment horizontal="left" vertical="center" readingOrder="1"/>
    </xf>
    <xf numFmtId="1" fontId="139" fillId="0" borderId="0" xfId="4" applyNumberFormat="1" applyFont="1" applyFill="1" applyAlignment="1">
      <alignment horizontal="left" vertical="center" readingOrder="1"/>
    </xf>
    <xf numFmtId="9" fontId="139" fillId="0" borderId="0" xfId="0" applyNumberFormat="1" applyFont="1" applyFill="1" applyBorder="1" applyAlignment="1">
      <alignment horizontal="left" vertical="center" readingOrder="1"/>
    </xf>
    <xf numFmtId="1" fontId="139" fillId="0" borderId="0" xfId="0" applyNumberFormat="1" applyFont="1" applyFill="1" applyBorder="1" applyAlignment="1">
      <alignment horizontal="left" vertical="center" readingOrder="1"/>
    </xf>
    <xf numFmtId="14" fontId="19" fillId="3" borderId="0" xfId="0" applyNumberFormat="1" applyFont="1" applyFill="1" applyBorder="1" applyAlignment="1">
      <alignment horizontal="left" vertical="center" readingOrder="1"/>
    </xf>
    <xf numFmtId="164" fontId="139" fillId="0" borderId="0" xfId="4" applyNumberFormat="1" applyFont="1" applyFill="1" applyAlignment="1">
      <alignment horizontal="left" vertical="top" readingOrder="1"/>
    </xf>
    <xf numFmtId="0" fontId="138" fillId="0" borderId="0" xfId="0" applyNumberFormat="1" applyFont="1" applyFill="1" applyBorder="1"/>
    <xf numFmtId="0" fontId="138" fillId="0" borderId="21" xfId="0" applyNumberFormat="1" applyFont="1" applyFill="1" applyBorder="1"/>
    <xf numFmtId="1" fontId="138" fillId="0" borderId="30" xfId="0" applyNumberFormat="1" applyFont="1" applyFill="1" applyBorder="1"/>
    <xf numFmtId="1" fontId="27" fillId="0" borderId="29" xfId="0" applyNumberFormat="1" applyFont="1" applyFill="1" applyBorder="1"/>
    <xf numFmtId="1" fontId="138" fillId="0" borderId="0" xfId="0" applyNumberFormat="1" applyFont="1" applyFill="1" applyBorder="1"/>
    <xf numFmtId="1" fontId="138" fillId="0" borderId="22" xfId="0" applyNumberFormat="1" applyFont="1" applyFill="1" applyBorder="1"/>
    <xf numFmtId="0" fontId="138" fillId="0" borderId="0" xfId="0" applyFont="1" applyFill="1" applyBorder="1"/>
    <xf numFmtId="0" fontId="138" fillId="0" borderId="0" xfId="0" applyNumberFormat="1" applyFont="1" applyFill="1" applyBorder="1" applyAlignment="1">
      <alignment wrapText="1" readingOrder="1"/>
    </xf>
    <xf numFmtId="0" fontId="76" fillId="0" borderId="71" xfId="0" applyFont="1" applyBorder="1"/>
    <xf numFmtId="0" fontId="76" fillId="0" borderId="45" xfId="0" applyFont="1" applyBorder="1"/>
    <xf numFmtId="0" fontId="80" fillId="0" borderId="0" xfId="0" pivotButton="1" applyFont="1"/>
    <xf numFmtId="0" fontId="24" fillId="31" borderId="45" xfId="0" applyFont="1" applyFill="1" applyBorder="1"/>
    <xf numFmtId="0" fontId="24" fillId="31" borderId="144" xfId="0" applyFont="1" applyFill="1" applyBorder="1"/>
    <xf numFmtId="0" fontId="24" fillId="0" borderId="45" xfId="0" applyFont="1" applyBorder="1"/>
    <xf numFmtId="0" fontId="24" fillId="0" borderId="71" xfId="0" applyFont="1" applyBorder="1"/>
    <xf numFmtId="0" fontId="74" fillId="29" borderId="144" xfId="0" applyFont="1" applyFill="1" applyBorder="1"/>
    <xf numFmtId="0" fontId="94" fillId="35" borderId="145" xfId="0" applyFont="1" applyFill="1" applyBorder="1" applyAlignment="1">
      <alignment horizontal="center" vertical="center" wrapText="1"/>
    </xf>
    <xf numFmtId="0" fontId="94" fillId="35" borderId="146" xfId="0" applyFont="1" applyFill="1" applyBorder="1" applyAlignment="1">
      <alignment horizontal="center" vertical="center"/>
    </xf>
    <xf numFmtId="0" fontId="94" fillId="35" borderId="146" xfId="0" applyFont="1" applyFill="1" applyBorder="1" applyAlignment="1">
      <alignment horizontal="center" vertical="center" wrapText="1"/>
    </xf>
    <xf numFmtId="0" fontId="94" fillId="35" borderId="147" xfId="0" applyFont="1" applyFill="1" applyBorder="1" applyAlignment="1">
      <alignment horizontal="center" vertical="center" wrapText="1"/>
    </xf>
    <xf numFmtId="0" fontId="6" fillId="51" borderId="92" xfId="0" applyFont="1" applyFill="1" applyBorder="1" applyAlignment="1">
      <alignment horizontal="left" vertical="center"/>
    </xf>
    <xf numFmtId="0" fontId="27" fillId="51" borderId="96" xfId="0" applyNumberFormat="1" applyFont="1" applyFill="1" applyBorder="1" applyAlignment="1">
      <alignment vertical="center"/>
    </xf>
    <xf numFmtId="0" fontId="6" fillId="51" borderId="96" xfId="4" applyNumberFormat="1" applyFont="1" applyFill="1" applyBorder="1" applyAlignment="1">
      <alignment vertical="center"/>
    </xf>
    <xf numFmtId="9" fontId="6" fillId="51" borderId="96" xfId="0" applyNumberFormat="1" applyFont="1" applyFill="1" applyBorder="1" applyAlignment="1">
      <alignment horizontal="center" vertical="center"/>
    </xf>
    <xf numFmtId="9" fontId="6" fillId="51" borderId="91" xfId="0" applyNumberFormat="1" applyFont="1" applyFill="1" applyBorder="1" applyAlignment="1">
      <alignment vertical="center"/>
    </xf>
    <xf numFmtId="0" fontId="6" fillId="0" borderId="24" xfId="0" applyFont="1" applyFill="1" applyBorder="1" applyAlignment="1">
      <alignment vertical="center"/>
    </xf>
    <xf numFmtId="164" fontId="79" fillId="0" borderId="149" xfId="0" applyNumberFormat="1" applyFont="1" applyFill="1" applyBorder="1" applyAlignment="1">
      <alignment vertical="center"/>
    </xf>
    <xf numFmtId="0" fontId="6" fillId="0" borderId="148" xfId="0" applyFont="1" applyFill="1" applyBorder="1" applyAlignment="1">
      <alignment horizontal="left" vertical="center"/>
    </xf>
    <xf numFmtId="0" fontId="6" fillId="0" borderId="149" xfId="0" applyFont="1" applyFill="1" applyBorder="1" applyAlignment="1">
      <alignment vertical="center"/>
    </xf>
    <xf numFmtId="9" fontId="6" fillId="0" borderId="149" xfId="0" applyNumberFormat="1" applyFont="1" applyFill="1" applyBorder="1" applyAlignment="1">
      <alignment horizontal="center" vertical="center"/>
    </xf>
    <xf numFmtId="9" fontId="6" fillId="0" borderId="150" xfId="0" applyNumberFormat="1" applyFont="1" applyFill="1" applyBorder="1" applyAlignment="1">
      <alignment horizontal="center" vertical="center"/>
    </xf>
    <xf numFmtId="0" fontId="24" fillId="0" borderId="151" xfId="0" applyFont="1" applyFill="1" applyBorder="1" applyAlignment="1">
      <alignment horizontal="left" vertical="center"/>
    </xf>
    <xf numFmtId="0" fontId="79" fillId="0" borderId="151" xfId="0" applyNumberFormat="1" applyFont="1" applyFill="1" applyBorder="1" applyAlignment="1">
      <alignment vertical="center"/>
    </xf>
    <xf numFmtId="164" fontId="24" fillId="0" borderId="151" xfId="4" applyNumberFormat="1" applyFont="1" applyFill="1" applyBorder="1" applyAlignment="1">
      <alignment vertical="center"/>
    </xf>
    <xf numFmtId="9" fontId="24" fillId="0" borderId="151" xfId="0" applyNumberFormat="1" applyFont="1" applyFill="1" applyBorder="1" applyAlignment="1">
      <alignment horizontal="center" vertical="center"/>
    </xf>
    <xf numFmtId="9" fontId="6" fillId="0" borderId="89" xfId="0" applyNumberFormat="1" applyFont="1" applyFill="1" applyBorder="1" applyAlignment="1">
      <alignment horizontal="center" vertical="center"/>
    </xf>
    <xf numFmtId="9" fontId="6" fillId="0" borderId="90" xfId="0" applyNumberFormat="1" applyFont="1" applyFill="1" applyBorder="1" applyAlignment="1">
      <alignment vertical="center"/>
    </xf>
    <xf numFmtId="1" fontId="37" fillId="9" borderId="0" xfId="0" applyNumberFormat="1" applyFont="1" applyFill="1" applyBorder="1" applyAlignment="1">
      <alignment horizontal="center" vertical="center" wrapText="1"/>
    </xf>
    <xf numFmtId="0" fontId="5" fillId="0" borderId="0" xfId="0" applyFont="1"/>
    <xf numFmtId="0" fontId="24" fillId="0" borderId="153" xfId="0" applyFont="1" applyBorder="1"/>
    <xf numFmtId="0" fontId="24" fillId="0" borderId="154" xfId="0" applyFont="1" applyBorder="1"/>
    <xf numFmtId="0" fontId="24" fillId="0" borderId="152" xfId="0" applyFont="1" applyBorder="1"/>
    <xf numFmtId="9" fontId="76" fillId="0" borderId="49" xfId="0" applyNumberFormat="1" applyFont="1" applyBorder="1"/>
    <xf numFmtId="9" fontId="76" fillId="0" borderId="50" xfId="0" applyNumberFormat="1" applyFont="1" applyBorder="1"/>
    <xf numFmtId="9" fontId="76" fillId="0" borderId="51" xfId="0" applyNumberFormat="1" applyFont="1" applyBorder="1"/>
    <xf numFmtId="0" fontId="19" fillId="42" borderId="0" xfId="0" applyFont="1" applyFill="1" applyBorder="1" applyAlignment="1">
      <alignment horizontal="left" vertical="center" readingOrder="1"/>
    </xf>
    <xf numFmtId="166" fontId="4" fillId="20" borderId="0" xfId="8" applyFont="1" applyFill="1" applyBorder="1"/>
    <xf numFmtId="0" fontId="73" fillId="0" borderId="0" xfId="0" applyFont="1" applyFill="1" applyAlignment="1">
      <alignment vertical="center"/>
    </xf>
    <xf numFmtId="0" fontId="140" fillId="0" borderId="0" xfId="0" applyFont="1" applyAlignment="1">
      <alignment horizontal="left"/>
    </xf>
    <xf numFmtId="9" fontId="140" fillId="0" borderId="0" xfId="0" applyNumberFormat="1" applyFont="1"/>
    <xf numFmtId="9" fontId="0" fillId="0" borderId="0" xfId="1" applyFont="1"/>
    <xf numFmtId="164" fontId="26" fillId="0" borderId="0" xfId="4" applyNumberFormat="1" applyFont="1" applyFill="1" applyAlignment="1">
      <alignment horizontal="left" vertical="center" readingOrder="1"/>
    </xf>
    <xf numFmtId="0" fontId="3" fillId="0" borderId="0" xfId="0" applyFont="1"/>
    <xf numFmtId="0" fontId="3" fillId="0" borderId="0" xfId="0" applyFont="1" applyAlignment="1">
      <alignment horizontal="left"/>
    </xf>
    <xf numFmtId="0" fontId="3" fillId="0" borderId="0" xfId="0" applyNumberFormat="1" applyFont="1"/>
    <xf numFmtId="164" fontId="3" fillId="0" borderId="0" xfId="0" applyNumberFormat="1" applyFont="1"/>
    <xf numFmtId="9" fontId="3" fillId="0" borderId="0" xfId="0" applyNumberFormat="1" applyFont="1"/>
    <xf numFmtId="0" fontId="3" fillId="0" borderId="33" xfId="0" applyFont="1" applyFill="1" applyBorder="1" applyAlignment="1">
      <alignment vertical="center"/>
    </xf>
    <xf numFmtId="0" fontId="3" fillId="0" borderId="80" xfId="0" applyFont="1" applyFill="1" applyBorder="1" applyAlignment="1">
      <alignment vertical="center"/>
    </xf>
    <xf numFmtId="0" fontId="3" fillId="0" borderId="24" xfId="0" applyFont="1" applyFill="1" applyBorder="1" applyAlignment="1">
      <alignment vertical="center"/>
    </xf>
    <xf numFmtId="164" fontId="3" fillId="0" borderId="24" xfId="4" applyNumberFormat="1" applyFont="1" applyFill="1" applyBorder="1" applyAlignment="1">
      <alignment vertical="center"/>
    </xf>
    <xf numFmtId="9" fontId="3" fillId="0" borderId="24" xfId="0" applyNumberFormat="1" applyFont="1" applyFill="1" applyBorder="1" applyAlignment="1">
      <alignment horizontal="center" vertical="center"/>
    </xf>
    <xf numFmtId="9" fontId="3" fillId="0" borderId="81" xfId="0" applyNumberFormat="1" applyFont="1" applyFill="1" applyBorder="1" applyAlignment="1">
      <alignment horizontal="center" vertical="center"/>
    </xf>
    <xf numFmtId="0" fontId="3" fillId="0" borderId="77" xfId="0" applyFont="1" applyFill="1" applyBorder="1" applyAlignment="1">
      <alignment vertical="center" wrapText="1"/>
    </xf>
    <xf numFmtId="167" fontId="141" fillId="0" borderId="0" xfId="0" applyNumberFormat="1" applyFont="1" applyFill="1" applyAlignment="1">
      <alignment horizontal="left" vertical="center" readingOrder="1"/>
    </xf>
    <xf numFmtId="0" fontId="141" fillId="0" borderId="0" xfId="0" applyFont="1" applyFill="1" applyAlignment="1">
      <alignment horizontal="left" vertical="center" readingOrder="1"/>
    </xf>
    <xf numFmtId="0" fontId="141" fillId="0" borderId="0" xfId="0" applyFont="1" applyFill="1" applyBorder="1" applyAlignment="1">
      <alignment horizontal="left" vertical="center" readingOrder="1"/>
    </xf>
    <xf numFmtId="0" fontId="141" fillId="0" borderId="0" xfId="1" applyNumberFormat="1" applyFont="1" applyFill="1" applyBorder="1" applyAlignment="1">
      <alignment horizontal="left" vertical="center" readingOrder="1"/>
    </xf>
    <xf numFmtId="164" fontId="141" fillId="0" borderId="0" xfId="4" applyNumberFormat="1" applyFont="1" applyFill="1" applyAlignment="1">
      <alignment horizontal="left" vertical="center" readingOrder="1"/>
    </xf>
    <xf numFmtId="168" fontId="141" fillId="0" borderId="0" xfId="0" applyNumberFormat="1" applyFont="1" applyFill="1" applyAlignment="1">
      <alignment horizontal="left" vertical="center" readingOrder="1"/>
    </xf>
    <xf numFmtId="165" fontId="141" fillId="0" borderId="0" xfId="0" applyNumberFormat="1" applyFont="1" applyFill="1" applyAlignment="1">
      <alignment horizontal="left" vertical="center" readingOrder="1"/>
    </xf>
    <xf numFmtId="1" fontId="141" fillId="0" borderId="0" xfId="0" applyNumberFormat="1" applyFont="1" applyFill="1" applyAlignment="1">
      <alignment horizontal="left" vertical="center" readingOrder="1"/>
    </xf>
    <xf numFmtId="0" fontId="141" fillId="0" borderId="0" xfId="0" applyNumberFormat="1" applyFont="1" applyFill="1" applyAlignment="1">
      <alignment horizontal="left" vertical="center" readingOrder="1"/>
    </xf>
    <xf numFmtId="9" fontId="141" fillId="0" borderId="0" xfId="1" applyFont="1" applyFill="1" applyAlignment="1">
      <alignment horizontal="left" vertical="center" readingOrder="1"/>
    </xf>
    <xf numFmtId="0" fontId="141" fillId="0" borderId="0" xfId="1" applyNumberFormat="1" applyFont="1" applyFill="1" applyAlignment="1">
      <alignment horizontal="left" vertical="center" readingOrder="1"/>
    </xf>
    <xf numFmtId="1" fontId="141" fillId="0" borderId="0" xfId="1" applyNumberFormat="1" applyFont="1" applyFill="1" applyAlignment="1">
      <alignment horizontal="left" vertical="center" readingOrder="1"/>
    </xf>
    <xf numFmtId="9" fontId="141" fillId="0" borderId="0" xfId="1" applyNumberFormat="1" applyFont="1" applyFill="1" applyAlignment="1">
      <alignment horizontal="left" vertical="center" readingOrder="1"/>
    </xf>
    <xf numFmtId="9" fontId="141" fillId="0" borderId="0" xfId="0" applyNumberFormat="1" applyFont="1" applyFill="1" applyAlignment="1">
      <alignment horizontal="left" vertical="center" readingOrder="1"/>
    </xf>
    <xf numFmtId="1" fontId="141" fillId="0" borderId="0" xfId="4" applyNumberFormat="1" applyFont="1" applyFill="1" applyAlignment="1">
      <alignment horizontal="left" vertical="center" readingOrder="1"/>
    </xf>
    <xf numFmtId="9" fontId="141" fillId="0" borderId="0" xfId="0" applyNumberFormat="1" applyFont="1" applyFill="1" applyBorder="1" applyAlignment="1">
      <alignment horizontal="left" vertical="center" readingOrder="1"/>
    </xf>
    <xf numFmtId="1" fontId="141" fillId="0" borderId="0" xfId="0" applyNumberFormat="1" applyFont="1" applyFill="1" applyBorder="1" applyAlignment="1">
      <alignment horizontal="left" vertical="center" readingOrder="1"/>
    </xf>
    <xf numFmtId="0" fontId="93" fillId="0" borderId="21" xfId="0" applyNumberFormat="1" applyFont="1" applyFill="1" applyBorder="1"/>
    <xf numFmtId="1" fontId="138" fillId="0" borderId="63" xfId="0" applyNumberFormat="1" applyFont="1" applyFill="1" applyBorder="1"/>
    <xf numFmtId="1" fontId="93" fillId="0" borderId="22" xfId="0" applyNumberFormat="1" applyFont="1" applyFill="1" applyBorder="1"/>
    <xf numFmtId="0" fontId="83" fillId="0" borderId="17" xfId="9" applyFont="1" applyFill="1" applyBorder="1" applyAlignment="1"/>
    <xf numFmtId="0" fontId="141" fillId="2" borderId="0" xfId="0" applyFont="1" applyFill="1" applyAlignment="1">
      <alignment horizontal="left" vertical="center" readingOrder="1"/>
    </xf>
    <xf numFmtId="0" fontId="24" fillId="0" borderId="44" xfId="0" applyFont="1" applyBorder="1" applyAlignment="1">
      <alignment horizontal="left"/>
    </xf>
    <xf numFmtId="0" fontId="24" fillId="0" borderId="46" xfId="0" applyFont="1" applyBorder="1" applyAlignment="1">
      <alignment wrapText="1"/>
    </xf>
    <xf numFmtId="0" fontId="24" fillId="0" borderId="46" xfId="0" applyFont="1" applyBorder="1"/>
    <xf numFmtId="0" fontId="24" fillId="0" borderId="47" xfId="0" applyFont="1" applyBorder="1"/>
    <xf numFmtId="0" fontId="76" fillId="0" borderId="49" xfId="0" applyNumberFormat="1" applyFont="1" applyBorder="1"/>
    <xf numFmtId="0" fontId="76" fillId="0" borderId="50" xfId="0" applyNumberFormat="1" applyFont="1" applyBorder="1"/>
    <xf numFmtId="0" fontId="2" fillId="14" borderId="0" xfId="0" applyFont="1" applyFill="1" applyAlignment="1">
      <alignment horizontal="left"/>
    </xf>
    <xf numFmtId="164" fontId="2" fillId="14" borderId="0" xfId="0" applyNumberFormat="1" applyFont="1" applyFill="1"/>
    <xf numFmtId="9" fontId="2" fillId="14" borderId="0" xfId="0" applyNumberFormat="1" applyFont="1" applyFill="1"/>
    <xf numFmtId="0" fontId="73" fillId="0" borderId="0" xfId="0" applyFont="1" applyFill="1"/>
    <xf numFmtId="0" fontId="74" fillId="0" borderId="0" xfId="0" applyFont="1" applyFill="1"/>
    <xf numFmtId="0" fontId="2" fillId="0" borderId="0" xfId="0" applyFont="1" applyFill="1" applyAlignment="1">
      <alignment horizontal="left"/>
    </xf>
    <xf numFmtId="164" fontId="2" fillId="0" borderId="0" xfId="0" applyNumberFormat="1" applyFont="1" applyFill="1"/>
    <xf numFmtId="9" fontId="2" fillId="0" borderId="0" xfId="0" applyNumberFormat="1" applyFont="1" applyFill="1"/>
    <xf numFmtId="164" fontId="55" fillId="0" borderId="0" xfId="4" applyNumberFormat="1" applyFont="1" applyFill="1" applyAlignment="1">
      <alignment horizontal="left" vertical="center" readingOrder="1"/>
    </xf>
    <xf numFmtId="0" fontId="0" fillId="0" borderId="0" xfId="0" applyNumberFormat="1"/>
    <xf numFmtId="0" fontId="19" fillId="0" borderId="0" xfId="0" applyFont="1" applyFill="1" applyBorder="1" applyAlignment="1">
      <alignment horizontal="left" vertical="center" readingOrder="1"/>
    </xf>
    <xf numFmtId="1" fontId="19" fillId="0" borderId="0" xfId="0" applyNumberFormat="1" applyFont="1" applyFill="1" applyBorder="1" applyAlignment="1">
      <alignment horizontal="left" vertical="center" readingOrder="1"/>
    </xf>
    <xf numFmtId="1" fontId="19" fillId="0" borderId="0" xfId="0" applyNumberFormat="1" applyFont="1" applyFill="1" applyAlignment="1">
      <alignment horizontal="left" vertical="center" readingOrder="1"/>
    </xf>
    <xf numFmtId="9" fontId="19" fillId="0" borderId="0" xfId="1" applyFont="1" applyFill="1" applyAlignment="1">
      <alignment horizontal="left" vertical="center" readingOrder="1"/>
    </xf>
    <xf numFmtId="9" fontId="19" fillId="0" borderId="0" xfId="1" applyNumberFormat="1" applyFont="1" applyFill="1" applyAlignment="1">
      <alignment horizontal="left" vertical="center" readingOrder="1"/>
    </xf>
    <xf numFmtId="0" fontId="0" fillId="0" borderId="0" xfId="0" applyAlignment="1">
      <alignment horizontal="left"/>
    </xf>
    <xf numFmtId="164" fontId="19" fillId="0" borderId="0" xfId="4" applyNumberFormat="1" applyFont="1" applyFill="1" applyAlignment="1">
      <alignment horizontal="left" vertical="center" readingOrder="1"/>
    </xf>
    <xf numFmtId="164" fontId="19" fillId="0" borderId="0" xfId="4" applyNumberFormat="1" applyFont="1" applyFill="1" applyAlignment="1">
      <alignment horizontal="left" vertical="center" readingOrder="1"/>
    </xf>
    <xf numFmtId="0" fontId="0" fillId="0" borderId="0" xfId="0"/>
    <xf numFmtId="14" fontId="19" fillId="3" borderId="2" xfId="0" applyNumberFormat="1" applyFont="1" applyFill="1" applyBorder="1" applyAlignment="1">
      <alignment horizontal="left" vertical="center" readingOrder="1"/>
    </xf>
    <xf numFmtId="0" fontId="30" fillId="0" borderId="0" xfId="0" applyFont="1" applyFill="1" applyAlignment="1"/>
    <xf numFmtId="0" fontId="19" fillId="0" borderId="0" xfId="0" applyFont="1" applyFill="1" applyBorder="1" applyAlignment="1">
      <alignment horizontal="left" vertical="center" readingOrder="1"/>
    </xf>
    <xf numFmtId="1" fontId="30" fillId="0" borderId="0" xfId="0" applyNumberFormat="1" applyFont="1" applyFill="1" applyAlignment="1"/>
    <xf numFmtId="0" fontId="30" fillId="0" borderId="0" xfId="1" applyNumberFormat="1" applyFont="1" applyFill="1" applyAlignment="1"/>
    <xf numFmtId="0" fontId="30" fillId="0" borderId="0" xfId="0" applyNumberFormat="1" applyFont="1" applyFill="1" applyAlignment="1"/>
    <xf numFmtId="9" fontId="19" fillId="0" borderId="0" xfId="0" applyNumberFormat="1" applyFont="1" applyFill="1" applyAlignment="1">
      <alignment horizontal="left" vertical="center" readingOrder="1"/>
    </xf>
    <xf numFmtId="9" fontId="19" fillId="0" borderId="0" xfId="1" applyFont="1" applyFill="1" applyAlignment="1">
      <alignment horizontal="left" vertical="center" readingOrder="1"/>
    </xf>
    <xf numFmtId="1" fontId="19" fillId="0" borderId="0" xfId="1" applyNumberFormat="1" applyFont="1" applyFill="1" applyAlignment="1">
      <alignment horizontal="left" vertical="center" readingOrder="1"/>
    </xf>
    <xf numFmtId="9" fontId="19" fillId="0" borderId="0" xfId="1" applyNumberFormat="1" applyFont="1" applyFill="1" applyAlignment="1">
      <alignment horizontal="left" vertical="center" readingOrder="1"/>
    </xf>
    <xf numFmtId="0" fontId="19" fillId="0" borderId="0" xfId="1" applyNumberFormat="1" applyFont="1" applyFill="1" applyAlignment="1">
      <alignment horizontal="left" vertical="center" readingOrder="1"/>
    </xf>
    <xf numFmtId="0" fontId="0" fillId="0" borderId="0" xfId="0" pivotButton="1"/>
    <xf numFmtId="0" fontId="27" fillId="0" borderId="0" xfId="0" applyFont="1" applyFill="1"/>
    <xf numFmtId="165" fontId="19" fillId="0" borderId="0" xfId="0" applyNumberFormat="1" applyFont="1" applyFill="1" applyBorder="1" applyAlignment="1">
      <alignment horizontal="left" vertical="center" readingOrder="1"/>
    </xf>
    <xf numFmtId="9" fontId="19" fillId="0" borderId="0" xfId="0" applyNumberFormat="1" applyFont="1" applyFill="1" applyBorder="1" applyAlignment="1">
      <alignment horizontal="left" vertical="center" readingOrder="1"/>
    </xf>
    <xf numFmtId="1" fontId="19" fillId="0" borderId="0" xfId="0" applyNumberFormat="1" applyFont="1" applyFill="1" applyBorder="1" applyAlignment="1">
      <alignment horizontal="left" vertical="center" readingOrder="1"/>
    </xf>
    <xf numFmtId="1" fontId="19" fillId="0" borderId="0" xfId="1" applyNumberFormat="1" applyFont="1" applyFill="1" applyBorder="1" applyAlignment="1">
      <alignment horizontal="left" vertical="center" readingOrder="1"/>
    </xf>
    <xf numFmtId="1" fontId="19" fillId="0" borderId="0" xfId="0" applyNumberFormat="1" applyFont="1" applyFill="1" applyAlignment="1">
      <alignment horizontal="left" vertical="center" readingOrder="1"/>
    </xf>
    <xf numFmtId="0" fontId="27" fillId="0" borderId="0" xfId="0" applyFont="1" applyFill="1" applyBorder="1"/>
    <xf numFmtId="0" fontId="66" fillId="0" borderId="0" xfId="0" applyNumberFormat="1" applyFont="1" applyFill="1"/>
    <xf numFmtId="1" fontId="19" fillId="0" borderId="0" xfId="4" applyNumberFormat="1" applyFont="1" applyFill="1" applyAlignment="1">
      <alignment horizontal="left" vertical="center" readingOrder="1"/>
    </xf>
    <xf numFmtId="0" fontId="27" fillId="0" borderId="0" xfId="0" applyNumberFormat="1" applyFont="1" applyFill="1"/>
    <xf numFmtId="1" fontId="27" fillId="0" borderId="0" xfId="0" applyNumberFormat="1" applyFont="1" applyFill="1"/>
    <xf numFmtId="0" fontId="27" fillId="0" borderId="0" xfId="0" applyFont="1" applyFill="1" applyAlignment="1">
      <alignment wrapText="1" readingOrder="1"/>
    </xf>
    <xf numFmtId="0" fontId="27" fillId="0" borderId="17" xfId="0" applyFont="1" applyFill="1" applyBorder="1"/>
    <xf numFmtId="0" fontId="27" fillId="0" borderId="0" xfId="0" applyNumberFormat="1" applyFont="1" applyFill="1" applyBorder="1"/>
    <xf numFmtId="1" fontId="27" fillId="0" borderId="0" xfId="0" applyNumberFormat="1" applyFont="1" applyFill="1" applyBorder="1"/>
    <xf numFmtId="0" fontId="27" fillId="0" borderId="0" xfId="0" applyFont="1" applyFill="1" applyBorder="1" applyAlignment="1">
      <alignment wrapText="1" readingOrder="1"/>
    </xf>
    <xf numFmtId="0" fontId="0" fillId="0" borderId="0" xfId="0" applyFill="1"/>
    <xf numFmtId="0" fontId="27" fillId="0" borderId="0" xfId="0" applyNumberFormat="1" applyFont="1" applyFill="1" applyAlignment="1">
      <alignment wrapText="1" readingOrder="1"/>
    </xf>
    <xf numFmtId="0" fontId="27" fillId="0" borderId="0" xfId="0" applyNumberFormat="1" applyFont="1" applyFill="1" applyBorder="1" applyAlignment="1">
      <alignment wrapText="1" readingOrder="1"/>
    </xf>
    <xf numFmtId="0" fontId="42" fillId="0" borderId="0" xfId="0" applyFont="1" applyFill="1" applyBorder="1" applyAlignment="1">
      <alignment horizontal="left" vertical="center" readingOrder="1"/>
    </xf>
    <xf numFmtId="0" fontId="42" fillId="0" borderId="0" xfId="0" applyNumberFormat="1" applyFont="1" applyFill="1" applyBorder="1" applyAlignment="1">
      <alignment horizontal="left" vertical="center" readingOrder="1"/>
    </xf>
    <xf numFmtId="0" fontId="43" fillId="0" borderId="0" xfId="9" applyFont="1" applyFill="1" applyAlignment="1"/>
    <xf numFmtId="0" fontId="27" fillId="0" borderId="22" xfId="0" applyFont="1" applyFill="1" applyBorder="1"/>
    <xf numFmtId="0" fontId="27" fillId="0" borderId="21" xfId="0" applyFont="1" applyFill="1" applyBorder="1"/>
    <xf numFmtId="0" fontId="27" fillId="0" borderId="21" xfId="0" applyNumberFormat="1" applyFont="1" applyFill="1" applyBorder="1"/>
    <xf numFmtId="1" fontId="27" fillId="0" borderId="21" xfId="0" applyNumberFormat="1" applyFont="1" applyFill="1" applyBorder="1"/>
    <xf numFmtId="0" fontId="27" fillId="0" borderId="30" xfId="0" applyFont="1" applyFill="1" applyBorder="1"/>
    <xf numFmtId="0" fontId="27" fillId="0" borderId="29" xfId="0" applyFont="1" applyFill="1" applyBorder="1"/>
    <xf numFmtId="0" fontId="19" fillId="0" borderId="0" xfId="0" applyNumberFormat="1" applyFont="1" applyFill="1" applyAlignment="1">
      <alignment horizontal="left" vertical="center" readingOrder="1"/>
    </xf>
    <xf numFmtId="165" fontId="27" fillId="0" borderId="0" xfId="0" applyNumberFormat="1" applyFont="1" applyFill="1"/>
    <xf numFmtId="165" fontId="27" fillId="0" borderId="0" xfId="0" applyNumberFormat="1" applyFont="1" applyFill="1" applyBorder="1"/>
    <xf numFmtId="165" fontId="42" fillId="0" borderId="0" xfId="0" applyNumberFormat="1" applyFont="1" applyFill="1" applyBorder="1" applyAlignment="1">
      <alignment horizontal="left" vertical="center" wrapText="1" readingOrder="1"/>
    </xf>
    <xf numFmtId="0" fontId="27" fillId="0" borderId="63" xfId="0" applyFont="1" applyFill="1" applyBorder="1"/>
    <xf numFmtId="0" fontId="83" fillId="0" borderId="0" xfId="9" applyFont="1" applyAlignment="1"/>
    <xf numFmtId="0" fontId="42" fillId="0" borderId="29" xfId="0" applyFont="1" applyFill="1" applyBorder="1" applyAlignment="1">
      <alignment horizontal="left" vertical="center" readingOrder="1"/>
    </xf>
    <xf numFmtId="0" fontId="83" fillId="0" borderId="0" xfId="9" applyFont="1" applyFill="1" applyBorder="1" applyAlignment="1"/>
    <xf numFmtId="0" fontId="27" fillId="0" borderId="0" xfId="0" applyFont="1" applyBorder="1"/>
    <xf numFmtId="0" fontId="19" fillId="0" borderId="0" xfId="1" applyNumberFormat="1" applyFont="1" applyFill="1" applyBorder="1" applyAlignment="1">
      <alignment horizontal="left" vertical="center" readingOrder="1"/>
    </xf>
    <xf numFmtId="0" fontId="27" fillId="0" borderId="29" xfId="0" applyNumberFormat="1" applyFont="1" applyFill="1" applyBorder="1"/>
    <xf numFmtId="1" fontId="27" fillId="0" borderId="30" xfId="0" applyNumberFormat="1" applyFont="1" applyFill="1" applyBorder="1"/>
    <xf numFmtId="0" fontId="42" fillId="0" borderId="30" xfId="0" applyFont="1" applyFill="1" applyBorder="1" applyAlignment="1">
      <alignment horizontal="left" vertical="center" readingOrder="1"/>
    </xf>
    <xf numFmtId="49" fontId="90" fillId="0" borderId="0" xfId="0" applyNumberFormat="1" applyFont="1" applyFill="1" applyBorder="1" applyAlignment="1">
      <alignment horizontal="left" vertical="center"/>
    </xf>
    <xf numFmtId="0" fontId="90" fillId="0" borderId="0" xfId="0" applyFont="1" applyFill="1" applyBorder="1" applyAlignment="1">
      <alignment horizontal="left" vertical="center"/>
    </xf>
    <xf numFmtId="49" fontId="90" fillId="0" borderId="0" xfId="21" applyNumberFormat="1" applyFont="1" applyFill="1" applyBorder="1" applyAlignment="1">
      <alignment horizontal="left" vertical="center"/>
    </xf>
    <xf numFmtId="0" fontId="27" fillId="0" borderId="29" xfId="0" applyFont="1" applyFill="1" applyBorder="1" applyAlignment="1"/>
    <xf numFmtId="0" fontId="27" fillId="0" borderId="0" xfId="0" applyFont="1" applyFill="1" applyAlignment="1"/>
    <xf numFmtId="165" fontId="27" fillId="0" borderId="0" xfId="0" applyNumberFormat="1" applyFont="1" applyFill="1" applyAlignment="1"/>
    <xf numFmtId="0" fontId="27" fillId="0" borderId="0" xfId="0" applyFont="1" applyFill="1" applyAlignment="1">
      <alignment readingOrder="1"/>
    </xf>
    <xf numFmtId="49" fontId="66" fillId="43" borderId="30" xfId="0" applyNumberFormat="1" applyFont="1" applyFill="1" applyBorder="1" applyAlignment="1">
      <alignment horizontal="left" vertical="center"/>
    </xf>
    <xf numFmtId="0" fontId="90" fillId="43" borderId="30" xfId="0" applyFont="1" applyFill="1" applyBorder="1" applyAlignment="1">
      <alignment horizontal="left" vertical="center"/>
    </xf>
    <xf numFmtId="1" fontId="27" fillId="0" borderId="63" xfId="0" applyNumberFormat="1" applyFont="1" applyFill="1" applyBorder="1"/>
    <xf numFmtId="0" fontId="83" fillId="0" borderId="0" xfId="9" applyFont="1" applyFill="1" applyBorder="1" applyAlignment="1">
      <alignment horizontal="right"/>
    </xf>
    <xf numFmtId="164" fontId="19" fillId="0" borderId="0" xfId="4" applyNumberFormat="1" applyFont="1" applyFill="1" applyBorder="1" applyAlignment="1">
      <alignment horizontal="left" vertical="center" readingOrder="1"/>
    </xf>
    <xf numFmtId="164" fontId="19" fillId="0" borderId="0" xfId="4" applyNumberFormat="1" applyFont="1" applyFill="1" applyAlignment="1">
      <alignment horizontal="left" vertical="center" readingOrder="1"/>
    </xf>
    <xf numFmtId="167" fontId="19" fillId="0" borderId="0" xfId="0" applyNumberFormat="1" applyFont="1" applyFill="1" applyAlignment="1">
      <alignment horizontal="left" vertical="center" readingOrder="1"/>
    </xf>
    <xf numFmtId="0" fontId="26" fillId="0" borderId="0" xfId="19" applyFont="1" applyFill="1" applyBorder="1" applyAlignment="1">
      <alignment horizontal="left" vertical="center"/>
    </xf>
    <xf numFmtId="0" fontId="26" fillId="0" borderId="0" xfId="19" applyFont="1" applyFill="1" applyBorder="1" applyAlignment="1">
      <alignment horizontal="center" vertical="center"/>
    </xf>
    <xf numFmtId="0" fontId="25" fillId="0" borderId="0" xfId="0" applyFont="1" applyFill="1" applyBorder="1" applyAlignment="1">
      <alignment horizontal="center" vertical="center"/>
    </xf>
    <xf numFmtId="0" fontId="144" fillId="0" borderId="0" xfId="9" applyFont="1" applyFill="1" applyBorder="1" applyAlignment="1">
      <alignment horizontal="left" vertical="center"/>
    </xf>
    <xf numFmtId="0" fontId="144" fillId="0" borderId="0" xfId="9" applyFont="1" applyFill="1" applyBorder="1" applyAlignment="1">
      <alignment horizontal="center" vertical="center"/>
    </xf>
    <xf numFmtId="0" fontId="25" fillId="0" borderId="0" xfId="0" applyFont="1" applyFill="1" applyBorder="1" applyAlignment="1">
      <alignment vertical="center"/>
    </xf>
    <xf numFmtId="0" fontId="25" fillId="0" borderId="0" xfId="0" applyFont="1" applyFill="1" applyBorder="1" applyAlignment="1">
      <alignment horizontal="left" vertical="center"/>
    </xf>
    <xf numFmtId="0" fontId="82" fillId="0" borderId="17" xfId="0" applyFont="1" applyFill="1" applyBorder="1"/>
    <xf numFmtId="165" fontId="27" fillId="0" borderId="0" xfId="0" applyNumberFormat="1" applyFont="1" applyFill="1" applyAlignment="1">
      <alignment wrapText="1" readingOrder="1"/>
    </xf>
    <xf numFmtId="0" fontId="76" fillId="0" borderId="51" xfId="0" applyNumberFormat="1" applyFont="1" applyBorder="1"/>
    <xf numFmtId="0" fontId="24" fillId="0" borderId="155" xfId="0" applyNumberFormat="1" applyFont="1" applyBorder="1"/>
    <xf numFmtId="0" fontId="24" fillId="0" borderId="156" xfId="0" applyNumberFormat="1" applyFont="1" applyBorder="1"/>
    <xf numFmtId="0" fontId="24" fillId="0" borderId="44" xfId="0" applyFont="1" applyBorder="1" applyAlignment="1">
      <alignment wrapText="1"/>
    </xf>
    <xf numFmtId="1" fontId="11" fillId="0" borderId="0" xfId="1" applyNumberFormat="1" applyFont="1"/>
    <xf numFmtId="0" fontId="1" fillId="0" borderId="33" xfId="0" applyFont="1" applyFill="1" applyBorder="1" applyAlignment="1">
      <alignment vertical="center"/>
    </xf>
    <xf numFmtId="0" fontId="145" fillId="0" borderId="0" xfId="0" pivotButton="1" applyFont="1"/>
    <xf numFmtId="0" fontId="145" fillId="0" borderId="0" xfId="0" applyFont="1"/>
    <xf numFmtId="0" fontId="145" fillId="0" borderId="0" xfId="0" applyFont="1" applyAlignment="1">
      <alignment horizontal="left"/>
    </xf>
    <xf numFmtId="0" fontId="145" fillId="0" borderId="0" xfId="0" applyNumberFormat="1" applyFont="1"/>
    <xf numFmtId="0" fontId="146" fillId="14" borderId="0" xfId="0" applyFont="1" applyFill="1" applyAlignment="1">
      <alignment horizontal="center" vertical="center" wrapText="1"/>
    </xf>
    <xf numFmtId="0" fontId="146" fillId="8" borderId="0" xfId="0" applyNumberFormat="1" applyFont="1" applyFill="1" applyAlignment="1">
      <alignment horizontal="center" vertical="center" wrapText="1"/>
    </xf>
    <xf numFmtId="0" fontId="146" fillId="8" borderId="0" xfId="0" applyFont="1" applyFill="1" applyAlignment="1">
      <alignment horizontal="center" vertical="center" wrapText="1"/>
    </xf>
    <xf numFmtId="0" fontId="146" fillId="36" borderId="0" xfId="0" applyNumberFormat="1" applyFont="1" applyFill="1" applyAlignment="1">
      <alignment horizontal="center" vertical="center" wrapText="1"/>
    </xf>
    <xf numFmtId="0" fontId="146" fillId="36" borderId="0" xfId="0" applyFont="1" applyFill="1" applyAlignment="1">
      <alignment horizontal="center" vertical="center" wrapText="1"/>
    </xf>
    <xf numFmtId="164" fontId="146" fillId="14" borderId="0" xfId="0" applyNumberFormat="1" applyFont="1" applyFill="1" applyAlignment="1">
      <alignment horizontal="right" vertical="center"/>
    </xf>
    <xf numFmtId="164" fontId="146" fillId="14" borderId="0" xfId="0" applyNumberFormat="1" applyFont="1" applyFill="1" applyAlignment="1">
      <alignment horizontal="center" vertical="center" wrapText="1"/>
    </xf>
    <xf numFmtId="164" fontId="145" fillId="0" borderId="0" xfId="0" pivotButton="1" applyNumberFormat="1" applyFont="1"/>
    <xf numFmtId="164" fontId="145" fillId="0" borderId="0" xfId="0" applyNumberFormat="1" applyFont="1"/>
    <xf numFmtId="164" fontId="146" fillId="47" borderId="0" xfId="0" applyNumberFormat="1" applyFont="1" applyFill="1" applyAlignment="1">
      <alignment horizontal="center" vertical="center" wrapText="1"/>
    </xf>
    <xf numFmtId="164" fontId="146" fillId="8" borderId="0" xfId="0" applyNumberFormat="1" applyFont="1" applyFill="1" applyAlignment="1">
      <alignment horizontal="center" vertical="center" wrapText="1"/>
    </xf>
    <xf numFmtId="164" fontId="146" fillId="48" borderId="0" xfId="0" applyNumberFormat="1" applyFont="1" applyFill="1" applyAlignment="1">
      <alignment horizontal="center" vertical="center" wrapText="1"/>
    </xf>
    <xf numFmtId="3" fontId="145" fillId="0" borderId="0" xfId="0" applyNumberFormat="1" applyFont="1"/>
    <xf numFmtId="0" fontId="145" fillId="0" borderId="0" xfId="0" applyFont="1" applyAlignment="1">
      <alignment wrapText="1"/>
    </xf>
    <xf numFmtId="0" fontId="146" fillId="14" borderId="0" xfId="0" applyFont="1" applyFill="1" applyAlignment="1">
      <alignment horizontal="center"/>
    </xf>
    <xf numFmtId="164" fontId="146" fillId="14" borderId="0" xfId="0" applyNumberFormat="1" applyFont="1" applyFill="1"/>
    <xf numFmtId="164" fontId="146" fillId="36" borderId="0" xfId="0" applyNumberFormat="1" applyFont="1" applyFill="1" applyAlignment="1">
      <alignment horizontal="right" vertical="center"/>
    </xf>
    <xf numFmtId="0" fontId="145" fillId="0" borderId="0" xfId="0" pivotButton="1" applyFont="1" applyAlignment="1">
      <alignment wrapText="1"/>
    </xf>
    <xf numFmtId="0" fontId="147" fillId="26" borderId="0" xfId="0" applyFont="1" applyFill="1"/>
    <xf numFmtId="164" fontId="146" fillId="14" borderId="0" xfId="0" applyNumberFormat="1" applyFont="1" applyFill="1" applyAlignment="1">
      <alignment horizontal="center"/>
    </xf>
    <xf numFmtId="164" fontId="146" fillId="26" borderId="0" xfId="0" applyNumberFormat="1" applyFont="1" applyFill="1"/>
    <xf numFmtId="0" fontId="146" fillId="26" borderId="0" xfId="0" applyFont="1" applyFill="1" applyAlignment="1">
      <alignment horizontal="center" vertical="center" wrapText="1"/>
    </xf>
    <xf numFmtId="0" fontId="146" fillId="14" borderId="0" xfId="0" applyFont="1" applyFill="1" applyAlignment="1">
      <alignment horizontal="center" vertical="center"/>
    </xf>
    <xf numFmtId="0" fontId="146" fillId="49" borderId="0" xfId="0" applyFont="1" applyFill="1" applyAlignment="1">
      <alignment horizontal="center" vertical="center"/>
    </xf>
    <xf numFmtId="0" fontId="146" fillId="50" borderId="0" xfId="0" applyFont="1" applyFill="1" applyAlignment="1">
      <alignment horizontal="center" vertical="center"/>
    </xf>
    <xf numFmtId="164" fontId="148" fillId="12" borderId="0" xfId="0" applyNumberFormat="1" applyFont="1" applyFill="1"/>
    <xf numFmtId="0" fontId="148" fillId="12" borderId="0" xfId="0" applyFont="1" applyFill="1" applyAlignment="1">
      <alignment horizontal="center" vertical="center" wrapText="1"/>
    </xf>
    <xf numFmtId="0" fontId="148" fillId="12" borderId="0" xfId="0" applyFont="1" applyFill="1" applyAlignment="1">
      <alignment vertical="center" wrapText="1"/>
    </xf>
    <xf numFmtId="0" fontId="148" fillId="12" borderId="0" xfId="0" applyFont="1" applyFill="1" applyAlignment="1">
      <alignment wrapText="1"/>
    </xf>
    <xf numFmtId="0" fontId="146" fillId="14" borderId="0" xfId="0" applyNumberFormat="1" applyFont="1" applyFill="1" applyAlignment="1">
      <alignment horizontal="center" vertical="center" wrapText="1"/>
    </xf>
    <xf numFmtId="164" fontId="146" fillId="8" borderId="0" xfId="0" applyNumberFormat="1" applyFont="1" applyFill="1"/>
    <xf numFmtId="164" fontId="146" fillId="8" borderId="0" xfId="0" applyNumberFormat="1" applyFont="1" applyFill="1" applyAlignment="1">
      <alignment vertical="center"/>
    </xf>
    <xf numFmtId="164" fontId="146" fillId="36" borderId="0" xfId="0" applyNumberFormat="1" applyFont="1" applyFill="1" applyAlignment="1">
      <alignment horizontal="center" vertical="center" wrapText="1"/>
    </xf>
    <xf numFmtId="164" fontId="146" fillId="9" borderId="0" xfId="0" applyNumberFormat="1" applyFont="1" applyFill="1"/>
    <xf numFmtId="0" fontId="146" fillId="8" borderId="0" xfId="0" applyFont="1" applyFill="1" applyAlignment="1">
      <alignment horizontal="center" vertical="center"/>
    </xf>
    <xf numFmtId="0" fontId="146" fillId="9" borderId="0" xfId="0" applyFont="1" applyFill="1" applyAlignment="1">
      <alignment horizontal="center" vertical="center"/>
    </xf>
    <xf numFmtId="0" fontId="146" fillId="47" borderId="0" xfId="0" applyFont="1" applyFill="1" applyAlignment="1">
      <alignment horizontal="center" vertical="center" wrapText="1"/>
    </xf>
    <xf numFmtId="0" fontId="146" fillId="14" borderId="0" xfId="0" applyNumberFormat="1" applyFont="1" applyFill="1"/>
    <xf numFmtId="164" fontId="146" fillId="14" borderId="0" xfId="0" applyNumberFormat="1" applyFont="1" applyFill="1" applyAlignment="1">
      <alignment horizontal="center" vertical="center"/>
    </xf>
    <xf numFmtId="164" fontId="146" fillId="8" borderId="0" xfId="0" applyNumberFormat="1" applyFont="1" applyFill="1" applyAlignment="1">
      <alignment horizontal="center" vertical="center"/>
    </xf>
    <xf numFmtId="164" fontId="146" fillId="8" borderId="0" xfId="0" applyNumberFormat="1" applyFont="1" applyFill="1" applyAlignment="1">
      <alignment horizontal="right" vertical="center"/>
    </xf>
    <xf numFmtId="0" fontId="149" fillId="0" borderId="0" xfId="0" pivotButton="1" applyFont="1"/>
    <xf numFmtId="0" fontId="149" fillId="0" borderId="0" xfId="0" applyFont="1"/>
    <xf numFmtId="0" fontId="149" fillId="0" borderId="0" xfId="0" pivotButton="1" applyFont="1" applyAlignment="1">
      <alignment wrapText="1"/>
    </xf>
    <xf numFmtId="0" fontId="150" fillId="29" borderId="0" xfId="0" applyFont="1" applyFill="1"/>
    <xf numFmtId="0" fontId="149" fillId="0" borderId="0" xfId="0" applyFont="1" applyAlignment="1">
      <alignment horizontal="left"/>
    </xf>
    <xf numFmtId="1" fontId="149" fillId="0" borderId="0" xfId="0" applyNumberFormat="1" applyFont="1"/>
    <xf numFmtId="9" fontId="149" fillId="0" borderId="0" xfId="0" applyNumberFormat="1" applyFont="1"/>
    <xf numFmtId="0" fontId="149" fillId="0" borderId="0" xfId="0" pivotButton="1" applyFont="1" applyAlignment="1">
      <alignment horizontal="center" vertical="center" wrapText="1"/>
    </xf>
    <xf numFmtId="0" fontId="150" fillId="40" borderId="0" xfId="0" applyFont="1" applyFill="1" applyAlignment="1">
      <alignment wrapText="1"/>
    </xf>
    <xf numFmtId="0" fontId="150" fillId="40" borderId="0" xfId="0" applyFont="1" applyFill="1" applyAlignment="1"/>
    <xf numFmtId="0" fontId="150" fillId="40" borderId="0" xfId="0" applyFont="1" applyFill="1"/>
    <xf numFmtId="0" fontId="149" fillId="0" borderId="0" xfId="0" applyNumberFormat="1" applyFont="1"/>
    <xf numFmtId="0" fontId="149" fillId="0" borderId="0" xfId="0" applyFont="1" applyAlignment="1">
      <alignment wrapText="1"/>
    </xf>
    <xf numFmtId="164" fontId="149" fillId="0" borderId="0" xfId="0" applyNumberFormat="1" applyFont="1"/>
    <xf numFmtId="3" fontId="149" fillId="0" borderId="0" xfId="0" applyNumberFormat="1" applyFont="1"/>
    <xf numFmtId="0" fontId="149" fillId="0" borderId="0" xfId="0" pivotButton="1" applyFont="1" applyAlignment="1">
      <alignment horizontal="center" wrapText="1"/>
    </xf>
    <xf numFmtId="0" fontId="149" fillId="0" borderId="0" xfId="0" applyFont="1" applyAlignment="1">
      <alignment horizontal="center" wrapText="1"/>
    </xf>
    <xf numFmtId="0" fontId="149" fillId="0" borderId="0" xfId="0" applyFont="1" applyAlignment="1">
      <alignment horizontal="center" vertical="center" wrapText="1"/>
    </xf>
    <xf numFmtId="164" fontId="149" fillId="0" borderId="0" xfId="0" applyNumberFormat="1" applyFont="1" applyFill="1"/>
    <xf numFmtId="9" fontId="149" fillId="0" borderId="0" xfId="0" applyNumberFormat="1" applyFont="1" applyFill="1"/>
    <xf numFmtId="0" fontId="149" fillId="0" borderId="0" xfId="0" applyFont="1" applyFill="1" applyAlignment="1">
      <alignment horizontal="left"/>
    </xf>
    <xf numFmtId="0" fontId="150" fillId="29" borderId="0" xfId="0" applyFont="1" applyFill="1" applyAlignment="1">
      <alignment horizontal="left" vertical="center" wrapText="1"/>
    </xf>
    <xf numFmtId="0" fontId="145" fillId="0" borderId="0" xfId="0" pivotButton="1" applyFont="1" applyAlignment="1">
      <alignment horizontal="center" vertical="center" wrapText="1"/>
    </xf>
    <xf numFmtId="166" fontId="31" fillId="15" borderId="5" xfId="8" applyFont="1" applyFill="1" applyBorder="1" applyAlignment="1">
      <alignment horizontal="center" vertical="center"/>
    </xf>
    <xf numFmtId="166" fontId="31" fillId="15" borderId="6" xfId="8" applyFont="1" applyFill="1" applyBorder="1" applyAlignment="1">
      <alignment horizontal="center" vertical="center"/>
    </xf>
    <xf numFmtId="166" fontId="31" fillId="15" borderId="7" xfId="8" applyFont="1" applyFill="1" applyBorder="1" applyAlignment="1">
      <alignment horizontal="center" vertical="center"/>
    </xf>
    <xf numFmtId="166" fontId="4" fillId="20" borderId="0" xfId="8" applyFont="1" applyFill="1" applyBorder="1" applyAlignment="1">
      <alignment horizontal="left" wrapText="1"/>
    </xf>
    <xf numFmtId="166" fontId="15" fillId="20" borderId="0" xfId="8" applyFill="1" applyBorder="1" applyAlignment="1">
      <alignment horizontal="left" wrapText="1"/>
    </xf>
    <xf numFmtId="166" fontId="15" fillId="20" borderId="9" xfId="8" applyFill="1" applyBorder="1" applyAlignment="1">
      <alignment horizontal="left" wrapText="1"/>
    </xf>
    <xf numFmtId="0" fontId="29" fillId="8" borderId="115" xfId="0" applyFont="1" applyFill="1" applyBorder="1" applyAlignment="1">
      <alignment horizontal="center" vertical="center" wrapText="1"/>
    </xf>
    <xf numFmtId="0" fontId="29" fillId="8" borderId="124" xfId="0" applyFont="1" applyFill="1" applyBorder="1" applyAlignment="1">
      <alignment horizontal="center" vertical="center" wrapText="1"/>
    </xf>
    <xf numFmtId="0" fontId="29" fillId="8" borderId="131" xfId="0" applyFont="1" applyFill="1" applyBorder="1" applyAlignment="1">
      <alignment horizontal="center" vertical="center" wrapText="1"/>
    </xf>
    <xf numFmtId="0" fontId="29" fillId="8" borderId="132" xfId="0" applyFont="1" applyFill="1" applyBorder="1" applyAlignment="1">
      <alignment horizontal="center" vertical="center" wrapText="1"/>
    </xf>
    <xf numFmtId="0" fontId="29" fillId="8" borderId="133" xfId="0" applyFont="1" applyFill="1" applyBorder="1" applyAlignment="1">
      <alignment horizontal="center" vertical="center" wrapText="1"/>
    </xf>
    <xf numFmtId="0" fontId="29" fillId="8" borderId="134" xfId="0" applyFont="1" applyFill="1" applyBorder="1" applyAlignment="1">
      <alignment horizontal="center" vertical="center" wrapText="1"/>
    </xf>
    <xf numFmtId="0" fontId="29" fillId="5" borderId="131" xfId="0" applyFont="1" applyFill="1" applyBorder="1" applyAlignment="1">
      <alignment horizontal="center" vertical="center"/>
    </xf>
    <xf numFmtId="0" fontId="29" fillId="5" borderId="138" xfId="0" applyFont="1" applyFill="1" applyBorder="1" applyAlignment="1">
      <alignment horizontal="center" vertical="center"/>
    </xf>
    <xf numFmtId="0" fontId="29" fillId="5" borderId="133" xfId="0" applyFont="1" applyFill="1" applyBorder="1" applyAlignment="1">
      <alignment horizontal="center" vertical="center"/>
    </xf>
    <xf numFmtId="0" fontId="29" fillId="5" borderId="139" xfId="0" applyFont="1" applyFill="1" applyBorder="1" applyAlignment="1">
      <alignment horizontal="center" vertical="center"/>
    </xf>
    <xf numFmtId="0" fontId="29" fillId="5" borderId="135" xfId="0" applyFont="1" applyFill="1" applyBorder="1" applyAlignment="1">
      <alignment horizontal="center" vertical="center"/>
    </xf>
    <xf numFmtId="0" fontId="29" fillId="5" borderId="136" xfId="0" applyFont="1" applyFill="1" applyBorder="1" applyAlignment="1">
      <alignment horizontal="center" vertical="center"/>
    </xf>
    <xf numFmtId="0" fontId="29" fillId="8" borderId="114" xfId="0" applyFont="1" applyFill="1" applyBorder="1" applyAlignment="1">
      <alignment horizontal="center" vertical="center" wrapText="1"/>
    </xf>
    <xf numFmtId="0" fontId="29" fillId="5" borderId="131" xfId="0" applyFont="1" applyFill="1" applyBorder="1" applyAlignment="1">
      <alignment horizontal="center" vertical="center" wrapText="1"/>
    </xf>
    <xf numFmtId="0" fontId="29" fillId="5" borderId="132" xfId="0" applyFont="1" applyFill="1" applyBorder="1" applyAlignment="1">
      <alignment horizontal="center" vertical="center" wrapText="1"/>
    </xf>
    <xf numFmtId="0" fontId="29" fillId="5" borderId="133" xfId="0" applyFont="1" applyFill="1" applyBorder="1" applyAlignment="1">
      <alignment horizontal="center" vertical="center" wrapText="1"/>
    </xf>
    <xf numFmtId="0" fontId="29" fillId="5" borderId="134" xfId="0" applyFont="1" applyFill="1" applyBorder="1" applyAlignment="1">
      <alignment horizontal="center" vertical="center" wrapText="1"/>
    </xf>
    <xf numFmtId="0" fontId="29" fillId="5" borderId="124" xfId="0" applyFont="1" applyFill="1" applyBorder="1" applyAlignment="1">
      <alignment horizontal="center" vertical="center" wrapText="1"/>
    </xf>
    <xf numFmtId="0" fontId="29" fillId="5" borderId="119" xfId="0" applyFont="1" applyFill="1" applyBorder="1" applyAlignment="1">
      <alignment horizontal="center" vertical="center" wrapText="1"/>
    </xf>
    <xf numFmtId="0" fontId="29" fillId="5" borderId="114" xfId="0" applyFont="1" applyFill="1" applyBorder="1" applyAlignment="1">
      <alignment horizontal="center" vertical="center" wrapText="1"/>
    </xf>
    <xf numFmtId="0" fontId="29" fillId="5" borderId="120" xfId="0" applyFont="1" applyFill="1" applyBorder="1" applyAlignment="1">
      <alignment horizontal="center" vertical="center" wrapText="1"/>
    </xf>
    <xf numFmtId="0" fontId="18" fillId="45" borderId="105" xfId="22" applyNumberFormat="1" applyFont="1" applyFill="1" applyBorder="1" applyAlignment="1">
      <alignment horizontal="center" vertical="center"/>
    </xf>
    <xf numFmtId="0" fontId="18" fillId="45" borderId="101" xfId="22" applyNumberFormat="1" applyFont="1" applyFill="1" applyBorder="1" applyAlignment="1">
      <alignment horizontal="center" vertical="center"/>
    </xf>
    <xf numFmtId="0" fontId="29" fillId="5" borderId="119" xfId="0" applyFont="1" applyFill="1" applyBorder="1" applyAlignment="1">
      <alignment horizontal="center" vertical="center"/>
    </xf>
    <xf numFmtId="0" fontId="29" fillId="5" borderId="114" xfId="0" applyFont="1" applyFill="1" applyBorder="1" applyAlignment="1">
      <alignment horizontal="center" vertical="center"/>
    </xf>
    <xf numFmtId="0" fontId="29" fillId="5" borderId="120" xfId="0" applyFont="1" applyFill="1" applyBorder="1" applyAlignment="1">
      <alignment horizontal="center" vertical="center"/>
    </xf>
    <xf numFmtId="0" fontId="29" fillId="5" borderId="115" xfId="0" applyFont="1" applyFill="1" applyBorder="1" applyAlignment="1">
      <alignment horizontal="center" vertical="center"/>
    </xf>
    <xf numFmtId="0" fontId="29" fillId="5" borderId="125" xfId="0" applyFont="1" applyFill="1" applyBorder="1" applyAlignment="1">
      <alignment horizontal="center" vertical="center" wrapText="1"/>
    </xf>
    <xf numFmtId="0" fontId="29" fillId="5" borderId="126" xfId="0" applyFont="1" applyFill="1" applyBorder="1" applyAlignment="1">
      <alignment horizontal="center" vertical="center" wrapText="1"/>
    </xf>
    <xf numFmtId="0" fontId="29" fillId="5" borderId="127" xfId="0" applyFont="1" applyFill="1" applyBorder="1" applyAlignment="1">
      <alignment horizontal="center" vertical="center" wrapText="1"/>
    </xf>
    <xf numFmtId="0" fontId="29" fillId="5" borderId="128" xfId="0" applyFont="1" applyFill="1" applyBorder="1" applyAlignment="1">
      <alignment horizontal="center" vertical="center" wrapText="1"/>
    </xf>
    <xf numFmtId="0" fontId="116" fillId="0" borderId="0" xfId="19" applyFont="1" applyAlignment="1">
      <alignment horizontal="left" vertical="center"/>
    </xf>
    <xf numFmtId="0" fontId="120" fillId="0" borderId="0" xfId="19" applyFont="1" applyAlignment="1">
      <alignment horizontal="left" vertical="center"/>
    </xf>
    <xf numFmtId="0" fontId="69" fillId="0" borderId="36" xfId="0" applyFont="1" applyBorder="1" applyAlignment="1">
      <alignment horizontal="center" vertical="center" wrapText="1"/>
    </xf>
    <xf numFmtId="0" fontId="69" fillId="0" borderId="37" xfId="0" applyFont="1" applyBorder="1" applyAlignment="1">
      <alignment horizontal="center" vertical="center" wrapText="1"/>
    </xf>
    <xf numFmtId="0" fontId="62" fillId="2" borderId="72" xfId="0" applyFont="1" applyFill="1" applyBorder="1" applyAlignment="1">
      <alignment horizontal="center"/>
    </xf>
    <xf numFmtId="0" fontId="62" fillId="2" borderId="73" xfId="0" applyFont="1" applyFill="1" applyBorder="1" applyAlignment="1">
      <alignment horizontal="center"/>
    </xf>
    <xf numFmtId="0" fontId="67" fillId="14" borderId="74" xfId="0" applyFont="1" applyFill="1" applyBorder="1" applyAlignment="1">
      <alignment horizontal="center" vertical="top" wrapText="1"/>
    </xf>
    <xf numFmtId="0" fontId="67" fillId="14" borderId="75" xfId="0" applyFont="1" applyFill="1" applyBorder="1" applyAlignment="1">
      <alignment horizontal="center" vertical="top" wrapText="1"/>
    </xf>
    <xf numFmtId="0" fontId="67" fillId="8" borderId="76" xfId="0" applyFont="1" applyFill="1" applyBorder="1" applyAlignment="1">
      <alignment horizontal="center" vertical="top" wrapText="1"/>
    </xf>
    <xf numFmtId="0" fontId="67" fillId="8" borderId="73" xfId="0" applyFont="1" applyFill="1" applyBorder="1" applyAlignment="1">
      <alignment horizontal="center" vertical="top" wrapText="1"/>
    </xf>
    <xf numFmtId="0" fontId="67" fillId="9" borderId="76" xfId="0" applyFont="1" applyFill="1" applyBorder="1" applyAlignment="1">
      <alignment horizontal="center" vertical="top" wrapText="1"/>
    </xf>
    <xf numFmtId="0" fontId="67" fillId="9" borderId="73" xfId="0" applyFont="1" applyFill="1" applyBorder="1" applyAlignment="1">
      <alignment horizontal="center" vertical="top" wrapText="1"/>
    </xf>
    <xf numFmtId="0" fontId="67" fillId="36" borderId="38" xfId="0" applyFont="1" applyFill="1" applyBorder="1" applyAlignment="1">
      <alignment horizontal="center" vertical="top" wrapText="1"/>
    </xf>
    <xf numFmtId="0" fontId="61" fillId="12" borderId="143" xfId="0" applyFont="1" applyFill="1" applyBorder="1" applyAlignment="1">
      <alignment horizontal="center" vertical="center"/>
    </xf>
    <xf numFmtId="0" fontId="61" fillId="0" borderId="43" xfId="0" applyFont="1" applyBorder="1" applyAlignment="1">
      <alignment horizontal="center"/>
    </xf>
    <xf numFmtId="0" fontId="67" fillId="14" borderId="38" xfId="0" applyFont="1" applyFill="1" applyBorder="1" applyAlignment="1">
      <alignment horizontal="center" vertical="center" wrapText="1"/>
    </xf>
    <xf numFmtId="0" fontId="67" fillId="8" borderId="38" xfId="0" applyFont="1" applyFill="1" applyBorder="1" applyAlignment="1">
      <alignment horizontal="center" vertical="top" wrapText="1"/>
    </xf>
    <xf numFmtId="0" fontId="61" fillId="0" borderId="0" xfId="0" applyFont="1" applyBorder="1" applyAlignment="1">
      <alignment horizontal="center"/>
    </xf>
    <xf numFmtId="0" fontId="133" fillId="12" borderId="38" xfId="0" applyFont="1" applyFill="1" applyBorder="1" applyAlignment="1">
      <alignment horizontal="center" vertical="top" wrapText="1"/>
    </xf>
    <xf numFmtId="0" fontId="2" fillId="0" borderId="0" xfId="0" applyFont="1" applyAlignment="1">
      <alignment horizontal="center"/>
    </xf>
    <xf numFmtId="0" fontId="11" fillId="0" borderId="0" xfId="0" applyFont="1" applyAlignment="1">
      <alignment horizontal="center"/>
    </xf>
    <xf numFmtId="0" fontId="89" fillId="41" borderId="0" xfId="0" applyFont="1" applyFill="1" applyAlignment="1">
      <alignment horizontal="center" vertical="center"/>
    </xf>
    <xf numFmtId="164" fontId="72" fillId="15" borderId="0" xfId="4" applyNumberFormat="1" applyFont="1" applyFill="1" applyAlignment="1">
      <alignment horizontal="center" vertical="center" wrapText="1"/>
    </xf>
  </cellXfs>
  <cellStyles count="43">
    <cellStyle name="Bad 2" xfId="24" xr:uid="{00000000-0005-0000-0000-000000000000}"/>
    <cellStyle name="Comma" xfId="4" builtinId="3"/>
    <cellStyle name="Comma 2" xfId="7" xr:uid="{00000000-0005-0000-0000-000002000000}"/>
    <cellStyle name="Comma 2 2" xfId="17" xr:uid="{00000000-0005-0000-0000-000003000000}"/>
    <cellStyle name="Comma 2 2 2" xfId="32" xr:uid="{00000000-0005-0000-0000-000003000000}"/>
    <cellStyle name="Comma 2 2 3" xfId="41" xr:uid="{00000000-0005-0000-0000-000003000000}"/>
    <cellStyle name="Comma 2 3" xfId="27" xr:uid="{00000000-0005-0000-0000-000002000000}"/>
    <cellStyle name="Comma 2 4" xfId="36" xr:uid="{00000000-0005-0000-0000-000001000000}"/>
    <cellStyle name="Comma 4" xfId="5" xr:uid="{00000000-0005-0000-0000-000004000000}"/>
    <cellStyle name="Good 2" xfId="23" xr:uid="{00000000-0005-0000-0000-000005000000}"/>
    <cellStyle name="Heading 1 2" xfId="13" xr:uid="{00000000-0005-0000-0000-000006000000}"/>
    <cellStyle name="Normal" xfId="0" builtinId="0"/>
    <cellStyle name="Normal 2" xfId="8" xr:uid="{00000000-0005-0000-0000-000008000000}"/>
    <cellStyle name="Normal 2 2" xfId="14" xr:uid="{00000000-0005-0000-0000-000009000000}"/>
    <cellStyle name="Normal 2 2 2" xfId="29" xr:uid="{00000000-0005-0000-0000-000009000000}"/>
    <cellStyle name="Normal 2 2 3" xfId="38" xr:uid="{00000000-0005-0000-0000-00001F000000}"/>
    <cellStyle name="Normal 2 3" xfId="18" xr:uid="{00000000-0005-0000-0000-00000A000000}"/>
    <cellStyle name="Normal 2 3 2" xfId="33" xr:uid="{00000000-0005-0000-0000-00000A000000}"/>
    <cellStyle name="Normal 2 3 3" xfId="42" xr:uid="{00000000-0005-0000-0000-000020000000}"/>
    <cellStyle name="Normal 2 4" xfId="22" xr:uid="{00000000-0005-0000-0000-00000B000000}"/>
    <cellStyle name="Normal 2 5" xfId="28" xr:uid="{00000000-0005-0000-0000-000008000000}"/>
    <cellStyle name="Normal 2 6" xfId="37" xr:uid="{00000000-0005-0000-0000-000005000000}"/>
    <cellStyle name="Normal 3" xfId="11" xr:uid="{00000000-0005-0000-0000-00000C000000}"/>
    <cellStyle name="Normal 3 2" xfId="19" xr:uid="{00000000-0005-0000-0000-00000D000000}"/>
    <cellStyle name="Normal 4" xfId="2" xr:uid="{00000000-0005-0000-0000-00000E000000}"/>
    <cellStyle name="Normal 4 2" xfId="15" xr:uid="{00000000-0005-0000-0000-00000F000000}"/>
    <cellStyle name="Normal 4 2 2" xfId="30" xr:uid="{00000000-0005-0000-0000-00000F000000}"/>
    <cellStyle name="Normal 4 2 3" xfId="39" xr:uid="{00000000-0005-0000-0000-000025000000}"/>
    <cellStyle name="Normal 4 3" xfId="25" xr:uid="{00000000-0005-0000-0000-00000E000000}"/>
    <cellStyle name="Normal 4 4" xfId="34" xr:uid="{00000000-0005-0000-0000-000006000000}"/>
    <cellStyle name="Normal_Sheet1" xfId="9" xr:uid="{00000000-0005-0000-0000-000010000000}"/>
    <cellStyle name="Normal_Sheet3_1" xfId="21" xr:uid="{00000000-0005-0000-0000-000011000000}"/>
    <cellStyle name="Normal_Township" xfId="10" xr:uid="{00000000-0005-0000-0000-000012000000}"/>
    <cellStyle name="Percent" xfId="1" builtinId="5"/>
    <cellStyle name="Percent 2" xfId="3" xr:uid="{00000000-0005-0000-0000-000014000000}"/>
    <cellStyle name="Percent 2 2" xfId="6" xr:uid="{00000000-0005-0000-0000-000015000000}"/>
    <cellStyle name="Percent 2 3" xfId="16" xr:uid="{00000000-0005-0000-0000-000016000000}"/>
    <cellStyle name="Percent 2 3 2" xfId="31" xr:uid="{00000000-0005-0000-0000-000016000000}"/>
    <cellStyle name="Percent 2 3 3" xfId="40" xr:uid="{00000000-0005-0000-0000-00002C000000}"/>
    <cellStyle name="Percent 2 4" xfId="26" xr:uid="{00000000-0005-0000-0000-000014000000}"/>
    <cellStyle name="Percent 2 5" xfId="35" xr:uid="{00000000-0005-0000-0000-000008000000}"/>
    <cellStyle name="Percent 3" xfId="12" xr:uid="{00000000-0005-0000-0000-000017000000}"/>
    <cellStyle name="Percent 3 2" xfId="20" xr:uid="{00000000-0005-0000-0000-000018000000}"/>
  </cellStyles>
  <dxfs count="1683">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dxf>
    <dxf>
      <border outline="0">
        <bottom style="thin">
          <color theme="4" tint="0.39997558519241921"/>
        </bottom>
      </border>
    </dxf>
    <dxf>
      <font>
        <b val="0"/>
        <i val="0"/>
        <strike val="0"/>
        <condense val="0"/>
        <extend val="0"/>
        <outline val="0"/>
        <shadow val="0"/>
        <u val="none"/>
        <vertAlign val="baseline"/>
        <sz val="10"/>
        <color theme="1"/>
        <name val="Corbel"/>
        <scheme val="none"/>
      </font>
      <fill>
        <patternFill patternType="none">
          <fgColor indexed="64"/>
          <bgColor indexed="65"/>
        </patternFill>
      </fill>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font>
        <b val="0"/>
        <i val="0"/>
        <strike val="0"/>
        <condense val="0"/>
        <extend val="0"/>
        <outline val="0"/>
        <shadow val="0"/>
        <u val="none"/>
        <vertAlign val="baseline"/>
        <sz val="11"/>
        <color theme="1"/>
        <name val="Calibri"/>
        <family val="2"/>
        <scheme val="minor"/>
      </font>
      <numFmt numFmtId="13" formatCode="0%"/>
      <fill>
        <patternFill patternType="solid">
          <fgColor theme="8" tint="0.79998168889431442"/>
          <bgColor theme="8" tint="0.79998168889431442"/>
        </patternFill>
      </fill>
      <alignment horizontal="general" vertical="center" textRotation="0" wrapText="0" indent="0" justifyLastLine="0" shrinkToFit="0" readingOrder="0"/>
      <border diagonalUp="0" diagonalDown="0" outline="0">
        <left style="thin">
          <color theme="8"/>
        </left>
        <right/>
        <top style="thin">
          <color theme="8"/>
        </top>
        <bottom/>
      </border>
    </dxf>
    <dxf>
      <font>
        <b val="0"/>
        <i val="0"/>
        <strike val="0"/>
        <condense val="0"/>
        <extend val="0"/>
        <outline val="0"/>
        <shadow val="0"/>
        <u val="none"/>
        <vertAlign val="baseline"/>
        <sz val="11"/>
        <color theme="1"/>
        <name val="Calibri"/>
        <family val="2"/>
        <scheme val="minor"/>
      </font>
      <numFmt numFmtId="13" formatCode="0%"/>
      <fill>
        <patternFill patternType="solid">
          <fgColor theme="8" tint="0.79998168889431442"/>
          <bgColor theme="8" tint="0.79998168889431442"/>
        </patternFill>
      </fill>
      <alignment horizontal="general" vertical="center" textRotation="0" wrapText="0" indent="0" justifyLastLine="0" shrinkToFit="0" readingOrder="0"/>
      <border diagonalUp="0" diagonalDown="0">
        <left style="thin">
          <color theme="8"/>
        </left>
        <right/>
        <top style="thin">
          <color theme="8"/>
        </top>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outline="0">
        <left style="thin">
          <color theme="8"/>
        </left>
        <right style="thin">
          <color theme="8"/>
        </right>
        <top style="thin">
          <color theme="8"/>
        </top>
        <bottom/>
      </border>
    </dxf>
    <dxf>
      <font>
        <b val="0"/>
        <i val="0"/>
        <strike val="0"/>
        <condense val="0"/>
        <extend val="0"/>
        <outline val="0"/>
        <shadow val="0"/>
        <u val="none"/>
        <vertAlign val="baseline"/>
        <sz val="11"/>
        <color theme="1"/>
        <name val="Calibri"/>
        <family val="2"/>
        <scheme val="minor"/>
      </font>
      <numFmt numFmtId="13"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8"/>
        </left>
        <right style="thin">
          <color theme="8"/>
        </right>
        <top style="thin">
          <color theme="8"/>
        </top>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outline="0">
        <left style="thin">
          <color theme="8"/>
        </left>
        <right style="thin">
          <color theme="8"/>
        </right>
        <top style="thin">
          <color theme="8"/>
        </top>
        <bottom/>
      </border>
    </dxf>
    <dxf>
      <font>
        <b val="0"/>
        <i val="0"/>
        <strike val="0"/>
        <condense val="0"/>
        <extend val="0"/>
        <outline val="0"/>
        <shadow val="0"/>
        <u val="none"/>
        <vertAlign val="baseline"/>
        <sz val="11"/>
        <color theme="1"/>
        <name val="Calibri"/>
        <family val="2"/>
        <scheme val="minor"/>
      </font>
      <numFmt numFmtId="13" formatCode="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8"/>
        </left>
        <right style="thin">
          <color theme="8"/>
        </right>
        <top style="thin">
          <color theme="8"/>
        </top>
        <bottom/>
        <vertical/>
        <horizontal/>
      </border>
    </dxf>
    <dxf>
      <font>
        <b/>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theme="4"/>
        </left>
        <right style="thin">
          <color theme="4"/>
        </right>
        <top style="double">
          <color theme="4"/>
        </top>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8" tint="0.79998168889431442"/>
          <bgColor theme="8" tint="0.79998168889431442"/>
        </patternFill>
      </fill>
      <alignment horizontal="general" vertical="center" textRotation="0" wrapText="0" indent="0" justifyLastLine="0" shrinkToFit="0" readingOrder="0"/>
      <border diagonalUp="0" diagonalDown="0">
        <left style="thin">
          <color theme="8"/>
        </left>
        <right style="thin">
          <color theme="8"/>
        </right>
        <top style="thin">
          <color theme="8"/>
        </top>
        <bottom/>
        <vertical/>
        <horizontal/>
      </border>
    </dxf>
    <dxf>
      <font>
        <b/>
        <i val="0"/>
        <strike val="0"/>
        <condense val="0"/>
        <extend val="0"/>
        <outline val="0"/>
        <shadow val="0"/>
        <u val="none"/>
        <vertAlign val="baseline"/>
        <sz val="10"/>
        <color theme="1"/>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theme="4"/>
        </left>
        <right style="thin">
          <color theme="4"/>
        </right>
        <top style="double">
          <color theme="4"/>
        </top>
        <bottom/>
      </border>
    </dxf>
    <dxf>
      <font>
        <b val="0"/>
        <i val="0"/>
        <strike val="0"/>
        <condense val="0"/>
        <extend val="0"/>
        <outline val="0"/>
        <shadow val="0"/>
        <u val="none"/>
        <vertAlign val="baseline"/>
        <sz val="10"/>
        <color theme="1"/>
        <name val="Calibri"/>
        <family val="2"/>
        <scheme val="minor"/>
      </font>
      <numFmt numFmtId="0" formatCode="General"/>
      <fill>
        <patternFill patternType="solid">
          <fgColor theme="8" tint="0.79998168889431442"/>
          <bgColor theme="8" tint="0.79998168889431442"/>
        </patternFill>
      </fill>
      <alignment horizontal="general" vertical="center" textRotation="0" wrapText="0" indent="0" justifyLastLine="0" shrinkToFit="0" readingOrder="0"/>
      <border diagonalUp="0" diagonalDown="0">
        <left style="thin">
          <color theme="8"/>
        </left>
        <right style="thin">
          <color theme="8"/>
        </right>
        <top style="thin">
          <color theme="8"/>
        </top>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right style="thin">
          <color theme="4"/>
        </right>
        <top style="double">
          <color theme="4"/>
        </top>
        <bottom/>
      </border>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alignment horizontal="left" vertical="center" textRotation="0" wrapText="0" indent="0" justifyLastLine="0" shrinkToFit="0" readingOrder="0"/>
      <border diagonalUp="0" diagonalDown="0">
        <left/>
        <right style="thin">
          <color theme="8"/>
        </right>
        <top style="thin">
          <color theme="8"/>
        </top>
        <bottom/>
        <vertical/>
        <horizontal/>
      </border>
    </dxf>
    <dxf>
      <border outline="0">
        <top style="thin">
          <color theme="8"/>
        </top>
      </border>
    </dxf>
    <dxf>
      <border outline="0">
        <left style="thin">
          <color theme="8"/>
        </left>
        <right style="thin">
          <color theme="8"/>
        </right>
        <top style="thin">
          <color theme="8"/>
        </top>
        <bottom style="thin">
          <color theme="8"/>
        </bottom>
      </border>
    </dxf>
    <dxf>
      <border outline="0">
        <bottom style="medium">
          <color theme="8"/>
        </bottom>
      </border>
    </dxf>
    <dxf>
      <font>
        <b/>
        <i val="0"/>
        <strike val="0"/>
        <condense val="0"/>
        <extend val="0"/>
        <outline val="0"/>
        <shadow val="0"/>
        <u val="none"/>
        <vertAlign val="baseline"/>
        <sz val="10"/>
        <color theme="0"/>
        <name val="Calibri"/>
        <family val="2"/>
        <scheme val="minor"/>
      </font>
      <fill>
        <patternFill patternType="solid">
          <fgColor theme="4"/>
          <bgColor theme="4"/>
        </patternFill>
      </fill>
      <alignment horizontal="center" vertical="center" textRotation="0" wrapText="1" indent="0" justifyLastLine="0" shrinkToFit="0" readingOrder="0"/>
      <border diagonalUp="0" diagonalDown="0" outline="0">
        <left style="thin">
          <color theme="8"/>
        </left>
        <right style="thin">
          <color theme="8"/>
        </right>
        <top/>
        <bottom/>
      </border>
    </dxf>
    <dxf>
      <font>
        <b val="0"/>
        <i val="0"/>
        <strike val="0"/>
        <condense val="0"/>
        <extend val="0"/>
        <outline val="0"/>
        <shadow val="0"/>
        <u val="none"/>
        <vertAlign val="baseline"/>
        <sz val="11"/>
        <color theme="1"/>
        <name val="Calibri"/>
        <scheme val="minor"/>
      </font>
      <numFmt numFmtId="13" formatCode="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_(* #,##0_);_(* \(#,##0\);_(* &quot;-&quot;??_);_(@_)"/>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rgb="FF000000"/>
        <name val="Calibri"/>
        <scheme val="none"/>
      </font>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border diagonalUp="0" diagonalDown="0" outline="0">
        <left style="thin">
          <color theme="4"/>
        </left>
        <right/>
        <top style="thin">
          <color theme="4"/>
        </top>
        <bottom style="thin">
          <color theme="4"/>
        </bottom>
      </border>
    </dxf>
    <dxf>
      <font>
        <b val="0"/>
        <i val="0"/>
        <strike val="0"/>
        <condense val="0"/>
        <extend val="0"/>
        <outline val="0"/>
        <shadow val="0"/>
        <u val="none"/>
        <vertAlign val="baseline"/>
        <sz val="11"/>
        <color theme="1"/>
        <name val="Calibri"/>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scheme val="minor"/>
      </font>
      <numFmt numFmtId="164" formatCode="_(* #,##0_);_(* \(#,##0\);_(* &quot;-&quot;??_);_(@_)"/>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scheme val="minor"/>
      </font>
      <border diagonalUp="0" diagonalDown="0" outline="0">
        <left/>
        <right style="thin">
          <color theme="4"/>
        </right>
        <top style="thin">
          <color theme="4"/>
        </top>
        <bottom style="thin">
          <color theme="4"/>
        </bottom>
      </border>
    </dxf>
    <dxf>
      <border>
        <top style="thin">
          <color rgb="FF5B9BD5"/>
        </top>
      </border>
    </dxf>
    <dxf>
      <border diagonalUp="0" diagonalDown="0">
        <left/>
        <right/>
        <top/>
        <bottom/>
      </border>
    </dxf>
    <dxf>
      <font>
        <b val="0"/>
        <i val="0"/>
        <strike val="0"/>
        <condense val="0"/>
        <extend val="0"/>
        <outline val="0"/>
        <shadow val="0"/>
        <u val="none"/>
        <vertAlign val="baseline"/>
        <sz val="11"/>
        <color rgb="FF000000"/>
        <name val="Calibri"/>
        <scheme val="none"/>
      </font>
    </dxf>
    <dxf>
      <border>
        <bottom style="thin">
          <color rgb="FF5B9BD5"/>
        </bottom>
      </border>
    </dxf>
    <dxf>
      <font>
        <b val="0"/>
        <i val="0"/>
        <strike val="0"/>
        <condense val="0"/>
        <extend val="0"/>
        <outline val="0"/>
        <shadow val="0"/>
        <u val="none"/>
        <vertAlign val="baseline"/>
        <sz val="10"/>
        <color theme="1"/>
        <name val="Calibri"/>
        <scheme val="minor"/>
      </font>
      <border diagonalUp="0" diagonalDown="0" outline="0">
        <left style="thin">
          <color theme="4"/>
        </left>
        <right style="thin">
          <color theme="4"/>
        </right>
        <top/>
        <bottom/>
      </border>
    </dxf>
    <dxf>
      <font>
        <b/>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theme="8"/>
        </left>
        <right/>
        <top style="thin">
          <color theme="8"/>
        </top>
        <bottom style="thin">
          <color theme="8"/>
        </bottom>
      </border>
    </dxf>
    <dxf>
      <font>
        <b/>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theme="8"/>
        </left>
        <right style="thin">
          <color theme="8"/>
        </right>
        <top style="thin">
          <color theme="8"/>
        </top>
        <bottom style="thin">
          <color theme="8"/>
        </bottom>
      </border>
    </dxf>
    <dxf>
      <font>
        <b/>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theme="8"/>
        </left>
        <right style="thin">
          <color theme="8"/>
        </right>
        <top style="thin">
          <color theme="8"/>
        </top>
        <bottom style="thin">
          <color theme="8"/>
        </bottom>
      </border>
    </dxf>
    <dxf>
      <font>
        <b/>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theme="8"/>
        </left>
        <right style="thin">
          <color theme="8"/>
        </right>
        <top style="thin">
          <color theme="8"/>
        </top>
        <bottom style="thin">
          <color theme="8"/>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theme="8"/>
        </left>
        <right style="thin">
          <color theme="8"/>
        </right>
        <top style="thin">
          <color theme="8"/>
        </top>
        <bottom style="thin">
          <color theme="8"/>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right style="thin">
          <color theme="8"/>
        </right>
        <top style="thin">
          <color theme="8"/>
        </top>
        <bottom style="thin">
          <color theme="8"/>
        </bottom>
      </border>
    </dxf>
    <dxf>
      <border>
        <top style="thin">
          <color rgb="FF4472C4"/>
        </top>
      </border>
    </dxf>
    <dxf>
      <border diagonalUp="0" diagonalDown="0">
        <left style="thin">
          <color rgb="FF4472C4"/>
        </left>
        <right style="thin">
          <color rgb="FF4472C4"/>
        </right>
        <top style="thin">
          <color rgb="FF4472C4"/>
        </top>
        <bottom style="thin">
          <color rgb="FF4472C4"/>
        </bottom>
      </border>
    </dxf>
    <dxf>
      <fill>
        <patternFill patternType="none">
          <fgColor indexed="64"/>
          <bgColor auto="1"/>
        </patternFill>
      </fill>
    </dxf>
    <dxf>
      <border>
        <bottom style="thin">
          <color rgb="FF4472C4"/>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center" textRotation="0" wrapText="1" indent="0" justifyLastLine="0" shrinkToFit="0" readingOrder="0"/>
      <border diagonalUp="0" diagonalDown="0" outline="0">
        <left style="thin">
          <color theme="8"/>
        </left>
        <right style="thin">
          <color theme="8"/>
        </right>
        <top/>
        <bottom/>
      </border>
    </dxf>
    <dxf>
      <font>
        <b val="0"/>
        <i val="0"/>
        <strike val="0"/>
        <condense val="0"/>
        <extend val="0"/>
        <outline val="0"/>
        <shadow val="0"/>
        <u val="none"/>
        <vertAlign val="baseline"/>
        <sz val="11"/>
        <color theme="1"/>
        <name val="Calibri"/>
        <scheme val="minor"/>
      </font>
      <border diagonalUp="0" diagonalDown="0" outline="0">
        <left style="thin">
          <color theme="4"/>
        </left>
        <right/>
        <top style="thin">
          <color theme="4"/>
        </top>
        <bottom style="thin">
          <color theme="4"/>
        </bottom>
      </border>
    </dxf>
    <dxf>
      <font>
        <b val="0"/>
        <i val="0"/>
        <strike val="0"/>
        <condense val="0"/>
        <extend val="0"/>
        <outline val="0"/>
        <shadow val="0"/>
        <u val="none"/>
        <vertAlign val="baseline"/>
        <sz val="11"/>
        <color theme="1"/>
        <name val="Calibri"/>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scheme val="minor"/>
      </font>
      <numFmt numFmtId="164" formatCode="_(* #,##0_);_(* \(#,##0\);_(* &quot;-&quot;??_);_(@_)"/>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scheme val="minor"/>
      </font>
      <border diagonalUp="0" diagonalDown="0" outline="0">
        <left/>
        <right style="thin">
          <color theme="4"/>
        </right>
        <top style="thin">
          <color theme="4"/>
        </top>
        <bottom style="thin">
          <color theme="4"/>
        </bottom>
      </border>
    </dxf>
    <dxf>
      <border>
        <top style="thin">
          <color rgb="FF5B9BD5"/>
        </top>
      </border>
    </dxf>
    <dxf>
      <border diagonalUp="0" diagonalDown="0">
        <left/>
        <right/>
        <top/>
        <bottom/>
      </border>
    </dxf>
    <dxf>
      <font>
        <b val="0"/>
        <i val="0"/>
        <strike val="0"/>
        <condense val="0"/>
        <extend val="0"/>
        <outline val="0"/>
        <shadow val="0"/>
        <u val="none"/>
        <vertAlign val="baseline"/>
        <sz val="11"/>
        <color rgb="FF000000"/>
        <name val="Calibri"/>
        <scheme val="none"/>
      </font>
    </dxf>
    <dxf>
      <border>
        <bottom style="thin">
          <color rgb="FF5B9BD5"/>
        </bottom>
      </border>
    </dxf>
    <dxf>
      <font>
        <b val="0"/>
        <i val="0"/>
        <strike val="0"/>
        <condense val="0"/>
        <extend val="0"/>
        <outline val="0"/>
        <shadow val="0"/>
        <u val="none"/>
        <vertAlign val="baseline"/>
        <sz val="10"/>
        <color theme="1"/>
        <name val="Calibri"/>
        <scheme val="minor"/>
      </font>
      <border diagonalUp="0" diagonalDown="0" outline="0">
        <left style="thin">
          <color theme="4"/>
        </left>
        <right style="thin">
          <color theme="4"/>
        </right>
        <top/>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_(* #,##0_);_(* \(#,##0\);_(* &quot;-&quot;??_);_(@_)"/>
      <alignmen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0"/>
        <color rgb="FF000000"/>
        <name val="Calibri"/>
        <scheme val="none"/>
      </font>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numFmt numFmtId="1" formatCode="0"/>
    </dxf>
    <dxf>
      <numFmt numFmtId="1" formatCode="0"/>
    </dxf>
    <dxf>
      <alignment wrapText="1"/>
    </dxf>
    <dxf>
      <font>
        <sz val="10"/>
      </font>
    </dxf>
    <dxf>
      <font>
        <name val="Calibri"/>
        <scheme val="minor"/>
      </font>
    </dxf>
    <dxf>
      <font>
        <name val="Calibri"/>
        <scheme val="minor"/>
      </font>
    </dxf>
    <dxf>
      <font>
        <sz val="11"/>
      </font>
    </dxf>
    <dxf>
      <font>
        <sz val="11"/>
      </font>
    </dxf>
    <dxf>
      <font>
        <sz val="11"/>
      </font>
    </dxf>
    <dxf>
      <font>
        <sz val="11"/>
      </font>
    </dxf>
    <dxf>
      <font>
        <sz val="11"/>
      </font>
    </dxf>
    <dxf>
      <font>
        <sz val="11"/>
      </font>
    </dxf>
    <dxf>
      <numFmt numFmtId="3"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b/>
        <color theme="0"/>
      </font>
      <fill>
        <patternFill patternType="solid">
          <fgColor indexed="64"/>
          <bgColor rgb="FF002060"/>
        </patternFill>
      </fill>
      <alignment wrapText="1" readingOrder="0"/>
    </dxf>
    <dxf>
      <font>
        <b/>
        <color theme="0"/>
      </font>
      <fill>
        <patternFill patternType="solid">
          <fgColor indexed="64"/>
          <bgColor rgb="FF002060"/>
        </patternFill>
      </fill>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b/>
        <color theme="0"/>
      </font>
      <fill>
        <patternFill patternType="solid">
          <fgColor indexed="64"/>
          <bgColor rgb="FF002060"/>
        </patternFill>
      </fill>
      <alignment wrapText="1" readingOrder="0"/>
    </dxf>
    <dxf>
      <font>
        <b/>
        <color theme="0"/>
      </font>
      <fill>
        <patternFill patternType="solid">
          <fgColor indexed="64"/>
          <bgColor rgb="FF002060"/>
        </patternFill>
      </fill>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b/>
        <color theme="0"/>
      </font>
      <fill>
        <patternFill patternType="solid">
          <fgColor indexed="64"/>
          <bgColor rgb="FF002060"/>
        </patternFill>
      </fill>
      <alignment wrapText="1" readingOrder="0"/>
    </dxf>
    <dxf>
      <font>
        <b/>
        <color theme="0"/>
      </font>
      <fill>
        <patternFill patternType="solid">
          <fgColor indexed="64"/>
          <bgColor rgb="FF002060"/>
        </patternFill>
      </fill>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numFmt numFmtId="13" formatCode="0%"/>
    </dxf>
    <dxf>
      <numFmt numFmtId="13" formatCode="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3" formatCode="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numFmt numFmtId="13" formatCode="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numFmt numFmtId="3" formatCode="#,##0"/>
    </dxf>
    <dxf>
      <numFmt numFmtId="3"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b/>
        <color theme="0"/>
      </font>
      <fill>
        <patternFill patternType="solid">
          <fgColor indexed="64"/>
          <bgColor rgb="FF002060"/>
        </patternFill>
      </fill>
      <alignment wrapText="1"/>
    </dxf>
    <dxf>
      <font>
        <b/>
        <color theme="0"/>
      </font>
      <fill>
        <patternFill patternType="solid">
          <fgColor indexed="64"/>
          <bgColor rgb="FF002060"/>
        </patternFill>
      </fill>
      <alignment wrapText="1" readingOrder="0"/>
    </dxf>
    <dxf>
      <font>
        <b/>
        <color theme="0"/>
      </font>
      <fill>
        <patternFill patternType="solid">
          <fgColor indexed="64"/>
          <bgColor rgb="FF002060"/>
        </patternFill>
      </fill>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sz val="11"/>
      </font>
    </dxf>
    <dxf>
      <font>
        <sz val="11"/>
      </font>
    </dxf>
    <dxf>
      <font>
        <sz val="11"/>
      </font>
    </dxf>
    <dxf>
      <font>
        <sz val="11"/>
      </font>
    </dxf>
    <dxf>
      <font>
        <sz val="11"/>
      </font>
    </dxf>
    <dxf>
      <font>
        <sz val="9"/>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alignment wrapText="1"/>
    </dxf>
    <dxf>
      <alignment wrapText="1"/>
    </dxf>
    <dxf>
      <font>
        <sz val="11"/>
      </font>
    </dxf>
    <dxf>
      <font>
        <sz val="11"/>
      </font>
    </dxf>
    <dxf>
      <font>
        <sz val="11"/>
      </font>
    </dxf>
    <dxf>
      <font>
        <sz val="11"/>
      </font>
    </dxf>
    <dxf>
      <font>
        <sz val="11"/>
      </font>
    </dxf>
    <dxf>
      <font>
        <sz val="9"/>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alignment wrapText="1"/>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numFmt numFmtId="13" formatCode="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vertical="center"/>
    </dxf>
    <dxf>
      <alignment vertical="bottom"/>
    </dxf>
    <dxf>
      <alignment vertical="bottom"/>
    </dxf>
    <dxf>
      <alignment horizontal="center"/>
    </dxf>
    <dxf>
      <alignment horizontal="center"/>
    </dxf>
    <dxf>
      <alignment wrapText="1"/>
    </dxf>
    <dxf>
      <alignment wrapText="1"/>
    </dxf>
    <dxf>
      <numFmt numFmtId="164" formatCode="_(* #,##0_);_(* \(#,##0\);_(* &quot;-&quot;??_);_(@_)"/>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numFmt numFmtId="3" formatCode="#,##0"/>
    </dxf>
    <dxf>
      <numFmt numFmtId="3"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numFmt numFmtId="13" formatCode="0%"/>
    </dxf>
    <dxf>
      <numFmt numFmtId="14" formatCode="0.00%"/>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alignment wrapText="1"/>
    </dxf>
    <dxf>
      <fill>
        <patternFill patternType="none">
          <bgColor auto="1"/>
        </patternFill>
      </fill>
    </dxf>
    <dxf>
      <fill>
        <patternFill patternType="none">
          <bgColor auto="1"/>
        </patternFill>
      </fill>
    </dxf>
    <dxf>
      <numFmt numFmtId="13" formatCode="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numFmt numFmtId="164" formatCode="_(* #,##0_);_(* \(#,##0\);_(* &quot;-&quot;??_);_(@_)"/>
    </dxf>
    <dxf>
      <numFmt numFmtId="13" formatCode="0%"/>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numFmt numFmtId="1" formatCode="0"/>
    </dxf>
    <dxf>
      <numFmt numFmtId="1" formatCode="0"/>
    </dxf>
    <dxf>
      <alignment wrapText="1"/>
    </dxf>
    <dxf>
      <alignment wrapText="1"/>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numFmt numFmtId="1" formatCode="0"/>
    </dxf>
    <dxf>
      <numFmt numFmtId="1" formatCode="0"/>
    </dxf>
    <dxf>
      <alignment wrapText="1"/>
    </dxf>
    <dxf>
      <alignment wrapText="1"/>
    </dxf>
    <dxf>
      <font>
        <sz val="10"/>
      </font>
    </dxf>
    <dxf>
      <font>
        <sz val="10"/>
      </font>
    </dxf>
    <dxf>
      <font>
        <name val="Calibri"/>
        <scheme val="minor"/>
      </font>
    </dxf>
    <dxf>
      <font>
        <name val="Calibri"/>
        <scheme val="minor"/>
      </font>
    </dxf>
    <dxf>
      <font>
        <name val="Calibri"/>
        <scheme val="minor"/>
      </font>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164" formatCode="_(* #,##0_);_(* \(#,##0\);_(* &quot;-&quot;??_);_(@_)"/>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sz val="11"/>
      </font>
    </dxf>
    <dxf>
      <font>
        <sz val="11"/>
      </font>
    </dxf>
    <dxf>
      <font>
        <sz val="11"/>
      </font>
    </dxf>
    <dxf>
      <font>
        <sz val="11"/>
      </font>
    </dxf>
    <dxf>
      <font>
        <b/>
        <sz val="11"/>
        <color theme="0"/>
      </font>
      <fill>
        <patternFill patternType="solid">
          <fgColor indexed="64"/>
          <bgColor theme="4" tint="-0.499984740745262"/>
        </patternFill>
      </fill>
      <alignment horizontal="center" vertical="center" wrapText="1" readingOrder="0"/>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alignment wrapText="1"/>
    </dxf>
    <dxf>
      <numFmt numFmtId="13" formatCode="0%"/>
    </dxf>
    <dxf>
      <numFmt numFmtId="13" formatCode="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numFmt numFmtId="164" formatCode="_(* #,##0_);_(* \(#,##0\);_(* &quot;-&quot;??_);_(@_)"/>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alignment wrapText="1"/>
    </dxf>
    <dxf>
      <font>
        <b/>
        <color theme="0"/>
      </font>
      <fill>
        <patternFill patternType="solid">
          <fgColor indexed="64"/>
          <bgColor rgb="FF002060"/>
        </patternFill>
      </fill>
      <alignment wrapText="1" readingOrder="0"/>
    </dxf>
    <dxf>
      <font>
        <b/>
        <color theme="0"/>
      </font>
      <fill>
        <patternFill patternType="solid">
          <fgColor indexed="64"/>
          <bgColor rgb="FF002060"/>
        </patternFill>
      </fill>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b/>
        <color theme="0"/>
      </font>
      <fill>
        <patternFill patternType="solid">
          <fgColor indexed="64"/>
          <bgColor rgb="FF002060"/>
        </patternFill>
      </fill>
      <alignment wrapText="1"/>
    </dxf>
    <dxf>
      <font>
        <color theme="0"/>
      </font>
    </dxf>
    <dxf>
      <fill>
        <patternFill patternType="solid">
          <bgColor rgb="FF002060"/>
        </patternFill>
      </fill>
    </dxf>
    <dxf>
      <font>
        <b/>
        <color theme="0"/>
      </font>
      <fill>
        <patternFill patternType="solid">
          <fgColor indexed="64"/>
          <bgColor rgb="FF002060"/>
        </patternFill>
      </fill>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alignment wrapText="1"/>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numFmt numFmtId="164" formatCode="_(* #,##0_);_(* \(#,##0\);_(* &quot;-&quot;??_);_(@_)"/>
      <fill>
        <patternFill patternType="solid">
          <fgColor indexed="64"/>
          <bgColor rgb="FF0070C0"/>
        </patternFill>
      </fill>
    </dxf>
    <dxf>
      <font>
        <color theme="0"/>
      </font>
      <fill>
        <patternFill patternType="solid">
          <fgColor indexed="64"/>
          <bgColor rgb="FF0070C0"/>
        </patternFill>
      </fill>
      <alignment horizontal="center"/>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font>
        <color theme="0"/>
      </font>
      <fill>
        <patternFill patternType="solid">
          <fgColor indexed="64"/>
          <bgColor theme="5" tint="-0.249977111117893"/>
        </patternFill>
      </fill>
      <alignment horizontal="right" vertical="center"/>
    </dxf>
    <dxf>
      <font>
        <color theme="0"/>
      </font>
      <fill>
        <patternFill patternType="solid">
          <fgColor indexed="64"/>
          <bgColor theme="9" tint="-0.499984740745262"/>
        </patternFill>
      </fill>
      <alignment horizontal="center" vertical="center" wrapText="1"/>
    </dxf>
    <dxf>
      <font>
        <color theme="0"/>
      </font>
      <fill>
        <patternFill patternType="solid">
          <fgColor indexed="64"/>
          <bgColor theme="9" tint="-0.499984740745262"/>
        </patternFill>
      </fill>
      <alignment horizontal="center" vertical="center" wrapText="1"/>
    </dxf>
    <dxf>
      <numFmt numFmtId="164" formatCode="_(* #,##0_);_(* \(#,##0\);_(* &quot;-&quot;??_);_(@_)"/>
    </dxf>
    <dxf>
      <numFmt numFmtId="164" formatCode="_(* #,##0_);_(* \(#,##0\);_(* &quot;-&quot;??_);_(@_)"/>
    </dxf>
    <dxf>
      <font>
        <color theme="0"/>
      </font>
      <fill>
        <patternFill patternType="solid">
          <fgColor indexed="64"/>
          <bgColor rgb="FF0070C0"/>
        </patternFill>
      </fill>
      <alignment horizontal="center" vertical="center" wrapText="1"/>
    </dxf>
    <dxf>
      <font>
        <color theme="0"/>
      </font>
      <fill>
        <patternFill patternType="solid">
          <fgColor indexed="64"/>
          <bgColor theme="5" tint="-0.249977111117893"/>
        </patternFill>
      </fill>
      <alignment horizontal="center" vertical="center" wrapText="1"/>
    </dxf>
    <dxf>
      <font>
        <color theme="0"/>
      </font>
      <fill>
        <patternFill patternType="solid">
          <fgColor indexed="64"/>
          <bgColor rgb="FF0070C0"/>
        </patternFill>
      </fill>
      <alignment horizontal="center" vertical="center" wrapText="1" readingOrder="0"/>
    </dxf>
    <dxf>
      <font>
        <b/>
        <color theme="0"/>
      </font>
      <fill>
        <patternFill patternType="solid">
          <fgColor indexed="64"/>
          <bgColor theme="1"/>
        </patternFill>
      </fill>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color theme="0"/>
      </font>
      <numFmt numFmtId="164" formatCode="_(* #,##0_);_(* \(#,##0\);_(* &quot;-&quot;??_);_(@_)"/>
      <fill>
        <patternFill patternType="solid">
          <fgColor indexed="64"/>
          <bgColor rgb="FF0070C0"/>
        </patternFill>
      </fill>
    </dxf>
    <dxf>
      <font>
        <color theme="0"/>
      </font>
      <fill>
        <patternFill patternType="solid">
          <fgColor indexed="64"/>
          <bgColor rgb="FF0070C0"/>
        </patternFill>
      </fill>
      <alignment horizontal="center"/>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numFmt numFmtId="164" formatCode="_(* #,##0_);_(* \(#,##0\);_(* &quot;-&quot;??_);_(@_)"/>
    </dxf>
    <dxf>
      <numFmt numFmtId="164" formatCode="_(* #,##0_);_(* \(#,##0\);_(* &quot;-&quot;??_);_(@_)"/>
    </dxf>
    <dxf>
      <alignment horizontal="center"/>
    </dxf>
    <dxf>
      <alignment vertical="center"/>
    </dxf>
    <dxf>
      <font>
        <color theme="0"/>
      </font>
    </dxf>
    <dxf>
      <font>
        <color theme="0"/>
      </font>
      <fill>
        <patternFill patternType="solid">
          <fgColor indexed="64"/>
          <bgColor theme="9" tint="-0.499984740745262"/>
        </patternFill>
      </fill>
      <alignment horizontal="center" vertical="center" wrapText="1"/>
    </dxf>
    <dxf>
      <font>
        <color theme="0"/>
      </font>
      <fill>
        <patternFill patternType="solid">
          <fgColor indexed="64"/>
          <bgColor theme="5" tint="-0.249977111117893"/>
        </patternFill>
      </fill>
      <alignment horizontal="center" vertical="center" wrapText="1"/>
    </dxf>
    <dxf>
      <fill>
        <patternFill>
          <bgColor rgb="FF0070C0"/>
        </patternFill>
      </fill>
    </dxf>
    <dxf>
      <fill>
        <patternFill>
          <bgColor rgb="FF0070C0"/>
        </patternFill>
      </fill>
    </dxf>
    <dxf>
      <fill>
        <patternFill patternType="solid">
          <bgColor rgb="FF0070C0"/>
        </patternFill>
      </fill>
    </dxf>
    <dxf>
      <font>
        <color theme="0"/>
      </font>
      <fill>
        <patternFill patternType="solid">
          <fgColor indexed="64"/>
          <bgColor theme="9" tint="-0.499984740745262"/>
        </patternFill>
      </fill>
      <alignment horizontal="center" vertical="center" wrapText="1"/>
    </dxf>
    <dxf>
      <font>
        <color theme="0"/>
      </font>
      <fill>
        <patternFill patternType="solid">
          <fgColor indexed="64"/>
          <bgColor theme="5" tint="-0.249977111117893"/>
        </patternFill>
      </fill>
      <alignment horizontal="center" vertical="center" wrapText="1"/>
    </dxf>
    <dxf>
      <fill>
        <patternFill>
          <fgColor theme="9" tint="-0.499984740745262"/>
        </patternFill>
      </fill>
    </dxf>
    <dxf>
      <font>
        <color theme="0"/>
      </font>
      <fill>
        <patternFill patternType="solid">
          <fgColor indexed="64"/>
          <bgColor rgb="FF0070C0"/>
        </patternFill>
      </fill>
      <alignment horizontal="center" vertical="center" wrapText="1" readingOrder="0"/>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color theme="0"/>
      </font>
      <fill>
        <patternFill patternType="solid">
          <fgColor indexed="64"/>
          <bgColor rgb="FF0070C0"/>
        </patternFill>
      </fill>
      <alignment horizontal="center"/>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numFmt numFmtId="164" formatCode="_(* #,##0_);_(* \(#,##0\);_(* &quot;-&quot;??_);_(@_)"/>
    </dxf>
    <dxf>
      <numFmt numFmtId="164" formatCode="_(* #,##0_);_(* \(#,##0\);_(* &quot;-&quot;??_);_(@_)"/>
    </dxf>
    <dxf>
      <numFmt numFmtId="164" formatCode="_(* #,##0_);_(* \(#,##0\);_(* &quot;-&quot;??_);_(@_)"/>
    </dxf>
    <dxf>
      <numFmt numFmtId="164" formatCode="_(* #,##0_);_(* \(#,##0\);_(* &quot;-&quot;??_);_(@_)"/>
    </dxf>
    <dxf>
      <fill>
        <patternFill>
          <bgColor rgb="FF0070C0"/>
        </patternFill>
      </fill>
    </dxf>
    <dxf>
      <fill>
        <patternFill>
          <bgColor rgb="FF0070C0"/>
        </patternFill>
      </fill>
    </dxf>
    <dxf>
      <numFmt numFmtId="0" formatCode="General"/>
      <fill>
        <patternFill>
          <fgColor theme="9" tint="-0.499984740745262"/>
          <bgColor theme="9" tint="-0.499984740745262"/>
        </patternFill>
      </fill>
    </dxf>
    <dxf>
      <alignment horizontal="center"/>
    </dxf>
    <dxf>
      <alignment vertical="center"/>
    </dxf>
    <dxf>
      <numFmt numFmtId="164" formatCode="_(* #,##0_);_(* \(#,##0\);_(* &quot;-&quot;??_);_(@_)"/>
    </dxf>
    <dxf>
      <fill>
        <patternFill>
          <bgColor theme="9" tint="-0.499984740745262"/>
        </patternFill>
      </fill>
    </dxf>
    <dxf>
      <fill>
        <patternFill>
          <bgColor theme="9" tint="-0.499984740745262"/>
        </patternFill>
      </fill>
    </dxf>
    <dxf>
      <fill>
        <patternFill>
          <fgColor theme="9" tint="-0.499984740745262"/>
        </patternFill>
      </fill>
    </dxf>
    <dxf>
      <fill>
        <patternFill>
          <fgColor theme="9" tint="-0.499984740745262"/>
        </patternFill>
      </fill>
    </dxf>
    <dxf>
      <font>
        <color theme="0"/>
      </font>
      <fill>
        <patternFill patternType="solid">
          <fgColor indexed="64"/>
          <bgColor theme="5" tint="-0.249977111117893"/>
        </patternFill>
      </fill>
      <alignment horizontal="center" vertical="center" wrapText="1"/>
    </dxf>
    <dxf>
      <font>
        <color theme="0"/>
      </font>
      <fill>
        <patternFill patternType="solid">
          <fgColor indexed="64"/>
          <bgColor theme="5" tint="-0.249977111117893"/>
        </patternFill>
      </fill>
      <alignment horizontal="center" vertical="center" wrapText="1"/>
    </dxf>
    <dxf>
      <font>
        <color theme="0"/>
      </font>
      <numFmt numFmtId="164" formatCode="_(* #,##0_);_(* \(#,##0\);_(* &quot;-&quot;??_);_(@_)"/>
      <fill>
        <patternFill patternType="solid">
          <fgColor indexed="64"/>
          <bgColor rgb="FF0070C0"/>
        </patternFill>
      </fill>
      <alignment horizontal="center" vertical="center" wrapText="1"/>
    </dxf>
    <dxf>
      <font>
        <color theme="0"/>
      </font>
      <fill>
        <patternFill patternType="solid">
          <fgColor indexed="64"/>
          <bgColor rgb="FF0070C0"/>
        </patternFill>
      </fill>
      <alignment horizontal="center" vertical="center" wrapText="1" readingOrder="0"/>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color theme="0"/>
      </font>
      <fill>
        <patternFill patternType="solid">
          <fgColor indexed="64"/>
          <bgColor theme="9" tint="-0.499984740745262"/>
        </patternFill>
      </fill>
      <alignment horizontal="center" vertical="center" wrapText="1"/>
    </dxf>
    <dxf>
      <font>
        <color theme="0"/>
      </font>
      <fill>
        <patternFill patternType="solid">
          <fgColor indexed="64"/>
          <bgColor theme="5" tint="-0.249977111117893"/>
        </patternFill>
      </fill>
      <alignment horizontal="center" vertical="center" wrapText="1"/>
    </dxf>
    <dxf>
      <font>
        <color theme="0"/>
      </font>
      <fill>
        <patternFill patternType="solid">
          <fgColor indexed="64"/>
          <bgColor rgb="FF0070C0"/>
        </patternFill>
      </fill>
      <alignment horizontal="center" vertical="center" wrapText="1"/>
    </dxf>
    <dxf>
      <font>
        <b/>
        <color theme="0"/>
      </font>
      <fill>
        <patternFill patternType="solid">
          <fgColor indexed="64"/>
          <bgColor theme="1"/>
        </patternFill>
      </fill>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color theme="0"/>
      </font>
      <numFmt numFmtId="164" formatCode="_(* #,##0_);_(* \(#,##0\);_(* &quot;-&quot;??_);_(@_)"/>
      <fill>
        <patternFill patternType="solid">
          <fgColor indexed="64"/>
          <bgColor theme="9" tint="-0.499984740745262"/>
        </patternFill>
      </fill>
      <alignment horizontal="right" vertical="center"/>
    </dxf>
    <dxf>
      <font>
        <color theme="0"/>
      </font>
      <numFmt numFmtId="164" formatCode="_(* #,##0_);_(* \(#,##0\);_(* &quot;-&quot;??_);_(@_)"/>
      <fill>
        <patternFill patternType="solid">
          <fgColor indexed="64"/>
          <bgColor rgb="FF0070C0"/>
        </patternFill>
      </fill>
      <alignment horizontal="right" vertical="center"/>
    </dxf>
    <dxf>
      <font>
        <color theme="0"/>
      </font>
      <fill>
        <patternFill patternType="solid">
          <fgColor indexed="64"/>
          <bgColor theme="5" tint="-0.249977111117893"/>
        </patternFill>
      </fill>
      <alignment horizontal="center" vertical="center" wrapText="1"/>
    </dxf>
    <dxf>
      <font>
        <color theme="0"/>
      </font>
      <fill>
        <patternFill patternType="solid">
          <fgColor indexed="64"/>
          <bgColor theme="5" tint="-0.249977111117893"/>
        </patternFill>
      </fill>
      <alignment horizontal="center" vertical="center" wrapText="1"/>
    </dxf>
    <dxf>
      <fill>
        <patternFill>
          <fgColor indexed="64"/>
          <bgColor rgb="FF0070C0"/>
        </patternFill>
      </fill>
    </dxf>
    <dxf>
      <font>
        <color theme="0"/>
      </font>
      <fill>
        <patternFill patternType="solid">
          <fgColor indexed="64"/>
          <bgColor theme="9" tint="-0.499984740745262"/>
        </patternFill>
      </fill>
      <alignment horizontal="center" vertical="center" wrapText="1"/>
    </dxf>
    <dxf>
      <font>
        <color theme="0"/>
      </font>
      <fill>
        <patternFill patternType="solid">
          <fgColor indexed="64"/>
          <bgColor theme="9" tint="-0.499984740745262"/>
        </patternFill>
      </fill>
      <alignment horizontal="center" vertical="center" wrapText="1" readingOrder="0"/>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164" formatCode="_(* #,##0_);_(* \(#,##0\);_(* &quot;-&quot;??_);_(@_)"/>
    </dxf>
    <dxf>
      <font>
        <color theme="0"/>
      </font>
      <numFmt numFmtId="0" formatCode="General"/>
      <fill>
        <patternFill patternType="solid">
          <fgColor indexed="64"/>
          <bgColor theme="9" tint="-0.499984740745262"/>
        </patternFill>
      </fill>
      <alignment horizontal="center" vertical="center" wrapText="1"/>
    </dxf>
    <dxf>
      <alignment vertical="center"/>
    </dxf>
    <dxf>
      <alignment vertical="center"/>
    </dxf>
    <dxf>
      <font>
        <color theme="0"/>
      </font>
    </dxf>
    <dxf>
      <font>
        <color theme="0"/>
      </font>
    </dxf>
    <dxf>
      <fill>
        <patternFill>
          <bgColor theme="5" tint="-0.249977111117893"/>
        </patternFill>
      </fill>
    </dxf>
    <dxf>
      <fill>
        <patternFill>
          <bgColor theme="5" tint="-0.249977111117893"/>
        </patternFill>
      </fill>
    </dxf>
    <dxf>
      <numFmt numFmtId="164" formatCode="_(* #,##0_);_(* \(#,##0\);_(* &quot;-&quot;??_);_(@_)"/>
    </dxf>
    <dxf>
      <numFmt numFmtId="164" formatCode="_(* #,##0_);_(* \(#,##0\);_(* &quot;-&quot;??_);_(@_)"/>
    </dxf>
    <dxf>
      <font>
        <color theme="0"/>
      </font>
      <fill>
        <patternFill patternType="solid">
          <fgColor indexed="64"/>
          <bgColor rgb="FF0070C0"/>
        </patternFill>
      </fill>
      <alignment horizontal="center" vertical="center" wrapText="1"/>
    </dxf>
    <dxf>
      <font>
        <color theme="0"/>
      </font>
      <fill>
        <patternFill patternType="solid">
          <fgColor indexed="64"/>
          <bgColor theme="9" tint="-0.499984740745262"/>
        </patternFill>
      </fill>
      <alignment horizontal="center" vertical="center" wrapText="1" readingOrder="0"/>
    </dxf>
    <dxf>
      <font>
        <color theme="0"/>
      </font>
      <fill>
        <patternFill patternType="solid">
          <fgColor indexed="64"/>
          <bgColor theme="5" tint="-0.249977111117893"/>
        </patternFill>
      </fill>
      <alignment horizontal="center" vertical="center" wrapText="1" readingOrder="0"/>
    </dxf>
    <dxf>
      <font>
        <color theme="0"/>
      </font>
      <fill>
        <patternFill patternType="solid">
          <fgColor indexed="64"/>
          <bgColor rgb="FF0070C0"/>
        </patternFill>
      </fill>
      <alignment horizontal="center" vertical="center" wrapText="1" readingOrder="0"/>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color theme="0"/>
      </font>
      <numFmt numFmtId="164" formatCode="_(* #,##0_);_(* \(#,##0\);_(* &quot;-&quot;??_);_(@_)"/>
      <fill>
        <patternFill patternType="solid">
          <fgColor indexed="64"/>
          <bgColor rgb="FF0070C0"/>
        </patternFill>
      </fill>
      <alignment horizontal="right" vertical="center"/>
    </dxf>
    <dxf>
      <font>
        <color theme="0"/>
      </font>
      <fill>
        <patternFill patternType="solid">
          <fgColor indexed="64"/>
          <bgColor theme="9" tint="-0.499984740745262"/>
        </patternFill>
      </fill>
      <alignment horizontal="center" vertical="center" wrapText="1"/>
    </dxf>
    <dxf>
      <font>
        <color theme="0"/>
      </font>
      <fill>
        <patternFill patternType="solid">
          <fgColor indexed="64"/>
          <bgColor theme="9" tint="-0.499984740745262"/>
        </patternFill>
      </fill>
      <alignment horizontal="center" vertical="center" wrapText="1"/>
    </dxf>
    <dxf>
      <font>
        <color theme="0"/>
      </font>
      <fill>
        <patternFill patternType="solid">
          <fgColor indexed="64"/>
          <bgColor theme="5" tint="-0.249977111117893"/>
        </patternFill>
      </fill>
      <alignment horizontal="center" vertical="center" wrapText="1"/>
    </dxf>
    <dxf>
      <font>
        <color theme="0"/>
      </font>
      <fill>
        <patternFill patternType="solid">
          <fgColor indexed="64"/>
          <bgColor theme="5" tint="-0.249977111117893"/>
        </patternFill>
      </fill>
      <alignment horizontal="center" vertical="center" wrapText="1"/>
    </dxf>
    <dxf>
      <font>
        <color theme="0"/>
      </font>
      <fill>
        <patternFill patternType="solid">
          <fgColor indexed="64"/>
          <bgColor rgb="FF0070C0"/>
        </patternFill>
      </fill>
      <alignment horizontal="center" vertical="center" wrapText="1"/>
    </dxf>
    <dxf>
      <font>
        <b/>
        <color theme="0"/>
      </font>
      <fill>
        <patternFill patternType="solid">
          <fgColor indexed="64"/>
          <bgColor theme="1"/>
        </patternFill>
      </fill>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color theme="0"/>
      </font>
      <numFmt numFmtId="164" formatCode="_(* #,##0_);_(* \(#,##0\);_(* &quot;-&quot;??_);_(@_)"/>
      <fill>
        <patternFill patternType="solid">
          <fgColor indexed="64"/>
          <bgColor rgb="FF0070C0"/>
        </patternFill>
      </fill>
    </dxf>
    <dxf>
      <font>
        <color theme="0"/>
      </font>
      <fill>
        <patternFill patternType="solid">
          <fgColor indexed="64"/>
          <bgColor rgb="FF0070C0"/>
        </patternFill>
      </fill>
      <alignment horizontal="center"/>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font>
        <color theme="0"/>
      </font>
      <fill>
        <patternFill patternType="solid">
          <fgColor indexed="64"/>
          <bgColor rgb="FF0070C0"/>
        </patternFill>
      </fill>
      <alignment horizontal="center"/>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font>
        <color theme="0"/>
      </font>
      <numFmt numFmtId="164" formatCode="_(* #,##0_);_(* \(#,##0\);_(* &quot;-&quot;??_);_(@_)"/>
      <fill>
        <patternFill patternType="solid">
          <fgColor indexed="64"/>
          <bgColor theme="5" tint="-0.249977111117893"/>
        </patternFill>
      </fill>
      <alignment horizontal="center" vertical="center"/>
    </dxf>
    <dxf>
      <font>
        <color theme="0"/>
      </font>
    </dxf>
    <dxf>
      <numFmt numFmtId="0" formatCode="General"/>
      <fill>
        <patternFill>
          <fgColor indexed="64"/>
          <bgColor rgb="FF0070C0"/>
        </patternFill>
      </fill>
    </dxf>
    <dxf>
      <numFmt numFmtId="0" formatCode="General"/>
      <fill>
        <patternFill>
          <fgColor indexed="64"/>
          <bgColor rgb="FF0070C0"/>
        </patternFill>
      </fill>
    </dxf>
    <dxf>
      <font>
        <color theme="0"/>
      </font>
      <fill>
        <patternFill patternType="solid">
          <fgColor indexed="64"/>
          <bgColor theme="9" tint="-0.499984740745262"/>
        </patternFill>
      </fill>
      <alignment horizontal="center" vertical="center" wrapText="1"/>
    </dxf>
    <dxf>
      <font>
        <color theme="0"/>
      </font>
      <fill>
        <patternFill patternType="solid">
          <fgColor indexed="64"/>
          <bgColor theme="5" tint="-0.249977111117893"/>
        </patternFill>
      </fill>
      <alignment horizontal="center" vertical="center" wrapText="1"/>
    </dxf>
    <dxf>
      <font>
        <color theme="0"/>
      </font>
      <fill>
        <patternFill patternType="solid">
          <fgColor indexed="64"/>
          <bgColor rgb="FF0070C0"/>
        </patternFill>
      </fill>
      <alignment horizontal="center" vertical="center" wrapText="1" readingOrder="0"/>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164" formatCode="_(* #,##0_);_(* \(#,##0\);_(* &quot;-&quot;??_);_(@_)"/>
    </dxf>
    <dxf>
      <alignment wrapText="1"/>
    </dxf>
    <dxf>
      <font>
        <color auto="1"/>
      </font>
    </dxf>
    <dxf>
      <font>
        <color auto="1"/>
      </font>
    </dxf>
    <dxf>
      <fill>
        <patternFill>
          <bgColor theme="0" tint="-0.249977111117893"/>
        </patternFill>
      </fill>
    </dxf>
    <dxf>
      <fill>
        <patternFill>
          <bgColor theme="0" tint="-0.249977111117893"/>
        </patternFill>
      </fill>
    </dxf>
    <dxf>
      <font>
        <color theme="0"/>
      </font>
      <fill>
        <patternFill patternType="solid">
          <fgColor indexed="64"/>
          <bgColor theme="9" tint="-0.249977111117893"/>
        </patternFill>
      </fill>
      <alignment horizontal="center" vertical="center" wrapText="1"/>
    </dxf>
    <dxf>
      <fill>
        <patternFill>
          <fgColor theme="5" tint="-0.249977111117893"/>
        </patternFill>
      </fill>
    </dxf>
    <dxf>
      <fill>
        <patternFill>
          <fgColor theme="9" tint="-0.249977111117893"/>
        </patternFill>
      </fill>
    </dxf>
    <dxf>
      <font>
        <color theme="0"/>
      </font>
      <numFmt numFmtId="164" formatCode="_(* #,##0_);_(* \(#,##0\);_(* &quot;-&quot;??_);_(@_)"/>
      <fill>
        <patternFill patternType="solid">
          <fgColor indexed="64"/>
          <bgColor rgb="FF7030A0"/>
        </patternFill>
      </fill>
    </dxf>
    <dxf>
      <font>
        <color theme="0"/>
      </font>
      <numFmt numFmtId="164" formatCode="_(* #,##0_);_(* \(#,##0\);_(* &quot;-&quot;??_);_(@_)"/>
      <fill>
        <patternFill patternType="solid">
          <fgColor indexed="64"/>
          <bgColor rgb="FF7030A0"/>
        </patternFill>
      </fill>
    </dxf>
    <dxf>
      <alignment wrapText="1"/>
    </dxf>
    <dxf>
      <font>
        <color theme="0"/>
      </font>
      <fill>
        <patternFill patternType="solid">
          <fgColor indexed="64"/>
          <bgColor rgb="FF7030A0"/>
        </patternFill>
      </fill>
    </dxf>
    <dxf>
      <alignment vertical="center"/>
    </dxf>
    <dxf>
      <numFmt numFmtId="164" formatCode="_(* #,##0_);_(* \(#,##0\);_(* &quot;-&quot;??_);_(@_)"/>
    </dxf>
    <dxf>
      <font>
        <color theme="0"/>
      </font>
      <numFmt numFmtId="164" formatCode="_(* #,##0_);_(* \(#,##0\);_(* &quot;-&quot;??_);_(@_)"/>
      <fill>
        <patternFill patternType="solid">
          <fgColor indexed="64"/>
          <bgColor theme="1"/>
        </patternFill>
      </fill>
    </dxf>
    <dxf>
      <font>
        <color theme="0"/>
      </font>
      <fill>
        <patternFill patternType="solid">
          <fgColor indexed="64"/>
          <bgColor rgb="FF0070C0"/>
        </patternFill>
      </fill>
      <alignment horizontal="center"/>
    </dxf>
    <dxf>
      <font>
        <color theme="0"/>
      </font>
      <fill>
        <patternFill patternType="solid">
          <fgColor indexed="64"/>
          <bgColor rgb="FF0070C0"/>
        </patternFill>
      </fill>
      <alignment horizontal="center"/>
    </dxf>
    <dxf>
      <font>
        <color theme="0"/>
      </font>
      <fill>
        <patternFill patternType="solid">
          <fgColor indexed="64"/>
          <bgColor theme="1"/>
        </patternFill>
      </fill>
      <alignment horizontal="center"/>
    </dxf>
    <dxf>
      <numFmt numFmtId="164" formatCode="_(* #,##0_);_(* \(#,##0\);_(* &quot;-&quot;??_);_(@_)"/>
    </dxf>
    <dxf>
      <font>
        <b/>
      </font>
    </dxf>
    <dxf>
      <font>
        <color theme="0"/>
      </font>
      <fill>
        <patternFill patternType="solid">
          <fgColor indexed="64"/>
          <bgColor theme="1"/>
        </patternFill>
      </fill>
    </dxf>
    <dxf>
      <font>
        <sz val="12"/>
      </font>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alignment wrapText="1"/>
    </dxf>
    <dxf>
      <font>
        <color auto="1"/>
      </font>
    </dxf>
    <dxf>
      <font>
        <color auto="1"/>
      </font>
    </dxf>
    <dxf>
      <fill>
        <patternFill>
          <bgColor theme="0" tint="-0.249977111117893"/>
        </patternFill>
      </fill>
    </dxf>
    <dxf>
      <fill>
        <patternFill>
          <bgColor theme="0" tint="-0.249977111117893"/>
        </patternFill>
      </fill>
    </dxf>
    <dxf>
      <font>
        <color theme="0"/>
      </font>
      <fill>
        <patternFill patternType="solid">
          <fgColor indexed="64"/>
          <bgColor theme="9" tint="-0.249977111117893"/>
        </patternFill>
      </fill>
    </dxf>
    <dxf>
      <font>
        <color theme="0"/>
      </font>
      <fill>
        <patternFill patternType="solid">
          <fgColor indexed="64"/>
          <bgColor theme="9" tint="-0.249977111117893"/>
        </patternFill>
      </fill>
      <alignment horizontal="center" vertical="center" wrapText="1"/>
    </dxf>
    <dxf>
      <font>
        <color theme="0"/>
      </font>
      <fill>
        <patternFill patternType="solid">
          <fgColor indexed="64"/>
          <bgColor theme="9" tint="-0.249977111117893"/>
        </patternFill>
      </fill>
    </dxf>
    <dxf>
      <font>
        <color theme="0"/>
      </font>
      <fill>
        <patternFill patternType="solid">
          <fgColor indexed="64"/>
          <bgColor theme="9" tint="-0.249977111117893"/>
        </patternFill>
      </fill>
      <alignment horizontal="center" vertical="center" wrapText="1"/>
    </dxf>
    <dxf>
      <alignment wrapText="1"/>
    </dxf>
    <dxf>
      <font>
        <color theme="0"/>
      </font>
      <fill>
        <patternFill patternType="solid">
          <fgColor indexed="64"/>
          <bgColor theme="9" tint="-0.249977111117893"/>
        </patternFill>
      </fill>
      <alignment horizontal="center" vertical="center"/>
    </dxf>
    <dxf>
      <alignment wrapText="1"/>
    </dxf>
    <dxf>
      <font>
        <color theme="0"/>
      </font>
    </dxf>
    <dxf>
      <fill>
        <patternFill patternType="solid">
          <bgColor rgb="FF7030A0"/>
        </patternFill>
      </fill>
    </dxf>
    <dxf>
      <alignment vertical="center"/>
    </dxf>
    <dxf>
      <alignment horizontal="center"/>
    </dxf>
    <dxf>
      <font>
        <color theme="0"/>
      </font>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9" tint="-0.249977111117893"/>
        </patternFill>
      </fill>
    </dxf>
    <dxf>
      <fill>
        <patternFill patternType="solid">
          <bgColor theme="9" tint="-0.249977111117893"/>
        </patternFill>
      </fill>
    </dxf>
    <dxf>
      <font>
        <color theme="0"/>
      </font>
    </dxf>
    <dxf>
      <font>
        <color theme="0"/>
      </font>
    </dxf>
    <dxf>
      <fill>
        <patternFill patternType="solid">
          <bgColor theme="5" tint="-0.249977111117893"/>
        </patternFill>
      </fill>
    </dxf>
    <dxf>
      <fill>
        <patternFill patternType="solid">
          <bgColor theme="5" tint="-0.249977111117893"/>
        </patternFill>
      </fill>
    </dxf>
    <dxf>
      <font>
        <color theme="0"/>
      </font>
    </dxf>
    <dxf>
      <font>
        <color theme="0"/>
      </font>
    </dxf>
    <dxf>
      <fill>
        <patternFill patternType="solid">
          <bgColor rgb="FF0070C0"/>
        </patternFill>
      </fill>
    </dxf>
    <dxf>
      <fill>
        <patternFill patternType="solid">
          <bgColor rgb="FF0070C0"/>
        </patternFill>
      </fill>
    </dxf>
    <dxf>
      <numFmt numFmtId="164" formatCode="_(* #,##0_);_(* \(#,##0\);_(* &quot;-&quot;??_);_(@_)"/>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font>
        <color theme="0"/>
      </font>
      <numFmt numFmtId="164" formatCode="_(* #,##0_);_(* \(#,##0\);_(* &quot;-&quot;??_);_(@_)"/>
      <fill>
        <patternFill patternType="solid">
          <fgColor indexed="64"/>
          <bgColor rgb="FF0070C0"/>
        </patternFill>
      </fill>
    </dxf>
    <dxf>
      <font>
        <color theme="0"/>
      </font>
      <fill>
        <patternFill patternType="solid">
          <fgColor indexed="64"/>
          <bgColor rgb="FF0070C0"/>
        </patternFill>
      </fill>
      <alignment horizontal="center"/>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font>
        <color theme="0"/>
      </font>
      <fill>
        <patternFill patternType="solid">
          <fgColor indexed="64"/>
          <bgColor rgb="FF0070C0"/>
        </patternFill>
      </fill>
      <alignment horizontal="center"/>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font>
        <color theme="0"/>
      </font>
      <numFmt numFmtId="164" formatCode="_(* #,##0_);_(* \(#,##0\);_(* &quot;-&quot;??_);_(@_)"/>
      <fill>
        <patternFill patternType="solid">
          <fgColor indexed="64"/>
          <bgColor theme="9" tint="-0.499984740745262"/>
        </patternFill>
      </fill>
      <alignment horizontal="right" vertical="center"/>
    </dxf>
    <dxf>
      <font>
        <color theme="0"/>
      </font>
      <fill>
        <patternFill patternType="solid">
          <fgColor indexed="64"/>
          <bgColor theme="5" tint="-0.249977111117893"/>
        </patternFill>
      </fill>
      <alignment horizontal="center" vertical="center" wrapText="1"/>
    </dxf>
    <dxf>
      <font>
        <color theme="0"/>
      </font>
      <fill>
        <patternFill patternType="solid">
          <fgColor indexed="64"/>
          <bgColor theme="5" tint="-0.249977111117893"/>
        </patternFill>
      </fill>
      <alignment horizontal="center" vertical="center" wrapText="1"/>
    </dxf>
    <dxf>
      <font>
        <color theme="0"/>
      </font>
      <fill>
        <patternFill patternType="solid">
          <fgColor indexed="64"/>
          <bgColor theme="9" tint="-0.499984740745262"/>
        </patternFill>
      </fill>
      <alignment horizontal="center" vertical="center" wrapText="1"/>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0" formatCode="General"/>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alignment horizontal="general" vertical="bottom" textRotation="0" wrapText="1" indent="0" justifyLastLine="0" shrinkToFit="0" readingOrder="1"/>
    </dxf>
    <dxf>
      <font>
        <strike val="0"/>
        <outline val="0"/>
        <shadow val="0"/>
        <u val="none"/>
        <vertAlign val="baseline"/>
        <sz val="10"/>
        <name val="Calibri"/>
        <scheme val="minor"/>
      </font>
      <numFmt numFmtId="165" formatCode="[$-409]d\-mmm\-yy;@"/>
      <fill>
        <patternFill patternType="none">
          <bgColor auto="1"/>
        </patternFill>
      </fill>
    </dxf>
    <dxf>
      <font>
        <strike val="0"/>
        <outline val="0"/>
        <shadow val="0"/>
        <u val="none"/>
        <vertAlign val="baseline"/>
        <sz val="10"/>
        <name val="Calibri"/>
        <scheme val="minor"/>
      </font>
      <numFmt numFmtId="1" formatCode="0"/>
      <fill>
        <patternFill patternType="none">
          <bgColor auto="1"/>
        </patternFill>
      </fill>
    </dxf>
    <dxf>
      <font>
        <strike val="0"/>
        <outline val="0"/>
        <shadow val="0"/>
        <u val="none"/>
        <vertAlign val="baseline"/>
        <sz val="10"/>
        <name val="Calibri"/>
        <scheme val="minor"/>
      </font>
      <numFmt numFmtId="0" formatCode="General"/>
      <fill>
        <patternFill patternType="none">
          <bgColor auto="1"/>
        </patternFill>
      </fill>
      <alignment horizontal="general" vertical="bottom" textRotation="0" wrapText="1" indent="0" justifyLastLine="0" shrinkToFit="0" readingOrder="1"/>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fgColor indexed="64"/>
          <bgColor auto="1"/>
        </patternFill>
      </fill>
    </dxf>
    <dxf>
      <font>
        <strike val="0"/>
        <outline val="0"/>
        <shadow val="0"/>
        <u val="none"/>
        <vertAlign val="baseline"/>
        <sz val="10"/>
        <name val="Calibri"/>
        <scheme val="minor"/>
      </font>
      <fill>
        <patternFill patternType="none">
          <fgColor indexed="64"/>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dxf>
    <dxf>
      <font>
        <strike val="0"/>
        <outline val="0"/>
        <shadow val="0"/>
        <u val="none"/>
        <vertAlign val="baseline"/>
        <sz val="10"/>
        <name val="Calibri"/>
        <scheme val="minor"/>
      </font>
      <numFmt numFmtId="1" formatCode="0"/>
      <fill>
        <patternFill patternType="none">
          <fgColor indexed="64"/>
          <bgColor auto="1"/>
        </patternFill>
      </fill>
      <border diagonalUp="0" diagonalDown="0" outline="0">
        <left/>
        <right/>
        <top style="thin">
          <color theme="4" tint="0.39997558519241921"/>
        </top>
        <bottom/>
      </border>
    </dxf>
    <dxf>
      <font>
        <strike val="0"/>
        <outline val="0"/>
        <shadow val="0"/>
        <u val="none"/>
        <vertAlign val="baseline"/>
        <sz val="10"/>
        <name val="Calibri"/>
        <scheme val="minor"/>
      </font>
      <numFmt numFmtId="0" formatCode="General"/>
      <fill>
        <patternFill patternType="none">
          <fgColor indexed="64"/>
          <bgColor auto="1"/>
        </patternFill>
      </fill>
      <border diagonalUp="0" diagonalDown="0" outline="0">
        <left/>
        <right/>
        <top style="thin">
          <color theme="4" tint="0.39997558519241921"/>
        </top>
        <bottom/>
      </border>
    </dxf>
    <dxf>
      <font>
        <strike val="0"/>
        <outline val="0"/>
        <shadow val="0"/>
        <u val="none"/>
        <vertAlign val="baseline"/>
        <sz val="10"/>
        <name val="Calibri"/>
        <scheme val="minor"/>
      </font>
      <numFmt numFmtId="1" formatCode="0"/>
      <fill>
        <patternFill patternType="none">
          <fgColor indexed="64"/>
          <bgColor indexed="65"/>
        </patternFill>
      </fill>
    </dxf>
    <dxf>
      <fill>
        <patternFill patternType="none">
          <bgColor auto="1"/>
        </patternFill>
      </fill>
    </dxf>
    <dxf>
      <font>
        <strike val="0"/>
        <outline val="0"/>
        <shadow val="0"/>
        <u val="none"/>
        <vertAlign val="baseline"/>
        <sz val="10"/>
        <name val="Calibri"/>
        <scheme val="minor"/>
      </font>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rgb="FFFF0000"/>
        </patternFill>
      </fill>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8" formatCode="[$-409]d\-mmm\-yy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border outline="0">
        <left style="medium">
          <color rgb="FFFFFFFF"/>
        </left>
      </border>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border outline="0">
        <bottom style="medium">
          <color rgb="FFFFFFFF"/>
        </bottom>
      </border>
    </dxf>
    <dxf>
      <font>
        <b val="0"/>
        <strike val="0"/>
        <outline val="0"/>
        <shadow val="0"/>
        <u val="none"/>
        <vertAlign val="baseline"/>
        <sz val="9"/>
        <name val="Corbel"/>
        <scheme val="none"/>
      </font>
      <fill>
        <patternFill patternType="none">
          <fgColor indexed="64"/>
          <bgColor auto="1"/>
        </patternFill>
      </fill>
      <alignment textRotation="0" wrapText="1" indent="0" justifyLastLine="0" shrinkToFit="0"/>
    </dxf>
    <dxf>
      <font>
        <b/>
        <i val="0"/>
        <color rgb="FFFF0000"/>
      </font>
    </dxf>
    <dxf>
      <font>
        <b/>
        <i val="0"/>
        <color rgb="FFFF0000"/>
      </font>
    </dxf>
    <dxf>
      <font>
        <b/>
        <i val="0"/>
        <color rgb="FFFF0000"/>
      </font>
    </dxf>
    <dxf>
      <fill>
        <patternFill>
          <bgColor rgb="FFFF0000"/>
        </patternFill>
      </fill>
    </dxf>
    <dxf>
      <fill>
        <patternFill>
          <bgColor theme="4" tint="-0.24994659260841701"/>
        </patternFill>
      </fill>
    </dxf>
    <dxf>
      <fill>
        <patternFill>
          <bgColor rgb="FFCEFD95"/>
        </patternFill>
      </fill>
    </dxf>
    <dxf>
      <fill>
        <patternFill>
          <bgColor theme="4" tint="0.59996337778862885"/>
        </patternFill>
      </fill>
    </dxf>
    <dxf>
      <fill>
        <patternFill>
          <bgColor rgb="FFE1F3F2"/>
        </patternFill>
      </fill>
    </dxf>
    <dxf>
      <fill>
        <patternFill>
          <bgColor rgb="FFEAFFC1"/>
        </patternFill>
      </fill>
    </dxf>
    <dxf>
      <fill>
        <patternFill>
          <bgColor rgb="FFFCFCD0"/>
        </patternFill>
      </fill>
    </dxf>
    <dxf>
      <fill>
        <patternFill>
          <bgColor theme="7" tint="0.79998168889431442"/>
        </patternFill>
      </fill>
    </dxf>
    <dxf>
      <fill>
        <patternFill>
          <bgColor theme="4" tint="0.79998168889431442"/>
        </patternFill>
      </fill>
      <border>
        <left style="thin">
          <color theme="8"/>
        </left>
        <right style="thin">
          <color theme="8"/>
        </right>
        <top style="thin">
          <color theme="8"/>
        </top>
        <bottom style="thin">
          <color theme="8"/>
        </bottom>
        <vertical style="thin">
          <color theme="8"/>
        </vertical>
        <horizontal style="thin">
          <color theme="8"/>
        </horizontal>
      </border>
    </dxf>
    <dxf>
      <border>
        <vertical style="thin">
          <color auto="1"/>
        </vertical>
        <horizontal style="thin">
          <color auto="1"/>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color theme="4" tint="-0.249977111117893"/>
      </font>
    </dxf>
    <dxf>
      <font>
        <color theme="4" tint="-0.249977111117893"/>
      </font>
    </dxf>
    <dxf>
      <font>
        <color theme="4" tint="-0.249977111117893"/>
      </font>
    </dxf>
    <dxf>
      <font>
        <color theme="4" tint="-0.249977111117893"/>
      </font>
    </dxf>
    <dxf>
      <fill>
        <patternFill patternType="solid">
          <fgColor theme="4" tint="0.79998168889431442"/>
          <bgColor theme="4" tint="0.79998168889431442"/>
        </patternFill>
      </fill>
    </dxf>
    <dxf>
      <fill>
        <patternFill patternType="solid">
          <fgColor theme="4" tint="0.79998168889431442"/>
          <bgColor theme="4" tint="0.79998168889431442"/>
        </patternFill>
      </fill>
      <border>
        <top style="thin">
          <color theme="1" tint="0.499984740745262"/>
        </top>
        <bottom style="thin">
          <color theme="1" tint="0.499984740745262"/>
        </bottom>
      </border>
    </dxf>
    <dxf>
      <font>
        <color theme="4" tint="-0.249977111117893"/>
      </font>
    </dxf>
    <dxf>
      <font>
        <color theme="4" tint="-0.249977111117893"/>
      </font>
      <border>
        <top style="thin">
          <color theme="4"/>
        </top>
      </border>
    </dxf>
    <dxf>
      <font>
        <color theme="4" tint="-0.249977111117893"/>
      </font>
      <border>
        <bottom style="thin">
          <color theme="4"/>
        </bottom>
      </border>
    </dxf>
    <dxf>
      <font>
        <color theme="4" tint="-0.249977111117893"/>
      </font>
      <border>
        <left style="thin">
          <color theme="4"/>
        </left>
        <right style="thin">
          <color theme="4"/>
        </right>
        <top style="thin">
          <color theme="4"/>
        </top>
        <bottom style="thin">
          <color theme="4"/>
        </bottom>
        <vertical style="thin">
          <color theme="4"/>
        </vertical>
      </border>
    </dxf>
    <dxf>
      <font>
        <b/>
        <color theme="1"/>
      </font>
    </dxf>
    <dxf>
      <font>
        <b/>
        <color theme="1"/>
      </font>
      <fill>
        <patternFill patternType="solid">
          <fgColor theme="9" tint="0.79998168889431442"/>
          <bgColor theme="9" tint="0.79998168889431442"/>
        </patternFill>
      </fill>
      <border>
        <bottom style="thin">
          <color theme="0"/>
        </bottom>
      </border>
    </dxf>
    <dxf>
      <border>
        <top style="thin">
          <color theme="9" tint="0.79998168889431442"/>
        </top>
      </border>
    </dxf>
    <dxf>
      <border>
        <top style="thin">
          <color theme="9" tint="0.79998168889431442"/>
        </top>
      </border>
    </dxf>
    <dxf>
      <font>
        <b/>
        <color theme="1"/>
      </font>
    </dxf>
    <dxf>
      <font>
        <b/>
        <color theme="1"/>
      </font>
      <fill>
        <patternFill patternType="solid">
          <fgColor theme="9" tint="0.79998168889431442"/>
          <bgColor theme="9" tint="0.79998168889431442"/>
        </patternFill>
      </fill>
      <border>
        <top style="thin">
          <color theme="9" tint="0.59999389629810485"/>
        </top>
        <bottom style="thin">
          <color theme="9" tint="0.59999389629810485"/>
        </bottom>
      </border>
    </dxf>
    <dxf>
      <border>
        <left style="thin">
          <color theme="9"/>
        </left>
        <right style="thin">
          <color theme="9"/>
        </right>
        <top style="thin">
          <color theme="9"/>
        </top>
        <bottom style="thin">
          <color theme="9"/>
        </bottom>
      </border>
    </dxf>
    <dxf>
      <border>
        <left style="thin">
          <color theme="9" tint="0.59999389629810485"/>
        </left>
        <right style="thin">
          <color theme="9" tint="0.59999389629810485"/>
        </right>
        <top style="thin">
          <color theme="9" tint="0.59999389629810485"/>
        </top>
        <bottom style="thin">
          <color theme="9" tint="0.59999389629810485"/>
        </bottom>
      </border>
    </dxf>
    <dxf>
      <border>
        <right style="thin">
          <color theme="9"/>
        </right>
      </border>
    </dxf>
    <dxf>
      <font>
        <b/>
        <color theme="1"/>
      </font>
      <border>
        <left style="medium">
          <color theme="9"/>
        </left>
        <right style="medium">
          <color theme="9"/>
        </right>
        <top style="medium">
          <color theme="9"/>
        </top>
        <bottom style="medium">
          <color theme="9"/>
        </bottom>
      </border>
    </dxf>
    <dxf>
      <font>
        <b/>
        <color theme="1"/>
      </font>
      <border>
        <left style="medium">
          <color theme="9"/>
        </left>
        <right style="medium">
          <color theme="9"/>
        </right>
        <top style="medium">
          <color theme="9"/>
        </top>
        <bottom style="medium">
          <color theme="9"/>
        </bottom>
        <horizontal style="thin">
          <color theme="0"/>
        </horizontal>
      </border>
    </dxf>
    <dxf>
      <font>
        <color theme="9" tint="-0.249977111117893"/>
      </font>
      <border>
        <vertical style="thin">
          <color theme="9" tint="0.59996337778862885"/>
        </vertical>
        <horizontal style="thin">
          <color theme="9" tint="0.59996337778862885"/>
        </horizontal>
      </border>
    </dxf>
    <dxf>
      <font>
        <b/>
        <color theme="1"/>
      </font>
    </dxf>
    <dxf>
      <font>
        <b/>
        <color theme="1"/>
      </font>
      <fill>
        <patternFill patternType="solid">
          <fgColor theme="5" tint="0.79998168889431442"/>
          <bgColor theme="5" tint="0.79998168889431442"/>
        </patternFill>
      </fill>
      <border>
        <bottom style="thin">
          <color theme="0"/>
        </bottom>
      </border>
    </dxf>
    <dxf>
      <border>
        <top style="thin">
          <color theme="5" tint="0.79998168889431442"/>
        </top>
      </border>
    </dxf>
    <dxf>
      <border>
        <top style="thin">
          <color theme="5" tint="0.79998168889431442"/>
        </top>
      </border>
    </dxf>
    <dxf>
      <font>
        <b/>
        <color theme="1"/>
      </font>
    </dxf>
    <dxf>
      <font>
        <b/>
        <color theme="1"/>
      </font>
      <fill>
        <patternFill patternType="solid">
          <fgColor theme="5" tint="0.79998168889431442"/>
          <bgColor theme="5" tint="0.79998168889431442"/>
        </patternFill>
      </fill>
      <border>
        <top style="thin">
          <color theme="5" tint="0.59999389629810485"/>
        </top>
        <bottom style="thin">
          <color theme="5" tint="0.59999389629810485"/>
        </bottom>
      </border>
    </dxf>
    <dxf>
      <border>
        <left style="thin">
          <color theme="5"/>
        </left>
        <right style="thin">
          <color theme="5"/>
        </right>
        <top style="thin">
          <color theme="5"/>
        </top>
        <bottom style="thin">
          <color theme="5"/>
        </bottom>
      </border>
    </dxf>
    <dxf>
      <border>
        <left style="thin">
          <color theme="5" tint="0.59999389629810485"/>
        </left>
        <right style="thin">
          <color theme="5" tint="0.59999389629810485"/>
        </right>
        <top style="thin">
          <color theme="5" tint="0.59999389629810485"/>
        </top>
        <bottom style="thin">
          <color theme="5" tint="0.59999389629810485"/>
        </bottom>
      </border>
    </dxf>
    <dxf>
      <border>
        <right style="thin">
          <color theme="5"/>
        </right>
      </border>
    </dxf>
    <dxf>
      <font>
        <b/>
        <color theme="1"/>
      </font>
      <border>
        <left style="medium">
          <color theme="5"/>
        </left>
        <right style="medium">
          <color theme="5"/>
        </right>
        <top style="medium">
          <color theme="5"/>
        </top>
        <bottom style="medium">
          <color theme="5"/>
        </bottom>
      </border>
    </dxf>
    <dxf>
      <font>
        <b/>
        <color theme="1"/>
      </font>
      <border>
        <left style="medium">
          <color theme="5"/>
        </left>
        <right style="medium">
          <color theme="5"/>
        </right>
        <top style="medium">
          <color theme="5"/>
        </top>
        <bottom style="medium">
          <color theme="5"/>
        </bottom>
        <horizontal style="thin">
          <color theme="0"/>
        </horizontal>
      </border>
    </dxf>
    <dxf>
      <font>
        <color theme="5" tint="-0.249977111117893"/>
      </font>
      <border>
        <vertical style="thin">
          <color theme="5" tint="0.59996337778862885"/>
        </vertical>
        <horizontal style="thin">
          <color theme="5" tint="0.59996337778862885"/>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sz val="8"/>
        <name val="Gill Sans MT"/>
        <scheme val="none"/>
      </font>
    </dxf>
    <dxf>
      <font>
        <b/>
        <color theme="1"/>
      </font>
      <border>
        <bottom style="thin">
          <color theme="4"/>
        </bottom>
        <vertical/>
        <horizontal/>
      </border>
    </dxf>
    <dxf>
      <font>
        <color theme="1"/>
        <name val="Gill Sans MT"/>
        <scheme val="none"/>
      </font>
      <border>
        <left/>
        <right/>
        <top/>
        <bottom/>
        <vertical/>
        <horizontal/>
      </border>
    </dxf>
  </dxfs>
  <tableStyles count="10" defaultTableStyle="TableStyleMedium2" defaultPivotStyle="PivotStyleLight16">
    <tableStyle name="4W" pivot="0" table="0" count="10" xr9:uid="{00000000-0011-0000-FFFF-FFFF00000000}">
      <tableStyleElement type="wholeTable" dxfId="1682"/>
      <tableStyleElement type="headerRow" dxfId="1681"/>
    </tableStyle>
    <tableStyle name="4W Style" pivot="0" table="0" count="1" xr9:uid="{00000000-0011-0000-FFFF-FFFF01000000}">
      <tableStyleElement type="wholeTable" dxfId="1680"/>
    </tableStyle>
    <tableStyle name="CUSTOM" table="0" count="13" xr9:uid="{00000000-0011-0000-FFFF-FFFF02000000}">
      <tableStyleElement type="wholeTable" dxfId="1679"/>
      <tableStyleElement type="headerRow" dxfId="1678"/>
      <tableStyleElement type="totalRow" dxfId="1677"/>
      <tableStyleElement type="firstColumn" dxfId="1676"/>
      <tableStyleElement type="firstRowStripe" dxfId="1675"/>
      <tableStyleElement type="secondRowStripe" dxfId="1674"/>
      <tableStyleElement type="firstColumnStripe" dxfId="1673"/>
      <tableStyleElement type="firstSubtotalRow" dxfId="1672"/>
      <tableStyleElement type="secondSubtotalRow" dxfId="1671"/>
      <tableStyleElement type="secondColumnSubheading" dxfId="1670"/>
      <tableStyleElement type="thirdColumnSubheading" dxfId="1669"/>
      <tableStyleElement type="firstRowSubheading" dxfId="1668"/>
      <tableStyleElement type="secondRowSubheading" dxfId="1667"/>
    </tableStyle>
    <tableStyle name="PivotStyleLight10 2" table="0" count="12" xr9:uid="{00000000-0011-0000-FFFF-FFFF03000000}">
      <tableStyleElement type="wholeTable" dxfId="1666"/>
      <tableStyleElement type="headerRow" dxfId="1665"/>
      <tableStyleElement type="totalRow" dxfId="1664"/>
      <tableStyleElement type="firstColumn" dxfId="1663"/>
      <tableStyleElement type="firstRowStripe" dxfId="1662"/>
      <tableStyleElement type="firstColumnStripe" dxfId="1661"/>
      <tableStyleElement type="firstSubtotalRow" dxfId="1660"/>
      <tableStyleElement type="secondSubtotalRow" dxfId="1659"/>
      <tableStyleElement type="secondColumnSubheading" dxfId="1658"/>
      <tableStyleElement type="thirdColumnSubheading" dxfId="1657"/>
      <tableStyleElement type="firstRowSubheading" dxfId="1656"/>
      <tableStyleElement type="secondRowSubheading" dxfId="1655"/>
    </tableStyle>
    <tableStyle name="PivotStyleLight14 2" table="0" count="12" xr9:uid="{00000000-0011-0000-FFFF-FFFF04000000}">
      <tableStyleElement type="wholeTable" dxfId="1654"/>
      <tableStyleElement type="headerRow" dxfId="1653"/>
      <tableStyleElement type="totalRow" dxfId="1652"/>
      <tableStyleElement type="firstColumn" dxfId="1651"/>
      <tableStyleElement type="firstRowStripe" dxfId="1650"/>
      <tableStyleElement type="firstColumnStripe" dxfId="1649"/>
      <tableStyleElement type="firstSubtotalRow" dxfId="1648"/>
      <tableStyleElement type="secondSubtotalRow" dxfId="1647"/>
      <tableStyleElement type="secondColumnSubheading" dxfId="1646"/>
      <tableStyleElement type="thirdColumnSubheading" dxfId="1645"/>
      <tableStyleElement type="firstRowSubheading" dxfId="1644"/>
      <tableStyleElement type="secondRowSubheading" dxfId="1643"/>
    </tableStyle>
    <tableStyle name="PivotStyleLight23 2" table="0" count="10" xr9:uid="{00000000-0011-0000-FFFF-FFFF05000000}">
      <tableStyleElement type="wholeTable" dxfId="1642"/>
      <tableStyleElement type="headerRow" dxfId="1641"/>
      <tableStyleElement type="totalRow" dxfId="1640"/>
      <tableStyleElement type="firstColumn" dxfId="1639"/>
      <tableStyleElement type="firstRowStripe" dxfId="1638"/>
      <tableStyleElement type="firstColumnStripe" dxfId="1637"/>
      <tableStyleElement type="firstSubtotalColumn" dxfId="1636"/>
      <tableStyleElement type="firstSubtotalRow" dxfId="1635"/>
      <tableStyleElement type="secondSubtotalRow" dxfId="1634"/>
      <tableStyleElement type="pageFieldLabels" dxfId="1633"/>
    </tableStyle>
    <tableStyle name="PivotStyleLight9 2" table="0" count="13" xr9:uid="{00000000-0011-0000-FFFF-FFFF06000000}">
      <tableStyleElement type="wholeTable" dxfId="1632"/>
      <tableStyleElement type="headerRow" dxfId="1631"/>
      <tableStyleElement type="totalRow" dxfId="1630"/>
      <tableStyleElement type="firstColumn" dxfId="1629"/>
      <tableStyleElement type="firstRowStripe" dxfId="1628"/>
      <tableStyleElement type="secondRowStripe" dxfId="1627"/>
      <tableStyleElement type="firstColumnStripe" dxfId="1626"/>
      <tableStyleElement type="firstSubtotalRow" dxfId="1625"/>
      <tableStyleElement type="secondSubtotalRow" dxfId="1624"/>
      <tableStyleElement type="secondColumnSubheading" dxfId="1623"/>
      <tableStyleElement type="thirdColumnSubheading" dxfId="1622"/>
      <tableStyleElement type="firstRowSubheading" dxfId="1621"/>
      <tableStyleElement type="secondRowSubheading" dxfId="1620"/>
    </tableStyle>
    <tableStyle name="PivotTable Style 1" table="0" count="1" xr9:uid="{00000000-0011-0000-FFFF-FFFF07000000}">
      <tableStyleElement type="wholeTable" dxfId="1619"/>
    </tableStyle>
    <tableStyle name="PivotTable Style a" table="0" count="7" xr9:uid="{00000000-0011-0000-FFFF-FFFF08000000}">
      <tableStyleElement type="wholeTable" dxfId="1618"/>
      <tableStyleElement type="headerRow" dxfId="1617"/>
      <tableStyleElement type="totalRow" dxfId="1616"/>
      <tableStyleElement type="firstColumn" dxfId="1615"/>
      <tableStyleElement type="secondSubtotalRow" dxfId="1614"/>
      <tableStyleElement type="firstRowSubheading" dxfId="1613"/>
      <tableStyleElement type="secondRowSubheading" dxfId="1612"/>
    </tableStyle>
    <tableStyle name="Slicer Style 1" pivot="0" table="0" count="5" xr9:uid="{00000000-0011-0000-FFFF-FFFF09000000}">
      <tableStyleElement type="wholeTable" dxfId="1611"/>
    </tableStyle>
  </tableStyles>
  <colors>
    <mruColors>
      <color rgb="FF44546A"/>
      <color rgb="FFD4E8C6"/>
      <color rgb="FF85C2FF"/>
      <color rgb="FF098A9B"/>
      <color rgb="FFFF898C"/>
      <color rgb="FFCDFF9B"/>
      <color rgb="FF009900"/>
    </mruColors>
  </colors>
  <extLst>
    <ext xmlns:x14="http://schemas.microsoft.com/office/spreadsheetml/2009/9/main" uri="{46F421CA-312F-682f-3DD2-61675219B42D}">
      <x14:dxfs count="12">
        <dxf>
          <fill>
            <patternFill>
              <bgColor theme="7"/>
            </patternFill>
          </fill>
        </dxf>
        <dxf>
          <fill>
            <patternFill>
              <bgColor theme="7" tint="0.39994506668294322"/>
            </patternFill>
          </fill>
        </dxf>
        <dxf>
          <fill>
            <patternFill>
              <bgColor rgb="FF92D050"/>
            </patternFill>
          </fill>
        </dxf>
        <dxf>
          <fill>
            <patternFill>
              <bgColor theme="4" tint="0.39994506668294322"/>
            </patternFill>
          </fill>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4W">
        <x14:slicerStyle name="4W">
          <x14:slicerStyleElements>
            <x14:slicerStyleElement type="unselectedItemWithData" dxfId="11"/>
            <x14:slicerStyleElement type="unselectedItemWithNoData" dxfId="10"/>
            <x14:slicerStyleElement type="selectedItemWithData" dxfId="9"/>
            <x14:slicerStyleElement type="selectedItemWithNoData" dxfId="8"/>
            <x14:slicerStyleElement type="hoveredUnselectedItemWithData" dxfId="7"/>
            <x14:slicerStyleElement type="hoveredSelectedItemWithData" dxfId="6"/>
            <x14:slicerStyleElement type="hoveredUnselectedItemWithNoData" dxfId="5"/>
            <x14:slicerStyleElement type="hoveredSelectedItemWithNoData" dxfId="4"/>
          </x14:slicerStyleElements>
        </x14:slicerStyle>
        <x14:slicerStyle name="4W Style"/>
        <x14:slicerStyle name="Slicer Style 1">
          <x14:slicerStyleElements>
            <x14:slicerStyleElement type="unselectedItemWithData" dxfId="3"/>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microsoft.com/office/2007/relationships/slicerCache" Target="slicerCaches/slicerCache3.xml"/><Relationship Id="rId39" Type="http://schemas.microsoft.com/office/2007/relationships/slicerCache" Target="slicerCaches/slicerCache16.xml"/><Relationship Id="rId21" Type="http://schemas.openxmlformats.org/officeDocument/2006/relationships/externalLink" Target="externalLinks/externalLink4.xml"/><Relationship Id="rId34" Type="http://schemas.microsoft.com/office/2007/relationships/slicerCache" Target="slicerCaches/slicerCache11.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microsoft.com/office/2007/relationships/slicerCache" Target="slicerCaches/slicerCache6.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1.xml"/><Relationship Id="rId32" Type="http://schemas.microsoft.com/office/2007/relationships/slicerCache" Target="slicerCaches/slicerCache9.xml"/><Relationship Id="rId37" Type="http://schemas.microsoft.com/office/2007/relationships/slicerCache" Target="slicerCaches/slicerCache14.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microsoft.com/office/2007/relationships/slicerCache" Target="slicerCaches/slicerCache5.xml"/><Relationship Id="rId36" Type="http://schemas.microsoft.com/office/2007/relationships/slicerCache" Target="slicerCaches/slicerCache13.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microsoft.com/office/2007/relationships/slicerCache" Target="slicerCaches/slicerCache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microsoft.com/office/2007/relationships/slicerCache" Target="slicerCaches/slicerCache4.xml"/><Relationship Id="rId30" Type="http://schemas.microsoft.com/office/2007/relationships/slicerCache" Target="slicerCaches/slicerCache7.xml"/><Relationship Id="rId35" Type="http://schemas.microsoft.com/office/2007/relationships/slicerCache" Target="slicerCaches/slicerCache12.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07/relationships/slicerCache" Target="slicerCaches/slicerCache2.xml"/><Relationship Id="rId33" Type="http://schemas.microsoft.com/office/2007/relationships/slicerCache" Target="slicerCaches/slicerCache10.xml"/><Relationship Id="rId38" Type="http://schemas.microsoft.com/office/2007/relationships/slicerCache" Target="slicerCaches/slicerCache1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8.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9.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90.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1.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2.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3.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4.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5.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6.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7.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8.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9.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100.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1.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2.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3.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5.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6.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7.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8.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9.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10.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11.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10.xml"/><Relationship Id="rId1" Type="http://schemas.microsoft.com/office/2011/relationships/chartStyle" Target="style110.xml"/></Relationships>
</file>

<file path=xl/charts/_rels/chart113.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4.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5.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6.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7.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8.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9.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20.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21.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2.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3.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4.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5.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6.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7.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8.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9.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30.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31.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2.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3.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4.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5.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6.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7.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8.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9.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40.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41.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2.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Number of  women, men, boys and girls benefitting from safe/improved drinking water,r, meeting demand for domestic purposes, at minimum/agreed standards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1"/>
          <c:order val="1"/>
          <c:tx>
            <c:strRef>
              <c:f>HRP!$D$55</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HRP!$B$56:$B$59</c:f>
              <c:strCache>
                <c:ptCount val="4"/>
                <c:pt idx="0">
                  <c:v> Kachin </c:v>
                </c:pt>
                <c:pt idx="1">
                  <c:v> Central Rakhine </c:v>
                </c:pt>
                <c:pt idx="2">
                  <c:v> Northern Rakhine </c:v>
                </c:pt>
                <c:pt idx="3">
                  <c:v> Shan (North) </c:v>
                </c:pt>
              </c:strCache>
            </c:strRef>
          </c:cat>
          <c:val>
            <c:numRef>
              <c:f>HRP!$D$56:$D$59</c:f>
              <c:numCache>
                <c:formatCode>_(* #,##0_);_(* \(#,##0\);_(* "-"??_);_(@_)</c:formatCode>
                <c:ptCount val="4"/>
                <c:pt idx="0">
                  <c:v>52074.799999999988</c:v>
                </c:pt>
                <c:pt idx="1">
                  <c:v>128282</c:v>
                </c:pt>
                <c:pt idx="2">
                  <c:v>11580.999999999998</c:v>
                </c:pt>
                <c:pt idx="3">
                  <c:v>6670.1333333333332</c:v>
                </c:pt>
              </c:numCache>
            </c:numRef>
          </c:val>
          <c:extLst>
            <c:ext xmlns:c16="http://schemas.microsoft.com/office/drawing/2014/chart" uri="{C3380CC4-5D6E-409C-BE32-E72D297353CC}">
              <c16:uniqueId val="{00000001-B753-4CD1-A3E6-F95FDFA8B06B}"/>
            </c:ext>
          </c:extLst>
        </c:ser>
        <c:ser>
          <c:idx val="2"/>
          <c:order val="2"/>
          <c:tx>
            <c:strRef>
              <c:f>HRP!$E$55</c:f>
              <c:strCache>
                <c:ptCount val="1"/>
                <c:pt idx="0">
                  <c:v> Gap </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HRP!$B$56:$B$59</c:f>
              <c:strCache>
                <c:ptCount val="4"/>
                <c:pt idx="0">
                  <c:v> Kachin </c:v>
                </c:pt>
                <c:pt idx="1">
                  <c:v> Central Rakhine </c:v>
                </c:pt>
                <c:pt idx="2">
                  <c:v> Northern Rakhine </c:v>
                </c:pt>
                <c:pt idx="3">
                  <c:v> Shan (North) </c:v>
                </c:pt>
              </c:strCache>
            </c:strRef>
          </c:cat>
          <c:val>
            <c:numRef>
              <c:f>HRP!$E$56:$E$59</c:f>
              <c:numCache>
                <c:formatCode>_(* #,##0_);_(* \(#,##0\);_(* "-"??_);_(@_)</c:formatCode>
                <c:ptCount val="4"/>
                <c:pt idx="0">
                  <c:v>49899.200000000012</c:v>
                </c:pt>
                <c:pt idx="1">
                  <c:v>126190</c:v>
                </c:pt>
                <c:pt idx="2">
                  <c:v>104483</c:v>
                </c:pt>
                <c:pt idx="3">
                  <c:v>8467.8666666666668</c:v>
                </c:pt>
              </c:numCache>
            </c:numRef>
          </c:val>
          <c:extLst>
            <c:ext xmlns:c16="http://schemas.microsoft.com/office/drawing/2014/chart" uri="{C3380CC4-5D6E-409C-BE32-E72D297353CC}">
              <c16:uniqueId val="{00000002-B753-4CD1-A3E6-F95FDFA8B06B}"/>
            </c:ext>
          </c:extLst>
        </c:ser>
        <c:dLbls>
          <c:showLegendKey val="0"/>
          <c:showVal val="0"/>
          <c:showCatName val="0"/>
          <c:showSerName val="0"/>
          <c:showPercent val="0"/>
          <c:showBubbleSize val="0"/>
        </c:dLbls>
        <c:gapWidth val="150"/>
        <c:overlap val="100"/>
        <c:axId val="99914656"/>
        <c:axId val="99911912"/>
        <c:extLst>
          <c:ext xmlns:c15="http://schemas.microsoft.com/office/drawing/2012/chart" uri="{02D57815-91ED-43cb-92C2-25804820EDAC}">
            <c15:filteredBarSeries>
              <c15:ser>
                <c:idx val="0"/>
                <c:order val="0"/>
                <c:tx>
                  <c:strRef>
                    <c:extLst>
                      <c:ext uri="{02D57815-91ED-43cb-92C2-25804820EDAC}">
                        <c15:formulaRef>
                          <c15:sqref>HRP!$C$55</c15:sqref>
                        </c15:formulaRef>
                      </c:ext>
                    </c:extLst>
                    <c:strCache>
                      <c:ptCount val="1"/>
                      <c:pt idx="0">
                        <c:v>Target</c:v>
                      </c:pt>
                    </c:strCache>
                  </c:strRef>
                </c:tx>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a:noFill/>
                  </a:ln>
                  <a:effectLst/>
                </c:spPr>
                <c:invertIfNegative val="0"/>
                <c:cat>
                  <c:strRef>
                    <c:extLst>
                      <c:ext uri="{02D57815-91ED-43cb-92C2-25804820EDAC}">
                        <c15:formulaRef>
                          <c15:sqref>HRP!$B$56:$B$59</c15:sqref>
                        </c15:formulaRef>
                      </c:ext>
                    </c:extLst>
                    <c:strCache>
                      <c:ptCount val="4"/>
                      <c:pt idx="0">
                        <c:v> Kachin </c:v>
                      </c:pt>
                      <c:pt idx="1">
                        <c:v> Central Rakhine </c:v>
                      </c:pt>
                      <c:pt idx="2">
                        <c:v> Northern Rakhine </c:v>
                      </c:pt>
                      <c:pt idx="3">
                        <c:v> Shan (North) </c:v>
                      </c:pt>
                    </c:strCache>
                  </c:strRef>
                </c:cat>
                <c:val>
                  <c:numRef>
                    <c:extLst>
                      <c:ext uri="{02D57815-91ED-43cb-92C2-25804820EDAC}">
                        <c15:formulaRef>
                          <c15:sqref>HRP!$C$56:$C$59</c15:sqref>
                        </c15:formulaRef>
                      </c:ext>
                    </c:extLst>
                    <c:numCache>
                      <c:formatCode>_(* #,##0_);_(* \(#,##0\);_(* "-"??_);_(@_)</c:formatCode>
                      <c:ptCount val="4"/>
                      <c:pt idx="0">
                        <c:v>101974</c:v>
                      </c:pt>
                      <c:pt idx="1">
                        <c:v>254472</c:v>
                      </c:pt>
                      <c:pt idx="2">
                        <c:v>116064</c:v>
                      </c:pt>
                      <c:pt idx="3">
                        <c:v>15138</c:v>
                      </c:pt>
                    </c:numCache>
                  </c:numRef>
                </c:val>
                <c:extLst>
                  <c:ext xmlns:c16="http://schemas.microsoft.com/office/drawing/2014/chart" uri="{C3380CC4-5D6E-409C-BE32-E72D297353CC}">
                    <c16:uniqueId val="{00000000-B753-4CD1-A3E6-F95FDFA8B06B}"/>
                  </c:ext>
                </c:extLst>
              </c15:ser>
            </c15:filteredBarSeries>
          </c:ext>
        </c:extLst>
      </c:barChart>
      <c:catAx>
        <c:axId val="9991465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9911912"/>
        <c:crosses val="autoZero"/>
        <c:auto val="1"/>
        <c:lblAlgn val="ctr"/>
        <c:lblOffset val="100"/>
        <c:noMultiLvlLbl val="0"/>
      </c:catAx>
      <c:valAx>
        <c:axId val="9991191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9914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Number of targeted women, men, boys and girls benefitting from a functional excreta disposal system, reducing safety/public health/environmental risks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6299611433187358"/>
          <c:y val="0.19293936967452446"/>
          <c:w val="0.7620820099429455"/>
          <c:h val="0.58049472233895127"/>
        </c:manualLayout>
      </c:layout>
      <c:barChart>
        <c:barDir val="bar"/>
        <c:grouping val="percentStacked"/>
        <c:varyColors val="0"/>
        <c:ser>
          <c:idx val="1"/>
          <c:order val="1"/>
          <c:tx>
            <c:strRef>
              <c:f>HRP!$D$67</c:f>
              <c:strCache>
                <c:ptCount val="1"/>
                <c:pt idx="0">
                  <c:v>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HRP!$B$68:$B$71</c:f>
              <c:strCache>
                <c:ptCount val="4"/>
                <c:pt idx="0">
                  <c:v> Kachin </c:v>
                </c:pt>
                <c:pt idx="1">
                  <c:v> Central Rakhine </c:v>
                </c:pt>
                <c:pt idx="2">
                  <c:v> Northern Rakhine </c:v>
                </c:pt>
                <c:pt idx="3">
                  <c:v> Shan (North) </c:v>
                </c:pt>
              </c:strCache>
            </c:strRef>
          </c:cat>
          <c:val>
            <c:numRef>
              <c:f>HRP!$D$68:$D$71</c:f>
              <c:numCache>
                <c:formatCode>_(* #,##0_);_(* \(#,##0\);_(* "-"??_);_(@_)</c:formatCode>
                <c:ptCount val="4"/>
                <c:pt idx="0">
                  <c:v>58516</c:v>
                </c:pt>
                <c:pt idx="1">
                  <c:v>90584</c:v>
                </c:pt>
                <c:pt idx="2">
                  <c:v>6825</c:v>
                </c:pt>
                <c:pt idx="3">
                  <c:v>8491</c:v>
                </c:pt>
              </c:numCache>
            </c:numRef>
          </c:val>
          <c:extLst>
            <c:ext xmlns:c16="http://schemas.microsoft.com/office/drawing/2014/chart" uri="{C3380CC4-5D6E-409C-BE32-E72D297353CC}">
              <c16:uniqueId val="{00000001-BE9A-4C55-91C4-9996C6CCA354}"/>
            </c:ext>
          </c:extLst>
        </c:ser>
        <c:ser>
          <c:idx val="2"/>
          <c:order val="2"/>
          <c:tx>
            <c:strRef>
              <c:f>HRP!$E$67</c:f>
              <c:strCache>
                <c:ptCount val="1"/>
                <c:pt idx="0">
                  <c:v>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HRP!$B$68:$B$71</c:f>
              <c:strCache>
                <c:ptCount val="4"/>
                <c:pt idx="0">
                  <c:v> Kachin </c:v>
                </c:pt>
                <c:pt idx="1">
                  <c:v> Central Rakhine </c:v>
                </c:pt>
                <c:pt idx="2">
                  <c:v> Northern Rakhine </c:v>
                </c:pt>
                <c:pt idx="3">
                  <c:v> Shan (North) </c:v>
                </c:pt>
              </c:strCache>
            </c:strRef>
          </c:cat>
          <c:val>
            <c:numRef>
              <c:f>HRP!$E$68:$E$71</c:f>
              <c:numCache>
                <c:formatCode>_(* #,##0_);_(* \(#,##0\);_(* "-"??_);_(@_)</c:formatCode>
                <c:ptCount val="4"/>
                <c:pt idx="0">
                  <c:v>43458</c:v>
                </c:pt>
                <c:pt idx="1">
                  <c:v>163888</c:v>
                </c:pt>
                <c:pt idx="2">
                  <c:v>109239</c:v>
                </c:pt>
                <c:pt idx="3">
                  <c:v>6647</c:v>
                </c:pt>
              </c:numCache>
            </c:numRef>
          </c:val>
          <c:extLst>
            <c:ext xmlns:c16="http://schemas.microsoft.com/office/drawing/2014/chart" uri="{C3380CC4-5D6E-409C-BE32-E72D297353CC}">
              <c16:uniqueId val="{00000002-BE9A-4C55-91C4-9996C6CCA354}"/>
            </c:ext>
          </c:extLst>
        </c:ser>
        <c:dLbls>
          <c:showLegendKey val="0"/>
          <c:showVal val="0"/>
          <c:showCatName val="0"/>
          <c:showSerName val="0"/>
          <c:showPercent val="0"/>
          <c:showBubbleSize val="0"/>
        </c:dLbls>
        <c:gapWidth val="150"/>
        <c:overlap val="100"/>
        <c:axId val="390219480"/>
        <c:axId val="390217128"/>
        <c:extLst>
          <c:ext xmlns:c15="http://schemas.microsoft.com/office/drawing/2012/chart" uri="{02D57815-91ED-43cb-92C2-25804820EDAC}">
            <c15:filteredBarSeries>
              <c15:ser>
                <c:idx val="0"/>
                <c:order val="0"/>
                <c:tx>
                  <c:strRef>
                    <c:extLst>
                      <c:ext uri="{02D57815-91ED-43cb-92C2-25804820EDAC}">
                        <c15:formulaRef>
                          <c15:sqref>HRP!$C$67</c15:sqref>
                        </c15:formulaRef>
                      </c:ext>
                    </c:extLst>
                    <c:strCache>
                      <c:ptCount val="1"/>
                      <c:pt idx="0">
                        <c:v>Target</c:v>
                      </c:pt>
                    </c:strCache>
                  </c:strRef>
                </c:tx>
                <c:spPr>
                  <a:gradFill rotWithShape="1">
                    <a:gsLst>
                      <a:gs pos="0">
                        <a:schemeClr val="accent2">
                          <a:shade val="65000"/>
                          <a:satMod val="103000"/>
                          <a:lumMod val="102000"/>
                          <a:tint val="94000"/>
                        </a:schemeClr>
                      </a:gs>
                      <a:gs pos="50000">
                        <a:schemeClr val="accent2">
                          <a:shade val="65000"/>
                          <a:satMod val="110000"/>
                          <a:lumMod val="100000"/>
                          <a:shade val="100000"/>
                        </a:schemeClr>
                      </a:gs>
                      <a:gs pos="100000">
                        <a:schemeClr val="accent2">
                          <a:shade val="65000"/>
                          <a:lumMod val="99000"/>
                          <a:satMod val="120000"/>
                          <a:shade val="78000"/>
                        </a:schemeClr>
                      </a:gs>
                    </a:gsLst>
                    <a:lin ang="5400000" scaled="0"/>
                  </a:gradFill>
                  <a:ln>
                    <a:noFill/>
                  </a:ln>
                  <a:effectLst/>
                </c:spPr>
                <c:invertIfNegative val="0"/>
                <c:cat>
                  <c:strRef>
                    <c:extLst>
                      <c:ext uri="{02D57815-91ED-43cb-92C2-25804820EDAC}">
                        <c15:formulaRef>
                          <c15:sqref>HRP!$B$68:$B$71</c15:sqref>
                        </c15:formulaRef>
                      </c:ext>
                    </c:extLst>
                    <c:strCache>
                      <c:ptCount val="4"/>
                      <c:pt idx="0">
                        <c:v> Kachin </c:v>
                      </c:pt>
                      <c:pt idx="1">
                        <c:v> Central Rakhine </c:v>
                      </c:pt>
                      <c:pt idx="2">
                        <c:v> Northern Rakhine </c:v>
                      </c:pt>
                      <c:pt idx="3">
                        <c:v> Shan (North) </c:v>
                      </c:pt>
                    </c:strCache>
                  </c:strRef>
                </c:cat>
                <c:val>
                  <c:numRef>
                    <c:extLst>
                      <c:ext uri="{02D57815-91ED-43cb-92C2-25804820EDAC}">
                        <c15:formulaRef>
                          <c15:sqref>HRP!$C$68:$C$71</c15:sqref>
                        </c15:formulaRef>
                      </c:ext>
                    </c:extLst>
                    <c:numCache>
                      <c:formatCode>_(* #,##0_);_(* \(#,##0\);_(* "-"??_);_(@_)</c:formatCode>
                      <c:ptCount val="4"/>
                      <c:pt idx="0">
                        <c:v>101974</c:v>
                      </c:pt>
                      <c:pt idx="1">
                        <c:v>254472</c:v>
                      </c:pt>
                      <c:pt idx="2">
                        <c:v>116064</c:v>
                      </c:pt>
                      <c:pt idx="3">
                        <c:v>15138</c:v>
                      </c:pt>
                    </c:numCache>
                  </c:numRef>
                </c:val>
                <c:extLst>
                  <c:ext xmlns:c16="http://schemas.microsoft.com/office/drawing/2014/chart" uri="{C3380CC4-5D6E-409C-BE32-E72D297353CC}">
                    <c16:uniqueId val="{00000000-BE9A-4C55-91C4-9996C6CCA354}"/>
                  </c:ext>
                </c:extLst>
              </c15:ser>
            </c15:filteredBarSeries>
          </c:ext>
        </c:extLst>
      </c:barChart>
      <c:catAx>
        <c:axId val="39021948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0217128"/>
        <c:crosses val="autoZero"/>
        <c:auto val="1"/>
        <c:lblAlgn val="ctr"/>
        <c:lblOffset val="100"/>
        <c:noMultiLvlLbl val="0"/>
      </c:catAx>
      <c:valAx>
        <c:axId val="390217128"/>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0219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Number of targeted women, men, boys and girls benefitting from timely/adequate/tailored personal hygiene items and receiving appropriate/ community tailored messages that enable health seeking behavior</a:t>
            </a:r>
          </a:p>
        </c:rich>
      </c:tx>
      <c:layout>
        <c:manualLayout>
          <c:xMode val="edge"/>
          <c:yMode val="edge"/>
          <c:x val="0.13180928042000772"/>
          <c:y val="4.7888133320563167E-3"/>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3512356211607784"/>
          <c:y val="0.21587074342979853"/>
          <c:w val="0.80948758650145791"/>
          <c:h val="0.57773696848499989"/>
        </c:manualLayout>
      </c:layout>
      <c:barChart>
        <c:barDir val="bar"/>
        <c:grouping val="percentStacked"/>
        <c:varyColors val="0"/>
        <c:ser>
          <c:idx val="1"/>
          <c:order val="1"/>
          <c:tx>
            <c:strRef>
              <c:f>HRP!$D$78</c:f>
              <c:strCache>
                <c:ptCount val="1"/>
                <c:pt idx="0">
                  <c:v>Coverage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HRP!$B$79:$B$82</c:f>
              <c:strCache>
                <c:ptCount val="4"/>
                <c:pt idx="0">
                  <c:v> Kachin </c:v>
                </c:pt>
                <c:pt idx="1">
                  <c:v> Central Rakhine </c:v>
                </c:pt>
                <c:pt idx="2">
                  <c:v> Northern Rakhine </c:v>
                </c:pt>
                <c:pt idx="3">
                  <c:v> Shan (North) </c:v>
                </c:pt>
              </c:strCache>
            </c:strRef>
          </c:cat>
          <c:val>
            <c:numRef>
              <c:f>HRP!$D$79:$D$82</c:f>
              <c:numCache>
                <c:formatCode>_(* #,##0_);_(* \(#,##0\);_(* "-"??_);_(@_)</c:formatCode>
                <c:ptCount val="4"/>
                <c:pt idx="0">
                  <c:v>57182</c:v>
                </c:pt>
                <c:pt idx="1">
                  <c:v>146950</c:v>
                </c:pt>
                <c:pt idx="2">
                  <c:v>74895</c:v>
                </c:pt>
                <c:pt idx="3">
                  <c:v>7911</c:v>
                </c:pt>
              </c:numCache>
            </c:numRef>
          </c:val>
          <c:extLst>
            <c:ext xmlns:c16="http://schemas.microsoft.com/office/drawing/2014/chart" uri="{C3380CC4-5D6E-409C-BE32-E72D297353CC}">
              <c16:uniqueId val="{00000001-DB15-4E31-852A-C011D1892EB1}"/>
            </c:ext>
          </c:extLst>
        </c:ser>
        <c:ser>
          <c:idx val="2"/>
          <c:order val="2"/>
          <c:tx>
            <c:strRef>
              <c:f>HRP!$E$78</c:f>
              <c:strCache>
                <c:ptCount val="1"/>
                <c:pt idx="0">
                  <c:v>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HRP!$B$79:$B$82</c:f>
              <c:strCache>
                <c:ptCount val="4"/>
                <c:pt idx="0">
                  <c:v> Kachin </c:v>
                </c:pt>
                <c:pt idx="1">
                  <c:v> Central Rakhine </c:v>
                </c:pt>
                <c:pt idx="2">
                  <c:v> Northern Rakhine </c:v>
                </c:pt>
                <c:pt idx="3">
                  <c:v> Shan (North) </c:v>
                </c:pt>
              </c:strCache>
            </c:strRef>
          </c:cat>
          <c:val>
            <c:numRef>
              <c:f>HRP!$E$79:$E$82</c:f>
              <c:numCache>
                <c:formatCode>_(* #,##0_);_(* \(#,##0\);_(* "-"??_);_(@_)</c:formatCode>
                <c:ptCount val="4"/>
                <c:pt idx="0">
                  <c:v>44792</c:v>
                </c:pt>
                <c:pt idx="1">
                  <c:v>107522</c:v>
                </c:pt>
                <c:pt idx="2">
                  <c:v>41169</c:v>
                </c:pt>
                <c:pt idx="3">
                  <c:v>7227</c:v>
                </c:pt>
              </c:numCache>
            </c:numRef>
          </c:val>
          <c:extLst>
            <c:ext xmlns:c16="http://schemas.microsoft.com/office/drawing/2014/chart" uri="{C3380CC4-5D6E-409C-BE32-E72D297353CC}">
              <c16:uniqueId val="{00000002-DB15-4E31-852A-C011D1892EB1}"/>
            </c:ext>
          </c:extLst>
        </c:ser>
        <c:dLbls>
          <c:showLegendKey val="0"/>
          <c:showVal val="0"/>
          <c:showCatName val="0"/>
          <c:showSerName val="0"/>
          <c:showPercent val="0"/>
          <c:showBubbleSize val="0"/>
        </c:dLbls>
        <c:gapWidth val="150"/>
        <c:overlap val="100"/>
        <c:axId val="390218696"/>
        <c:axId val="390219088"/>
        <c:extLst>
          <c:ext xmlns:c15="http://schemas.microsoft.com/office/drawing/2012/chart" uri="{02D57815-91ED-43cb-92C2-25804820EDAC}">
            <c15:filteredBarSeries>
              <c15:ser>
                <c:idx val="0"/>
                <c:order val="0"/>
                <c:tx>
                  <c:strRef>
                    <c:extLst>
                      <c:ext uri="{02D57815-91ED-43cb-92C2-25804820EDAC}">
                        <c15:formulaRef>
                          <c15:sqref>HRP!$C$78</c15:sqref>
                        </c15:formulaRef>
                      </c:ext>
                    </c:extLst>
                    <c:strCache>
                      <c:ptCount val="1"/>
                      <c:pt idx="0">
                        <c:v>Target</c:v>
                      </c:pt>
                    </c:strCache>
                  </c:strRef>
                </c:tx>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c:spPr>
                <c:invertIfNegative val="0"/>
                <c:cat>
                  <c:strRef>
                    <c:extLst>
                      <c:ext uri="{02D57815-91ED-43cb-92C2-25804820EDAC}">
                        <c15:formulaRef>
                          <c15:sqref>HRP!$B$79:$B$82</c15:sqref>
                        </c15:formulaRef>
                      </c:ext>
                    </c:extLst>
                    <c:strCache>
                      <c:ptCount val="4"/>
                      <c:pt idx="0">
                        <c:v> Kachin </c:v>
                      </c:pt>
                      <c:pt idx="1">
                        <c:v> Central Rakhine </c:v>
                      </c:pt>
                      <c:pt idx="2">
                        <c:v> Northern Rakhine </c:v>
                      </c:pt>
                      <c:pt idx="3">
                        <c:v> Shan (North) </c:v>
                      </c:pt>
                    </c:strCache>
                  </c:strRef>
                </c:cat>
                <c:val>
                  <c:numRef>
                    <c:extLst>
                      <c:ext uri="{02D57815-91ED-43cb-92C2-25804820EDAC}">
                        <c15:formulaRef>
                          <c15:sqref>HRP!$C$79:$C$82</c15:sqref>
                        </c15:formulaRef>
                      </c:ext>
                    </c:extLst>
                    <c:numCache>
                      <c:formatCode>_(* #,##0_);_(* \(#,##0\);_(* "-"??_);_(@_)</c:formatCode>
                      <c:ptCount val="4"/>
                      <c:pt idx="0">
                        <c:v>101974</c:v>
                      </c:pt>
                      <c:pt idx="1">
                        <c:v>254472</c:v>
                      </c:pt>
                      <c:pt idx="2">
                        <c:v>116064</c:v>
                      </c:pt>
                      <c:pt idx="3">
                        <c:v>15138</c:v>
                      </c:pt>
                    </c:numCache>
                  </c:numRef>
                </c:val>
                <c:extLst>
                  <c:ext xmlns:c16="http://schemas.microsoft.com/office/drawing/2014/chart" uri="{C3380CC4-5D6E-409C-BE32-E72D297353CC}">
                    <c16:uniqueId val="{00000000-DB15-4E31-852A-C011D1892EB1}"/>
                  </c:ext>
                </c:extLst>
              </c15:ser>
            </c15:filteredBarSeries>
          </c:ext>
        </c:extLst>
      </c:barChart>
      <c:catAx>
        <c:axId val="39021869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0219088"/>
        <c:crosses val="autoZero"/>
        <c:auto val="1"/>
        <c:lblAlgn val="ctr"/>
        <c:lblOffset val="100"/>
        <c:noMultiLvlLbl val="0"/>
      </c:catAx>
      <c:valAx>
        <c:axId val="390219088"/>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0218696"/>
        <c:crosses val="autoZero"/>
        <c:crossBetween val="between"/>
      </c:valAx>
      <c:spPr>
        <a:noFill/>
        <a:ln>
          <a:noFill/>
        </a:ln>
        <a:effectLst/>
      </c:spPr>
    </c:plotArea>
    <c:legend>
      <c:legendPos val="b"/>
      <c:layout>
        <c:manualLayout>
          <c:xMode val="edge"/>
          <c:yMode val="edge"/>
          <c:x val="0.41884453703817848"/>
          <c:y val="0.89252574488794967"/>
          <c:w val="0.18993918158000264"/>
          <c:h val="0.101461749099544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Number of ppl covered against 2019 HRP targets</a:t>
            </a:r>
            <a:endParaRPr lang="en-US" sz="14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400">
                <a:solidFill>
                  <a:srgbClr val="44546A"/>
                </a:solidFill>
              </a:defRPr>
            </a:pPr>
            <a:r>
              <a:rPr lang="en-US" sz="1400"/>
              <a:t> (in</a:t>
            </a:r>
            <a:r>
              <a:rPr lang="en-US" sz="1400" baseline="0"/>
              <a:t> IDP camps)</a:t>
            </a:r>
            <a:endParaRPr lang="en-US" sz="1400"/>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barChart>
        <c:barDir val="bar"/>
        <c:grouping val="percentStacked"/>
        <c:varyColors val="0"/>
        <c:ser>
          <c:idx val="0"/>
          <c:order val="0"/>
          <c:tx>
            <c:strRef>
              <c:f>HRP!$H$100</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1-2660-42A2-A9AF-58CA2E072A26}"/>
              </c:ext>
            </c:extLst>
          </c:dPt>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3-2660-42A2-A9AF-58CA2E072A2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HRP!$F$101:$F$103</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HRP!$H$101:$H$103</c:f>
              <c:numCache>
                <c:formatCode>_(* #,##0_);_(* \(#,##0\);_(* "-"??_);_(@_)</c:formatCode>
                <c:ptCount val="3"/>
                <c:pt idx="0">
                  <c:v>180761</c:v>
                </c:pt>
                <c:pt idx="1">
                  <c:v>144739</c:v>
                </c:pt>
                <c:pt idx="2">
                  <c:v>166322.93333333332</c:v>
                </c:pt>
              </c:numCache>
            </c:numRef>
          </c:val>
          <c:extLst>
            <c:ext xmlns:c16="http://schemas.microsoft.com/office/drawing/2014/chart" uri="{C3380CC4-5D6E-409C-BE32-E72D297353CC}">
              <c16:uniqueId val="{00000001-CAD5-4496-BE8A-D440D686860E}"/>
            </c:ext>
          </c:extLst>
        </c:ser>
        <c:ser>
          <c:idx val="1"/>
          <c:order val="1"/>
          <c:tx>
            <c:strRef>
              <c:f>HRP!$I$100</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5-2660-42A2-A9AF-58CA2E072A26}"/>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7-2660-42A2-A9AF-58CA2E072A2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HRP!$F$101:$F$103</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HRP!$I$101:$I$103</c:f>
              <c:numCache>
                <c:formatCode>_(* #,##0_);_(* \(#,##0\);_(* "-"??_);_(@_)</c:formatCode>
                <c:ptCount val="3"/>
                <c:pt idx="0">
                  <c:v>22685</c:v>
                </c:pt>
                <c:pt idx="1">
                  <c:v>58707</c:v>
                </c:pt>
                <c:pt idx="2">
                  <c:v>37123.06666666668</c:v>
                </c:pt>
              </c:numCache>
            </c:numRef>
          </c:val>
          <c:extLst>
            <c:ext xmlns:c16="http://schemas.microsoft.com/office/drawing/2014/chart" uri="{C3380CC4-5D6E-409C-BE32-E72D297353CC}">
              <c16:uniqueId val="{00000008-2660-42A2-A9AF-58CA2E072A26}"/>
            </c:ext>
          </c:extLst>
        </c:ser>
        <c:dLbls>
          <c:showLegendKey val="0"/>
          <c:showVal val="0"/>
          <c:showCatName val="0"/>
          <c:showSerName val="0"/>
          <c:showPercent val="0"/>
          <c:showBubbleSize val="0"/>
        </c:dLbls>
        <c:gapWidth val="150"/>
        <c:overlap val="100"/>
        <c:axId val="390221832"/>
        <c:axId val="390222224"/>
      </c:barChart>
      <c:catAx>
        <c:axId val="39022183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0222224"/>
        <c:crosses val="autoZero"/>
        <c:auto val="1"/>
        <c:lblAlgn val="ctr"/>
        <c:lblOffset val="100"/>
        <c:noMultiLvlLbl val="0"/>
      </c:catAx>
      <c:valAx>
        <c:axId val="390222224"/>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0221832"/>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Kachin  Number of ppl Covered against 2019 HRP targets</a:t>
            </a:r>
            <a:endParaRPr lang="en-US" sz="1400">
              <a:effectLst/>
            </a:endParaRPr>
          </a:p>
          <a:p>
            <a:pPr>
              <a:defRPr sz="1400"/>
            </a:pPr>
            <a:r>
              <a:rPr lang="en-US" sz="1400" b="1" i="0" baseline="0">
                <a:effectLst/>
              </a:rPr>
              <a:t> (in IDP camps)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HRP!$H$114</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1-E8A8-4037-987C-1EFA4CA8A785}"/>
              </c:ext>
            </c:extLst>
          </c:dPt>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3-E8A8-4037-987C-1EFA4CA8A785}"/>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HRP!$F$115:$F$117</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HRP!$H$115:$H$117</c:f>
              <c:numCache>
                <c:formatCode>_(* #,##0_);_(* \(#,##0\);_(* "-"??_);_(@_)</c:formatCode>
                <c:ptCount val="3"/>
                <c:pt idx="0">
                  <c:v>57182</c:v>
                </c:pt>
                <c:pt idx="1">
                  <c:v>58516</c:v>
                </c:pt>
                <c:pt idx="2">
                  <c:v>52074.799999999996</c:v>
                </c:pt>
              </c:numCache>
            </c:numRef>
          </c:val>
          <c:extLst>
            <c:ext xmlns:c16="http://schemas.microsoft.com/office/drawing/2014/chart" uri="{C3380CC4-5D6E-409C-BE32-E72D297353CC}">
              <c16:uniqueId val="{00000008-E8A8-4037-987C-1EFA4CA8A785}"/>
            </c:ext>
          </c:extLst>
        </c:ser>
        <c:ser>
          <c:idx val="1"/>
          <c:order val="1"/>
          <c:tx>
            <c:strRef>
              <c:f>HRP!$I$114</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A-E8A8-4037-987C-1EFA4CA8A785}"/>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C-E8A8-4037-987C-1EFA4CA8A785}"/>
              </c:ext>
            </c:extLst>
          </c:dPt>
          <c:dLbls>
            <c:dLbl>
              <c:idx val="2"/>
              <c:layout>
                <c:manualLayout>
                  <c:x val="1.6660959959908744E-3"/>
                  <c:y val="2.9754632058201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A8-4037-987C-1EFA4CA8A78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HRP!$F$115:$F$117</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HRP!$I$115:$I$117</c:f>
              <c:numCache>
                <c:formatCode>_(* #,##0_);_(* \(#,##0\);_(* "-"??_);_(@_)</c:formatCode>
                <c:ptCount val="3"/>
                <c:pt idx="0">
                  <c:v>26551</c:v>
                </c:pt>
                <c:pt idx="1">
                  <c:v>25217</c:v>
                </c:pt>
                <c:pt idx="2">
                  <c:v>31658.200000000004</c:v>
                </c:pt>
              </c:numCache>
            </c:numRef>
          </c:val>
          <c:extLst>
            <c:ext xmlns:c16="http://schemas.microsoft.com/office/drawing/2014/chart" uri="{C3380CC4-5D6E-409C-BE32-E72D297353CC}">
              <c16:uniqueId val="{00000013-E8A8-4037-987C-1EFA4CA8A785}"/>
            </c:ext>
          </c:extLst>
        </c:ser>
        <c:dLbls>
          <c:showLegendKey val="0"/>
          <c:showVal val="0"/>
          <c:showCatName val="0"/>
          <c:showSerName val="0"/>
          <c:showPercent val="0"/>
          <c:showBubbleSize val="0"/>
        </c:dLbls>
        <c:gapWidth val="150"/>
        <c:overlap val="100"/>
        <c:axId val="390215952"/>
        <c:axId val="390216344"/>
      </c:barChart>
      <c:catAx>
        <c:axId val="39021595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0216344"/>
        <c:crosses val="autoZero"/>
        <c:auto val="1"/>
        <c:lblAlgn val="ctr"/>
        <c:lblOffset val="100"/>
        <c:noMultiLvlLbl val="0"/>
      </c:catAx>
      <c:valAx>
        <c:axId val="390216344"/>
        <c:scaling>
          <c:orientation val="minMax"/>
          <c:max val="1"/>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0215952"/>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Rakhine Number of ppl Covered</a:t>
            </a:r>
            <a:r>
              <a:rPr lang="en-US" sz="1400" baseline="0"/>
              <a:t> against 2019 HRP targets</a:t>
            </a:r>
          </a:p>
          <a:p>
            <a:pPr>
              <a:defRPr sz="1400"/>
            </a:pPr>
            <a:r>
              <a:rPr lang="en-US" sz="1400"/>
              <a:t> (in</a:t>
            </a:r>
            <a:r>
              <a:rPr lang="en-US" sz="1400" baseline="0"/>
              <a:t> IDP camps)</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HRP!$H$128</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1-E308-4CE9-A15B-A8FE38957C12}"/>
              </c:ext>
            </c:extLst>
          </c:dPt>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3-E308-4CE9-A15B-A8FE38957C12}"/>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HRP!$F$129:$F$131</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HRP!$H$129:$H$131</c:f>
              <c:numCache>
                <c:formatCode>_(* #,##0_);_(* \(#,##0\);_(* "-"??_);_(@_)</c:formatCode>
                <c:ptCount val="3"/>
                <c:pt idx="0">
                  <c:v>116532</c:v>
                </c:pt>
                <c:pt idx="1">
                  <c:v>78732</c:v>
                </c:pt>
                <c:pt idx="2">
                  <c:v>107578</c:v>
                </c:pt>
              </c:numCache>
            </c:numRef>
          </c:val>
          <c:extLst>
            <c:ext xmlns:c16="http://schemas.microsoft.com/office/drawing/2014/chart" uri="{C3380CC4-5D6E-409C-BE32-E72D297353CC}">
              <c16:uniqueId val="{00000008-E308-4CE9-A15B-A8FE38957C12}"/>
            </c:ext>
          </c:extLst>
        </c:ser>
        <c:ser>
          <c:idx val="1"/>
          <c:order val="1"/>
          <c:tx>
            <c:strRef>
              <c:f>HRP!$I$128</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A-E308-4CE9-A15B-A8FE38957C12}"/>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C-E308-4CE9-A15B-A8FE38957C12}"/>
              </c:ext>
            </c:extLst>
          </c:dPt>
          <c:dLbls>
            <c:dLbl>
              <c:idx val="0"/>
              <c:delete val="1"/>
              <c:extLst>
                <c:ext xmlns:c15="http://schemas.microsoft.com/office/drawing/2012/chart" uri="{CE6537A1-D6FC-4f65-9D91-7224C49458BB}"/>
                <c:ext xmlns:c16="http://schemas.microsoft.com/office/drawing/2014/chart" uri="{C3380CC4-5D6E-409C-BE32-E72D297353CC}">
                  <c16:uniqueId val="{0000000A-E308-4CE9-A15B-A8FE38957C12}"/>
                </c:ext>
              </c:extLst>
            </c:dLbl>
            <c:dLbl>
              <c:idx val="2"/>
              <c:layout>
                <c:manualLayout>
                  <c:x val="-1.2107536113273226E-16"/>
                  <c:y val="-2.811212887839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308-4CE9-A15B-A8FE38957C1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HRP!$F$129:$F$131</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HRP!$I$129:$I$131</c:f>
              <c:numCache>
                <c:formatCode>_(* #,##0_);_(* \(#,##0\);_(* "-"??_);_(@_)</c:formatCode>
                <c:ptCount val="3"/>
                <c:pt idx="0">
                  <c:v>5473</c:v>
                </c:pt>
                <c:pt idx="1">
                  <c:v>32327</c:v>
                </c:pt>
                <c:pt idx="2">
                  <c:v>3481</c:v>
                </c:pt>
              </c:numCache>
            </c:numRef>
          </c:val>
          <c:extLst>
            <c:ext xmlns:c16="http://schemas.microsoft.com/office/drawing/2014/chart" uri="{C3380CC4-5D6E-409C-BE32-E72D297353CC}">
              <c16:uniqueId val="{00000013-E308-4CE9-A15B-A8FE38957C12}"/>
            </c:ext>
          </c:extLst>
        </c:ser>
        <c:dLbls>
          <c:showLegendKey val="0"/>
          <c:showVal val="0"/>
          <c:showCatName val="0"/>
          <c:showSerName val="0"/>
          <c:showPercent val="0"/>
          <c:showBubbleSize val="0"/>
        </c:dLbls>
        <c:gapWidth val="150"/>
        <c:overlap val="100"/>
        <c:axId val="390217520"/>
        <c:axId val="391605888"/>
      </c:barChart>
      <c:catAx>
        <c:axId val="39021752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1605888"/>
        <c:crosses val="autoZero"/>
        <c:auto val="1"/>
        <c:lblAlgn val="ctr"/>
        <c:lblOffset val="100"/>
        <c:noMultiLvlLbl val="0"/>
      </c:catAx>
      <c:valAx>
        <c:axId val="391605888"/>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0217520"/>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Shan Number of ppl Covered against 2019 HRP targets</a:t>
            </a:r>
            <a:endParaRPr lang="en-US" sz="1400">
              <a:effectLst/>
            </a:endParaRPr>
          </a:p>
          <a:p>
            <a:pPr>
              <a:defRPr sz="1400"/>
            </a:pPr>
            <a:r>
              <a:rPr lang="en-US" sz="1400" b="1" i="0" baseline="0">
                <a:effectLst/>
              </a:rPr>
              <a:t> (in IDP camps)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HRP!$H$141</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5-9CB2-4CA1-B9B8-76D1655698A1}"/>
              </c:ext>
            </c:extLst>
          </c:dPt>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6-9CB2-4CA1-B9B8-76D1655698A1}"/>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HRP!$F$142:$F$144</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HRP!$H$142:$H$144</c:f>
              <c:numCache>
                <c:formatCode>_(* #,##0_);_(* \(#,##0\);_(* "-"??_);_(@_)</c:formatCode>
                <c:ptCount val="3"/>
                <c:pt idx="0">
                  <c:v>7047</c:v>
                </c:pt>
                <c:pt idx="1">
                  <c:v>7491</c:v>
                </c:pt>
                <c:pt idx="2">
                  <c:v>6670.1333333333332</c:v>
                </c:pt>
              </c:numCache>
            </c:numRef>
          </c:val>
          <c:extLst>
            <c:ext xmlns:c16="http://schemas.microsoft.com/office/drawing/2014/chart" uri="{C3380CC4-5D6E-409C-BE32-E72D297353CC}">
              <c16:uniqueId val="{00000001-0CB7-4264-A3F9-A84426FA15A3}"/>
            </c:ext>
          </c:extLst>
        </c:ser>
        <c:ser>
          <c:idx val="1"/>
          <c:order val="1"/>
          <c:tx>
            <c:strRef>
              <c:f>HRP!$I$141</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E-9CB2-4CA1-B9B8-76D1655698A1}"/>
              </c:ext>
            </c:extLst>
          </c:dPt>
          <c:dPt>
            <c:idx val="1"/>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F-9CB2-4CA1-B9B8-76D1655698A1}"/>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HRP!$F$142:$F$144</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HRP!$I$142:$I$144</c:f>
              <c:numCache>
                <c:formatCode>_(* #,##0_);_(* \(#,##0\);_(* "-"??_);_(@_)</c:formatCode>
                <c:ptCount val="3"/>
                <c:pt idx="0">
                  <c:v>1607</c:v>
                </c:pt>
                <c:pt idx="1">
                  <c:v>1163</c:v>
                </c:pt>
                <c:pt idx="2">
                  <c:v>1983.8666666666668</c:v>
                </c:pt>
              </c:numCache>
            </c:numRef>
          </c:val>
          <c:extLst>
            <c:ext xmlns:c16="http://schemas.microsoft.com/office/drawing/2014/chart" uri="{C3380CC4-5D6E-409C-BE32-E72D297353CC}">
              <c16:uniqueId val="{00000002-0CB7-4264-A3F9-A84426FA15A3}"/>
            </c:ext>
          </c:extLst>
        </c:ser>
        <c:dLbls>
          <c:showLegendKey val="0"/>
          <c:showVal val="0"/>
          <c:showCatName val="0"/>
          <c:showSerName val="0"/>
          <c:showPercent val="0"/>
          <c:showBubbleSize val="0"/>
        </c:dLbls>
        <c:gapWidth val="150"/>
        <c:overlap val="100"/>
        <c:axId val="391609024"/>
        <c:axId val="391603928"/>
      </c:barChart>
      <c:catAx>
        <c:axId val="39160902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1603928"/>
        <c:crosses val="autoZero"/>
        <c:auto val="1"/>
        <c:lblAlgn val="ctr"/>
        <c:lblOffset val="100"/>
        <c:noMultiLvlLbl val="0"/>
      </c:catAx>
      <c:valAx>
        <c:axId val="391603928"/>
        <c:scaling>
          <c:orientation val="minMax"/>
          <c:max val="1"/>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16090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Number of ppl covered against 2019 HRP targets</a:t>
            </a:r>
            <a:endParaRPr lang="en-US" sz="14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400">
                <a:solidFill>
                  <a:srgbClr val="44546A"/>
                </a:solidFill>
              </a:defRPr>
            </a:pPr>
            <a:r>
              <a:rPr lang="en-US" sz="1400"/>
              <a:t> (Non-IDP</a:t>
            </a:r>
            <a:r>
              <a:rPr lang="en-US" sz="1400" baseline="0"/>
              <a:t>)</a:t>
            </a:r>
            <a:endParaRPr lang="en-US" sz="1400"/>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barChart>
        <c:barDir val="bar"/>
        <c:grouping val="percentStacked"/>
        <c:varyColors val="0"/>
        <c:ser>
          <c:idx val="0"/>
          <c:order val="0"/>
          <c:tx>
            <c:strRef>
              <c:f>HRP!$X$100</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1-3FE3-484D-8596-F3C5C9549EEA}"/>
              </c:ext>
            </c:extLst>
          </c:dPt>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3-3FE3-484D-8596-F3C5C9549E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HRP!$V$101:$V$103</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HRP!$X$101:$X$103</c:f>
              <c:numCache>
                <c:formatCode>_(* #,##0_);_(* \(#,##0\);_(* "-"??_);_(@_)</c:formatCode>
                <c:ptCount val="3"/>
                <c:pt idx="0">
                  <c:v>91151</c:v>
                </c:pt>
                <c:pt idx="1">
                  <c:v>10584</c:v>
                </c:pt>
                <c:pt idx="2">
                  <c:v>32113</c:v>
                </c:pt>
              </c:numCache>
            </c:numRef>
          </c:val>
          <c:extLst>
            <c:ext xmlns:c16="http://schemas.microsoft.com/office/drawing/2014/chart" uri="{C3380CC4-5D6E-409C-BE32-E72D297353CC}">
              <c16:uniqueId val="{00000000-851F-45C7-9C99-A7FF6B6487FE}"/>
            </c:ext>
          </c:extLst>
        </c:ser>
        <c:ser>
          <c:idx val="1"/>
          <c:order val="1"/>
          <c:tx>
            <c:strRef>
              <c:f>HRP!$Y$100</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5-3FE3-484D-8596-F3C5C9549EEA}"/>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7-3FE3-484D-8596-F3C5C9549E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HRP!$V$101:$V$103</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HRP!$Y$101:$Y$103</c:f>
              <c:numCache>
                <c:formatCode>_(* #,##0_);_(* \(#,##0\);_(* "-"??_);_(@_)</c:formatCode>
                <c:ptCount val="3"/>
                <c:pt idx="0">
                  <c:v>193051</c:v>
                </c:pt>
                <c:pt idx="1">
                  <c:v>273618</c:v>
                </c:pt>
                <c:pt idx="2">
                  <c:v>252089</c:v>
                </c:pt>
              </c:numCache>
            </c:numRef>
          </c:val>
          <c:extLst>
            <c:ext xmlns:c16="http://schemas.microsoft.com/office/drawing/2014/chart" uri="{C3380CC4-5D6E-409C-BE32-E72D297353CC}">
              <c16:uniqueId val="{00000001-851F-45C7-9C99-A7FF6B6487FE}"/>
            </c:ext>
          </c:extLst>
        </c:ser>
        <c:dLbls>
          <c:showLegendKey val="0"/>
          <c:showVal val="0"/>
          <c:showCatName val="0"/>
          <c:showSerName val="0"/>
          <c:showPercent val="0"/>
          <c:showBubbleSize val="0"/>
        </c:dLbls>
        <c:gapWidth val="150"/>
        <c:overlap val="100"/>
        <c:axId val="391607064"/>
        <c:axId val="391607456"/>
      </c:barChart>
      <c:catAx>
        <c:axId val="39160706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1607456"/>
        <c:crosses val="autoZero"/>
        <c:auto val="1"/>
        <c:lblAlgn val="ctr"/>
        <c:lblOffset val="100"/>
        <c:noMultiLvlLbl val="0"/>
      </c:catAx>
      <c:valAx>
        <c:axId val="391607456"/>
        <c:scaling>
          <c:orientation val="minMax"/>
          <c:max val="1"/>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160706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Rakhine Number of ppl Covered against 2019 HRP targets</a:t>
            </a:r>
            <a:endParaRPr lang="en-US" sz="14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400">
                <a:solidFill>
                  <a:srgbClr val="44546A"/>
                </a:solidFill>
              </a:defRPr>
            </a:pPr>
            <a:r>
              <a:rPr lang="en-US" sz="1400"/>
              <a:t>(Village)</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barChart>
        <c:barDir val="bar"/>
        <c:grouping val="percentStacked"/>
        <c:varyColors val="0"/>
        <c:ser>
          <c:idx val="0"/>
          <c:order val="0"/>
          <c:tx>
            <c:strRef>
              <c:f>HRP!$X$128</c:f>
              <c:strCache>
                <c:ptCount val="1"/>
                <c:pt idx="0">
                  <c:v>Coverage</c:v>
                </c:pt>
              </c:strCache>
            </c:strRef>
          </c:tx>
          <c:spPr>
            <a:solidFill>
              <a:schemeClr val="accent6">
                <a:lumMod val="75000"/>
              </a:schemeClr>
            </a:solidFill>
            <a:ln>
              <a:noFill/>
            </a:ln>
            <a:effectLst/>
          </c:spPr>
          <c:invertIfNegative val="0"/>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0-057D-42B2-9B65-739548585F31}"/>
              </c:ext>
            </c:extLst>
          </c:dPt>
          <c:dPt>
            <c:idx val="2"/>
            <c:invertIfNegative val="0"/>
            <c:bubble3D val="0"/>
            <c:spPr>
              <a:solidFill>
                <a:srgbClr val="0070C0"/>
              </a:solidFill>
              <a:ln>
                <a:noFill/>
              </a:ln>
              <a:effectLst/>
            </c:spPr>
            <c:extLst>
              <c:ext xmlns:c16="http://schemas.microsoft.com/office/drawing/2014/chart" uri="{C3380CC4-5D6E-409C-BE32-E72D297353CC}">
                <c16:uniqueId val="{00000003-D536-49CF-BBEC-F0AB19A3C655}"/>
              </c:ext>
            </c:extLst>
          </c:dPt>
          <c:dLbls>
            <c:dLbl>
              <c:idx val="1"/>
              <c:layout>
                <c:manualLayout>
                  <c:x val="1.9856577800545012E-2"/>
                  <c:y val="-3.2216772711430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7D-42B2-9B65-739548585F31}"/>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HRP!$V$129:$V$131</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HRP!$X$129:$X$131</c:f>
              <c:numCache>
                <c:formatCode>_(* #,##0_);_(* \(#,##0\);_(* "-"??_);_(@_)</c:formatCode>
                <c:ptCount val="3"/>
                <c:pt idx="0">
                  <c:v>91151</c:v>
                </c:pt>
                <c:pt idx="1">
                  <c:v>10584</c:v>
                </c:pt>
                <c:pt idx="2">
                  <c:v>32113</c:v>
                </c:pt>
              </c:numCache>
            </c:numRef>
          </c:val>
          <c:extLst>
            <c:ext xmlns:c16="http://schemas.microsoft.com/office/drawing/2014/chart" uri="{C3380CC4-5D6E-409C-BE32-E72D297353CC}">
              <c16:uniqueId val="{00000003-057D-42B2-9B65-739548585F31}"/>
            </c:ext>
          </c:extLst>
        </c:ser>
        <c:ser>
          <c:idx val="1"/>
          <c:order val="1"/>
          <c:tx>
            <c:strRef>
              <c:f>HRP!$Y$128</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5-D536-49CF-BBEC-F0AB19A3C655}"/>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7-D536-49CF-BBEC-F0AB19A3C655}"/>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HRP!$V$129:$V$131</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HRP!$Y$129:$Y$131</c:f>
              <c:numCache>
                <c:formatCode>_(* #,##0_);_(* \(#,##0\);_(* "-"??_);_(@_)</c:formatCode>
                <c:ptCount val="3"/>
                <c:pt idx="0">
                  <c:v>168326</c:v>
                </c:pt>
                <c:pt idx="1">
                  <c:v>248893</c:v>
                </c:pt>
                <c:pt idx="2">
                  <c:v>227364</c:v>
                </c:pt>
              </c:numCache>
            </c:numRef>
          </c:val>
          <c:extLst>
            <c:ext xmlns:c16="http://schemas.microsoft.com/office/drawing/2014/chart" uri="{C3380CC4-5D6E-409C-BE32-E72D297353CC}">
              <c16:uniqueId val="{00000004-057D-42B2-9B65-739548585F31}"/>
            </c:ext>
          </c:extLst>
        </c:ser>
        <c:dLbls>
          <c:showLegendKey val="0"/>
          <c:showVal val="0"/>
          <c:showCatName val="0"/>
          <c:showSerName val="0"/>
          <c:showPercent val="0"/>
          <c:showBubbleSize val="0"/>
        </c:dLbls>
        <c:gapWidth val="150"/>
        <c:overlap val="100"/>
        <c:axId val="391610984"/>
        <c:axId val="391606280"/>
      </c:barChart>
      <c:catAx>
        <c:axId val="39161098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1606280"/>
        <c:crosses val="autoZero"/>
        <c:auto val="1"/>
        <c:lblAlgn val="ctr"/>
        <c:lblOffset val="100"/>
        <c:noMultiLvlLbl val="0"/>
      </c:catAx>
      <c:valAx>
        <c:axId val="391606280"/>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1610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Number of ppl covered against 2019 HRP targets</a:t>
            </a:r>
          </a:p>
          <a:p>
            <a:pPr>
              <a:defRPr sz="1400"/>
            </a:pPr>
            <a:r>
              <a:rPr lang="en-US" sz="1400" b="1" i="0" baseline="0">
                <a:effectLst/>
              </a:rPr>
              <a:t>(IDPs &amp; Non-IDPs)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HRP!$AU$100</c:f>
              <c:strCache>
                <c:ptCount val="1"/>
                <c:pt idx="0">
                  <c:v>Coverage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1-DF59-4E13-A78D-D1FAA2870958}"/>
              </c:ext>
            </c:extLst>
          </c:dPt>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3-DF59-4E13-A78D-D1FAA2870958}"/>
              </c:ext>
            </c:extLst>
          </c:dPt>
          <c:dPt>
            <c:idx val="2"/>
            <c:invertIfNegative val="0"/>
            <c:bubble3D val="0"/>
            <c:spPr>
              <a:solidFill>
                <a:srgbClr val="0070C0"/>
              </a:solidFill>
              <a:ln>
                <a:noFill/>
              </a:ln>
              <a:effectLst/>
            </c:spPr>
            <c:extLst>
              <c:ext xmlns:c16="http://schemas.microsoft.com/office/drawing/2014/chart" uri="{C3380CC4-5D6E-409C-BE32-E72D297353CC}">
                <c16:uniqueId val="{00000005-DF59-4E13-A78D-D1FAA2870958}"/>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HRP!$AS$101:$AS$103</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HRP!$AU$101:$AU$103</c:f>
              <c:numCache>
                <c:formatCode>_(* #,##0_);_(* \(#,##0\);_(* "-"??_);_(@_)</c:formatCode>
                <c:ptCount val="3"/>
                <c:pt idx="0">
                  <c:v>271912</c:v>
                </c:pt>
                <c:pt idx="1">
                  <c:v>155323</c:v>
                </c:pt>
                <c:pt idx="2">
                  <c:v>198435.93333333332</c:v>
                </c:pt>
              </c:numCache>
            </c:numRef>
          </c:val>
          <c:extLst>
            <c:ext xmlns:c16="http://schemas.microsoft.com/office/drawing/2014/chart" uri="{C3380CC4-5D6E-409C-BE32-E72D297353CC}">
              <c16:uniqueId val="{00000006-DF59-4E13-A78D-D1FAA2870958}"/>
            </c:ext>
          </c:extLst>
        </c:ser>
        <c:ser>
          <c:idx val="1"/>
          <c:order val="1"/>
          <c:tx>
            <c:strRef>
              <c:f>HRP!$AV$100</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8-DF59-4E13-A78D-D1FAA2870958}"/>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A-DF59-4E13-A78D-D1FAA2870958}"/>
              </c:ext>
            </c:extLst>
          </c:dPt>
          <c:dPt>
            <c:idx val="2"/>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C-DF59-4E13-A78D-D1FAA2870958}"/>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HRP!$AS$101:$AS$103</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HRP!$AV$101:$AV$103</c:f>
              <c:numCache>
                <c:formatCode>_(* #,##0_);_(* \(#,##0\);_(* "-"??_);_(@_)</c:formatCode>
                <c:ptCount val="3"/>
                <c:pt idx="0">
                  <c:v>215736</c:v>
                </c:pt>
                <c:pt idx="1">
                  <c:v>332325</c:v>
                </c:pt>
                <c:pt idx="2">
                  <c:v>289212.06666666665</c:v>
                </c:pt>
              </c:numCache>
            </c:numRef>
          </c:val>
          <c:extLst>
            <c:ext xmlns:c16="http://schemas.microsoft.com/office/drawing/2014/chart" uri="{C3380CC4-5D6E-409C-BE32-E72D297353CC}">
              <c16:uniqueId val="{0000000D-DF59-4E13-A78D-D1FAA2870958}"/>
            </c:ext>
          </c:extLst>
        </c:ser>
        <c:dLbls>
          <c:showLegendKey val="0"/>
          <c:showVal val="0"/>
          <c:showCatName val="0"/>
          <c:showSerName val="0"/>
          <c:showPercent val="0"/>
          <c:showBubbleSize val="0"/>
        </c:dLbls>
        <c:gapWidth val="150"/>
        <c:overlap val="100"/>
        <c:axId val="391609808"/>
        <c:axId val="391604712"/>
      </c:barChart>
      <c:catAx>
        <c:axId val="39160980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1604712"/>
        <c:crosses val="autoZero"/>
        <c:auto val="1"/>
        <c:lblAlgn val="ctr"/>
        <c:lblOffset val="100"/>
        <c:noMultiLvlLbl val="0"/>
      </c:catAx>
      <c:valAx>
        <c:axId val="39160471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1609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HRP!$H$25</c:f>
              <c:strCache>
                <c:ptCount val="1"/>
                <c:pt idx="0">
                  <c:v>% Reached</c:v>
                </c:pt>
              </c:strCache>
            </c:strRef>
          </c:tx>
          <c:spPr>
            <a:solidFill>
              <a:schemeClr val="tx1">
                <a:lumMod val="65000"/>
                <a:lumOff val="35000"/>
              </a:schemeClr>
            </a:solidFill>
            <a:ln>
              <a:noFill/>
            </a:ln>
            <a:effectLst/>
          </c:spPr>
          <c:invertIfNegative val="0"/>
          <c:cat>
            <c:multiLvlStrRef>
              <c:f>HRP!$C$26:$D$37</c:f>
              <c:multiLvlStrCache>
                <c:ptCount val="12"/>
                <c:lvl>
                  <c:pt idx="0">
                    <c:v> Kachin </c:v>
                  </c:pt>
                  <c:pt idx="1">
                    <c:v> Central Rakhine </c:v>
                  </c:pt>
                  <c:pt idx="2">
                    <c:v> Northern Rakhine </c:v>
                  </c:pt>
                  <c:pt idx="3">
                    <c:v> Shan (North) </c:v>
                  </c:pt>
                  <c:pt idx="4">
                    <c:v> Kachin </c:v>
                  </c:pt>
                  <c:pt idx="5">
                    <c:v> Central Rakhine </c:v>
                  </c:pt>
                  <c:pt idx="6">
                    <c:v> Northern Rakhine </c:v>
                  </c:pt>
                  <c:pt idx="7">
                    <c:v> Shan (North) </c:v>
                  </c:pt>
                  <c:pt idx="8">
                    <c:v> Kachin </c:v>
                  </c:pt>
                  <c:pt idx="9">
                    <c:v> Central Rakhine </c:v>
                  </c:pt>
                  <c:pt idx="10">
                    <c:v> Northern Rakhine </c:v>
                  </c:pt>
                  <c:pt idx="11">
                    <c:v> Shan (North) </c:v>
                  </c:pt>
                </c:lvl>
                <c:lvl>
                  <c:pt idx="0">
                    <c:v>Percentage of women, men, boys and girls benefitting from safe/improved drinking water, meeting demand for domestic purposes, at minimum/agreed standards</c:v>
                  </c:pt>
                  <c:pt idx="4">
                    <c:v>Percentage of targeted women, men, boys and girls benefitting from a functional excreta disposal system, reducing safety/public health/environmental risks</c:v>
                  </c:pt>
                  <c:pt idx="8">
                    <c:v>Percentage of targeted women, men, boys and girls benefitting from timely/adequate/tailored personal hygiene items and receiving appropriate/ community tailored messages that enable health seeking behavior</c:v>
                  </c:pt>
                </c:lvl>
              </c:multiLvlStrCache>
            </c:multiLvlStrRef>
          </c:cat>
          <c:val>
            <c:numRef>
              <c:f>HRP!$H$26:$H$37</c:f>
              <c:numCache>
                <c:formatCode>0%</c:formatCode>
                <c:ptCount val="12"/>
                <c:pt idx="0">
                  <c:v>0.51066742502990947</c:v>
                </c:pt>
                <c:pt idx="1">
                  <c:v>0.50411047187902791</c:v>
                </c:pt>
                <c:pt idx="2">
                  <c:v>9.9781155224703599E-2</c:v>
                </c:pt>
                <c:pt idx="3">
                  <c:v>0.44062183467653143</c:v>
                </c:pt>
                <c:pt idx="4">
                  <c:v>0.57383254555082663</c:v>
                </c:pt>
                <c:pt idx="5">
                  <c:v>0.35596843660599203</c:v>
                </c:pt>
                <c:pt idx="6">
                  <c:v>5.8803763440860218E-2</c:v>
                </c:pt>
                <c:pt idx="7">
                  <c:v>0.5609063284449729</c:v>
                </c:pt>
                <c:pt idx="8">
                  <c:v>0.56075077961048891</c:v>
                </c:pt>
                <c:pt idx="9">
                  <c:v>0.57747021283284605</c:v>
                </c:pt>
                <c:pt idx="10">
                  <c:v>0.64529052936311004</c:v>
                </c:pt>
                <c:pt idx="11">
                  <c:v>0.52259215219976218</c:v>
                </c:pt>
              </c:numCache>
            </c:numRef>
          </c:val>
          <c:extLst>
            <c:ext xmlns:c16="http://schemas.microsoft.com/office/drawing/2014/chart" uri="{C3380CC4-5D6E-409C-BE32-E72D297353CC}">
              <c16:uniqueId val="{00000000-78ED-4C56-BA32-1282FB4F42D0}"/>
            </c:ext>
          </c:extLst>
        </c:ser>
        <c:ser>
          <c:idx val="1"/>
          <c:order val="1"/>
          <c:tx>
            <c:strRef>
              <c:f>HRP!$I$25</c:f>
              <c:strCache>
                <c:ptCount val="1"/>
                <c:pt idx="0">
                  <c:v>% Gap</c:v>
                </c:pt>
              </c:strCache>
            </c:strRef>
          </c:tx>
          <c:spPr>
            <a:solidFill>
              <a:schemeClr val="bg1">
                <a:lumMod val="75000"/>
              </a:schemeClr>
            </a:solidFill>
            <a:ln>
              <a:noFill/>
            </a:ln>
            <a:effectLst/>
          </c:spPr>
          <c:invertIfNegative val="0"/>
          <c:cat>
            <c:multiLvlStrRef>
              <c:f>HRP!$C$26:$D$37</c:f>
              <c:multiLvlStrCache>
                <c:ptCount val="12"/>
                <c:lvl>
                  <c:pt idx="0">
                    <c:v> Kachin </c:v>
                  </c:pt>
                  <c:pt idx="1">
                    <c:v> Central Rakhine </c:v>
                  </c:pt>
                  <c:pt idx="2">
                    <c:v> Northern Rakhine </c:v>
                  </c:pt>
                  <c:pt idx="3">
                    <c:v> Shan (North) </c:v>
                  </c:pt>
                  <c:pt idx="4">
                    <c:v> Kachin </c:v>
                  </c:pt>
                  <c:pt idx="5">
                    <c:v> Central Rakhine </c:v>
                  </c:pt>
                  <c:pt idx="6">
                    <c:v> Northern Rakhine </c:v>
                  </c:pt>
                  <c:pt idx="7">
                    <c:v> Shan (North) </c:v>
                  </c:pt>
                  <c:pt idx="8">
                    <c:v> Kachin </c:v>
                  </c:pt>
                  <c:pt idx="9">
                    <c:v> Central Rakhine </c:v>
                  </c:pt>
                  <c:pt idx="10">
                    <c:v> Northern Rakhine </c:v>
                  </c:pt>
                  <c:pt idx="11">
                    <c:v> Shan (North) </c:v>
                  </c:pt>
                </c:lvl>
                <c:lvl>
                  <c:pt idx="0">
                    <c:v>Percentage of women, men, boys and girls benefitting from safe/improved drinking water, meeting demand for domestic purposes, at minimum/agreed standards</c:v>
                  </c:pt>
                  <c:pt idx="4">
                    <c:v>Percentage of targeted women, men, boys and girls benefitting from a functional excreta disposal system, reducing safety/public health/environmental risks</c:v>
                  </c:pt>
                  <c:pt idx="8">
                    <c:v>Percentage of targeted women, men, boys and girls benefitting from timely/adequate/tailored personal hygiene items and receiving appropriate/ community tailored messages that enable health seeking behavior</c:v>
                  </c:pt>
                </c:lvl>
              </c:multiLvlStrCache>
            </c:multiLvlStrRef>
          </c:cat>
          <c:val>
            <c:numRef>
              <c:f>HRP!$I$26:$I$37</c:f>
              <c:numCache>
                <c:formatCode>0%</c:formatCode>
                <c:ptCount val="12"/>
                <c:pt idx="0">
                  <c:v>0.48933257497009053</c:v>
                </c:pt>
                <c:pt idx="1">
                  <c:v>0.49588952812097209</c:v>
                </c:pt>
                <c:pt idx="2">
                  <c:v>0.90021884477529635</c:v>
                </c:pt>
                <c:pt idx="3">
                  <c:v>0.55937816532346862</c:v>
                </c:pt>
                <c:pt idx="4">
                  <c:v>0.42616745444917337</c:v>
                </c:pt>
                <c:pt idx="5">
                  <c:v>0.64403156339400791</c:v>
                </c:pt>
                <c:pt idx="6">
                  <c:v>0.94119623655913975</c:v>
                </c:pt>
                <c:pt idx="7">
                  <c:v>0.4390936715550271</c:v>
                </c:pt>
                <c:pt idx="8">
                  <c:v>0.43924922038951109</c:v>
                </c:pt>
                <c:pt idx="9">
                  <c:v>0.42252978716715395</c:v>
                </c:pt>
                <c:pt idx="10">
                  <c:v>0.35470947063688996</c:v>
                </c:pt>
                <c:pt idx="11">
                  <c:v>0.47740784780023782</c:v>
                </c:pt>
              </c:numCache>
            </c:numRef>
          </c:val>
          <c:extLst>
            <c:ext xmlns:c16="http://schemas.microsoft.com/office/drawing/2014/chart" uri="{C3380CC4-5D6E-409C-BE32-E72D297353CC}">
              <c16:uniqueId val="{00000001-78ED-4C56-BA32-1282FB4F42D0}"/>
            </c:ext>
          </c:extLst>
        </c:ser>
        <c:dLbls>
          <c:showLegendKey val="0"/>
          <c:showVal val="0"/>
          <c:showCatName val="0"/>
          <c:showSerName val="0"/>
          <c:showPercent val="0"/>
          <c:showBubbleSize val="0"/>
        </c:dLbls>
        <c:gapWidth val="150"/>
        <c:overlap val="100"/>
        <c:axId val="391608632"/>
        <c:axId val="391605104"/>
      </c:barChart>
      <c:catAx>
        <c:axId val="39160863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1605104"/>
        <c:crosses val="autoZero"/>
        <c:auto val="1"/>
        <c:lblAlgn val="ctr"/>
        <c:lblOffset val="100"/>
        <c:noMultiLvlLbl val="0"/>
      </c:catAx>
      <c:valAx>
        <c:axId val="391605104"/>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1608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Shan (North) Number of ppl Covered against 2019 HRP targets</a:t>
            </a:r>
            <a:endParaRPr lang="en-US" sz="1400">
              <a:effectLst/>
            </a:endParaRPr>
          </a:p>
          <a:p>
            <a:pPr>
              <a:defRPr sz="1400"/>
            </a:pPr>
            <a:r>
              <a:rPr lang="en-US" sz="1400" b="1" i="0" baseline="0">
                <a:effectLst/>
              </a:rPr>
              <a:t>(New Temporary Sites)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HRP!$X$141</c:f>
              <c:strCache>
                <c:ptCount val="1"/>
                <c:pt idx="0">
                  <c:v>Coverage</c:v>
                </c:pt>
              </c:strCache>
            </c:strRef>
          </c:tx>
          <c:spPr>
            <a:solidFill>
              <a:schemeClr val="accent2">
                <a:lumMod val="75000"/>
              </a:schemeClr>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C-E2B2-44D7-BACE-438BA5F8CAE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HRP!$V$142:$V$144</c15:sqref>
                  </c15:fullRef>
                </c:ext>
              </c:extLst>
              <c:f>HRP!$V$142:$V$143</c:f>
              <c:strCache>
                <c:ptCount val="2"/>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strCache>
            </c:strRef>
          </c:cat>
          <c:val>
            <c:numRef>
              <c:extLst>
                <c:ext xmlns:c15="http://schemas.microsoft.com/office/drawing/2012/chart" uri="{02D57815-91ED-43cb-92C2-25804820EDAC}">
                  <c15:fullRef>
                    <c15:sqref>HRP!$X$142:$X$144</c15:sqref>
                  </c15:fullRef>
                </c:ext>
              </c:extLst>
              <c:f>HRP!$X$142:$X$143</c:f>
              <c:numCache>
                <c:formatCode>_(* #,##0_);_(* \(#,##0\);_(* "-"??_);_(@_)</c:formatCode>
                <c:ptCount val="2"/>
                <c:pt idx="0">
                  <c:v>864</c:v>
                </c:pt>
                <c:pt idx="1">
                  <c:v>1000</c:v>
                </c:pt>
              </c:numCache>
            </c:numRef>
          </c:val>
          <c:extLst>
            <c:ext xmlns:c16="http://schemas.microsoft.com/office/drawing/2014/chart" uri="{C3380CC4-5D6E-409C-BE32-E72D297353CC}">
              <c16:uniqueId val="{00000000-E2B2-44D7-BACE-438BA5F8CAEB}"/>
            </c:ext>
          </c:extLst>
        </c:ser>
        <c:ser>
          <c:idx val="1"/>
          <c:order val="1"/>
          <c:tx>
            <c:strRef>
              <c:f>HRP!$Y$141</c:f>
              <c:strCache>
                <c:ptCount val="1"/>
                <c:pt idx="0">
                  <c:v>Gap</c:v>
                </c:pt>
              </c:strCache>
            </c:strRef>
          </c:tx>
          <c:spPr>
            <a:solidFill>
              <a:schemeClr val="accent2">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11-E2B2-44D7-BACE-438BA5F8CAE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HRP!$V$142:$V$144</c15:sqref>
                  </c15:fullRef>
                </c:ext>
              </c:extLst>
              <c:f>HRP!$V$142:$V$143</c:f>
              <c:strCache>
                <c:ptCount val="2"/>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strCache>
            </c:strRef>
          </c:cat>
          <c:val>
            <c:numRef>
              <c:extLst>
                <c:ext xmlns:c15="http://schemas.microsoft.com/office/drawing/2012/chart" uri="{02D57815-91ED-43cb-92C2-25804820EDAC}">
                  <c15:fullRef>
                    <c15:sqref>HRP!$Y$142:$Y$144</c15:sqref>
                  </c15:fullRef>
                </c:ext>
              </c:extLst>
              <c:f>HRP!$Y$142:$Y$143</c:f>
              <c:numCache>
                <c:formatCode>_(* #,##0_);_(* \(#,##0\);_(* "-"??_);_(@_)</c:formatCode>
                <c:ptCount val="2"/>
                <c:pt idx="0">
                  <c:v>1063</c:v>
                </c:pt>
                <c:pt idx="1">
                  <c:v>927</c:v>
                </c:pt>
              </c:numCache>
            </c:numRef>
          </c:val>
          <c:extLst>
            <c:ext xmlns:c15="http://schemas.microsoft.com/office/drawing/2012/chart" uri="{02D57815-91ED-43cb-92C2-25804820EDAC}">
              <c15:categoryFilterExceptions>
                <c15:categoryFilterException>
                  <c15:sqref>HRP!$Y$144</c15:sqref>
                  <c15:spPr xmlns:c15="http://schemas.microsoft.com/office/drawing/2012/chart">
                    <a:solidFill>
                      <a:schemeClr val="accent1">
                        <a:lumMod val="40000"/>
                        <a:lumOff val="60000"/>
                      </a:schemeClr>
                    </a:solidFill>
                    <a:ln>
                      <a:noFill/>
                    </a:ln>
                    <a:effectLst/>
                  </c15:spPr>
                  <c15:invertIfNegative val="0"/>
                  <c15:bubble3D val="0"/>
                </c15:categoryFilterException>
              </c15:categoryFilterExceptions>
            </c:ext>
            <c:ext xmlns:c16="http://schemas.microsoft.com/office/drawing/2014/chart" uri="{C3380CC4-5D6E-409C-BE32-E72D297353CC}">
              <c16:uniqueId val="{00000001-E2B2-44D7-BACE-438BA5F8CAEB}"/>
            </c:ext>
          </c:extLst>
        </c:ser>
        <c:dLbls>
          <c:showLegendKey val="0"/>
          <c:showVal val="0"/>
          <c:showCatName val="0"/>
          <c:showSerName val="0"/>
          <c:showPercent val="0"/>
          <c:showBubbleSize val="0"/>
        </c:dLbls>
        <c:gapWidth val="150"/>
        <c:overlap val="100"/>
        <c:axId val="1611987664"/>
        <c:axId val="1689696496"/>
      </c:barChart>
      <c:catAx>
        <c:axId val="161198766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689696496"/>
        <c:crosses val="autoZero"/>
        <c:auto val="1"/>
        <c:lblAlgn val="ctr"/>
        <c:lblOffset val="100"/>
        <c:noMultiLvlLbl val="0"/>
      </c:catAx>
      <c:valAx>
        <c:axId val="1689696496"/>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611987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Rakhine Number of ppl Covered against 2019 HRP targets</a:t>
            </a:r>
            <a:endParaRPr lang="en-US" sz="1400">
              <a:effectLst/>
            </a:endParaRPr>
          </a:p>
          <a:p>
            <a:pPr>
              <a:defRPr sz="1400"/>
            </a:pPr>
            <a:r>
              <a:rPr lang="en-US" sz="1400" b="1" i="0" baseline="0">
                <a:effectLst/>
              </a:rPr>
              <a:t>(New Temporary Sites)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HRP!$AQ$128</c:f>
              <c:strCache>
                <c:ptCount val="1"/>
                <c:pt idx="0">
                  <c:v>Coverage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14-8C64-4C70-ADB1-6EABF7B515E8}"/>
              </c:ext>
            </c:extLst>
          </c:dPt>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F-8C64-4C70-ADB1-6EABF7B515E8}"/>
              </c:ext>
            </c:extLst>
          </c:dPt>
          <c:dLbls>
            <c:dLbl>
              <c:idx val="1"/>
              <c:layout>
                <c:manualLayout>
                  <c:x val="1.27465851267566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C64-4C70-ADB1-6EABF7B515E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HRP!$AO$129:$AO$131</c15:sqref>
                  </c15:fullRef>
                </c:ext>
              </c:extLst>
              <c:f>HRP!$AO$129:$AO$130</c:f>
              <c:strCache>
                <c:ptCount val="2"/>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strCache>
            </c:strRef>
          </c:cat>
          <c:val>
            <c:numRef>
              <c:extLst>
                <c:ext xmlns:c15="http://schemas.microsoft.com/office/drawing/2012/chart" uri="{02D57815-91ED-43cb-92C2-25804820EDAC}">
                  <c15:fullRef>
                    <c15:sqref>HRP!$AQ$129:$AQ$131</c15:sqref>
                  </c15:fullRef>
                </c:ext>
              </c:extLst>
              <c:f>HRP!$AQ$129:$AQ$130</c:f>
              <c:numCache>
                <c:formatCode>_(* #,##0_);_(* \(#,##0\);_(* "-"??_);_(@_)</c:formatCode>
                <c:ptCount val="2"/>
                <c:pt idx="0">
                  <c:v>14162</c:v>
                </c:pt>
                <c:pt idx="1">
                  <c:v>8093</c:v>
                </c:pt>
              </c:numCache>
            </c:numRef>
          </c:val>
          <c:extLst>
            <c:ext xmlns:c16="http://schemas.microsoft.com/office/drawing/2014/chart" uri="{C3380CC4-5D6E-409C-BE32-E72D297353CC}">
              <c16:uniqueId val="{00000000-8C64-4C70-ADB1-6EABF7B515E8}"/>
            </c:ext>
          </c:extLst>
        </c:ser>
        <c:ser>
          <c:idx val="1"/>
          <c:order val="1"/>
          <c:tx>
            <c:strRef>
              <c:f>HRP!$AR$128</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1C-8C64-4C70-ADB1-6EABF7B515E8}"/>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B-8C64-4C70-ADB1-6EABF7B515E8}"/>
              </c:ext>
            </c:extLst>
          </c:dPt>
          <c:dLbls>
            <c:dLbl>
              <c:idx val="0"/>
              <c:layout>
                <c:manualLayout>
                  <c:x val="1.820940732393819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C64-4C70-ADB1-6EABF7B515E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HRP!$AO$129:$AO$131</c15:sqref>
                  </c15:fullRef>
                </c:ext>
              </c:extLst>
              <c:f>HRP!$AO$129:$AO$130</c:f>
              <c:strCache>
                <c:ptCount val="2"/>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strCache>
            </c:strRef>
          </c:cat>
          <c:val>
            <c:numRef>
              <c:extLst>
                <c:ext xmlns:c15="http://schemas.microsoft.com/office/drawing/2012/chart" uri="{02D57815-91ED-43cb-92C2-25804820EDAC}">
                  <c15:fullRef>
                    <c15:sqref>HRP!$AR$129:$AR$131</c15:sqref>
                  </c15:fullRef>
                </c:ext>
              </c:extLst>
              <c:f>HRP!$AR$129:$AR$130</c:f>
              <c:numCache>
                <c:formatCode>_(* #,##0_);_(* \(#,##0\);_(* "-"??_);_(@_)</c:formatCode>
                <c:ptCount val="2"/>
                <c:pt idx="0">
                  <c:v>49112</c:v>
                </c:pt>
                <c:pt idx="1">
                  <c:v>55181</c:v>
                </c:pt>
              </c:numCache>
            </c:numRef>
          </c:val>
          <c:extLst>
            <c:ext xmlns:c15="http://schemas.microsoft.com/office/drawing/2012/chart" uri="{02D57815-91ED-43cb-92C2-25804820EDAC}">
              <c15:categoryFilterExceptions>
                <c15:categoryFilterException>
                  <c15:sqref>HRP!$AR$131</c15:sqref>
                  <c15:spPr xmlns:c15="http://schemas.microsoft.com/office/drawing/2012/chart">
                    <a:solidFill>
                      <a:schemeClr val="accent1">
                        <a:lumMod val="20000"/>
                        <a:lumOff val="80000"/>
                      </a:schemeClr>
                    </a:solidFill>
                    <a:ln>
                      <a:noFill/>
                    </a:ln>
                    <a:effectLst/>
                  </c15:spPr>
                </c15:categoryFilterException>
              </c15:categoryFilterExceptions>
            </c:ext>
            <c:ext xmlns:c16="http://schemas.microsoft.com/office/drawing/2014/chart" uri="{C3380CC4-5D6E-409C-BE32-E72D297353CC}">
              <c16:uniqueId val="{00000001-8C64-4C70-ADB1-6EABF7B515E8}"/>
            </c:ext>
          </c:extLst>
        </c:ser>
        <c:dLbls>
          <c:showLegendKey val="0"/>
          <c:showVal val="0"/>
          <c:showCatName val="0"/>
          <c:showSerName val="0"/>
          <c:showPercent val="0"/>
          <c:showBubbleSize val="0"/>
        </c:dLbls>
        <c:gapWidth val="150"/>
        <c:overlap val="100"/>
        <c:axId val="1990686192"/>
        <c:axId val="2112639376"/>
      </c:barChart>
      <c:catAx>
        <c:axId val="199068619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2112639376"/>
        <c:crosses val="autoZero"/>
        <c:auto val="1"/>
        <c:lblAlgn val="ctr"/>
        <c:lblOffset val="100"/>
        <c:noMultiLvlLbl val="0"/>
      </c:catAx>
      <c:valAx>
        <c:axId val="2112639376"/>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990686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a:p>
            <a:pPr>
              <a:defRPr sz="1400"/>
            </a:pPr>
            <a:r>
              <a:rPr lang="en-US" sz="1400" b="1" i="0" baseline="0">
                <a:effectLst/>
              </a:rPr>
              <a:t>in active camps</a:t>
            </a:r>
            <a:endParaRPr lang="en-US" sz="1400">
              <a:effectLst/>
            </a:endParaRPr>
          </a:p>
          <a:p>
            <a:pPr>
              <a:defRPr sz="1400"/>
            </a:pPr>
            <a:r>
              <a:rPr lang="en-US" sz="1400"/>
              <a:t>Rakhine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Analysis!$Q$241</c:f>
              <c:strCache>
                <c:ptCount val="1"/>
                <c:pt idx="0">
                  <c:v>Covered</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Analysis!$P$242:$P$245</c15:sqref>
                  </c15:fullRef>
                </c:ext>
              </c:extLst>
              <c:f>(Analysis!$P$242,Analysis!$P$244:$P$245)</c:f>
              <c:strCache>
                <c:ptCount val="3"/>
                <c:pt idx="0">
                  <c:v>#HH reached by regular dedicated hygiene promotion</c:v>
                </c:pt>
                <c:pt idx="1">
                  <c:v># HH received soaps</c:v>
                </c:pt>
                <c:pt idx="2">
                  <c:v># HH received Sanitary Pads</c:v>
                </c:pt>
              </c:strCache>
            </c:strRef>
          </c:cat>
          <c:val>
            <c:numRef>
              <c:extLst>
                <c:ext xmlns:c15="http://schemas.microsoft.com/office/drawing/2012/chart" uri="{02D57815-91ED-43cb-92C2-25804820EDAC}">
                  <c15:fullRef>
                    <c15:sqref>Analysis!$Q$242:$Q$245</c15:sqref>
                  </c15:fullRef>
                </c:ext>
              </c:extLst>
              <c:f>(Analysis!$Q$242,Analysis!$Q$244:$Q$245)</c:f>
              <c:numCache>
                <c:formatCode>_(* #,##0_);_(* \(#,##0\);_(* "-"??_);_(@_)</c:formatCode>
                <c:ptCount val="3"/>
                <c:pt idx="0">
                  <c:v>22896.400000000001</c:v>
                </c:pt>
                <c:pt idx="1">
                  <c:v>23929</c:v>
                </c:pt>
                <c:pt idx="2">
                  <c:v>23828</c:v>
                </c:pt>
              </c:numCache>
            </c:numRef>
          </c:val>
          <c:extLst>
            <c:ext xmlns:c16="http://schemas.microsoft.com/office/drawing/2014/chart" uri="{C3380CC4-5D6E-409C-BE32-E72D297353CC}">
              <c16:uniqueId val="{00000000-F5FF-4313-84A4-722007FD5F1B}"/>
            </c:ext>
          </c:extLst>
        </c:ser>
        <c:ser>
          <c:idx val="1"/>
          <c:order val="1"/>
          <c:tx>
            <c:strRef>
              <c:f>Analysis!$R$241</c:f>
              <c:strCache>
                <c:ptCount val="1"/>
                <c:pt idx="0">
                  <c:v>Gap</c:v>
                </c:pt>
              </c:strCache>
            </c:strRef>
          </c:tx>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Analysis!$P$242:$P$245</c15:sqref>
                  </c15:fullRef>
                </c:ext>
              </c:extLst>
              <c:f>(Analysis!$P$242,Analysis!$P$244:$P$245)</c:f>
              <c:strCache>
                <c:ptCount val="3"/>
                <c:pt idx="0">
                  <c:v>#HH reached by regular dedicated hygiene promotion</c:v>
                </c:pt>
                <c:pt idx="1">
                  <c:v># HH received soaps</c:v>
                </c:pt>
                <c:pt idx="2">
                  <c:v># HH received Sanitary Pads</c:v>
                </c:pt>
              </c:strCache>
            </c:strRef>
          </c:cat>
          <c:val>
            <c:numRef>
              <c:extLst>
                <c:ext xmlns:c15="http://schemas.microsoft.com/office/drawing/2012/chart" uri="{02D57815-91ED-43cb-92C2-25804820EDAC}">
                  <c15:fullRef>
                    <c15:sqref>Analysis!$R$242:$R$245</c15:sqref>
                  </c15:fullRef>
                </c:ext>
              </c:extLst>
              <c:f>(Analysis!$R$242,Analysis!$R$244:$R$245)</c:f>
              <c:numCache>
                <c:formatCode>_(* #,##0_);_(* \(#,##0\);_(* "-"??_);_(@_)</c:formatCode>
                <c:ptCount val="3"/>
                <c:pt idx="0">
                  <c:v>794.59999999999854</c:v>
                </c:pt>
                <c:pt idx="1">
                  <c:v>-238</c:v>
                </c:pt>
                <c:pt idx="2">
                  <c:v>-137</c:v>
                </c:pt>
              </c:numCache>
            </c:numRef>
          </c:val>
          <c:extLst>
            <c:ext xmlns:c16="http://schemas.microsoft.com/office/drawing/2014/chart" uri="{C3380CC4-5D6E-409C-BE32-E72D297353CC}">
              <c16:uniqueId val="{00000001-F5FF-4313-84A4-722007FD5F1B}"/>
            </c:ext>
          </c:extLst>
        </c:ser>
        <c:dLbls>
          <c:showLegendKey val="0"/>
          <c:showVal val="0"/>
          <c:showCatName val="0"/>
          <c:showSerName val="0"/>
          <c:showPercent val="0"/>
          <c:showBubbleSize val="0"/>
        </c:dLbls>
        <c:gapWidth val="150"/>
        <c:overlap val="100"/>
        <c:axId val="392748568"/>
        <c:axId val="392749352"/>
      </c:barChart>
      <c:catAx>
        <c:axId val="3927485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2749352"/>
        <c:crosses val="autoZero"/>
        <c:auto val="1"/>
        <c:lblAlgn val="ctr"/>
        <c:lblOffset val="100"/>
        <c:noMultiLvlLbl val="0"/>
      </c:catAx>
      <c:valAx>
        <c:axId val="392749352"/>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48568"/>
        <c:crosses val="autoZero"/>
        <c:crossBetween val="between"/>
        <c:majorUnit val="0.2"/>
      </c:valAx>
      <c:spPr>
        <a:noFill/>
        <a:ln>
          <a:noFill/>
        </a:ln>
        <a:effectLst/>
      </c:spPr>
    </c:plotArea>
    <c:legend>
      <c:legendPos val="b"/>
      <c:legendEntry>
        <c:idx val="1"/>
        <c:txPr>
          <a:bodyPr rot="0" spcFirstLastPara="1" vertOverflow="ellipsis" vert="horz" wrap="square" anchor="ctr" anchorCtr="1"/>
          <a:lstStyle/>
          <a:p>
            <a:pPr>
              <a:defRPr sz="1200" b="0" i="0" u="none" strike="noStrike" kern="1200" baseline="0">
                <a:solidFill>
                  <a:srgbClr val="44546A"/>
                </a:solidFill>
                <a:latin typeface="+mn-lt"/>
                <a:ea typeface="+mn-ea"/>
                <a:cs typeface="+mn-cs"/>
              </a:defRPr>
            </a:pPr>
            <a:endParaRPr lang="en-US"/>
          </a:p>
        </c:txPr>
      </c:legendEntry>
      <c:layout>
        <c:manualLayout>
          <c:xMode val="edge"/>
          <c:yMode val="edge"/>
          <c:x val="0.38313978947189414"/>
          <c:y val="0.87242578432208606"/>
          <c:w val="0.23345186939352686"/>
          <c:h val="9.824999217078923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a:p>
            <a:pPr>
              <a:defRPr sz="1400"/>
            </a:pPr>
            <a:r>
              <a:rPr lang="en-US" sz="1400" b="1" i="0" baseline="0">
                <a:effectLst/>
              </a:rPr>
              <a:t>in active camps</a:t>
            </a:r>
            <a:endParaRPr lang="en-US" sz="1400">
              <a:effectLst/>
            </a:endParaRPr>
          </a:p>
          <a:p>
            <a:pPr>
              <a:defRPr sz="1400"/>
            </a:pPr>
            <a:r>
              <a:rPr lang="en-US" sz="1400" b="1" i="0" baseline="0">
                <a:effectLst/>
              </a:rPr>
              <a:t>Shan(North)</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Analysis!$X$241</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Analysis!$W$242:$W$245</c:f>
              <c:strCache>
                <c:ptCount val="4"/>
                <c:pt idx="0">
                  <c:v>#HH reached by regular dedicated hygiene promotion</c:v>
                </c:pt>
                <c:pt idx="1">
                  <c:v>#HH with access to Hand Washing Station</c:v>
                </c:pt>
                <c:pt idx="2">
                  <c:v># HH received soaps</c:v>
                </c:pt>
                <c:pt idx="3">
                  <c:v># HH received Sanitary Pads</c:v>
                </c:pt>
              </c:strCache>
            </c:strRef>
          </c:cat>
          <c:val>
            <c:numRef>
              <c:f>Analysis!$X$242:$X$245</c:f>
              <c:numCache>
                <c:formatCode>0</c:formatCode>
                <c:ptCount val="4"/>
                <c:pt idx="0">
                  <c:v>1267.5999999999999</c:v>
                </c:pt>
                <c:pt idx="1">
                  <c:v>349</c:v>
                </c:pt>
                <c:pt idx="2">
                  <c:v>1021</c:v>
                </c:pt>
                <c:pt idx="3">
                  <c:v>0</c:v>
                </c:pt>
              </c:numCache>
            </c:numRef>
          </c:val>
          <c:extLst>
            <c:ext xmlns:c16="http://schemas.microsoft.com/office/drawing/2014/chart" uri="{C3380CC4-5D6E-409C-BE32-E72D297353CC}">
              <c16:uniqueId val="{00000000-CBDF-46C4-8398-2F2620566A1B}"/>
            </c:ext>
          </c:extLst>
        </c:ser>
        <c:ser>
          <c:idx val="1"/>
          <c:order val="1"/>
          <c:tx>
            <c:strRef>
              <c:f>Analysis!$Y$241</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Analysis!$W$242:$W$245</c:f>
              <c:strCache>
                <c:ptCount val="4"/>
                <c:pt idx="0">
                  <c:v>#HH reached by regular dedicated hygiene promotion</c:v>
                </c:pt>
                <c:pt idx="1">
                  <c:v>#HH with access to Hand Washing Station</c:v>
                </c:pt>
                <c:pt idx="2">
                  <c:v># HH received soaps</c:v>
                </c:pt>
                <c:pt idx="3">
                  <c:v># HH received Sanitary Pads</c:v>
                </c:pt>
              </c:strCache>
            </c:strRef>
          </c:cat>
          <c:val>
            <c:numRef>
              <c:f>Analysis!$Y$242:$Y$245</c:f>
              <c:numCache>
                <c:formatCode>0</c:formatCode>
                <c:ptCount val="4"/>
                <c:pt idx="0">
                  <c:v>475.40000000000009</c:v>
                </c:pt>
                <c:pt idx="1">
                  <c:v>1394</c:v>
                </c:pt>
                <c:pt idx="2">
                  <c:v>722</c:v>
                </c:pt>
                <c:pt idx="3">
                  <c:v>1743</c:v>
                </c:pt>
              </c:numCache>
            </c:numRef>
          </c:val>
          <c:extLst>
            <c:ext xmlns:c16="http://schemas.microsoft.com/office/drawing/2014/chart" uri="{C3380CC4-5D6E-409C-BE32-E72D297353CC}">
              <c16:uniqueId val="{00000001-CBDF-46C4-8398-2F2620566A1B}"/>
            </c:ext>
          </c:extLst>
        </c:ser>
        <c:dLbls>
          <c:showLegendKey val="0"/>
          <c:showVal val="0"/>
          <c:showCatName val="0"/>
          <c:showSerName val="0"/>
          <c:showPercent val="0"/>
          <c:showBubbleSize val="0"/>
        </c:dLbls>
        <c:gapWidth val="150"/>
        <c:overlap val="100"/>
        <c:axId val="392754056"/>
        <c:axId val="392749744"/>
      </c:barChart>
      <c:catAx>
        <c:axId val="3927540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2749744"/>
        <c:crosses val="autoZero"/>
        <c:auto val="1"/>
        <c:lblAlgn val="ctr"/>
        <c:lblOffset val="100"/>
        <c:noMultiLvlLbl val="0"/>
      </c:catAx>
      <c:valAx>
        <c:axId val="39274974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54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Constructed surface water drainage system</a:t>
            </a:r>
          </a:p>
          <a:p>
            <a:pPr>
              <a:defRPr sz="1400"/>
            </a:pPr>
            <a:r>
              <a:rPr lang="en-US" sz="1400"/>
              <a:t> in active camps</a:t>
            </a:r>
          </a:p>
          <a:p>
            <a:pPr>
              <a:defRPr sz="1400"/>
            </a:pPr>
            <a:r>
              <a:rPr lang="en-US" sz="1400"/>
              <a:t> Kachin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Analysis!$B$172</c:f>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1-6EA3-4AE5-BCC7-AFE913165737}"/>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c:ext xmlns:c16="http://schemas.microsoft.com/office/drawing/2014/chart" uri="{C3380CC4-5D6E-409C-BE32-E72D297353CC}">
                <c16:uniqueId val="{00000003-6EA3-4AE5-BCC7-AFE913165737}"/>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5-6EA3-4AE5-BCC7-AFE913165737}"/>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c:ext xmlns:c16="http://schemas.microsoft.com/office/drawing/2014/chart" uri="{C3380CC4-5D6E-409C-BE32-E72D297353CC}">
                <c16:uniqueId val="{00000007-6EA3-4AE5-BCC7-AFE913165737}"/>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6EA3-4AE5-BCC7-AFE913165737}"/>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3-6EA3-4AE5-BCC7-AFE91316573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Analysis!$C$171:$F$171</c:f>
              <c:strCache>
                <c:ptCount val="4"/>
                <c:pt idx="0">
                  <c:v>Functional</c:v>
                </c:pt>
                <c:pt idx="1">
                  <c:v>NA</c:v>
                </c:pt>
                <c:pt idx="2">
                  <c:v>Not_Functional</c:v>
                </c:pt>
                <c:pt idx="3">
                  <c:v>Not_inPlace</c:v>
                </c:pt>
              </c:strCache>
            </c:strRef>
          </c:cat>
          <c:val>
            <c:numRef>
              <c:f>Analysis!$C$172:$F$172</c:f>
              <c:numCache>
                <c:formatCode>General</c:formatCode>
                <c:ptCount val="4"/>
                <c:pt idx="0">
                  <c:v>95</c:v>
                </c:pt>
                <c:pt idx="1">
                  <c:v>8</c:v>
                </c:pt>
                <c:pt idx="2">
                  <c:v>18</c:v>
                </c:pt>
                <c:pt idx="3">
                  <c:v>12</c:v>
                </c:pt>
              </c:numCache>
            </c:numRef>
          </c:val>
          <c:extLst>
            <c:ext xmlns:c16="http://schemas.microsoft.com/office/drawing/2014/chart" uri="{C3380CC4-5D6E-409C-BE32-E72D297353CC}">
              <c16:uniqueId val="{00000000-6001-452C-B69E-5437BE745B6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u="none" strike="noStrike" baseline="0">
                <a:effectLst/>
              </a:rPr>
              <a:t>Constructed surface water drainage system</a:t>
            </a:r>
          </a:p>
          <a:p>
            <a:pPr>
              <a:defRPr sz="1400"/>
            </a:pPr>
            <a:r>
              <a:rPr lang="en-US" sz="1400"/>
              <a:t> in active camps</a:t>
            </a:r>
          </a:p>
          <a:p>
            <a:pPr>
              <a:defRPr sz="1400"/>
            </a:pPr>
            <a:r>
              <a:rPr lang="en-US" sz="1400"/>
              <a:t> Rakhine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Analysis!$B$173</c:f>
              <c:strCache>
                <c:ptCount val="1"/>
                <c:pt idx="0">
                  <c:v>Rakhine</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1-39C6-43B8-91DE-6A2EF8A63A1B}"/>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c:ext xmlns:c16="http://schemas.microsoft.com/office/drawing/2014/chart" uri="{C3380CC4-5D6E-409C-BE32-E72D297353CC}">
                <c16:uniqueId val="{00000003-39C6-43B8-91DE-6A2EF8A63A1B}"/>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5-39C6-43B8-91DE-6A2EF8A63A1B}"/>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c:ext xmlns:c16="http://schemas.microsoft.com/office/drawing/2014/chart" uri="{C3380CC4-5D6E-409C-BE32-E72D297353CC}">
                <c16:uniqueId val="{00000007-39C6-43B8-91DE-6A2EF8A63A1B}"/>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39C6-43B8-91DE-6A2EF8A63A1B}"/>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3-39C6-43B8-91DE-6A2EF8A63A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Analysis!$C$171:$F$171</c:f>
              <c:strCache>
                <c:ptCount val="4"/>
                <c:pt idx="0">
                  <c:v>Functional</c:v>
                </c:pt>
                <c:pt idx="1">
                  <c:v>NA</c:v>
                </c:pt>
                <c:pt idx="2">
                  <c:v>Not_Functional</c:v>
                </c:pt>
                <c:pt idx="3">
                  <c:v>Not_inPlace</c:v>
                </c:pt>
              </c:strCache>
            </c:strRef>
          </c:cat>
          <c:val>
            <c:numRef>
              <c:f>Analysis!$C$173:$F$173</c:f>
              <c:numCache>
                <c:formatCode>General</c:formatCode>
                <c:ptCount val="4"/>
                <c:pt idx="0">
                  <c:v>17</c:v>
                </c:pt>
                <c:pt idx="1">
                  <c:v>7</c:v>
                </c:pt>
                <c:pt idx="2">
                  <c:v>1</c:v>
                </c:pt>
                <c:pt idx="3">
                  <c:v>0</c:v>
                </c:pt>
              </c:numCache>
            </c:numRef>
          </c:val>
          <c:extLst>
            <c:ext xmlns:c16="http://schemas.microsoft.com/office/drawing/2014/chart" uri="{C3380CC4-5D6E-409C-BE32-E72D297353CC}">
              <c16:uniqueId val="{00000008-39C6-43B8-91DE-6A2EF8A63A1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u="none" strike="noStrike" baseline="0">
                <a:effectLst/>
              </a:rPr>
              <a:t>Constructed surface water drainage system </a:t>
            </a:r>
          </a:p>
          <a:p>
            <a:pPr>
              <a:defRPr sz="1400"/>
            </a:pPr>
            <a:r>
              <a:rPr lang="en-US" sz="1400"/>
              <a:t> in active camps</a:t>
            </a:r>
          </a:p>
          <a:p>
            <a:pPr>
              <a:defRPr sz="1400"/>
            </a:pPr>
            <a:r>
              <a:rPr lang="en-US" sz="1400"/>
              <a:t>Shan (North)</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Analysis!$B$174</c:f>
              <c:strCache>
                <c:ptCount val="1"/>
                <c:pt idx="0">
                  <c:v>Shan (North)</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1-ED64-4863-9E70-B065B74F7F22}"/>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c:ext xmlns:c16="http://schemas.microsoft.com/office/drawing/2014/chart" uri="{C3380CC4-5D6E-409C-BE32-E72D297353CC}">
                <c16:uniqueId val="{00000003-ED64-4863-9E70-B065B74F7F22}"/>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5-ED64-4863-9E70-B065B74F7F22}"/>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c:ext xmlns:c16="http://schemas.microsoft.com/office/drawing/2014/chart" uri="{C3380CC4-5D6E-409C-BE32-E72D297353CC}">
                <c16:uniqueId val="{00000007-ED64-4863-9E70-B065B74F7F22}"/>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ED64-4863-9E70-B065B74F7F22}"/>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3-ED64-4863-9E70-B065B74F7F2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Analysis!$C$171:$F$171</c:f>
              <c:strCache>
                <c:ptCount val="4"/>
                <c:pt idx="0">
                  <c:v>Functional</c:v>
                </c:pt>
                <c:pt idx="1">
                  <c:v>NA</c:v>
                </c:pt>
                <c:pt idx="2">
                  <c:v>Not_Functional</c:v>
                </c:pt>
                <c:pt idx="3">
                  <c:v>Not_inPlace</c:v>
                </c:pt>
              </c:strCache>
            </c:strRef>
          </c:cat>
          <c:val>
            <c:numRef>
              <c:f>Analysis!$C$174:$F$174</c:f>
              <c:numCache>
                <c:formatCode>General</c:formatCode>
                <c:ptCount val="4"/>
                <c:pt idx="0">
                  <c:v>16</c:v>
                </c:pt>
                <c:pt idx="1">
                  <c:v>0</c:v>
                </c:pt>
                <c:pt idx="2">
                  <c:v>6</c:v>
                </c:pt>
                <c:pt idx="3">
                  <c:v>6</c:v>
                </c:pt>
              </c:numCache>
            </c:numRef>
          </c:val>
          <c:extLst>
            <c:ext xmlns:c16="http://schemas.microsoft.com/office/drawing/2014/chart" uri="{C3380CC4-5D6E-409C-BE32-E72D297353CC}">
              <c16:uniqueId val="{00000008-ED64-4863-9E70-B065B74F7F2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Provision of solid waste management equipment place Kachin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Analysis!$B$188</c:f>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1-DC22-4C4F-B666-8182F921E260}"/>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c:ext xmlns:c16="http://schemas.microsoft.com/office/drawing/2014/chart" uri="{C3380CC4-5D6E-409C-BE32-E72D297353CC}">
                <c16:uniqueId val="{00000003-DC22-4C4F-B666-8182F921E260}"/>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5-DC22-4C4F-B666-8182F921E260}"/>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DC22-4C4F-B666-8182F921E260}"/>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3-DC22-4C4F-B666-8182F921E26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Analysis!$C$187:$E$187</c:f>
              <c:strCache>
                <c:ptCount val="3"/>
                <c:pt idx="0">
                  <c:v>NA</c:v>
                </c:pt>
                <c:pt idx="1">
                  <c:v>No</c:v>
                </c:pt>
                <c:pt idx="2">
                  <c:v>Yes</c:v>
                </c:pt>
              </c:strCache>
            </c:strRef>
          </c:cat>
          <c:val>
            <c:numRef>
              <c:f>Analysis!$C$188:$E$188</c:f>
              <c:numCache>
                <c:formatCode>General</c:formatCode>
                <c:ptCount val="3"/>
                <c:pt idx="0">
                  <c:v>0</c:v>
                </c:pt>
                <c:pt idx="1">
                  <c:v>16</c:v>
                </c:pt>
                <c:pt idx="2">
                  <c:v>117</c:v>
                </c:pt>
              </c:numCache>
            </c:numRef>
          </c:val>
          <c:extLst>
            <c:ext xmlns:c16="http://schemas.microsoft.com/office/drawing/2014/chart" uri="{C3380CC4-5D6E-409C-BE32-E72D297353CC}">
              <c16:uniqueId val="{00000000-50B8-4F99-A838-C4F3FAD0BFE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Effective solid waste management system in place Rakhine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3"/>
          <c:order val="0"/>
          <c:tx>
            <c:strRef>
              <c:f>Analysis!$B$189</c:f>
              <c:strCache>
                <c:ptCount val="1"/>
                <c:pt idx="0">
                  <c:v>Rakhine</c:v>
                </c:pt>
              </c:strCache>
            </c:strRef>
          </c:tx>
          <c:dPt>
            <c:idx val="0"/>
            <c:bubble3D val="0"/>
            <c:spPr>
              <a:gradFill rotWithShape="1">
                <a:gsLst>
                  <a:gs pos="0">
                    <a:schemeClr val="accent2">
                      <a:shade val="53000"/>
                      <a:satMod val="103000"/>
                      <a:lumMod val="102000"/>
                      <a:tint val="94000"/>
                    </a:schemeClr>
                  </a:gs>
                  <a:gs pos="50000">
                    <a:schemeClr val="accent2">
                      <a:shade val="53000"/>
                      <a:satMod val="110000"/>
                      <a:lumMod val="100000"/>
                      <a:shade val="100000"/>
                    </a:schemeClr>
                  </a:gs>
                  <a:gs pos="100000">
                    <a:schemeClr val="accent2">
                      <a:shade val="53000"/>
                      <a:lumMod val="99000"/>
                      <a:satMod val="120000"/>
                      <a:shade val="78000"/>
                    </a:schemeClr>
                  </a:gs>
                </a:gsLst>
                <a:lin ang="5400000" scaled="0"/>
              </a:gradFill>
              <a:ln>
                <a:noFill/>
              </a:ln>
              <a:effectLst/>
            </c:spPr>
            <c:extLst>
              <c:ext xmlns:c16="http://schemas.microsoft.com/office/drawing/2014/chart" uri="{C3380CC4-5D6E-409C-BE32-E72D297353CC}">
                <c16:uniqueId val="{00000046-5874-4861-9CAD-8C2A6D7ECFC1}"/>
              </c:ext>
            </c:extLst>
          </c:dPt>
          <c:dPt>
            <c:idx val="1"/>
            <c:bubble3D val="0"/>
            <c:spPr>
              <a:gradFill rotWithShape="1">
                <a:gsLst>
                  <a:gs pos="0">
                    <a:schemeClr val="accent2">
                      <a:shade val="76000"/>
                      <a:satMod val="103000"/>
                      <a:lumMod val="102000"/>
                      <a:tint val="94000"/>
                    </a:schemeClr>
                  </a:gs>
                  <a:gs pos="50000">
                    <a:schemeClr val="accent2">
                      <a:shade val="76000"/>
                      <a:satMod val="110000"/>
                      <a:lumMod val="100000"/>
                      <a:shade val="100000"/>
                    </a:schemeClr>
                  </a:gs>
                  <a:gs pos="100000">
                    <a:schemeClr val="accent2">
                      <a:shade val="76000"/>
                      <a:lumMod val="99000"/>
                      <a:satMod val="120000"/>
                      <a:shade val="78000"/>
                    </a:schemeClr>
                  </a:gs>
                </a:gsLst>
                <a:lin ang="5400000" scaled="0"/>
              </a:gradFill>
              <a:ln>
                <a:noFill/>
              </a:ln>
              <a:effectLst/>
            </c:spPr>
            <c:extLst>
              <c:ext xmlns:c16="http://schemas.microsoft.com/office/drawing/2014/chart" uri="{C3380CC4-5D6E-409C-BE32-E72D297353CC}">
                <c16:uniqueId val="{00000047-5874-4861-9CAD-8C2A6D7ECFC1}"/>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48-5874-4861-9CAD-8C2A6D7ECFC1}"/>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46-5874-4861-9CAD-8C2A6D7ECFC1}"/>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48-5874-4861-9CAD-8C2A6D7ECFC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Analysis!$C$187:$E$187</c:f>
              <c:strCache>
                <c:ptCount val="3"/>
                <c:pt idx="0">
                  <c:v>NA</c:v>
                </c:pt>
                <c:pt idx="1">
                  <c:v>No</c:v>
                </c:pt>
                <c:pt idx="2">
                  <c:v>Yes</c:v>
                </c:pt>
              </c:strCache>
            </c:strRef>
          </c:cat>
          <c:val>
            <c:numRef>
              <c:f>Analysis!$C$189:$E$189</c:f>
              <c:numCache>
                <c:formatCode>General</c:formatCode>
                <c:ptCount val="3"/>
                <c:pt idx="0">
                  <c:v>0</c:v>
                </c:pt>
                <c:pt idx="1">
                  <c:v>1</c:v>
                </c:pt>
                <c:pt idx="2">
                  <c:v>24</c:v>
                </c:pt>
              </c:numCache>
            </c:numRef>
          </c:val>
          <c:extLst>
            <c:ext xmlns:c16="http://schemas.microsoft.com/office/drawing/2014/chart" uri="{C3380CC4-5D6E-409C-BE32-E72D297353CC}">
              <c16:uniqueId val="{00000045-5874-4861-9CAD-8C2A6D7ECFC1}"/>
            </c:ext>
          </c:extLst>
        </c:ser>
        <c:dLbls>
          <c:dLblPos val="bestFit"/>
          <c:showLegendKey val="0"/>
          <c:showVal val="1"/>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Effective solid waste management system in place Shan (North)</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Analysis!$B$190</c:f>
              <c:strCache>
                <c:ptCount val="1"/>
                <c:pt idx="0">
                  <c:v>Shan (North)</c:v>
                </c:pt>
              </c:strCache>
            </c:strRef>
          </c:tx>
          <c:dPt>
            <c:idx val="0"/>
            <c:bubble3D val="0"/>
            <c:spPr>
              <a:gradFill rotWithShape="1">
                <a:gsLst>
                  <a:gs pos="0">
                    <a:schemeClr val="accent2">
                      <a:shade val="53000"/>
                      <a:satMod val="103000"/>
                      <a:lumMod val="102000"/>
                      <a:tint val="94000"/>
                    </a:schemeClr>
                  </a:gs>
                  <a:gs pos="50000">
                    <a:schemeClr val="accent2">
                      <a:shade val="53000"/>
                      <a:satMod val="110000"/>
                      <a:lumMod val="100000"/>
                      <a:shade val="100000"/>
                    </a:schemeClr>
                  </a:gs>
                  <a:gs pos="100000">
                    <a:schemeClr val="accent2">
                      <a:shade val="53000"/>
                      <a:lumMod val="99000"/>
                      <a:satMod val="120000"/>
                      <a:shade val="78000"/>
                    </a:schemeClr>
                  </a:gs>
                </a:gsLst>
                <a:lin ang="5400000" scaled="0"/>
              </a:gradFill>
              <a:ln>
                <a:noFill/>
              </a:ln>
              <a:effectLst/>
            </c:spPr>
            <c:extLst>
              <c:ext xmlns:c16="http://schemas.microsoft.com/office/drawing/2014/chart" uri="{C3380CC4-5D6E-409C-BE32-E72D297353CC}">
                <c16:uniqueId val="{00000001-5C59-490F-B426-9FB57D35929B}"/>
              </c:ext>
            </c:extLst>
          </c:dPt>
          <c:dPt>
            <c:idx val="1"/>
            <c:bubble3D val="0"/>
            <c:spPr>
              <a:gradFill rotWithShape="1">
                <a:gsLst>
                  <a:gs pos="0">
                    <a:schemeClr val="accent2">
                      <a:shade val="76000"/>
                      <a:satMod val="103000"/>
                      <a:lumMod val="102000"/>
                      <a:tint val="94000"/>
                    </a:schemeClr>
                  </a:gs>
                  <a:gs pos="50000">
                    <a:schemeClr val="accent2">
                      <a:shade val="76000"/>
                      <a:satMod val="110000"/>
                      <a:lumMod val="100000"/>
                      <a:shade val="100000"/>
                    </a:schemeClr>
                  </a:gs>
                  <a:gs pos="100000">
                    <a:schemeClr val="accent2">
                      <a:shade val="76000"/>
                      <a:lumMod val="99000"/>
                      <a:satMod val="120000"/>
                      <a:shade val="78000"/>
                    </a:schemeClr>
                  </a:gs>
                </a:gsLst>
                <a:lin ang="5400000" scaled="0"/>
              </a:gradFill>
              <a:ln>
                <a:noFill/>
              </a:ln>
              <a:effectLst/>
            </c:spPr>
            <c:extLst>
              <c:ext xmlns:c16="http://schemas.microsoft.com/office/drawing/2014/chart" uri="{C3380CC4-5D6E-409C-BE32-E72D297353CC}">
                <c16:uniqueId val="{00000003-5C59-490F-B426-9FB57D35929B}"/>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5-5C59-490F-B426-9FB57D35929B}"/>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5C59-490F-B426-9FB57D35929B}"/>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3-5C59-490F-B426-9FB57D35929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Analysis!$C$187:$E$187</c:f>
              <c:strCache>
                <c:ptCount val="3"/>
                <c:pt idx="0">
                  <c:v>NA</c:v>
                </c:pt>
                <c:pt idx="1">
                  <c:v>No</c:v>
                </c:pt>
                <c:pt idx="2">
                  <c:v>Yes</c:v>
                </c:pt>
              </c:strCache>
            </c:strRef>
          </c:cat>
          <c:val>
            <c:numRef>
              <c:f>Analysis!$C$190:$E$190</c:f>
              <c:numCache>
                <c:formatCode>General</c:formatCode>
                <c:ptCount val="3"/>
                <c:pt idx="0">
                  <c:v>3</c:v>
                </c:pt>
                <c:pt idx="1">
                  <c:v>7</c:v>
                </c:pt>
                <c:pt idx="2">
                  <c:v>18</c:v>
                </c:pt>
              </c:numCache>
            </c:numRef>
          </c:val>
          <c:extLst>
            <c:ext xmlns:c16="http://schemas.microsoft.com/office/drawing/2014/chart" uri="{C3380CC4-5D6E-409C-BE32-E72D297353CC}">
              <c16:uniqueId val="{0000000A-5C59-490F-B426-9FB57D35929B}"/>
            </c:ext>
          </c:extLst>
        </c:ser>
        <c:dLbls>
          <c:dLblPos val="bestFit"/>
          <c:showLegendKey val="0"/>
          <c:showVal val="1"/>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[20190516_Myanmar_WASH_4W_2019_Q1_Consolidate.xlsx]Analysis!K_water1</c:name>
    <c:fmtId val="5"/>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Kachin - Water Point Coverage</a:t>
            </a:r>
            <a:endParaRPr lang="en-US" sz="1200">
              <a:effectLst/>
            </a:endParaRPr>
          </a:p>
          <a:p>
            <a:pPr>
              <a:defRPr sz="1200"/>
            </a:pPr>
            <a:r>
              <a:rPr lang="en-US" sz="1200" b="1" i="0" baseline="0">
                <a:effectLst/>
              </a:rPr>
              <a:t>in active camps</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Analysis!$C$50</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Analysis!$B$51:$B$52</c:f>
              <c:strCache>
                <c:ptCount val="2"/>
                <c:pt idx="0">
                  <c:v>GCA (500:1)</c:v>
                </c:pt>
                <c:pt idx="1">
                  <c:v>NGCA (500:1)</c:v>
                </c:pt>
              </c:strCache>
            </c:strRef>
          </c:cat>
          <c:val>
            <c:numRef>
              <c:f>Analysis!$C$51:$C$52</c:f>
              <c:numCache>
                <c:formatCode>0</c:formatCode>
                <c:ptCount val="2"/>
                <c:pt idx="0">
                  <c:v>77.6869333333333</c:v>
                </c:pt>
                <c:pt idx="1">
                  <c:v>26.462666666666667</c:v>
                </c:pt>
              </c:numCache>
            </c:numRef>
          </c:val>
          <c:extLst>
            <c:ext xmlns:c16="http://schemas.microsoft.com/office/drawing/2014/chart" uri="{C3380CC4-5D6E-409C-BE32-E72D297353CC}">
              <c16:uniqueId val="{00000000-93DB-4322-B638-31D41A424C83}"/>
            </c:ext>
          </c:extLst>
        </c:ser>
        <c:ser>
          <c:idx val="1"/>
          <c:order val="1"/>
          <c:tx>
            <c:strRef>
              <c:f>Analysis!$D$50</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Analysis!$B$51:$B$52</c:f>
              <c:strCache>
                <c:ptCount val="2"/>
                <c:pt idx="0">
                  <c:v>GCA (500:1)</c:v>
                </c:pt>
                <c:pt idx="1">
                  <c:v>NGCA (500:1)</c:v>
                </c:pt>
              </c:strCache>
            </c:strRef>
          </c:cat>
          <c:val>
            <c:numRef>
              <c:f>Analysis!$D$51:$D$52</c:f>
              <c:numCache>
                <c:formatCode>0</c:formatCode>
                <c:ptCount val="2"/>
                <c:pt idx="0">
                  <c:v>67.857066666666668</c:v>
                </c:pt>
                <c:pt idx="1">
                  <c:v>69.333333333333343</c:v>
                </c:pt>
              </c:numCache>
            </c:numRef>
          </c:val>
          <c:extLst>
            <c:ext xmlns:c16="http://schemas.microsoft.com/office/drawing/2014/chart" uri="{C3380CC4-5D6E-409C-BE32-E72D297353CC}">
              <c16:uniqueId val="{00000001-93DB-4322-B638-31D41A424C83}"/>
            </c:ext>
          </c:extLst>
        </c:ser>
        <c:dLbls>
          <c:dLblPos val="ctr"/>
          <c:showLegendKey val="0"/>
          <c:showVal val="1"/>
          <c:showCatName val="0"/>
          <c:showSerName val="0"/>
          <c:showPercent val="0"/>
          <c:showBubbleSize val="0"/>
        </c:dLbls>
        <c:gapWidth val="150"/>
        <c:overlap val="100"/>
        <c:axId val="392752096"/>
        <c:axId val="392752488"/>
      </c:barChart>
      <c:catAx>
        <c:axId val="39275209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52488"/>
        <c:crosses val="autoZero"/>
        <c:auto val="1"/>
        <c:lblAlgn val="ctr"/>
        <c:lblOffset val="100"/>
        <c:noMultiLvlLbl val="0"/>
      </c:catAx>
      <c:valAx>
        <c:axId val="39275248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520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[20190516_Myanmar_WASH_4W_2019_Q1_Consolidate.xlsx]Analysis!R_water1</c:name>
    <c:fmtId val="7"/>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Rakhine - Water Point Coverage</a:t>
            </a:r>
            <a:endParaRPr lang="en-US" sz="1200">
              <a:effectLst/>
            </a:endParaRPr>
          </a:p>
          <a:p>
            <a:pPr>
              <a:defRPr sz="1200"/>
            </a:pPr>
            <a:r>
              <a:rPr lang="en-US" sz="1200" b="1" i="0" baseline="0">
                <a:effectLst/>
              </a:rPr>
              <a:t>in active camps &amp; Villages</a:t>
            </a:r>
            <a:endParaRPr lang="en-US" sz="1200">
              <a:effectLst/>
            </a:endParaRPr>
          </a:p>
        </c:rich>
      </c:tx>
      <c:layout>
        <c:manualLayout>
          <c:xMode val="edge"/>
          <c:yMode val="edge"/>
          <c:x val="0.15056128293241694"/>
          <c:y val="1.6666666666666666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Analysis!$J$50</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Analysis!$I$51:$I$52</c:f>
              <c:strCache>
                <c:ptCount val="2"/>
                <c:pt idx="0">
                  <c:v>Camp</c:v>
                </c:pt>
                <c:pt idx="1">
                  <c:v>Village</c:v>
                </c:pt>
              </c:strCache>
            </c:strRef>
          </c:cat>
          <c:val>
            <c:numRef>
              <c:f>Analysis!$J$51:$J$52</c:f>
              <c:numCache>
                <c:formatCode>0</c:formatCode>
                <c:ptCount val="2"/>
                <c:pt idx="0">
                  <c:v>215.15600000000003</c:v>
                </c:pt>
                <c:pt idx="1">
                  <c:v>64.225999999999999</c:v>
                </c:pt>
              </c:numCache>
            </c:numRef>
          </c:val>
          <c:extLst>
            <c:ext xmlns:c16="http://schemas.microsoft.com/office/drawing/2014/chart" uri="{C3380CC4-5D6E-409C-BE32-E72D297353CC}">
              <c16:uniqueId val="{00000000-8F04-4517-869A-45FA4E011E80}"/>
            </c:ext>
          </c:extLst>
        </c:ser>
        <c:ser>
          <c:idx val="1"/>
          <c:order val="1"/>
          <c:tx>
            <c:strRef>
              <c:f>Analysis!$K$50</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Analysis!$I$51:$I$52</c:f>
              <c:strCache>
                <c:ptCount val="2"/>
                <c:pt idx="0">
                  <c:v>Camp</c:v>
                </c:pt>
                <c:pt idx="1">
                  <c:v>Village</c:v>
                </c:pt>
              </c:strCache>
            </c:strRef>
          </c:cat>
          <c:val>
            <c:numRef>
              <c:f>Analysis!$K$51:$K$52</c:f>
              <c:numCache>
                <c:formatCode>0</c:formatCode>
                <c:ptCount val="2"/>
                <c:pt idx="0">
                  <c:v>25.761999999999997</c:v>
                </c:pt>
                <c:pt idx="1">
                  <c:v>386.80400000000003</c:v>
                </c:pt>
              </c:numCache>
            </c:numRef>
          </c:val>
          <c:extLst>
            <c:ext xmlns:c16="http://schemas.microsoft.com/office/drawing/2014/chart" uri="{C3380CC4-5D6E-409C-BE32-E72D297353CC}">
              <c16:uniqueId val="{00000001-8F04-4517-869A-45FA4E011E80}"/>
            </c:ext>
          </c:extLst>
        </c:ser>
        <c:dLbls>
          <c:dLblPos val="ctr"/>
          <c:showLegendKey val="0"/>
          <c:showVal val="1"/>
          <c:showCatName val="0"/>
          <c:showSerName val="0"/>
          <c:showPercent val="0"/>
          <c:showBubbleSize val="0"/>
        </c:dLbls>
        <c:gapWidth val="150"/>
        <c:overlap val="100"/>
        <c:axId val="392748176"/>
        <c:axId val="392754448"/>
      </c:barChart>
      <c:catAx>
        <c:axId val="39274817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54448"/>
        <c:crosses val="autoZero"/>
        <c:auto val="1"/>
        <c:lblAlgn val="ctr"/>
        <c:lblOffset val="100"/>
        <c:noMultiLvlLbl val="0"/>
      </c:catAx>
      <c:valAx>
        <c:axId val="3927544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48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[20190516_Myanmar_WASH_4W_2019_Q1_Consolidate.xlsx]Analysis!S_water1</c:name>
    <c:fmtId val="6"/>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Shan (North) - Water Point Coverage</a:t>
            </a:r>
            <a:endParaRPr lang="en-US" sz="1200">
              <a:effectLst/>
            </a:endParaRPr>
          </a:p>
          <a:p>
            <a:pPr>
              <a:defRPr sz="1200"/>
            </a:pPr>
            <a:r>
              <a:rPr lang="en-US" sz="1200" b="1" i="0" baseline="0">
                <a:effectLst/>
              </a:rPr>
              <a:t>in active camps</a:t>
            </a:r>
            <a:endParaRPr lang="en-US" sz="1200">
              <a:effectLst/>
            </a:endParaRPr>
          </a:p>
        </c:rich>
      </c:tx>
      <c:layout>
        <c:manualLayout>
          <c:xMode val="edge"/>
          <c:yMode val="edge"/>
          <c:x val="0.28129855643044621"/>
          <c:y val="4.15045395590142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lumMod val="40000"/>
              <a:lumOff val="60000"/>
            </a:schemeClr>
          </a:solidFill>
          <a:ln>
            <a:noFill/>
          </a:ln>
          <a:effectLst/>
        </c:spPr>
        <c:dLbl>
          <c:idx val="0"/>
          <c:layout>
            <c:manualLayout>
              <c:x val="-8.3333333333333332E-3"/>
              <c:y val="-6.225680933852140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Analysis!$Q$50</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Analysis!$P$51</c:f>
              <c:strCache>
                <c:ptCount val="1"/>
                <c:pt idx="0">
                  <c:v>GCA (500:1)</c:v>
                </c:pt>
              </c:strCache>
            </c:strRef>
          </c:cat>
          <c:val>
            <c:numRef>
              <c:f>Analysis!$Q$51</c:f>
              <c:numCache>
                <c:formatCode>0</c:formatCode>
                <c:ptCount val="1"/>
                <c:pt idx="0">
                  <c:v>13.340266666666668</c:v>
                </c:pt>
              </c:numCache>
            </c:numRef>
          </c:val>
          <c:extLst>
            <c:ext xmlns:c16="http://schemas.microsoft.com/office/drawing/2014/chart" uri="{C3380CC4-5D6E-409C-BE32-E72D297353CC}">
              <c16:uniqueId val="{00000000-2493-4EA9-A23B-56B7A955352E}"/>
            </c:ext>
          </c:extLst>
        </c:ser>
        <c:ser>
          <c:idx val="1"/>
          <c:order val="1"/>
          <c:tx>
            <c:strRef>
              <c:f>Analysis!$R$50</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Analysis!$P$51</c:f>
              <c:strCache>
                <c:ptCount val="1"/>
                <c:pt idx="0">
                  <c:v>GCA (500:1)</c:v>
                </c:pt>
              </c:strCache>
            </c:strRef>
          </c:cat>
          <c:val>
            <c:numRef>
              <c:f>Analysis!$R$51</c:f>
              <c:numCache>
                <c:formatCode>0</c:formatCode>
                <c:ptCount val="1"/>
                <c:pt idx="0">
                  <c:v>22.077733333333331</c:v>
                </c:pt>
              </c:numCache>
            </c:numRef>
          </c:val>
          <c:extLst>
            <c:ext xmlns:c16="http://schemas.microsoft.com/office/drawing/2014/chart" uri="{C3380CC4-5D6E-409C-BE32-E72D297353CC}">
              <c16:uniqueId val="{00000001-2493-4EA9-A23B-56B7A955352E}"/>
            </c:ext>
          </c:extLst>
        </c:ser>
        <c:dLbls>
          <c:dLblPos val="ctr"/>
          <c:showLegendKey val="0"/>
          <c:showVal val="1"/>
          <c:showCatName val="0"/>
          <c:showSerName val="0"/>
          <c:showPercent val="0"/>
          <c:showBubbleSize val="0"/>
        </c:dLbls>
        <c:gapWidth val="150"/>
        <c:overlap val="100"/>
        <c:axId val="395279088"/>
        <c:axId val="395281832"/>
      </c:barChart>
      <c:catAx>
        <c:axId val="3952790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281832"/>
        <c:crosses val="autoZero"/>
        <c:auto val="1"/>
        <c:lblAlgn val="ctr"/>
        <c:lblOffset val="100"/>
        <c:noMultiLvlLbl val="0"/>
      </c:catAx>
      <c:valAx>
        <c:axId val="39528183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279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a:p>
            <a:pPr>
              <a:defRPr sz="1400"/>
            </a:pPr>
            <a:r>
              <a:rPr lang="en-US" sz="1400" b="1" i="0" baseline="0">
                <a:effectLst/>
              </a:rPr>
              <a:t>in active camps</a:t>
            </a:r>
          </a:p>
          <a:p>
            <a:pPr>
              <a:defRPr sz="1400"/>
            </a:pPr>
            <a:r>
              <a:rPr lang="en-US" sz="1400" b="1" i="0" baseline="0">
                <a:effectLst/>
              </a:rPr>
              <a:t>Kachin</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Analysis!$J$241</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Analysis!$I$242:$I$245</c:f>
              <c:strCache>
                <c:ptCount val="4"/>
                <c:pt idx="0">
                  <c:v>#HH reached by regular dedicated hygiene promotion</c:v>
                </c:pt>
                <c:pt idx="1">
                  <c:v>#HH with access to Hand Washing Station</c:v>
                </c:pt>
                <c:pt idx="2">
                  <c:v># HH received soaps</c:v>
                </c:pt>
                <c:pt idx="3">
                  <c:v># HH received Sanitary Pads</c:v>
                </c:pt>
              </c:strCache>
            </c:strRef>
          </c:cat>
          <c:val>
            <c:numRef>
              <c:f>Analysis!$J$242:$J$245</c:f>
              <c:numCache>
                <c:formatCode>0</c:formatCode>
                <c:ptCount val="4"/>
                <c:pt idx="0">
                  <c:v>9141</c:v>
                </c:pt>
                <c:pt idx="1">
                  <c:v>4574</c:v>
                </c:pt>
                <c:pt idx="2">
                  <c:v>4188</c:v>
                </c:pt>
                <c:pt idx="3">
                  <c:v>2004</c:v>
                </c:pt>
              </c:numCache>
            </c:numRef>
          </c:val>
          <c:extLst>
            <c:ext xmlns:c16="http://schemas.microsoft.com/office/drawing/2014/chart" uri="{C3380CC4-5D6E-409C-BE32-E72D297353CC}">
              <c16:uniqueId val="{00000000-8A12-41BD-89DE-DD9C030FDA43}"/>
            </c:ext>
          </c:extLst>
        </c:ser>
        <c:ser>
          <c:idx val="1"/>
          <c:order val="1"/>
          <c:tx>
            <c:strRef>
              <c:f>Analysis!$K$241</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Analysis!$I$242:$I$245</c:f>
              <c:strCache>
                <c:ptCount val="4"/>
                <c:pt idx="0">
                  <c:v>#HH reached by regular dedicated hygiene promotion</c:v>
                </c:pt>
                <c:pt idx="1">
                  <c:v>#HH with access to Hand Washing Station</c:v>
                </c:pt>
                <c:pt idx="2">
                  <c:v># HH received soaps</c:v>
                </c:pt>
                <c:pt idx="3">
                  <c:v># HH received Sanitary Pads</c:v>
                </c:pt>
              </c:strCache>
            </c:strRef>
          </c:cat>
          <c:val>
            <c:numRef>
              <c:f>Analysis!$K$242:$K$245</c:f>
              <c:numCache>
                <c:formatCode>0</c:formatCode>
                <c:ptCount val="4"/>
                <c:pt idx="0">
                  <c:v>9315</c:v>
                </c:pt>
                <c:pt idx="1">
                  <c:v>13882</c:v>
                </c:pt>
                <c:pt idx="2">
                  <c:v>14268</c:v>
                </c:pt>
                <c:pt idx="3">
                  <c:v>16452</c:v>
                </c:pt>
              </c:numCache>
            </c:numRef>
          </c:val>
          <c:extLst>
            <c:ext xmlns:c16="http://schemas.microsoft.com/office/drawing/2014/chart" uri="{C3380CC4-5D6E-409C-BE32-E72D297353CC}">
              <c16:uniqueId val="{00000001-8A12-41BD-89DE-DD9C030FDA43}"/>
            </c:ext>
          </c:extLst>
        </c:ser>
        <c:dLbls>
          <c:dLblPos val="ctr"/>
          <c:showLegendKey val="0"/>
          <c:showVal val="1"/>
          <c:showCatName val="0"/>
          <c:showSerName val="0"/>
          <c:showPercent val="0"/>
          <c:showBubbleSize val="0"/>
        </c:dLbls>
        <c:gapWidth val="150"/>
        <c:overlap val="100"/>
        <c:axId val="395280264"/>
        <c:axId val="395281048"/>
      </c:barChart>
      <c:catAx>
        <c:axId val="3952802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281048"/>
        <c:crosses val="autoZero"/>
        <c:auto val="1"/>
        <c:lblAlgn val="ctr"/>
        <c:lblOffset val="100"/>
        <c:noMultiLvlLbl val="0"/>
      </c:catAx>
      <c:valAx>
        <c:axId val="3952810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280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sz="900"/>
              <a:t>% of Sites</a:t>
            </a:r>
            <a:r>
              <a:rPr lang="en-US" sz="900" baseline="0"/>
              <a:t> which made w</a:t>
            </a:r>
            <a:r>
              <a:rPr lang="en-US" sz="900"/>
              <a:t>ater quality test</a:t>
            </a:r>
            <a:r>
              <a:rPr lang="en-US" sz="900" baseline="0"/>
              <a:t> </a:t>
            </a:r>
          </a:p>
          <a:p>
            <a:pPr>
              <a:defRPr sz="900"/>
            </a:pPr>
            <a:r>
              <a:rPr lang="en-US" sz="900" baseline="0"/>
              <a:t>in Kachin</a:t>
            </a:r>
            <a:endParaRPr lang="en-US" sz="900"/>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Analysis!$B$81</c:f>
              <c:strCache>
                <c:ptCount val="1"/>
                <c:pt idx="0">
                  <c:v>Kachin</c:v>
                </c:pt>
              </c:strCache>
            </c:strRef>
          </c:tx>
          <c:dPt>
            <c:idx val="0"/>
            <c:bubble3D val="0"/>
            <c:spPr>
              <a:solidFill>
                <a:schemeClr val="accent1">
                  <a:lumMod val="40000"/>
                  <a:lumOff val="60000"/>
                </a:schemeClr>
              </a:solidFill>
              <a:ln>
                <a:noFill/>
              </a:ln>
              <a:effectLst/>
            </c:spPr>
            <c:extLst>
              <c:ext xmlns:c16="http://schemas.microsoft.com/office/drawing/2014/chart" uri="{C3380CC4-5D6E-409C-BE32-E72D297353CC}">
                <c16:uniqueId val="{00000001-E449-4A60-AF8D-062AC400A4E0}"/>
              </c:ext>
            </c:extLst>
          </c:dPt>
          <c:dPt>
            <c:idx val="1"/>
            <c:bubble3D val="0"/>
            <c:spPr>
              <a:solidFill>
                <a:srgbClr val="0070C0"/>
              </a:solidFill>
              <a:ln>
                <a:noFill/>
              </a:ln>
              <a:effectLst/>
            </c:spPr>
            <c:extLst>
              <c:ext xmlns:c16="http://schemas.microsoft.com/office/drawing/2014/chart" uri="{C3380CC4-5D6E-409C-BE32-E72D297353CC}">
                <c16:uniqueId val="{00000003-E449-4A60-AF8D-062AC400A4E0}"/>
              </c:ext>
            </c:extLst>
          </c:dPt>
          <c:dLbls>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3-E449-4A60-AF8D-062AC400A4E0}"/>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Analysis!$C$80:$D$80</c:f>
              <c:strCache>
                <c:ptCount val="2"/>
                <c:pt idx="0">
                  <c:v>No Test</c:v>
                </c:pt>
                <c:pt idx="1">
                  <c:v>Tested</c:v>
                </c:pt>
              </c:strCache>
            </c:strRef>
          </c:cat>
          <c:val>
            <c:numRef>
              <c:f>Analysis!$C$81:$D$81</c:f>
              <c:numCache>
                <c:formatCode>General</c:formatCode>
                <c:ptCount val="2"/>
                <c:pt idx="0">
                  <c:v>118</c:v>
                </c:pt>
                <c:pt idx="1">
                  <c:v>16</c:v>
                </c:pt>
              </c:numCache>
            </c:numRef>
          </c:val>
          <c:extLst>
            <c:ext xmlns:c16="http://schemas.microsoft.com/office/drawing/2014/chart" uri="{C3380CC4-5D6E-409C-BE32-E72D297353CC}">
              <c16:uniqueId val="{00000004-E449-4A60-AF8D-062AC400A4E0}"/>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Analysis!$B$82</c15:sqref>
                        </c15:formulaRef>
                      </c:ext>
                    </c:extLst>
                    <c:strCache>
                      <c:ptCount val="1"/>
                      <c:pt idx="0">
                        <c:v>Rakhine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6-E449-4A60-AF8D-062AC400A4E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8-E449-4A60-AF8D-062AC400A4E0}"/>
                    </c:ext>
                  </c:extLst>
                </c:dPt>
                <c:cat>
                  <c:strRef>
                    <c:extLst>
                      <c:ext uri="{02D57815-91ED-43cb-92C2-25804820EDAC}">
                        <c15:formulaRef>
                          <c15:sqref>Analysis!$C$80:$D$80</c15:sqref>
                        </c15:formulaRef>
                      </c:ext>
                    </c:extLst>
                    <c:strCache>
                      <c:ptCount val="2"/>
                      <c:pt idx="0">
                        <c:v>No Test</c:v>
                      </c:pt>
                      <c:pt idx="1">
                        <c:v>Tested</c:v>
                      </c:pt>
                    </c:strCache>
                  </c:strRef>
                </c:cat>
                <c:val>
                  <c:numRef>
                    <c:extLst>
                      <c:ext uri="{02D57815-91ED-43cb-92C2-25804820EDAC}">
                        <c15:formulaRef>
                          <c15:sqref>Analysis!$C$82:$D$82</c15:sqref>
                        </c15:formulaRef>
                      </c:ext>
                    </c:extLst>
                    <c:numCache>
                      <c:formatCode>General</c:formatCode>
                      <c:ptCount val="2"/>
                      <c:pt idx="0">
                        <c:v>7</c:v>
                      </c:pt>
                      <c:pt idx="1">
                        <c:v>18</c:v>
                      </c:pt>
                    </c:numCache>
                  </c:numRef>
                </c:val>
                <c:extLst>
                  <c:ext xmlns:c16="http://schemas.microsoft.com/office/drawing/2014/chart" uri="{C3380CC4-5D6E-409C-BE32-E72D297353CC}">
                    <c16:uniqueId val="{00000009-E449-4A60-AF8D-062AC400A4E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Analysis!$B$83</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E449-4A60-AF8D-062AC400A4E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D-E449-4A60-AF8D-062AC400A4E0}"/>
                    </c:ext>
                  </c:extLst>
                </c:dPt>
                <c:cat>
                  <c:strRef>
                    <c:extLst xmlns:c15="http://schemas.microsoft.com/office/drawing/2012/chart">
                      <c:ext xmlns:c15="http://schemas.microsoft.com/office/drawing/2012/chart" uri="{02D57815-91ED-43cb-92C2-25804820EDAC}">
                        <c15:formulaRef>
                          <c15:sqref>Analysis!$C$80:$D$80</c15:sqref>
                        </c15:formulaRef>
                      </c:ext>
                    </c:extLst>
                    <c:strCache>
                      <c:ptCount val="2"/>
                      <c:pt idx="0">
                        <c:v>No Test</c:v>
                      </c:pt>
                      <c:pt idx="1">
                        <c:v>Tested</c:v>
                      </c:pt>
                    </c:strCache>
                  </c:strRef>
                </c:cat>
                <c:val>
                  <c:numRef>
                    <c:extLst xmlns:c15="http://schemas.microsoft.com/office/drawing/2012/chart">
                      <c:ext xmlns:c15="http://schemas.microsoft.com/office/drawing/2012/chart" uri="{02D57815-91ED-43cb-92C2-25804820EDAC}">
                        <c15:formulaRef>
                          <c15:sqref>Analysis!$C$83:$D$83</c15:sqref>
                        </c15:formulaRef>
                      </c:ext>
                    </c:extLst>
                    <c:numCache>
                      <c:formatCode>General</c:formatCode>
                      <c:ptCount val="2"/>
                      <c:pt idx="0">
                        <c:v>14</c:v>
                      </c:pt>
                      <c:pt idx="1">
                        <c:v>14</c:v>
                      </c:pt>
                    </c:numCache>
                  </c:numRef>
                </c:val>
                <c:extLst xmlns:c15="http://schemas.microsoft.com/office/drawing/2012/chart">
                  <c:ext xmlns:c16="http://schemas.microsoft.com/office/drawing/2014/chart" uri="{C3380CC4-5D6E-409C-BE32-E72D297353CC}">
                    <c16:uniqueId val="{0000000E-E449-4A60-AF8D-062AC400A4E0}"/>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sz="900"/>
              <a:t>% of Sites</a:t>
            </a:r>
            <a:r>
              <a:rPr lang="en-US" sz="900" baseline="0"/>
              <a:t> which made w</a:t>
            </a:r>
            <a:r>
              <a:rPr lang="en-US" sz="900"/>
              <a:t>ater quality test</a:t>
            </a:r>
            <a:r>
              <a:rPr lang="en-US" sz="900" baseline="0"/>
              <a:t> </a:t>
            </a:r>
          </a:p>
          <a:p>
            <a:pPr>
              <a:defRPr sz="900"/>
            </a:pPr>
            <a:r>
              <a:rPr lang="en-US" sz="900" baseline="0"/>
              <a:t>in Rakhine</a:t>
            </a:r>
            <a:endParaRPr lang="en-US" sz="900"/>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autoTitleDeleted val="0"/>
    <c:plotArea>
      <c:layout/>
      <c:pieChart>
        <c:varyColors val="1"/>
        <c:ser>
          <c:idx val="1"/>
          <c:order val="1"/>
          <c:tx>
            <c:strRef>
              <c:f>Analysis!$B$82</c:f>
              <c:strCache>
                <c:ptCount val="1"/>
                <c:pt idx="0">
                  <c:v>Rakhine</c:v>
                </c:pt>
              </c:strCache>
              <c:extLst xmlns:c15="http://schemas.microsoft.com/office/drawing/2012/chart"/>
            </c:strRef>
          </c:tx>
          <c:dPt>
            <c:idx val="0"/>
            <c:bubble3D val="0"/>
            <c:spPr>
              <a:solidFill>
                <a:schemeClr val="accent1">
                  <a:lumMod val="40000"/>
                  <a:lumOff val="60000"/>
                </a:schemeClr>
              </a:solidFill>
              <a:ln>
                <a:noFill/>
              </a:ln>
              <a:effectLst/>
            </c:spPr>
            <c:extLst>
              <c:ext xmlns:c16="http://schemas.microsoft.com/office/drawing/2014/chart" uri="{C3380CC4-5D6E-409C-BE32-E72D297353CC}">
                <c16:uniqueId val="{00000001-FD78-4584-8A9F-AE81D870BE41}"/>
              </c:ext>
            </c:extLst>
          </c:dPt>
          <c:dPt>
            <c:idx val="1"/>
            <c:bubble3D val="0"/>
            <c:spPr>
              <a:solidFill>
                <a:srgbClr val="0070C0"/>
              </a:solidFill>
              <a:ln>
                <a:noFill/>
              </a:ln>
              <a:effectLst/>
            </c:spPr>
            <c:extLst>
              <c:ext xmlns:c16="http://schemas.microsoft.com/office/drawing/2014/chart" uri="{C3380CC4-5D6E-409C-BE32-E72D297353CC}">
                <c16:uniqueId val="{00000003-FD78-4584-8A9F-AE81D870BE41}"/>
              </c:ext>
            </c:extLst>
          </c:dPt>
          <c:dLbls>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3-FD78-4584-8A9F-AE81D870BE41}"/>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Analysis!$C$80:$D$80</c:f>
              <c:strCache>
                <c:ptCount val="2"/>
                <c:pt idx="0">
                  <c:v>No Test</c:v>
                </c:pt>
                <c:pt idx="1">
                  <c:v>Tested</c:v>
                </c:pt>
              </c:strCache>
              <c:extLst xmlns:c15="http://schemas.microsoft.com/office/drawing/2012/chart"/>
            </c:strRef>
          </c:cat>
          <c:val>
            <c:numRef>
              <c:f>Analysis!$C$82:$D$82</c:f>
              <c:numCache>
                <c:formatCode>General</c:formatCode>
                <c:ptCount val="2"/>
                <c:pt idx="0">
                  <c:v>7</c:v>
                </c:pt>
                <c:pt idx="1">
                  <c:v>18</c:v>
                </c:pt>
              </c:numCache>
              <c:extLst xmlns:c15="http://schemas.microsoft.com/office/drawing/2012/chart"/>
            </c:numRef>
          </c:val>
          <c:extLst>
            <c:ext xmlns:c16="http://schemas.microsoft.com/office/drawing/2014/chart" uri="{C3380CC4-5D6E-409C-BE32-E72D297353CC}">
              <c16:uniqueId val="{00000004-FD78-4584-8A9F-AE81D870BE41}"/>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Analysis!$B$81</c15:sqref>
                        </c15:formulaRef>
                      </c:ext>
                    </c:extLst>
                    <c:strCache>
                      <c:ptCount val="1"/>
                      <c:pt idx="0">
                        <c:v>Kachin</c:v>
                      </c:pt>
                    </c:strCache>
                  </c:strRef>
                </c:tx>
                <c:dPt>
                  <c:idx val="0"/>
                  <c:bubble3D val="0"/>
                  <c:spPr>
                    <a:solidFill>
                      <a:schemeClr val="accent1">
                        <a:lumMod val="40000"/>
                        <a:lumOff val="60000"/>
                      </a:schemeClr>
                    </a:solidFill>
                    <a:ln>
                      <a:noFill/>
                    </a:ln>
                    <a:effectLst/>
                  </c:spPr>
                  <c:extLst>
                    <c:ext xmlns:c16="http://schemas.microsoft.com/office/drawing/2014/chart" uri="{C3380CC4-5D6E-409C-BE32-E72D297353CC}">
                      <c16:uniqueId val="{00000006-FD78-4584-8A9F-AE81D870BE41}"/>
                    </c:ext>
                  </c:extLst>
                </c:dPt>
                <c:dPt>
                  <c:idx val="1"/>
                  <c:bubble3D val="0"/>
                  <c:spPr>
                    <a:solidFill>
                      <a:srgbClr val="0070C0"/>
                    </a:solidFill>
                    <a:ln>
                      <a:noFill/>
                    </a:ln>
                    <a:effectLst/>
                  </c:spPr>
                  <c:extLst>
                    <c:ext xmlns:c16="http://schemas.microsoft.com/office/drawing/2014/chart" uri="{C3380CC4-5D6E-409C-BE32-E72D297353CC}">
                      <c16:uniqueId val="{00000008-FD78-4584-8A9F-AE81D870BE41}"/>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6-FD78-4584-8A9F-AE81D870BE41}"/>
                      </c:ext>
                    </c:extLst>
                  </c:dLbl>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8-FD78-4584-8A9F-AE81D870BE4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Analysis!$C$80:$D$80</c15:sqref>
                        </c15:formulaRef>
                      </c:ext>
                    </c:extLst>
                    <c:strCache>
                      <c:ptCount val="2"/>
                      <c:pt idx="0">
                        <c:v>No Test</c:v>
                      </c:pt>
                      <c:pt idx="1">
                        <c:v>Tested</c:v>
                      </c:pt>
                    </c:strCache>
                  </c:strRef>
                </c:cat>
                <c:val>
                  <c:numRef>
                    <c:extLst>
                      <c:ext uri="{02D57815-91ED-43cb-92C2-25804820EDAC}">
                        <c15:formulaRef>
                          <c15:sqref>Analysis!$C$81:$D$81</c15:sqref>
                        </c15:formulaRef>
                      </c:ext>
                    </c:extLst>
                    <c:numCache>
                      <c:formatCode>General</c:formatCode>
                      <c:ptCount val="2"/>
                      <c:pt idx="0">
                        <c:v>118</c:v>
                      </c:pt>
                      <c:pt idx="1">
                        <c:v>16</c:v>
                      </c:pt>
                    </c:numCache>
                  </c:numRef>
                </c:val>
                <c:extLst>
                  <c:ext xmlns:c16="http://schemas.microsoft.com/office/drawing/2014/chart" uri="{C3380CC4-5D6E-409C-BE32-E72D297353CC}">
                    <c16:uniqueId val="{00000009-FD78-4584-8A9F-AE81D870BE41}"/>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Analysis!$B$83</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FD78-4584-8A9F-AE81D870BE41}"/>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D-FD78-4584-8A9F-AE81D870BE41}"/>
                    </c:ext>
                  </c:extLst>
                </c:dPt>
                <c:cat>
                  <c:strRef>
                    <c:extLst xmlns:c15="http://schemas.microsoft.com/office/drawing/2012/chart">
                      <c:ext xmlns:c15="http://schemas.microsoft.com/office/drawing/2012/chart" uri="{02D57815-91ED-43cb-92C2-25804820EDAC}">
                        <c15:formulaRef>
                          <c15:sqref>Analysis!$C$80:$D$80</c15:sqref>
                        </c15:formulaRef>
                      </c:ext>
                    </c:extLst>
                    <c:strCache>
                      <c:ptCount val="2"/>
                      <c:pt idx="0">
                        <c:v>No Test</c:v>
                      </c:pt>
                      <c:pt idx="1">
                        <c:v>Tested</c:v>
                      </c:pt>
                    </c:strCache>
                  </c:strRef>
                </c:cat>
                <c:val>
                  <c:numRef>
                    <c:extLst xmlns:c15="http://schemas.microsoft.com/office/drawing/2012/chart">
                      <c:ext xmlns:c15="http://schemas.microsoft.com/office/drawing/2012/chart" uri="{02D57815-91ED-43cb-92C2-25804820EDAC}">
                        <c15:formulaRef>
                          <c15:sqref>Analysis!$C$83:$D$83</c15:sqref>
                        </c15:formulaRef>
                      </c:ext>
                    </c:extLst>
                    <c:numCache>
                      <c:formatCode>General</c:formatCode>
                      <c:ptCount val="2"/>
                      <c:pt idx="0">
                        <c:v>14</c:v>
                      </c:pt>
                      <c:pt idx="1">
                        <c:v>14</c:v>
                      </c:pt>
                    </c:numCache>
                  </c:numRef>
                </c:val>
                <c:extLst xmlns:c15="http://schemas.microsoft.com/office/drawing/2012/chart">
                  <c:ext xmlns:c16="http://schemas.microsoft.com/office/drawing/2014/chart" uri="{C3380CC4-5D6E-409C-BE32-E72D297353CC}">
                    <c16:uniqueId val="{0000000E-FD78-4584-8A9F-AE81D870BE41}"/>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sz="900"/>
              <a:t>% of Sites</a:t>
            </a:r>
            <a:r>
              <a:rPr lang="en-US" sz="900" baseline="0"/>
              <a:t> which made w</a:t>
            </a:r>
            <a:r>
              <a:rPr lang="en-US" sz="900"/>
              <a:t>ater quality test</a:t>
            </a:r>
            <a:r>
              <a:rPr lang="en-US" sz="900" baseline="0"/>
              <a:t> </a:t>
            </a:r>
          </a:p>
          <a:p>
            <a:pPr>
              <a:defRPr sz="900"/>
            </a:pPr>
            <a:r>
              <a:rPr lang="en-US" sz="900" baseline="0"/>
              <a:t>in Shan (North)</a:t>
            </a:r>
            <a:endParaRPr lang="en-US" sz="900"/>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autoTitleDeleted val="0"/>
    <c:plotArea>
      <c:layout/>
      <c:pieChart>
        <c:varyColors val="1"/>
        <c:ser>
          <c:idx val="2"/>
          <c:order val="2"/>
          <c:tx>
            <c:strRef>
              <c:f>Analysis!$B$83</c:f>
              <c:strCache>
                <c:ptCount val="1"/>
                <c:pt idx="0">
                  <c:v>Shan (North)</c:v>
                </c:pt>
              </c:strCache>
              <c:extLst xmlns:c15="http://schemas.microsoft.com/office/drawing/2012/chart"/>
            </c:strRef>
          </c:tx>
          <c:dPt>
            <c:idx val="0"/>
            <c:bubble3D val="0"/>
            <c:spPr>
              <a:solidFill>
                <a:schemeClr val="accent1">
                  <a:lumMod val="40000"/>
                  <a:lumOff val="60000"/>
                </a:schemeClr>
              </a:solidFill>
              <a:ln>
                <a:noFill/>
              </a:ln>
              <a:effectLst/>
            </c:spPr>
            <c:extLst>
              <c:ext xmlns:c16="http://schemas.microsoft.com/office/drawing/2014/chart" uri="{C3380CC4-5D6E-409C-BE32-E72D297353CC}">
                <c16:uniqueId val="{00000001-86F1-4846-8074-E55332D46B85}"/>
              </c:ext>
            </c:extLst>
          </c:dPt>
          <c:dPt>
            <c:idx val="1"/>
            <c:bubble3D val="0"/>
            <c:spPr>
              <a:solidFill>
                <a:srgbClr val="0070C0"/>
              </a:solidFill>
              <a:ln>
                <a:noFill/>
              </a:ln>
              <a:effectLst/>
            </c:spPr>
            <c:extLst>
              <c:ext xmlns:c16="http://schemas.microsoft.com/office/drawing/2014/chart" uri="{C3380CC4-5D6E-409C-BE32-E72D297353CC}">
                <c16:uniqueId val="{00000003-86F1-4846-8074-E55332D46B85}"/>
              </c:ext>
            </c:extLst>
          </c:dPt>
          <c:dLbls>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3-86F1-4846-8074-E55332D46B85}"/>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Analysis!$C$80:$D$80</c:f>
              <c:strCache>
                <c:ptCount val="2"/>
                <c:pt idx="0">
                  <c:v>No Test</c:v>
                </c:pt>
                <c:pt idx="1">
                  <c:v>Tested</c:v>
                </c:pt>
              </c:strCache>
              <c:extLst xmlns:c15="http://schemas.microsoft.com/office/drawing/2012/chart"/>
            </c:strRef>
          </c:cat>
          <c:val>
            <c:numRef>
              <c:f>Analysis!$C$83:$D$83</c:f>
              <c:numCache>
                <c:formatCode>General</c:formatCode>
                <c:ptCount val="2"/>
                <c:pt idx="0">
                  <c:v>14</c:v>
                </c:pt>
                <c:pt idx="1">
                  <c:v>14</c:v>
                </c:pt>
              </c:numCache>
              <c:extLst xmlns:c15="http://schemas.microsoft.com/office/drawing/2012/chart"/>
            </c:numRef>
          </c:val>
          <c:extLst>
            <c:ext xmlns:c16="http://schemas.microsoft.com/office/drawing/2014/chart" uri="{C3380CC4-5D6E-409C-BE32-E72D297353CC}">
              <c16:uniqueId val="{00000004-86F1-4846-8074-E55332D46B85}"/>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Analysis!$B$81</c15:sqref>
                        </c15:formulaRef>
                      </c:ext>
                    </c:extLst>
                    <c:strCache>
                      <c:ptCount val="1"/>
                      <c:pt idx="0">
                        <c:v>Kachin</c:v>
                      </c:pt>
                    </c:strCache>
                  </c:strRef>
                </c:tx>
                <c:dPt>
                  <c:idx val="0"/>
                  <c:bubble3D val="0"/>
                  <c:spPr>
                    <a:solidFill>
                      <a:schemeClr val="accent1">
                        <a:lumMod val="40000"/>
                        <a:lumOff val="60000"/>
                      </a:schemeClr>
                    </a:solidFill>
                    <a:ln>
                      <a:noFill/>
                    </a:ln>
                    <a:effectLst/>
                  </c:spPr>
                  <c:extLst>
                    <c:ext xmlns:c16="http://schemas.microsoft.com/office/drawing/2014/chart" uri="{C3380CC4-5D6E-409C-BE32-E72D297353CC}">
                      <c16:uniqueId val="{00000006-86F1-4846-8074-E55332D46B85}"/>
                    </c:ext>
                  </c:extLst>
                </c:dPt>
                <c:dPt>
                  <c:idx val="1"/>
                  <c:bubble3D val="0"/>
                  <c:spPr>
                    <a:solidFill>
                      <a:srgbClr val="0070C0"/>
                    </a:solidFill>
                    <a:ln>
                      <a:noFill/>
                    </a:ln>
                    <a:effectLst/>
                  </c:spPr>
                  <c:extLst>
                    <c:ext xmlns:c16="http://schemas.microsoft.com/office/drawing/2014/chart" uri="{C3380CC4-5D6E-409C-BE32-E72D297353CC}">
                      <c16:uniqueId val="{00000008-86F1-4846-8074-E55332D46B85}"/>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6-86F1-4846-8074-E55332D46B85}"/>
                      </c:ext>
                    </c:extLst>
                  </c:dLbl>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8-86F1-4846-8074-E55332D46B8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Analysis!$C$80:$D$80</c15:sqref>
                        </c15:formulaRef>
                      </c:ext>
                    </c:extLst>
                    <c:strCache>
                      <c:ptCount val="2"/>
                      <c:pt idx="0">
                        <c:v>No Test</c:v>
                      </c:pt>
                      <c:pt idx="1">
                        <c:v>Tested</c:v>
                      </c:pt>
                    </c:strCache>
                  </c:strRef>
                </c:cat>
                <c:val>
                  <c:numRef>
                    <c:extLst>
                      <c:ext uri="{02D57815-91ED-43cb-92C2-25804820EDAC}">
                        <c15:formulaRef>
                          <c15:sqref>Analysis!$C$81:$D$81</c15:sqref>
                        </c15:formulaRef>
                      </c:ext>
                    </c:extLst>
                    <c:numCache>
                      <c:formatCode>General</c:formatCode>
                      <c:ptCount val="2"/>
                      <c:pt idx="0">
                        <c:v>118</c:v>
                      </c:pt>
                      <c:pt idx="1">
                        <c:v>16</c:v>
                      </c:pt>
                    </c:numCache>
                  </c:numRef>
                </c:val>
                <c:extLst>
                  <c:ext xmlns:c16="http://schemas.microsoft.com/office/drawing/2014/chart" uri="{C3380CC4-5D6E-409C-BE32-E72D297353CC}">
                    <c16:uniqueId val="{00000009-86F1-4846-8074-E55332D46B8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Analysis!$B$82</c15:sqref>
                        </c15:formulaRef>
                      </c:ext>
                    </c:extLst>
                    <c:strCache>
                      <c:ptCount val="1"/>
                      <c:pt idx="0">
                        <c:v>Rakhine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86F1-4846-8074-E55332D46B85}"/>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D-86F1-4846-8074-E55332D46B85}"/>
                    </c:ext>
                  </c:extLst>
                </c:dPt>
                <c:cat>
                  <c:strRef>
                    <c:extLst xmlns:c15="http://schemas.microsoft.com/office/drawing/2012/chart">
                      <c:ext xmlns:c15="http://schemas.microsoft.com/office/drawing/2012/chart" uri="{02D57815-91ED-43cb-92C2-25804820EDAC}">
                        <c15:formulaRef>
                          <c15:sqref>Analysis!$C$80:$D$80</c15:sqref>
                        </c15:formulaRef>
                      </c:ext>
                    </c:extLst>
                    <c:strCache>
                      <c:ptCount val="2"/>
                      <c:pt idx="0">
                        <c:v>No Test</c:v>
                      </c:pt>
                      <c:pt idx="1">
                        <c:v>Tested</c:v>
                      </c:pt>
                    </c:strCache>
                  </c:strRef>
                </c:cat>
                <c:val>
                  <c:numRef>
                    <c:extLst xmlns:c15="http://schemas.microsoft.com/office/drawing/2012/chart">
                      <c:ext xmlns:c15="http://schemas.microsoft.com/office/drawing/2012/chart" uri="{02D57815-91ED-43cb-92C2-25804820EDAC}">
                        <c15:formulaRef>
                          <c15:sqref>Analysis!$C$82:$D$82</c15:sqref>
                        </c15:formulaRef>
                      </c:ext>
                    </c:extLst>
                    <c:numCache>
                      <c:formatCode>General</c:formatCode>
                      <c:ptCount val="2"/>
                      <c:pt idx="0">
                        <c:v>7</c:v>
                      </c:pt>
                      <c:pt idx="1">
                        <c:v>18</c:v>
                      </c:pt>
                    </c:numCache>
                  </c:numRef>
                </c:val>
                <c:extLst xmlns:c15="http://schemas.microsoft.com/office/drawing/2012/chart">
                  <c:ext xmlns:c16="http://schemas.microsoft.com/office/drawing/2014/chart" uri="{C3380CC4-5D6E-409C-BE32-E72D297353CC}">
                    <c16:uniqueId val="{0000000E-86F1-4846-8074-E55332D46B85}"/>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WASH in TLS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Analysis!$D$487</c:f>
              <c:strCache>
                <c:ptCount val="1"/>
                <c:pt idx="0">
                  <c:v> # of hand washing stations with sufficient soap</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Analysis!$C$488:$C$490</c:f>
              <c:strCache>
                <c:ptCount val="3"/>
                <c:pt idx="0">
                  <c:v>Kachin</c:v>
                </c:pt>
                <c:pt idx="1">
                  <c:v>Rakhine</c:v>
                </c:pt>
                <c:pt idx="2">
                  <c:v>Shan (North)</c:v>
                </c:pt>
              </c:strCache>
            </c:strRef>
          </c:cat>
          <c:val>
            <c:numRef>
              <c:f>Analysis!$D$488:$D$490</c:f>
              <c:numCache>
                <c:formatCode>_(* #,##0_);_(* \(#,##0\);_(* "-"??_);_(@_)</c:formatCode>
                <c:ptCount val="3"/>
                <c:pt idx="0">
                  <c:v>0</c:v>
                </c:pt>
                <c:pt idx="1">
                  <c:v>94</c:v>
                </c:pt>
                <c:pt idx="2">
                  <c:v>0</c:v>
                </c:pt>
              </c:numCache>
            </c:numRef>
          </c:val>
          <c:extLst>
            <c:ext xmlns:c16="http://schemas.microsoft.com/office/drawing/2014/chart" uri="{C3380CC4-5D6E-409C-BE32-E72D297353CC}">
              <c16:uniqueId val="{00000000-1F90-4947-B704-CECBAFE22087}"/>
            </c:ext>
          </c:extLst>
        </c:ser>
        <c:ser>
          <c:idx val="1"/>
          <c:order val="1"/>
          <c:tx>
            <c:strRef>
              <c:f>Analysis!$F$487</c:f>
              <c:strCache>
                <c:ptCount val="1"/>
                <c:pt idx="0">
                  <c:v># Hygiene Promotion activities (sessions) in TLS</c:v>
                </c:pt>
              </c:strCache>
            </c:strRef>
          </c:tx>
          <c:spPr>
            <a:solidFill>
              <a:schemeClr val="accent2">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Analysis!$C$488:$C$490</c:f>
              <c:strCache>
                <c:ptCount val="3"/>
                <c:pt idx="0">
                  <c:v>Kachin</c:v>
                </c:pt>
                <c:pt idx="1">
                  <c:v>Rakhine</c:v>
                </c:pt>
                <c:pt idx="2">
                  <c:v>Shan (North)</c:v>
                </c:pt>
              </c:strCache>
            </c:strRef>
          </c:cat>
          <c:val>
            <c:numRef>
              <c:f>Analysis!$F$488:$F$490</c:f>
              <c:numCache>
                <c:formatCode>_(* #,##0_);_(* \(#,##0\);_(* "-"??_);_(@_)</c:formatCode>
                <c:ptCount val="3"/>
                <c:pt idx="0">
                  <c:v>62</c:v>
                </c:pt>
                <c:pt idx="1">
                  <c:v>771</c:v>
                </c:pt>
                <c:pt idx="2">
                  <c:v>0</c:v>
                </c:pt>
              </c:numCache>
            </c:numRef>
          </c:val>
          <c:extLst>
            <c:ext xmlns:c16="http://schemas.microsoft.com/office/drawing/2014/chart" uri="{C3380CC4-5D6E-409C-BE32-E72D297353CC}">
              <c16:uniqueId val="{00000001-1F90-4947-B704-CECBAFE22087}"/>
            </c:ext>
          </c:extLst>
        </c:ser>
        <c:ser>
          <c:idx val="2"/>
          <c:order val="2"/>
          <c:tx>
            <c:strRef>
              <c:f>Analysis!$G$487</c:f>
              <c:strCache>
                <c:ptCount val="1"/>
                <c:pt idx="0">
                  <c:v> # of latrines in TLS (schools)</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Analysis!$C$488:$C$490</c:f>
              <c:strCache>
                <c:ptCount val="3"/>
                <c:pt idx="0">
                  <c:v>Kachin</c:v>
                </c:pt>
                <c:pt idx="1">
                  <c:v>Rakhine</c:v>
                </c:pt>
                <c:pt idx="2">
                  <c:v>Shan (North)</c:v>
                </c:pt>
              </c:strCache>
            </c:strRef>
          </c:cat>
          <c:val>
            <c:numRef>
              <c:f>Analysis!$G$488:$G$490</c:f>
              <c:numCache>
                <c:formatCode>_(* #,##0_);_(* \(#,##0\);_(* "-"??_);_(@_)</c:formatCode>
                <c:ptCount val="3"/>
                <c:pt idx="0">
                  <c:v>81</c:v>
                </c:pt>
                <c:pt idx="1">
                  <c:v>40</c:v>
                </c:pt>
                <c:pt idx="2">
                  <c:v>1</c:v>
                </c:pt>
              </c:numCache>
            </c:numRef>
          </c:val>
          <c:extLst>
            <c:ext xmlns:c16="http://schemas.microsoft.com/office/drawing/2014/chart" uri="{C3380CC4-5D6E-409C-BE32-E72D297353CC}">
              <c16:uniqueId val="{00000002-1F90-4947-B704-CECBAFE22087}"/>
            </c:ext>
          </c:extLst>
        </c:ser>
        <c:ser>
          <c:idx val="3"/>
          <c:order val="3"/>
          <c:tx>
            <c:strRef>
              <c:f>Analysis!$E$487</c:f>
              <c:strCache>
                <c:ptCount val="1"/>
                <c:pt idx="0">
                  <c:v> # of hand washing stations for TLS</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Analysis!$C$488:$C$490</c:f>
              <c:strCache>
                <c:ptCount val="3"/>
                <c:pt idx="0">
                  <c:v>Kachin</c:v>
                </c:pt>
                <c:pt idx="1">
                  <c:v>Rakhine</c:v>
                </c:pt>
                <c:pt idx="2">
                  <c:v>Shan (North)</c:v>
                </c:pt>
              </c:strCache>
            </c:strRef>
          </c:cat>
          <c:val>
            <c:numRef>
              <c:f>Analysis!$E$488:$E$490</c:f>
              <c:numCache>
                <c:formatCode>_(* #,##0_);_(* \(#,##0\);_(* "-"??_);_(@_)</c:formatCode>
                <c:ptCount val="3"/>
                <c:pt idx="0">
                  <c:v>30</c:v>
                </c:pt>
                <c:pt idx="1">
                  <c:v>109</c:v>
                </c:pt>
                <c:pt idx="2">
                  <c:v>0</c:v>
                </c:pt>
              </c:numCache>
            </c:numRef>
          </c:val>
          <c:extLst>
            <c:ext xmlns:c16="http://schemas.microsoft.com/office/drawing/2014/chart" uri="{C3380CC4-5D6E-409C-BE32-E72D297353CC}">
              <c16:uniqueId val="{00000000-F638-439C-8171-FB88F5974E7C}"/>
            </c:ext>
          </c:extLst>
        </c:ser>
        <c:dLbls>
          <c:showLegendKey val="0"/>
          <c:showVal val="0"/>
          <c:showCatName val="0"/>
          <c:showSerName val="0"/>
          <c:showPercent val="0"/>
          <c:showBubbleSize val="0"/>
        </c:dLbls>
        <c:gapWidth val="100"/>
        <c:overlap val="-24"/>
        <c:axId val="395281440"/>
        <c:axId val="395451992"/>
      </c:barChart>
      <c:catAx>
        <c:axId val="3952814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451992"/>
        <c:crosses val="autoZero"/>
        <c:auto val="1"/>
        <c:lblAlgn val="ctr"/>
        <c:lblOffset val="100"/>
        <c:noMultiLvlLbl val="0"/>
      </c:catAx>
      <c:valAx>
        <c:axId val="395451992"/>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281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a:t>
            </a:r>
          </a:p>
        </c:rich>
      </c:tx>
      <c:layout>
        <c:manualLayout>
          <c:xMode val="edge"/>
          <c:yMode val="edge"/>
          <c:x val="0.29720225664478145"/>
          <c:y val="6.0724757148786172E-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8242715540023649"/>
          <c:y val="0.12438199410539522"/>
          <c:w val="0.74816781294686108"/>
          <c:h val="0.59480724896107673"/>
        </c:manualLayout>
      </c:layout>
      <c:barChart>
        <c:barDir val="col"/>
        <c:grouping val="stacked"/>
        <c:varyColors val="0"/>
        <c:ser>
          <c:idx val="0"/>
          <c:order val="0"/>
          <c:tx>
            <c:strRef>
              <c:f>Analysis!$B$143</c:f>
              <c:strCache>
                <c:ptCount val="1"/>
                <c:pt idx="0">
                  <c:v> Coverage </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Analysis!$C$142:$D$142</c:f>
              <c:strCache>
                <c:ptCount val="2"/>
                <c:pt idx="0">
                  <c:v> # in GCA (20:1) </c:v>
                </c:pt>
                <c:pt idx="1">
                  <c:v> # in NGCA (20:1) </c:v>
                </c:pt>
              </c:strCache>
            </c:strRef>
          </c:cat>
          <c:val>
            <c:numRef>
              <c:f>Analysis!$C$143:$D$143</c:f>
              <c:numCache>
                <c:formatCode>_(* #,##0_);_(* \(#,##0\);_(* "-"??_);_(@_)</c:formatCode>
                <c:ptCount val="2"/>
                <c:pt idx="0">
                  <c:v>1985</c:v>
                </c:pt>
                <c:pt idx="1">
                  <c:v>2379</c:v>
                </c:pt>
              </c:numCache>
            </c:numRef>
          </c:val>
          <c:extLst>
            <c:ext xmlns:c16="http://schemas.microsoft.com/office/drawing/2014/chart" uri="{C3380CC4-5D6E-409C-BE32-E72D297353CC}">
              <c16:uniqueId val="{00000000-11DD-45FB-9A7E-843D5E549A65}"/>
            </c:ext>
          </c:extLst>
        </c:ser>
        <c:ser>
          <c:idx val="1"/>
          <c:order val="1"/>
          <c:tx>
            <c:strRef>
              <c:f>Analysis!$B$144</c:f>
              <c:strCache>
                <c:ptCount val="1"/>
                <c:pt idx="0">
                  <c:v> GAP </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Analysis!$C$142:$D$142</c:f>
              <c:strCache>
                <c:ptCount val="2"/>
                <c:pt idx="0">
                  <c:v> # in GCA (20:1) </c:v>
                </c:pt>
                <c:pt idx="1">
                  <c:v> # in NGCA (20:1) </c:v>
                </c:pt>
              </c:strCache>
            </c:strRef>
          </c:cat>
          <c:val>
            <c:numRef>
              <c:f>Analysis!$C$144:$D$144</c:f>
              <c:numCache>
                <c:formatCode>_(* #,##0_);_(* \(#,##0\);_(* "-"??_);_(@_)</c:formatCode>
                <c:ptCount val="2"/>
                <c:pt idx="0">
                  <c:v>393</c:v>
                </c:pt>
                <c:pt idx="1">
                  <c:v>218</c:v>
                </c:pt>
              </c:numCache>
            </c:numRef>
          </c:val>
          <c:extLst>
            <c:ext xmlns:c16="http://schemas.microsoft.com/office/drawing/2014/chart" uri="{C3380CC4-5D6E-409C-BE32-E72D297353CC}">
              <c16:uniqueId val="{00000001-11DD-45FB-9A7E-843D5E549A65}"/>
            </c:ext>
          </c:extLst>
        </c:ser>
        <c:dLbls>
          <c:dLblPos val="ctr"/>
          <c:showLegendKey val="0"/>
          <c:showVal val="1"/>
          <c:showCatName val="0"/>
          <c:showSerName val="0"/>
          <c:showPercent val="0"/>
          <c:showBubbleSize val="0"/>
        </c:dLbls>
        <c:gapWidth val="150"/>
        <c:overlap val="100"/>
        <c:axId val="395450424"/>
        <c:axId val="395455912"/>
      </c:barChart>
      <c:catAx>
        <c:axId val="3954504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455912"/>
        <c:crosses val="autoZero"/>
        <c:auto val="1"/>
        <c:lblAlgn val="ctr"/>
        <c:lblOffset val="100"/>
        <c:noMultiLvlLbl val="0"/>
      </c:catAx>
      <c:valAx>
        <c:axId val="395455912"/>
        <c:scaling>
          <c:orientation val="minMax"/>
          <c:max val="3500"/>
          <c:min val="0"/>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450424"/>
        <c:crosses val="autoZero"/>
        <c:crossBetween val="between"/>
      </c:valAx>
      <c:spPr>
        <a:noFill/>
        <a:ln>
          <a:noFill/>
        </a:ln>
        <a:effectLst/>
      </c:spPr>
    </c:plotArea>
    <c:legend>
      <c:legendPos val="b"/>
      <c:layout>
        <c:manualLayout>
          <c:xMode val="edge"/>
          <c:yMode val="edge"/>
          <c:x val="0.302049734490351"/>
          <c:y val="0.87048214494440412"/>
          <c:w val="0.40905918922419376"/>
          <c:h val="0.1295178550555957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Latrines handed over to families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3652480939882514"/>
          <c:y val="0.13587970253718284"/>
          <c:w val="0.89814814814814814"/>
          <c:h val="0.59974688892629069"/>
        </c:manualLayout>
      </c:layout>
      <c:barChart>
        <c:barDir val="col"/>
        <c:grouping val="stacked"/>
        <c:varyColors val="0"/>
        <c:ser>
          <c:idx val="2"/>
          <c:order val="2"/>
          <c:tx>
            <c:strRef>
              <c:f>Analysis!$B$145</c:f>
              <c:strCache>
                <c:ptCount val="1"/>
                <c:pt idx="0">
                  <c:v> Latrines handed over </c:v>
                </c:pt>
              </c:strCache>
            </c:strRef>
          </c:tx>
          <c:spPr>
            <a:solidFill>
              <a:schemeClr val="accent2">
                <a:lumMod val="75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C4E0-415C-A43D-9C28CBB598A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Analysis!$C$142:$D$142</c:f>
              <c:strCache>
                <c:ptCount val="2"/>
                <c:pt idx="0">
                  <c:v> # in GCA (20:1) </c:v>
                </c:pt>
                <c:pt idx="1">
                  <c:v> # in NGCA (20:1) </c:v>
                </c:pt>
              </c:strCache>
            </c:strRef>
          </c:cat>
          <c:val>
            <c:numRef>
              <c:f>Analysis!$C$145:$D$145</c:f>
              <c:numCache>
                <c:formatCode>_(* #,##0_);_(* \(#,##0\);_(* "-"??_);_(@_)</c:formatCode>
                <c:ptCount val="2"/>
                <c:pt idx="0">
                  <c:v>755</c:v>
                </c:pt>
                <c:pt idx="1">
                  <c:v>800</c:v>
                </c:pt>
              </c:numCache>
            </c:numRef>
          </c:val>
          <c:extLst>
            <c:ext xmlns:c16="http://schemas.microsoft.com/office/drawing/2014/chart" uri="{C3380CC4-5D6E-409C-BE32-E72D297353CC}">
              <c16:uniqueId val="{00000000-EDB8-4005-B0CC-AA882CBF326D}"/>
            </c:ext>
          </c:extLst>
        </c:ser>
        <c:ser>
          <c:idx val="3"/>
          <c:order val="3"/>
          <c:tx>
            <c:strRef>
              <c:f>Analysis!$B$146</c:f>
              <c:strCache>
                <c:ptCount val="1"/>
                <c:pt idx="0">
                  <c:v> Latrines not handed over </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Analysis!$C$142:$D$142</c:f>
              <c:strCache>
                <c:ptCount val="2"/>
                <c:pt idx="0">
                  <c:v> # in GCA (20:1) </c:v>
                </c:pt>
                <c:pt idx="1">
                  <c:v> # in NGCA (20:1) </c:v>
                </c:pt>
              </c:strCache>
            </c:strRef>
          </c:cat>
          <c:val>
            <c:numRef>
              <c:f>Analysis!$C$146:$D$146</c:f>
              <c:numCache>
                <c:formatCode>_(* #,##0_);_(* \(#,##0\);_(* "-"??_);_(@_)</c:formatCode>
                <c:ptCount val="2"/>
                <c:pt idx="0">
                  <c:v>1623</c:v>
                </c:pt>
                <c:pt idx="1">
                  <c:v>1579</c:v>
                </c:pt>
              </c:numCache>
            </c:numRef>
          </c:val>
          <c:extLst>
            <c:ext xmlns:c16="http://schemas.microsoft.com/office/drawing/2014/chart" uri="{C3380CC4-5D6E-409C-BE32-E72D297353CC}">
              <c16:uniqueId val="{00000001-EDB8-4005-B0CC-AA882CBF326D}"/>
            </c:ext>
          </c:extLst>
        </c:ser>
        <c:dLbls>
          <c:showLegendKey val="0"/>
          <c:showVal val="0"/>
          <c:showCatName val="0"/>
          <c:showSerName val="0"/>
          <c:showPercent val="0"/>
          <c:showBubbleSize val="0"/>
        </c:dLbls>
        <c:gapWidth val="150"/>
        <c:overlap val="100"/>
        <c:axId val="395453560"/>
        <c:axId val="395451600"/>
        <c:extLst>
          <c:ext xmlns:c15="http://schemas.microsoft.com/office/drawing/2012/chart" uri="{02D57815-91ED-43cb-92C2-25804820EDAC}">
            <c15:filteredBarSeries>
              <c15:ser>
                <c:idx val="0"/>
                <c:order val="0"/>
                <c:tx>
                  <c:strRef>
                    <c:extLst>
                      <c:ext uri="{02D57815-91ED-43cb-92C2-25804820EDAC}">
                        <c15:formulaRef>
                          <c15:sqref>Analysis!$B$143</c15:sqref>
                        </c15:formulaRef>
                      </c:ext>
                    </c:extLst>
                    <c:strCache>
                      <c:ptCount val="1"/>
                      <c:pt idx="0">
                        <c:v> Coverage </c:v>
                      </c:pt>
                    </c:strCache>
                  </c:strRef>
                </c:tx>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invertIfNegative val="0"/>
                <c:cat>
                  <c:strRef>
                    <c:extLst>
                      <c:ext uri="{02D57815-91ED-43cb-92C2-25804820EDAC}">
                        <c15:formulaRef>
                          <c15:sqref>Analysis!$C$142:$D$142</c15:sqref>
                        </c15:formulaRef>
                      </c:ext>
                    </c:extLst>
                    <c:strCache>
                      <c:ptCount val="2"/>
                      <c:pt idx="0">
                        <c:v> # in GCA (20:1) </c:v>
                      </c:pt>
                      <c:pt idx="1">
                        <c:v> # in NGCA (20:1) </c:v>
                      </c:pt>
                    </c:strCache>
                  </c:strRef>
                </c:cat>
                <c:val>
                  <c:numRef>
                    <c:extLst>
                      <c:ext uri="{02D57815-91ED-43cb-92C2-25804820EDAC}">
                        <c15:formulaRef>
                          <c15:sqref>Analysis!$C$143:$D$143</c15:sqref>
                        </c15:formulaRef>
                      </c:ext>
                    </c:extLst>
                    <c:numCache>
                      <c:formatCode>_(* #,##0_);_(* \(#,##0\);_(* "-"??_);_(@_)</c:formatCode>
                      <c:ptCount val="2"/>
                      <c:pt idx="0">
                        <c:v>1985</c:v>
                      </c:pt>
                      <c:pt idx="1">
                        <c:v>2379</c:v>
                      </c:pt>
                    </c:numCache>
                  </c:numRef>
                </c:val>
                <c:extLst>
                  <c:ext xmlns:c16="http://schemas.microsoft.com/office/drawing/2014/chart" uri="{C3380CC4-5D6E-409C-BE32-E72D297353CC}">
                    <c16:uniqueId val="{00000000-4E65-4764-B72A-B684BBEB32A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Analysis!$B$144</c15:sqref>
                        </c15:formulaRef>
                      </c:ext>
                    </c:extLst>
                    <c:strCache>
                      <c:ptCount val="1"/>
                      <c:pt idx="0">
                        <c:v> GAP </c:v>
                      </c:pt>
                    </c:strCache>
                  </c:strRef>
                </c:tx>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invertIfNegative val="0"/>
                <c:cat>
                  <c:strRef>
                    <c:extLst xmlns:c15="http://schemas.microsoft.com/office/drawing/2012/chart">
                      <c:ext xmlns:c15="http://schemas.microsoft.com/office/drawing/2012/chart" uri="{02D57815-91ED-43cb-92C2-25804820EDAC}">
                        <c15:formulaRef>
                          <c15:sqref>Analysis!$C$142:$D$142</c15:sqref>
                        </c15:formulaRef>
                      </c:ext>
                    </c:extLst>
                    <c:strCache>
                      <c:ptCount val="2"/>
                      <c:pt idx="0">
                        <c:v> # in GCA (20:1) </c:v>
                      </c:pt>
                      <c:pt idx="1">
                        <c:v> # in NGCA (20:1) </c:v>
                      </c:pt>
                    </c:strCache>
                  </c:strRef>
                </c:cat>
                <c:val>
                  <c:numRef>
                    <c:extLst xmlns:c15="http://schemas.microsoft.com/office/drawing/2012/chart">
                      <c:ext xmlns:c15="http://schemas.microsoft.com/office/drawing/2012/chart" uri="{02D57815-91ED-43cb-92C2-25804820EDAC}">
                        <c15:formulaRef>
                          <c15:sqref>Analysis!$C$144:$D$144</c15:sqref>
                        </c15:formulaRef>
                      </c:ext>
                    </c:extLst>
                    <c:numCache>
                      <c:formatCode>_(* #,##0_);_(* \(#,##0\);_(* "-"??_);_(@_)</c:formatCode>
                      <c:ptCount val="2"/>
                      <c:pt idx="0">
                        <c:v>393</c:v>
                      </c:pt>
                      <c:pt idx="1">
                        <c:v>218</c:v>
                      </c:pt>
                    </c:numCache>
                  </c:numRef>
                </c:val>
                <c:extLst xmlns:c15="http://schemas.microsoft.com/office/drawing/2012/chart">
                  <c:ext xmlns:c16="http://schemas.microsoft.com/office/drawing/2014/chart" uri="{C3380CC4-5D6E-409C-BE32-E72D297353CC}">
                    <c16:uniqueId val="{00000002-4E65-4764-B72A-B684BBEB32AF}"/>
                  </c:ext>
                </c:extLst>
              </c15:ser>
            </c15:filteredBarSeries>
          </c:ext>
        </c:extLst>
      </c:barChart>
      <c:catAx>
        <c:axId val="39545356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451600"/>
        <c:crosses val="autoZero"/>
        <c:auto val="1"/>
        <c:lblAlgn val="ctr"/>
        <c:lblOffset val="100"/>
        <c:noMultiLvlLbl val="0"/>
      </c:catAx>
      <c:valAx>
        <c:axId val="395451600"/>
        <c:scaling>
          <c:orientation val="minMax"/>
          <c:max val="3500"/>
          <c:min val="0"/>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453560"/>
        <c:crosses val="autoZero"/>
        <c:crossBetween val="between"/>
      </c:valAx>
      <c:spPr>
        <a:noFill/>
        <a:ln>
          <a:noFill/>
        </a:ln>
        <a:effectLst/>
      </c:spPr>
    </c:plotArea>
    <c:legend>
      <c:legendPos val="b"/>
      <c:layout>
        <c:manualLayout>
          <c:xMode val="edge"/>
          <c:yMode val="edge"/>
          <c:x val="1.8616112254541406E-2"/>
          <c:y val="0.8708280839895014"/>
          <c:w val="0.93504855152966238"/>
          <c:h val="9.2737095363079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Latrine repaired and desludged</a:t>
            </a:r>
            <a:endParaRPr lang="en-US" sz="1400">
              <a:effectLst/>
            </a:endParaRPr>
          </a:p>
        </c:rich>
      </c:tx>
      <c:layout>
        <c:manualLayout>
          <c:xMode val="edge"/>
          <c:yMode val="edge"/>
          <c:x val="0.22438476440444949"/>
          <c:y val="1.666666666666666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2936195475565554"/>
          <c:y val="0.13138888888888889"/>
          <c:w val="0.8269872515935508"/>
          <c:h val="0.5111635068569228"/>
        </c:manualLayout>
      </c:layout>
      <c:barChart>
        <c:barDir val="col"/>
        <c:grouping val="clustered"/>
        <c:varyColors val="0"/>
        <c:ser>
          <c:idx val="0"/>
          <c:order val="0"/>
          <c:tx>
            <c:strRef>
              <c:f>Analysis!$B$147</c:f>
              <c:strCache>
                <c:ptCount val="1"/>
                <c:pt idx="0">
                  <c:v> # Operation &amp; maintenance of latrines </c:v>
                </c:pt>
              </c:strCache>
            </c:strRef>
          </c:tx>
          <c:spPr>
            <a:solidFill>
              <a:schemeClr val="accent2">
                <a:lumMod val="75000"/>
              </a:schemeClr>
            </a:solidFill>
            <a:ln>
              <a:noFill/>
            </a:ln>
            <a:effectLst/>
          </c:spPr>
          <c:invertIfNegative val="0"/>
          <c:dLbls>
            <c:dLbl>
              <c:idx val="0"/>
              <c:layout>
                <c:manualLayout>
                  <c:x val="6.5794586193497952E-3"/>
                  <c:y val="9.88886186418203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CF-4E08-8ACC-53561D274419}"/>
                </c:ext>
              </c:extLst>
            </c:dLbl>
            <c:dLbl>
              <c:idx val="1"/>
              <c:layout>
                <c:manualLayout>
                  <c:x val="0"/>
                  <c:y val="0.1038379689584339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CF-4E08-8ACC-53561D27441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Analysis!$C$142:$D$142</c:f>
              <c:strCache>
                <c:ptCount val="2"/>
                <c:pt idx="0">
                  <c:v> # in GCA (20:1) </c:v>
                </c:pt>
                <c:pt idx="1">
                  <c:v> # in NGCA (20:1) </c:v>
                </c:pt>
              </c:strCache>
            </c:strRef>
          </c:cat>
          <c:val>
            <c:numRef>
              <c:f>Analysis!$C$147:$D$147</c:f>
              <c:numCache>
                <c:formatCode>_(* #,##0_);_(* \(#,##0\);_(* "-"??_);_(@_)</c:formatCode>
                <c:ptCount val="2"/>
                <c:pt idx="0">
                  <c:v>108</c:v>
                </c:pt>
                <c:pt idx="1">
                  <c:v>52</c:v>
                </c:pt>
              </c:numCache>
            </c:numRef>
          </c:val>
          <c:extLst>
            <c:ext xmlns:c16="http://schemas.microsoft.com/office/drawing/2014/chart" uri="{C3380CC4-5D6E-409C-BE32-E72D297353CC}">
              <c16:uniqueId val="{00000000-177F-4830-A166-C2511012B919}"/>
            </c:ext>
          </c:extLst>
        </c:ser>
        <c:ser>
          <c:idx val="1"/>
          <c:order val="1"/>
          <c:tx>
            <c:strRef>
              <c:f>Analysis!$B$148</c:f>
              <c:strCache>
                <c:ptCount val="1"/>
                <c:pt idx="0">
                  <c:v> # latrines desludged </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Analysis!$C$142:$D$142</c:f>
              <c:strCache>
                <c:ptCount val="2"/>
                <c:pt idx="0">
                  <c:v> # in GCA (20:1) </c:v>
                </c:pt>
                <c:pt idx="1">
                  <c:v> # in NGCA (20:1) </c:v>
                </c:pt>
              </c:strCache>
            </c:strRef>
          </c:cat>
          <c:val>
            <c:numRef>
              <c:f>Analysis!$C$148:$D$148</c:f>
              <c:numCache>
                <c:formatCode>_(* #,##0_);_(* \(#,##0\);_(* "-"??_);_(@_)</c:formatCode>
                <c:ptCount val="2"/>
                <c:pt idx="0">
                  <c:v>594</c:v>
                </c:pt>
                <c:pt idx="1">
                  <c:v>7</c:v>
                </c:pt>
              </c:numCache>
            </c:numRef>
          </c:val>
          <c:extLst>
            <c:ext xmlns:c16="http://schemas.microsoft.com/office/drawing/2014/chart" uri="{C3380CC4-5D6E-409C-BE32-E72D297353CC}">
              <c16:uniqueId val="{00000001-177F-4830-A166-C2511012B919}"/>
            </c:ext>
          </c:extLst>
        </c:ser>
        <c:dLbls>
          <c:dLblPos val="inEnd"/>
          <c:showLegendKey val="0"/>
          <c:showVal val="1"/>
          <c:showCatName val="0"/>
          <c:showSerName val="0"/>
          <c:showPercent val="0"/>
          <c:showBubbleSize val="0"/>
        </c:dLbls>
        <c:gapWidth val="100"/>
        <c:overlap val="-24"/>
        <c:axId val="395454344"/>
        <c:axId val="395455128"/>
      </c:barChart>
      <c:catAx>
        <c:axId val="39545434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455128"/>
        <c:crosses val="autoZero"/>
        <c:auto val="1"/>
        <c:lblAlgn val="ctr"/>
        <c:lblOffset val="100"/>
        <c:noMultiLvlLbl val="0"/>
      </c:catAx>
      <c:valAx>
        <c:axId val="395455128"/>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454344"/>
        <c:crosses val="autoZero"/>
        <c:crossBetween val="between"/>
      </c:valAx>
      <c:spPr>
        <a:noFill/>
        <a:ln>
          <a:noFill/>
        </a:ln>
        <a:effectLst/>
      </c:spPr>
    </c:plotArea>
    <c:legend>
      <c:legendPos val="b"/>
      <c:layout>
        <c:manualLayout>
          <c:xMode val="edge"/>
          <c:yMode val="edge"/>
          <c:x val="0.16094236497862971"/>
          <c:y val="0.76844432080779779"/>
          <c:w val="0.67811527004274053"/>
          <c:h val="0.1934991207536596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5190879986155573"/>
          <c:y val="0.23505772657322385"/>
          <c:w val="0.38808398950131229"/>
          <c:h val="0.71010081436328043"/>
        </c:manualLayout>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E5B6-42BD-AEB1-651CA93AFD89}"/>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E5B6-42BD-AEB1-651CA93AFD89}"/>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E5B6-42BD-AEB1-651CA93AFD89}"/>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E5B6-42BD-AEB1-651CA93AFD89}"/>
                </c:ext>
              </c:extLst>
            </c:dLbl>
            <c:dLbl>
              <c:idx val="1"/>
              <c:layout>
                <c:manualLayout>
                  <c:x val="4.5203193350831145E-2"/>
                  <c:y val="5.557414698162729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5B6-42BD-AEB1-651CA93AFD89}"/>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5-E5B6-42BD-AEB1-651CA93AFD8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Analysis!$F$143:$F$145</c:f>
              <c:strCache>
                <c:ptCount val="3"/>
                <c:pt idx="0">
                  <c:v>Functioning</c:v>
                </c:pt>
                <c:pt idx="1">
                  <c:v>Operation &amp; maintenance</c:v>
                </c:pt>
                <c:pt idx="2">
                  <c:v>Desludging</c:v>
                </c:pt>
              </c:strCache>
            </c:strRef>
          </c:cat>
          <c:val>
            <c:numRef>
              <c:f>Analysis!$G$143:$G$145</c:f>
              <c:numCache>
                <c:formatCode>_(* #,##0_);_(* \(#,##0\);_(* "-"??_);_(@_)</c:formatCode>
                <c:ptCount val="3"/>
                <c:pt idx="0" formatCode="General">
                  <c:v>4364</c:v>
                </c:pt>
                <c:pt idx="1">
                  <c:v>160</c:v>
                </c:pt>
                <c:pt idx="2" formatCode="General">
                  <c:v>601</c:v>
                </c:pt>
              </c:numCache>
            </c:numRef>
          </c:val>
          <c:extLst>
            <c:ext xmlns:c16="http://schemas.microsoft.com/office/drawing/2014/chart" uri="{C3380CC4-5D6E-409C-BE32-E72D297353CC}">
              <c16:uniqueId val="{00000006-E5B6-42BD-AEB1-651CA93AFD8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8194079906678329"/>
          <c:y val="0.33213250689701518"/>
          <c:w val="0.28509222805482648"/>
          <c:h val="0.5944137738839984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Latrines handed over to families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7928240287341965"/>
          <c:y val="0.21516200996871984"/>
          <c:w val="0.77586055206596072"/>
          <c:h val="0.36180049039670242"/>
        </c:manualLayout>
      </c:layout>
      <c:barChart>
        <c:barDir val="col"/>
        <c:grouping val="stacked"/>
        <c:varyColors val="0"/>
        <c:ser>
          <c:idx val="0"/>
          <c:order val="0"/>
          <c:tx>
            <c:strRef>
              <c:f>Analysis!$K$145</c:f>
              <c:strCache>
                <c:ptCount val="1"/>
                <c:pt idx="0">
                  <c:v> Latrines handed over </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Analysis!$L$142:$M$142</c:f>
              <c:strCache>
                <c:ptCount val="2"/>
                <c:pt idx="0">
                  <c:v> # in active camps (20:1) </c:v>
                </c:pt>
                <c:pt idx="1">
                  <c:v> # in villages (6:1) </c:v>
                </c:pt>
              </c:strCache>
            </c:strRef>
          </c:cat>
          <c:val>
            <c:numRef>
              <c:f>Analysis!$L$145:$M$145</c:f>
              <c:numCache>
                <c:formatCode>_(* #,##0_);_(* \(#,##0\);_(* "-"??_);_(@_)</c:formatCode>
                <c:ptCount val="2"/>
                <c:pt idx="0">
                  <c:v>4097</c:v>
                </c:pt>
                <c:pt idx="1">
                  <c:v>1593</c:v>
                </c:pt>
              </c:numCache>
            </c:numRef>
          </c:val>
          <c:extLst>
            <c:ext xmlns:c16="http://schemas.microsoft.com/office/drawing/2014/chart" uri="{C3380CC4-5D6E-409C-BE32-E72D297353CC}">
              <c16:uniqueId val="{00000000-505F-42BD-9152-C078C15A7639}"/>
            </c:ext>
          </c:extLst>
        </c:ser>
        <c:ser>
          <c:idx val="1"/>
          <c:order val="1"/>
          <c:tx>
            <c:strRef>
              <c:f>Analysis!$K$146</c:f>
              <c:strCache>
                <c:ptCount val="1"/>
                <c:pt idx="0">
                  <c:v> Latrines not handed over </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Analysis!$L$142:$M$142</c:f>
              <c:strCache>
                <c:ptCount val="2"/>
                <c:pt idx="0">
                  <c:v> # in active camps (20:1) </c:v>
                </c:pt>
                <c:pt idx="1">
                  <c:v> # in villages (6:1) </c:v>
                </c:pt>
              </c:strCache>
            </c:strRef>
          </c:cat>
          <c:val>
            <c:numRef>
              <c:f>Analysis!$L$146:$M$146</c:f>
              <c:numCache>
                <c:formatCode>_(* #,##0_);_(* \(#,##0\);_(* "-"??_);_(@_)</c:formatCode>
                <c:ptCount val="2"/>
                <c:pt idx="0">
                  <c:v>1854</c:v>
                </c:pt>
                <c:pt idx="1">
                  <c:v>33691</c:v>
                </c:pt>
              </c:numCache>
            </c:numRef>
          </c:val>
          <c:extLst>
            <c:ext xmlns:c16="http://schemas.microsoft.com/office/drawing/2014/chart" uri="{C3380CC4-5D6E-409C-BE32-E72D297353CC}">
              <c16:uniqueId val="{00000001-505F-42BD-9152-C078C15A7639}"/>
            </c:ext>
          </c:extLst>
        </c:ser>
        <c:dLbls>
          <c:dLblPos val="ctr"/>
          <c:showLegendKey val="0"/>
          <c:showVal val="1"/>
          <c:showCatName val="0"/>
          <c:showSerName val="0"/>
          <c:showPercent val="0"/>
          <c:showBubbleSize val="0"/>
        </c:dLbls>
        <c:gapWidth val="150"/>
        <c:overlap val="100"/>
        <c:axId val="395453168"/>
        <c:axId val="395450032"/>
      </c:barChart>
      <c:catAx>
        <c:axId val="3954531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450032"/>
        <c:crosses val="autoZero"/>
        <c:auto val="1"/>
        <c:lblAlgn val="ctr"/>
        <c:lblOffset val="100"/>
        <c:noMultiLvlLbl val="0"/>
      </c:catAx>
      <c:valAx>
        <c:axId val="395450032"/>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453168"/>
        <c:crosses val="autoZero"/>
        <c:crossBetween val="between"/>
      </c:valAx>
      <c:spPr>
        <a:noFill/>
        <a:ln>
          <a:noFill/>
        </a:ln>
        <a:effectLst/>
      </c:spPr>
    </c:plotArea>
    <c:legend>
      <c:legendPos val="b"/>
      <c:layout>
        <c:manualLayout>
          <c:xMode val="edge"/>
          <c:yMode val="edge"/>
          <c:x val="0.21253633998621857"/>
          <c:y val="0.79982167392638936"/>
          <c:w val="0.57492732002756286"/>
          <c:h val="0.1653718537141520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7928240287341965"/>
          <c:y val="0.21516191168752388"/>
          <c:w val="0.77586055206596072"/>
          <c:h val="0.43143424982722389"/>
        </c:manualLayout>
      </c:layout>
      <c:barChart>
        <c:barDir val="col"/>
        <c:grouping val="stacked"/>
        <c:varyColors val="0"/>
        <c:ser>
          <c:idx val="0"/>
          <c:order val="0"/>
          <c:tx>
            <c:strRef>
              <c:f>Analysis!$K$143</c:f>
              <c:strCache>
                <c:ptCount val="1"/>
                <c:pt idx="0">
                  <c:v> Coverage </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Analysis!$L$142:$M$142</c:f>
              <c:strCache>
                <c:ptCount val="2"/>
                <c:pt idx="0">
                  <c:v> # in active camps (20:1) </c:v>
                </c:pt>
                <c:pt idx="1">
                  <c:v> # in villages (6:1) </c:v>
                </c:pt>
              </c:strCache>
            </c:strRef>
          </c:cat>
          <c:val>
            <c:numRef>
              <c:f>Analysis!$L$143:$M$143</c:f>
              <c:numCache>
                <c:formatCode>_(* #,##0_);_(* \(#,##0\);_(* "-"??_);_(@_)</c:formatCode>
                <c:ptCount val="2"/>
                <c:pt idx="0">
                  <c:v>4556</c:v>
                </c:pt>
                <c:pt idx="1">
                  <c:v>2102</c:v>
                </c:pt>
              </c:numCache>
            </c:numRef>
          </c:val>
          <c:extLst>
            <c:ext xmlns:c16="http://schemas.microsoft.com/office/drawing/2014/chart" uri="{C3380CC4-5D6E-409C-BE32-E72D297353CC}">
              <c16:uniqueId val="{00000000-A6C3-4C9D-924E-545947A62E9C}"/>
            </c:ext>
          </c:extLst>
        </c:ser>
        <c:ser>
          <c:idx val="1"/>
          <c:order val="1"/>
          <c:tx>
            <c:strRef>
              <c:f>Analysis!$K$144</c:f>
              <c:strCache>
                <c:ptCount val="1"/>
                <c:pt idx="0">
                  <c:v> GAP </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Analysis!$L$142:$M$142</c:f>
              <c:strCache>
                <c:ptCount val="2"/>
                <c:pt idx="0">
                  <c:v> # in active camps (20:1) </c:v>
                </c:pt>
                <c:pt idx="1">
                  <c:v> # in villages (6:1) </c:v>
                </c:pt>
              </c:strCache>
            </c:strRef>
          </c:cat>
          <c:val>
            <c:numRef>
              <c:f>Analysis!$L$144:$M$144</c:f>
              <c:numCache>
                <c:formatCode>_(* #,##0_);_(* \(#,##0\);_(* "-"??_);_(@_)</c:formatCode>
                <c:ptCount val="2"/>
                <c:pt idx="0">
                  <c:v>1395</c:v>
                </c:pt>
                <c:pt idx="1">
                  <c:v>33182</c:v>
                </c:pt>
              </c:numCache>
            </c:numRef>
          </c:val>
          <c:extLst>
            <c:ext xmlns:c16="http://schemas.microsoft.com/office/drawing/2014/chart" uri="{C3380CC4-5D6E-409C-BE32-E72D297353CC}">
              <c16:uniqueId val="{00000001-A6C3-4C9D-924E-545947A62E9C}"/>
            </c:ext>
          </c:extLst>
        </c:ser>
        <c:dLbls>
          <c:dLblPos val="ctr"/>
          <c:showLegendKey val="0"/>
          <c:showVal val="1"/>
          <c:showCatName val="0"/>
          <c:showSerName val="0"/>
          <c:showPercent val="0"/>
          <c:showBubbleSize val="0"/>
        </c:dLbls>
        <c:gapWidth val="150"/>
        <c:overlap val="100"/>
        <c:axId val="395455520"/>
        <c:axId val="395451208"/>
      </c:barChart>
      <c:catAx>
        <c:axId val="3954555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451208"/>
        <c:crosses val="autoZero"/>
        <c:auto val="1"/>
        <c:lblAlgn val="ctr"/>
        <c:lblOffset val="100"/>
        <c:noMultiLvlLbl val="0"/>
      </c:catAx>
      <c:valAx>
        <c:axId val="395451208"/>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455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repaired and desludged</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6068711873919914"/>
          <c:y val="0.21516191168752388"/>
          <c:w val="0.79445583620018123"/>
          <c:h val="0.35599970583519736"/>
        </c:manualLayout>
      </c:layout>
      <c:barChart>
        <c:barDir val="col"/>
        <c:grouping val="clustered"/>
        <c:varyColors val="0"/>
        <c:ser>
          <c:idx val="0"/>
          <c:order val="0"/>
          <c:tx>
            <c:strRef>
              <c:f>Analysis!$K$147</c:f>
              <c:strCache>
                <c:ptCount val="1"/>
                <c:pt idx="0">
                  <c:v> # Operation &amp; maintenance </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Analysis!$L$142:$M$142</c:f>
              <c:strCache>
                <c:ptCount val="2"/>
                <c:pt idx="0">
                  <c:v> # in active camps (20:1) </c:v>
                </c:pt>
                <c:pt idx="1">
                  <c:v> # in villages (6:1) </c:v>
                </c:pt>
              </c:strCache>
            </c:strRef>
          </c:cat>
          <c:val>
            <c:numRef>
              <c:f>Analysis!$L$147:$M$147</c:f>
              <c:numCache>
                <c:formatCode>_(* #,##0_);_(* \(#,##0\);_(* "-"??_);_(@_)</c:formatCode>
                <c:ptCount val="2"/>
                <c:pt idx="0">
                  <c:v>2546</c:v>
                </c:pt>
                <c:pt idx="1">
                  <c:v>0</c:v>
                </c:pt>
              </c:numCache>
            </c:numRef>
          </c:val>
          <c:extLst>
            <c:ext xmlns:c16="http://schemas.microsoft.com/office/drawing/2014/chart" uri="{C3380CC4-5D6E-409C-BE32-E72D297353CC}">
              <c16:uniqueId val="{00000000-D624-4306-9FDE-126985E12BCF}"/>
            </c:ext>
          </c:extLst>
        </c:ser>
        <c:ser>
          <c:idx val="1"/>
          <c:order val="1"/>
          <c:tx>
            <c:strRef>
              <c:f>Analysis!$K$148</c:f>
              <c:strCache>
                <c:ptCount val="1"/>
                <c:pt idx="0">
                  <c:v> # latrines desludged </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Analysis!$L$142:$M$142</c:f>
              <c:strCache>
                <c:ptCount val="2"/>
                <c:pt idx="0">
                  <c:v> # in active camps (20:1) </c:v>
                </c:pt>
                <c:pt idx="1">
                  <c:v> # in villages (6:1) </c:v>
                </c:pt>
              </c:strCache>
            </c:strRef>
          </c:cat>
          <c:val>
            <c:numRef>
              <c:f>Analysis!$L$148:$M$148</c:f>
              <c:numCache>
                <c:formatCode>_(* #,##0_);_(* \(#,##0\);_(* "-"??_);_(@_)</c:formatCode>
                <c:ptCount val="2"/>
                <c:pt idx="0">
                  <c:v>2977</c:v>
                </c:pt>
                <c:pt idx="1">
                  <c:v>0</c:v>
                </c:pt>
              </c:numCache>
            </c:numRef>
          </c:val>
          <c:extLst>
            <c:ext xmlns:c16="http://schemas.microsoft.com/office/drawing/2014/chart" uri="{C3380CC4-5D6E-409C-BE32-E72D297353CC}">
              <c16:uniqueId val="{00000001-D624-4306-9FDE-126985E12BCF}"/>
            </c:ext>
          </c:extLst>
        </c:ser>
        <c:dLbls>
          <c:dLblPos val="ctr"/>
          <c:showLegendKey val="0"/>
          <c:showVal val="1"/>
          <c:showCatName val="0"/>
          <c:showSerName val="0"/>
          <c:showPercent val="0"/>
          <c:showBubbleSize val="0"/>
        </c:dLbls>
        <c:gapWidth val="100"/>
        <c:overlap val="-24"/>
        <c:axId val="395449248"/>
        <c:axId val="395449640"/>
      </c:barChart>
      <c:catAx>
        <c:axId val="3954492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449640"/>
        <c:crosses val="autoZero"/>
        <c:auto val="1"/>
        <c:lblAlgn val="ctr"/>
        <c:lblOffset val="100"/>
        <c:noMultiLvlLbl val="0"/>
      </c:catAx>
      <c:valAx>
        <c:axId val="395449640"/>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449248"/>
        <c:crosses val="autoZero"/>
        <c:crossBetween val="between"/>
      </c:valAx>
      <c:spPr>
        <a:noFill/>
        <a:ln>
          <a:noFill/>
        </a:ln>
        <a:effectLst/>
      </c:spPr>
    </c:plotArea>
    <c:legend>
      <c:legendPos val="b"/>
      <c:layout>
        <c:manualLayout>
          <c:xMode val="edge"/>
          <c:yMode val="edge"/>
          <c:x val="0.18543844630865372"/>
          <c:y val="0.80562284144014684"/>
          <c:w val="0.62912310738269261"/>
          <c:h val="0.1595707020992130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012E-4C70-8DE8-442D9164B4FD}"/>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012E-4C70-8DE8-442D9164B4FD}"/>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012E-4C70-8DE8-442D9164B4FD}"/>
              </c:ext>
            </c:extLst>
          </c:dPt>
          <c:dLbls>
            <c:dLbl>
              <c:idx val="0"/>
              <c:layout>
                <c:manualLayout>
                  <c:x val="-0.17093393018013311"/>
                  <c:y val="-6.234541375513083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2E-4C70-8DE8-442D9164B4FD}"/>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5-012E-4C70-8DE8-442D9164B4F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Analysis!$O$143:$O$145</c:f>
              <c:strCache>
                <c:ptCount val="3"/>
                <c:pt idx="0">
                  <c:v>Functioning</c:v>
                </c:pt>
                <c:pt idx="1">
                  <c:v>Operation &amp; maintenance</c:v>
                </c:pt>
                <c:pt idx="2">
                  <c:v>Desludging</c:v>
                </c:pt>
              </c:strCache>
            </c:strRef>
          </c:cat>
          <c:val>
            <c:numRef>
              <c:f>Analysis!$P$143:$P$145</c:f>
              <c:numCache>
                <c:formatCode>_(* #,##0_);_(* \(#,##0\);_(* "-"??_);_(@_)</c:formatCode>
                <c:ptCount val="3"/>
                <c:pt idx="0">
                  <c:v>4556</c:v>
                </c:pt>
                <c:pt idx="1">
                  <c:v>2546</c:v>
                </c:pt>
                <c:pt idx="2">
                  <c:v>2977</c:v>
                </c:pt>
              </c:numCache>
            </c:numRef>
          </c:val>
          <c:extLst>
            <c:ext xmlns:c16="http://schemas.microsoft.com/office/drawing/2014/chart" uri="{C3380CC4-5D6E-409C-BE32-E72D297353CC}">
              <c16:uniqueId val="{00000006-012E-4C70-8DE8-442D9164B4FD}"/>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Analysis!$S$143</c:f>
              <c:strCache>
                <c:ptCount val="1"/>
                <c:pt idx="0">
                  <c:v> Coverage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Analysis!$T$142:$U$142</c15:sqref>
                  </c15:fullRef>
                </c:ext>
              </c:extLst>
              <c:f>Analysis!$T$142</c:f>
              <c:strCache>
                <c:ptCount val="1"/>
                <c:pt idx="0">
                  <c:v> # in GCA (20:1) </c:v>
                </c:pt>
              </c:strCache>
            </c:strRef>
          </c:cat>
          <c:val>
            <c:numRef>
              <c:extLst>
                <c:ext xmlns:c15="http://schemas.microsoft.com/office/drawing/2012/chart" uri="{02D57815-91ED-43cb-92C2-25804820EDAC}">
                  <c15:fullRef>
                    <c15:sqref>Analysis!$T$143:$U$143</c15:sqref>
                  </c15:fullRef>
                </c:ext>
              </c:extLst>
              <c:f>Analysis!$T$143</c:f>
              <c:numCache>
                <c:formatCode>_(* #,##0_);_(* \(#,##0\);_(* "-"??_);_(@_)</c:formatCode>
                <c:ptCount val="1"/>
                <c:pt idx="0">
                  <c:v>915</c:v>
                </c:pt>
              </c:numCache>
            </c:numRef>
          </c:val>
          <c:extLst>
            <c:ext xmlns:c16="http://schemas.microsoft.com/office/drawing/2014/chart" uri="{C3380CC4-5D6E-409C-BE32-E72D297353CC}">
              <c16:uniqueId val="{00000000-5769-47EB-833D-C7F3A5603476}"/>
            </c:ext>
          </c:extLst>
        </c:ser>
        <c:ser>
          <c:idx val="1"/>
          <c:order val="1"/>
          <c:tx>
            <c:strRef>
              <c:f>Analysis!$S$144</c:f>
              <c:strCache>
                <c:ptCount val="1"/>
                <c:pt idx="0">
                  <c:v> GAP </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Analysis!$T$142:$U$142</c15:sqref>
                  </c15:fullRef>
                </c:ext>
              </c:extLst>
              <c:f>Analysis!$T$142</c:f>
              <c:strCache>
                <c:ptCount val="1"/>
                <c:pt idx="0">
                  <c:v> # in GCA (20:1) </c:v>
                </c:pt>
              </c:strCache>
            </c:strRef>
          </c:cat>
          <c:val>
            <c:numRef>
              <c:extLst>
                <c:ext xmlns:c15="http://schemas.microsoft.com/office/drawing/2012/chart" uri="{02D57815-91ED-43cb-92C2-25804820EDAC}">
                  <c15:fullRef>
                    <c15:sqref>Analysis!$T$144:$U$144</c15:sqref>
                  </c15:fullRef>
                </c:ext>
              </c:extLst>
              <c:f>Analysis!$T$144</c:f>
              <c:numCache>
                <c:formatCode>_(* #,##0_);_(* \(#,##0\);_(* "-"??_);_(@_)</c:formatCode>
                <c:ptCount val="1"/>
                <c:pt idx="0">
                  <c:v>14</c:v>
                </c:pt>
              </c:numCache>
            </c:numRef>
          </c:val>
          <c:extLst>
            <c:ext xmlns:c16="http://schemas.microsoft.com/office/drawing/2014/chart" uri="{C3380CC4-5D6E-409C-BE32-E72D297353CC}">
              <c16:uniqueId val="{00000001-5769-47EB-833D-C7F3A5603476}"/>
            </c:ext>
          </c:extLst>
        </c:ser>
        <c:dLbls>
          <c:dLblPos val="ctr"/>
          <c:showLegendKey val="0"/>
          <c:showVal val="1"/>
          <c:showCatName val="0"/>
          <c:showSerName val="0"/>
          <c:showPercent val="0"/>
          <c:showBubbleSize val="0"/>
        </c:dLbls>
        <c:gapWidth val="150"/>
        <c:overlap val="100"/>
        <c:axId val="395518344"/>
        <c:axId val="395518736"/>
      </c:barChart>
      <c:catAx>
        <c:axId val="39551834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518736"/>
        <c:crosses val="autoZero"/>
        <c:auto val="1"/>
        <c:lblAlgn val="ctr"/>
        <c:lblOffset val="100"/>
        <c:noMultiLvlLbl val="0"/>
      </c:catAx>
      <c:valAx>
        <c:axId val="395518736"/>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518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Latrines handed</a:t>
            </a:r>
            <a:r>
              <a:rPr lang="en-US" sz="1400" baseline="0"/>
              <a:t> over to families</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Analysis!$S$145</c:f>
              <c:strCache>
                <c:ptCount val="1"/>
                <c:pt idx="0">
                  <c:v> Latrines handed over </c:v>
                </c:pt>
              </c:strCache>
            </c:strRef>
          </c:tx>
          <c:spPr>
            <a:gradFill rotWithShape="1">
              <a:gsLst>
                <a:gs pos="0">
                  <a:schemeClr val="accent2">
                    <a:shade val="76000"/>
                    <a:satMod val="103000"/>
                    <a:lumMod val="102000"/>
                    <a:tint val="94000"/>
                  </a:schemeClr>
                </a:gs>
                <a:gs pos="50000">
                  <a:schemeClr val="accent2">
                    <a:shade val="76000"/>
                    <a:satMod val="110000"/>
                    <a:lumMod val="100000"/>
                    <a:shade val="100000"/>
                  </a:schemeClr>
                </a:gs>
                <a:gs pos="100000">
                  <a:schemeClr val="accent2">
                    <a:shade val="76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Analysis!$T$142:$U$142</c15:sqref>
                  </c15:fullRef>
                </c:ext>
              </c:extLst>
              <c:f>Analysis!$T$142</c:f>
              <c:strCache>
                <c:ptCount val="1"/>
                <c:pt idx="0">
                  <c:v> # in GCA (20:1) </c:v>
                </c:pt>
              </c:strCache>
            </c:strRef>
          </c:cat>
          <c:val>
            <c:numRef>
              <c:extLst>
                <c:ext xmlns:c15="http://schemas.microsoft.com/office/drawing/2012/chart" uri="{02D57815-91ED-43cb-92C2-25804820EDAC}">
                  <c15:fullRef>
                    <c15:sqref>Analysis!$T$145:$U$145</c15:sqref>
                  </c15:fullRef>
                </c:ext>
              </c:extLst>
              <c:f>Analysis!$T$145</c:f>
              <c:numCache>
                <c:formatCode>_(* #,##0_);_(* \(#,##0\);_(* "-"??_);_(@_)</c:formatCode>
                <c:ptCount val="1"/>
                <c:pt idx="0">
                  <c:v>0</c:v>
                </c:pt>
              </c:numCache>
            </c:numRef>
          </c:val>
          <c:extLst>
            <c:ext xmlns:c16="http://schemas.microsoft.com/office/drawing/2014/chart" uri="{C3380CC4-5D6E-409C-BE32-E72D297353CC}">
              <c16:uniqueId val="{00000000-56C5-41B0-B00A-3A7F63BCC9E4}"/>
            </c:ext>
          </c:extLst>
        </c:ser>
        <c:ser>
          <c:idx val="1"/>
          <c:order val="1"/>
          <c:tx>
            <c:strRef>
              <c:f>Analysis!$S$146</c:f>
              <c:strCache>
                <c:ptCount val="1"/>
                <c:pt idx="0">
                  <c:v> Latrines not handed over </c:v>
                </c:pt>
              </c:strCache>
            </c:strRef>
          </c:tx>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Analysis!$T$142:$U$142</c15:sqref>
                  </c15:fullRef>
                </c:ext>
              </c:extLst>
              <c:f>Analysis!$T$142</c:f>
              <c:strCache>
                <c:ptCount val="1"/>
                <c:pt idx="0">
                  <c:v> # in GCA (20:1) </c:v>
                </c:pt>
              </c:strCache>
            </c:strRef>
          </c:cat>
          <c:val>
            <c:numRef>
              <c:extLst>
                <c:ext xmlns:c15="http://schemas.microsoft.com/office/drawing/2012/chart" uri="{02D57815-91ED-43cb-92C2-25804820EDAC}">
                  <c15:fullRef>
                    <c15:sqref>Analysis!$T$146:$U$146</c15:sqref>
                  </c15:fullRef>
                </c:ext>
              </c:extLst>
              <c:f>Analysis!$T$146</c:f>
              <c:numCache>
                <c:formatCode>_(* #,##0_);_(* \(#,##0\);_(* "-"??_);_(@_)</c:formatCode>
                <c:ptCount val="1"/>
                <c:pt idx="0">
                  <c:v>929</c:v>
                </c:pt>
              </c:numCache>
            </c:numRef>
          </c:val>
          <c:extLst>
            <c:ext xmlns:c16="http://schemas.microsoft.com/office/drawing/2014/chart" uri="{C3380CC4-5D6E-409C-BE32-E72D297353CC}">
              <c16:uniqueId val="{00000001-56C5-41B0-B00A-3A7F63BCC9E4}"/>
            </c:ext>
          </c:extLst>
        </c:ser>
        <c:dLbls>
          <c:dLblPos val="ctr"/>
          <c:showLegendKey val="0"/>
          <c:showVal val="1"/>
          <c:showCatName val="0"/>
          <c:showSerName val="0"/>
          <c:showPercent val="0"/>
          <c:showBubbleSize val="0"/>
        </c:dLbls>
        <c:gapWidth val="150"/>
        <c:overlap val="100"/>
        <c:axId val="395515600"/>
        <c:axId val="395514424"/>
      </c:barChart>
      <c:catAx>
        <c:axId val="3955156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514424"/>
        <c:crosses val="autoZero"/>
        <c:auto val="1"/>
        <c:lblAlgn val="ctr"/>
        <c:lblOffset val="100"/>
        <c:noMultiLvlLbl val="0"/>
      </c:catAx>
      <c:valAx>
        <c:axId val="395514424"/>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515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repaired</a:t>
            </a:r>
            <a:r>
              <a:rPr lang="en-US" sz="1400" baseline="0"/>
              <a:t> and desludged</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Analysis!$S$147</c:f>
              <c:strCache>
                <c:ptCount val="1"/>
                <c:pt idx="0">
                  <c:v> # Operation &amp; maintenance </c:v>
                </c:pt>
              </c:strCache>
            </c:strRef>
          </c:tx>
          <c:spPr>
            <a:gradFill rotWithShape="1">
              <a:gsLst>
                <a:gs pos="0">
                  <a:schemeClr val="accent2">
                    <a:shade val="76000"/>
                    <a:satMod val="103000"/>
                    <a:lumMod val="102000"/>
                    <a:tint val="94000"/>
                  </a:schemeClr>
                </a:gs>
                <a:gs pos="50000">
                  <a:schemeClr val="accent2">
                    <a:shade val="76000"/>
                    <a:satMod val="110000"/>
                    <a:lumMod val="100000"/>
                    <a:shade val="100000"/>
                  </a:schemeClr>
                </a:gs>
                <a:gs pos="100000">
                  <a:schemeClr val="accent2">
                    <a:shade val="76000"/>
                    <a:lumMod val="99000"/>
                    <a:satMod val="120000"/>
                    <a:shade val="78000"/>
                  </a:schemeClr>
                </a:gs>
              </a:gsLst>
              <a:lin ang="5400000" scaled="0"/>
            </a:gra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9FE9-441B-9A48-D7084E66B90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Analysis!$T$142:$U$142</c15:sqref>
                  </c15:fullRef>
                </c:ext>
              </c:extLst>
              <c:f>Analysis!$T$142</c:f>
              <c:strCache>
                <c:ptCount val="1"/>
                <c:pt idx="0">
                  <c:v> # in GCA (20:1) </c:v>
                </c:pt>
              </c:strCache>
            </c:strRef>
          </c:cat>
          <c:val>
            <c:numRef>
              <c:extLst>
                <c:ext xmlns:c15="http://schemas.microsoft.com/office/drawing/2012/chart" uri="{02D57815-91ED-43cb-92C2-25804820EDAC}">
                  <c15:fullRef>
                    <c15:sqref>Analysis!$T$147:$U$147</c15:sqref>
                  </c15:fullRef>
                </c:ext>
              </c:extLst>
              <c:f>Analysis!$T$147</c:f>
              <c:numCache>
                <c:formatCode>_(* #,##0_);_(* \(#,##0\);_(* "-"??_);_(@_)</c:formatCode>
                <c:ptCount val="1"/>
                <c:pt idx="0">
                  <c:v>57</c:v>
                </c:pt>
              </c:numCache>
            </c:numRef>
          </c:val>
          <c:extLst>
            <c:ext xmlns:c16="http://schemas.microsoft.com/office/drawing/2014/chart" uri="{C3380CC4-5D6E-409C-BE32-E72D297353CC}">
              <c16:uniqueId val="{00000000-33CE-4B6D-9AB7-C8657740D81A}"/>
            </c:ext>
          </c:extLst>
        </c:ser>
        <c:ser>
          <c:idx val="1"/>
          <c:order val="1"/>
          <c:tx>
            <c:strRef>
              <c:f>Analysis!$S$148</c:f>
              <c:strCache>
                <c:ptCount val="1"/>
                <c:pt idx="0">
                  <c:v> # latrines desludged </c:v>
                </c:pt>
              </c:strCache>
            </c:strRef>
          </c:tx>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Analysis!$T$142:$U$142</c15:sqref>
                  </c15:fullRef>
                </c:ext>
              </c:extLst>
              <c:f>Analysis!$T$142</c:f>
              <c:strCache>
                <c:ptCount val="1"/>
                <c:pt idx="0">
                  <c:v> # in GCA (20:1) </c:v>
                </c:pt>
              </c:strCache>
            </c:strRef>
          </c:cat>
          <c:val>
            <c:numRef>
              <c:extLst>
                <c:ext xmlns:c15="http://schemas.microsoft.com/office/drawing/2012/chart" uri="{02D57815-91ED-43cb-92C2-25804820EDAC}">
                  <c15:fullRef>
                    <c15:sqref>Analysis!$T$148:$U$148</c15:sqref>
                  </c15:fullRef>
                </c:ext>
              </c:extLst>
              <c:f>Analysis!$T$148</c:f>
              <c:numCache>
                <c:formatCode>_(* #,##0_);_(* \(#,##0\);_(* "-"??_);_(@_)</c:formatCode>
                <c:ptCount val="1"/>
                <c:pt idx="0">
                  <c:v>10</c:v>
                </c:pt>
              </c:numCache>
            </c:numRef>
          </c:val>
          <c:extLst>
            <c:ext xmlns:c16="http://schemas.microsoft.com/office/drawing/2014/chart" uri="{C3380CC4-5D6E-409C-BE32-E72D297353CC}">
              <c16:uniqueId val="{00000001-33CE-4B6D-9AB7-C8657740D81A}"/>
            </c:ext>
          </c:extLst>
        </c:ser>
        <c:dLbls>
          <c:dLblPos val="ctr"/>
          <c:showLegendKey val="0"/>
          <c:showVal val="1"/>
          <c:showCatName val="0"/>
          <c:showSerName val="0"/>
          <c:showPercent val="0"/>
          <c:showBubbleSize val="0"/>
        </c:dLbls>
        <c:gapWidth val="100"/>
        <c:overlap val="-24"/>
        <c:axId val="395515208"/>
        <c:axId val="395521088"/>
      </c:barChart>
      <c:catAx>
        <c:axId val="39551520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521088"/>
        <c:crosses val="autoZero"/>
        <c:auto val="1"/>
        <c:lblAlgn val="ctr"/>
        <c:lblOffset val="100"/>
        <c:noMultiLvlLbl val="0"/>
      </c:catAx>
      <c:valAx>
        <c:axId val="395521088"/>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515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CB88-47EA-BC4C-384013D44ABC}"/>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CB88-47EA-BC4C-384013D44ABC}"/>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CB88-47EA-BC4C-384013D44ABC}"/>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CB88-47EA-BC4C-384013D44ABC}"/>
                </c:ext>
              </c:extLst>
            </c:dLbl>
            <c:dLbl>
              <c:idx val="2"/>
              <c:layout>
                <c:manualLayout>
                  <c:x val="8.8456911636045493E-3"/>
                  <c:y val="6.6252187226596676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B88-47EA-BC4C-384013D44AB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Analysis!$W$143:$W$145</c:f>
              <c:strCache>
                <c:ptCount val="3"/>
                <c:pt idx="0">
                  <c:v>Functioning</c:v>
                </c:pt>
                <c:pt idx="1">
                  <c:v># Operation &amp; maintenance</c:v>
                </c:pt>
                <c:pt idx="2">
                  <c:v>Desludging</c:v>
                </c:pt>
              </c:strCache>
            </c:strRef>
          </c:cat>
          <c:val>
            <c:numRef>
              <c:f>Analysis!$X$143:$X$145</c:f>
              <c:numCache>
                <c:formatCode>_(* #,##0_);_(* \(#,##0\);_(* "-"??_);_(@_)</c:formatCode>
                <c:ptCount val="3"/>
                <c:pt idx="0">
                  <c:v>915</c:v>
                </c:pt>
                <c:pt idx="1">
                  <c:v>57</c:v>
                </c:pt>
                <c:pt idx="2">
                  <c:v>10</c:v>
                </c:pt>
              </c:numCache>
            </c:numRef>
          </c:val>
          <c:extLst>
            <c:ext xmlns:c16="http://schemas.microsoft.com/office/drawing/2014/chart" uri="{C3380CC4-5D6E-409C-BE32-E72D297353CC}">
              <c16:uniqueId val="{00000006-CB88-47EA-BC4C-384013D44ABC}"/>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WASH in Temporary Learning Spaces Kachin</a:t>
            </a:r>
            <a:endParaRPr lang="en-US" sz="1200" b="0">
              <a:effectLst/>
            </a:endParaRP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Analysis!$C$488</c:f>
              <c:strCache>
                <c:ptCount val="1"/>
                <c:pt idx="0">
                  <c:v>Kachin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5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05E0-4644-B94D-5EE578900F59}"/>
              </c:ext>
            </c:extLst>
          </c:dPt>
          <c:dPt>
            <c:idx val="1"/>
            <c:invertIfNegative val="0"/>
            <c:bubble3D val="0"/>
            <c:spPr>
              <a:solidFill>
                <a:schemeClr val="accent6">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70B3-445E-A388-5E77EED1F4C2}"/>
              </c:ext>
            </c:extLst>
          </c:dPt>
          <c:dPt>
            <c:idx val="2"/>
            <c:invertIfNegative val="0"/>
            <c:bubble3D val="0"/>
            <c:spPr>
              <a:solidFill>
                <a:schemeClr val="accent6">
                  <a:lumMod val="20000"/>
                  <a:lumOff val="8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4-70B3-445E-A388-5E77EED1F4C2}"/>
              </c:ext>
            </c:extLst>
          </c:dPt>
          <c:dPt>
            <c:idx val="3"/>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0014-4D5A-B67A-85A5684664F0}"/>
              </c:ext>
            </c:extLst>
          </c:dPt>
          <c:dPt>
            <c:idx val="4"/>
            <c:invertIfNegative val="0"/>
            <c:bubble3D val="0"/>
            <c:spPr>
              <a:solidFill>
                <a:srgbClr val="0070C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70B3-445E-A388-5E77EED1F4C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Analysis!$D$487:$H$487</c:f>
              <c:strCache>
                <c:ptCount val="5"/>
                <c:pt idx="0">
                  <c:v> # of hand washing stations with sufficient soap</c:v>
                </c:pt>
                <c:pt idx="1">
                  <c:v> # of hand washing stations for TLS</c:v>
                </c:pt>
                <c:pt idx="2">
                  <c:v># Hygiene Promotion activities (sessions) in TLS</c:v>
                </c:pt>
                <c:pt idx="3">
                  <c:v> # of latrines in TLS (schools)</c:v>
                </c:pt>
                <c:pt idx="4">
                  <c:v># Water points in TLS</c:v>
                </c:pt>
              </c:strCache>
            </c:strRef>
          </c:cat>
          <c:val>
            <c:numRef>
              <c:f>Analysis!$D$488:$H$488</c:f>
              <c:numCache>
                <c:formatCode>_(* #,##0_);_(* \(#,##0\);_(* "-"??_);_(@_)</c:formatCode>
                <c:ptCount val="5"/>
                <c:pt idx="0">
                  <c:v>0</c:v>
                </c:pt>
                <c:pt idx="1">
                  <c:v>30</c:v>
                </c:pt>
                <c:pt idx="2">
                  <c:v>62</c:v>
                </c:pt>
                <c:pt idx="3">
                  <c:v>81</c:v>
                </c:pt>
                <c:pt idx="4">
                  <c:v>18</c:v>
                </c:pt>
              </c:numCache>
            </c:numRef>
          </c:val>
          <c:extLst>
            <c:ext xmlns:c16="http://schemas.microsoft.com/office/drawing/2014/chart" uri="{C3380CC4-5D6E-409C-BE32-E72D297353CC}">
              <c16:uniqueId val="{00000000-05E0-4644-B94D-5EE578900F59}"/>
            </c:ext>
          </c:extLst>
        </c:ser>
        <c:dLbls>
          <c:showLegendKey val="0"/>
          <c:showVal val="0"/>
          <c:showCatName val="0"/>
          <c:showSerName val="0"/>
          <c:showPercent val="0"/>
          <c:showBubbleSize val="0"/>
        </c:dLbls>
        <c:gapWidth val="115"/>
        <c:overlap val="-20"/>
        <c:axId val="395519520"/>
        <c:axId val="395515992"/>
      </c:barChart>
      <c:catAx>
        <c:axId val="3955195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515992"/>
        <c:crosses val="autoZero"/>
        <c:auto val="1"/>
        <c:lblAlgn val="ctr"/>
        <c:lblOffset val="100"/>
        <c:noMultiLvlLbl val="0"/>
      </c:catAx>
      <c:valAx>
        <c:axId val="395515992"/>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519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WASH in Temporary Learning Spaces Shan</a:t>
            </a:r>
            <a:endParaRPr lang="en-US" sz="1200" b="0">
              <a:effectLst/>
            </a:endParaRP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Analysis!$C$490</c:f>
              <c:strCache>
                <c:ptCount val="1"/>
                <c:pt idx="0">
                  <c:v>Shan (North)</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702F-4689-B178-0039CEEBCF8F}"/>
              </c:ext>
            </c:extLst>
          </c:dPt>
          <c:dPt>
            <c:idx val="2"/>
            <c:invertIfNegative val="0"/>
            <c:bubble3D val="0"/>
            <c:spPr>
              <a:solidFill>
                <a:schemeClr val="accent2">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702F-4689-B178-0039CEEBCF8F}"/>
              </c:ext>
            </c:extLst>
          </c:dPt>
          <c:dPt>
            <c:idx val="3"/>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2BE-4717-BF40-158A90D20D8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Analysis!$D$487:$H$487</c:f>
              <c:strCache>
                <c:ptCount val="5"/>
                <c:pt idx="0">
                  <c:v> # of hand washing stations with sufficient soap</c:v>
                </c:pt>
                <c:pt idx="1">
                  <c:v> # of hand washing stations for TLS</c:v>
                </c:pt>
                <c:pt idx="2">
                  <c:v># Hygiene Promotion activities (sessions) in TLS</c:v>
                </c:pt>
                <c:pt idx="3">
                  <c:v> # of latrines in TLS (schools)</c:v>
                </c:pt>
                <c:pt idx="4">
                  <c:v># Water points in TLS</c:v>
                </c:pt>
              </c:strCache>
            </c:strRef>
          </c:cat>
          <c:val>
            <c:numRef>
              <c:f>Analysis!$D$490:$H$490</c:f>
              <c:numCache>
                <c:formatCode>_(* #,##0_);_(* \(#,##0\);_(* "-"??_);_(@_)</c:formatCode>
                <c:ptCount val="5"/>
                <c:pt idx="0">
                  <c:v>0</c:v>
                </c:pt>
                <c:pt idx="1">
                  <c:v>0</c:v>
                </c:pt>
                <c:pt idx="2">
                  <c:v>0</c:v>
                </c:pt>
                <c:pt idx="3">
                  <c:v>1</c:v>
                </c:pt>
                <c:pt idx="4">
                  <c:v>0</c:v>
                </c:pt>
              </c:numCache>
            </c:numRef>
          </c:val>
          <c:extLst>
            <c:ext xmlns:c16="http://schemas.microsoft.com/office/drawing/2014/chart" uri="{C3380CC4-5D6E-409C-BE32-E72D297353CC}">
              <c16:uniqueId val="{00000004-702F-4689-B178-0039CEEBCF8F}"/>
            </c:ext>
          </c:extLst>
        </c:ser>
        <c:dLbls>
          <c:showLegendKey val="0"/>
          <c:showVal val="0"/>
          <c:showCatName val="0"/>
          <c:showSerName val="0"/>
          <c:showPercent val="0"/>
          <c:showBubbleSize val="0"/>
        </c:dLbls>
        <c:gapWidth val="115"/>
        <c:overlap val="-20"/>
        <c:axId val="395521872"/>
        <c:axId val="395517168"/>
      </c:barChart>
      <c:catAx>
        <c:axId val="395521872"/>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517168"/>
        <c:crosses val="autoZero"/>
        <c:auto val="1"/>
        <c:lblAlgn val="ctr"/>
        <c:lblOffset val="100"/>
        <c:noMultiLvlLbl val="0"/>
      </c:catAx>
      <c:valAx>
        <c:axId val="395517168"/>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521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WASH in Temporary Learning Spaces Rakhine</a:t>
            </a:r>
            <a:endParaRPr lang="en-US" sz="1200" b="0">
              <a:effectLst/>
            </a:endParaRP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Analysis!$C$489</c:f>
              <c:strCache>
                <c:ptCount val="1"/>
                <c:pt idx="0">
                  <c:v>Rakhine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5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AE8F-4A87-832A-A9C7772CDEF5}"/>
              </c:ext>
            </c:extLst>
          </c:dPt>
          <c:dPt>
            <c:idx val="1"/>
            <c:invertIfNegative val="0"/>
            <c:bubble3D val="0"/>
            <c:spPr>
              <a:solidFill>
                <a:schemeClr val="accent6">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920-47D8-A18A-4927C641013C}"/>
              </c:ext>
            </c:extLst>
          </c:dPt>
          <c:dPt>
            <c:idx val="2"/>
            <c:invertIfNegative val="0"/>
            <c:bubble3D val="0"/>
            <c:spPr>
              <a:solidFill>
                <a:schemeClr val="accent6">
                  <a:lumMod val="20000"/>
                  <a:lumOff val="8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4-6920-47D8-A18A-4927C641013C}"/>
              </c:ext>
            </c:extLst>
          </c:dPt>
          <c:dPt>
            <c:idx val="3"/>
            <c:invertIfNegative val="0"/>
            <c:bubble3D val="0"/>
            <c:spPr>
              <a:solidFill>
                <a:schemeClr val="accent2">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359-413F-AD86-E76121A85E4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Analysis!$D$487:$H$487</c:f>
              <c:strCache>
                <c:ptCount val="5"/>
                <c:pt idx="0">
                  <c:v> # of hand washing stations with sufficient soap</c:v>
                </c:pt>
                <c:pt idx="1">
                  <c:v> # of hand washing stations for TLS</c:v>
                </c:pt>
                <c:pt idx="2">
                  <c:v># Hygiene Promotion activities (sessions) in TLS</c:v>
                </c:pt>
                <c:pt idx="3">
                  <c:v> # of latrines in TLS (schools)</c:v>
                </c:pt>
                <c:pt idx="4">
                  <c:v># Water points in TLS</c:v>
                </c:pt>
              </c:strCache>
            </c:strRef>
          </c:cat>
          <c:val>
            <c:numRef>
              <c:f>Analysis!$D$489:$H$489</c:f>
              <c:numCache>
                <c:formatCode>_(* #,##0_);_(* \(#,##0\);_(* "-"??_);_(@_)</c:formatCode>
                <c:ptCount val="5"/>
                <c:pt idx="0">
                  <c:v>94</c:v>
                </c:pt>
                <c:pt idx="1">
                  <c:v>109</c:v>
                </c:pt>
                <c:pt idx="2">
                  <c:v>771</c:v>
                </c:pt>
                <c:pt idx="3">
                  <c:v>40</c:v>
                </c:pt>
                <c:pt idx="4">
                  <c:v>6</c:v>
                </c:pt>
              </c:numCache>
            </c:numRef>
          </c:val>
          <c:extLst>
            <c:ext xmlns:c16="http://schemas.microsoft.com/office/drawing/2014/chart" uri="{C3380CC4-5D6E-409C-BE32-E72D297353CC}">
              <c16:uniqueId val="{00000004-AE8F-4A87-832A-A9C7772CDEF5}"/>
            </c:ext>
          </c:extLst>
        </c:ser>
        <c:dLbls>
          <c:dLblPos val="outEnd"/>
          <c:showLegendKey val="0"/>
          <c:showVal val="1"/>
          <c:showCatName val="0"/>
          <c:showSerName val="0"/>
          <c:showPercent val="0"/>
          <c:showBubbleSize val="0"/>
        </c:dLbls>
        <c:gapWidth val="115"/>
        <c:overlap val="-20"/>
        <c:axId val="395514816"/>
        <c:axId val="395517952"/>
      </c:barChart>
      <c:catAx>
        <c:axId val="395514816"/>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517952"/>
        <c:crosses val="autoZero"/>
        <c:auto val="1"/>
        <c:lblAlgn val="ctr"/>
        <c:lblOffset val="100"/>
        <c:noMultiLvlLbl val="0"/>
      </c:catAx>
      <c:valAx>
        <c:axId val="395517952"/>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514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[20190516_Myanmar_WASH_4W_2019_Q1_Consolidate.xlsx]Analysis!K_Geo</c:name>
    <c:fmtId val="10"/>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Kachin - Number of Sites - Coverage/Gaps</a:t>
            </a:r>
            <a:endParaRPr lang="en-US" sz="1400">
              <a:effectLst/>
            </a:endParaRPr>
          </a:p>
        </c:rich>
      </c:tx>
      <c:layout>
        <c:manualLayout>
          <c:xMode val="edge"/>
          <c:yMode val="edge"/>
          <c:x val="0.19549334111013897"/>
          <c:y val="4.897083516734321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6875738188976377"/>
          <c:y val="0.23407035114329283"/>
          <c:w val="0.76885553368328952"/>
          <c:h val="0.58652831336492073"/>
        </c:manualLayout>
      </c:layout>
      <c:barChart>
        <c:barDir val="bar"/>
        <c:grouping val="clustered"/>
        <c:varyColors val="0"/>
        <c:ser>
          <c:idx val="0"/>
          <c:order val="0"/>
          <c:tx>
            <c:strRef>
              <c:f>Analysis!$D$330:$D$331</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Analysis!$C$332:$C$333</c:f>
              <c:strCache>
                <c:ptCount val="2"/>
                <c:pt idx="0">
                  <c:v>Camp</c:v>
                </c:pt>
                <c:pt idx="1">
                  <c:v>Camp_not registered</c:v>
                </c:pt>
              </c:strCache>
            </c:strRef>
          </c:cat>
          <c:val>
            <c:numRef>
              <c:f>Analysis!$D$332:$D$333</c:f>
              <c:numCache>
                <c:formatCode>General</c:formatCode>
                <c:ptCount val="2"/>
                <c:pt idx="0">
                  <c:v>112</c:v>
                </c:pt>
                <c:pt idx="1">
                  <c:v>22</c:v>
                </c:pt>
              </c:numCache>
            </c:numRef>
          </c:val>
          <c:extLst>
            <c:ext xmlns:c16="http://schemas.microsoft.com/office/drawing/2014/chart" uri="{C3380CC4-5D6E-409C-BE32-E72D297353CC}">
              <c16:uniqueId val="{00000000-92B5-41D7-AC58-F92DE455E85E}"/>
            </c:ext>
          </c:extLst>
        </c:ser>
        <c:ser>
          <c:idx val="1"/>
          <c:order val="1"/>
          <c:tx>
            <c:strRef>
              <c:f>Analysis!$E$330:$E$331</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Analysis!$C$332:$C$333</c:f>
              <c:strCache>
                <c:ptCount val="2"/>
                <c:pt idx="0">
                  <c:v>Camp</c:v>
                </c:pt>
                <c:pt idx="1">
                  <c:v>Camp_not registered</c:v>
                </c:pt>
              </c:strCache>
            </c:strRef>
          </c:cat>
          <c:val>
            <c:numRef>
              <c:f>Analysis!$E$332:$E$333</c:f>
              <c:numCache>
                <c:formatCode>General</c:formatCode>
                <c:ptCount val="2"/>
                <c:pt idx="0">
                  <c:v>27</c:v>
                </c:pt>
              </c:numCache>
            </c:numRef>
          </c:val>
          <c:extLst>
            <c:ext xmlns:c16="http://schemas.microsoft.com/office/drawing/2014/chart" uri="{C3380CC4-5D6E-409C-BE32-E72D297353CC}">
              <c16:uniqueId val="{00000001-92B5-41D7-AC58-F92DE455E85E}"/>
            </c:ext>
          </c:extLst>
        </c:ser>
        <c:dLbls>
          <c:showLegendKey val="0"/>
          <c:showVal val="0"/>
          <c:showCatName val="0"/>
          <c:showSerName val="0"/>
          <c:showPercent val="0"/>
          <c:showBubbleSize val="0"/>
        </c:dLbls>
        <c:gapWidth val="100"/>
        <c:axId val="395626848"/>
        <c:axId val="395621752"/>
      </c:barChart>
      <c:catAx>
        <c:axId val="39562684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1752"/>
        <c:crosses val="autoZero"/>
        <c:auto val="1"/>
        <c:lblAlgn val="ctr"/>
        <c:lblOffset val="100"/>
        <c:noMultiLvlLbl val="0"/>
      </c:catAx>
      <c:valAx>
        <c:axId val="395621752"/>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6848"/>
        <c:crosses val="autoZero"/>
        <c:crossBetween val="between"/>
      </c:valAx>
      <c:spPr>
        <a:noFill/>
        <a:ln>
          <a:noFill/>
        </a:ln>
        <a:effectLst/>
      </c:spPr>
    </c:plotArea>
    <c:legend>
      <c:legendPos val="r"/>
      <c:layout>
        <c:manualLayout>
          <c:xMode val="edge"/>
          <c:yMode val="edge"/>
          <c:x val="0.85701662292213476"/>
          <c:y val="0.29254560571232946"/>
          <c:w val="0.14298337707786526"/>
          <c:h val="0.2795050618672666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[20190516_Myanmar_WASH_4W_2019_Q1_Consolidate.xlsx]Analysis!R_Geo</c:name>
    <c:fmtId val="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Rakhine - Number of Sites - Coverage/Gaps </a:t>
            </a:r>
          </a:p>
        </c:rich>
      </c:tx>
      <c:layout>
        <c:manualLayout>
          <c:xMode val="edge"/>
          <c:yMode val="edge"/>
          <c:x val="0.37496606587236875"/>
          <c:y val="3.1160771860866059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s>
    <c:plotArea>
      <c:layout>
        <c:manualLayout>
          <c:layoutTarget val="inner"/>
          <c:xMode val="edge"/>
          <c:yMode val="edge"/>
          <c:x val="0.19457810678834817"/>
          <c:y val="0.18660326982618372"/>
          <c:w val="0.7162328642427549"/>
          <c:h val="0.59374132694776072"/>
        </c:manualLayout>
      </c:layout>
      <c:barChart>
        <c:barDir val="bar"/>
        <c:grouping val="clustered"/>
        <c:varyColors val="0"/>
        <c:ser>
          <c:idx val="0"/>
          <c:order val="0"/>
          <c:tx>
            <c:strRef>
              <c:f>Analysis!$I$330:$I$331</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Analysis!$H$332:$H$335</c:f>
              <c:strCache>
                <c:ptCount val="4"/>
                <c:pt idx="0">
                  <c:v>Camp</c:v>
                </c:pt>
                <c:pt idx="1">
                  <c:v>Village</c:v>
                </c:pt>
                <c:pt idx="2">
                  <c:v>Village_Not HRP</c:v>
                </c:pt>
                <c:pt idx="3">
                  <c:v>New Temporary Site</c:v>
                </c:pt>
              </c:strCache>
            </c:strRef>
          </c:cat>
          <c:val>
            <c:numRef>
              <c:f>Analysis!$I$332:$I$335</c:f>
              <c:numCache>
                <c:formatCode>General</c:formatCode>
                <c:ptCount val="4"/>
                <c:pt idx="0">
                  <c:v>25</c:v>
                </c:pt>
                <c:pt idx="1">
                  <c:v>186</c:v>
                </c:pt>
                <c:pt idx="2">
                  <c:v>22</c:v>
                </c:pt>
                <c:pt idx="3">
                  <c:v>49</c:v>
                </c:pt>
              </c:numCache>
            </c:numRef>
          </c:val>
          <c:extLst>
            <c:ext xmlns:c16="http://schemas.microsoft.com/office/drawing/2014/chart" uri="{C3380CC4-5D6E-409C-BE32-E72D297353CC}">
              <c16:uniqueId val="{00000000-DE4B-42CE-85B3-AC16FC5401A6}"/>
            </c:ext>
          </c:extLst>
        </c:ser>
        <c:ser>
          <c:idx val="1"/>
          <c:order val="1"/>
          <c:tx>
            <c:strRef>
              <c:f>Analysis!$J$330:$J$331</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Analysis!$H$332:$H$335</c:f>
              <c:strCache>
                <c:ptCount val="4"/>
                <c:pt idx="0">
                  <c:v>Camp</c:v>
                </c:pt>
                <c:pt idx="1">
                  <c:v>Village</c:v>
                </c:pt>
                <c:pt idx="2">
                  <c:v>Village_Not HRP</c:v>
                </c:pt>
                <c:pt idx="3">
                  <c:v>New Temporary Site</c:v>
                </c:pt>
              </c:strCache>
            </c:strRef>
          </c:cat>
          <c:val>
            <c:numRef>
              <c:f>Analysis!$J$332:$J$335</c:f>
              <c:numCache>
                <c:formatCode>General</c:formatCode>
                <c:ptCount val="4"/>
                <c:pt idx="1">
                  <c:v>8</c:v>
                </c:pt>
                <c:pt idx="3">
                  <c:v>46</c:v>
                </c:pt>
              </c:numCache>
            </c:numRef>
          </c:val>
          <c:extLst>
            <c:ext xmlns:c16="http://schemas.microsoft.com/office/drawing/2014/chart" uri="{C3380CC4-5D6E-409C-BE32-E72D297353CC}">
              <c16:uniqueId val="{00000001-DE4B-42CE-85B3-AC16FC5401A6}"/>
            </c:ext>
          </c:extLst>
        </c:ser>
        <c:dLbls>
          <c:showLegendKey val="0"/>
          <c:showVal val="0"/>
          <c:showCatName val="0"/>
          <c:showSerName val="0"/>
          <c:showPercent val="0"/>
          <c:showBubbleSize val="0"/>
        </c:dLbls>
        <c:gapWidth val="100"/>
        <c:axId val="395622536"/>
        <c:axId val="395628024"/>
      </c:barChart>
      <c:catAx>
        <c:axId val="39562253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8024"/>
        <c:crosses val="autoZero"/>
        <c:auto val="1"/>
        <c:lblAlgn val="ctr"/>
        <c:lblOffset val="100"/>
        <c:noMultiLvlLbl val="0"/>
      </c:catAx>
      <c:valAx>
        <c:axId val="395628024"/>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2536"/>
        <c:crosses val="autoZero"/>
        <c:crossBetween val="between"/>
      </c:valAx>
      <c:spPr>
        <a:noFill/>
        <a:ln>
          <a:noFill/>
        </a:ln>
        <a:effectLst/>
      </c:spPr>
    </c:plotArea>
    <c:legend>
      <c:legendPos val="r"/>
      <c:layout>
        <c:manualLayout>
          <c:xMode val="edge"/>
          <c:yMode val="edge"/>
          <c:x val="0.855541762360014"/>
          <c:y val="0.32719656311617756"/>
          <c:w val="0.12912079368545037"/>
          <c:h val="0.3108379274322614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[20190516_Myanmar_WASH_4W_2019_Q1_Consolidate.xlsx]Analysis!S_Geo</c:name>
    <c:fmtId val="16"/>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a:t>Shan - Number of Sites - Coverage/Gaps</a:t>
            </a:r>
          </a:p>
        </c:rich>
      </c:tx>
      <c:layout>
        <c:manualLayout>
          <c:xMode val="edge"/>
          <c:yMode val="edge"/>
          <c:x val="0.23635039267117552"/>
          <c:y val="5.116106046878453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s>
    <c:plotArea>
      <c:layout>
        <c:manualLayout>
          <c:layoutTarget val="inner"/>
          <c:xMode val="edge"/>
          <c:yMode val="edge"/>
          <c:x val="0.20336753277183592"/>
          <c:y val="0.2017504968066309"/>
          <c:w val="0.75360974690749882"/>
          <c:h val="0.58889356005193771"/>
        </c:manualLayout>
      </c:layout>
      <c:barChart>
        <c:barDir val="bar"/>
        <c:grouping val="clustered"/>
        <c:varyColors val="0"/>
        <c:ser>
          <c:idx val="0"/>
          <c:order val="0"/>
          <c:tx>
            <c:strRef>
              <c:f>Analysis!$O$330:$O$331</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Analysis!$N$332:$N$334</c:f>
              <c:strCache>
                <c:ptCount val="3"/>
                <c:pt idx="0">
                  <c:v>Camp</c:v>
                </c:pt>
                <c:pt idx="1">
                  <c:v>Camp_not registered</c:v>
                </c:pt>
                <c:pt idx="2">
                  <c:v>New Temporary Site</c:v>
                </c:pt>
              </c:strCache>
            </c:strRef>
          </c:cat>
          <c:val>
            <c:numRef>
              <c:f>Analysis!$O$332:$O$334</c:f>
              <c:numCache>
                <c:formatCode>General</c:formatCode>
                <c:ptCount val="3"/>
                <c:pt idx="0">
                  <c:v>28</c:v>
                </c:pt>
                <c:pt idx="2">
                  <c:v>3</c:v>
                </c:pt>
              </c:numCache>
            </c:numRef>
          </c:val>
          <c:extLst>
            <c:ext xmlns:c16="http://schemas.microsoft.com/office/drawing/2014/chart" uri="{C3380CC4-5D6E-409C-BE32-E72D297353CC}">
              <c16:uniqueId val="{00000000-01E2-4CA3-8D3F-52648AEED9EC}"/>
            </c:ext>
          </c:extLst>
        </c:ser>
        <c:ser>
          <c:idx val="1"/>
          <c:order val="1"/>
          <c:tx>
            <c:strRef>
              <c:f>Analysis!$P$330:$P$331</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Analysis!$N$332:$N$334</c:f>
              <c:strCache>
                <c:ptCount val="3"/>
                <c:pt idx="0">
                  <c:v>Camp</c:v>
                </c:pt>
                <c:pt idx="1">
                  <c:v>Camp_not registered</c:v>
                </c:pt>
                <c:pt idx="2">
                  <c:v>New Temporary Site</c:v>
                </c:pt>
              </c:strCache>
            </c:strRef>
          </c:cat>
          <c:val>
            <c:numRef>
              <c:f>Analysis!$P$332:$P$334</c:f>
              <c:numCache>
                <c:formatCode>General</c:formatCode>
                <c:ptCount val="3"/>
                <c:pt idx="0">
                  <c:v>8</c:v>
                </c:pt>
                <c:pt idx="1">
                  <c:v>1</c:v>
                </c:pt>
              </c:numCache>
            </c:numRef>
          </c:val>
          <c:extLst>
            <c:ext xmlns:c16="http://schemas.microsoft.com/office/drawing/2014/chart" uri="{C3380CC4-5D6E-409C-BE32-E72D297353CC}">
              <c16:uniqueId val="{00000001-01E2-4CA3-8D3F-52648AEED9EC}"/>
            </c:ext>
          </c:extLst>
        </c:ser>
        <c:dLbls>
          <c:showLegendKey val="0"/>
          <c:showVal val="0"/>
          <c:showCatName val="0"/>
          <c:showSerName val="0"/>
          <c:showPercent val="0"/>
          <c:showBubbleSize val="0"/>
        </c:dLbls>
        <c:gapWidth val="100"/>
        <c:axId val="395622144"/>
        <c:axId val="395627240"/>
      </c:barChart>
      <c:catAx>
        <c:axId val="39562214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7240"/>
        <c:crosses val="autoZero"/>
        <c:auto val="1"/>
        <c:lblAlgn val="ctr"/>
        <c:lblOffset val="100"/>
        <c:noMultiLvlLbl val="0"/>
      </c:catAx>
      <c:valAx>
        <c:axId val="395627240"/>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2144"/>
        <c:crosses val="autoZero"/>
        <c:crossBetween val="between"/>
      </c:valAx>
      <c:spPr>
        <a:noFill/>
        <a:ln>
          <a:noFill/>
        </a:ln>
        <a:effectLst/>
      </c:spPr>
    </c:plotArea>
    <c:legend>
      <c:legendPos val="r"/>
      <c:layout>
        <c:manualLayout>
          <c:xMode val="edge"/>
          <c:yMode val="edge"/>
          <c:x val="0.82983209802781255"/>
          <c:y val="0.27349499223044882"/>
          <c:w val="0.12922347049715019"/>
          <c:h val="0.2214339884651070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[20190516_Myanmar_WASH_4W_2019_Q1_Consolidate.xlsx]Analysis!W_K_C_G_C</c:name>
    <c:fmtId val="28"/>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WATER Coverage VS GAP in Active camps</a:t>
            </a:r>
            <a:endParaRPr lang="en-US" sz="1400">
              <a:effectLst/>
            </a:endParaRPr>
          </a:p>
          <a:p>
            <a:pPr>
              <a:defRPr sz="1400"/>
            </a:pPr>
            <a:r>
              <a:rPr lang="en-US" sz="1400" b="1" i="0" baseline="0">
                <a:effectLst/>
              </a:rPr>
              <a:t>in Kachin</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pivotFmt>
      <c:pivotFmt>
        <c:idx val="3"/>
      </c:pivotFmt>
      <c:pivotFmt>
        <c:idx val="4"/>
      </c:pivotFmt>
      <c:pivotFmt>
        <c:idx val="5"/>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Analysis!$C$92</c:f>
              <c:strCache>
                <c:ptCount val="1"/>
                <c:pt idx="0">
                  <c:v> % Water 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Analysis!$B$93:$B$104</c:f>
              <c:strCache>
                <c:ptCount val="12"/>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Waingmaw</c:v>
                </c:pt>
              </c:strCache>
            </c:strRef>
          </c:cat>
          <c:val>
            <c:numRef>
              <c:f>Analysis!$C$93:$C$104</c:f>
              <c:numCache>
                <c:formatCode>0%</c:formatCode>
                <c:ptCount val="12"/>
                <c:pt idx="0">
                  <c:v>0.8398863636363636</c:v>
                </c:pt>
                <c:pt idx="1">
                  <c:v>6.7567567567567571E-2</c:v>
                </c:pt>
                <c:pt idx="2">
                  <c:v>0.63608843537414972</c:v>
                </c:pt>
                <c:pt idx="3">
                  <c:v>0.85349740932642482</c:v>
                </c:pt>
                <c:pt idx="4">
                  <c:v>0.94938440492476062</c:v>
                </c:pt>
                <c:pt idx="5">
                  <c:v>0.57692307692307687</c:v>
                </c:pt>
                <c:pt idx="6">
                  <c:v>0.39077022840262265</c:v>
                </c:pt>
                <c:pt idx="7">
                  <c:v>0.94198788642649578</c:v>
                </c:pt>
                <c:pt idx="8">
                  <c:v>1</c:v>
                </c:pt>
                <c:pt idx="9">
                  <c:v>0.59677419354838712</c:v>
                </c:pt>
                <c:pt idx="10">
                  <c:v>0</c:v>
                </c:pt>
                <c:pt idx="11">
                  <c:v>0.45292976900606324</c:v>
                </c:pt>
              </c:numCache>
            </c:numRef>
          </c:val>
          <c:extLst>
            <c:ext xmlns:c16="http://schemas.microsoft.com/office/drawing/2014/chart" uri="{C3380CC4-5D6E-409C-BE32-E72D297353CC}">
              <c16:uniqueId val="{00000000-0A95-4272-BEBA-9DB3E1533684}"/>
            </c:ext>
          </c:extLst>
        </c:ser>
        <c:ser>
          <c:idx val="1"/>
          <c:order val="1"/>
          <c:tx>
            <c:strRef>
              <c:f>Analysis!$D$92</c:f>
              <c:strCache>
                <c:ptCount val="1"/>
                <c:pt idx="0">
                  <c:v> % Water 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Analysis!$B$93:$B$104</c:f>
              <c:strCache>
                <c:ptCount val="12"/>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Waingmaw</c:v>
                </c:pt>
              </c:strCache>
            </c:strRef>
          </c:cat>
          <c:val>
            <c:numRef>
              <c:f>Analysis!$D$93:$D$104</c:f>
              <c:numCache>
                <c:formatCode>0%</c:formatCode>
                <c:ptCount val="12"/>
                <c:pt idx="0">
                  <c:v>0.1601136363636364</c:v>
                </c:pt>
                <c:pt idx="1">
                  <c:v>0.93243243243243246</c:v>
                </c:pt>
                <c:pt idx="2">
                  <c:v>0.36391156462585028</c:v>
                </c:pt>
                <c:pt idx="3">
                  <c:v>0.14650259067357518</c:v>
                </c:pt>
                <c:pt idx="4">
                  <c:v>5.0615595075239384E-2</c:v>
                </c:pt>
                <c:pt idx="5">
                  <c:v>0.42307692307692313</c:v>
                </c:pt>
                <c:pt idx="6">
                  <c:v>0.60922977159737735</c:v>
                </c:pt>
                <c:pt idx="7">
                  <c:v>5.801211357350422E-2</c:v>
                </c:pt>
                <c:pt idx="8">
                  <c:v>0</c:v>
                </c:pt>
                <c:pt idx="9">
                  <c:v>0.40322580645161288</c:v>
                </c:pt>
                <c:pt idx="10">
                  <c:v>1</c:v>
                </c:pt>
                <c:pt idx="11">
                  <c:v>0.54707023099393681</c:v>
                </c:pt>
              </c:numCache>
            </c:numRef>
          </c:val>
          <c:extLst>
            <c:ext xmlns:c16="http://schemas.microsoft.com/office/drawing/2014/chart" uri="{C3380CC4-5D6E-409C-BE32-E72D297353CC}">
              <c16:uniqueId val="{00000001-0A95-4272-BEBA-9DB3E1533684}"/>
            </c:ext>
          </c:extLst>
        </c:ser>
        <c:dLbls>
          <c:showLegendKey val="0"/>
          <c:showVal val="0"/>
          <c:showCatName val="0"/>
          <c:showSerName val="0"/>
          <c:showPercent val="0"/>
          <c:showBubbleSize val="0"/>
        </c:dLbls>
        <c:gapWidth val="150"/>
        <c:overlap val="100"/>
        <c:axId val="395624888"/>
        <c:axId val="395623320"/>
      </c:barChart>
      <c:catAx>
        <c:axId val="3956248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623320"/>
        <c:crosses val="autoZero"/>
        <c:auto val="1"/>
        <c:lblAlgn val="ctr"/>
        <c:lblOffset val="100"/>
        <c:noMultiLvlLbl val="0"/>
      </c:catAx>
      <c:valAx>
        <c:axId val="39562332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624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[20190516_Myanmar_WASH_4W_2019_Q1_Consolidate.xlsx]Analysis!W_R_C_G_C</c:name>
    <c:fmtId val="33"/>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WATER Coverage VS GAP in Active camps</a:t>
            </a:r>
            <a:endParaRPr lang="en-US" sz="1200">
              <a:effectLst/>
            </a:endParaRPr>
          </a:p>
          <a:p>
            <a:pPr>
              <a:defRPr sz="1200"/>
            </a:pPr>
            <a:r>
              <a:rPr lang="en-US" sz="1200" b="1" i="0" baseline="0">
                <a:effectLst/>
              </a:rPr>
              <a:t>in Rakhine</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Analysis!$C$113</c:f>
              <c:strCache>
                <c:ptCount val="1"/>
                <c:pt idx="0">
                  <c:v> % Water 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Analysis!$B$114:$B$118</c:f>
              <c:strCache>
                <c:ptCount val="5"/>
                <c:pt idx="0">
                  <c:v>Kyaukpyu</c:v>
                </c:pt>
                <c:pt idx="1">
                  <c:v>Kyauktaw</c:v>
                </c:pt>
                <c:pt idx="2">
                  <c:v>Myebon</c:v>
                </c:pt>
                <c:pt idx="3">
                  <c:v>Pauktaw</c:v>
                </c:pt>
                <c:pt idx="4">
                  <c:v>Sittwe</c:v>
                </c:pt>
              </c:strCache>
            </c:strRef>
          </c:cat>
          <c:val>
            <c:numRef>
              <c:f>Analysis!$C$114:$C$118</c:f>
              <c:numCache>
                <c:formatCode>0%</c:formatCode>
                <c:ptCount val="5"/>
                <c:pt idx="0">
                  <c:v>1</c:v>
                </c:pt>
                <c:pt idx="1">
                  <c:v>1</c:v>
                </c:pt>
                <c:pt idx="2">
                  <c:v>1</c:v>
                </c:pt>
                <c:pt idx="3">
                  <c:v>0.80307375212832688</c:v>
                </c:pt>
                <c:pt idx="4">
                  <c:v>0.92375859600407839</c:v>
                </c:pt>
              </c:numCache>
            </c:numRef>
          </c:val>
          <c:extLst>
            <c:ext xmlns:c16="http://schemas.microsoft.com/office/drawing/2014/chart" uri="{C3380CC4-5D6E-409C-BE32-E72D297353CC}">
              <c16:uniqueId val="{00000000-85EA-4A97-BD3C-5BE0B0AE7242}"/>
            </c:ext>
          </c:extLst>
        </c:ser>
        <c:ser>
          <c:idx val="1"/>
          <c:order val="1"/>
          <c:tx>
            <c:strRef>
              <c:f>Analysis!$D$113</c:f>
              <c:strCache>
                <c:ptCount val="1"/>
                <c:pt idx="0">
                  <c:v> % Water 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Analysis!$B$114:$B$118</c:f>
              <c:strCache>
                <c:ptCount val="5"/>
                <c:pt idx="0">
                  <c:v>Kyaukpyu</c:v>
                </c:pt>
                <c:pt idx="1">
                  <c:v>Kyauktaw</c:v>
                </c:pt>
                <c:pt idx="2">
                  <c:v>Myebon</c:v>
                </c:pt>
                <c:pt idx="3">
                  <c:v>Pauktaw</c:v>
                </c:pt>
                <c:pt idx="4">
                  <c:v>Sittwe</c:v>
                </c:pt>
              </c:strCache>
            </c:strRef>
          </c:cat>
          <c:val>
            <c:numRef>
              <c:f>Analysis!$D$114:$D$118</c:f>
              <c:numCache>
                <c:formatCode>0%</c:formatCode>
                <c:ptCount val="5"/>
                <c:pt idx="0">
                  <c:v>0</c:v>
                </c:pt>
                <c:pt idx="1">
                  <c:v>0</c:v>
                </c:pt>
                <c:pt idx="2">
                  <c:v>0</c:v>
                </c:pt>
                <c:pt idx="3">
                  <c:v>0.19692624787167312</c:v>
                </c:pt>
                <c:pt idx="4">
                  <c:v>7.6241403995921608E-2</c:v>
                </c:pt>
              </c:numCache>
            </c:numRef>
          </c:val>
          <c:extLst>
            <c:ext xmlns:c16="http://schemas.microsoft.com/office/drawing/2014/chart" uri="{C3380CC4-5D6E-409C-BE32-E72D297353CC}">
              <c16:uniqueId val="{00000001-85EA-4A97-BD3C-5BE0B0AE7242}"/>
            </c:ext>
          </c:extLst>
        </c:ser>
        <c:dLbls>
          <c:showLegendKey val="0"/>
          <c:showVal val="0"/>
          <c:showCatName val="0"/>
          <c:showSerName val="0"/>
          <c:showPercent val="0"/>
          <c:showBubbleSize val="0"/>
        </c:dLbls>
        <c:gapWidth val="150"/>
        <c:overlap val="100"/>
        <c:axId val="395620968"/>
        <c:axId val="395626064"/>
      </c:barChart>
      <c:catAx>
        <c:axId val="3956209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626064"/>
        <c:crosses val="autoZero"/>
        <c:auto val="1"/>
        <c:lblAlgn val="ctr"/>
        <c:lblOffset val="100"/>
        <c:noMultiLvlLbl val="0"/>
      </c:catAx>
      <c:valAx>
        <c:axId val="39562606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620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[20190516_Myanmar_WASH_4W_2019_Q1_Consolidate.xlsx]Analysis!W_Shan_C_G_C</c:name>
    <c:fmtId val="51"/>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WATER Coverage VS GAP in active camps</a:t>
            </a:r>
          </a:p>
          <a:p>
            <a:pPr>
              <a:defRPr sz="1200"/>
            </a:pPr>
            <a:r>
              <a:rPr lang="en-US" sz="1200"/>
              <a:t>in Shan (North)</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Analysis!$W$112</c:f>
              <c:strCache>
                <c:ptCount val="1"/>
                <c:pt idx="0">
                  <c:v> % Water 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Analysis!$V$113:$V$118</c:f>
              <c:strCache>
                <c:ptCount val="6"/>
                <c:pt idx="0">
                  <c:v>Hseni</c:v>
                </c:pt>
                <c:pt idx="1">
                  <c:v>Kutkai</c:v>
                </c:pt>
                <c:pt idx="2">
                  <c:v>Manton</c:v>
                </c:pt>
                <c:pt idx="3">
                  <c:v>Muse</c:v>
                </c:pt>
                <c:pt idx="4">
                  <c:v>Namhkan</c:v>
                </c:pt>
                <c:pt idx="5">
                  <c:v>Namtu</c:v>
                </c:pt>
              </c:strCache>
            </c:strRef>
          </c:cat>
          <c:val>
            <c:numRef>
              <c:f>Analysis!$W$113:$W$118</c:f>
              <c:numCache>
                <c:formatCode>0%</c:formatCode>
                <c:ptCount val="6"/>
                <c:pt idx="0">
                  <c:v>1</c:v>
                </c:pt>
                <c:pt idx="1">
                  <c:v>0.96971691902567481</c:v>
                </c:pt>
                <c:pt idx="2">
                  <c:v>1</c:v>
                </c:pt>
                <c:pt idx="3">
                  <c:v>0.38143036386449186</c:v>
                </c:pt>
                <c:pt idx="4">
                  <c:v>0.93364928909952605</c:v>
                </c:pt>
                <c:pt idx="5">
                  <c:v>2.824858757062147E-4</c:v>
                </c:pt>
              </c:numCache>
            </c:numRef>
          </c:val>
          <c:extLst>
            <c:ext xmlns:c16="http://schemas.microsoft.com/office/drawing/2014/chart" uri="{C3380CC4-5D6E-409C-BE32-E72D297353CC}">
              <c16:uniqueId val="{00000000-E069-4695-A99F-21115DDE287A}"/>
            </c:ext>
          </c:extLst>
        </c:ser>
        <c:ser>
          <c:idx val="1"/>
          <c:order val="1"/>
          <c:tx>
            <c:strRef>
              <c:f>Analysis!$X$112</c:f>
              <c:strCache>
                <c:ptCount val="1"/>
                <c:pt idx="0">
                  <c:v> % Water 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Analysis!$V$113:$V$118</c:f>
              <c:strCache>
                <c:ptCount val="6"/>
                <c:pt idx="0">
                  <c:v>Hseni</c:v>
                </c:pt>
                <c:pt idx="1">
                  <c:v>Kutkai</c:v>
                </c:pt>
                <c:pt idx="2">
                  <c:v>Manton</c:v>
                </c:pt>
                <c:pt idx="3">
                  <c:v>Muse</c:v>
                </c:pt>
                <c:pt idx="4">
                  <c:v>Namhkan</c:v>
                </c:pt>
                <c:pt idx="5">
                  <c:v>Namtu</c:v>
                </c:pt>
              </c:strCache>
            </c:strRef>
          </c:cat>
          <c:val>
            <c:numRef>
              <c:f>Analysis!$X$113:$X$118</c:f>
              <c:numCache>
                <c:formatCode>0%</c:formatCode>
                <c:ptCount val="6"/>
                <c:pt idx="0">
                  <c:v>0</c:v>
                </c:pt>
                <c:pt idx="1">
                  <c:v>3.0283080974325194E-2</c:v>
                </c:pt>
                <c:pt idx="2">
                  <c:v>0</c:v>
                </c:pt>
                <c:pt idx="3">
                  <c:v>0.61856963613550819</c:v>
                </c:pt>
                <c:pt idx="4">
                  <c:v>6.6350710900473953E-2</c:v>
                </c:pt>
                <c:pt idx="5">
                  <c:v>0.99971751412429377</c:v>
                </c:pt>
              </c:numCache>
            </c:numRef>
          </c:val>
          <c:extLst>
            <c:ext xmlns:c16="http://schemas.microsoft.com/office/drawing/2014/chart" uri="{C3380CC4-5D6E-409C-BE32-E72D297353CC}">
              <c16:uniqueId val="{00000001-E069-4695-A99F-21115DDE287A}"/>
            </c:ext>
          </c:extLst>
        </c:ser>
        <c:dLbls>
          <c:showLegendKey val="0"/>
          <c:showVal val="0"/>
          <c:showCatName val="0"/>
          <c:showSerName val="0"/>
          <c:showPercent val="0"/>
          <c:showBubbleSize val="0"/>
        </c:dLbls>
        <c:gapWidth val="150"/>
        <c:overlap val="100"/>
        <c:axId val="395628416"/>
        <c:axId val="414766728"/>
      </c:barChart>
      <c:catAx>
        <c:axId val="39562841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4766728"/>
        <c:crosses val="autoZero"/>
        <c:auto val="1"/>
        <c:lblAlgn val="ctr"/>
        <c:lblOffset val="100"/>
        <c:noMultiLvlLbl val="0"/>
      </c:catAx>
      <c:valAx>
        <c:axId val="41476672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628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[20190516_Myanmar_WASH_4W_2019_Q1_Consolidate.xlsx]Analysis!W_R_C_G_V</c:name>
    <c:fmtId val="44"/>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WATER Coverage VS GAP in Villages </a:t>
            </a:r>
          </a:p>
          <a:p>
            <a:pPr>
              <a:defRPr sz="1200"/>
            </a:pPr>
            <a:r>
              <a:rPr lang="en-US" sz="1200"/>
              <a:t>in Rakhine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Analysis!$L$112</c:f>
              <c:strCache>
                <c:ptCount val="1"/>
                <c:pt idx="0">
                  <c:v> % Water 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Analysis!$K$113:$K$120</c:f>
              <c:strCache>
                <c:ptCount val="8"/>
                <c:pt idx="0">
                  <c:v>Buthidaung</c:v>
                </c:pt>
                <c:pt idx="1">
                  <c:v>Kyaukpyu</c:v>
                </c:pt>
                <c:pt idx="2">
                  <c:v>Kyauktaw</c:v>
                </c:pt>
                <c:pt idx="3">
                  <c:v>Maungdaw</c:v>
                </c:pt>
                <c:pt idx="4">
                  <c:v>Minbya</c:v>
                </c:pt>
                <c:pt idx="5">
                  <c:v>Myebon</c:v>
                </c:pt>
                <c:pt idx="6">
                  <c:v>Pauktaw</c:v>
                </c:pt>
                <c:pt idx="7">
                  <c:v>Sittwe</c:v>
                </c:pt>
              </c:strCache>
            </c:strRef>
          </c:cat>
          <c:val>
            <c:numRef>
              <c:f>Analysis!$L$113:$L$120</c:f>
              <c:numCache>
                <c:formatCode>0%</c:formatCode>
                <c:ptCount val="8"/>
                <c:pt idx="0">
                  <c:v>0.14638213329075975</c:v>
                </c:pt>
                <c:pt idx="1">
                  <c:v>7.2442770211532892E-2</c:v>
                </c:pt>
                <c:pt idx="2">
                  <c:v>0.10678025440541487</c:v>
                </c:pt>
                <c:pt idx="3">
                  <c:v>0.16832844574780059</c:v>
                </c:pt>
                <c:pt idx="4">
                  <c:v>0</c:v>
                </c:pt>
                <c:pt idx="5">
                  <c:v>0</c:v>
                </c:pt>
                <c:pt idx="6">
                  <c:v>0.28622209056911169</c:v>
                </c:pt>
                <c:pt idx="7">
                  <c:v>0.16339209120845671</c:v>
                </c:pt>
              </c:numCache>
            </c:numRef>
          </c:val>
          <c:extLst>
            <c:ext xmlns:c16="http://schemas.microsoft.com/office/drawing/2014/chart" uri="{C3380CC4-5D6E-409C-BE32-E72D297353CC}">
              <c16:uniqueId val="{00000000-4AEF-4AC0-873C-53D72C8FFA81}"/>
            </c:ext>
          </c:extLst>
        </c:ser>
        <c:ser>
          <c:idx val="1"/>
          <c:order val="1"/>
          <c:tx>
            <c:strRef>
              <c:f>Analysis!$M$112</c:f>
              <c:strCache>
                <c:ptCount val="1"/>
                <c:pt idx="0">
                  <c:v> % Water 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Analysis!$K$113:$K$120</c:f>
              <c:strCache>
                <c:ptCount val="8"/>
                <c:pt idx="0">
                  <c:v>Buthidaung</c:v>
                </c:pt>
                <c:pt idx="1">
                  <c:v>Kyaukpyu</c:v>
                </c:pt>
                <c:pt idx="2">
                  <c:v>Kyauktaw</c:v>
                </c:pt>
                <c:pt idx="3">
                  <c:v>Maungdaw</c:v>
                </c:pt>
                <c:pt idx="4">
                  <c:v>Minbya</c:v>
                </c:pt>
                <c:pt idx="5">
                  <c:v>Myebon</c:v>
                </c:pt>
                <c:pt idx="6">
                  <c:v>Pauktaw</c:v>
                </c:pt>
                <c:pt idx="7">
                  <c:v>Sittwe</c:v>
                </c:pt>
              </c:strCache>
            </c:strRef>
          </c:cat>
          <c:val>
            <c:numRef>
              <c:f>Analysis!$M$113:$M$120</c:f>
              <c:numCache>
                <c:formatCode>0%</c:formatCode>
                <c:ptCount val="8"/>
                <c:pt idx="0">
                  <c:v>0.85361786670924023</c:v>
                </c:pt>
                <c:pt idx="1">
                  <c:v>0.92755722978846711</c:v>
                </c:pt>
                <c:pt idx="2">
                  <c:v>0.89321974559458517</c:v>
                </c:pt>
                <c:pt idx="3">
                  <c:v>0.83167155425219941</c:v>
                </c:pt>
                <c:pt idx="4">
                  <c:v>1</c:v>
                </c:pt>
                <c:pt idx="5">
                  <c:v>1</c:v>
                </c:pt>
                <c:pt idx="6">
                  <c:v>0.71377790943088826</c:v>
                </c:pt>
                <c:pt idx="7">
                  <c:v>0.83660790879154323</c:v>
                </c:pt>
              </c:numCache>
            </c:numRef>
          </c:val>
          <c:extLst>
            <c:ext xmlns:c16="http://schemas.microsoft.com/office/drawing/2014/chart" uri="{C3380CC4-5D6E-409C-BE32-E72D297353CC}">
              <c16:uniqueId val="{00000001-4AEF-4AC0-873C-53D72C8FFA81}"/>
            </c:ext>
          </c:extLst>
        </c:ser>
        <c:dLbls>
          <c:showLegendKey val="0"/>
          <c:showVal val="0"/>
          <c:showCatName val="0"/>
          <c:showSerName val="0"/>
          <c:showPercent val="0"/>
          <c:showBubbleSize val="0"/>
        </c:dLbls>
        <c:gapWidth val="150"/>
        <c:overlap val="100"/>
        <c:axId val="414767120"/>
        <c:axId val="414769864"/>
      </c:barChart>
      <c:catAx>
        <c:axId val="4147671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4769864"/>
        <c:crosses val="autoZero"/>
        <c:auto val="1"/>
        <c:lblAlgn val="ctr"/>
        <c:lblOffset val="100"/>
        <c:noMultiLvlLbl val="0"/>
      </c:catAx>
      <c:valAx>
        <c:axId val="41476986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4767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[20190516_Myanmar_WASH_4W_2019_Q1_Consolidate.xlsx]Analysis!K_L_CG_C</c:name>
    <c:fmtId val="34"/>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a:t>
            </a:r>
            <a:r>
              <a:rPr lang="en-US" sz="1400" baseline="0"/>
              <a:t> Coverage VS GAP in active camps</a:t>
            </a:r>
          </a:p>
          <a:p>
            <a:pPr>
              <a:defRPr sz="1400"/>
            </a:pPr>
            <a:r>
              <a:rPr lang="en-US" sz="1400" baseline="0"/>
              <a:t>in Kachin</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Analysis!$C$199</c:f>
              <c:strCache>
                <c:ptCount val="1"/>
                <c:pt idx="0">
                  <c:v> % Latrine 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Analysis!$B$200:$B$211</c:f>
              <c:strCache>
                <c:ptCount val="12"/>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Waingmaw</c:v>
                </c:pt>
              </c:strCache>
            </c:strRef>
          </c:cat>
          <c:val>
            <c:numRef>
              <c:f>Analysis!$C$200:$C$211</c:f>
              <c:numCache>
                <c:formatCode>0%</c:formatCode>
                <c:ptCount val="12"/>
                <c:pt idx="0">
                  <c:v>0.64238636363636359</c:v>
                </c:pt>
                <c:pt idx="1">
                  <c:v>0.93344594594594599</c:v>
                </c:pt>
                <c:pt idx="2">
                  <c:v>0.85535714285714282</c:v>
                </c:pt>
                <c:pt idx="3">
                  <c:v>0.93393782383419688</c:v>
                </c:pt>
                <c:pt idx="4">
                  <c:v>0.51915184678522575</c:v>
                </c:pt>
                <c:pt idx="5">
                  <c:v>0.53146853146853146</c:v>
                </c:pt>
                <c:pt idx="6">
                  <c:v>0.50320628287340585</c:v>
                </c:pt>
                <c:pt idx="7">
                  <c:v>0.7611595420649091</c:v>
                </c:pt>
                <c:pt idx="8">
                  <c:v>0.13840830449826991</c:v>
                </c:pt>
                <c:pt idx="9">
                  <c:v>0.27667493796526055</c:v>
                </c:pt>
                <c:pt idx="10">
                  <c:v>1</c:v>
                </c:pt>
                <c:pt idx="11">
                  <c:v>0.58288533765373007</c:v>
                </c:pt>
              </c:numCache>
            </c:numRef>
          </c:val>
          <c:extLst>
            <c:ext xmlns:c16="http://schemas.microsoft.com/office/drawing/2014/chart" uri="{C3380CC4-5D6E-409C-BE32-E72D297353CC}">
              <c16:uniqueId val="{00000000-4AC2-4565-9EAC-6FA66FAE107D}"/>
            </c:ext>
          </c:extLst>
        </c:ser>
        <c:ser>
          <c:idx val="1"/>
          <c:order val="1"/>
          <c:tx>
            <c:strRef>
              <c:f>Analysis!$D$199</c:f>
              <c:strCache>
                <c:ptCount val="1"/>
                <c:pt idx="0">
                  <c:v>  % Latrine 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Analysis!$B$200:$B$211</c:f>
              <c:strCache>
                <c:ptCount val="12"/>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Waingmaw</c:v>
                </c:pt>
              </c:strCache>
            </c:strRef>
          </c:cat>
          <c:val>
            <c:numRef>
              <c:f>Analysis!$D$200:$D$211</c:f>
              <c:numCache>
                <c:formatCode>0%</c:formatCode>
                <c:ptCount val="12"/>
                <c:pt idx="0">
                  <c:v>0.35761363636363641</c:v>
                </c:pt>
                <c:pt idx="1">
                  <c:v>6.6554054054054013E-2</c:v>
                </c:pt>
                <c:pt idx="2">
                  <c:v>0.14464285714285718</c:v>
                </c:pt>
                <c:pt idx="3">
                  <c:v>6.6062176165803121E-2</c:v>
                </c:pt>
                <c:pt idx="4">
                  <c:v>0.48084815321477425</c:v>
                </c:pt>
                <c:pt idx="5">
                  <c:v>0.46853146853146854</c:v>
                </c:pt>
                <c:pt idx="6">
                  <c:v>0.49679371712659415</c:v>
                </c:pt>
                <c:pt idx="7">
                  <c:v>0.2388404579350909</c:v>
                </c:pt>
                <c:pt idx="8">
                  <c:v>0.86159169550173009</c:v>
                </c:pt>
                <c:pt idx="9">
                  <c:v>0.72332506203473945</c:v>
                </c:pt>
                <c:pt idx="10">
                  <c:v>0</c:v>
                </c:pt>
                <c:pt idx="11">
                  <c:v>0.41711466234626993</c:v>
                </c:pt>
              </c:numCache>
            </c:numRef>
          </c:val>
          <c:extLst>
            <c:ext xmlns:c16="http://schemas.microsoft.com/office/drawing/2014/chart" uri="{C3380CC4-5D6E-409C-BE32-E72D297353CC}">
              <c16:uniqueId val="{00000001-4AC2-4565-9EAC-6FA66FAE107D}"/>
            </c:ext>
          </c:extLst>
        </c:ser>
        <c:dLbls>
          <c:showLegendKey val="0"/>
          <c:showVal val="0"/>
          <c:showCatName val="0"/>
          <c:showSerName val="0"/>
          <c:showPercent val="0"/>
          <c:showBubbleSize val="0"/>
        </c:dLbls>
        <c:gapWidth val="150"/>
        <c:overlap val="100"/>
        <c:axId val="414768296"/>
        <c:axId val="414767904"/>
      </c:barChart>
      <c:catAx>
        <c:axId val="41476829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67904"/>
        <c:crosses val="autoZero"/>
        <c:auto val="1"/>
        <c:lblAlgn val="ctr"/>
        <c:lblOffset val="100"/>
        <c:noMultiLvlLbl val="0"/>
      </c:catAx>
      <c:valAx>
        <c:axId val="41476790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68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[20190516_Myanmar_WASH_4W_2019_Q1_Consolidate.xlsx]Analysis!K_L_CG_N</c:name>
    <c:fmtId val="3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 VS GAP in active Camps</a:t>
            </a:r>
          </a:p>
          <a:p>
            <a:pPr>
              <a:defRPr sz="1400"/>
            </a:pPr>
            <a:r>
              <a:rPr lang="en-US" sz="1400"/>
              <a:t>in Shan (North)</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Analysis!$M$200</c:f>
              <c:strCache>
                <c:ptCount val="1"/>
                <c:pt idx="0">
                  <c:v>  % Latrine 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Analysis!$L$201:$L$206</c:f>
              <c:strCache>
                <c:ptCount val="6"/>
                <c:pt idx="0">
                  <c:v>Hseni</c:v>
                </c:pt>
                <c:pt idx="1">
                  <c:v>Kutkai</c:v>
                </c:pt>
                <c:pt idx="2">
                  <c:v>Manton</c:v>
                </c:pt>
                <c:pt idx="3">
                  <c:v>Muse</c:v>
                </c:pt>
                <c:pt idx="4">
                  <c:v>Namhkan</c:v>
                </c:pt>
                <c:pt idx="5">
                  <c:v>Namtu</c:v>
                </c:pt>
              </c:strCache>
            </c:strRef>
          </c:cat>
          <c:val>
            <c:numRef>
              <c:f>Analysis!$M$201:$M$206</c:f>
              <c:numCache>
                <c:formatCode>0%</c:formatCode>
                <c:ptCount val="6"/>
                <c:pt idx="0">
                  <c:v>1</c:v>
                </c:pt>
                <c:pt idx="1">
                  <c:v>0.91727013385999556</c:v>
                </c:pt>
                <c:pt idx="2">
                  <c:v>0.96845425867507884</c:v>
                </c:pt>
                <c:pt idx="3">
                  <c:v>1</c:v>
                </c:pt>
                <c:pt idx="4">
                  <c:v>0.70995260663507109</c:v>
                </c:pt>
                <c:pt idx="5">
                  <c:v>0.67796610169491522</c:v>
                </c:pt>
              </c:numCache>
            </c:numRef>
          </c:val>
          <c:extLst>
            <c:ext xmlns:c16="http://schemas.microsoft.com/office/drawing/2014/chart" uri="{C3380CC4-5D6E-409C-BE32-E72D297353CC}">
              <c16:uniqueId val="{00000000-FDB6-4E7C-A9A5-0762A35FAE8D}"/>
            </c:ext>
          </c:extLst>
        </c:ser>
        <c:ser>
          <c:idx val="1"/>
          <c:order val="1"/>
          <c:tx>
            <c:strRef>
              <c:f>Analysis!$N$200</c:f>
              <c:strCache>
                <c:ptCount val="1"/>
                <c:pt idx="0">
                  <c:v>  % Latrine 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Analysis!$L$201:$L$206</c:f>
              <c:strCache>
                <c:ptCount val="6"/>
                <c:pt idx="0">
                  <c:v>Hseni</c:v>
                </c:pt>
                <c:pt idx="1">
                  <c:v>Kutkai</c:v>
                </c:pt>
                <c:pt idx="2">
                  <c:v>Manton</c:v>
                </c:pt>
                <c:pt idx="3">
                  <c:v>Muse</c:v>
                </c:pt>
                <c:pt idx="4">
                  <c:v>Namhkan</c:v>
                </c:pt>
                <c:pt idx="5">
                  <c:v>Namtu</c:v>
                </c:pt>
              </c:strCache>
            </c:strRef>
          </c:cat>
          <c:val>
            <c:numRef>
              <c:f>Analysis!$N$201:$N$206</c:f>
              <c:numCache>
                <c:formatCode>0%</c:formatCode>
                <c:ptCount val="6"/>
                <c:pt idx="0">
                  <c:v>0</c:v>
                </c:pt>
                <c:pt idx="1">
                  <c:v>8.2729866140004438E-2</c:v>
                </c:pt>
                <c:pt idx="2">
                  <c:v>3.1545741324921162E-2</c:v>
                </c:pt>
                <c:pt idx="3">
                  <c:v>0</c:v>
                </c:pt>
                <c:pt idx="4">
                  <c:v>0.29004739336492891</c:v>
                </c:pt>
                <c:pt idx="5">
                  <c:v>0.32203389830508478</c:v>
                </c:pt>
              </c:numCache>
            </c:numRef>
          </c:val>
          <c:extLst>
            <c:ext xmlns:c16="http://schemas.microsoft.com/office/drawing/2014/chart" uri="{C3380CC4-5D6E-409C-BE32-E72D297353CC}">
              <c16:uniqueId val="{00000001-FDB6-4E7C-A9A5-0762A35FAE8D}"/>
            </c:ext>
          </c:extLst>
        </c:ser>
        <c:dLbls>
          <c:showLegendKey val="0"/>
          <c:showVal val="0"/>
          <c:showCatName val="0"/>
          <c:showSerName val="0"/>
          <c:showPercent val="0"/>
          <c:showBubbleSize val="0"/>
        </c:dLbls>
        <c:gapWidth val="150"/>
        <c:overlap val="100"/>
        <c:axId val="414770648"/>
        <c:axId val="414773392"/>
      </c:barChart>
      <c:catAx>
        <c:axId val="4147706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73392"/>
        <c:crosses val="autoZero"/>
        <c:auto val="1"/>
        <c:lblAlgn val="ctr"/>
        <c:lblOffset val="100"/>
        <c:noMultiLvlLbl val="0"/>
      </c:catAx>
      <c:valAx>
        <c:axId val="41477339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70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[20190516_Myanmar_WASH_4W_2019_Q1_Consolidate.xlsx]Analysis!R_S_CG_C</c:name>
    <c:fmtId val="39"/>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 Coverage VS</a:t>
            </a:r>
            <a:r>
              <a:rPr lang="en-US" sz="1200" baseline="0"/>
              <a:t> GAP in active camps</a:t>
            </a:r>
          </a:p>
          <a:p>
            <a:pPr>
              <a:defRPr sz="1200"/>
            </a:pPr>
            <a:r>
              <a:rPr lang="en-US" sz="1200" baseline="0"/>
              <a:t>in Rakhine</a:t>
            </a:r>
            <a:endParaRPr lang="en-US"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Analysis!$C$222</c:f>
              <c:strCache>
                <c:ptCount val="1"/>
                <c:pt idx="0">
                  <c:v>  % Sanitation 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Analysis!$B$223:$B$227</c:f>
              <c:strCache>
                <c:ptCount val="5"/>
                <c:pt idx="0">
                  <c:v>Kyaukpyu</c:v>
                </c:pt>
                <c:pt idx="1">
                  <c:v>Kyauktaw</c:v>
                </c:pt>
                <c:pt idx="2">
                  <c:v>Myebon</c:v>
                </c:pt>
                <c:pt idx="3">
                  <c:v>Pauktaw</c:v>
                </c:pt>
                <c:pt idx="4">
                  <c:v>Sittwe</c:v>
                </c:pt>
              </c:strCache>
            </c:strRef>
          </c:cat>
          <c:val>
            <c:numRef>
              <c:f>Analysis!$C$223:$C$227</c:f>
              <c:numCache>
                <c:formatCode>0%</c:formatCode>
                <c:ptCount val="5"/>
                <c:pt idx="0">
                  <c:v>1</c:v>
                </c:pt>
                <c:pt idx="1">
                  <c:v>0.44750430292598969</c:v>
                </c:pt>
                <c:pt idx="2">
                  <c:v>1</c:v>
                </c:pt>
                <c:pt idx="3">
                  <c:v>0.59189891567344743</c:v>
                </c:pt>
                <c:pt idx="4">
                  <c:v>0.66547714601817909</c:v>
                </c:pt>
              </c:numCache>
            </c:numRef>
          </c:val>
          <c:extLst>
            <c:ext xmlns:c16="http://schemas.microsoft.com/office/drawing/2014/chart" uri="{C3380CC4-5D6E-409C-BE32-E72D297353CC}">
              <c16:uniqueId val="{00000000-63AE-4813-8A93-7D23356CAF9D}"/>
            </c:ext>
          </c:extLst>
        </c:ser>
        <c:ser>
          <c:idx val="1"/>
          <c:order val="1"/>
          <c:tx>
            <c:strRef>
              <c:f>Analysis!$D$222</c:f>
              <c:strCache>
                <c:ptCount val="1"/>
                <c:pt idx="0">
                  <c:v>  % Sanitation 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Analysis!$B$223:$B$227</c:f>
              <c:strCache>
                <c:ptCount val="5"/>
                <c:pt idx="0">
                  <c:v>Kyaukpyu</c:v>
                </c:pt>
                <c:pt idx="1">
                  <c:v>Kyauktaw</c:v>
                </c:pt>
                <c:pt idx="2">
                  <c:v>Myebon</c:v>
                </c:pt>
                <c:pt idx="3">
                  <c:v>Pauktaw</c:v>
                </c:pt>
                <c:pt idx="4">
                  <c:v>Sittwe</c:v>
                </c:pt>
              </c:strCache>
            </c:strRef>
          </c:cat>
          <c:val>
            <c:numRef>
              <c:f>Analysis!$D$223:$D$227</c:f>
              <c:numCache>
                <c:formatCode>0%</c:formatCode>
                <c:ptCount val="5"/>
                <c:pt idx="0">
                  <c:v>0</c:v>
                </c:pt>
                <c:pt idx="1">
                  <c:v>0.55249569707401025</c:v>
                </c:pt>
                <c:pt idx="2">
                  <c:v>0</c:v>
                </c:pt>
                <c:pt idx="3">
                  <c:v>0.40810108432655257</c:v>
                </c:pt>
                <c:pt idx="4">
                  <c:v>0.33452285398182091</c:v>
                </c:pt>
              </c:numCache>
            </c:numRef>
          </c:val>
          <c:extLst>
            <c:ext xmlns:c16="http://schemas.microsoft.com/office/drawing/2014/chart" uri="{C3380CC4-5D6E-409C-BE32-E72D297353CC}">
              <c16:uniqueId val="{00000001-63AE-4813-8A93-7D23356CAF9D}"/>
            </c:ext>
          </c:extLst>
        </c:ser>
        <c:dLbls>
          <c:showLegendKey val="0"/>
          <c:showVal val="0"/>
          <c:showCatName val="0"/>
          <c:showSerName val="0"/>
          <c:showPercent val="0"/>
          <c:showBubbleSize val="0"/>
        </c:dLbls>
        <c:gapWidth val="150"/>
        <c:overlap val="100"/>
        <c:axId val="414769472"/>
        <c:axId val="414772608"/>
      </c:barChart>
      <c:catAx>
        <c:axId val="4147694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4772608"/>
        <c:crosses val="autoZero"/>
        <c:auto val="1"/>
        <c:lblAlgn val="ctr"/>
        <c:lblOffset val="100"/>
        <c:noMultiLvlLbl val="0"/>
      </c:catAx>
      <c:valAx>
        <c:axId val="41477260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4769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[20190516_Myanmar_WASH_4W_2019_Q1_Consolidate.xlsx]Analysis!R_S_CG_V</c:name>
    <c:fmtId val="43"/>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 Coverage VS GAP in Villages</a:t>
            </a:r>
          </a:p>
          <a:p>
            <a:pPr>
              <a:defRPr sz="1200"/>
            </a:pPr>
            <a:r>
              <a:rPr lang="en-US" sz="1200"/>
              <a:t>in Rakhine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pivotFmt>
      <c:pivotFmt>
        <c:idx val="3"/>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2">
              <a:lumMod val="40000"/>
              <a:lumOff val="60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Analysis!$K$222</c:f>
              <c:strCache>
                <c:ptCount val="1"/>
                <c:pt idx="0">
                  <c:v>  % Latrine 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Analysis!$J$223:$J$230</c:f>
              <c:strCache>
                <c:ptCount val="8"/>
                <c:pt idx="0">
                  <c:v>Buthidaung</c:v>
                </c:pt>
                <c:pt idx="1">
                  <c:v>Kyaukpyu</c:v>
                </c:pt>
                <c:pt idx="2">
                  <c:v>Kyauktaw</c:v>
                </c:pt>
                <c:pt idx="3">
                  <c:v>Maungdaw</c:v>
                </c:pt>
                <c:pt idx="4">
                  <c:v>Minbya</c:v>
                </c:pt>
                <c:pt idx="5">
                  <c:v>Myebon</c:v>
                </c:pt>
                <c:pt idx="6">
                  <c:v>Pauktaw</c:v>
                </c:pt>
                <c:pt idx="7">
                  <c:v>Sittwe</c:v>
                </c:pt>
              </c:strCache>
            </c:strRef>
          </c:cat>
          <c:val>
            <c:numRef>
              <c:f>Analysis!$K$223:$K$230</c:f>
              <c:numCache>
                <c:formatCode>0%</c:formatCode>
                <c:ptCount val="8"/>
                <c:pt idx="0">
                  <c:v>4.4223298387525943E-2</c:v>
                </c:pt>
                <c:pt idx="1">
                  <c:v>9.3596059113300489E-2</c:v>
                </c:pt>
                <c:pt idx="2">
                  <c:v>0</c:v>
                </c:pt>
                <c:pt idx="3">
                  <c:v>0.10589176219674754</c:v>
                </c:pt>
                <c:pt idx="4">
                  <c:v>0</c:v>
                </c:pt>
                <c:pt idx="5">
                  <c:v>0</c:v>
                </c:pt>
                <c:pt idx="6">
                  <c:v>0.21409264264820232</c:v>
                </c:pt>
                <c:pt idx="7">
                  <c:v>0</c:v>
                </c:pt>
              </c:numCache>
            </c:numRef>
          </c:val>
          <c:extLst>
            <c:ext xmlns:c16="http://schemas.microsoft.com/office/drawing/2014/chart" uri="{C3380CC4-5D6E-409C-BE32-E72D297353CC}">
              <c16:uniqueId val="{00000000-1A58-4061-8479-9624FF148E77}"/>
            </c:ext>
          </c:extLst>
        </c:ser>
        <c:ser>
          <c:idx val="1"/>
          <c:order val="1"/>
          <c:tx>
            <c:strRef>
              <c:f>Analysis!$L$222</c:f>
              <c:strCache>
                <c:ptCount val="1"/>
                <c:pt idx="0">
                  <c:v>  % Latrine GAP</c:v>
                </c:pt>
              </c:strCache>
            </c:strRef>
          </c:tx>
          <c:spPr>
            <a:solidFill>
              <a:schemeClr val="accent2">
                <a:lumMod val="40000"/>
                <a:lumOff val="60000"/>
              </a:schemeClr>
            </a:solidFill>
            <a:ln>
              <a:noFill/>
            </a:ln>
            <a:effectLst/>
          </c:spPr>
          <c:invertIfNegative val="0"/>
          <c:dPt>
            <c:idx val="1"/>
            <c:invertIfNegative val="0"/>
            <c:bubble3D val="0"/>
            <c:extLst>
              <c:ext xmlns:c16="http://schemas.microsoft.com/office/drawing/2014/chart" uri="{C3380CC4-5D6E-409C-BE32-E72D297353CC}">
                <c16:uniqueId val="{00000002-1A58-4061-8479-9624FF148E77}"/>
              </c:ext>
            </c:extLst>
          </c:dPt>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58-4061-8479-9624FF148E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Analysis!$J$223:$J$230</c:f>
              <c:strCache>
                <c:ptCount val="8"/>
                <c:pt idx="0">
                  <c:v>Buthidaung</c:v>
                </c:pt>
                <c:pt idx="1">
                  <c:v>Kyaukpyu</c:v>
                </c:pt>
                <c:pt idx="2">
                  <c:v>Kyauktaw</c:v>
                </c:pt>
                <c:pt idx="3">
                  <c:v>Maungdaw</c:v>
                </c:pt>
                <c:pt idx="4">
                  <c:v>Minbya</c:v>
                </c:pt>
                <c:pt idx="5">
                  <c:v>Myebon</c:v>
                </c:pt>
                <c:pt idx="6">
                  <c:v>Pauktaw</c:v>
                </c:pt>
                <c:pt idx="7">
                  <c:v>Sittwe</c:v>
                </c:pt>
              </c:strCache>
            </c:strRef>
          </c:cat>
          <c:val>
            <c:numRef>
              <c:f>Analysis!$L$223:$L$230</c:f>
              <c:numCache>
                <c:formatCode>0%</c:formatCode>
                <c:ptCount val="8"/>
                <c:pt idx="0">
                  <c:v>0.95577670161247408</c:v>
                </c:pt>
                <c:pt idx="1">
                  <c:v>0.90640394088669951</c:v>
                </c:pt>
                <c:pt idx="2">
                  <c:v>1</c:v>
                </c:pt>
                <c:pt idx="3">
                  <c:v>0.89410823780325244</c:v>
                </c:pt>
                <c:pt idx="4">
                  <c:v>1</c:v>
                </c:pt>
                <c:pt idx="5">
                  <c:v>1</c:v>
                </c:pt>
                <c:pt idx="6">
                  <c:v>0.78590735735179762</c:v>
                </c:pt>
                <c:pt idx="7">
                  <c:v>1</c:v>
                </c:pt>
              </c:numCache>
            </c:numRef>
          </c:val>
          <c:extLst>
            <c:ext xmlns:c16="http://schemas.microsoft.com/office/drawing/2014/chart" uri="{C3380CC4-5D6E-409C-BE32-E72D297353CC}">
              <c16:uniqueId val="{00000001-1A58-4061-8479-9624FF148E77}"/>
            </c:ext>
          </c:extLst>
        </c:ser>
        <c:dLbls>
          <c:showLegendKey val="0"/>
          <c:showVal val="0"/>
          <c:showCatName val="0"/>
          <c:showSerName val="0"/>
          <c:showPercent val="0"/>
          <c:showBubbleSize val="0"/>
        </c:dLbls>
        <c:gapWidth val="150"/>
        <c:overlap val="100"/>
        <c:axId val="414769080"/>
        <c:axId val="414771040"/>
      </c:barChart>
      <c:catAx>
        <c:axId val="4147690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2"/>
                </a:solidFill>
                <a:latin typeface="+mn-lt"/>
                <a:ea typeface="+mn-ea"/>
                <a:cs typeface="+mn-cs"/>
              </a:defRPr>
            </a:pPr>
            <a:endParaRPr lang="en-US"/>
          </a:p>
        </c:txPr>
        <c:crossAx val="414771040"/>
        <c:crosses val="autoZero"/>
        <c:auto val="1"/>
        <c:lblAlgn val="ctr"/>
        <c:lblOffset val="100"/>
        <c:noMultiLvlLbl val="0"/>
      </c:catAx>
      <c:valAx>
        <c:axId val="41477104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4769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[20190516_Myanmar_WASH_4W_2019_Q1_Consolidate.xlsx]Analysis!S_S_CG_C</c:name>
    <c:fmtId val="48"/>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Latrine Coverage</a:t>
            </a:r>
            <a:r>
              <a:rPr lang="en-US" sz="1200" baseline="0"/>
              <a:t> VS GAP in New Temporary Sites</a:t>
            </a:r>
          </a:p>
          <a:p>
            <a:pPr>
              <a:defRPr sz="1200"/>
            </a:pPr>
            <a:r>
              <a:rPr lang="en-US" sz="1200" baseline="0"/>
              <a:t>in Rakhine</a:t>
            </a:r>
            <a:endParaRPr lang="en-US"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Analysis!$T$222</c:f>
              <c:strCache>
                <c:ptCount val="1"/>
                <c:pt idx="0">
                  <c:v>  % Latrine 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Analysis!$S$223:$S$228</c:f>
              <c:strCache>
                <c:ptCount val="6"/>
                <c:pt idx="0">
                  <c:v>Buthidaung</c:v>
                </c:pt>
                <c:pt idx="1">
                  <c:v>Kyauktaw</c:v>
                </c:pt>
                <c:pt idx="2">
                  <c:v>Minbya</c:v>
                </c:pt>
                <c:pt idx="3">
                  <c:v>Mrauk-U</c:v>
                </c:pt>
                <c:pt idx="4">
                  <c:v>Ponnagyun</c:v>
                </c:pt>
                <c:pt idx="5">
                  <c:v>Rathedaung</c:v>
                </c:pt>
              </c:strCache>
            </c:strRef>
          </c:cat>
          <c:val>
            <c:numRef>
              <c:f>Analysis!$T$223:$T$228</c:f>
              <c:numCache>
                <c:formatCode>0%</c:formatCode>
                <c:ptCount val="6"/>
                <c:pt idx="0">
                  <c:v>0</c:v>
                </c:pt>
                <c:pt idx="1">
                  <c:v>0.48282668772206871</c:v>
                </c:pt>
                <c:pt idx="2">
                  <c:v>0</c:v>
                </c:pt>
                <c:pt idx="3">
                  <c:v>0.33098810139679258</c:v>
                </c:pt>
                <c:pt idx="4">
                  <c:v>0.60585276634659346</c:v>
                </c:pt>
                <c:pt idx="5">
                  <c:v>0.746658179503501</c:v>
                </c:pt>
              </c:numCache>
            </c:numRef>
          </c:val>
          <c:extLst>
            <c:ext xmlns:c16="http://schemas.microsoft.com/office/drawing/2014/chart" uri="{C3380CC4-5D6E-409C-BE32-E72D297353CC}">
              <c16:uniqueId val="{00000000-CF46-452B-8660-46A28F208068}"/>
            </c:ext>
          </c:extLst>
        </c:ser>
        <c:ser>
          <c:idx val="1"/>
          <c:order val="1"/>
          <c:tx>
            <c:strRef>
              <c:f>Analysis!$U$222</c:f>
              <c:strCache>
                <c:ptCount val="1"/>
                <c:pt idx="0">
                  <c:v>  % Latrine 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Analysis!$S$223:$S$228</c:f>
              <c:strCache>
                <c:ptCount val="6"/>
                <c:pt idx="0">
                  <c:v>Buthidaung</c:v>
                </c:pt>
                <c:pt idx="1">
                  <c:v>Kyauktaw</c:v>
                </c:pt>
                <c:pt idx="2">
                  <c:v>Minbya</c:v>
                </c:pt>
                <c:pt idx="3">
                  <c:v>Mrauk-U</c:v>
                </c:pt>
                <c:pt idx="4">
                  <c:v>Ponnagyun</c:v>
                </c:pt>
                <c:pt idx="5">
                  <c:v>Rathedaung</c:v>
                </c:pt>
              </c:strCache>
            </c:strRef>
          </c:cat>
          <c:val>
            <c:numRef>
              <c:f>Analysis!$U$223:$U$228</c:f>
              <c:numCache>
                <c:formatCode>0%</c:formatCode>
                <c:ptCount val="6"/>
                <c:pt idx="0">
                  <c:v>1</c:v>
                </c:pt>
                <c:pt idx="1">
                  <c:v>0.51717331227793129</c:v>
                </c:pt>
                <c:pt idx="2">
                  <c:v>1</c:v>
                </c:pt>
                <c:pt idx="3">
                  <c:v>0.66901189860320742</c:v>
                </c:pt>
                <c:pt idx="4">
                  <c:v>0.39414723365340654</c:v>
                </c:pt>
                <c:pt idx="5">
                  <c:v>0.253341820496499</c:v>
                </c:pt>
              </c:numCache>
            </c:numRef>
          </c:val>
          <c:extLst>
            <c:ext xmlns:c16="http://schemas.microsoft.com/office/drawing/2014/chart" uri="{C3380CC4-5D6E-409C-BE32-E72D297353CC}">
              <c16:uniqueId val="{00000001-CF46-452B-8660-46A28F208068}"/>
            </c:ext>
          </c:extLst>
        </c:ser>
        <c:dLbls>
          <c:showLegendKey val="0"/>
          <c:showVal val="0"/>
          <c:showCatName val="0"/>
          <c:showSerName val="0"/>
          <c:showPercent val="0"/>
          <c:showBubbleSize val="0"/>
        </c:dLbls>
        <c:gapWidth val="150"/>
        <c:overlap val="100"/>
        <c:axId val="414771432"/>
        <c:axId val="414771824"/>
      </c:barChart>
      <c:catAx>
        <c:axId val="41477143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4771824"/>
        <c:crosses val="autoZero"/>
        <c:auto val="1"/>
        <c:lblAlgn val="ctr"/>
        <c:lblOffset val="100"/>
        <c:noMultiLvlLbl val="0"/>
      </c:catAx>
      <c:valAx>
        <c:axId val="41477182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4771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[20190516_Myanmar_WASH_4W_2019_Q1_Consolidate.xlsx]Analysis!K_H_CG_C</c:name>
    <c:fmtId val="3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Hygiene Coverage VS GAP in active camps</a:t>
            </a:r>
          </a:p>
          <a:p>
            <a:pPr>
              <a:defRPr sz="1400"/>
            </a:pPr>
            <a:r>
              <a:rPr lang="en-US" sz="1400"/>
              <a:t>in Kachin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081952105979136E-2"/>
          <c:y val="0.24271399053609838"/>
          <c:w val="0.88637979901754527"/>
          <c:h val="0.43678904961231607"/>
        </c:manualLayout>
      </c:layout>
      <c:barChart>
        <c:barDir val="col"/>
        <c:grouping val="percentStacked"/>
        <c:varyColors val="0"/>
        <c:ser>
          <c:idx val="0"/>
          <c:order val="0"/>
          <c:tx>
            <c:strRef>
              <c:f>Analysis!$C$286</c:f>
              <c:strCache>
                <c:ptCount val="1"/>
                <c:pt idx="0">
                  <c:v>  % Hygiene Coverage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Analysis!$B$287:$B$298</c:f>
              <c:strCache>
                <c:ptCount val="12"/>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Waingmaw</c:v>
                </c:pt>
              </c:strCache>
            </c:strRef>
          </c:cat>
          <c:val>
            <c:numRef>
              <c:f>Analysis!$C$287:$C$298</c:f>
              <c:numCache>
                <c:formatCode>0%</c:formatCode>
                <c:ptCount val="12"/>
                <c:pt idx="0">
                  <c:v>0.77909090909090906</c:v>
                </c:pt>
                <c:pt idx="1">
                  <c:v>1</c:v>
                </c:pt>
                <c:pt idx="2">
                  <c:v>0.99642857142857144</c:v>
                </c:pt>
                <c:pt idx="3">
                  <c:v>0.92797927461139895</c:v>
                </c:pt>
                <c:pt idx="4">
                  <c:v>1</c:v>
                </c:pt>
                <c:pt idx="5">
                  <c:v>0.57692307692307687</c:v>
                </c:pt>
                <c:pt idx="6">
                  <c:v>0.39004971539736294</c:v>
                </c:pt>
                <c:pt idx="7">
                  <c:v>0.90988341560760422</c:v>
                </c:pt>
                <c:pt idx="8">
                  <c:v>1</c:v>
                </c:pt>
                <c:pt idx="9">
                  <c:v>0</c:v>
                </c:pt>
                <c:pt idx="10">
                  <c:v>1</c:v>
                </c:pt>
                <c:pt idx="11">
                  <c:v>0.51616466602842626</c:v>
                </c:pt>
              </c:numCache>
            </c:numRef>
          </c:val>
          <c:extLst>
            <c:ext xmlns:c16="http://schemas.microsoft.com/office/drawing/2014/chart" uri="{C3380CC4-5D6E-409C-BE32-E72D297353CC}">
              <c16:uniqueId val="{00000000-19C3-4FFC-A970-674E6FC0651A}"/>
            </c:ext>
          </c:extLst>
        </c:ser>
        <c:ser>
          <c:idx val="1"/>
          <c:order val="1"/>
          <c:tx>
            <c:strRef>
              <c:f>Analysis!$D$286</c:f>
              <c:strCache>
                <c:ptCount val="1"/>
                <c:pt idx="0">
                  <c:v>  % Hygiene 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Analysis!$B$287:$B$298</c:f>
              <c:strCache>
                <c:ptCount val="12"/>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Waingmaw</c:v>
                </c:pt>
              </c:strCache>
            </c:strRef>
          </c:cat>
          <c:val>
            <c:numRef>
              <c:f>Analysis!$D$287:$D$298</c:f>
              <c:numCache>
                <c:formatCode>0%</c:formatCode>
                <c:ptCount val="12"/>
                <c:pt idx="0">
                  <c:v>0.22090909090909094</c:v>
                </c:pt>
                <c:pt idx="1">
                  <c:v>0</c:v>
                </c:pt>
                <c:pt idx="2">
                  <c:v>3.5714285714285587E-3</c:v>
                </c:pt>
                <c:pt idx="3">
                  <c:v>7.2020725388601048E-2</c:v>
                </c:pt>
                <c:pt idx="4">
                  <c:v>0</c:v>
                </c:pt>
                <c:pt idx="5">
                  <c:v>0.42307692307692313</c:v>
                </c:pt>
                <c:pt idx="6">
                  <c:v>0.60995028460263701</c:v>
                </c:pt>
                <c:pt idx="7">
                  <c:v>9.0116584392395782E-2</c:v>
                </c:pt>
                <c:pt idx="8">
                  <c:v>0</c:v>
                </c:pt>
                <c:pt idx="9">
                  <c:v>1</c:v>
                </c:pt>
                <c:pt idx="10">
                  <c:v>0</c:v>
                </c:pt>
                <c:pt idx="11">
                  <c:v>0.48383533397157374</c:v>
                </c:pt>
              </c:numCache>
            </c:numRef>
          </c:val>
          <c:extLst>
            <c:ext xmlns:c16="http://schemas.microsoft.com/office/drawing/2014/chart" uri="{C3380CC4-5D6E-409C-BE32-E72D297353CC}">
              <c16:uniqueId val="{00000001-19C3-4FFC-A970-674E6FC0651A}"/>
            </c:ext>
          </c:extLst>
        </c:ser>
        <c:dLbls>
          <c:showLegendKey val="0"/>
          <c:showVal val="0"/>
          <c:showCatName val="0"/>
          <c:showSerName val="0"/>
          <c:showPercent val="0"/>
          <c:showBubbleSize val="0"/>
        </c:dLbls>
        <c:gapWidth val="150"/>
        <c:overlap val="100"/>
        <c:axId val="415877056"/>
        <c:axId val="415879016"/>
      </c:barChart>
      <c:catAx>
        <c:axId val="4158770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2"/>
                </a:solidFill>
                <a:latin typeface="+mn-lt"/>
                <a:ea typeface="+mn-ea"/>
                <a:cs typeface="+mn-cs"/>
              </a:defRPr>
            </a:pPr>
            <a:endParaRPr lang="en-US"/>
          </a:p>
        </c:txPr>
        <c:crossAx val="415879016"/>
        <c:crosses val="autoZero"/>
        <c:auto val="1"/>
        <c:lblAlgn val="ctr"/>
        <c:lblOffset val="100"/>
        <c:noMultiLvlLbl val="0"/>
      </c:catAx>
      <c:valAx>
        <c:axId val="41587901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77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[20190516_Myanmar_WASH_4W_2019_Q1_Consolidate.xlsx]Analysis!K_H_CG_N</c:name>
    <c:fmtId val="44"/>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Hygiene Coverage VS GAP in New Temporary Sites</a:t>
            </a:r>
          </a:p>
          <a:p>
            <a:pPr>
              <a:defRPr sz="1400"/>
            </a:pPr>
            <a:r>
              <a:rPr lang="en-US" sz="1400"/>
              <a:t>in Shan (North)</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Analysis!$V$286</c:f>
              <c:strCache>
                <c:ptCount val="1"/>
                <c:pt idx="0">
                  <c:v>  % Hygiene Coverage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Analysis!$U$287</c:f>
              <c:strCache>
                <c:ptCount val="1"/>
                <c:pt idx="0">
                  <c:v>Hsipaw</c:v>
                </c:pt>
              </c:strCache>
            </c:strRef>
          </c:cat>
          <c:val>
            <c:numRef>
              <c:f>Analysis!$V$287</c:f>
              <c:numCache>
                <c:formatCode>0%</c:formatCode>
                <c:ptCount val="1"/>
                <c:pt idx="0">
                  <c:v>0.44836533471717693</c:v>
                </c:pt>
              </c:numCache>
            </c:numRef>
          </c:val>
          <c:extLst>
            <c:ext xmlns:c16="http://schemas.microsoft.com/office/drawing/2014/chart" uri="{C3380CC4-5D6E-409C-BE32-E72D297353CC}">
              <c16:uniqueId val="{00000000-D2CA-4696-B495-ABC438F6FC6D}"/>
            </c:ext>
          </c:extLst>
        </c:ser>
        <c:ser>
          <c:idx val="1"/>
          <c:order val="1"/>
          <c:tx>
            <c:strRef>
              <c:f>Analysis!$W$286</c:f>
              <c:strCache>
                <c:ptCount val="1"/>
                <c:pt idx="0">
                  <c:v>  % Hygiene 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Analysis!$U$287</c:f>
              <c:strCache>
                <c:ptCount val="1"/>
                <c:pt idx="0">
                  <c:v>Hsipaw</c:v>
                </c:pt>
              </c:strCache>
            </c:strRef>
          </c:cat>
          <c:val>
            <c:numRef>
              <c:f>Analysis!$W$287</c:f>
              <c:numCache>
                <c:formatCode>0%</c:formatCode>
                <c:ptCount val="1"/>
                <c:pt idx="0">
                  <c:v>0.55163466528282301</c:v>
                </c:pt>
              </c:numCache>
            </c:numRef>
          </c:val>
          <c:extLst>
            <c:ext xmlns:c16="http://schemas.microsoft.com/office/drawing/2014/chart" uri="{C3380CC4-5D6E-409C-BE32-E72D297353CC}">
              <c16:uniqueId val="{00000001-D2CA-4696-B495-ABC438F6FC6D}"/>
            </c:ext>
          </c:extLst>
        </c:ser>
        <c:dLbls>
          <c:showLegendKey val="0"/>
          <c:showVal val="0"/>
          <c:showCatName val="0"/>
          <c:showSerName val="0"/>
          <c:showPercent val="0"/>
          <c:showBubbleSize val="0"/>
        </c:dLbls>
        <c:gapWidth val="150"/>
        <c:overlap val="100"/>
        <c:axId val="415878624"/>
        <c:axId val="415879800"/>
      </c:barChart>
      <c:catAx>
        <c:axId val="4158786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79800"/>
        <c:crosses val="autoZero"/>
        <c:auto val="1"/>
        <c:lblAlgn val="ctr"/>
        <c:lblOffset val="100"/>
        <c:noMultiLvlLbl val="0"/>
      </c:catAx>
      <c:valAx>
        <c:axId val="41587980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5878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[20190516_Myanmar_WASH_4W_2019_Q1_Consolidate.xlsx]Analysis!R_H_CG_C</c:name>
    <c:fmtId val="45"/>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Hygiene Coverage VS GAP in active camps</a:t>
            </a:r>
          </a:p>
          <a:p>
            <a:pPr>
              <a:defRPr sz="1400"/>
            </a:pPr>
            <a:r>
              <a:rPr lang="en-US" sz="1400"/>
              <a:t>in</a:t>
            </a:r>
            <a:r>
              <a:rPr lang="en-US" sz="1400" baseline="0"/>
              <a:t> Rakhine</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Analysis!$C$308</c:f>
              <c:strCache>
                <c:ptCount val="1"/>
                <c:pt idx="0">
                  <c:v>  % Hygiene Coverage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Analysis!$B$309:$B$313</c:f>
              <c:strCache>
                <c:ptCount val="5"/>
                <c:pt idx="0">
                  <c:v>Kyaukpyu</c:v>
                </c:pt>
                <c:pt idx="1">
                  <c:v>Kyauktaw</c:v>
                </c:pt>
                <c:pt idx="2">
                  <c:v>Myebon</c:v>
                </c:pt>
                <c:pt idx="3">
                  <c:v>Pauktaw</c:v>
                </c:pt>
                <c:pt idx="4">
                  <c:v>Sittwe</c:v>
                </c:pt>
              </c:strCache>
            </c:strRef>
          </c:cat>
          <c:val>
            <c:numRef>
              <c:f>Analysis!$C$309:$C$313</c:f>
              <c:numCache>
                <c:formatCode>0%</c:formatCode>
                <c:ptCount val="5"/>
                <c:pt idx="0">
                  <c:v>1</c:v>
                </c:pt>
                <c:pt idx="1">
                  <c:v>0</c:v>
                </c:pt>
                <c:pt idx="2">
                  <c:v>1</c:v>
                </c:pt>
                <c:pt idx="3">
                  <c:v>1</c:v>
                </c:pt>
                <c:pt idx="4">
                  <c:v>0.97951059721890799</c:v>
                </c:pt>
              </c:numCache>
            </c:numRef>
          </c:val>
          <c:extLst>
            <c:ext xmlns:c16="http://schemas.microsoft.com/office/drawing/2014/chart" uri="{C3380CC4-5D6E-409C-BE32-E72D297353CC}">
              <c16:uniqueId val="{00000000-10CD-4FD9-8E9A-872D5A1C7A47}"/>
            </c:ext>
          </c:extLst>
        </c:ser>
        <c:ser>
          <c:idx val="1"/>
          <c:order val="1"/>
          <c:tx>
            <c:strRef>
              <c:f>Analysis!$D$308</c:f>
              <c:strCache>
                <c:ptCount val="1"/>
                <c:pt idx="0">
                  <c:v>  % Hygiene 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Analysis!$B$309:$B$313</c:f>
              <c:strCache>
                <c:ptCount val="5"/>
                <c:pt idx="0">
                  <c:v>Kyaukpyu</c:v>
                </c:pt>
                <c:pt idx="1">
                  <c:v>Kyauktaw</c:v>
                </c:pt>
                <c:pt idx="2">
                  <c:v>Myebon</c:v>
                </c:pt>
                <c:pt idx="3">
                  <c:v>Pauktaw</c:v>
                </c:pt>
                <c:pt idx="4">
                  <c:v>Sittwe</c:v>
                </c:pt>
              </c:strCache>
            </c:strRef>
          </c:cat>
          <c:val>
            <c:numRef>
              <c:f>Analysis!$D$309:$D$313</c:f>
              <c:numCache>
                <c:formatCode>0%</c:formatCode>
                <c:ptCount val="5"/>
                <c:pt idx="0">
                  <c:v>0</c:v>
                </c:pt>
                <c:pt idx="1">
                  <c:v>1</c:v>
                </c:pt>
                <c:pt idx="2">
                  <c:v>0</c:v>
                </c:pt>
                <c:pt idx="3">
                  <c:v>0</c:v>
                </c:pt>
                <c:pt idx="4">
                  <c:v>2.0489402781092014E-2</c:v>
                </c:pt>
              </c:numCache>
            </c:numRef>
          </c:val>
          <c:extLst>
            <c:ext xmlns:c16="http://schemas.microsoft.com/office/drawing/2014/chart" uri="{C3380CC4-5D6E-409C-BE32-E72D297353CC}">
              <c16:uniqueId val="{00000001-10CD-4FD9-8E9A-872D5A1C7A47}"/>
            </c:ext>
          </c:extLst>
        </c:ser>
        <c:dLbls>
          <c:showLegendKey val="0"/>
          <c:showVal val="0"/>
          <c:showCatName val="0"/>
          <c:showSerName val="0"/>
          <c:showPercent val="0"/>
          <c:showBubbleSize val="0"/>
        </c:dLbls>
        <c:gapWidth val="150"/>
        <c:overlap val="100"/>
        <c:axId val="415877448"/>
        <c:axId val="415877840"/>
      </c:barChart>
      <c:catAx>
        <c:axId val="4158774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77840"/>
        <c:crosses val="autoZero"/>
        <c:auto val="1"/>
        <c:lblAlgn val="ctr"/>
        <c:lblOffset val="100"/>
        <c:noMultiLvlLbl val="0"/>
      </c:catAx>
      <c:valAx>
        <c:axId val="41587784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5877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[20190516_Myanmar_WASH_4W_2019_Q1_Consolidate.xlsx]Analysis!R_H_CG_V</c:name>
    <c:fmtId val="4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VS GAP in Villages </a:t>
            </a:r>
          </a:p>
          <a:p>
            <a:pPr>
              <a:defRPr sz="1400"/>
            </a:pPr>
            <a:r>
              <a:rPr lang="en-US" sz="1400" b="1" i="0" baseline="0">
                <a:effectLst/>
              </a:rPr>
              <a:t>in Rakhine</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Analysis!$L$308</c:f>
              <c:strCache>
                <c:ptCount val="1"/>
                <c:pt idx="0">
                  <c:v>  % Hygiene Coverage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Analysis!$K$309:$K$316</c:f>
              <c:strCache>
                <c:ptCount val="8"/>
                <c:pt idx="0">
                  <c:v>Buthidaung</c:v>
                </c:pt>
                <c:pt idx="1">
                  <c:v>Kyaukpyu</c:v>
                </c:pt>
                <c:pt idx="2">
                  <c:v>Kyauktaw</c:v>
                </c:pt>
                <c:pt idx="3">
                  <c:v>Maungdaw</c:v>
                </c:pt>
                <c:pt idx="4">
                  <c:v>Minbya</c:v>
                </c:pt>
                <c:pt idx="5">
                  <c:v>Myebon</c:v>
                </c:pt>
                <c:pt idx="6">
                  <c:v>Pauktaw</c:v>
                </c:pt>
                <c:pt idx="7">
                  <c:v>Sittwe</c:v>
                </c:pt>
              </c:strCache>
            </c:strRef>
          </c:cat>
          <c:val>
            <c:numRef>
              <c:f>Analysis!$L$309:$L$316</c:f>
              <c:numCache>
                <c:formatCode>0%</c:formatCode>
                <c:ptCount val="8"/>
                <c:pt idx="0">
                  <c:v>0.99641672431837935</c:v>
                </c:pt>
                <c:pt idx="1">
                  <c:v>9.3596059113300489E-2</c:v>
                </c:pt>
                <c:pt idx="2">
                  <c:v>0</c:v>
                </c:pt>
                <c:pt idx="3">
                  <c:v>0.89277525993068518</c:v>
                </c:pt>
                <c:pt idx="4">
                  <c:v>0</c:v>
                </c:pt>
                <c:pt idx="5">
                  <c:v>1</c:v>
                </c:pt>
                <c:pt idx="6">
                  <c:v>0.33513533528344502</c:v>
                </c:pt>
                <c:pt idx="7">
                  <c:v>0.11961424578686665</c:v>
                </c:pt>
              </c:numCache>
            </c:numRef>
          </c:val>
          <c:extLst>
            <c:ext xmlns:c16="http://schemas.microsoft.com/office/drawing/2014/chart" uri="{C3380CC4-5D6E-409C-BE32-E72D297353CC}">
              <c16:uniqueId val="{00000002-97DD-4E5C-841F-7B40D9AB952B}"/>
            </c:ext>
          </c:extLst>
        </c:ser>
        <c:ser>
          <c:idx val="1"/>
          <c:order val="1"/>
          <c:tx>
            <c:strRef>
              <c:f>Analysis!$M$308</c:f>
              <c:strCache>
                <c:ptCount val="1"/>
                <c:pt idx="0">
                  <c:v>  % Hygiene 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Analysis!$K$309:$K$316</c:f>
              <c:strCache>
                <c:ptCount val="8"/>
                <c:pt idx="0">
                  <c:v>Buthidaung</c:v>
                </c:pt>
                <c:pt idx="1">
                  <c:v>Kyaukpyu</c:v>
                </c:pt>
                <c:pt idx="2">
                  <c:v>Kyauktaw</c:v>
                </c:pt>
                <c:pt idx="3">
                  <c:v>Maungdaw</c:v>
                </c:pt>
                <c:pt idx="4">
                  <c:v>Minbya</c:v>
                </c:pt>
                <c:pt idx="5">
                  <c:v>Myebon</c:v>
                </c:pt>
                <c:pt idx="6">
                  <c:v>Pauktaw</c:v>
                </c:pt>
                <c:pt idx="7">
                  <c:v>Sittwe</c:v>
                </c:pt>
              </c:strCache>
            </c:strRef>
          </c:cat>
          <c:val>
            <c:numRef>
              <c:f>Analysis!$M$309:$M$316</c:f>
              <c:numCache>
                <c:formatCode>0%</c:formatCode>
                <c:ptCount val="8"/>
                <c:pt idx="0">
                  <c:v>3.5832756816206457E-3</c:v>
                </c:pt>
                <c:pt idx="1">
                  <c:v>0.90640394088669951</c:v>
                </c:pt>
                <c:pt idx="2">
                  <c:v>1</c:v>
                </c:pt>
                <c:pt idx="3">
                  <c:v>0.10722474006931482</c:v>
                </c:pt>
                <c:pt idx="4">
                  <c:v>1</c:v>
                </c:pt>
                <c:pt idx="5">
                  <c:v>0</c:v>
                </c:pt>
                <c:pt idx="6">
                  <c:v>0.66486466471655503</c:v>
                </c:pt>
                <c:pt idx="7">
                  <c:v>0.88038575421313336</c:v>
                </c:pt>
              </c:numCache>
            </c:numRef>
          </c:val>
          <c:extLst>
            <c:ext xmlns:c16="http://schemas.microsoft.com/office/drawing/2014/chart" uri="{C3380CC4-5D6E-409C-BE32-E72D297353CC}">
              <c16:uniqueId val="{00000003-97DD-4E5C-841F-7B40D9AB952B}"/>
            </c:ext>
          </c:extLst>
        </c:ser>
        <c:dLbls>
          <c:showLegendKey val="0"/>
          <c:showVal val="0"/>
          <c:showCatName val="0"/>
          <c:showSerName val="0"/>
          <c:showPercent val="0"/>
          <c:showBubbleSize val="0"/>
        </c:dLbls>
        <c:gapWidth val="150"/>
        <c:overlap val="100"/>
        <c:axId val="415867648"/>
        <c:axId val="415867256"/>
      </c:barChart>
      <c:catAx>
        <c:axId val="4158676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2"/>
                </a:solidFill>
                <a:latin typeface="+mn-lt"/>
                <a:ea typeface="+mn-ea"/>
                <a:cs typeface="+mn-cs"/>
              </a:defRPr>
            </a:pPr>
            <a:endParaRPr lang="en-US"/>
          </a:p>
        </c:txPr>
        <c:crossAx val="415867256"/>
        <c:crosses val="autoZero"/>
        <c:auto val="1"/>
        <c:lblAlgn val="ctr"/>
        <c:lblOffset val="100"/>
        <c:noMultiLvlLbl val="0"/>
      </c:catAx>
      <c:valAx>
        <c:axId val="41586725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7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[20190516_Myanmar_WASH_4W_2019_Q1_Consolidate.xlsx]Analysis!S_H_CG_C</c:name>
    <c:fmtId val="54"/>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Hygiene Coverage VS GAP in active camps</a:t>
            </a:r>
          </a:p>
          <a:p>
            <a:pPr>
              <a:defRPr sz="1400"/>
            </a:pPr>
            <a:r>
              <a:rPr lang="en-US" sz="1400"/>
              <a:t>in Shan (North)</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Analysis!$L$285</c:f>
              <c:strCache>
                <c:ptCount val="1"/>
                <c:pt idx="0">
                  <c:v>  % Hygiene Coverage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Analysis!$K$286:$K$291</c:f>
              <c:strCache>
                <c:ptCount val="6"/>
                <c:pt idx="0">
                  <c:v>Hseni</c:v>
                </c:pt>
                <c:pt idx="1">
                  <c:v>Kutkai</c:v>
                </c:pt>
                <c:pt idx="2">
                  <c:v>Manton</c:v>
                </c:pt>
                <c:pt idx="3">
                  <c:v>Muse</c:v>
                </c:pt>
                <c:pt idx="4">
                  <c:v>Namhkan</c:v>
                </c:pt>
                <c:pt idx="5">
                  <c:v>Namtu</c:v>
                </c:pt>
              </c:strCache>
            </c:strRef>
          </c:cat>
          <c:val>
            <c:numRef>
              <c:f>Analysis!$L$286:$L$291</c:f>
              <c:numCache>
                <c:formatCode>0%</c:formatCode>
                <c:ptCount val="6"/>
                <c:pt idx="0">
                  <c:v>1</c:v>
                </c:pt>
                <c:pt idx="1">
                  <c:v>0.93943383805134961</c:v>
                </c:pt>
                <c:pt idx="2">
                  <c:v>1</c:v>
                </c:pt>
                <c:pt idx="3">
                  <c:v>0.38143036386449186</c:v>
                </c:pt>
                <c:pt idx="4">
                  <c:v>1</c:v>
                </c:pt>
                <c:pt idx="5">
                  <c:v>0.94279661016949157</c:v>
                </c:pt>
              </c:numCache>
            </c:numRef>
          </c:val>
          <c:extLst>
            <c:ext xmlns:c16="http://schemas.microsoft.com/office/drawing/2014/chart" uri="{C3380CC4-5D6E-409C-BE32-E72D297353CC}">
              <c16:uniqueId val="{00000000-6D34-4AAC-8FA2-189339D38A10}"/>
            </c:ext>
          </c:extLst>
        </c:ser>
        <c:ser>
          <c:idx val="1"/>
          <c:order val="1"/>
          <c:tx>
            <c:strRef>
              <c:f>Analysis!$M$285</c:f>
              <c:strCache>
                <c:ptCount val="1"/>
                <c:pt idx="0">
                  <c:v>  % Hygiene 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Analysis!$K$286:$K$291</c:f>
              <c:strCache>
                <c:ptCount val="6"/>
                <c:pt idx="0">
                  <c:v>Hseni</c:v>
                </c:pt>
                <c:pt idx="1">
                  <c:v>Kutkai</c:v>
                </c:pt>
                <c:pt idx="2">
                  <c:v>Manton</c:v>
                </c:pt>
                <c:pt idx="3">
                  <c:v>Muse</c:v>
                </c:pt>
                <c:pt idx="4">
                  <c:v>Namhkan</c:v>
                </c:pt>
                <c:pt idx="5">
                  <c:v>Namtu</c:v>
                </c:pt>
              </c:strCache>
            </c:strRef>
          </c:cat>
          <c:val>
            <c:numRef>
              <c:f>Analysis!$M$286:$M$291</c:f>
              <c:numCache>
                <c:formatCode>0%</c:formatCode>
                <c:ptCount val="6"/>
                <c:pt idx="0">
                  <c:v>0</c:v>
                </c:pt>
                <c:pt idx="1">
                  <c:v>6.0566161948650388E-2</c:v>
                </c:pt>
                <c:pt idx="2">
                  <c:v>0</c:v>
                </c:pt>
                <c:pt idx="3">
                  <c:v>0.61856963613550819</c:v>
                </c:pt>
                <c:pt idx="4">
                  <c:v>0</c:v>
                </c:pt>
                <c:pt idx="5">
                  <c:v>5.7203389830508433E-2</c:v>
                </c:pt>
              </c:numCache>
            </c:numRef>
          </c:val>
          <c:extLst>
            <c:ext xmlns:c16="http://schemas.microsoft.com/office/drawing/2014/chart" uri="{C3380CC4-5D6E-409C-BE32-E72D297353CC}">
              <c16:uniqueId val="{00000001-6D34-4AAC-8FA2-189339D38A10}"/>
            </c:ext>
          </c:extLst>
        </c:ser>
        <c:dLbls>
          <c:showLegendKey val="0"/>
          <c:showVal val="0"/>
          <c:showCatName val="0"/>
          <c:showSerName val="0"/>
          <c:showPercent val="0"/>
          <c:showBubbleSize val="0"/>
        </c:dLbls>
        <c:gapWidth val="150"/>
        <c:overlap val="100"/>
        <c:axId val="415872352"/>
        <c:axId val="415870784"/>
      </c:barChart>
      <c:catAx>
        <c:axId val="41587235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70784"/>
        <c:crosses val="autoZero"/>
        <c:auto val="1"/>
        <c:lblAlgn val="ctr"/>
        <c:lblOffset val="100"/>
        <c:noMultiLvlLbl val="0"/>
      </c:catAx>
      <c:valAx>
        <c:axId val="41587078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5872352"/>
        <c:crosses val="autoZero"/>
        <c:crossBetween val="between"/>
      </c:valAx>
      <c:spPr>
        <a:noFill/>
        <a:ln>
          <a:noFill/>
        </a:ln>
        <a:effectLst/>
      </c:spPr>
    </c:plotArea>
    <c:legend>
      <c:legendPos val="b"/>
      <c:layout>
        <c:manualLayout>
          <c:xMode val="edge"/>
          <c:yMode val="edge"/>
          <c:x val="0.19890780627636068"/>
          <c:y val="0.90610661938639792"/>
          <c:w val="0.62641035151747082"/>
          <c:h val="7.249723814742056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[20190516_Myanmar_WASH_4W_2019_Q1_Consolidate.xlsx]Analysis!PivotTable1</c:name>
    <c:fmtId val="43"/>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Latrine Coverage VS GAP in New Temporary Sites</a:t>
            </a:r>
            <a:endParaRPr lang="en-US" sz="1400">
              <a:effectLst/>
            </a:endParaRPr>
          </a:p>
          <a:p>
            <a:pPr>
              <a:defRPr sz="1400"/>
            </a:pPr>
            <a:r>
              <a:rPr lang="en-US" sz="1400" b="1" i="0" baseline="0">
                <a:effectLst/>
              </a:rPr>
              <a:t>in Shan (North)</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Analysis!$W$200</c:f>
              <c:strCache>
                <c:ptCount val="1"/>
                <c:pt idx="0">
                  <c:v>  % Latrine 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Analysis!$V$201</c:f>
              <c:strCache>
                <c:ptCount val="1"/>
                <c:pt idx="0">
                  <c:v>Hsipaw</c:v>
                </c:pt>
              </c:strCache>
            </c:strRef>
          </c:cat>
          <c:val>
            <c:numRef>
              <c:f>Analysis!$W$201</c:f>
              <c:numCache>
                <c:formatCode>0%</c:formatCode>
                <c:ptCount val="1"/>
                <c:pt idx="0">
                  <c:v>0.51894135962636223</c:v>
                </c:pt>
              </c:numCache>
            </c:numRef>
          </c:val>
          <c:extLst>
            <c:ext xmlns:c16="http://schemas.microsoft.com/office/drawing/2014/chart" uri="{C3380CC4-5D6E-409C-BE32-E72D297353CC}">
              <c16:uniqueId val="{00000000-3386-4E67-BCA3-8395BBF39BC0}"/>
            </c:ext>
          </c:extLst>
        </c:ser>
        <c:ser>
          <c:idx val="1"/>
          <c:order val="1"/>
          <c:tx>
            <c:strRef>
              <c:f>Analysis!$X$200</c:f>
              <c:strCache>
                <c:ptCount val="1"/>
                <c:pt idx="0">
                  <c:v>  % Latrine 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Analysis!$V$201</c:f>
              <c:strCache>
                <c:ptCount val="1"/>
                <c:pt idx="0">
                  <c:v>Hsipaw</c:v>
                </c:pt>
              </c:strCache>
            </c:strRef>
          </c:cat>
          <c:val>
            <c:numRef>
              <c:f>Analysis!$X$201</c:f>
              <c:numCache>
                <c:formatCode>0%</c:formatCode>
                <c:ptCount val="1"/>
                <c:pt idx="0">
                  <c:v>0.48105864037363777</c:v>
                </c:pt>
              </c:numCache>
            </c:numRef>
          </c:val>
          <c:extLst>
            <c:ext xmlns:c16="http://schemas.microsoft.com/office/drawing/2014/chart" uri="{C3380CC4-5D6E-409C-BE32-E72D297353CC}">
              <c16:uniqueId val="{00000001-3386-4E67-BCA3-8395BBF39BC0}"/>
            </c:ext>
          </c:extLst>
        </c:ser>
        <c:dLbls>
          <c:showLegendKey val="0"/>
          <c:showVal val="1"/>
          <c:showCatName val="0"/>
          <c:showSerName val="0"/>
          <c:showPercent val="0"/>
          <c:showBubbleSize val="0"/>
        </c:dLbls>
        <c:gapWidth val="75"/>
        <c:overlap val="100"/>
        <c:axId val="747625935"/>
        <c:axId val="482424959"/>
      </c:barChart>
      <c:catAx>
        <c:axId val="747625935"/>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82424959"/>
        <c:crosses val="autoZero"/>
        <c:auto val="1"/>
        <c:lblAlgn val="ctr"/>
        <c:lblOffset val="100"/>
        <c:noMultiLvlLbl val="0"/>
      </c:catAx>
      <c:valAx>
        <c:axId val="482424959"/>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476259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Hygiene Coverage in New Temporary Sites</a:t>
            </a:r>
          </a:p>
          <a:p>
            <a:pPr>
              <a:defRPr/>
            </a:pPr>
            <a:r>
              <a:rPr lang="en-US"/>
              <a:t>Rakhine</a:t>
            </a:r>
          </a:p>
        </c:rich>
      </c:tx>
      <c:layout>
        <c:manualLayout>
          <c:xMode val="edge"/>
          <c:yMode val="edge"/>
          <c:x val="0.15963907348167858"/>
          <c:y val="4.881657183809127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Analysis!$J$254</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Analysis!$I$255:$I$258</c15:sqref>
                  </c15:fullRef>
                </c:ext>
              </c:extLst>
              <c:f>(Analysis!$I$255,Analysis!$I$257:$I$258)</c:f>
              <c:strCache>
                <c:ptCount val="3"/>
                <c:pt idx="0">
                  <c:v>#HH reached by regular dedicated hygiene promotion</c:v>
                </c:pt>
                <c:pt idx="1">
                  <c:v># HH received soaps</c:v>
                </c:pt>
                <c:pt idx="2">
                  <c:v># HH received Sanitary Pads</c:v>
                </c:pt>
              </c:strCache>
            </c:strRef>
          </c:cat>
          <c:val>
            <c:numRef>
              <c:extLst>
                <c:ext xmlns:c15="http://schemas.microsoft.com/office/drawing/2012/chart" uri="{02D57815-91ED-43cb-92C2-25804820EDAC}">
                  <c15:fullRef>
                    <c15:sqref>Analysis!$J$255:$J$258</c15:sqref>
                  </c15:fullRef>
                </c:ext>
              </c:extLst>
              <c:f>(Analysis!$J$255,Analysis!$J$257:$J$258)</c:f>
              <c:numCache>
                <c:formatCode>0</c:formatCode>
                <c:ptCount val="3"/>
                <c:pt idx="0">
                  <c:v>59</c:v>
                </c:pt>
                <c:pt idx="1">
                  <c:v>5027</c:v>
                </c:pt>
                <c:pt idx="2">
                  <c:v>4986</c:v>
                </c:pt>
              </c:numCache>
            </c:numRef>
          </c:val>
          <c:extLst>
            <c:ext xmlns:c16="http://schemas.microsoft.com/office/drawing/2014/chart" uri="{C3380CC4-5D6E-409C-BE32-E72D297353CC}">
              <c16:uniqueId val="{00000000-2E04-4434-9460-F41944D14F22}"/>
            </c:ext>
          </c:extLst>
        </c:ser>
        <c:ser>
          <c:idx val="1"/>
          <c:order val="1"/>
          <c:tx>
            <c:strRef>
              <c:f>Analysis!$K$254</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Analysis!$I$255:$I$258</c15:sqref>
                  </c15:fullRef>
                </c:ext>
              </c:extLst>
              <c:f>(Analysis!$I$255,Analysis!$I$257:$I$258)</c:f>
              <c:strCache>
                <c:ptCount val="3"/>
                <c:pt idx="0">
                  <c:v>#HH reached by regular dedicated hygiene promotion</c:v>
                </c:pt>
                <c:pt idx="1">
                  <c:v># HH received soaps</c:v>
                </c:pt>
                <c:pt idx="2">
                  <c:v># HH received Sanitary Pads</c:v>
                </c:pt>
              </c:strCache>
            </c:strRef>
          </c:cat>
          <c:val>
            <c:numRef>
              <c:extLst>
                <c:ext xmlns:c15="http://schemas.microsoft.com/office/drawing/2012/chart" uri="{02D57815-91ED-43cb-92C2-25804820EDAC}">
                  <c15:fullRef>
                    <c15:sqref>Analysis!$K$255:$K$258</c15:sqref>
                  </c15:fullRef>
                </c:ext>
              </c:extLst>
              <c:f>(Analysis!$K$255,Analysis!$K$257:$K$258)</c:f>
              <c:numCache>
                <c:formatCode>0</c:formatCode>
                <c:ptCount val="3"/>
                <c:pt idx="0">
                  <c:v>8274</c:v>
                </c:pt>
                <c:pt idx="1">
                  <c:v>3306</c:v>
                </c:pt>
                <c:pt idx="2">
                  <c:v>3347</c:v>
                </c:pt>
              </c:numCache>
            </c:numRef>
          </c:val>
          <c:extLst>
            <c:ext xmlns:c16="http://schemas.microsoft.com/office/drawing/2014/chart" uri="{C3380CC4-5D6E-409C-BE32-E72D297353CC}">
              <c16:uniqueId val="{00000001-2E04-4434-9460-F41944D14F22}"/>
            </c:ext>
          </c:extLst>
        </c:ser>
        <c:dLbls>
          <c:showLegendKey val="0"/>
          <c:showVal val="0"/>
          <c:showCatName val="0"/>
          <c:showSerName val="0"/>
          <c:showPercent val="0"/>
          <c:showBubbleSize val="0"/>
        </c:dLbls>
        <c:gapWidth val="150"/>
        <c:overlap val="100"/>
        <c:axId val="590637135"/>
        <c:axId val="578338607"/>
      </c:barChart>
      <c:catAx>
        <c:axId val="590637135"/>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78338607"/>
        <c:crosses val="autoZero"/>
        <c:auto val="1"/>
        <c:lblAlgn val="ctr"/>
        <c:lblOffset val="100"/>
        <c:noMultiLvlLbl val="0"/>
      </c:catAx>
      <c:valAx>
        <c:axId val="578338607"/>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906371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a:p>
            <a:pPr>
              <a:defRPr sz="1400"/>
            </a:pPr>
            <a:r>
              <a:rPr lang="en-US" sz="1400" b="1" i="0" baseline="0">
                <a:effectLst/>
              </a:rPr>
              <a:t>in New Temporary Sites</a:t>
            </a:r>
            <a:endParaRPr lang="en-US" sz="1400">
              <a:effectLst/>
            </a:endParaRPr>
          </a:p>
          <a:p>
            <a:pPr>
              <a:defRPr sz="1400"/>
            </a:pPr>
            <a:r>
              <a:rPr lang="en-US" sz="1400" b="1" i="0" baseline="0">
                <a:effectLst/>
              </a:rPr>
              <a:t>Shan(North)</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Analysis!$P$254</c:f>
              <c:strCache>
                <c:ptCount val="1"/>
                <c:pt idx="0">
                  <c:v>Covered</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Analysis!$O$255:$O$258</c15:sqref>
                  </c15:fullRef>
                </c:ext>
              </c:extLst>
              <c:f>(Analysis!$O$255,Analysis!$O$257:$O$258)</c:f>
              <c:strCache>
                <c:ptCount val="3"/>
                <c:pt idx="0">
                  <c:v>#HH reached by dedicated hygiene promotion</c:v>
                </c:pt>
                <c:pt idx="1">
                  <c:v># HH received soaps</c:v>
                </c:pt>
                <c:pt idx="2">
                  <c:v># HH received Sanitary Pads</c:v>
                </c:pt>
              </c:strCache>
            </c:strRef>
          </c:cat>
          <c:val>
            <c:numRef>
              <c:extLst>
                <c:ext xmlns:c15="http://schemas.microsoft.com/office/drawing/2012/chart" uri="{02D57815-91ED-43cb-92C2-25804820EDAC}">
                  <c15:fullRef>
                    <c15:sqref>Analysis!$P$255:$P$258</c15:sqref>
                  </c15:fullRef>
                </c:ext>
              </c:extLst>
              <c:f>(Analysis!$P$255,Analysis!$P$257:$P$258)</c:f>
              <c:numCache>
                <c:formatCode>0</c:formatCode>
                <c:ptCount val="3"/>
                <c:pt idx="0">
                  <c:v>0</c:v>
                </c:pt>
                <c:pt idx="1">
                  <c:v>187</c:v>
                </c:pt>
                <c:pt idx="2">
                  <c:v>187</c:v>
                </c:pt>
              </c:numCache>
            </c:numRef>
          </c:val>
          <c:extLst>
            <c:ext xmlns:c16="http://schemas.microsoft.com/office/drawing/2014/chart" uri="{C3380CC4-5D6E-409C-BE32-E72D297353CC}">
              <c16:uniqueId val="{00000000-F7D0-4859-9F61-156FE02E2100}"/>
            </c:ext>
          </c:extLst>
        </c:ser>
        <c:ser>
          <c:idx val="1"/>
          <c:order val="1"/>
          <c:tx>
            <c:strRef>
              <c:f>Analysis!$Q$254</c:f>
              <c:strCache>
                <c:ptCount val="1"/>
                <c:pt idx="0">
                  <c:v>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Analysis!$O$255:$O$258</c15:sqref>
                  </c15:fullRef>
                </c:ext>
              </c:extLst>
              <c:f>(Analysis!$O$255,Analysis!$O$257:$O$258)</c:f>
              <c:strCache>
                <c:ptCount val="3"/>
                <c:pt idx="0">
                  <c:v>#HH reached by dedicated hygiene promotion</c:v>
                </c:pt>
                <c:pt idx="1">
                  <c:v># HH received soaps</c:v>
                </c:pt>
                <c:pt idx="2">
                  <c:v># HH received Sanitary Pads</c:v>
                </c:pt>
              </c:strCache>
            </c:strRef>
          </c:cat>
          <c:val>
            <c:numRef>
              <c:extLst>
                <c:ext xmlns:c15="http://schemas.microsoft.com/office/drawing/2012/chart" uri="{02D57815-91ED-43cb-92C2-25804820EDAC}">
                  <c15:fullRef>
                    <c15:sqref>Analysis!$Q$255:$Q$258</c15:sqref>
                  </c15:fullRef>
                </c:ext>
              </c:extLst>
              <c:f>(Analysis!$Q$255,Analysis!$Q$257:$Q$258)</c:f>
              <c:numCache>
                <c:formatCode>0</c:formatCode>
                <c:ptCount val="3"/>
                <c:pt idx="0">
                  <c:v>311</c:v>
                </c:pt>
                <c:pt idx="1">
                  <c:v>124</c:v>
                </c:pt>
                <c:pt idx="2">
                  <c:v>124</c:v>
                </c:pt>
              </c:numCache>
            </c:numRef>
          </c:val>
          <c:extLst>
            <c:ext xmlns:c16="http://schemas.microsoft.com/office/drawing/2014/chart" uri="{C3380CC4-5D6E-409C-BE32-E72D297353CC}">
              <c16:uniqueId val="{00000001-F7D0-4859-9F61-156FE02E2100}"/>
            </c:ext>
          </c:extLst>
        </c:ser>
        <c:dLbls>
          <c:showLegendKey val="0"/>
          <c:showVal val="0"/>
          <c:showCatName val="0"/>
          <c:showSerName val="0"/>
          <c:showPercent val="0"/>
          <c:showBubbleSize val="0"/>
        </c:dLbls>
        <c:gapWidth val="150"/>
        <c:overlap val="100"/>
        <c:axId val="590686639"/>
        <c:axId val="472839535"/>
      </c:barChart>
      <c:catAx>
        <c:axId val="590686639"/>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72839535"/>
        <c:crosses val="autoZero"/>
        <c:auto val="1"/>
        <c:lblAlgn val="ctr"/>
        <c:lblOffset val="100"/>
        <c:noMultiLvlLbl val="0"/>
      </c:catAx>
      <c:valAx>
        <c:axId val="472839535"/>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906866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Sites with TLS/CFS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0256167979002624"/>
          <c:y val="0.19226669582968794"/>
          <c:w val="0.41987685914260719"/>
          <c:h val="0.69979476523767858"/>
        </c:manualLayout>
      </c:layout>
      <c:pieChart>
        <c:varyColors val="1"/>
        <c:ser>
          <c:idx val="0"/>
          <c:order val="0"/>
          <c:tx>
            <c:strRef>
              <c:f>Analysis!$C$520</c:f>
              <c:strCache>
                <c:ptCount val="1"/>
                <c:pt idx="0">
                  <c:v>Kachin</c:v>
                </c:pt>
              </c:strCache>
            </c:strRef>
          </c:tx>
          <c:dPt>
            <c:idx val="0"/>
            <c:bubble3D val="0"/>
            <c:spPr>
              <a:solidFill>
                <a:schemeClr val="bg1">
                  <a:lumMod val="65000"/>
                </a:schemeClr>
              </a:solidFill>
              <a:ln>
                <a:noFill/>
              </a:ln>
              <a:effectLst/>
            </c:spPr>
            <c:extLst>
              <c:ext xmlns:c16="http://schemas.microsoft.com/office/drawing/2014/chart" uri="{C3380CC4-5D6E-409C-BE32-E72D297353CC}">
                <c16:uniqueId val="{0000000C-498D-4325-B341-02396896A1BC}"/>
              </c:ext>
            </c:extLst>
          </c:dPt>
          <c:dPt>
            <c:idx val="1"/>
            <c:bubble3D val="0"/>
            <c:spPr>
              <a:solidFill>
                <a:schemeClr val="tx1">
                  <a:lumMod val="65000"/>
                  <a:lumOff val="35000"/>
                </a:schemeClr>
              </a:solidFill>
              <a:ln>
                <a:noFill/>
              </a:ln>
              <a:effectLst/>
            </c:spPr>
            <c:extLst>
              <c:ext xmlns:c16="http://schemas.microsoft.com/office/drawing/2014/chart" uri="{C3380CC4-5D6E-409C-BE32-E72D297353CC}">
                <c16:uniqueId val="{00000015-498D-4325-B341-02396896A1BC}"/>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Analysis!$D$519:$E$519</c:f>
              <c:strCache>
                <c:ptCount val="2"/>
                <c:pt idx="0">
                  <c:v>No</c:v>
                </c:pt>
                <c:pt idx="1">
                  <c:v>Yes</c:v>
                </c:pt>
              </c:strCache>
            </c:strRef>
          </c:cat>
          <c:val>
            <c:numRef>
              <c:f>Analysis!$D$520:$E$520</c:f>
              <c:numCache>
                <c:formatCode>0%</c:formatCode>
                <c:ptCount val="2"/>
                <c:pt idx="0">
                  <c:v>0.76119402985074625</c:v>
                </c:pt>
                <c:pt idx="1">
                  <c:v>0.23880597014925373</c:v>
                </c:pt>
              </c:numCache>
            </c:numRef>
          </c:val>
          <c:extLst>
            <c:ext xmlns:c16="http://schemas.microsoft.com/office/drawing/2014/chart" uri="{C3380CC4-5D6E-409C-BE32-E72D297353CC}">
              <c16:uniqueId val="{00000000-498D-4325-B341-02396896A1BC}"/>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Analysis!$C$521</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5-FD11-420D-B194-3398E27E83EF}"/>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7-FD11-420D-B194-3398E27E83EF}"/>
                    </c:ext>
                  </c:extLst>
                </c:dPt>
                <c:cat>
                  <c:strRef>
                    <c:extLst>
                      <c:ext uri="{02D57815-91ED-43cb-92C2-25804820EDAC}">
                        <c15:formulaRef>
                          <c15:sqref>Analysis!$D$519:$E$519</c15:sqref>
                        </c15:formulaRef>
                      </c:ext>
                    </c:extLst>
                    <c:strCache>
                      <c:ptCount val="2"/>
                      <c:pt idx="0">
                        <c:v>No</c:v>
                      </c:pt>
                      <c:pt idx="1">
                        <c:v>Yes</c:v>
                      </c:pt>
                    </c:strCache>
                  </c:strRef>
                </c:cat>
                <c:val>
                  <c:numRef>
                    <c:extLst>
                      <c:ext uri="{02D57815-91ED-43cb-92C2-25804820EDAC}">
                        <c15:formulaRef>
                          <c15:sqref>Analysis!$D$521:$E$521</c15:sqref>
                        </c15:formulaRef>
                      </c:ext>
                    </c:extLst>
                    <c:numCache>
                      <c:formatCode>0%</c:formatCode>
                      <c:ptCount val="2"/>
                      <c:pt idx="0">
                        <c:v>0.4642857142857143</c:v>
                      </c:pt>
                      <c:pt idx="1">
                        <c:v>0.5357142857142857</c:v>
                      </c:pt>
                    </c:numCache>
                  </c:numRef>
                </c:val>
                <c:extLst>
                  <c:ext xmlns:c16="http://schemas.microsoft.com/office/drawing/2014/chart" uri="{C3380CC4-5D6E-409C-BE32-E72D297353CC}">
                    <c16:uniqueId val="{00000001-498D-4325-B341-02396896A1B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Analysis!$C$522</c15:sqref>
                        </c15:formulaRef>
                      </c:ext>
                    </c:extLst>
                    <c:strCache>
                      <c:ptCount val="1"/>
                      <c:pt idx="0">
                        <c:v>Central Rakhine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9-FD11-420D-B194-3398E27E83EF}"/>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FD11-420D-B194-3398E27E83EF}"/>
                    </c:ext>
                  </c:extLst>
                </c:dPt>
                <c:cat>
                  <c:strRef>
                    <c:extLst xmlns:c15="http://schemas.microsoft.com/office/drawing/2012/chart">
                      <c:ext xmlns:c15="http://schemas.microsoft.com/office/drawing/2012/chart" uri="{02D57815-91ED-43cb-92C2-25804820EDAC}">
                        <c15:formulaRef>
                          <c15:sqref>Analysis!$D$519:$E$519</c15:sqref>
                        </c15:formulaRef>
                      </c:ext>
                    </c:extLst>
                    <c:strCache>
                      <c:ptCount val="2"/>
                      <c:pt idx="0">
                        <c:v>No</c:v>
                      </c:pt>
                      <c:pt idx="1">
                        <c:v>Yes</c:v>
                      </c:pt>
                    </c:strCache>
                  </c:strRef>
                </c:cat>
                <c:val>
                  <c:numRef>
                    <c:extLst xmlns:c15="http://schemas.microsoft.com/office/drawing/2012/chart">
                      <c:ext xmlns:c15="http://schemas.microsoft.com/office/drawing/2012/chart" uri="{02D57815-91ED-43cb-92C2-25804820EDAC}">
                        <c15:formulaRef>
                          <c15:sqref>Analysis!$D$522:$E$522</c15:sqref>
                        </c15:formulaRef>
                      </c:ext>
                    </c:extLst>
                    <c:numCache>
                      <c:formatCode>0%</c:formatCode>
                      <c:ptCount val="2"/>
                      <c:pt idx="0">
                        <c:v>0.84</c:v>
                      </c:pt>
                      <c:pt idx="1">
                        <c:v>0.16</c:v>
                      </c:pt>
                    </c:numCache>
                  </c:numRef>
                </c:val>
                <c:extLst xmlns:c15="http://schemas.microsoft.com/office/drawing/2012/chart">
                  <c:ext xmlns:c16="http://schemas.microsoft.com/office/drawing/2014/chart" uri="{C3380CC4-5D6E-409C-BE32-E72D297353CC}">
                    <c16:uniqueId val="{00000002-498D-4325-B341-02396896A1BC}"/>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Sites with TLS/CFS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0256167979002624"/>
          <c:y val="0.19226669582968794"/>
          <c:w val="0.41987685914260719"/>
          <c:h val="0.69979476523767858"/>
        </c:manualLayout>
      </c:layout>
      <c:pieChart>
        <c:varyColors val="1"/>
        <c:ser>
          <c:idx val="2"/>
          <c:order val="2"/>
          <c:tx>
            <c:strRef>
              <c:f>Analysis!$C$522</c:f>
              <c:strCache>
                <c:ptCount val="1"/>
                <c:pt idx="0">
                  <c:v>Central Rakhine</c:v>
                </c:pt>
              </c:strCache>
              <c:extLst xmlns:c15="http://schemas.microsoft.com/office/drawing/2012/chart"/>
            </c:strRef>
          </c:tx>
          <c:dPt>
            <c:idx val="0"/>
            <c:bubble3D val="0"/>
            <c:spPr>
              <a:solidFill>
                <a:schemeClr val="bg1">
                  <a:lumMod val="75000"/>
                </a:schemeClr>
              </a:solidFill>
              <a:ln>
                <a:noFill/>
              </a:ln>
              <a:effectLst/>
            </c:spPr>
            <c:extLst>
              <c:ext xmlns:c16="http://schemas.microsoft.com/office/drawing/2014/chart" uri="{C3380CC4-5D6E-409C-BE32-E72D297353CC}">
                <c16:uniqueId val="{0000000B-5885-4C62-ACA7-9F665E189B76}"/>
              </c:ext>
            </c:extLst>
          </c:dPt>
          <c:dPt>
            <c:idx val="1"/>
            <c:bubble3D val="0"/>
            <c:spPr>
              <a:solidFill>
                <a:schemeClr val="tx1">
                  <a:lumMod val="65000"/>
                  <a:lumOff val="35000"/>
                </a:schemeClr>
              </a:solidFill>
              <a:ln>
                <a:noFill/>
              </a:ln>
              <a:effectLst/>
            </c:spPr>
            <c:extLst>
              <c:ext xmlns:c16="http://schemas.microsoft.com/office/drawing/2014/chart" uri="{C3380CC4-5D6E-409C-BE32-E72D297353CC}">
                <c16:uniqueId val="{0000000D-5885-4C62-ACA7-9F665E189B76}"/>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Analysis!$D$519:$E$519</c:f>
              <c:strCache>
                <c:ptCount val="2"/>
                <c:pt idx="0">
                  <c:v>No</c:v>
                </c:pt>
                <c:pt idx="1">
                  <c:v>Yes</c:v>
                </c:pt>
              </c:strCache>
              <c:extLst xmlns:c15="http://schemas.microsoft.com/office/drawing/2012/chart"/>
            </c:strRef>
          </c:cat>
          <c:val>
            <c:numRef>
              <c:f>Analysis!$D$522:$E$522</c:f>
              <c:numCache>
                <c:formatCode>0%</c:formatCode>
                <c:ptCount val="2"/>
                <c:pt idx="0">
                  <c:v>0.84</c:v>
                </c:pt>
                <c:pt idx="1">
                  <c:v>0.16</c:v>
                </c:pt>
              </c:numCache>
              <c:extLst xmlns:c15="http://schemas.microsoft.com/office/drawing/2012/chart"/>
            </c:numRef>
          </c:val>
          <c:extLst>
            <c:ext xmlns:c16="http://schemas.microsoft.com/office/drawing/2014/chart" uri="{C3380CC4-5D6E-409C-BE32-E72D297353CC}">
              <c16:uniqueId val="{0000000E-5885-4C62-ACA7-9F665E189B76}"/>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Analysis!$C$520</c15:sqref>
                        </c15:formulaRef>
                      </c:ext>
                    </c:extLst>
                    <c:strCache>
                      <c:ptCount val="1"/>
                      <c:pt idx="0">
                        <c:v>Kachin</c:v>
                      </c:pt>
                    </c:strCache>
                  </c:strRef>
                </c:tx>
                <c:dPt>
                  <c:idx val="0"/>
                  <c:bubble3D val="0"/>
                  <c:spPr>
                    <a:solidFill>
                      <a:schemeClr val="bg1">
                        <a:lumMod val="65000"/>
                      </a:schemeClr>
                    </a:solidFill>
                    <a:ln>
                      <a:noFill/>
                    </a:ln>
                    <a:effectLst/>
                  </c:spPr>
                  <c:extLst>
                    <c:ext xmlns:c16="http://schemas.microsoft.com/office/drawing/2014/chart" uri="{C3380CC4-5D6E-409C-BE32-E72D297353CC}">
                      <c16:uniqueId val="{00000001-5885-4C62-ACA7-9F665E189B76}"/>
                    </c:ext>
                  </c:extLst>
                </c:dPt>
                <c:dPt>
                  <c:idx val="1"/>
                  <c:bubble3D val="0"/>
                  <c:spPr>
                    <a:solidFill>
                      <a:schemeClr val="tx1">
                        <a:lumMod val="65000"/>
                        <a:lumOff val="35000"/>
                      </a:schemeClr>
                    </a:solidFill>
                    <a:ln>
                      <a:noFill/>
                    </a:ln>
                    <a:effectLst/>
                  </c:spPr>
                  <c:extLst>
                    <c:ext xmlns:c16="http://schemas.microsoft.com/office/drawing/2014/chart" uri="{C3380CC4-5D6E-409C-BE32-E72D297353CC}">
                      <c16:uniqueId val="{00000003-5885-4C62-ACA7-9F665E189B76}"/>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Analysis!$D$519:$E$519</c15:sqref>
                        </c15:formulaRef>
                      </c:ext>
                    </c:extLst>
                    <c:strCache>
                      <c:ptCount val="2"/>
                      <c:pt idx="0">
                        <c:v>No</c:v>
                      </c:pt>
                      <c:pt idx="1">
                        <c:v>Yes</c:v>
                      </c:pt>
                    </c:strCache>
                  </c:strRef>
                </c:cat>
                <c:val>
                  <c:numRef>
                    <c:extLst>
                      <c:ext uri="{02D57815-91ED-43cb-92C2-25804820EDAC}">
                        <c15:formulaRef>
                          <c15:sqref>Analysis!$D$520:$E$520</c15:sqref>
                        </c15:formulaRef>
                      </c:ext>
                    </c:extLst>
                    <c:numCache>
                      <c:formatCode>0%</c:formatCode>
                      <c:ptCount val="2"/>
                      <c:pt idx="0">
                        <c:v>0.76119402985074625</c:v>
                      </c:pt>
                      <c:pt idx="1">
                        <c:v>0.23880597014925373</c:v>
                      </c:pt>
                    </c:numCache>
                  </c:numRef>
                </c:val>
                <c:extLst>
                  <c:ext xmlns:c16="http://schemas.microsoft.com/office/drawing/2014/chart" uri="{C3380CC4-5D6E-409C-BE32-E72D297353CC}">
                    <c16:uniqueId val="{00000004-5885-4C62-ACA7-9F665E189B76}"/>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Analysis!$C$521</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6-5885-4C62-ACA7-9F665E189B76}"/>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8-5885-4C62-ACA7-9F665E189B76}"/>
                    </c:ext>
                  </c:extLst>
                </c:dPt>
                <c:cat>
                  <c:strRef>
                    <c:extLst xmlns:c15="http://schemas.microsoft.com/office/drawing/2012/chart">
                      <c:ext xmlns:c15="http://schemas.microsoft.com/office/drawing/2012/chart" uri="{02D57815-91ED-43cb-92C2-25804820EDAC}">
                        <c15:formulaRef>
                          <c15:sqref>Analysis!$D$519:$E$519</c15:sqref>
                        </c15:formulaRef>
                      </c:ext>
                    </c:extLst>
                    <c:strCache>
                      <c:ptCount val="2"/>
                      <c:pt idx="0">
                        <c:v>No</c:v>
                      </c:pt>
                      <c:pt idx="1">
                        <c:v>Yes</c:v>
                      </c:pt>
                    </c:strCache>
                  </c:strRef>
                </c:cat>
                <c:val>
                  <c:numRef>
                    <c:extLst xmlns:c15="http://schemas.microsoft.com/office/drawing/2012/chart">
                      <c:ext xmlns:c15="http://schemas.microsoft.com/office/drawing/2012/chart" uri="{02D57815-91ED-43cb-92C2-25804820EDAC}">
                        <c15:formulaRef>
                          <c15:sqref>Analysis!$D$521:$E$521</c15:sqref>
                        </c15:formulaRef>
                      </c:ext>
                    </c:extLst>
                    <c:numCache>
                      <c:formatCode>0%</c:formatCode>
                      <c:ptCount val="2"/>
                      <c:pt idx="0">
                        <c:v>0.4642857142857143</c:v>
                      </c:pt>
                      <c:pt idx="1">
                        <c:v>0.5357142857142857</c:v>
                      </c:pt>
                    </c:numCache>
                  </c:numRef>
                </c:val>
                <c:extLst xmlns:c15="http://schemas.microsoft.com/office/drawing/2012/chart">
                  <c:ext xmlns:c16="http://schemas.microsoft.com/office/drawing/2014/chart" uri="{C3380CC4-5D6E-409C-BE32-E72D297353CC}">
                    <c16:uniqueId val="{00000009-5885-4C62-ACA7-9F665E189B76}"/>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Sites with TLS/CFS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0256167979002624"/>
          <c:y val="0.19226669582968794"/>
          <c:w val="0.41987685914260719"/>
          <c:h val="0.69979476523767858"/>
        </c:manualLayout>
      </c:layout>
      <c:pieChart>
        <c:varyColors val="1"/>
        <c:ser>
          <c:idx val="1"/>
          <c:order val="1"/>
          <c:tx>
            <c:strRef>
              <c:f>Analysis!$C$521</c:f>
              <c:strCache>
                <c:ptCount val="1"/>
                <c:pt idx="0">
                  <c:v>Shan (North)</c:v>
                </c:pt>
              </c:strCache>
              <c:extLst xmlns:c15="http://schemas.microsoft.com/office/drawing/2012/chart"/>
            </c:strRef>
          </c:tx>
          <c:dPt>
            <c:idx val="0"/>
            <c:bubble3D val="0"/>
            <c:spPr>
              <a:solidFill>
                <a:schemeClr val="tx1">
                  <a:lumMod val="65000"/>
                  <a:lumOff val="35000"/>
                </a:schemeClr>
              </a:solidFill>
              <a:ln>
                <a:noFill/>
              </a:ln>
              <a:effectLst/>
            </c:spPr>
            <c:extLst>
              <c:ext xmlns:c16="http://schemas.microsoft.com/office/drawing/2014/chart" uri="{C3380CC4-5D6E-409C-BE32-E72D297353CC}">
                <c16:uniqueId val="{0000000B-3A1F-41BF-B3AF-8F91896DC69F}"/>
              </c:ext>
            </c:extLst>
          </c:dPt>
          <c:dPt>
            <c:idx val="1"/>
            <c:bubble3D val="0"/>
            <c:spPr>
              <a:solidFill>
                <a:schemeClr val="bg1">
                  <a:lumMod val="75000"/>
                </a:schemeClr>
              </a:solidFill>
              <a:ln>
                <a:noFill/>
              </a:ln>
              <a:effectLst/>
            </c:spPr>
            <c:extLst>
              <c:ext xmlns:c16="http://schemas.microsoft.com/office/drawing/2014/chart" uri="{C3380CC4-5D6E-409C-BE32-E72D297353CC}">
                <c16:uniqueId val="{0000000D-3A1F-41BF-B3AF-8F91896DC69F}"/>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Analysis!$D$519:$E$519</c:f>
              <c:strCache>
                <c:ptCount val="2"/>
                <c:pt idx="0">
                  <c:v>No</c:v>
                </c:pt>
                <c:pt idx="1">
                  <c:v>Yes</c:v>
                </c:pt>
              </c:strCache>
              <c:extLst xmlns:c15="http://schemas.microsoft.com/office/drawing/2012/chart"/>
            </c:strRef>
          </c:cat>
          <c:val>
            <c:numRef>
              <c:f>Analysis!$D$521:$E$521</c:f>
              <c:numCache>
                <c:formatCode>0%</c:formatCode>
                <c:ptCount val="2"/>
                <c:pt idx="0">
                  <c:v>0.4642857142857143</c:v>
                </c:pt>
                <c:pt idx="1">
                  <c:v>0.5357142857142857</c:v>
                </c:pt>
              </c:numCache>
              <c:extLst xmlns:c15="http://schemas.microsoft.com/office/drawing/2012/chart"/>
            </c:numRef>
          </c:val>
          <c:extLst>
            <c:ext xmlns:c16="http://schemas.microsoft.com/office/drawing/2014/chart" uri="{C3380CC4-5D6E-409C-BE32-E72D297353CC}">
              <c16:uniqueId val="{0000000E-3A1F-41BF-B3AF-8F91896DC69F}"/>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Analysis!$C$520</c15:sqref>
                        </c15:formulaRef>
                      </c:ext>
                    </c:extLst>
                    <c:strCache>
                      <c:ptCount val="1"/>
                      <c:pt idx="0">
                        <c:v>Kachin</c:v>
                      </c:pt>
                    </c:strCache>
                  </c:strRef>
                </c:tx>
                <c:dPt>
                  <c:idx val="0"/>
                  <c:bubble3D val="0"/>
                  <c:spPr>
                    <a:solidFill>
                      <a:schemeClr val="bg1">
                        <a:lumMod val="65000"/>
                      </a:schemeClr>
                    </a:solidFill>
                    <a:ln>
                      <a:noFill/>
                    </a:ln>
                    <a:effectLst/>
                  </c:spPr>
                  <c:extLst>
                    <c:ext xmlns:c16="http://schemas.microsoft.com/office/drawing/2014/chart" uri="{C3380CC4-5D6E-409C-BE32-E72D297353CC}">
                      <c16:uniqueId val="{00000006-3A1F-41BF-B3AF-8F91896DC69F}"/>
                    </c:ext>
                  </c:extLst>
                </c:dPt>
                <c:dPt>
                  <c:idx val="1"/>
                  <c:bubble3D val="0"/>
                  <c:spPr>
                    <a:solidFill>
                      <a:schemeClr val="tx1">
                        <a:lumMod val="65000"/>
                        <a:lumOff val="35000"/>
                      </a:schemeClr>
                    </a:solidFill>
                    <a:ln>
                      <a:noFill/>
                    </a:ln>
                    <a:effectLst/>
                  </c:spPr>
                  <c:extLst>
                    <c:ext xmlns:c16="http://schemas.microsoft.com/office/drawing/2014/chart" uri="{C3380CC4-5D6E-409C-BE32-E72D297353CC}">
                      <c16:uniqueId val="{00000008-3A1F-41BF-B3AF-8F91896DC69F}"/>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Analysis!$D$519:$E$519</c15:sqref>
                        </c15:formulaRef>
                      </c:ext>
                    </c:extLst>
                    <c:strCache>
                      <c:ptCount val="2"/>
                      <c:pt idx="0">
                        <c:v>No</c:v>
                      </c:pt>
                      <c:pt idx="1">
                        <c:v>Yes</c:v>
                      </c:pt>
                    </c:strCache>
                  </c:strRef>
                </c:cat>
                <c:val>
                  <c:numRef>
                    <c:extLst>
                      <c:ext uri="{02D57815-91ED-43cb-92C2-25804820EDAC}">
                        <c15:formulaRef>
                          <c15:sqref>Analysis!$D$520:$E$520</c15:sqref>
                        </c15:formulaRef>
                      </c:ext>
                    </c:extLst>
                    <c:numCache>
                      <c:formatCode>0%</c:formatCode>
                      <c:ptCount val="2"/>
                      <c:pt idx="0">
                        <c:v>0.76119402985074625</c:v>
                      </c:pt>
                      <c:pt idx="1">
                        <c:v>0.23880597014925373</c:v>
                      </c:pt>
                    </c:numCache>
                  </c:numRef>
                </c:val>
                <c:extLst>
                  <c:ext xmlns:c16="http://schemas.microsoft.com/office/drawing/2014/chart" uri="{C3380CC4-5D6E-409C-BE32-E72D297353CC}">
                    <c16:uniqueId val="{00000009-3A1F-41BF-B3AF-8F91896DC69F}"/>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Analysis!$C$522</c15:sqref>
                        </c15:formulaRef>
                      </c:ext>
                    </c:extLst>
                    <c:strCache>
                      <c:ptCount val="1"/>
                      <c:pt idx="0">
                        <c:v>Central Rakhine</c:v>
                      </c:pt>
                    </c:strCache>
                  </c:strRef>
                </c:tx>
                <c:dPt>
                  <c:idx val="0"/>
                  <c:bubble3D val="0"/>
                  <c:spPr>
                    <a:solidFill>
                      <a:schemeClr val="bg1">
                        <a:lumMod val="75000"/>
                      </a:schemeClr>
                    </a:solidFill>
                    <a:ln>
                      <a:noFill/>
                    </a:ln>
                    <a:effectLst/>
                  </c:spPr>
                  <c:extLst xmlns:c15="http://schemas.microsoft.com/office/drawing/2012/chart">
                    <c:ext xmlns:c16="http://schemas.microsoft.com/office/drawing/2014/chart" uri="{C3380CC4-5D6E-409C-BE32-E72D297353CC}">
                      <c16:uniqueId val="{00000001-3A1F-41BF-B3AF-8F91896DC69F}"/>
                    </c:ext>
                  </c:extLst>
                </c:dPt>
                <c:dPt>
                  <c:idx val="1"/>
                  <c:bubble3D val="0"/>
                  <c:spPr>
                    <a:solidFill>
                      <a:schemeClr val="tx1">
                        <a:lumMod val="65000"/>
                        <a:lumOff val="35000"/>
                      </a:schemeClr>
                    </a:solidFill>
                    <a:ln>
                      <a:noFill/>
                    </a:ln>
                    <a:effectLst/>
                  </c:spPr>
                  <c:extLst xmlns:c15="http://schemas.microsoft.com/office/drawing/2012/chart">
                    <c:ext xmlns:c16="http://schemas.microsoft.com/office/drawing/2014/chart" uri="{C3380CC4-5D6E-409C-BE32-E72D297353CC}">
                      <c16:uniqueId val="{00000003-3A1F-41BF-B3AF-8F91896DC69F}"/>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Analysis!$D$519:$E$519</c15:sqref>
                        </c15:formulaRef>
                      </c:ext>
                    </c:extLst>
                    <c:strCache>
                      <c:ptCount val="2"/>
                      <c:pt idx="0">
                        <c:v>No</c:v>
                      </c:pt>
                      <c:pt idx="1">
                        <c:v>Yes</c:v>
                      </c:pt>
                    </c:strCache>
                  </c:strRef>
                </c:cat>
                <c:val>
                  <c:numRef>
                    <c:extLst xmlns:c15="http://schemas.microsoft.com/office/drawing/2012/chart">
                      <c:ext xmlns:c15="http://schemas.microsoft.com/office/drawing/2012/chart" uri="{02D57815-91ED-43cb-92C2-25804820EDAC}">
                        <c15:formulaRef>
                          <c15:sqref>Analysis!$D$522:$E$522</c15:sqref>
                        </c15:formulaRef>
                      </c:ext>
                    </c:extLst>
                    <c:numCache>
                      <c:formatCode>0%</c:formatCode>
                      <c:ptCount val="2"/>
                      <c:pt idx="0">
                        <c:v>0.84</c:v>
                      </c:pt>
                      <c:pt idx="1">
                        <c:v>0.16</c:v>
                      </c:pt>
                    </c:numCache>
                  </c:numRef>
                </c:val>
                <c:extLst xmlns:c15="http://schemas.microsoft.com/office/drawing/2012/chart">
                  <c:ext xmlns:c16="http://schemas.microsoft.com/office/drawing/2014/chart" uri="{C3380CC4-5D6E-409C-BE32-E72D297353CC}">
                    <c16:uniqueId val="{00000004-3A1F-41BF-B3AF-8F91896DC69F}"/>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Hygiene Items in</a:t>
            </a:r>
            <a:r>
              <a:rPr lang="en-US" sz="1400" baseline="0"/>
              <a:t> new temporary sites</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solidFill>
                <a:schemeClr val="accent6">
                  <a:lumMod val="75000"/>
                </a:schemeClr>
              </a:solidFill>
              <a:ln>
                <a:noFill/>
              </a:ln>
              <a:effectLst/>
            </c:spPr>
            <c:extLst>
              <c:ext xmlns:c16="http://schemas.microsoft.com/office/drawing/2014/chart" uri="{C3380CC4-5D6E-409C-BE32-E72D297353CC}">
                <c16:uniqueId val="{00000005-E237-480A-8C26-F83A10F2C7B6}"/>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A-E237-480A-8C26-F83A10F2C7B6}"/>
              </c:ext>
            </c:extLst>
          </c:dPt>
          <c:dLbls>
            <c:dLbl>
              <c:idx val="0"/>
              <c:layout>
                <c:manualLayout>
                  <c:x val="-1.4531714785651793E-2"/>
                  <c:y val="-0.30829615048118991"/>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237-480A-8C26-F83A10F2C7B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Analysis!$D$270:$E$270</c:f>
              <c:strCache>
                <c:ptCount val="2"/>
                <c:pt idx="0">
                  <c:v>Coverage</c:v>
                </c:pt>
                <c:pt idx="1">
                  <c:v>Gap</c:v>
                </c:pt>
              </c:strCache>
            </c:strRef>
          </c:cat>
          <c:val>
            <c:numRef>
              <c:f>Analysis!$D$271:$E$271</c:f>
              <c:numCache>
                <c:formatCode>0%</c:formatCode>
                <c:ptCount val="2"/>
                <c:pt idx="0">
                  <c:v>0.8414797455641112</c:v>
                </c:pt>
                <c:pt idx="1">
                  <c:v>0.1585202544358888</c:v>
                </c:pt>
              </c:numCache>
            </c:numRef>
          </c:val>
          <c:extLst>
            <c:ext xmlns:c16="http://schemas.microsoft.com/office/drawing/2014/chart" uri="{C3380CC4-5D6E-409C-BE32-E72D297353CC}">
              <c16:uniqueId val="{00000000-E237-480A-8C26-F83A10F2C7B6}"/>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[20190516_Myanmar_WASH_4W_2019_Q1_Consolidate.xlsx]Analysis!PivotTable7</c:name>
    <c:fmtId val="54"/>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Hygiene Coverage VS GAP in New Temporary Sites </a:t>
            </a:r>
          </a:p>
          <a:p>
            <a:pPr>
              <a:defRPr sz="1400"/>
            </a:pPr>
            <a:r>
              <a:rPr lang="en-US" sz="1400"/>
              <a:t>in Rakhine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Analysis!$X$308</c:f>
              <c:strCache>
                <c:ptCount val="1"/>
                <c:pt idx="0">
                  <c:v>  % Hygiene Coverage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Analysis!$W$309:$W$314</c:f>
              <c:strCache>
                <c:ptCount val="6"/>
                <c:pt idx="0">
                  <c:v>Buthidaung</c:v>
                </c:pt>
                <c:pt idx="1">
                  <c:v>Kyauktaw</c:v>
                </c:pt>
                <c:pt idx="2">
                  <c:v>Minbya</c:v>
                </c:pt>
                <c:pt idx="3">
                  <c:v>Mrauk-U</c:v>
                </c:pt>
                <c:pt idx="4">
                  <c:v>Ponnagyun</c:v>
                </c:pt>
                <c:pt idx="5">
                  <c:v>Rathedaung</c:v>
                </c:pt>
              </c:strCache>
            </c:strRef>
          </c:cat>
          <c:val>
            <c:numRef>
              <c:f>Analysis!$X$309:$X$314</c:f>
              <c:numCache>
                <c:formatCode>0%</c:formatCode>
                <c:ptCount val="6"/>
                <c:pt idx="0">
                  <c:v>0.37735849056603776</c:v>
                </c:pt>
                <c:pt idx="1">
                  <c:v>0.51717331227793129</c:v>
                </c:pt>
                <c:pt idx="2">
                  <c:v>1</c:v>
                </c:pt>
                <c:pt idx="3">
                  <c:v>0.52809105018106572</c:v>
                </c:pt>
                <c:pt idx="4">
                  <c:v>0.82807498856881578</c:v>
                </c:pt>
                <c:pt idx="5">
                  <c:v>0</c:v>
                </c:pt>
              </c:numCache>
            </c:numRef>
          </c:val>
          <c:extLst>
            <c:ext xmlns:c16="http://schemas.microsoft.com/office/drawing/2014/chart" uri="{C3380CC4-5D6E-409C-BE32-E72D297353CC}">
              <c16:uniqueId val="{00000000-6D38-4D1E-952E-6270985D3796}"/>
            </c:ext>
          </c:extLst>
        </c:ser>
        <c:ser>
          <c:idx val="1"/>
          <c:order val="1"/>
          <c:tx>
            <c:strRef>
              <c:f>Analysis!$Y$308</c:f>
              <c:strCache>
                <c:ptCount val="1"/>
                <c:pt idx="0">
                  <c:v>  % Hygiene 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Analysis!$W$309:$W$314</c:f>
              <c:strCache>
                <c:ptCount val="6"/>
                <c:pt idx="0">
                  <c:v>Buthidaung</c:v>
                </c:pt>
                <c:pt idx="1">
                  <c:v>Kyauktaw</c:v>
                </c:pt>
                <c:pt idx="2">
                  <c:v>Minbya</c:v>
                </c:pt>
                <c:pt idx="3">
                  <c:v>Mrauk-U</c:v>
                </c:pt>
                <c:pt idx="4">
                  <c:v>Ponnagyun</c:v>
                </c:pt>
                <c:pt idx="5">
                  <c:v>Rathedaung</c:v>
                </c:pt>
              </c:strCache>
            </c:strRef>
          </c:cat>
          <c:val>
            <c:numRef>
              <c:f>Analysis!$Y$309:$Y$314</c:f>
              <c:numCache>
                <c:formatCode>0%</c:formatCode>
                <c:ptCount val="6"/>
                <c:pt idx="0">
                  <c:v>0.62264150943396224</c:v>
                </c:pt>
                <c:pt idx="1">
                  <c:v>0.48282668772206871</c:v>
                </c:pt>
                <c:pt idx="2">
                  <c:v>0</c:v>
                </c:pt>
                <c:pt idx="3">
                  <c:v>0.47190894981893428</c:v>
                </c:pt>
                <c:pt idx="4">
                  <c:v>0.17192501143118422</c:v>
                </c:pt>
                <c:pt idx="5">
                  <c:v>1</c:v>
                </c:pt>
              </c:numCache>
            </c:numRef>
          </c:val>
          <c:extLst>
            <c:ext xmlns:c16="http://schemas.microsoft.com/office/drawing/2014/chart" uri="{C3380CC4-5D6E-409C-BE32-E72D297353CC}">
              <c16:uniqueId val="{00000001-6D38-4D1E-952E-6270985D3796}"/>
            </c:ext>
          </c:extLst>
        </c:ser>
        <c:dLbls>
          <c:showLegendKey val="0"/>
          <c:showVal val="0"/>
          <c:showCatName val="0"/>
          <c:showSerName val="0"/>
          <c:showPercent val="0"/>
          <c:showBubbleSize val="0"/>
        </c:dLbls>
        <c:gapWidth val="150"/>
        <c:overlap val="100"/>
        <c:axId val="404949167"/>
        <c:axId val="257805983"/>
      </c:barChart>
      <c:catAx>
        <c:axId val="404949167"/>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57805983"/>
        <c:crosses val="autoZero"/>
        <c:auto val="1"/>
        <c:lblAlgn val="ctr"/>
        <c:lblOffset val="100"/>
        <c:noMultiLvlLbl val="0"/>
      </c:catAx>
      <c:valAx>
        <c:axId val="257805983"/>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049491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 of Sites which made water quality test </a:t>
            </a:r>
            <a:endParaRPr lang="en-US" sz="1200">
              <a:effectLst/>
            </a:endParaRPr>
          </a:p>
          <a:p>
            <a:pPr>
              <a:defRPr sz="1200"/>
            </a:pPr>
            <a:r>
              <a:rPr lang="en-US" sz="1200" b="1" i="0" baseline="0">
                <a:effectLst/>
              </a:rPr>
              <a:t>at water sources, </a:t>
            </a:r>
          </a:p>
          <a:p>
            <a:pPr>
              <a:defRPr sz="1200"/>
            </a:pPr>
            <a:r>
              <a:rPr lang="en-US" sz="1200" b="1" i="0" baseline="0">
                <a:effectLst/>
              </a:rPr>
              <a:t>in Kachin</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8852442822191271"/>
          <c:y val="0.33737234810714156"/>
          <c:w val="0.31551045042184195"/>
          <c:h val="0.64135428486286372"/>
        </c:manualLayout>
      </c:layout>
      <c:pieChart>
        <c:varyColors val="1"/>
        <c:ser>
          <c:idx val="0"/>
          <c:order val="0"/>
          <c:tx>
            <c:strRef>
              <c:f>Analysis!$H$65</c:f>
              <c:strCache>
                <c:ptCount val="1"/>
                <c:pt idx="0">
                  <c:v>Kachin</c:v>
                </c:pt>
              </c:strCache>
            </c:strRef>
          </c:tx>
          <c:dPt>
            <c:idx val="0"/>
            <c:bubble3D val="0"/>
            <c:spPr>
              <a:solidFill>
                <a:srgbClr val="0070C0"/>
              </a:solidFill>
              <a:ln>
                <a:noFill/>
              </a:ln>
              <a:effectLst/>
            </c:spPr>
            <c:extLst>
              <c:ext xmlns:c16="http://schemas.microsoft.com/office/drawing/2014/chart" uri="{C3380CC4-5D6E-409C-BE32-E72D297353CC}">
                <c16:uniqueId val="{00000008-4595-40E7-B79F-6C0F1E417323}"/>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C-4595-40E7-B79F-6C0F1E417323}"/>
              </c:ext>
            </c:extLst>
          </c:dPt>
          <c:dLbls>
            <c:dLbl>
              <c:idx val="0"/>
              <c:layout>
                <c:manualLayout>
                  <c:x val="-3.6131720061490048E-2"/>
                  <c:y val="0.1421746954119818"/>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4595-40E7-B79F-6C0F1E417323}"/>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Analysis!$J$64:$K$64</c:f>
              <c:strCache>
                <c:ptCount val="2"/>
                <c:pt idx="0">
                  <c:v>Tested</c:v>
                </c:pt>
                <c:pt idx="1">
                  <c:v>No Test</c:v>
                </c:pt>
              </c:strCache>
            </c:strRef>
          </c:cat>
          <c:val>
            <c:numRef>
              <c:f>Analysis!$J$65:$K$65</c:f>
              <c:numCache>
                <c:formatCode>0</c:formatCode>
                <c:ptCount val="2"/>
                <c:pt idx="0" formatCode="General">
                  <c:v>12</c:v>
                </c:pt>
                <c:pt idx="1">
                  <c:v>122</c:v>
                </c:pt>
              </c:numCache>
            </c:numRef>
          </c:val>
          <c:extLst>
            <c:ext xmlns:c16="http://schemas.microsoft.com/office/drawing/2014/chart" uri="{C3380CC4-5D6E-409C-BE32-E72D297353CC}">
              <c16:uniqueId val="{00000000-4595-40E7-B79F-6C0F1E417323}"/>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Analysis!$H$66</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5-5C4C-409D-A3A5-0103C148A17F}"/>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7-5C4C-409D-A3A5-0103C148A17F}"/>
                    </c:ext>
                  </c:extLst>
                </c:dPt>
                <c:cat>
                  <c:strRef>
                    <c:extLst>
                      <c:ext uri="{02D57815-91ED-43cb-92C2-25804820EDAC}">
                        <c15:formulaRef>
                          <c15:sqref>Analysis!$J$64:$K$64</c15:sqref>
                        </c15:formulaRef>
                      </c:ext>
                    </c:extLst>
                    <c:strCache>
                      <c:ptCount val="2"/>
                      <c:pt idx="0">
                        <c:v>Tested</c:v>
                      </c:pt>
                      <c:pt idx="1">
                        <c:v>No Test</c:v>
                      </c:pt>
                    </c:strCache>
                  </c:strRef>
                </c:cat>
                <c:val>
                  <c:numRef>
                    <c:extLst>
                      <c:ext uri="{02D57815-91ED-43cb-92C2-25804820EDAC}">
                        <c15:formulaRef>
                          <c15:sqref>Analysis!$J$66:$K$66</c15:sqref>
                        </c15:formulaRef>
                      </c:ext>
                    </c:extLst>
                    <c:numCache>
                      <c:formatCode>0</c:formatCode>
                      <c:ptCount val="2"/>
                      <c:pt idx="0" formatCode="General">
                        <c:v>14</c:v>
                      </c:pt>
                      <c:pt idx="1">
                        <c:v>14</c:v>
                      </c:pt>
                    </c:numCache>
                  </c:numRef>
                </c:val>
                <c:extLst>
                  <c:ext xmlns:c16="http://schemas.microsoft.com/office/drawing/2014/chart" uri="{C3380CC4-5D6E-409C-BE32-E72D297353CC}">
                    <c16:uniqueId val="{0000000D-4595-40E7-B79F-6C0F1E417323}"/>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Analysis!$H$67</c15:sqref>
                        </c15:formulaRef>
                      </c:ext>
                    </c:extLst>
                    <c:strCache>
                      <c:ptCount val="1"/>
                      <c:pt idx="0">
                        <c:v>Central Rakhine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9-5C4C-409D-A3A5-0103C148A17F}"/>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5C4C-409D-A3A5-0103C148A17F}"/>
                    </c:ext>
                  </c:extLst>
                </c:dPt>
                <c:cat>
                  <c:strRef>
                    <c:extLst xmlns:c15="http://schemas.microsoft.com/office/drawing/2012/chart">
                      <c:ext xmlns:c15="http://schemas.microsoft.com/office/drawing/2012/chart" uri="{02D57815-91ED-43cb-92C2-25804820EDAC}">
                        <c15:formulaRef>
                          <c15:sqref>Analysis!$J$64:$K$64</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Analysis!$J$67:$K$67</c15:sqref>
                        </c15:formulaRef>
                      </c:ext>
                    </c:extLst>
                    <c:numCache>
                      <c:formatCode>0</c:formatCode>
                      <c:ptCount val="2"/>
                      <c:pt idx="0" formatCode="General">
                        <c:v>16</c:v>
                      </c:pt>
                      <c:pt idx="1">
                        <c:v>9</c:v>
                      </c:pt>
                    </c:numCache>
                  </c:numRef>
                </c:val>
                <c:extLst xmlns:c15="http://schemas.microsoft.com/office/drawing/2012/chart">
                  <c:ext xmlns:c16="http://schemas.microsoft.com/office/drawing/2014/chart" uri="{C3380CC4-5D6E-409C-BE32-E72D297353CC}">
                    <c16:uniqueId val="{0000000E-4595-40E7-B79F-6C0F1E417323}"/>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 of Sites which made water quality test </a:t>
            </a:r>
            <a:endParaRPr lang="en-US" sz="1200">
              <a:effectLst/>
            </a:endParaRPr>
          </a:p>
          <a:p>
            <a:pPr>
              <a:defRPr sz="1200"/>
            </a:pPr>
            <a:r>
              <a:rPr lang="en-US" sz="1200" b="1" i="0" baseline="0">
                <a:effectLst/>
              </a:rPr>
              <a:t>at water sources, </a:t>
            </a:r>
          </a:p>
          <a:p>
            <a:pPr>
              <a:defRPr sz="1200"/>
            </a:pPr>
            <a:r>
              <a:rPr lang="en-US" sz="1200" b="1" i="0" baseline="0">
                <a:effectLst/>
              </a:rPr>
              <a:t>in Rakhine</a:t>
            </a:r>
            <a:endParaRPr lang="en-US" sz="1200">
              <a:effectLst/>
            </a:endParaRPr>
          </a:p>
        </c:rich>
      </c:tx>
      <c:layout>
        <c:manualLayout>
          <c:xMode val="edge"/>
          <c:yMode val="edge"/>
          <c:x val="0.18731142302864315"/>
          <c:y val="2.8612303290414878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8683281981056713"/>
          <c:y val="0.31795388237414529"/>
          <c:w val="0.314710487276047"/>
          <c:h val="0.62131684183253921"/>
        </c:manualLayout>
      </c:layout>
      <c:pieChart>
        <c:varyColors val="1"/>
        <c:ser>
          <c:idx val="2"/>
          <c:order val="2"/>
          <c:tx>
            <c:strRef>
              <c:f>Analysis!$H$67</c:f>
              <c:strCache>
                <c:ptCount val="1"/>
                <c:pt idx="0">
                  <c:v>Central Rakhine</c:v>
                </c:pt>
              </c:strCache>
              <c:extLst xmlns:c15="http://schemas.microsoft.com/office/drawing/2012/chart"/>
            </c:strRef>
          </c:tx>
          <c:dPt>
            <c:idx val="0"/>
            <c:bubble3D val="0"/>
            <c:spPr>
              <a:solidFill>
                <a:srgbClr val="0070C0"/>
              </a:solidFill>
              <a:ln>
                <a:noFill/>
              </a:ln>
              <a:effectLst/>
            </c:spPr>
            <c:extLst>
              <c:ext xmlns:c16="http://schemas.microsoft.com/office/drawing/2014/chart" uri="{C3380CC4-5D6E-409C-BE32-E72D297353CC}">
                <c16:uniqueId val="{0000000B-9C49-4C1F-9CF3-A8BFF8AF6F8A}"/>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D-9C49-4C1F-9CF3-A8BFF8AF6F8A}"/>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B-9C49-4C1F-9CF3-A8BFF8AF6F8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Analysis!$J$64:$K$64</c:f>
              <c:strCache>
                <c:ptCount val="2"/>
                <c:pt idx="0">
                  <c:v>Tested</c:v>
                </c:pt>
                <c:pt idx="1">
                  <c:v>No Test</c:v>
                </c:pt>
              </c:strCache>
              <c:extLst xmlns:c15="http://schemas.microsoft.com/office/drawing/2012/chart"/>
            </c:strRef>
          </c:cat>
          <c:val>
            <c:numRef>
              <c:f>Analysis!$J$67:$K$67</c:f>
              <c:numCache>
                <c:formatCode>0</c:formatCode>
                <c:ptCount val="2"/>
                <c:pt idx="0" formatCode="General">
                  <c:v>16</c:v>
                </c:pt>
                <c:pt idx="1">
                  <c:v>9</c:v>
                </c:pt>
              </c:numCache>
              <c:extLst xmlns:c15="http://schemas.microsoft.com/office/drawing/2012/chart"/>
            </c:numRef>
          </c:val>
          <c:extLst>
            <c:ext xmlns:c16="http://schemas.microsoft.com/office/drawing/2014/chart" uri="{C3380CC4-5D6E-409C-BE32-E72D297353CC}">
              <c16:uniqueId val="{0000000E-9C49-4C1F-9CF3-A8BFF8AF6F8A}"/>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Analysis!$H$65</c15:sqref>
                        </c15:formulaRef>
                      </c:ext>
                    </c:extLst>
                    <c:strCache>
                      <c:ptCount val="1"/>
                      <c:pt idx="0">
                        <c:v>Kachin</c:v>
                      </c:pt>
                    </c:strCache>
                  </c:strRef>
                </c:tx>
                <c:dPt>
                  <c:idx val="0"/>
                  <c:bubble3D val="0"/>
                  <c:spPr>
                    <a:solidFill>
                      <a:srgbClr val="0070C0"/>
                    </a:solidFill>
                    <a:ln>
                      <a:noFill/>
                    </a:ln>
                    <a:effectLst/>
                  </c:spPr>
                  <c:extLst>
                    <c:ext xmlns:c16="http://schemas.microsoft.com/office/drawing/2014/chart" uri="{C3380CC4-5D6E-409C-BE32-E72D297353CC}">
                      <c16:uniqueId val="{00000001-9C49-4C1F-9CF3-A8BFF8AF6F8A}"/>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3-9C49-4C1F-9CF3-A8BFF8AF6F8A}"/>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9C49-4C1F-9CF3-A8BFF8AF6F8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Analysis!$J$64:$K$64</c15:sqref>
                        </c15:formulaRef>
                      </c:ext>
                    </c:extLst>
                    <c:strCache>
                      <c:ptCount val="2"/>
                      <c:pt idx="0">
                        <c:v>Tested</c:v>
                      </c:pt>
                      <c:pt idx="1">
                        <c:v>No Test</c:v>
                      </c:pt>
                    </c:strCache>
                  </c:strRef>
                </c:cat>
                <c:val>
                  <c:numRef>
                    <c:extLst>
                      <c:ext uri="{02D57815-91ED-43cb-92C2-25804820EDAC}">
                        <c15:formulaRef>
                          <c15:sqref>Analysis!$J$65:$K$65</c15:sqref>
                        </c15:formulaRef>
                      </c:ext>
                    </c:extLst>
                    <c:numCache>
                      <c:formatCode>0</c:formatCode>
                      <c:ptCount val="2"/>
                      <c:pt idx="0" formatCode="General">
                        <c:v>12</c:v>
                      </c:pt>
                      <c:pt idx="1">
                        <c:v>122</c:v>
                      </c:pt>
                    </c:numCache>
                  </c:numRef>
                </c:val>
                <c:extLst>
                  <c:ext xmlns:c16="http://schemas.microsoft.com/office/drawing/2014/chart" uri="{C3380CC4-5D6E-409C-BE32-E72D297353CC}">
                    <c16:uniqueId val="{00000004-9C49-4C1F-9CF3-A8BFF8AF6F8A}"/>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Analysis!$H$66</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6-9C49-4C1F-9CF3-A8BFF8AF6F8A}"/>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8-9C49-4C1F-9CF3-A8BFF8AF6F8A}"/>
                    </c:ext>
                  </c:extLst>
                </c:dPt>
                <c:cat>
                  <c:strRef>
                    <c:extLst xmlns:c15="http://schemas.microsoft.com/office/drawing/2012/chart">
                      <c:ext xmlns:c15="http://schemas.microsoft.com/office/drawing/2012/chart" uri="{02D57815-91ED-43cb-92C2-25804820EDAC}">
                        <c15:formulaRef>
                          <c15:sqref>Analysis!$J$64:$K$64</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Analysis!$J$66:$K$66</c15:sqref>
                        </c15:formulaRef>
                      </c:ext>
                    </c:extLst>
                    <c:numCache>
                      <c:formatCode>0</c:formatCode>
                      <c:ptCount val="2"/>
                      <c:pt idx="0" formatCode="General">
                        <c:v>14</c:v>
                      </c:pt>
                      <c:pt idx="1">
                        <c:v>14</c:v>
                      </c:pt>
                    </c:numCache>
                  </c:numRef>
                </c:val>
                <c:extLst xmlns:c15="http://schemas.microsoft.com/office/drawing/2012/chart">
                  <c:ext xmlns:c16="http://schemas.microsoft.com/office/drawing/2014/chart" uri="{C3380CC4-5D6E-409C-BE32-E72D297353CC}">
                    <c16:uniqueId val="{00000009-9C49-4C1F-9CF3-A8BFF8AF6F8A}"/>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 of Sites which made water quality test </a:t>
            </a:r>
            <a:endParaRPr lang="en-US" sz="1200">
              <a:effectLst/>
            </a:endParaRPr>
          </a:p>
          <a:p>
            <a:pPr>
              <a:defRPr sz="1200"/>
            </a:pPr>
            <a:r>
              <a:rPr lang="en-US" sz="1200" b="1" i="0" baseline="0">
                <a:effectLst/>
              </a:rPr>
              <a:t>at water sources, </a:t>
            </a:r>
          </a:p>
          <a:p>
            <a:pPr>
              <a:defRPr sz="1200"/>
            </a:pPr>
            <a:r>
              <a:rPr lang="en-US" sz="1200" b="1" i="0" baseline="0">
                <a:effectLst/>
              </a:rPr>
              <a:t>in Northern Shan</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8683281981056713"/>
          <c:y val="0.31795388237414529"/>
          <c:w val="0.314710487276047"/>
          <c:h val="0.62131684183253921"/>
        </c:manualLayout>
      </c:layout>
      <c:pieChart>
        <c:varyColors val="1"/>
        <c:ser>
          <c:idx val="1"/>
          <c:order val="1"/>
          <c:tx>
            <c:strRef>
              <c:f>Analysis!$H$66</c:f>
              <c:strCache>
                <c:ptCount val="1"/>
                <c:pt idx="0">
                  <c:v>Shan (North)</c:v>
                </c:pt>
              </c:strCache>
              <c:extLst xmlns:c15="http://schemas.microsoft.com/office/drawing/2012/chart"/>
            </c:strRef>
          </c:tx>
          <c:dPt>
            <c:idx val="0"/>
            <c:bubble3D val="0"/>
            <c:spPr>
              <a:solidFill>
                <a:srgbClr val="0070C0"/>
              </a:solidFill>
              <a:ln>
                <a:noFill/>
              </a:ln>
              <a:effectLst/>
            </c:spPr>
            <c:extLst>
              <c:ext xmlns:c16="http://schemas.microsoft.com/office/drawing/2014/chart" uri="{C3380CC4-5D6E-409C-BE32-E72D297353CC}">
                <c16:uniqueId val="{0000000B-A6D4-4BA5-AFB7-3712F0A6AC0C}"/>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D-A6D4-4BA5-AFB7-3712F0A6AC0C}"/>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B-A6D4-4BA5-AFB7-3712F0A6AC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Analysis!$J$64:$K$64</c:f>
              <c:strCache>
                <c:ptCount val="2"/>
                <c:pt idx="0">
                  <c:v>Tested</c:v>
                </c:pt>
                <c:pt idx="1">
                  <c:v>No Test</c:v>
                </c:pt>
              </c:strCache>
              <c:extLst xmlns:c15="http://schemas.microsoft.com/office/drawing/2012/chart"/>
            </c:strRef>
          </c:cat>
          <c:val>
            <c:numRef>
              <c:f>Analysis!$J$66:$K$66</c:f>
              <c:numCache>
                <c:formatCode>0</c:formatCode>
                <c:ptCount val="2"/>
                <c:pt idx="0" formatCode="General">
                  <c:v>14</c:v>
                </c:pt>
                <c:pt idx="1">
                  <c:v>14</c:v>
                </c:pt>
              </c:numCache>
              <c:extLst xmlns:c15="http://schemas.microsoft.com/office/drawing/2012/chart"/>
            </c:numRef>
          </c:val>
          <c:extLst>
            <c:ext xmlns:c16="http://schemas.microsoft.com/office/drawing/2014/chart" uri="{C3380CC4-5D6E-409C-BE32-E72D297353CC}">
              <c16:uniqueId val="{0000000E-A6D4-4BA5-AFB7-3712F0A6AC0C}"/>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Analysis!$H$65</c15:sqref>
                        </c15:formulaRef>
                      </c:ext>
                    </c:extLst>
                    <c:strCache>
                      <c:ptCount val="1"/>
                      <c:pt idx="0">
                        <c:v>Kachin</c:v>
                      </c:pt>
                    </c:strCache>
                  </c:strRef>
                </c:tx>
                <c:dPt>
                  <c:idx val="0"/>
                  <c:bubble3D val="0"/>
                  <c:spPr>
                    <a:solidFill>
                      <a:srgbClr val="0070C0"/>
                    </a:solidFill>
                    <a:ln>
                      <a:noFill/>
                    </a:ln>
                    <a:effectLst/>
                  </c:spPr>
                  <c:extLst>
                    <c:ext xmlns:c16="http://schemas.microsoft.com/office/drawing/2014/chart" uri="{C3380CC4-5D6E-409C-BE32-E72D297353CC}">
                      <c16:uniqueId val="{00000006-A6D4-4BA5-AFB7-3712F0A6AC0C}"/>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8-A6D4-4BA5-AFB7-3712F0A6AC0C}"/>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6-A6D4-4BA5-AFB7-3712F0A6AC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Analysis!$J$64:$K$64</c15:sqref>
                        </c15:formulaRef>
                      </c:ext>
                    </c:extLst>
                    <c:strCache>
                      <c:ptCount val="2"/>
                      <c:pt idx="0">
                        <c:v>Tested</c:v>
                      </c:pt>
                      <c:pt idx="1">
                        <c:v>No Test</c:v>
                      </c:pt>
                    </c:strCache>
                  </c:strRef>
                </c:cat>
                <c:val>
                  <c:numRef>
                    <c:extLst>
                      <c:ext uri="{02D57815-91ED-43cb-92C2-25804820EDAC}">
                        <c15:formulaRef>
                          <c15:sqref>Analysis!$J$65:$K$65</c15:sqref>
                        </c15:formulaRef>
                      </c:ext>
                    </c:extLst>
                    <c:numCache>
                      <c:formatCode>0</c:formatCode>
                      <c:ptCount val="2"/>
                      <c:pt idx="0" formatCode="General">
                        <c:v>12</c:v>
                      </c:pt>
                      <c:pt idx="1">
                        <c:v>122</c:v>
                      </c:pt>
                    </c:numCache>
                  </c:numRef>
                </c:val>
                <c:extLst>
                  <c:ext xmlns:c16="http://schemas.microsoft.com/office/drawing/2014/chart" uri="{C3380CC4-5D6E-409C-BE32-E72D297353CC}">
                    <c16:uniqueId val="{00000009-A6D4-4BA5-AFB7-3712F0A6AC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Analysis!$H$67</c15:sqref>
                        </c15:formulaRef>
                      </c:ext>
                    </c:extLst>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A6D4-4BA5-AFB7-3712F0A6AC0C}"/>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A6D4-4BA5-AFB7-3712F0A6AC0C}"/>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01-A6D4-4BA5-AFB7-3712F0A6AC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Analysis!$J$64:$K$64</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Analysis!$J$67:$K$67</c15:sqref>
                        </c15:formulaRef>
                      </c:ext>
                    </c:extLst>
                    <c:numCache>
                      <c:formatCode>0</c:formatCode>
                      <c:ptCount val="2"/>
                      <c:pt idx="0" formatCode="General">
                        <c:v>16</c:v>
                      </c:pt>
                      <c:pt idx="1">
                        <c:v>9</c:v>
                      </c:pt>
                    </c:numCache>
                  </c:numRef>
                </c:val>
                <c:extLst xmlns:c15="http://schemas.microsoft.com/office/drawing/2012/chart">
                  <c:ext xmlns:c16="http://schemas.microsoft.com/office/drawing/2014/chart" uri="{C3380CC4-5D6E-409C-BE32-E72D297353CC}">
                    <c16:uniqueId val="{00000004-A6D4-4BA5-AFB7-3712F0A6AC0C}"/>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Water</a:t>
            </a:r>
            <a:r>
              <a:rPr lang="en-US" sz="1400" baseline="0"/>
              <a:t> Source Testing &amp; Treated</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Analysis!$L$64</c:f>
              <c:strCache>
                <c:ptCount val="1"/>
                <c:pt idx="0">
                  <c:v># Tested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Analysis!$H$65:$H$67</c:f>
              <c:strCache>
                <c:ptCount val="3"/>
                <c:pt idx="0">
                  <c:v>Kachin</c:v>
                </c:pt>
                <c:pt idx="1">
                  <c:v>Shan (North)</c:v>
                </c:pt>
                <c:pt idx="2">
                  <c:v>Central Rakhine</c:v>
                </c:pt>
              </c:strCache>
            </c:strRef>
          </c:cat>
          <c:val>
            <c:numRef>
              <c:f>Analysis!$L$65:$L$67</c:f>
              <c:numCache>
                <c:formatCode>General</c:formatCode>
                <c:ptCount val="3"/>
                <c:pt idx="0">
                  <c:v>32</c:v>
                </c:pt>
                <c:pt idx="1">
                  <c:v>14</c:v>
                </c:pt>
                <c:pt idx="2">
                  <c:v>653</c:v>
                </c:pt>
              </c:numCache>
            </c:numRef>
          </c:val>
          <c:extLst>
            <c:ext xmlns:c16="http://schemas.microsoft.com/office/drawing/2014/chart" uri="{C3380CC4-5D6E-409C-BE32-E72D297353CC}">
              <c16:uniqueId val="{00000000-F935-4EB7-A6DD-5FF2CD715C68}"/>
            </c:ext>
          </c:extLst>
        </c:ser>
        <c:ser>
          <c:idx val="1"/>
          <c:order val="1"/>
          <c:tx>
            <c:strRef>
              <c:f>Analysis!$M$64</c:f>
              <c:strCache>
                <c:ptCount val="1"/>
                <c:pt idx="0">
                  <c:v> # Treated</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Analysis!$H$65:$H$67</c:f>
              <c:strCache>
                <c:ptCount val="3"/>
                <c:pt idx="0">
                  <c:v>Kachin</c:v>
                </c:pt>
                <c:pt idx="1">
                  <c:v>Shan (North)</c:v>
                </c:pt>
                <c:pt idx="2">
                  <c:v>Central Rakhine</c:v>
                </c:pt>
              </c:strCache>
            </c:strRef>
          </c:cat>
          <c:val>
            <c:numRef>
              <c:f>Analysis!$M$65:$M$67</c:f>
              <c:numCache>
                <c:formatCode>General</c:formatCode>
                <c:ptCount val="3"/>
                <c:pt idx="0">
                  <c:v>30</c:v>
                </c:pt>
                <c:pt idx="1">
                  <c:v>0</c:v>
                </c:pt>
                <c:pt idx="2">
                  <c:v>27</c:v>
                </c:pt>
              </c:numCache>
            </c:numRef>
          </c:val>
          <c:extLst>
            <c:ext xmlns:c16="http://schemas.microsoft.com/office/drawing/2014/chart" uri="{C3380CC4-5D6E-409C-BE32-E72D297353CC}">
              <c16:uniqueId val="{00000001-F935-4EB7-A6DD-5FF2CD715C68}"/>
            </c:ext>
          </c:extLst>
        </c:ser>
        <c:dLbls>
          <c:showLegendKey val="0"/>
          <c:showVal val="0"/>
          <c:showCatName val="0"/>
          <c:showSerName val="0"/>
          <c:showPercent val="0"/>
          <c:showBubbleSize val="0"/>
        </c:dLbls>
        <c:gapWidth val="150"/>
        <c:overlap val="100"/>
        <c:axId val="1332863680"/>
        <c:axId val="1335493040"/>
      </c:barChart>
      <c:catAx>
        <c:axId val="1332863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5493040"/>
        <c:crosses val="autoZero"/>
        <c:auto val="1"/>
        <c:lblAlgn val="ctr"/>
        <c:lblOffset val="100"/>
        <c:noMultiLvlLbl val="0"/>
      </c:catAx>
      <c:valAx>
        <c:axId val="1335493040"/>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2863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of Sites which made water quality test </a:t>
            </a:r>
            <a:endParaRPr lang="en-US" sz="1400">
              <a:effectLst/>
            </a:endParaRPr>
          </a:p>
          <a:p>
            <a:pPr>
              <a:defRPr/>
            </a:pPr>
            <a:r>
              <a:rPr lang="en-US" sz="1400" b="1" i="0" baseline="0">
                <a:effectLst/>
              </a:rPr>
              <a:t>at household, </a:t>
            </a:r>
            <a:endParaRPr lang="en-US" sz="1400">
              <a:effectLst/>
            </a:endParaRPr>
          </a:p>
          <a:p>
            <a:pPr>
              <a:defRPr/>
            </a:pPr>
            <a:r>
              <a:rPr lang="en-US" sz="1400" b="1" i="0" baseline="0">
                <a:effectLst/>
              </a:rPr>
              <a:t>in Kachin</a:t>
            </a:r>
            <a:endParaRPr lang="en-US" sz="14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7094460732583057"/>
          <c:y val="0.32044659190328484"/>
          <c:w val="0.33702595389173745"/>
          <c:h val="0.51766682573769185"/>
        </c:manualLayout>
      </c:layout>
      <c:pieChart>
        <c:varyColors val="1"/>
        <c:ser>
          <c:idx val="0"/>
          <c:order val="0"/>
          <c:tx>
            <c:strRef>
              <c:f>Analysis!$V$65</c:f>
              <c:strCache>
                <c:ptCount val="1"/>
                <c:pt idx="0">
                  <c:v>Kachin</c:v>
                </c:pt>
              </c:strCache>
            </c:strRef>
          </c:tx>
          <c:dPt>
            <c:idx val="0"/>
            <c:bubble3D val="0"/>
            <c:spPr>
              <a:solidFill>
                <a:srgbClr val="0070C0"/>
              </a:solidFill>
              <a:ln>
                <a:noFill/>
              </a:ln>
              <a:effectLst/>
            </c:spPr>
            <c:extLst>
              <c:ext xmlns:c16="http://schemas.microsoft.com/office/drawing/2014/chart" uri="{C3380CC4-5D6E-409C-BE32-E72D297353CC}">
                <c16:uniqueId val="{00000009-145C-4BDE-A747-E22127BA9BBA}"/>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3-145C-4BDE-A747-E22127BA9BBA}"/>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9-145C-4BDE-A747-E22127BA9B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Analysis!$X$64:$Y$64</c:f>
              <c:strCache>
                <c:ptCount val="2"/>
                <c:pt idx="0">
                  <c:v>Tested</c:v>
                </c:pt>
                <c:pt idx="1">
                  <c:v>No test</c:v>
                </c:pt>
              </c:strCache>
            </c:strRef>
          </c:cat>
          <c:val>
            <c:numRef>
              <c:f>Analysis!$X$65:$Y$65</c:f>
              <c:numCache>
                <c:formatCode>General</c:formatCode>
                <c:ptCount val="2"/>
                <c:pt idx="0">
                  <c:v>16</c:v>
                </c:pt>
                <c:pt idx="1">
                  <c:v>118</c:v>
                </c:pt>
              </c:numCache>
            </c:numRef>
          </c:val>
          <c:extLst>
            <c:ext xmlns:c16="http://schemas.microsoft.com/office/drawing/2014/chart" uri="{C3380CC4-5D6E-409C-BE32-E72D297353CC}">
              <c16:uniqueId val="{00000000-145C-4BDE-A747-E22127BA9BBA}"/>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Analysis!$V$66</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5-88F0-4740-8197-C333F6E5CE3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7-88F0-4740-8197-C333F6E5CE3C}"/>
                    </c:ext>
                  </c:extLst>
                </c:dPt>
                <c:cat>
                  <c:strRef>
                    <c:extLst>
                      <c:ext uri="{02D57815-91ED-43cb-92C2-25804820EDAC}">
                        <c15:formulaRef>
                          <c15:sqref>Analysis!$X$64:$Y$64</c15:sqref>
                        </c15:formulaRef>
                      </c:ext>
                    </c:extLst>
                    <c:strCache>
                      <c:ptCount val="2"/>
                      <c:pt idx="0">
                        <c:v>Tested</c:v>
                      </c:pt>
                      <c:pt idx="1">
                        <c:v>No test</c:v>
                      </c:pt>
                    </c:strCache>
                  </c:strRef>
                </c:cat>
                <c:val>
                  <c:numRef>
                    <c:extLst>
                      <c:ext uri="{02D57815-91ED-43cb-92C2-25804820EDAC}">
                        <c15:formulaRef>
                          <c15:sqref>Analysis!$X$66:$Y$66</c15:sqref>
                        </c15:formulaRef>
                      </c:ext>
                    </c:extLst>
                    <c:numCache>
                      <c:formatCode>General</c:formatCode>
                      <c:ptCount val="2"/>
                      <c:pt idx="0">
                        <c:v>14</c:v>
                      </c:pt>
                      <c:pt idx="1">
                        <c:v>14</c:v>
                      </c:pt>
                    </c:numCache>
                  </c:numRef>
                </c:val>
                <c:extLst>
                  <c:ext xmlns:c16="http://schemas.microsoft.com/office/drawing/2014/chart" uri="{C3380CC4-5D6E-409C-BE32-E72D297353CC}">
                    <c16:uniqueId val="{00000001-145C-4BDE-A747-E22127BA9BBA}"/>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Analysis!$V$67</c15:sqref>
                        </c15:formulaRef>
                      </c:ext>
                    </c:extLst>
                    <c:strCache>
                      <c:ptCount val="1"/>
                      <c:pt idx="0">
                        <c:v>Central Rakhine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9-88F0-4740-8197-C333F6E5CE3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88F0-4740-8197-C333F6E5CE3C}"/>
                    </c:ext>
                  </c:extLst>
                </c:dPt>
                <c:cat>
                  <c:strRef>
                    <c:extLst xmlns:c15="http://schemas.microsoft.com/office/drawing/2012/chart">
                      <c:ext xmlns:c15="http://schemas.microsoft.com/office/drawing/2012/chart" uri="{02D57815-91ED-43cb-92C2-25804820EDAC}">
                        <c15:formulaRef>
                          <c15:sqref>Analysis!$X$64:$Y$64</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Analysis!$X$67:$Y$67</c15:sqref>
                        </c15:formulaRef>
                      </c:ext>
                    </c:extLst>
                    <c:numCache>
                      <c:formatCode>General</c:formatCode>
                      <c:ptCount val="2"/>
                      <c:pt idx="0">
                        <c:v>16</c:v>
                      </c:pt>
                      <c:pt idx="1">
                        <c:v>9</c:v>
                      </c:pt>
                    </c:numCache>
                  </c:numRef>
                </c:val>
                <c:extLst xmlns:c15="http://schemas.microsoft.com/office/drawing/2012/chart">
                  <c:ext xmlns:c16="http://schemas.microsoft.com/office/drawing/2014/chart" uri="{C3380CC4-5D6E-409C-BE32-E72D297353CC}">
                    <c16:uniqueId val="{00000002-145C-4BDE-A747-E22127BA9BBA}"/>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of Sites which made water quality test </a:t>
            </a:r>
            <a:endParaRPr lang="en-US" sz="1400">
              <a:effectLst/>
            </a:endParaRPr>
          </a:p>
          <a:p>
            <a:pPr>
              <a:defRPr/>
            </a:pPr>
            <a:r>
              <a:rPr lang="en-US" sz="1400" b="1" i="0" baseline="0">
                <a:effectLst/>
              </a:rPr>
              <a:t>at household, </a:t>
            </a:r>
            <a:endParaRPr lang="en-US" sz="1400">
              <a:effectLst/>
            </a:endParaRPr>
          </a:p>
          <a:p>
            <a:pPr>
              <a:defRPr/>
            </a:pPr>
            <a:r>
              <a:rPr lang="en-US" sz="1400" b="1" i="0" baseline="0">
                <a:effectLst/>
              </a:rPr>
              <a:t>in Rakhine</a:t>
            </a:r>
            <a:endParaRPr lang="en-US" sz="14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3691086408316606"/>
          <c:y val="0.32351942849249105"/>
          <c:w val="0.35232232000411712"/>
          <c:h val="0.54040416000631497"/>
        </c:manualLayout>
      </c:layout>
      <c:pieChart>
        <c:varyColors val="1"/>
        <c:ser>
          <c:idx val="2"/>
          <c:order val="2"/>
          <c:tx>
            <c:strRef>
              <c:f>Analysis!$V$67</c:f>
              <c:strCache>
                <c:ptCount val="1"/>
                <c:pt idx="0">
                  <c:v>Central Rakhine</c:v>
                </c:pt>
              </c:strCache>
              <c:extLst xmlns:c15="http://schemas.microsoft.com/office/drawing/2012/chart"/>
            </c:strRef>
          </c:tx>
          <c:dPt>
            <c:idx val="0"/>
            <c:bubble3D val="0"/>
            <c:spPr>
              <a:solidFill>
                <a:srgbClr val="0070C0"/>
              </a:solidFill>
              <a:ln>
                <a:noFill/>
              </a:ln>
              <a:effectLst/>
            </c:spPr>
            <c:extLst>
              <c:ext xmlns:c16="http://schemas.microsoft.com/office/drawing/2014/chart" uri="{C3380CC4-5D6E-409C-BE32-E72D297353CC}">
                <c16:uniqueId val="{0000000B-F67F-4308-B23B-444726290637}"/>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D-F67F-4308-B23B-444726290637}"/>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B-F67F-4308-B23B-4447262906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Analysis!$X$64:$Y$64</c:f>
              <c:strCache>
                <c:ptCount val="2"/>
                <c:pt idx="0">
                  <c:v>Tested</c:v>
                </c:pt>
                <c:pt idx="1">
                  <c:v>No test</c:v>
                </c:pt>
              </c:strCache>
              <c:extLst xmlns:c15="http://schemas.microsoft.com/office/drawing/2012/chart"/>
            </c:strRef>
          </c:cat>
          <c:val>
            <c:numRef>
              <c:f>Analysis!$X$67:$Y$67</c:f>
              <c:numCache>
                <c:formatCode>General</c:formatCode>
                <c:ptCount val="2"/>
                <c:pt idx="0">
                  <c:v>16</c:v>
                </c:pt>
                <c:pt idx="1">
                  <c:v>9</c:v>
                </c:pt>
              </c:numCache>
              <c:extLst xmlns:c15="http://schemas.microsoft.com/office/drawing/2012/chart"/>
            </c:numRef>
          </c:val>
          <c:extLst>
            <c:ext xmlns:c16="http://schemas.microsoft.com/office/drawing/2014/chart" uri="{C3380CC4-5D6E-409C-BE32-E72D297353CC}">
              <c16:uniqueId val="{0000000E-F67F-4308-B23B-444726290637}"/>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Analysis!$V$65</c15:sqref>
                        </c15:formulaRef>
                      </c:ext>
                    </c:extLst>
                    <c:strCache>
                      <c:ptCount val="1"/>
                      <c:pt idx="0">
                        <c:v>Kachin</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F67F-4308-B23B-444726290637}"/>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F67F-4308-B23B-44472629063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Analysis!$X$64:$Y$64</c15:sqref>
                        </c15:formulaRef>
                      </c:ext>
                    </c:extLst>
                    <c:strCache>
                      <c:ptCount val="2"/>
                      <c:pt idx="0">
                        <c:v>Tested</c:v>
                      </c:pt>
                      <c:pt idx="1">
                        <c:v>No test</c:v>
                      </c:pt>
                    </c:strCache>
                  </c:strRef>
                </c:cat>
                <c:val>
                  <c:numRef>
                    <c:extLst>
                      <c:ext uri="{02D57815-91ED-43cb-92C2-25804820EDAC}">
                        <c15:formulaRef>
                          <c15:sqref>Analysis!$X$65:$Y$65</c15:sqref>
                        </c15:formulaRef>
                      </c:ext>
                    </c:extLst>
                    <c:numCache>
                      <c:formatCode>General</c:formatCode>
                      <c:ptCount val="2"/>
                      <c:pt idx="0">
                        <c:v>16</c:v>
                      </c:pt>
                      <c:pt idx="1">
                        <c:v>118</c:v>
                      </c:pt>
                    </c:numCache>
                  </c:numRef>
                </c:val>
                <c:extLst>
                  <c:ext xmlns:c16="http://schemas.microsoft.com/office/drawing/2014/chart" uri="{C3380CC4-5D6E-409C-BE32-E72D297353CC}">
                    <c16:uniqueId val="{00000004-F67F-4308-B23B-444726290637}"/>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Analysis!$V$66</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6-F67F-4308-B23B-444726290637}"/>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8-F67F-4308-B23B-444726290637}"/>
                    </c:ext>
                  </c:extLst>
                </c:dPt>
                <c:cat>
                  <c:strRef>
                    <c:extLst xmlns:c15="http://schemas.microsoft.com/office/drawing/2012/chart">
                      <c:ext xmlns:c15="http://schemas.microsoft.com/office/drawing/2012/chart" uri="{02D57815-91ED-43cb-92C2-25804820EDAC}">
                        <c15:formulaRef>
                          <c15:sqref>Analysis!$X$64:$Y$64</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Analysis!$X$66:$Y$66</c15:sqref>
                        </c15:formulaRef>
                      </c:ext>
                    </c:extLst>
                    <c:numCache>
                      <c:formatCode>General</c:formatCode>
                      <c:ptCount val="2"/>
                      <c:pt idx="0">
                        <c:v>14</c:v>
                      </c:pt>
                      <c:pt idx="1">
                        <c:v>14</c:v>
                      </c:pt>
                    </c:numCache>
                  </c:numRef>
                </c:val>
                <c:extLst xmlns:c15="http://schemas.microsoft.com/office/drawing/2012/chart">
                  <c:ext xmlns:c16="http://schemas.microsoft.com/office/drawing/2014/chart" uri="{C3380CC4-5D6E-409C-BE32-E72D297353CC}">
                    <c16:uniqueId val="{00000009-F67F-4308-B23B-444726290637}"/>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of Sites which made water quality test </a:t>
            </a:r>
            <a:endParaRPr lang="en-US" sz="1400">
              <a:effectLst/>
            </a:endParaRPr>
          </a:p>
          <a:p>
            <a:pPr>
              <a:defRPr/>
            </a:pPr>
            <a:r>
              <a:rPr lang="en-US" sz="1400" b="1" i="0" baseline="0">
                <a:effectLst/>
              </a:rPr>
              <a:t>at household, </a:t>
            </a:r>
            <a:endParaRPr lang="en-US" sz="1400">
              <a:effectLst/>
            </a:endParaRPr>
          </a:p>
          <a:p>
            <a:pPr>
              <a:defRPr/>
            </a:pPr>
            <a:r>
              <a:rPr lang="en-US" sz="1400" b="1" i="0" baseline="0">
                <a:effectLst/>
              </a:rPr>
              <a:t>in Northern Shan</a:t>
            </a:r>
            <a:endParaRPr lang="en-US" sz="14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2710694251453865"/>
          <c:y val="0.32853195982081185"/>
          <c:w val="0.35559029386032626"/>
          <c:h val="0.54541669133463577"/>
        </c:manualLayout>
      </c:layout>
      <c:pieChart>
        <c:varyColors val="1"/>
        <c:ser>
          <c:idx val="1"/>
          <c:order val="1"/>
          <c:tx>
            <c:strRef>
              <c:f>Analysis!$V$66</c:f>
              <c:strCache>
                <c:ptCount val="1"/>
                <c:pt idx="0">
                  <c:v>Shan (North)</c:v>
                </c:pt>
              </c:strCache>
              <c:extLst xmlns:c15="http://schemas.microsoft.com/office/drawing/2012/chart"/>
            </c:strRef>
          </c:tx>
          <c:dPt>
            <c:idx val="0"/>
            <c:bubble3D val="0"/>
            <c:spPr>
              <a:solidFill>
                <a:srgbClr val="0070C0"/>
              </a:solidFill>
              <a:ln>
                <a:noFill/>
              </a:ln>
              <a:effectLst/>
            </c:spPr>
            <c:extLst>
              <c:ext xmlns:c16="http://schemas.microsoft.com/office/drawing/2014/chart" uri="{C3380CC4-5D6E-409C-BE32-E72D297353CC}">
                <c16:uniqueId val="{0000000B-EEE7-487F-B3C3-D4E58A56A3D4}"/>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D-EEE7-487F-B3C3-D4E58A56A3D4}"/>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B-EEE7-487F-B3C3-D4E58A56A3D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Analysis!$X$64:$Y$64</c:f>
              <c:strCache>
                <c:ptCount val="2"/>
                <c:pt idx="0">
                  <c:v>Tested</c:v>
                </c:pt>
                <c:pt idx="1">
                  <c:v>No test</c:v>
                </c:pt>
              </c:strCache>
              <c:extLst xmlns:c15="http://schemas.microsoft.com/office/drawing/2012/chart"/>
            </c:strRef>
          </c:cat>
          <c:val>
            <c:numRef>
              <c:f>Analysis!$X$66:$Y$66</c:f>
              <c:numCache>
                <c:formatCode>General</c:formatCode>
                <c:ptCount val="2"/>
                <c:pt idx="0">
                  <c:v>14</c:v>
                </c:pt>
                <c:pt idx="1">
                  <c:v>14</c:v>
                </c:pt>
              </c:numCache>
              <c:extLst xmlns:c15="http://schemas.microsoft.com/office/drawing/2012/chart"/>
            </c:numRef>
          </c:val>
          <c:extLst>
            <c:ext xmlns:c16="http://schemas.microsoft.com/office/drawing/2014/chart" uri="{C3380CC4-5D6E-409C-BE32-E72D297353CC}">
              <c16:uniqueId val="{0000000E-EEE7-487F-B3C3-D4E58A56A3D4}"/>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Analysis!$V$65</c15:sqref>
                        </c15:formulaRef>
                      </c:ext>
                    </c:extLst>
                    <c:strCache>
                      <c:ptCount val="1"/>
                      <c:pt idx="0">
                        <c:v>Kachin</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6-EEE7-487F-B3C3-D4E58A56A3D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8-EEE7-487F-B3C3-D4E58A56A3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Analysis!$X$64:$Y$64</c15:sqref>
                        </c15:formulaRef>
                      </c:ext>
                    </c:extLst>
                    <c:strCache>
                      <c:ptCount val="2"/>
                      <c:pt idx="0">
                        <c:v>Tested</c:v>
                      </c:pt>
                      <c:pt idx="1">
                        <c:v>No test</c:v>
                      </c:pt>
                    </c:strCache>
                  </c:strRef>
                </c:cat>
                <c:val>
                  <c:numRef>
                    <c:extLst>
                      <c:ext uri="{02D57815-91ED-43cb-92C2-25804820EDAC}">
                        <c15:formulaRef>
                          <c15:sqref>Analysis!$X$65:$Y$65</c15:sqref>
                        </c15:formulaRef>
                      </c:ext>
                    </c:extLst>
                    <c:numCache>
                      <c:formatCode>General</c:formatCode>
                      <c:ptCount val="2"/>
                      <c:pt idx="0">
                        <c:v>16</c:v>
                      </c:pt>
                      <c:pt idx="1">
                        <c:v>118</c:v>
                      </c:pt>
                    </c:numCache>
                  </c:numRef>
                </c:val>
                <c:extLst>
                  <c:ext xmlns:c16="http://schemas.microsoft.com/office/drawing/2014/chart" uri="{C3380CC4-5D6E-409C-BE32-E72D297353CC}">
                    <c16:uniqueId val="{00000009-EEE7-487F-B3C3-D4E58A56A3D4}"/>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Analysis!$V$67</c15:sqref>
                        </c15:formulaRef>
                      </c:ext>
                    </c:extLst>
                    <c:strCache>
                      <c:ptCount val="1"/>
                      <c:pt idx="0">
                        <c:v>Central Rakhine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1-EEE7-487F-B3C3-D4E58A56A3D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3-EEE7-487F-B3C3-D4E58A56A3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Analysis!$X$64:$Y$64</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Analysis!$X$67:$Y$67</c15:sqref>
                        </c15:formulaRef>
                      </c:ext>
                    </c:extLst>
                    <c:numCache>
                      <c:formatCode>General</c:formatCode>
                      <c:ptCount val="2"/>
                      <c:pt idx="0">
                        <c:v>16</c:v>
                      </c:pt>
                      <c:pt idx="1">
                        <c:v>9</c:v>
                      </c:pt>
                    </c:numCache>
                  </c:numRef>
                </c:val>
                <c:extLst xmlns:c15="http://schemas.microsoft.com/office/drawing/2012/chart">
                  <c:ext xmlns:c16="http://schemas.microsoft.com/office/drawing/2014/chart" uri="{C3380CC4-5D6E-409C-BE32-E72D297353CC}">
                    <c16:uniqueId val="{00000004-EEE7-487F-B3C3-D4E58A56A3D4}"/>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Household Testing &amp; Treated</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Analysis!$Z$64</c:f>
              <c:strCache>
                <c:ptCount val="1"/>
                <c:pt idx="0">
                  <c:v> # Tested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Analysis!$V$65:$V$67</c:f>
              <c:strCache>
                <c:ptCount val="3"/>
                <c:pt idx="0">
                  <c:v>Kachin</c:v>
                </c:pt>
                <c:pt idx="1">
                  <c:v>Shan (North)</c:v>
                </c:pt>
                <c:pt idx="2">
                  <c:v>Central Rakhine</c:v>
                </c:pt>
              </c:strCache>
            </c:strRef>
          </c:cat>
          <c:val>
            <c:numRef>
              <c:f>Analysis!$Z$65:$Z$67</c:f>
              <c:numCache>
                <c:formatCode>General</c:formatCode>
                <c:ptCount val="3"/>
                <c:pt idx="0">
                  <c:v>251</c:v>
                </c:pt>
                <c:pt idx="1">
                  <c:v>210</c:v>
                </c:pt>
                <c:pt idx="2">
                  <c:v>1023</c:v>
                </c:pt>
              </c:numCache>
            </c:numRef>
          </c:val>
          <c:extLst>
            <c:ext xmlns:c16="http://schemas.microsoft.com/office/drawing/2014/chart" uri="{C3380CC4-5D6E-409C-BE32-E72D297353CC}">
              <c16:uniqueId val="{00000000-A528-4231-8455-2E23C4C4DBA8}"/>
            </c:ext>
          </c:extLst>
        </c:ser>
        <c:ser>
          <c:idx val="1"/>
          <c:order val="1"/>
          <c:tx>
            <c:strRef>
              <c:f>Analysis!$AA$64</c:f>
              <c:strCache>
                <c:ptCount val="1"/>
                <c:pt idx="0">
                  <c:v> # Household received remediation action</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Analysis!$V$65:$V$67</c:f>
              <c:strCache>
                <c:ptCount val="3"/>
                <c:pt idx="0">
                  <c:v>Kachin</c:v>
                </c:pt>
                <c:pt idx="1">
                  <c:v>Shan (North)</c:v>
                </c:pt>
                <c:pt idx="2">
                  <c:v>Central Rakhine</c:v>
                </c:pt>
              </c:strCache>
            </c:strRef>
          </c:cat>
          <c:val>
            <c:numRef>
              <c:f>Analysis!$AA$65:$AA$67</c:f>
              <c:numCache>
                <c:formatCode>General</c:formatCode>
                <c:ptCount val="3"/>
                <c:pt idx="0">
                  <c:v>30</c:v>
                </c:pt>
                <c:pt idx="1">
                  <c:v>0</c:v>
                </c:pt>
                <c:pt idx="2">
                  <c:v>134</c:v>
                </c:pt>
              </c:numCache>
            </c:numRef>
          </c:val>
          <c:extLst>
            <c:ext xmlns:c16="http://schemas.microsoft.com/office/drawing/2014/chart" uri="{C3380CC4-5D6E-409C-BE32-E72D297353CC}">
              <c16:uniqueId val="{00000001-A528-4231-8455-2E23C4C4DBA8}"/>
            </c:ext>
          </c:extLst>
        </c:ser>
        <c:dLbls>
          <c:showLegendKey val="0"/>
          <c:showVal val="0"/>
          <c:showCatName val="0"/>
          <c:showSerName val="0"/>
          <c:showPercent val="0"/>
          <c:showBubbleSize val="0"/>
        </c:dLbls>
        <c:gapWidth val="150"/>
        <c:overlap val="100"/>
        <c:axId val="1187118288"/>
        <c:axId val="1344061744"/>
      </c:barChart>
      <c:catAx>
        <c:axId val="11871182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44061744"/>
        <c:crosses val="autoZero"/>
        <c:auto val="1"/>
        <c:lblAlgn val="ctr"/>
        <c:lblOffset val="100"/>
        <c:noMultiLvlLbl val="0"/>
      </c:catAx>
      <c:valAx>
        <c:axId val="1344061744"/>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7118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[20190516_Myanmar_WASH_4W_2019_Q1_Consolidate.xlsx]Quarterly Dashboard!PivotTable1</c:name>
    <c:fmtId val="1"/>
  </c:pivotSource>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b="1" i="0" baseline="0">
                <a:effectLst/>
              </a:rPr>
              <a:t>Qtr Dashboard</a:t>
            </a:r>
            <a:endParaRPr lang="en-US" sz="1800" b="1">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ivotFmts>
      <c:pivotFmt>
        <c:idx val="0"/>
        <c:spPr>
          <a:solidFill>
            <a:schemeClr val="tx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spPr>
          <a:solidFill>
            <a:srgbClr val="0070C0"/>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1612781656401217"/>
          <c:y val="0.11493115019255251"/>
          <c:w val="0.62188569619991574"/>
          <c:h val="0.82620867752909466"/>
        </c:manualLayout>
      </c:layout>
      <c:barChart>
        <c:barDir val="bar"/>
        <c:grouping val="clustered"/>
        <c:varyColors val="0"/>
        <c:ser>
          <c:idx val="0"/>
          <c:order val="0"/>
          <c:tx>
            <c:strRef>
              <c:f>'Quarterly Dashboard'!$C$29</c:f>
              <c:strCache>
                <c:ptCount val="1"/>
                <c:pt idx="0">
                  <c:v>Total Population</c:v>
                </c:pt>
              </c:strCache>
            </c:strRef>
          </c:tx>
          <c:spPr>
            <a:solidFill>
              <a:schemeClr val="tx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Dashboard'!$A$30:$B$65</c:f>
              <c:multiLvlStrCache>
                <c:ptCount val="31"/>
                <c:lvl>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Tanai</c:v>
                  </c:pt>
                  <c:pt idx="12">
                    <c:v>Waingmaw</c:v>
                  </c:pt>
                  <c:pt idx="13">
                    <c:v>Hseni</c:v>
                  </c:pt>
                  <c:pt idx="14">
                    <c:v>Hsipaw</c:v>
                  </c:pt>
                  <c:pt idx="15">
                    <c:v>Kutkai</c:v>
                  </c:pt>
                  <c:pt idx="16">
                    <c:v>Manton</c:v>
                  </c:pt>
                  <c:pt idx="17">
                    <c:v>Muse</c:v>
                  </c:pt>
                  <c:pt idx="18">
                    <c:v>Namhkan</c:v>
                  </c:pt>
                  <c:pt idx="19">
                    <c:v>Namtu</c:v>
                  </c:pt>
                  <c:pt idx="20">
                    <c:v>Kyaukpyu</c:v>
                  </c:pt>
                  <c:pt idx="21">
                    <c:v>Kyauktaw</c:v>
                  </c:pt>
                  <c:pt idx="22">
                    <c:v>Minbya</c:v>
                  </c:pt>
                  <c:pt idx="23">
                    <c:v>Mrauk-U</c:v>
                  </c:pt>
                  <c:pt idx="24">
                    <c:v>Myebon</c:v>
                  </c:pt>
                  <c:pt idx="25">
                    <c:v>Pauktaw</c:v>
                  </c:pt>
                  <c:pt idx="26">
                    <c:v>Ponnagyun</c:v>
                  </c:pt>
                  <c:pt idx="27">
                    <c:v>Sittwe</c:v>
                  </c:pt>
                  <c:pt idx="28">
                    <c:v>Buthidaung</c:v>
                  </c:pt>
                  <c:pt idx="29">
                    <c:v>Maungdaw</c:v>
                  </c:pt>
                  <c:pt idx="30">
                    <c:v>Rathedaung</c:v>
                  </c:pt>
                </c:lvl>
                <c:lvl>
                  <c:pt idx="0">
                    <c:v>Kachin</c:v>
                  </c:pt>
                  <c:pt idx="13">
                    <c:v>Shan (North)</c:v>
                  </c:pt>
                  <c:pt idx="20">
                    <c:v>Central Rakhine</c:v>
                  </c:pt>
                  <c:pt idx="28">
                    <c:v>Northern Rakhine</c:v>
                  </c:pt>
                </c:lvl>
              </c:multiLvlStrCache>
            </c:multiLvlStrRef>
          </c:cat>
          <c:val>
            <c:numRef>
              <c:f>'Quarterly Dashboard'!$C$30:$C$65</c:f>
              <c:numCache>
                <c:formatCode>General</c:formatCode>
                <c:ptCount val="31"/>
                <c:pt idx="0">
                  <c:v>9728</c:v>
                </c:pt>
                <c:pt idx="1">
                  <c:v>2960</c:v>
                </c:pt>
                <c:pt idx="2">
                  <c:v>4303</c:v>
                </c:pt>
                <c:pt idx="3">
                  <c:v>12990</c:v>
                </c:pt>
                <c:pt idx="4">
                  <c:v>1494</c:v>
                </c:pt>
                <c:pt idx="5">
                  <c:v>470</c:v>
                </c:pt>
                <c:pt idx="6">
                  <c:v>28996</c:v>
                </c:pt>
                <c:pt idx="7">
                  <c:v>12586</c:v>
                </c:pt>
                <c:pt idx="8">
                  <c:v>420</c:v>
                </c:pt>
                <c:pt idx="9">
                  <c:v>2418</c:v>
                </c:pt>
                <c:pt idx="10">
                  <c:v>1044</c:v>
                </c:pt>
                <c:pt idx="11">
                  <c:v>731</c:v>
                </c:pt>
                <c:pt idx="12">
                  <c:v>28017</c:v>
                </c:pt>
                <c:pt idx="13">
                  <c:v>341</c:v>
                </c:pt>
                <c:pt idx="14">
                  <c:v>2047</c:v>
                </c:pt>
                <c:pt idx="15">
                  <c:v>5404</c:v>
                </c:pt>
                <c:pt idx="16">
                  <c:v>317</c:v>
                </c:pt>
                <c:pt idx="17">
                  <c:v>1594</c:v>
                </c:pt>
                <c:pt idx="18">
                  <c:v>2149</c:v>
                </c:pt>
                <c:pt idx="19">
                  <c:v>1019</c:v>
                </c:pt>
                <c:pt idx="20">
                  <c:v>4440</c:v>
                </c:pt>
                <c:pt idx="21">
                  <c:v>34773</c:v>
                </c:pt>
                <c:pt idx="22">
                  <c:v>31472</c:v>
                </c:pt>
                <c:pt idx="23">
                  <c:v>14000</c:v>
                </c:pt>
                <c:pt idx="24">
                  <c:v>3137</c:v>
                </c:pt>
                <c:pt idx="25">
                  <c:v>49395</c:v>
                </c:pt>
                <c:pt idx="26">
                  <c:v>2926</c:v>
                </c:pt>
                <c:pt idx="27">
                  <c:v>164468</c:v>
                </c:pt>
                <c:pt idx="28">
                  <c:v>62022</c:v>
                </c:pt>
                <c:pt idx="29">
                  <c:v>18755</c:v>
                </c:pt>
                <c:pt idx="30">
                  <c:v>8366</c:v>
                </c:pt>
              </c:numCache>
            </c:numRef>
          </c:val>
          <c:extLst>
            <c:ext xmlns:c16="http://schemas.microsoft.com/office/drawing/2014/chart" uri="{C3380CC4-5D6E-409C-BE32-E72D297353CC}">
              <c16:uniqueId val="{00000000-FD4A-40E3-B1F6-9704B8EB76ED}"/>
            </c:ext>
          </c:extLst>
        </c:ser>
        <c:ser>
          <c:idx val="1"/>
          <c:order val="1"/>
          <c:tx>
            <c:strRef>
              <c:f>'Quarterly Dashboard'!$D$29</c:f>
              <c:strCache>
                <c:ptCount val="1"/>
                <c:pt idx="0">
                  <c:v>Number of People adopt basic personal and community hygiene practices</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Dashboard'!$A$30:$B$65</c:f>
              <c:multiLvlStrCache>
                <c:ptCount val="31"/>
                <c:lvl>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Tanai</c:v>
                  </c:pt>
                  <c:pt idx="12">
                    <c:v>Waingmaw</c:v>
                  </c:pt>
                  <c:pt idx="13">
                    <c:v>Hseni</c:v>
                  </c:pt>
                  <c:pt idx="14">
                    <c:v>Hsipaw</c:v>
                  </c:pt>
                  <c:pt idx="15">
                    <c:v>Kutkai</c:v>
                  </c:pt>
                  <c:pt idx="16">
                    <c:v>Manton</c:v>
                  </c:pt>
                  <c:pt idx="17">
                    <c:v>Muse</c:v>
                  </c:pt>
                  <c:pt idx="18">
                    <c:v>Namhkan</c:v>
                  </c:pt>
                  <c:pt idx="19">
                    <c:v>Namtu</c:v>
                  </c:pt>
                  <c:pt idx="20">
                    <c:v>Kyaukpyu</c:v>
                  </c:pt>
                  <c:pt idx="21">
                    <c:v>Kyauktaw</c:v>
                  </c:pt>
                  <c:pt idx="22">
                    <c:v>Minbya</c:v>
                  </c:pt>
                  <c:pt idx="23">
                    <c:v>Mrauk-U</c:v>
                  </c:pt>
                  <c:pt idx="24">
                    <c:v>Myebon</c:v>
                  </c:pt>
                  <c:pt idx="25">
                    <c:v>Pauktaw</c:v>
                  </c:pt>
                  <c:pt idx="26">
                    <c:v>Ponnagyun</c:v>
                  </c:pt>
                  <c:pt idx="27">
                    <c:v>Sittwe</c:v>
                  </c:pt>
                  <c:pt idx="28">
                    <c:v>Buthidaung</c:v>
                  </c:pt>
                  <c:pt idx="29">
                    <c:v>Maungdaw</c:v>
                  </c:pt>
                  <c:pt idx="30">
                    <c:v>Rathedaung</c:v>
                  </c:pt>
                </c:lvl>
                <c:lvl>
                  <c:pt idx="0">
                    <c:v>Kachin</c:v>
                  </c:pt>
                  <c:pt idx="13">
                    <c:v>Shan (North)</c:v>
                  </c:pt>
                  <c:pt idx="20">
                    <c:v>Central Rakhine</c:v>
                  </c:pt>
                  <c:pt idx="28">
                    <c:v>Northern Rakhine</c:v>
                  </c:pt>
                </c:lvl>
              </c:multiLvlStrCache>
            </c:multiLvlStrRef>
          </c:cat>
          <c:val>
            <c:numRef>
              <c:f>'Quarterly Dashboard'!$D$30:$D$65</c:f>
              <c:numCache>
                <c:formatCode>General</c:formatCode>
                <c:ptCount val="31"/>
                <c:pt idx="0">
                  <c:v>6856</c:v>
                </c:pt>
                <c:pt idx="1">
                  <c:v>2960</c:v>
                </c:pt>
                <c:pt idx="2">
                  <c:v>3906</c:v>
                </c:pt>
                <c:pt idx="3">
                  <c:v>7164</c:v>
                </c:pt>
                <c:pt idx="4">
                  <c:v>1462</c:v>
                </c:pt>
                <c:pt idx="5">
                  <c:v>165</c:v>
                </c:pt>
                <c:pt idx="6">
                  <c:v>10827</c:v>
                </c:pt>
                <c:pt idx="7">
                  <c:v>8663</c:v>
                </c:pt>
                <c:pt idx="8">
                  <c:v>289</c:v>
                </c:pt>
                <c:pt idx="9">
                  <c:v>0</c:v>
                </c:pt>
                <c:pt idx="10">
                  <c:v>872</c:v>
                </c:pt>
                <c:pt idx="11">
                  <c:v>0</c:v>
                </c:pt>
                <c:pt idx="12">
                  <c:v>14018</c:v>
                </c:pt>
                <c:pt idx="13">
                  <c:v>341</c:v>
                </c:pt>
                <c:pt idx="14">
                  <c:v>864</c:v>
                </c:pt>
                <c:pt idx="15">
                  <c:v>4281</c:v>
                </c:pt>
                <c:pt idx="16">
                  <c:v>317</c:v>
                </c:pt>
                <c:pt idx="17">
                  <c:v>608</c:v>
                </c:pt>
                <c:pt idx="18">
                  <c:v>1055</c:v>
                </c:pt>
                <c:pt idx="19">
                  <c:v>445</c:v>
                </c:pt>
                <c:pt idx="20">
                  <c:v>1312</c:v>
                </c:pt>
                <c:pt idx="21">
                  <c:v>1310</c:v>
                </c:pt>
                <c:pt idx="22">
                  <c:v>3957</c:v>
                </c:pt>
                <c:pt idx="23">
                  <c:v>5104</c:v>
                </c:pt>
                <c:pt idx="24">
                  <c:v>3137</c:v>
                </c:pt>
                <c:pt idx="25">
                  <c:v>31369</c:v>
                </c:pt>
                <c:pt idx="26">
                  <c:v>1811</c:v>
                </c:pt>
                <c:pt idx="27">
                  <c:v>98950</c:v>
                </c:pt>
                <c:pt idx="28">
                  <c:v>58151</c:v>
                </c:pt>
                <c:pt idx="29">
                  <c:v>16744</c:v>
                </c:pt>
                <c:pt idx="30">
                  <c:v>0</c:v>
                </c:pt>
              </c:numCache>
            </c:numRef>
          </c:val>
          <c:extLst>
            <c:ext xmlns:c16="http://schemas.microsoft.com/office/drawing/2014/chart" uri="{C3380CC4-5D6E-409C-BE32-E72D297353CC}">
              <c16:uniqueId val="{00000000-186D-464E-B4E5-625EB4D2527A}"/>
            </c:ext>
          </c:extLst>
        </c:ser>
        <c:ser>
          <c:idx val="2"/>
          <c:order val="2"/>
          <c:tx>
            <c:strRef>
              <c:f>'Quarterly Dashboard'!$E$29</c:f>
              <c:strCache>
                <c:ptCount val="1"/>
                <c:pt idx="0">
                  <c:v>Number of people with equitable and continuous access to safe sanitation facilities</c:v>
                </c:pt>
              </c:strCache>
            </c:strRef>
          </c:tx>
          <c:spPr>
            <a:solidFill>
              <a:schemeClr val="accent2">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Dashboard'!$A$30:$B$65</c:f>
              <c:multiLvlStrCache>
                <c:ptCount val="31"/>
                <c:lvl>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Tanai</c:v>
                  </c:pt>
                  <c:pt idx="12">
                    <c:v>Waingmaw</c:v>
                  </c:pt>
                  <c:pt idx="13">
                    <c:v>Hseni</c:v>
                  </c:pt>
                  <c:pt idx="14">
                    <c:v>Hsipaw</c:v>
                  </c:pt>
                  <c:pt idx="15">
                    <c:v>Kutkai</c:v>
                  </c:pt>
                  <c:pt idx="16">
                    <c:v>Manton</c:v>
                  </c:pt>
                  <c:pt idx="17">
                    <c:v>Muse</c:v>
                  </c:pt>
                  <c:pt idx="18">
                    <c:v>Namhkan</c:v>
                  </c:pt>
                  <c:pt idx="19">
                    <c:v>Namtu</c:v>
                  </c:pt>
                  <c:pt idx="20">
                    <c:v>Kyaukpyu</c:v>
                  </c:pt>
                  <c:pt idx="21">
                    <c:v>Kyauktaw</c:v>
                  </c:pt>
                  <c:pt idx="22">
                    <c:v>Minbya</c:v>
                  </c:pt>
                  <c:pt idx="23">
                    <c:v>Mrauk-U</c:v>
                  </c:pt>
                  <c:pt idx="24">
                    <c:v>Myebon</c:v>
                  </c:pt>
                  <c:pt idx="25">
                    <c:v>Pauktaw</c:v>
                  </c:pt>
                  <c:pt idx="26">
                    <c:v>Ponnagyun</c:v>
                  </c:pt>
                  <c:pt idx="27">
                    <c:v>Sittwe</c:v>
                  </c:pt>
                  <c:pt idx="28">
                    <c:v>Buthidaung</c:v>
                  </c:pt>
                  <c:pt idx="29">
                    <c:v>Maungdaw</c:v>
                  </c:pt>
                  <c:pt idx="30">
                    <c:v>Rathedaung</c:v>
                  </c:pt>
                </c:lvl>
                <c:lvl>
                  <c:pt idx="0">
                    <c:v>Kachin</c:v>
                  </c:pt>
                  <c:pt idx="13">
                    <c:v>Shan (North)</c:v>
                  </c:pt>
                  <c:pt idx="20">
                    <c:v>Central Rakhine</c:v>
                  </c:pt>
                  <c:pt idx="28">
                    <c:v>Northern Rakhine</c:v>
                  </c:pt>
                </c:lvl>
              </c:multiLvlStrCache>
            </c:multiLvlStrRef>
          </c:cat>
          <c:val>
            <c:numRef>
              <c:f>'Quarterly Dashboard'!$E$30:$E$65</c:f>
              <c:numCache>
                <c:formatCode>General</c:formatCode>
                <c:ptCount val="31"/>
                <c:pt idx="0">
                  <c:v>5653</c:v>
                </c:pt>
                <c:pt idx="1">
                  <c:v>2763</c:v>
                </c:pt>
                <c:pt idx="2">
                  <c:v>3353</c:v>
                </c:pt>
                <c:pt idx="3">
                  <c:v>7210</c:v>
                </c:pt>
                <c:pt idx="4">
                  <c:v>759</c:v>
                </c:pt>
                <c:pt idx="5">
                  <c:v>152</c:v>
                </c:pt>
                <c:pt idx="6">
                  <c:v>13968</c:v>
                </c:pt>
                <c:pt idx="7">
                  <c:v>7247</c:v>
                </c:pt>
                <c:pt idx="8">
                  <c:v>40</c:v>
                </c:pt>
                <c:pt idx="9">
                  <c:v>669</c:v>
                </c:pt>
                <c:pt idx="10">
                  <c:v>872</c:v>
                </c:pt>
                <c:pt idx="11">
                  <c:v>0</c:v>
                </c:pt>
                <c:pt idx="12">
                  <c:v>15830</c:v>
                </c:pt>
                <c:pt idx="13">
                  <c:v>341</c:v>
                </c:pt>
                <c:pt idx="14">
                  <c:v>1000</c:v>
                </c:pt>
                <c:pt idx="15">
                  <c:v>4180</c:v>
                </c:pt>
                <c:pt idx="16">
                  <c:v>307</c:v>
                </c:pt>
                <c:pt idx="17">
                  <c:v>1594</c:v>
                </c:pt>
                <c:pt idx="18">
                  <c:v>749</c:v>
                </c:pt>
                <c:pt idx="19">
                  <c:v>320</c:v>
                </c:pt>
                <c:pt idx="20">
                  <c:v>1312</c:v>
                </c:pt>
                <c:pt idx="21">
                  <c:v>1483</c:v>
                </c:pt>
                <c:pt idx="22">
                  <c:v>0</c:v>
                </c:pt>
                <c:pt idx="23">
                  <c:v>3199</c:v>
                </c:pt>
                <c:pt idx="24">
                  <c:v>2920</c:v>
                </c:pt>
                <c:pt idx="25">
                  <c:v>18992</c:v>
                </c:pt>
                <c:pt idx="26">
                  <c:v>1325</c:v>
                </c:pt>
                <c:pt idx="27">
                  <c:v>61353</c:v>
                </c:pt>
                <c:pt idx="28">
                  <c:v>2493</c:v>
                </c:pt>
                <c:pt idx="29">
                  <c:v>1986</c:v>
                </c:pt>
                <c:pt idx="30">
                  <c:v>2346</c:v>
                </c:pt>
              </c:numCache>
            </c:numRef>
          </c:val>
          <c:extLst>
            <c:ext xmlns:c16="http://schemas.microsoft.com/office/drawing/2014/chart" uri="{C3380CC4-5D6E-409C-BE32-E72D297353CC}">
              <c16:uniqueId val="{00000001-186D-464E-B4E5-625EB4D2527A}"/>
            </c:ext>
          </c:extLst>
        </c:ser>
        <c:ser>
          <c:idx val="3"/>
          <c:order val="3"/>
          <c:tx>
            <c:strRef>
              <c:f>'Quarterly Dashboard'!$F$29</c:f>
              <c:strCache>
                <c:ptCount val="1"/>
                <c:pt idx="0">
                  <c:v>Number of people with equitable and continuous access to sufficient quantity of domestic water</c:v>
                </c:pt>
              </c:strCache>
            </c:strRef>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Dashboard'!$A$30:$B$65</c:f>
              <c:multiLvlStrCache>
                <c:ptCount val="31"/>
                <c:lvl>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Tanai</c:v>
                  </c:pt>
                  <c:pt idx="12">
                    <c:v>Waingmaw</c:v>
                  </c:pt>
                  <c:pt idx="13">
                    <c:v>Hseni</c:v>
                  </c:pt>
                  <c:pt idx="14">
                    <c:v>Hsipaw</c:v>
                  </c:pt>
                  <c:pt idx="15">
                    <c:v>Kutkai</c:v>
                  </c:pt>
                  <c:pt idx="16">
                    <c:v>Manton</c:v>
                  </c:pt>
                  <c:pt idx="17">
                    <c:v>Muse</c:v>
                  </c:pt>
                  <c:pt idx="18">
                    <c:v>Namhkan</c:v>
                  </c:pt>
                  <c:pt idx="19">
                    <c:v>Namtu</c:v>
                  </c:pt>
                  <c:pt idx="20">
                    <c:v>Kyaukpyu</c:v>
                  </c:pt>
                  <c:pt idx="21">
                    <c:v>Kyauktaw</c:v>
                  </c:pt>
                  <c:pt idx="22">
                    <c:v>Minbya</c:v>
                  </c:pt>
                  <c:pt idx="23">
                    <c:v>Mrauk-U</c:v>
                  </c:pt>
                  <c:pt idx="24">
                    <c:v>Myebon</c:v>
                  </c:pt>
                  <c:pt idx="25">
                    <c:v>Pauktaw</c:v>
                  </c:pt>
                  <c:pt idx="26">
                    <c:v>Ponnagyun</c:v>
                  </c:pt>
                  <c:pt idx="27">
                    <c:v>Sittwe</c:v>
                  </c:pt>
                  <c:pt idx="28">
                    <c:v>Buthidaung</c:v>
                  </c:pt>
                  <c:pt idx="29">
                    <c:v>Maungdaw</c:v>
                  </c:pt>
                  <c:pt idx="30">
                    <c:v>Rathedaung</c:v>
                  </c:pt>
                </c:lvl>
                <c:lvl>
                  <c:pt idx="0">
                    <c:v>Kachin</c:v>
                  </c:pt>
                  <c:pt idx="13">
                    <c:v>Shan (North)</c:v>
                  </c:pt>
                  <c:pt idx="20">
                    <c:v>Central Rakhine</c:v>
                  </c:pt>
                  <c:pt idx="28">
                    <c:v>Northern Rakhine</c:v>
                  </c:pt>
                </c:lvl>
              </c:multiLvlStrCache>
            </c:multiLvlStrRef>
          </c:cat>
          <c:val>
            <c:numRef>
              <c:f>'Quarterly Dashboard'!$F$30:$F$65</c:f>
              <c:numCache>
                <c:formatCode>General</c:formatCode>
                <c:ptCount val="31"/>
                <c:pt idx="0">
                  <c:v>7391</c:v>
                </c:pt>
                <c:pt idx="1">
                  <c:v>200</c:v>
                </c:pt>
                <c:pt idx="2">
                  <c:v>2508.4666666666667</c:v>
                </c:pt>
                <c:pt idx="3">
                  <c:v>6589</c:v>
                </c:pt>
                <c:pt idx="4">
                  <c:v>1388</c:v>
                </c:pt>
                <c:pt idx="5">
                  <c:v>165</c:v>
                </c:pt>
                <c:pt idx="6">
                  <c:v>10847</c:v>
                </c:pt>
                <c:pt idx="7">
                  <c:v>8968.6666666666661</c:v>
                </c:pt>
                <c:pt idx="8">
                  <c:v>289</c:v>
                </c:pt>
                <c:pt idx="9">
                  <c:v>1443</c:v>
                </c:pt>
                <c:pt idx="10">
                  <c:v>0</c:v>
                </c:pt>
                <c:pt idx="11">
                  <c:v>0</c:v>
                </c:pt>
                <c:pt idx="12">
                  <c:v>12300.666666666668</c:v>
                </c:pt>
                <c:pt idx="13">
                  <c:v>341</c:v>
                </c:pt>
                <c:pt idx="14">
                  <c:v>0</c:v>
                </c:pt>
                <c:pt idx="15">
                  <c:v>4419</c:v>
                </c:pt>
                <c:pt idx="16">
                  <c:v>317</c:v>
                </c:pt>
                <c:pt idx="17">
                  <c:v>608</c:v>
                </c:pt>
                <c:pt idx="18">
                  <c:v>985</c:v>
                </c:pt>
                <c:pt idx="19">
                  <c:v>0.13333333333333333</c:v>
                </c:pt>
                <c:pt idx="20">
                  <c:v>1239</c:v>
                </c:pt>
                <c:pt idx="21">
                  <c:v>9082</c:v>
                </c:pt>
                <c:pt idx="22">
                  <c:v>0</c:v>
                </c:pt>
                <c:pt idx="23">
                  <c:v>0</c:v>
                </c:pt>
                <c:pt idx="24">
                  <c:v>2920</c:v>
                </c:pt>
                <c:pt idx="25">
                  <c:v>25653</c:v>
                </c:pt>
                <c:pt idx="26">
                  <c:v>0</c:v>
                </c:pt>
                <c:pt idx="27">
                  <c:v>96974</c:v>
                </c:pt>
                <c:pt idx="28">
                  <c:v>8424</c:v>
                </c:pt>
                <c:pt idx="29">
                  <c:v>3157</c:v>
                </c:pt>
                <c:pt idx="30">
                  <c:v>0</c:v>
                </c:pt>
              </c:numCache>
            </c:numRef>
          </c:val>
          <c:extLst>
            <c:ext xmlns:c16="http://schemas.microsoft.com/office/drawing/2014/chart" uri="{C3380CC4-5D6E-409C-BE32-E72D297353CC}">
              <c16:uniqueId val="{00000002-186D-464E-B4E5-625EB4D2527A}"/>
            </c:ext>
          </c:extLst>
        </c:ser>
        <c:dLbls>
          <c:showLegendKey val="0"/>
          <c:showVal val="0"/>
          <c:showCatName val="0"/>
          <c:showSerName val="0"/>
          <c:showPercent val="0"/>
          <c:showBubbleSize val="0"/>
        </c:dLbls>
        <c:gapWidth val="100"/>
        <c:axId val="415868040"/>
        <c:axId val="415868432"/>
      </c:barChart>
      <c:catAx>
        <c:axId val="4158680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432"/>
        <c:crosses val="autoZero"/>
        <c:auto val="1"/>
        <c:lblAlgn val="ctr"/>
        <c:lblOffset val="100"/>
        <c:noMultiLvlLbl val="0"/>
      </c:catAx>
      <c:valAx>
        <c:axId val="41586843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Nb of People</a:t>
                </a:r>
              </a:p>
            </c:rich>
          </c:tx>
          <c:layout>
            <c:manualLayout>
              <c:xMode val="edge"/>
              <c:yMode val="edge"/>
              <c:x val="0.91412593207319459"/>
              <c:y val="0.9647028148317734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040"/>
        <c:crosses val="autoZero"/>
        <c:crossBetween val="between"/>
      </c:valAx>
      <c:spPr>
        <a:noFill/>
        <a:ln>
          <a:noFill/>
        </a:ln>
        <a:effectLst/>
      </c:spPr>
    </c:plotArea>
    <c:legend>
      <c:legendPos val="r"/>
      <c:layout>
        <c:manualLayout>
          <c:xMode val="edge"/>
          <c:yMode val="edge"/>
          <c:x val="0.7635998223399264"/>
          <c:y val="0.2294476557200536"/>
          <c:w val="0.23640020279019566"/>
          <c:h val="0.4500836725721571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85C2FF"/>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in active camps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Analysis!$J$241</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Analysis!$I$242:$I$245</c:f>
              <c:strCache>
                <c:ptCount val="4"/>
                <c:pt idx="0">
                  <c:v>#HH reached by regular dedicated hygiene promotion</c:v>
                </c:pt>
                <c:pt idx="1">
                  <c:v>#HH with access to Hand Washing Station</c:v>
                </c:pt>
                <c:pt idx="2">
                  <c:v># HH received soaps</c:v>
                </c:pt>
                <c:pt idx="3">
                  <c:v># HH received Sanitary Pads</c:v>
                </c:pt>
              </c:strCache>
            </c:strRef>
          </c:cat>
          <c:val>
            <c:numRef>
              <c:f>Analysis!$J$242:$J$245</c:f>
              <c:numCache>
                <c:formatCode>0</c:formatCode>
                <c:ptCount val="4"/>
                <c:pt idx="0">
                  <c:v>9141</c:v>
                </c:pt>
                <c:pt idx="1">
                  <c:v>4574</c:v>
                </c:pt>
                <c:pt idx="2">
                  <c:v>4188</c:v>
                </c:pt>
                <c:pt idx="3">
                  <c:v>2004</c:v>
                </c:pt>
              </c:numCache>
            </c:numRef>
          </c:val>
          <c:extLst>
            <c:ext xmlns:c16="http://schemas.microsoft.com/office/drawing/2014/chart" uri="{C3380CC4-5D6E-409C-BE32-E72D297353CC}">
              <c16:uniqueId val="{00000000-8A12-41BD-89DE-DD9C030FDA43}"/>
            </c:ext>
          </c:extLst>
        </c:ser>
        <c:ser>
          <c:idx val="1"/>
          <c:order val="1"/>
          <c:tx>
            <c:strRef>
              <c:f>Analysis!$K$241</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Analysis!$I$242:$I$245</c:f>
              <c:strCache>
                <c:ptCount val="4"/>
                <c:pt idx="0">
                  <c:v>#HH reached by regular dedicated hygiene promotion</c:v>
                </c:pt>
                <c:pt idx="1">
                  <c:v>#HH with access to Hand Washing Station</c:v>
                </c:pt>
                <c:pt idx="2">
                  <c:v># HH received soaps</c:v>
                </c:pt>
                <c:pt idx="3">
                  <c:v># HH received Sanitary Pads</c:v>
                </c:pt>
              </c:strCache>
            </c:strRef>
          </c:cat>
          <c:val>
            <c:numRef>
              <c:f>Analysis!$K$242:$K$245</c:f>
              <c:numCache>
                <c:formatCode>0</c:formatCode>
                <c:ptCount val="4"/>
                <c:pt idx="0">
                  <c:v>9315</c:v>
                </c:pt>
                <c:pt idx="1">
                  <c:v>13882</c:v>
                </c:pt>
                <c:pt idx="2">
                  <c:v>14268</c:v>
                </c:pt>
                <c:pt idx="3">
                  <c:v>16452</c:v>
                </c:pt>
              </c:numCache>
            </c:numRef>
          </c:val>
          <c:extLst>
            <c:ext xmlns:c16="http://schemas.microsoft.com/office/drawing/2014/chart" uri="{C3380CC4-5D6E-409C-BE32-E72D297353CC}">
              <c16:uniqueId val="{00000001-8A12-41BD-89DE-DD9C030FDA43}"/>
            </c:ext>
          </c:extLst>
        </c:ser>
        <c:dLbls>
          <c:dLblPos val="ctr"/>
          <c:showLegendKey val="0"/>
          <c:showVal val="1"/>
          <c:showCatName val="0"/>
          <c:showSerName val="0"/>
          <c:showPercent val="0"/>
          <c:showBubbleSize val="0"/>
        </c:dLbls>
        <c:gapWidth val="150"/>
        <c:overlap val="100"/>
        <c:axId val="415866472"/>
        <c:axId val="415865688"/>
      </c:barChart>
      <c:catAx>
        <c:axId val="4158664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5688"/>
        <c:crosses val="autoZero"/>
        <c:auto val="1"/>
        <c:lblAlgn val="ctr"/>
        <c:lblOffset val="100"/>
        <c:noMultiLvlLbl val="0"/>
      </c:catAx>
      <c:valAx>
        <c:axId val="415865688"/>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647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[20190516_Myanmar_WASH_4W_2019_Q1_Consolidate.xlsx]Analysis!K_Geo</c:name>
    <c:fmtId val="40"/>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Number of Sites - Coverage/Gaps</a:t>
            </a:r>
            <a:endParaRPr lang="en-US" sz="1400">
              <a:effectLst/>
            </a:endParaRPr>
          </a:p>
        </c:rich>
      </c:tx>
      <c:layout>
        <c:manualLayout>
          <c:xMode val="edge"/>
          <c:yMode val="edge"/>
          <c:x val="0.18915263415704367"/>
          <c:y val="3.240735525417750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865336395369437"/>
          <c:y val="0.23407035114329283"/>
          <c:w val="0.83388992896624581"/>
          <c:h val="0.58652831336492073"/>
        </c:manualLayout>
      </c:layout>
      <c:barChart>
        <c:barDir val="bar"/>
        <c:grouping val="clustered"/>
        <c:varyColors val="0"/>
        <c:ser>
          <c:idx val="0"/>
          <c:order val="0"/>
          <c:tx>
            <c:strRef>
              <c:f>Analysis!$D$330:$D$331</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Analysis!$C$332:$C$333</c:f>
              <c:strCache>
                <c:ptCount val="2"/>
                <c:pt idx="0">
                  <c:v>Camp</c:v>
                </c:pt>
                <c:pt idx="1">
                  <c:v>Camp_not registered</c:v>
                </c:pt>
              </c:strCache>
            </c:strRef>
          </c:cat>
          <c:val>
            <c:numRef>
              <c:f>Analysis!$D$332:$D$333</c:f>
              <c:numCache>
                <c:formatCode>General</c:formatCode>
                <c:ptCount val="2"/>
                <c:pt idx="0">
                  <c:v>112</c:v>
                </c:pt>
                <c:pt idx="1">
                  <c:v>22</c:v>
                </c:pt>
              </c:numCache>
            </c:numRef>
          </c:val>
          <c:extLst>
            <c:ext xmlns:c16="http://schemas.microsoft.com/office/drawing/2014/chart" uri="{C3380CC4-5D6E-409C-BE32-E72D297353CC}">
              <c16:uniqueId val="{00000000-7EEC-4FD5-9305-B7503BED37B1}"/>
            </c:ext>
          </c:extLst>
        </c:ser>
        <c:ser>
          <c:idx val="1"/>
          <c:order val="1"/>
          <c:tx>
            <c:strRef>
              <c:f>Analysis!$E$330:$E$331</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Analysis!$C$332:$C$333</c:f>
              <c:strCache>
                <c:ptCount val="2"/>
                <c:pt idx="0">
                  <c:v>Camp</c:v>
                </c:pt>
                <c:pt idx="1">
                  <c:v>Camp_not registered</c:v>
                </c:pt>
              </c:strCache>
            </c:strRef>
          </c:cat>
          <c:val>
            <c:numRef>
              <c:f>Analysis!$E$332:$E$333</c:f>
              <c:numCache>
                <c:formatCode>General</c:formatCode>
                <c:ptCount val="2"/>
                <c:pt idx="0">
                  <c:v>27</c:v>
                </c:pt>
              </c:numCache>
            </c:numRef>
          </c:val>
          <c:extLst>
            <c:ext xmlns:c16="http://schemas.microsoft.com/office/drawing/2014/chart" uri="{C3380CC4-5D6E-409C-BE32-E72D297353CC}">
              <c16:uniqueId val="{00000001-7EEC-4FD5-9305-B7503BED37B1}"/>
            </c:ext>
          </c:extLst>
        </c:ser>
        <c:dLbls>
          <c:showLegendKey val="0"/>
          <c:showVal val="0"/>
          <c:showCatName val="0"/>
          <c:showSerName val="0"/>
          <c:showPercent val="0"/>
          <c:showBubbleSize val="0"/>
        </c:dLbls>
        <c:gapWidth val="100"/>
        <c:axId val="415868824"/>
        <c:axId val="415871568"/>
      </c:barChart>
      <c:catAx>
        <c:axId val="41586882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71568"/>
        <c:crosses val="autoZero"/>
        <c:auto val="1"/>
        <c:lblAlgn val="ctr"/>
        <c:lblOffset val="100"/>
        <c:noMultiLvlLbl val="0"/>
      </c:catAx>
      <c:valAx>
        <c:axId val="415871568"/>
        <c:scaling>
          <c:orientation val="minMax"/>
          <c:max val="140"/>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824"/>
        <c:crosses val="autoZero"/>
        <c:crossBetween val="between"/>
      </c:valAx>
      <c:spPr>
        <a:noFill/>
        <a:ln>
          <a:noFill/>
        </a:ln>
        <a:effectLst/>
      </c:spPr>
    </c:plotArea>
    <c:legend>
      <c:legendPos val="r"/>
      <c:layout>
        <c:manualLayout>
          <c:xMode val="edge"/>
          <c:yMode val="edge"/>
          <c:x val="0.87273581809316403"/>
          <c:y val="0.41433301104795317"/>
          <c:w val="0.11463688355946815"/>
          <c:h val="0.2057830575655620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Number of ppl covered against 2019 HRP targets</a:t>
            </a:r>
            <a:endParaRPr lang="en-US" sz="1400">
              <a:effectLst/>
            </a:endParaRPr>
          </a:p>
          <a:p>
            <a:pPr>
              <a:defRPr sz="1400"/>
            </a:pPr>
            <a:r>
              <a:rPr lang="en-US" sz="1400" b="1" i="0" baseline="0">
                <a:effectLst/>
              </a:rPr>
              <a:t> (in IDP camps)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48359945900832368"/>
          <c:y val="0.19005917159763314"/>
          <c:w val="0.48260142639945619"/>
          <c:h val="0.69646243923651552"/>
        </c:manualLayout>
      </c:layout>
      <c:barChart>
        <c:barDir val="bar"/>
        <c:grouping val="percentStacked"/>
        <c:varyColors val="0"/>
        <c:ser>
          <c:idx val="0"/>
          <c:order val="0"/>
          <c:tx>
            <c:strRef>
              <c:f>HRP!$H$114</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1-FD32-408B-BEA6-80B3D1A1C8B5}"/>
              </c:ext>
            </c:extLst>
          </c:dPt>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3-FD32-408B-BEA6-80B3D1A1C8B5}"/>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HRP!$F$115:$F$117</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HRP!$H$115:$H$117</c:f>
              <c:numCache>
                <c:formatCode>_(* #,##0_);_(* \(#,##0\);_(* "-"??_);_(@_)</c:formatCode>
                <c:ptCount val="3"/>
                <c:pt idx="0">
                  <c:v>57182</c:v>
                </c:pt>
                <c:pt idx="1">
                  <c:v>58516</c:v>
                </c:pt>
                <c:pt idx="2">
                  <c:v>52074.799999999996</c:v>
                </c:pt>
              </c:numCache>
            </c:numRef>
          </c:val>
          <c:extLst>
            <c:ext xmlns:c16="http://schemas.microsoft.com/office/drawing/2014/chart" uri="{C3380CC4-5D6E-409C-BE32-E72D297353CC}">
              <c16:uniqueId val="{00000008-FD32-408B-BEA6-80B3D1A1C8B5}"/>
            </c:ext>
          </c:extLst>
        </c:ser>
        <c:ser>
          <c:idx val="1"/>
          <c:order val="1"/>
          <c:tx>
            <c:strRef>
              <c:f>HRP!$I$114</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A-FD32-408B-BEA6-80B3D1A1C8B5}"/>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C-FD32-408B-BEA6-80B3D1A1C8B5}"/>
              </c:ext>
            </c:extLst>
          </c:dPt>
          <c:dLbls>
            <c:dLbl>
              <c:idx val="2"/>
              <c:layout>
                <c:manualLayout>
                  <c:x val="8.6487303187530677E-3"/>
                  <c:y val="2.97554823457193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D32-408B-BEA6-80B3D1A1C8B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HRP!$F$115:$F$117</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HRP!$I$115:$I$117</c:f>
              <c:numCache>
                <c:formatCode>_(* #,##0_);_(* \(#,##0\);_(* "-"??_);_(@_)</c:formatCode>
                <c:ptCount val="3"/>
                <c:pt idx="0">
                  <c:v>26551</c:v>
                </c:pt>
                <c:pt idx="1">
                  <c:v>25217</c:v>
                </c:pt>
                <c:pt idx="2">
                  <c:v>31658.200000000004</c:v>
                </c:pt>
              </c:numCache>
            </c:numRef>
          </c:val>
          <c:extLst>
            <c:ext xmlns:c16="http://schemas.microsoft.com/office/drawing/2014/chart" uri="{C3380CC4-5D6E-409C-BE32-E72D297353CC}">
              <c16:uniqueId val="{00000013-FD32-408B-BEA6-80B3D1A1C8B5}"/>
            </c:ext>
          </c:extLst>
        </c:ser>
        <c:dLbls>
          <c:showLegendKey val="0"/>
          <c:showVal val="0"/>
          <c:showCatName val="0"/>
          <c:showSerName val="0"/>
          <c:showPercent val="0"/>
          <c:showBubbleSize val="0"/>
        </c:dLbls>
        <c:gapWidth val="150"/>
        <c:overlap val="100"/>
        <c:axId val="415869216"/>
        <c:axId val="415873920"/>
      </c:barChart>
      <c:catAx>
        <c:axId val="41586921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415873920"/>
        <c:crosses val="autoZero"/>
        <c:auto val="1"/>
        <c:lblAlgn val="ctr"/>
        <c:lblOffset val="100"/>
        <c:noMultiLvlLbl val="0"/>
      </c:catAx>
      <c:valAx>
        <c:axId val="415873920"/>
        <c:scaling>
          <c:orientation val="minMax"/>
          <c:max val="1"/>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921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300" b="1" i="0" u="none" strike="noStrike" kern="1200" baseline="0">
                <a:solidFill>
                  <a:schemeClr val="tx2"/>
                </a:solidFill>
                <a:latin typeface="+mn-lt"/>
                <a:ea typeface="+mn-ea"/>
                <a:cs typeface="+mn-cs"/>
              </a:defRPr>
            </a:pPr>
            <a:r>
              <a:rPr lang="en-US" sz="1300" b="1" i="0" u="none" strike="noStrike" baseline="0">
                <a:effectLst/>
              </a:rPr>
              <a:t>Constructed surface water drainage system</a:t>
            </a:r>
            <a:r>
              <a:rPr lang="en-US" sz="1300"/>
              <a:t> in active camps</a:t>
            </a:r>
          </a:p>
        </c:rich>
      </c:tx>
      <c:layout>
        <c:manualLayout>
          <c:xMode val="edge"/>
          <c:yMode val="edge"/>
          <c:x val="0.12940861659110076"/>
          <c:y val="5.5133061690857202E-3"/>
        </c:manualLayout>
      </c:layout>
      <c:overlay val="0"/>
      <c:spPr>
        <a:noFill/>
        <a:ln>
          <a:noFill/>
        </a:ln>
        <a:effectLst/>
      </c:spPr>
      <c:txPr>
        <a:bodyPr rot="0" spcFirstLastPara="1" vertOverflow="ellipsis" vert="horz" wrap="square" anchor="ctr" anchorCtr="1"/>
        <a:lstStyle/>
        <a:p>
          <a:pPr>
            <a:defRPr sz="13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7.8701195010974861E-2"/>
          <c:y val="0.2979842137113754"/>
          <c:w val="0.46967762634824711"/>
          <c:h val="0.60881529903391252"/>
        </c:manualLayout>
      </c:layout>
      <c:pieChart>
        <c:varyColors val="1"/>
        <c:ser>
          <c:idx val="0"/>
          <c:order val="0"/>
          <c:tx>
            <c:strRef>
              <c:f>Analysis!$B$172</c:f>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1-3A63-4C59-8DE1-219A0638CA1F}"/>
              </c:ext>
            </c:extLst>
          </c:dPt>
          <c:dPt>
            <c:idx val="1"/>
            <c:bubble3D val="0"/>
            <c:spPr>
              <a:solidFill>
                <a:schemeClr val="bg1">
                  <a:lumMod val="75000"/>
                </a:schemeClr>
              </a:solidFill>
              <a:ln>
                <a:noFill/>
              </a:ln>
              <a:effectLst/>
            </c:spPr>
            <c:extLst>
              <c:ext xmlns:c16="http://schemas.microsoft.com/office/drawing/2014/chart" uri="{C3380CC4-5D6E-409C-BE32-E72D297353CC}">
                <c16:uniqueId val="{00000003-3A63-4C59-8DE1-219A0638CA1F}"/>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5-3A63-4C59-8DE1-219A0638CA1F}"/>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c:ext xmlns:c16="http://schemas.microsoft.com/office/drawing/2014/chart" uri="{C3380CC4-5D6E-409C-BE32-E72D297353CC}">
                <c16:uniqueId val="{00000007-3A63-4C59-8DE1-219A0638CA1F}"/>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3A63-4C59-8DE1-219A0638CA1F}"/>
                </c:ext>
              </c:extLst>
            </c:dLbl>
            <c:dLbl>
              <c:idx val="1"/>
              <c:layout>
                <c:manualLayout>
                  <c:x val="0.13149772882619457"/>
                  <c:y val="-4.0172032517219312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A63-4C59-8DE1-219A0638CA1F}"/>
                </c:ext>
              </c:extLst>
            </c:dLbl>
            <c:dLbl>
              <c:idx val="3"/>
              <c:layout>
                <c:manualLayout>
                  <c:x val="4.4142253079837497E-2"/>
                  <c:y val="0.1262423822946043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A63-4C59-8DE1-219A0638CA1F}"/>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Analysis!$C$171:$F$171</c:f>
              <c:strCache>
                <c:ptCount val="4"/>
                <c:pt idx="0">
                  <c:v>Functional</c:v>
                </c:pt>
                <c:pt idx="1">
                  <c:v>NA</c:v>
                </c:pt>
                <c:pt idx="2">
                  <c:v>Not_Functional</c:v>
                </c:pt>
                <c:pt idx="3">
                  <c:v>Not_inPlace</c:v>
                </c:pt>
              </c:strCache>
            </c:strRef>
          </c:cat>
          <c:val>
            <c:numRef>
              <c:f>Analysis!$C$172:$F$172</c:f>
              <c:numCache>
                <c:formatCode>General</c:formatCode>
                <c:ptCount val="4"/>
                <c:pt idx="0">
                  <c:v>95</c:v>
                </c:pt>
                <c:pt idx="1">
                  <c:v>8</c:v>
                </c:pt>
                <c:pt idx="2">
                  <c:v>18</c:v>
                </c:pt>
                <c:pt idx="3">
                  <c:v>12</c:v>
                </c:pt>
              </c:numCache>
            </c:numRef>
          </c:val>
          <c:extLst>
            <c:ext xmlns:c16="http://schemas.microsoft.com/office/drawing/2014/chart" uri="{C3380CC4-5D6E-409C-BE32-E72D297353CC}">
              <c16:uniqueId val="{00000008-3A63-4C59-8DE1-219A0638CA1F}"/>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Analysis!$B$173</c15:sqref>
                        </c15:formulaRef>
                      </c:ext>
                    </c:extLst>
                    <c:strCache>
                      <c:ptCount val="1"/>
                      <c:pt idx="0">
                        <c:v>Rakhine</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9-E152-4BF4-82EF-9DB679025329}"/>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c:ext xmlns:c16="http://schemas.microsoft.com/office/drawing/2014/chart" uri="{C3380CC4-5D6E-409C-BE32-E72D297353CC}">
                      <c16:uniqueId val="{0000000B-E152-4BF4-82EF-9DB679025329}"/>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D-E152-4BF4-82EF-9DB679025329}"/>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c:ext xmlns:c16="http://schemas.microsoft.com/office/drawing/2014/chart" uri="{C3380CC4-5D6E-409C-BE32-E72D297353CC}">
                      <c16:uniqueId val="{0000000F-E152-4BF4-82EF-9DB6790253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Analysis!$C$171:$F$171</c15:sqref>
                        </c15:formulaRef>
                      </c:ext>
                    </c:extLst>
                    <c:strCache>
                      <c:ptCount val="4"/>
                      <c:pt idx="0">
                        <c:v>Functional</c:v>
                      </c:pt>
                      <c:pt idx="1">
                        <c:v>NA</c:v>
                      </c:pt>
                      <c:pt idx="2">
                        <c:v>Not_Functional</c:v>
                      </c:pt>
                      <c:pt idx="3">
                        <c:v>Not_inPlace</c:v>
                      </c:pt>
                    </c:strCache>
                  </c:strRef>
                </c:cat>
                <c:val>
                  <c:numRef>
                    <c:extLst>
                      <c:ext uri="{02D57815-91ED-43cb-92C2-25804820EDAC}">
                        <c15:formulaRef>
                          <c15:sqref>Analysis!$C$173:$F$173</c15:sqref>
                        </c15:formulaRef>
                      </c:ext>
                    </c:extLst>
                    <c:numCache>
                      <c:formatCode>General</c:formatCode>
                      <c:ptCount val="4"/>
                      <c:pt idx="0">
                        <c:v>17</c:v>
                      </c:pt>
                      <c:pt idx="1">
                        <c:v>7</c:v>
                      </c:pt>
                      <c:pt idx="2">
                        <c:v>1</c:v>
                      </c:pt>
                      <c:pt idx="3">
                        <c:v>0</c:v>
                      </c:pt>
                    </c:numCache>
                  </c:numRef>
                </c:val>
                <c:extLst>
                  <c:ext xmlns:c16="http://schemas.microsoft.com/office/drawing/2014/chart" uri="{C3380CC4-5D6E-409C-BE32-E72D297353CC}">
                    <c16:uniqueId val="{00000010-E152-4BF4-82EF-9DB679025329}"/>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Analysis!$B$174</c15:sqref>
                        </c15:formulaRef>
                      </c:ext>
                    </c:extLst>
                    <c:strCache>
                      <c:ptCount val="1"/>
                      <c:pt idx="0">
                        <c:v>Shan (North)</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2-E152-4BF4-82EF-9DB679025329}"/>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4-E152-4BF4-82EF-9DB679025329}"/>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6-E152-4BF4-82EF-9DB679025329}"/>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8-E152-4BF4-82EF-9DB6790253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Analysis!$C$171:$F$171</c15:sqref>
                        </c15:formulaRef>
                      </c:ext>
                    </c:extLst>
                    <c:strCache>
                      <c:ptCount val="4"/>
                      <c:pt idx="0">
                        <c:v>Functional</c:v>
                      </c:pt>
                      <c:pt idx="1">
                        <c:v>NA</c:v>
                      </c:pt>
                      <c:pt idx="2">
                        <c:v>Not_Functional</c:v>
                      </c:pt>
                      <c:pt idx="3">
                        <c:v>Not_inPlace</c:v>
                      </c:pt>
                    </c:strCache>
                  </c:strRef>
                </c:cat>
                <c:val>
                  <c:numRef>
                    <c:extLst xmlns:c15="http://schemas.microsoft.com/office/drawing/2012/chart">
                      <c:ext xmlns:c15="http://schemas.microsoft.com/office/drawing/2012/chart" uri="{02D57815-91ED-43cb-92C2-25804820EDAC}">
                        <c15:formulaRef>
                          <c15:sqref>Analysis!$C$174:$F$174</c15:sqref>
                        </c15:formulaRef>
                      </c:ext>
                    </c:extLst>
                    <c:numCache>
                      <c:formatCode>General</c:formatCode>
                      <c:ptCount val="4"/>
                      <c:pt idx="0">
                        <c:v>16</c:v>
                      </c:pt>
                      <c:pt idx="1">
                        <c:v>0</c:v>
                      </c:pt>
                      <c:pt idx="2">
                        <c:v>6</c:v>
                      </c:pt>
                      <c:pt idx="3">
                        <c:v>6</c:v>
                      </c:pt>
                    </c:numCache>
                  </c:numRef>
                </c:val>
                <c:extLst xmlns:c15="http://schemas.microsoft.com/office/drawing/2012/chart">
                  <c:ext xmlns:c16="http://schemas.microsoft.com/office/drawing/2014/chart" uri="{C3380CC4-5D6E-409C-BE32-E72D297353CC}">
                    <c16:uniqueId val="{00000019-E152-4BF4-82EF-9DB679025329}"/>
                  </c:ext>
                </c:extLst>
              </c15:ser>
            </c15:filteredPieSeries>
          </c:ext>
        </c:extLst>
      </c:pieChart>
      <c:spPr>
        <a:noFill/>
        <a:ln>
          <a:noFill/>
        </a:ln>
        <a:effectLst/>
      </c:spPr>
    </c:plotArea>
    <c:legend>
      <c:legendPos val="r"/>
      <c:layout>
        <c:manualLayout>
          <c:xMode val="edge"/>
          <c:yMode val="edge"/>
          <c:x val="0.54696550528002663"/>
          <c:y val="0.30745147331636707"/>
          <c:w val="0.41643601015286197"/>
          <c:h val="0.5211595153866637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300" b="1" i="0" u="none" strike="noStrike" kern="1200" baseline="0">
                <a:solidFill>
                  <a:schemeClr val="tx2"/>
                </a:solidFill>
                <a:latin typeface="+mn-lt"/>
                <a:ea typeface="+mn-ea"/>
                <a:cs typeface="+mn-cs"/>
              </a:defRPr>
            </a:pPr>
            <a:r>
              <a:rPr lang="en-US" sz="1300"/>
              <a:t> Effective solid waste management system in place </a:t>
            </a:r>
          </a:p>
        </c:rich>
      </c:tx>
      <c:layout>
        <c:manualLayout>
          <c:xMode val="edge"/>
          <c:yMode val="edge"/>
          <c:x val="0.14584301962254717"/>
          <c:y val="6.9881201956673656E-3"/>
        </c:manualLayout>
      </c:layout>
      <c:overlay val="0"/>
      <c:spPr>
        <a:noFill/>
        <a:ln>
          <a:noFill/>
        </a:ln>
        <a:effectLst/>
      </c:spPr>
      <c:txPr>
        <a:bodyPr rot="0" spcFirstLastPara="1" vertOverflow="ellipsis" vert="horz" wrap="square" anchor="ctr" anchorCtr="1"/>
        <a:lstStyle/>
        <a:p>
          <a:pPr>
            <a:defRPr sz="13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0470007583394718"/>
          <c:y val="0.28780977617713421"/>
          <c:w val="0.52362345096946195"/>
          <c:h val="0.62798293740270317"/>
        </c:manualLayout>
      </c:layout>
      <c:pieChart>
        <c:varyColors val="1"/>
        <c:ser>
          <c:idx val="0"/>
          <c:order val="0"/>
          <c:tx>
            <c:strRef>
              <c:f>Analysis!$B$188</c:f>
              <c:strCache>
                <c:ptCount val="1"/>
                <c:pt idx="0">
                  <c:v>Kachin</c:v>
                </c:pt>
              </c:strCache>
            </c:strRef>
          </c:tx>
          <c:dPt>
            <c:idx val="0"/>
            <c:bubble3D val="0"/>
            <c:spPr>
              <a:solidFill>
                <a:schemeClr val="bg1">
                  <a:lumMod val="75000"/>
                </a:schemeClr>
              </a:solidFill>
              <a:ln>
                <a:noFill/>
              </a:ln>
              <a:effectLst/>
            </c:spPr>
            <c:extLst>
              <c:ext xmlns:c16="http://schemas.microsoft.com/office/drawing/2014/chart" uri="{C3380CC4-5D6E-409C-BE32-E72D297353CC}">
                <c16:uniqueId val="{00000001-7D04-4B5A-8D19-1128D053B922}"/>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7D04-4B5A-8D19-1128D053B922}"/>
              </c:ext>
            </c:extLst>
          </c:dPt>
          <c:dPt>
            <c:idx val="2"/>
            <c:bubble3D val="0"/>
            <c:spPr>
              <a:solidFill>
                <a:schemeClr val="accent2">
                  <a:lumMod val="75000"/>
                </a:schemeClr>
              </a:solidFill>
              <a:ln>
                <a:noFill/>
              </a:ln>
              <a:effectLst/>
            </c:spPr>
            <c:extLst>
              <c:ext xmlns:c16="http://schemas.microsoft.com/office/drawing/2014/chart" uri="{C3380CC4-5D6E-409C-BE32-E72D297353CC}">
                <c16:uniqueId val="{00000005-7D04-4B5A-8D19-1128D053B922}"/>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7D04-4B5A-8D19-1128D053B922}"/>
                </c:ext>
              </c:extLst>
            </c:dLbl>
            <c:dLbl>
              <c:idx val="1"/>
              <c:layout>
                <c:manualLayout>
                  <c:x val="-9.2241951918743736E-2"/>
                  <c:y val="0.13098964279853681"/>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04-4B5A-8D19-1128D053B922}"/>
                </c:ext>
              </c:extLst>
            </c:dLbl>
            <c:dLbl>
              <c:idx val="2"/>
              <c:layout>
                <c:manualLayout>
                  <c:x val="9.8528749029452148E-2"/>
                  <c:y val="-0.12680604188897165"/>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D04-4B5A-8D19-1128D053B922}"/>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Analysis!$C$187:$F$187</c15:sqref>
                  </c15:fullRef>
                </c:ext>
              </c:extLst>
              <c:f>Analysis!$C$187:$E$187</c:f>
              <c:strCache>
                <c:ptCount val="3"/>
                <c:pt idx="0">
                  <c:v>NA</c:v>
                </c:pt>
                <c:pt idx="1">
                  <c:v>No</c:v>
                </c:pt>
                <c:pt idx="2">
                  <c:v>Yes</c:v>
                </c:pt>
              </c:strCache>
            </c:strRef>
          </c:cat>
          <c:val>
            <c:numRef>
              <c:extLst>
                <c:ext xmlns:c15="http://schemas.microsoft.com/office/drawing/2012/chart" uri="{02D57815-91ED-43cb-92C2-25804820EDAC}">
                  <c15:fullRef>
                    <c15:sqref>Analysis!$C$188:$F$188</c15:sqref>
                  </c15:fullRef>
                </c:ext>
              </c:extLst>
              <c:f>Analysis!$C$188:$E$188</c:f>
              <c:numCache>
                <c:formatCode>General</c:formatCode>
                <c:ptCount val="3"/>
                <c:pt idx="0">
                  <c:v>0</c:v>
                </c:pt>
                <c:pt idx="1">
                  <c:v>16</c:v>
                </c:pt>
                <c:pt idx="2">
                  <c:v>117</c:v>
                </c:pt>
              </c:numCache>
            </c:numRef>
          </c:val>
          <c:extLst>
            <c:ext xmlns:c15="http://schemas.microsoft.com/office/drawing/2012/chart" uri="{02D57815-91ED-43cb-92C2-25804820EDAC}">
              <c15:categoryFilterExceptions>
                <c15:categoryFilterException>
                  <c15:sqref>Analysis!$F$188</c15:sqref>
                  <c15:spPr xmlns:c15="http://schemas.microsoft.com/office/drawing/2012/chart">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15:spPr>
                  <c15:bubble3D val="0"/>
                  <c15:dLbl>
                    <c:idx val="2"/>
                    <c:layout>
                      <c:manualLayout>
                        <c:x val="5.662479690038745E-2"/>
                        <c:y val="0.14276360835330365"/>
                      </c:manualLayout>
                    </c:layout>
                    <c:dLblPos val="bestFit"/>
                    <c:showLegendKey val="0"/>
                    <c:showVal val="0"/>
                    <c:showCatName val="0"/>
                    <c:showSerName val="0"/>
                    <c:showPercent val="1"/>
                    <c:showBubbleSize val="0"/>
                    <c:extLst>
                      <c:ext uri="{CE6537A1-D6FC-4f65-9D91-7224C49458BB}"/>
                      <c:ext xmlns:c16="http://schemas.microsoft.com/office/drawing/2014/chart" uri="{C3380CC4-5D6E-409C-BE32-E72D297353CC}">
                        <c16:uniqueId val="{00000013-ADE6-48B7-A275-5C797207EE48}"/>
                      </c:ext>
                    </c:extLst>
                  </c15:dLbl>
                </c15:categoryFilterException>
              </c15:categoryFilterExceptions>
            </c:ext>
            <c:ext xmlns:c16="http://schemas.microsoft.com/office/drawing/2014/chart" uri="{C3380CC4-5D6E-409C-BE32-E72D297353CC}">
              <c16:uniqueId val="{0000000A-7D04-4B5A-8D19-1128D053B922}"/>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Analysis!$B$189</c15:sqref>
                        </c15:formulaRef>
                      </c:ext>
                    </c:extLst>
                    <c:strCache>
                      <c:ptCount val="1"/>
                      <c:pt idx="0">
                        <c:v>Rakhine</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9-EAC1-48F1-AA19-3F4A7F775559}"/>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c:ext xmlns:c16="http://schemas.microsoft.com/office/drawing/2014/chart" uri="{C3380CC4-5D6E-409C-BE32-E72D297353CC}">
                      <c16:uniqueId val="{0000000B-EAC1-48F1-AA19-3F4A7F775559}"/>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D-EAC1-48F1-AA19-3F4A7F775559}"/>
                    </c:ext>
                  </c:extLst>
                </c:dPt>
                <c:cat>
                  <c:strRef>
                    <c:extLst>
                      <c:ext uri="{02D57815-91ED-43cb-92C2-25804820EDAC}">
                        <c15:fullRef>
                          <c15:sqref>Analysis!$C$187:$F$187</c15:sqref>
                        </c15:fullRef>
                        <c15:formulaRef>
                          <c15:sqref>Analysis!$C$187:$E$187</c15:sqref>
                        </c15:formulaRef>
                      </c:ext>
                    </c:extLst>
                    <c:strCache>
                      <c:ptCount val="3"/>
                      <c:pt idx="0">
                        <c:v>NA</c:v>
                      </c:pt>
                      <c:pt idx="1">
                        <c:v>No</c:v>
                      </c:pt>
                      <c:pt idx="2">
                        <c:v>Yes</c:v>
                      </c:pt>
                    </c:strCache>
                  </c:strRef>
                </c:cat>
                <c:val>
                  <c:numRef>
                    <c:extLst>
                      <c:ext uri="{02D57815-91ED-43cb-92C2-25804820EDAC}">
                        <c15:fullRef>
                          <c15:sqref>Analysis!$C$189:$F$189</c15:sqref>
                        </c15:fullRef>
                        <c15:formulaRef>
                          <c15:sqref>Analysis!$C$189:$E$189</c15:sqref>
                        </c15:formulaRef>
                      </c:ext>
                    </c:extLst>
                    <c:numCache>
                      <c:formatCode>General</c:formatCode>
                      <c:ptCount val="3"/>
                      <c:pt idx="0">
                        <c:v>0</c:v>
                      </c:pt>
                      <c:pt idx="1">
                        <c:v>1</c:v>
                      </c:pt>
                      <c:pt idx="2">
                        <c:v>24</c:v>
                      </c:pt>
                    </c:numCache>
                  </c:numRef>
                </c:val>
                <c:extLst>
                  <c:ext uri="{02D57815-91ED-43cb-92C2-25804820EDAC}">
                    <c15:categoryFilterExceptions>
                      <c15:categoryFilterException>
                        <c15:sqref>Analysis!$F$189</c15:sqref>
                        <c15:spPr xmlns:c15="http://schemas.microsoft.com/office/drawing/2012/chart">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15:spPr>
                        <c15:bubble3D val="0"/>
                      </c15:categoryFilterException>
                    </c15:categoryFilterExceptions>
                  </c:ext>
                  <c:ext xmlns:c16="http://schemas.microsoft.com/office/drawing/2014/chart" uri="{C3380CC4-5D6E-409C-BE32-E72D297353CC}">
                    <c16:uniqueId val="{00000010-EAC1-48F1-AA19-3F4A7F775559}"/>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Analysis!$B$190</c15:sqref>
                        </c15:formulaRef>
                      </c:ext>
                    </c:extLst>
                    <c:strCache>
                      <c:ptCount val="1"/>
                      <c:pt idx="0">
                        <c:v>Shan (North)</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2-EAC1-48F1-AA19-3F4A7F775559}"/>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4-EAC1-48F1-AA19-3F4A7F775559}"/>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6-EAC1-48F1-AA19-3F4A7F775559}"/>
                    </c:ext>
                  </c:extLst>
                </c:dPt>
                <c:cat>
                  <c:strRef>
                    <c:extLst>
                      <c:ext xmlns:c15="http://schemas.microsoft.com/office/drawing/2012/chart" uri="{02D57815-91ED-43cb-92C2-25804820EDAC}">
                        <c15:fullRef>
                          <c15:sqref>Analysis!$C$187:$F$187</c15:sqref>
                        </c15:fullRef>
                        <c15:formulaRef>
                          <c15:sqref>Analysis!$C$187:$E$187</c15:sqref>
                        </c15:formulaRef>
                      </c:ext>
                    </c:extLst>
                    <c:strCache>
                      <c:ptCount val="3"/>
                      <c:pt idx="0">
                        <c:v>NA</c:v>
                      </c:pt>
                      <c:pt idx="1">
                        <c:v>No</c:v>
                      </c:pt>
                      <c:pt idx="2">
                        <c:v>Yes</c:v>
                      </c:pt>
                    </c:strCache>
                  </c:strRef>
                </c:cat>
                <c:val>
                  <c:numRef>
                    <c:extLst>
                      <c:ext xmlns:c15="http://schemas.microsoft.com/office/drawing/2012/chart" uri="{02D57815-91ED-43cb-92C2-25804820EDAC}">
                        <c15:fullRef>
                          <c15:sqref>Analysis!$C$190:$F$190</c15:sqref>
                        </c15:fullRef>
                        <c15:formulaRef>
                          <c15:sqref>Analysis!$C$190:$E$190</c15:sqref>
                        </c15:formulaRef>
                      </c:ext>
                    </c:extLst>
                    <c:numCache>
                      <c:formatCode>General</c:formatCode>
                      <c:ptCount val="3"/>
                      <c:pt idx="0">
                        <c:v>3</c:v>
                      </c:pt>
                      <c:pt idx="1">
                        <c:v>7</c:v>
                      </c:pt>
                      <c:pt idx="2">
                        <c:v>18</c:v>
                      </c:pt>
                    </c:numCache>
                  </c:numRef>
                </c:val>
                <c:extLst xmlns:c15="http://schemas.microsoft.com/office/drawing/2012/chart">
                  <c:ext xmlns:c15="http://schemas.microsoft.com/office/drawing/2012/chart" uri="{02D57815-91ED-43cb-92C2-25804820EDAC}">
                    <c15:categoryFilterExceptions>
                      <c15:categoryFilterException>
                        <c15:sqref>Analysis!$F$190</c15:sqref>
                        <c15:spPr xmlns:c15="http://schemas.microsoft.com/office/drawing/2012/chart">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15:spPr>
                        <c15:bubble3D val="0"/>
                      </c15:categoryFilterException>
                    </c15:categoryFilterExceptions>
                  </c:ext>
                  <c:ext xmlns:c16="http://schemas.microsoft.com/office/drawing/2014/chart" uri="{C3380CC4-5D6E-409C-BE32-E72D297353CC}">
                    <c16:uniqueId val="{00000019-EAC1-48F1-AA19-3F4A7F775559}"/>
                  </c:ext>
                </c:extLst>
              </c15:ser>
            </c15:filteredPieSeries>
          </c:ext>
        </c:extLst>
      </c:pieChart>
      <c:spPr>
        <a:noFill/>
        <a:ln>
          <a:noFill/>
        </a:ln>
        <a:effectLst/>
      </c:spPr>
    </c:plotArea>
    <c:legend>
      <c:legendPos val="r"/>
      <c:layout>
        <c:manualLayout>
          <c:xMode val="edge"/>
          <c:yMode val="edge"/>
          <c:x val="0.68966239359902159"/>
          <c:y val="0.38963576581559156"/>
          <c:w val="0.29131894098645039"/>
          <c:h val="0.3706662645054454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 </a:t>
            </a:r>
          </a:p>
        </c:rich>
      </c:tx>
      <c:layout>
        <c:manualLayout>
          <c:xMode val="edge"/>
          <c:yMode val="edge"/>
          <c:x val="0.30986262720337476"/>
          <c:y val="1.10418843888621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8242730124759199"/>
          <c:y val="0.14220901415981985"/>
          <c:w val="0.76664698162729661"/>
          <c:h val="0.59198083231359311"/>
        </c:manualLayout>
      </c:layout>
      <c:barChart>
        <c:barDir val="col"/>
        <c:grouping val="percentStacked"/>
        <c:varyColors val="0"/>
        <c:ser>
          <c:idx val="0"/>
          <c:order val="0"/>
          <c:tx>
            <c:strRef>
              <c:f>Analysis!$B$143</c:f>
              <c:strCache>
                <c:ptCount val="1"/>
                <c:pt idx="0">
                  <c:v> Coverage </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Analysis!$C$142:$D$142</c:f>
              <c:strCache>
                <c:ptCount val="2"/>
                <c:pt idx="0">
                  <c:v> # in GCA (20:1) </c:v>
                </c:pt>
                <c:pt idx="1">
                  <c:v> # in NGCA (20:1) </c:v>
                </c:pt>
              </c:strCache>
            </c:strRef>
          </c:cat>
          <c:val>
            <c:numRef>
              <c:f>Analysis!$C$143:$D$143</c:f>
              <c:numCache>
                <c:formatCode>_(* #,##0_);_(* \(#,##0\);_(* "-"??_);_(@_)</c:formatCode>
                <c:ptCount val="2"/>
                <c:pt idx="0">
                  <c:v>1985</c:v>
                </c:pt>
                <c:pt idx="1">
                  <c:v>2379</c:v>
                </c:pt>
              </c:numCache>
            </c:numRef>
          </c:val>
          <c:extLst>
            <c:ext xmlns:c16="http://schemas.microsoft.com/office/drawing/2014/chart" uri="{C3380CC4-5D6E-409C-BE32-E72D297353CC}">
              <c16:uniqueId val="{00000000-EB8D-4AB9-A97C-27DB4BB591A4}"/>
            </c:ext>
          </c:extLst>
        </c:ser>
        <c:ser>
          <c:idx val="1"/>
          <c:order val="1"/>
          <c:tx>
            <c:strRef>
              <c:f>Analysis!$B$144</c:f>
              <c:strCache>
                <c:ptCount val="1"/>
                <c:pt idx="0">
                  <c:v> GAP </c:v>
                </c:pt>
              </c:strCache>
            </c:strRef>
          </c:tx>
          <c:spPr>
            <a:solidFill>
              <a:schemeClr val="accent2">
                <a:lumMod val="40000"/>
                <a:lumOff val="60000"/>
              </a:schemeClr>
            </a:solidFill>
            <a:ln>
              <a:noFill/>
            </a:ln>
            <a:effectLst/>
          </c:spPr>
          <c:invertIfNegative val="0"/>
          <c:dLbls>
            <c:dLbl>
              <c:idx val="1"/>
              <c:layout>
                <c:manualLayout>
                  <c:x val="4.6470781953235635E-3"/>
                  <c:y val="-3.404016560853273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8D-4AB9-A97C-27DB4BB591A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Analysis!$C$142:$D$142</c:f>
              <c:strCache>
                <c:ptCount val="2"/>
                <c:pt idx="0">
                  <c:v> # in GCA (20:1) </c:v>
                </c:pt>
                <c:pt idx="1">
                  <c:v> # in NGCA (20:1) </c:v>
                </c:pt>
              </c:strCache>
            </c:strRef>
          </c:cat>
          <c:val>
            <c:numRef>
              <c:f>Analysis!$C$144:$D$144</c:f>
              <c:numCache>
                <c:formatCode>_(* #,##0_);_(* \(#,##0\);_(* "-"??_);_(@_)</c:formatCode>
                <c:ptCount val="2"/>
                <c:pt idx="0">
                  <c:v>393</c:v>
                </c:pt>
                <c:pt idx="1">
                  <c:v>218</c:v>
                </c:pt>
              </c:numCache>
            </c:numRef>
          </c:val>
          <c:extLst>
            <c:ext xmlns:c16="http://schemas.microsoft.com/office/drawing/2014/chart" uri="{C3380CC4-5D6E-409C-BE32-E72D297353CC}">
              <c16:uniqueId val="{00000002-EB8D-4AB9-A97C-27DB4BB591A4}"/>
            </c:ext>
          </c:extLst>
        </c:ser>
        <c:dLbls>
          <c:dLblPos val="ctr"/>
          <c:showLegendKey val="0"/>
          <c:showVal val="1"/>
          <c:showCatName val="0"/>
          <c:showSerName val="0"/>
          <c:showPercent val="0"/>
          <c:showBubbleSize val="0"/>
        </c:dLbls>
        <c:gapWidth val="150"/>
        <c:overlap val="100"/>
        <c:axId val="415874312"/>
        <c:axId val="415864512"/>
      </c:barChart>
      <c:catAx>
        <c:axId val="4158743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4512"/>
        <c:crosses val="autoZero"/>
        <c:auto val="1"/>
        <c:lblAlgn val="ctr"/>
        <c:lblOffset val="100"/>
        <c:noMultiLvlLbl val="0"/>
      </c:catAx>
      <c:valAx>
        <c:axId val="41586451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74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Latrines handed over to families</a:t>
            </a:r>
          </a:p>
        </c:rich>
      </c:tx>
      <c:layout>
        <c:manualLayout>
          <c:xMode val="edge"/>
          <c:yMode val="edge"/>
          <c:x val="0.19646301524412324"/>
          <c:y val="0"/>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3652480939882514"/>
          <c:y val="0.18617630728851198"/>
          <c:w val="0.89814814814814814"/>
          <c:h val="0.5515058213877112"/>
        </c:manualLayout>
      </c:layout>
      <c:barChart>
        <c:barDir val="col"/>
        <c:grouping val="percentStacked"/>
        <c:varyColors val="0"/>
        <c:ser>
          <c:idx val="2"/>
          <c:order val="2"/>
          <c:tx>
            <c:strRef>
              <c:f>Analysis!$B$145</c:f>
              <c:strCache>
                <c:ptCount val="1"/>
                <c:pt idx="0">
                  <c:v> Latrines handed over </c:v>
                </c:pt>
              </c:strCache>
            </c:strRef>
          </c:tx>
          <c:spPr>
            <a:solidFill>
              <a:schemeClr val="accent2">
                <a:lumMod val="75000"/>
              </a:schemeClr>
            </a:solidFill>
            <a:ln>
              <a:noFill/>
            </a:ln>
            <a:effectLst/>
          </c:spPr>
          <c:invertIfNegative val="0"/>
          <c:dLbls>
            <c:dLbl>
              <c:idx val="1"/>
              <c:layout>
                <c:manualLayout>
                  <c:x val="1.686114515056206E-2"/>
                  <c:y val="-6.45846144332891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45-466F-8A61-2179A0D75A4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Analysis!$C$142:$D$142</c:f>
              <c:strCache>
                <c:ptCount val="2"/>
                <c:pt idx="0">
                  <c:v> # in GCA (20:1) </c:v>
                </c:pt>
                <c:pt idx="1">
                  <c:v> # in NGCA (20:1) </c:v>
                </c:pt>
              </c:strCache>
            </c:strRef>
          </c:cat>
          <c:val>
            <c:numRef>
              <c:f>Analysis!$C$145:$D$145</c:f>
              <c:numCache>
                <c:formatCode>_(* #,##0_);_(* \(#,##0\);_(* "-"??_);_(@_)</c:formatCode>
                <c:ptCount val="2"/>
                <c:pt idx="0">
                  <c:v>755</c:v>
                </c:pt>
                <c:pt idx="1">
                  <c:v>800</c:v>
                </c:pt>
              </c:numCache>
            </c:numRef>
          </c:val>
          <c:extLst>
            <c:ext xmlns:c16="http://schemas.microsoft.com/office/drawing/2014/chart" uri="{C3380CC4-5D6E-409C-BE32-E72D297353CC}">
              <c16:uniqueId val="{00000000-89DD-4829-838C-9132D2EEC9DD}"/>
            </c:ext>
          </c:extLst>
        </c:ser>
        <c:ser>
          <c:idx val="3"/>
          <c:order val="3"/>
          <c:tx>
            <c:strRef>
              <c:f>Analysis!$B$146</c:f>
              <c:strCache>
                <c:ptCount val="1"/>
                <c:pt idx="0">
                  <c:v> Latrines not handed over </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Analysis!$C$142:$D$142</c:f>
              <c:strCache>
                <c:ptCount val="2"/>
                <c:pt idx="0">
                  <c:v> # in GCA (20:1) </c:v>
                </c:pt>
                <c:pt idx="1">
                  <c:v> # in NGCA (20:1) </c:v>
                </c:pt>
              </c:strCache>
            </c:strRef>
          </c:cat>
          <c:val>
            <c:numRef>
              <c:f>Analysis!$C$146:$D$146</c:f>
              <c:numCache>
                <c:formatCode>_(* #,##0_);_(* \(#,##0\);_(* "-"??_);_(@_)</c:formatCode>
                <c:ptCount val="2"/>
                <c:pt idx="0">
                  <c:v>1623</c:v>
                </c:pt>
                <c:pt idx="1">
                  <c:v>1579</c:v>
                </c:pt>
              </c:numCache>
            </c:numRef>
          </c:val>
          <c:extLst>
            <c:ext xmlns:c16="http://schemas.microsoft.com/office/drawing/2014/chart" uri="{C3380CC4-5D6E-409C-BE32-E72D297353CC}">
              <c16:uniqueId val="{00000001-89DD-4829-838C-9132D2EEC9DD}"/>
            </c:ext>
          </c:extLst>
        </c:ser>
        <c:dLbls>
          <c:showLegendKey val="0"/>
          <c:showVal val="0"/>
          <c:showCatName val="0"/>
          <c:showSerName val="0"/>
          <c:showPercent val="0"/>
          <c:showBubbleSize val="0"/>
        </c:dLbls>
        <c:gapWidth val="150"/>
        <c:overlap val="100"/>
        <c:axId val="415875096"/>
        <c:axId val="415875488"/>
        <c:extLst>
          <c:ext xmlns:c15="http://schemas.microsoft.com/office/drawing/2012/chart" uri="{02D57815-91ED-43cb-92C2-25804820EDAC}">
            <c15:filteredBarSeries>
              <c15:ser>
                <c:idx val="0"/>
                <c:order val="0"/>
                <c:tx>
                  <c:strRef>
                    <c:extLst>
                      <c:ext uri="{02D57815-91ED-43cb-92C2-25804820EDAC}">
                        <c15:formulaRef>
                          <c15:sqref>Analysis!$B$143</c15:sqref>
                        </c15:formulaRef>
                      </c:ext>
                    </c:extLst>
                    <c:strCache>
                      <c:ptCount val="1"/>
                      <c:pt idx="0">
                        <c:v> Coverage </c:v>
                      </c:pt>
                    </c:strCache>
                  </c:strRef>
                </c:tx>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invertIfNegative val="0"/>
                <c:cat>
                  <c:strRef>
                    <c:extLst>
                      <c:ext uri="{02D57815-91ED-43cb-92C2-25804820EDAC}">
                        <c15:formulaRef>
                          <c15:sqref>Analysis!$C$142:$D$142</c15:sqref>
                        </c15:formulaRef>
                      </c:ext>
                    </c:extLst>
                    <c:strCache>
                      <c:ptCount val="2"/>
                      <c:pt idx="0">
                        <c:v> # in GCA (20:1) </c:v>
                      </c:pt>
                      <c:pt idx="1">
                        <c:v> # in NGCA (20:1) </c:v>
                      </c:pt>
                    </c:strCache>
                  </c:strRef>
                </c:cat>
                <c:val>
                  <c:numRef>
                    <c:extLst>
                      <c:ext uri="{02D57815-91ED-43cb-92C2-25804820EDAC}">
                        <c15:formulaRef>
                          <c15:sqref>Analysis!$C$143:$D$143</c15:sqref>
                        </c15:formulaRef>
                      </c:ext>
                    </c:extLst>
                    <c:numCache>
                      <c:formatCode>_(* #,##0_);_(* \(#,##0\);_(* "-"??_);_(@_)</c:formatCode>
                      <c:ptCount val="2"/>
                      <c:pt idx="0">
                        <c:v>1985</c:v>
                      </c:pt>
                      <c:pt idx="1">
                        <c:v>2379</c:v>
                      </c:pt>
                    </c:numCache>
                  </c:numRef>
                </c:val>
                <c:extLst>
                  <c:ext xmlns:c16="http://schemas.microsoft.com/office/drawing/2014/chart" uri="{C3380CC4-5D6E-409C-BE32-E72D297353CC}">
                    <c16:uniqueId val="{00000000-C16D-4B5C-864C-7CC8470434C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Analysis!$B$144</c15:sqref>
                        </c15:formulaRef>
                      </c:ext>
                    </c:extLst>
                    <c:strCache>
                      <c:ptCount val="1"/>
                      <c:pt idx="0">
                        <c:v> GAP </c:v>
                      </c:pt>
                    </c:strCache>
                  </c:strRef>
                </c:tx>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invertIfNegative val="0"/>
                <c:cat>
                  <c:strRef>
                    <c:extLst xmlns:c15="http://schemas.microsoft.com/office/drawing/2012/chart">
                      <c:ext xmlns:c15="http://schemas.microsoft.com/office/drawing/2012/chart" uri="{02D57815-91ED-43cb-92C2-25804820EDAC}">
                        <c15:formulaRef>
                          <c15:sqref>Analysis!$C$142:$D$142</c15:sqref>
                        </c15:formulaRef>
                      </c:ext>
                    </c:extLst>
                    <c:strCache>
                      <c:ptCount val="2"/>
                      <c:pt idx="0">
                        <c:v> # in GCA (20:1) </c:v>
                      </c:pt>
                      <c:pt idx="1">
                        <c:v> # in NGCA (20:1) </c:v>
                      </c:pt>
                    </c:strCache>
                  </c:strRef>
                </c:cat>
                <c:val>
                  <c:numRef>
                    <c:extLst xmlns:c15="http://schemas.microsoft.com/office/drawing/2012/chart">
                      <c:ext xmlns:c15="http://schemas.microsoft.com/office/drawing/2012/chart" uri="{02D57815-91ED-43cb-92C2-25804820EDAC}">
                        <c15:formulaRef>
                          <c15:sqref>Analysis!$C$144:$D$144</c15:sqref>
                        </c15:formulaRef>
                      </c:ext>
                    </c:extLst>
                    <c:numCache>
                      <c:formatCode>_(* #,##0_);_(* \(#,##0\);_(* "-"??_);_(@_)</c:formatCode>
                      <c:ptCount val="2"/>
                      <c:pt idx="0">
                        <c:v>393</c:v>
                      </c:pt>
                      <c:pt idx="1">
                        <c:v>218</c:v>
                      </c:pt>
                    </c:numCache>
                  </c:numRef>
                </c:val>
                <c:extLst xmlns:c15="http://schemas.microsoft.com/office/drawing/2012/chart">
                  <c:ext xmlns:c16="http://schemas.microsoft.com/office/drawing/2014/chart" uri="{C3380CC4-5D6E-409C-BE32-E72D297353CC}">
                    <c16:uniqueId val="{00000002-C16D-4B5C-864C-7CC8470434C5}"/>
                  </c:ext>
                </c:extLst>
              </c15:ser>
            </c15:filteredBarSeries>
          </c:ext>
        </c:extLst>
      </c:barChart>
      <c:catAx>
        <c:axId val="41587509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75488"/>
        <c:crosses val="autoZero"/>
        <c:auto val="1"/>
        <c:lblAlgn val="ctr"/>
        <c:lblOffset val="100"/>
        <c:noMultiLvlLbl val="0"/>
      </c:catAx>
      <c:valAx>
        <c:axId val="41587548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75096"/>
        <c:crosses val="autoZero"/>
        <c:crossBetween val="between"/>
      </c:valAx>
      <c:spPr>
        <a:noFill/>
        <a:ln>
          <a:noFill/>
        </a:ln>
        <a:effectLst/>
      </c:spPr>
    </c:plotArea>
    <c:legend>
      <c:legendPos val="b"/>
      <c:layout>
        <c:manualLayout>
          <c:xMode val="edge"/>
          <c:yMode val="edge"/>
          <c:x val="0.2028525207412"/>
          <c:y val="0.85999983175180028"/>
          <c:w val="0.59484106391927383"/>
          <c:h val="0.1400001682481997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repaired and desludged</a:t>
            </a:r>
          </a:p>
        </c:rich>
      </c:tx>
      <c:layout>
        <c:manualLayout>
          <c:xMode val="edge"/>
          <c:yMode val="edge"/>
          <c:x val="0.19381153420296113"/>
          <c:y val="9.257946434396697E-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2936185768361558"/>
          <c:y val="0.13055909645744546"/>
          <c:w val="0.8269872515935508"/>
          <c:h val="0.59185864364540941"/>
        </c:manualLayout>
      </c:layout>
      <c:barChart>
        <c:barDir val="col"/>
        <c:grouping val="clustered"/>
        <c:varyColors val="0"/>
        <c:ser>
          <c:idx val="0"/>
          <c:order val="0"/>
          <c:tx>
            <c:strRef>
              <c:f>Analysis!$B$147</c:f>
              <c:strCache>
                <c:ptCount val="1"/>
                <c:pt idx="0">
                  <c:v> # Operation &amp; maintenance of latrines </c:v>
                </c:pt>
              </c:strCache>
            </c:strRef>
          </c:tx>
          <c:spPr>
            <a:gradFill rotWithShape="1">
              <a:gsLst>
                <a:gs pos="0">
                  <a:schemeClr val="accent2">
                    <a:shade val="76000"/>
                    <a:satMod val="103000"/>
                    <a:lumMod val="102000"/>
                    <a:tint val="94000"/>
                  </a:schemeClr>
                </a:gs>
                <a:gs pos="50000">
                  <a:schemeClr val="accent2">
                    <a:shade val="76000"/>
                    <a:satMod val="110000"/>
                    <a:lumMod val="100000"/>
                    <a:shade val="100000"/>
                  </a:schemeClr>
                </a:gs>
                <a:gs pos="100000">
                  <a:schemeClr val="accent2">
                    <a:shade val="76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Analysis!$C$142:$D$142</c:f>
              <c:strCache>
                <c:ptCount val="2"/>
                <c:pt idx="0">
                  <c:v> # in GCA (20:1) </c:v>
                </c:pt>
                <c:pt idx="1">
                  <c:v> # in NGCA (20:1) </c:v>
                </c:pt>
              </c:strCache>
            </c:strRef>
          </c:cat>
          <c:val>
            <c:numRef>
              <c:f>Analysis!$C$147:$D$147</c:f>
              <c:numCache>
                <c:formatCode>_(* #,##0_);_(* \(#,##0\);_(* "-"??_);_(@_)</c:formatCode>
                <c:ptCount val="2"/>
                <c:pt idx="0">
                  <c:v>108</c:v>
                </c:pt>
                <c:pt idx="1">
                  <c:v>52</c:v>
                </c:pt>
              </c:numCache>
            </c:numRef>
          </c:val>
          <c:extLst>
            <c:ext xmlns:c16="http://schemas.microsoft.com/office/drawing/2014/chart" uri="{C3380CC4-5D6E-409C-BE32-E72D297353CC}">
              <c16:uniqueId val="{00000000-BE5C-460C-9416-9E341743CD67}"/>
            </c:ext>
          </c:extLst>
        </c:ser>
        <c:ser>
          <c:idx val="1"/>
          <c:order val="1"/>
          <c:tx>
            <c:strRef>
              <c:f>Analysis!$B$148</c:f>
              <c:strCache>
                <c:ptCount val="1"/>
                <c:pt idx="0">
                  <c:v> # latrines desludged </c:v>
                </c:pt>
              </c:strCache>
            </c:strRef>
          </c:tx>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Analysis!$C$142:$D$142</c:f>
              <c:strCache>
                <c:ptCount val="2"/>
                <c:pt idx="0">
                  <c:v> # in GCA (20:1) </c:v>
                </c:pt>
                <c:pt idx="1">
                  <c:v> # in NGCA (20:1) </c:v>
                </c:pt>
              </c:strCache>
            </c:strRef>
          </c:cat>
          <c:val>
            <c:numRef>
              <c:f>Analysis!$C$148:$D$148</c:f>
              <c:numCache>
                <c:formatCode>_(* #,##0_);_(* \(#,##0\);_(* "-"??_);_(@_)</c:formatCode>
                <c:ptCount val="2"/>
                <c:pt idx="0">
                  <c:v>594</c:v>
                </c:pt>
                <c:pt idx="1">
                  <c:v>7</c:v>
                </c:pt>
              </c:numCache>
            </c:numRef>
          </c:val>
          <c:extLst>
            <c:ext xmlns:c16="http://schemas.microsoft.com/office/drawing/2014/chart" uri="{C3380CC4-5D6E-409C-BE32-E72D297353CC}">
              <c16:uniqueId val="{00000001-BE5C-460C-9416-9E341743CD67}"/>
            </c:ext>
          </c:extLst>
        </c:ser>
        <c:dLbls>
          <c:dLblPos val="inEnd"/>
          <c:showLegendKey val="0"/>
          <c:showVal val="1"/>
          <c:showCatName val="0"/>
          <c:showSerName val="0"/>
          <c:showPercent val="0"/>
          <c:showBubbleSize val="0"/>
        </c:dLbls>
        <c:gapWidth val="100"/>
        <c:overlap val="-24"/>
        <c:axId val="415864904"/>
        <c:axId val="417008008"/>
      </c:barChart>
      <c:catAx>
        <c:axId val="41586490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08008"/>
        <c:crosses val="autoZero"/>
        <c:auto val="1"/>
        <c:lblAlgn val="ctr"/>
        <c:lblOffset val="100"/>
        <c:noMultiLvlLbl val="0"/>
      </c:catAx>
      <c:valAx>
        <c:axId val="417008008"/>
        <c:scaling>
          <c:orientation val="minMax"/>
          <c:max val="600"/>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5864904"/>
        <c:crosses val="autoZero"/>
        <c:crossBetween val="between"/>
      </c:valAx>
      <c:spPr>
        <a:noFill/>
        <a:ln>
          <a:noFill/>
        </a:ln>
        <a:effectLst/>
      </c:spPr>
    </c:plotArea>
    <c:legend>
      <c:legendPos val="b"/>
      <c:layout>
        <c:manualLayout>
          <c:xMode val="edge"/>
          <c:yMode val="edge"/>
          <c:x val="0"/>
          <c:y val="0.84187877023347979"/>
          <c:w val="0.9750901434403646"/>
          <c:h val="0.1581212297665200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baseline="0">
                <a:solidFill>
                  <a:schemeClr val="tx2"/>
                </a:solidFill>
                <a:latin typeface="+mn-lt"/>
                <a:ea typeface="+mn-ea"/>
                <a:cs typeface="+mn-cs"/>
              </a:defRPr>
            </a:pPr>
            <a:r>
              <a:rPr lang="en-US" sz="1300"/>
              <a:t>Latrine</a:t>
            </a:r>
            <a:r>
              <a:rPr lang="en-US" sz="1300" baseline="0"/>
              <a:t> Functionality</a:t>
            </a:r>
            <a:endParaRPr lang="en-US" sz="1300"/>
          </a:p>
        </c:rich>
      </c:tx>
      <c:overlay val="0"/>
      <c:spPr>
        <a:noFill/>
        <a:ln>
          <a:noFill/>
        </a:ln>
        <a:effectLst/>
      </c:spPr>
    </c:title>
    <c:autoTitleDeleted val="0"/>
    <c:plotArea>
      <c:layout>
        <c:manualLayout>
          <c:layoutTarget val="inner"/>
          <c:xMode val="edge"/>
          <c:yMode val="edge"/>
          <c:x val="4.7934294137981587E-2"/>
          <c:y val="0.24707866477627027"/>
          <c:w val="0.49411010944340777"/>
          <c:h val="0.55999547092530966"/>
        </c:manualLayout>
      </c:layout>
      <c:pieChart>
        <c:varyColors val="1"/>
        <c:ser>
          <c:idx val="1"/>
          <c:order val="0"/>
          <c:dPt>
            <c:idx val="0"/>
            <c:bubble3D val="0"/>
            <c:spPr>
              <a:solidFill>
                <a:schemeClr val="accent2">
                  <a:lumMod val="75000"/>
                </a:schemeClr>
              </a:solidFill>
            </c:spPr>
            <c:extLst>
              <c:ext xmlns:c16="http://schemas.microsoft.com/office/drawing/2014/chart" uri="{C3380CC4-5D6E-409C-BE32-E72D297353CC}">
                <c16:uniqueId val="{0000000F-D4AE-42C3-98C8-A49BC4C43D3C}"/>
              </c:ext>
            </c:extLst>
          </c:dPt>
          <c:dPt>
            <c:idx val="1"/>
            <c:bubble3D val="0"/>
            <c:spPr>
              <a:solidFill>
                <a:schemeClr val="accent2">
                  <a:lumMod val="40000"/>
                  <a:lumOff val="60000"/>
                </a:schemeClr>
              </a:solidFill>
            </c:spPr>
            <c:extLst>
              <c:ext xmlns:c16="http://schemas.microsoft.com/office/drawing/2014/chart" uri="{C3380CC4-5D6E-409C-BE32-E72D297353CC}">
                <c16:uniqueId val="{00000010-D4AE-42C3-98C8-A49BC4C43D3C}"/>
              </c:ext>
            </c:extLst>
          </c:dPt>
          <c:dPt>
            <c:idx val="2"/>
            <c:bubble3D val="0"/>
            <c:extLst>
              <c:ext xmlns:c16="http://schemas.microsoft.com/office/drawing/2014/chart" uri="{C3380CC4-5D6E-409C-BE32-E72D297353CC}">
                <c16:uniqueId val="{00000011-D4AE-42C3-98C8-A49BC4C43D3C}"/>
              </c:ext>
            </c:extLst>
          </c:dPt>
          <c:dLbls>
            <c:dLbl>
              <c:idx val="0"/>
              <c:numFmt formatCode="0%" sourceLinked="0"/>
              <c:spPr>
                <a:noFill/>
                <a:ln>
                  <a:noFill/>
                </a:ln>
                <a:effectLst/>
              </c:spPr>
              <c:txPr>
                <a:bodyPr wrap="square" lIns="38100" tIns="19050" rIns="38100" bIns="19050" anchor="ctr">
                  <a:spAutoFit/>
                </a:bodyPr>
                <a:lstStyle/>
                <a:p>
                  <a:pPr>
                    <a:defRPr sz="1200">
                      <a:solidFill>
                        <a:schemeClr val="bg1"/>
                      </a:solidFill>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F-D4AE-42C3-98C8-A49BC4C43D3C}"/>
                </c:ext>
              </c:extLst>
            </c:dLbl>
            <c:numFmt formatCode="0%" sourceLinked="0"/>
            <c:spPr>
              <a:noFill/>
              <a:ln>
                <a:noFill/>
              </a:ln>
              <a:effectLst/>
            </c:spPr>
            <c:txPr>
              <a:bodyPr wrap="square" lIns="38100" tIns="19050" rIns="38100" bIns="19050" anchor="ctr">
                <a:spAutoFit/>
              </a:bodyPr>
              <a:lstStyle/>
              <a:p>
                <a:pPr>
                  <a:defRPr sz="1200"/>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Analysis!$F$143:$F$145</c:f>
              <c:strCache>
                <c:ptCount val="3"/>
                <c:pt idx="0">
                  <c:v>Functioning</c:v>
                </c:pt>
                <c:pt idx="1">
                  <c:v>Operation &amp; maintenance</c:v>
                </c:pt>
                <c:pt idx="2">
                  <c:v>Desludging</c:v>
                </c:pt>
              </c:strCache>
            </c:strRef>
          </c:cat>
          <c:val>
            <c:numRef>
              <c:f>Analysis!$G$143:$G$145</c:f>
              <c:numCache>
                <c:formatCode>_(* #,##0_);_(* \(#,##0\);_(* "-"??_);_(@_)</c:formatCode>
                <c:ptCount val="3"/>
                <c:pt idx="0" formatCode="General">
                  <c:v>4364</c:v>
                </c:pt>
                <c:pt idx="1">
                  <c:v>160</c:v>
                </c:pt>
                <c:pt idx="2" formatCode="General">
                  <c:v>601</c:v>
                </c:pt>
              </c:numCache>
            </c:numRef>
          </c:val>
          <c:extLst>
            <c:ext xmlns:c16="http://schemas.microsoft.com/office/drawing/2014/chart" uri="{C3380CC4-5D6E-409C-BE32-E72D297353CC}">
              <c16:uniqueId val="{0000000E-D4AE-42C3-98C8-A49BC4C43D3C}"/>
            </c:ext>
          </c:extLst>
        </c:ser>
        <c:ser>
          <c:idx val="0"/>
          <c:order val="1"/>
          <c:dPt>
            <c:idx val="0"/>
            <c:bubble3D val="0"/>
            <c:spPr>
              <a:solidFill>
                <a:schemeClr val="accent2">
                  <a:lumMod val="75000"/>
                </a:schemeClr>
              </a:solidFill>
              <a:ln>
                <a:noFill/>
              </a:ln>
              <a:effectLst/>
            </c:spPr>
            <c:extLst>
              <c:ext xmlns:c16="http://schemas.microsoft.com/office/drawing/2014/chart" uri="{C3380CC4-5D6E-409C-BE32-E72D297353CC}">
                <c16:uniqueId val="{00000008-D4AE-42C3-98C8-A49BC4C43D3C}"/>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A-D4AE-42C3-98C8-A49BC4C43D3C}"/>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C-D4AE-42C3-98C8-A49BC4C43D3C}"/>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8-D4AE-42C3-98C8-A49BC4C43D3C}"/>
                </c:ext>
              </c:extLst>
            </c:dLbl>
            <c:dLbl>
              <c:idx val="2"/>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C-D4AE-42C3-98C8-A49BC4C43D3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Analysis!$F$143:$F$145</c:f>
              <c:strCache>
                <c:ptCount val="3"/>
                <c:pt idx="0">
                  <c:v>Functioning</c:v>
                </c:pt>
                <c:pt idx="1">
                  <c:v>Operation &amp; maintenance</c:v>
                </c:pt>
                <c:pt idx="2">
                  <c:v>Desludging</c:v>
                </c:pt>
              </c:strCache>
            </c:strRef>
          </c:cat>
          <c:val>
            <c:numRef>
              <c:f>Analysis!$G$143:$G$145</c:f>
              <c:numCache>
                <c:formatCode>_(* #,##0_);_(* \(#,##0\);_(* "-"??_);_(@_)</c:formatCode>
                <c:ptCount val="3"/>
                <c:pt idx="0" formatCode="General">
                  <c:v>4364</c:v>
                </c:pt>
                <c:pt idx="1">
                  <c:v>160</c:v>
                </c:pt>
                <c:pt idx="2" formatCode="General">
                  <c:v>601</c:v>
                </c:pt>
              </c:numCache>
            </c:numRef>
          </c:val>
          <c:extLst>
            <c:ext xmlns:c16="http://schemas.microsoft.com/office/drawing/2014/chart" uri="{C3380CC4-5D6E-409C-BE32-E72D297353CC}">
              <c16:uniqueId val="{0000000D-D4AE-42C3-98C8-A49BC4C43D3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54552407773070077"/>
          <c:y val="0.24732645110896692"/>
          <c:w val="0.42150896885740502"/>
          <c:h val="0.642678980498723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ln>
      <a:solidFill>
        <a:schemeClr val="accent1">
          <a:lumMod val="20000"/>
          <a:lumOff val="80000"/>
        </a:schemeClr>
      </a:solidFill>
    </a:ln>
  </c:spPr>
  <c:txPr>
    <a:bodyPr/>
    <a:lstStyle/>
    <a:p>
      <a:pPr>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Kachin/Shan Funding Splits INGO, LNGO</a:t>
            </a:r>
            <a:endParaRPr lang="en-US"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bg1">
              <a:lumMod val="50000"/>
            </a:schemeClr>
          </a:solidFill>
          <a:ln>
            <a:noFill/>
          </a:ln>
          <a:effectLst/>
        </c:spPr>
        <c:dLbl>
          <c:idx val="0"/>
          <c:layout>
            <c:manualLayout>
              <c:x val="1.7308993299750004E-2"/>
              <c:y val="-8.3856458529964154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v>INGO</c:v>
          </c:tx>
          <c:spPr>
            <a:solidFill>
              <a:schemeClr val="bg1">
                <a:lumMod val="5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6.5856274372621997E-3</c:v>
              </c:pt>
            </c:numLit>
          </c:val>
          <c:extLst>
            <c:ext xmlns:c16="http://schemas.microsoft.com/office/drawing/2014/chart" uri="{C3380CC4-5D6E-409C-BE32-E72D297353CC}">
              <c16:uniqueId val="{00000000-5716-476A-BC3E-79CA6054F696}"/>
            </c:ext>
          </c:extLst>
        </c:ser>
        <c:ser>
          <c:idx val="1"/>
          <c:order val="1"/>
          <c:tx>
            <c:v>LNGO</c:v>
          </c:tx>
          <c:spPr>
            <a:solidFill>
              <a:schemeClr val="bg1">
                <a:lumMod val="6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0.23623427128609517</c:v>
              </c:pt>
            </c:numLit>
          </c:val>
          <c:extLst>
            <c:ext xmlns:c16="http://schemas.microsoft.com/office/drawing/2014/chart" uri="{C3380CC4-5D6E-409C-BE32-E72D297353CC}">
              <c16:uniqueId val="{00000001-5716-476A-BC3E-79CA6054F696}"/>
            </c:ext>
          </c:extLst>
        </c:ser>
        <c:ser>
          <c:idx val="2"/>
          <c:order val="2"/>
          <c:tx>
            <c:v>INGO/LNGO</c:v>
          </c:tx>
          <c:spPr>
            <a:solidFill>
              <a:schemeClr val="bg1">
                <a:lumMod val="8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0.7571801012766427</c:v>
              </c:pt>
            </c:numLit>
          </c:val>
          <c:extLst>
            <c:ext xmlns:c16="http://schemas.microsoft.com/office/drawing/2014/chart" uri="{C3380CC4-5D6E-409C-BE32-E72D297353CC}">
              <c16:uniqueId val="{00000002-5716-476A-BC3E-79CA6054F696}"/>
            </c:ext>
          </c:extLst>
        </c:ser>
        <c:dLbls>
          <c:showLegendKey val="0"/>
          <c:showVal val="0"/>
          <c:showCatName val="0"/>
          <c:showSerName val="0"/>
          <c:showPercent val="0"/>
          <c:showBubbleSize val="0"/>
        </c:dLbls>
        <c:gapWidth val="150"/>
        <c:overlap val="100"/>
        <c:axId val="546158520"/>
        <c:axId val="546159304"/>
      </c:barChart>
      <c:catAx>
        <c:axId val="546158520"/>
        <c:scaling>
          <c:orientation val="minMax"/>
        </c:scaling>
        <c:delete val="1"/>
        <c:axPos val="l"/>
        <c:numFmt formatCode="General" sourceLinked="1"/>
        <c:majorTickMark val="none"/>
        <c:minorTickMark val="none"/>
        <c:tickLblPos val="nextTo"/>
        <c:crossAx val="546159304"/>
        <c:crosses val="autoZero"/>
        <c:auto val="1"/>
        <c:lblAlgn val="ctr"/>
        <c:lblOffset val="100"/>
        <c:noMultiLvlLbl val="0"/>
      </c:catAx>
      <c:valAx>
        <c:axId val="5461593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6158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r>
              <a:rPr lang="en-US" sz="1400" b="1" i="0" baseline="0">
                <a:solidFill>
                  <a:srgbClr val="44546A"/>
                </a:solidFill>
                <a:effectLst/>
              </a:rPr>
              <a:t>WASH in Temporary Learning Spaces </a:t>
            </a:r>
            <a:endParaRPr lang="en-US" sz="1400" b="1">
              <a:solidFill>
                <a:srgbClr val="44546A"/>
              </a:solidFill>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endParaRPr lang="en-US"/>
        </a:p>
      </c:txPr>
    </c:title>
    <c:autoTitleDeleted val="0"/>
    <c:plotArea>
      <c:layout>
        <c:manualLayout>
          <c:layoutTarget val="inner"/>
          <c:xMode val="edge"/>
          <c:yMode val="edge"/>
          <c:x val="2.6069449236698843E-2"/>
          <c:y val="0.18299363465606358"/>
          <c:w val="0.9478611015266023"/>
          <c:h val="0.51595881270893262"/>
        </c:manualLayout>
      </c:layout>
      <c:barChart>
        <c:barDir val="bar"/>
        <c:grouping val="clustered"/>
        <c:varyColors val="0"/>
        <c:ser>
          <c:idx val="0"/>
          <c:order val="0"/>
          <c:tx>
            <c:strRef>
              <c:f>Analysis!$C$488</c:f>
              <c:strCache>
                <c:ptCount val="1"/>
                <c:pt idx="0">
                  <c:v>Kachin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5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BD0A-434C-BFE9-8ABE13DC62FB}"/>
              </c:ext>
            </c:extLst>
          </c:dPt>
          <c:dPt>
            <c:idx val="1"/>
            <c:invertIfNegative val="0"/>
            <c:bubble3D val="0"/>
            <c:spPr>
              <a:solidFill>
                <a:schemeClr val="accent6">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B709-46A6-BC97-AA9E33A7C330}"/>
              </c:ext>
            </c:extLst>
          </c:dPt>
          <c:dPt>
            <c:idx val="2"/>
            <c:invertIfNegative val="0"/>
            <c:bubble3D val="0"/>
            <c:spPr>
              <a:solidFill>
                <a:schemeClr val="accent6">
                  <a:lumMod val="20000"/>
                  <a:lumOff val="8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BD0A-434C-BFE9-8ABE13DC62FB}"/>
              </c:ext>
            </c:extLst>
          </c:dPt>
          <c:dPt>
            <c:idx val="3"/>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B709-46A6-BC97-AA9E33A7C330}"/>
              </c:ext>
            </c:extLst>
          </c:dPt>
          <c:dPt>
            <c:idx val="4"/>
            <c:invertIfNegative val="0"/>
            <c:bubble3D val="0"/>
            <c:spPr>
              <a:solidFill>
                <a:srgbClr val="0070C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9859-4B72-AFAC-BFC40A277172}"/>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Analysis!$D$487:$H$487</c:f>
              <c:strCache>
                <c:ptCount val="5"/>
                <c:pt idx="0">
                  <c:v> # of hand washing stations with sufficient soap</c:v>
                </c:pt>
                <c:pt idx="1">
                  <c:v> # of hand washing stations for TLS</c:v>
                </c:pt>
                <c:pt idx="2">
                  <c:v># Hygiene Promotion activities (sessions) in TLS</c:v>
                </c:pt>
                <c:pt idx="3">
                  <c:v> # of latrines in TLS (schools)</c:v>
                </c:pt>
                <c:pt idx="4">
                  <c:v># Water points in TLS</c:v>
                </c:pt>
              </c:strCache>
            </c:strRef>
          </c:cat>
          <c:val>
            <c:numRef>
              <c:f>Analysis!$D$488:$H$488</c:f>
              <c:numCache>
                <c:formatCode>_(* #,##0_);_(* \(#,##0\);_(* "-"??_);_(@_)</c:formatCode>
                <c:ptCount val="5"/>
                <c:pt idx="0">
                  <c:v>0</c:v>
                </c:pt>
                <c:pt idx="1">
                  <c:v>30</c:v>
                </c:pt>
                <c:pt idx="2">
                  <c:v>62</c:v>
                </c:pt>
                <c:pt idx="3">
                  <c:v>81</c:v>
                </c:pt>
                <c:pt idx="4">
                  <c:v>18</c:v>
                </c:pt>
              </c:numCache>
            </c:numRef>
          </c:val>
          <c:extLst>
            <c:ext xmlns:c16="http://schemas.microsoft.com/office/drawing/2014/chart" uri="{C3380CC4-5D6E-409C-BE32-E72D297353CC}">
              <c16:uniqueId val="{00000004-BD0A-434C-BFE9-8ABE13DC62FB}"/>
            </c:ext>
          </c:extLst>
        </c:ser>
        <c:dLbls>
          <c:showLegendKey val="0"/>
          <c:showVal val="0"/>
          <c:showCatName val="0"/>
          <c:showSerName val="0"/>
          <c:showPercent val="0"/>
          <c:showBubbleSize val="0"/>
        </c:dLbls>
        <c:gapWidth val="115"/>
        <c:overlap val="-20"/>
        <c:axId val="417014280"/>
        <c:axId val="417016240"/>
      </c:barChart>
      <c:catAx>
        <c:axId val="417014280"/>
        <c:scaling>
          <c:orientation val="minMax"/>
        </c:scaling>
        <c:delete val="1"/>
        <c:axPos val="l"/>
        <c:numFmt formatCode="General" sourceLinked="1"/>
        <c:majorTickMark val="none"/>
        <c:minorTickMark val="none"/>
        <c:tickLblPos val="nextTo"/>
        <c:crossAx val="417016240"/>
        <c:crosses val="autoZero"/>
        <c:auto val="1"/>
        <c:lblAlgn val="ctr"/>
        <c:lblOffset val="100"/>
        <c:noMultiLvlLbl val="0"/>
      </c:catAx>
      <c:valAx>
        <c:axId val="417016240"/>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417014280"/>
        <c:crosses val="autoZero"/>
        <c:crossBetween val="between"/>
      </c:valAx>
      <c:spPr>
        <a:noFill/>
        <a:ln>
          <a:noFill/>
        </a:ln>
        <a:effectLst/>
      </c:spPr>
    </c:plotArea>
    <c:legend>
      <c:legendPos val="b"/>
      <c:layout>
        <c:manualLayout>
          <c:xMode val="edge"/>
          <c:yMode val="edge"/>
          <c:x val="4.2176536263626302E-3"/>
          <c:y val="0.70737413545774386"/>
          <c:w val="0.9812930989263221"/>
          <c:h val="0.27270654127176697"/>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44546A"/>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Sites with TLS/CFS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0256167979002624"/>
          <c:y val="0.19226669582968794"/>
          <c:w val="0.41987685914260719"/>
          <c:h val="0.69979476523767858"/>
        </c:manualLayout>
      </c:layout>
      <c:pieChart>
        <c:varyColors val="1"/>
        <c:ser>
          <c:idx val="0"/>
          <c:order val="0"/>
          <c:tx>
            <c:strRef>
              <c:f>Analysis!$C$520</c:f>
              <c:strCache>
                <c:ptCount val="1"/>
                <c:pt idx="0">
                  <c:v>Kachin</c:v>
                </c:pt>
              </c:strCache>
            </c:strRef>
          </c:tx>
          <c:dPt>
            <c:idx val="0"/>
            <c:bubble3D val="0"/>
            <c:spPr>
              <a:solidFill>
                <a:schemeClr val="bg1">
                  <a:lumMod val="65000"/>
                </a:schemeClr>
              </a:solidFill>
              <a:ln>
                <a:noFill/>
              </a:ln>
              <a:effectLst/>
            </c:spPr>
            <c:extLst>
              <c:ext xmlns:c16="http://schemas.microsoft.com/office/drawing/2014/chart" uri="{C3380CC4-5D6E-409C-BE32-E72D297353CC}">
                <c16:uniqueId val="{00000001-D5D1-4B0B-B3E1-F896635B9BE5}"/>
              </c:ext>
            </c:extLst>
          </c:dPt>
          <c:dPt>
            <c:idx val="1"/>
            <c:bubble3D val="0"/>
            <c:spPr>
              <a:solidFill>
                <a:schemeClr val="tx1">
                  <a:lumMod val="65000"/>
                  <a:lumOff val="35000"/>
                </a:schemeClr>
              </a:solidFill>
              <a:ln>
                <a:noFill/>
              </a:ln>
              <a:effectLst/>
            </c:spPr>
            <c:extLst>
              <c:ext xmlns:c16="http://schemas.microsoft.com/office/drawing/2014/chart" uri="{C3380CC4-5D6E-409C-BE32-E72D297353CC}">
                <c16:uniqueId val="{00000003-D5D1-4B0B-B3E1-F896635B9BE5}"/>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Analysis!$D$519:$E$519</c:f>
              <c:strCache>
                <c:ptCount val="2"/>
                <c:pt idx="0">
                  <c:v>No</c:v>
                </c:pt>
                <c:pt idx="1">
                  <c:v>Yes</c:v>
                </c:pt>
              </c:strCache>
            </c:strRef>
          </c:cat>
          <c:val>
            <c:numRef>
              <c:f>Analysis!$D$520:$E$520</c:f>
              <c:numCache>
                <c:formatCode>0%</c:formatCode>
                <c:ptCount val="2"/>
                <c:pt idx="0">
                  <c:v>0.76119402985074625</c:v>
                </c:pt>
                <c:pt idx="1">
                  <c:v>0.23880597014925373</c:v>
                </c:pt>
              </c:numCache>
            </c:numRef>
          </c:val>
          <c:extLst>
            <c:ext xmlns:c16="http://schemas.microsoft.com/office/drawing/2014/chart" uri="{C3380CC4-5D6E-409C-BE32-E72D297353CC}">
              <c16:uniqueId val="{00000004-D5D1-4B0B-B3E1-F896635B9BE5}"/>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Analysis!$C$521</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6-D5D1-4B0B-B3E1-F896635B9BE5}"/>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8-D5D1-4B0B-B3E1-F896635B9BE5}"/>
                    </c:ext>
                  </c:extLst>
                </c:dPt>
                <c:cat>
                  <c:strRef>
                    <c:extLst>
                      <c:ext uri="{02D57815-91ED-43cb-92C2-25804820EDAC}">
                        <c15:formulaRef>
                          <c15:sqref>Analysis!$D$519:$E$519</c15:sqref>
                        </c15:formulaRef>
                      </c:ext>
                    </c:extLst>
                    <c:strCache>
                      <c:ptCount val="2"/>
                      <c:pt idx="0">
                        <c:v>No</c:v>
                      </c:pt>
                      <c:pt idx="1">
                        <c:v>Yes</c:v>
                      </c:pt>
                    </c:strCache>
                  </c:strRef>
                </c:cat>
                <c:val>
                  <c:numRef>
                    <c:extLst>
                      <c:ext uri="{02D57815-91ED-43cb-92C2-25804820EDAC}">
                        <c15:formulaRef>
                          <c15:sqref>Analysis!$D$521:$E$521</c15:sqref>
                        </c15:formulaRef>
                      </c:ext>
                    </c:extLst>
                    <c:numCache>
                      <c:formatCode>0%</c:formatCode>
                      <c:ptCount val="2"/>
                      <c:pt idx="0">
                        <c:v>0.4642857142857143</c:v>
                      </c:pt>
                      <c:pt idx="1">
                        <c:v>0.5357142857142857</c:v>
                      </c:pt>
                    </c:numCache>
                  </c:numRef>
                </c:val>
                <c:extLst>
                  <c:ext xmlns:c16="http://schemas.microsoft.com/office/drawing/2014/chart" uri="{C3380CC4-5D6E-409C-BE32-E72D297353CC}">
                    <c16:uniqueId val="{00000009-D5D1-4B0B-B3E1-F896635B9BE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Analysis!$C$522</c15:sqref>
                        </c15:formulaRef>
                      </c:ext>
                    </c:extLst>
                    <c:strCache>
                      <c:ptCount val="1"/>
                      <c:pt idx="0">
                        <c:v>Central Rakhine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D5D1-4B0B-B3E1-F896635B9BE5}"/>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D-D5D1-4B0B-B3E1-F896635B9BE5}"/>
                    </c:ext>
                  </c:extLst>
                </c:dPt>
                <c:cat>
                  <c:strRef>
                    <c:extLst xmlns:c15="http://schemas.microsoft.com/office/drawing/2012/chart">
                      <c:ext xmlns:c15="http://schemas.microsoft.com/office/drawing/2012/chart" uri="{02D57815-91ED-43cb-92C2-25804820EDAC}">
                        <c15:formulaRef>
                          <c15:sqref>Analysis!$D$519:$E$519</c15:sqref>
                        </c15:formulaRef>
                      </c:ext>
                    </c:extLst>
                    <c:strCache>
                      <c:ptCount val="2"/>
                      <c:pt idx="0">
                        <c:v>No</c:v>
                      </c:pt>
                      <c:pt idx="1">
                        <c:v>Yes</c:v>
                      </c:pt>
                    </c:strCache>
                  </c:strRef>
                </c:cat>
                <c:val>
                  <c:numRef>
                    <c:extLst xmlns:c15="http://schemas.microsoft.com/office/drawing/2012/chart">
                      <c:ext xmlns:c15="http://schemas.microsoft.com/office/drawing/2012/chart" uri="{02D57815-91ED-43cb-92C2-25804820EDAC}">
                        <c15:formulaRef>
                          <c15:sqref>Analysis!$D$522:$E$522</c15:sqref>
                        </c15:formulaRef>
                      </c:ext>
                    </c:extLst>
                    <c:numCache>
                      <c:formatCode>0%</c:formatCode>
                      <c:ptCount val="2"/>
                      <c:pt idx="0">
                        <c:v>0.84</c:v>
                      </c:pt>
                      <c:pt idx="1">
                        <c:v>0.16</c:v>
                      </c:pt>
                    </c:numCache>
                  </c:numRef>
                </c:val>
                <c:extLst xmlns:c15="http://schemas.microsoft.com/office/drawing/2012/chart">
                  <c:ext xmlns:c16="http://schemas.microsoft.com/office/drawing/2014/chart" uri="{C3380CC4-5D6E-409C-BE32-E72D297353CC}">
                    <c16:uniqueId val="{0000000E-D5D1-4B0B-B3E1-F896635B9BE5}"/>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Funding Received/Gap as of 2019-Q1 (US$)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[4]National!$D$3</c:f>
              <c:strCache>
                <c:ptCount val="1"/>
                <c:pt idx="0">
                  <c:v>Cumulative Funding Received for 2019</c:v>
                </c:pt>
              </c:strCache>
            </c:strRef>
          </c:tx>
          <c:spPr>
            <a:solidFill>
              <a:schemeClr val="bg1">
                <a:lumMod val="50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[4]National!$B$4:$B$6</c15:sqref>
                  </c15:fullRef>
                </c:ext>
              </c:extLst>
              <c:f>[4]National!$B$4</c:f>
              <c:strCache>
                <c:ptCount val="1"/>
                <c:pt idx="0">
                  <c:v>Kachin/Shan</c:v>
                </c:pt>
              </c:strCache>
            </c:strRef>
          </c:cat>
          <c:val>
            <c:numRef>
              <c:extLst>
                <c:ext xmlns:c15="http://schemas.microsoft.com/office/drawing/2012/chart" uri="{02D57815-91ED-43cb-92C2-25804820EDAC}">
                  <c15:fullRef>
                    <c15:sqref>[4]National!$D$4:$D$6</c15:sqref>
                  </c15:fullRef>
                </c:ext>
              </c:extLst>
              <c:f>[4]National!$D$4</c:f>
              <c:numCache>
                <c:formatCode>General</c:formatCode>
                <c:ptCount val="1"/>
                <c:pt idx="0">
                  <c:v>2087002.1262643435</c:v>
                </c:pt>
              </c:numCache>
            </c:numRef>
          </c:val>
          <c:extLst xmlns:c15="http://schemas.microsoft.com/office/drawing/2012/chart">
            <c:ext xmlns:c16="http://schemas.microsoft.com/office/drawing/2014/chart" uri="{C3380CC4-5D6E-409C-BE32-E72D297353CC}">
              <c16:uniqueId val="{00000000-B285-4950-9569-560157F98363}"/>
            </c:ext>
          </c:extLst>
        </c:ser>
        <c:ser>
          <c:idx val="1"/>
          <c:order val="1"/>
          <c:tx>
            <c:strRef>
              <c:f>[4]National!$E$3</c:f>
              <c:strCache>
                <c:ptCount val="1"/>
                <c:pt idx="0">
                  <c:v>Gap</c:v>
                </c:pt>
              </c:strCache>
            </c:strRef>
          </c:tx>
          <c:spPr>
            <a:solidFill>
              <a:schemeClr val="bg1">
                <a:lumMod val="85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[4]National!$B$4:$B$6</c15:sqref>
                  </c15:fullRef>
                </c:ext>
              </c:extLst>
              <c:f>[4]National!$B$4</c:f>
              <c:strCache>
                <c:ptCount val="1"/>
                <c:pt idx="0">
                  <c:v>Kachin/Shan</c:v>
                </c:pt>
              </c:strCache>
            </c:strRef>
          </c:cat>
          <c:val>
            <c:numRef>
              <c:extLst>
                <c:ext xmlns:c15="http://schemas.microsoft.com/office/drawing/2012/chart" uri="{02D57815-91ED-43cb-92C2-25804820EDAC}">
                  <c15:fullRef>
                    <c15:sqref>[4]National!$E$4:$E$6</c15:sqref>
                  </c15:fullRef>
                </c:ext>
              </c:extLst>
              <c:f>[4]National!$E$4</c:f>
              <c:numCache>
                <c:formatCode>General</c:formatCode>
                <c:ptCount val="1"/>
                <c:pt idx="0">
                  <c:v>5412997.873735657</c:v>
                </c:pt>
              </c:numCache>
            </c:numRef>
          </c:val>
          <c:extLst>
            <c:ext xmlns:c16="http://schemas.microsoft.com/office/drawing/2014/chart" uri="{C3380CC4-5D6E-409C-BE32-E72D297353CC}">
              <c16:uniqueId val="{00000001-B285-4950-9569-560157F98363}"/>
            </c:ext>
          </c:extLst>
        </c:ser>
        <c:dLbls>
          <c:dLblPos val="ctr"/>
          <c:showLegendKey val="0"/>
          <c:showVal val="1"/>
          <c:showCatName val="0"/>
          <c:showSerName val="0"/>
          <c:showPercent val="0"/>
          <c:showBubbleSize val="0"/>
        </c:dLbls>
        <c:gapWidth val="150"/>
        <c:overlap val="100"/>
        <c:axId val="546155384"/>
        <c:axId val="546156560"/>
        <c:extLst/>
      </c:barChart>
      <c:catAx>
        <c:axId val="54615538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46156560"/>
        <c:crosses val="autoZero"/>
        <c:auto val="1"/>
        <c:lblAlgn val="ctr"/>
        <c:lblOffset val="100"/>
        <c:noMultiLvlLbl val="0"/>
      </c:catAx>
      <c:valAx>
        <c:axId val="546156560"/>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46155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bg1"/>
                </a:solidFill>
                <a:latin typeface="+mn-lt"/>
                <a:ea typeface="+mn-ea"/>
                <a:cs typeface="+mn-cs"/>
              </a:defRPr>
            </a:pPr>
            <a:r>
              <a:rPr lang="en-US" sz="1200">
                <a:solidFill>
                  <a:schemeClr val="bg1"/>
                </a:solidFill>
              </a:rPr>
              <a:t>Cluster Team</a:t>
            </a:r>
          </a:p>
          <a:p>
            <a:pPr>
              <a:defRPr sz="1200">
                <a:solidFill>
                  <a:schemeClr val="bg1"/>
                </a:solidFill>
              </a:defRPr>
            </a:pPr>
            <a:r>
              <a:rPr lang="en-US" sz="1200">
                <a:solidFill>
                  <a:schemeClr val="bg1"/>
                </a:solidFill>
              </a:rPr>
              <a:t># Field visits</a:t>
            </a:r>
          </a:p>
        </c:rich>
      </c:tx>
      <c:layout>
        <c:manualLayout>
          <c:xMode val="edge"/>
          <c:yMode val="edge"/>
          <c:x val="0.29422994000749908"/>
          <c:y val="0.30923719180771697"/>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en-US"/>
        </a:p>
      </c:txPr>
    </c:title>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tx1"/>
          </a:solidFill>
          <a:ln>
            <a:noFill/>
          </a:ln>
          <a:effectLst>
            <a:outerShdw blurRad="40000" dist="23000" dir="5400000" rotWithShape="0">
              <a:srgbClr val="000000">
                <a:alpha val="35000"/>
              </a:srgbClr>
            </a:outerShdw>
          </a:effectLst>
        </c:spPr>
        <c:dLbl>
          <c:idx val="0"/>
          <c:layout>
            <c:manualLayout>
              <c:x val="-5.3388013998249863E-3"/>
              <c:y val="-0.33712962962962967"/>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2049999999999997"/>
                  <c:h val="0.17675925925925923"/>
                </c:manualLayout>
              </c15:layout>
            </c:ext>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tx1"/>
          </a:solidFill>
          <a:ln>
            <a:noFill/>
          </a:ln>
          <a:effectLst>
            <a:outerShdw blurRad="40000" dist="23000" dir="5400000" rotWithShape="0">
              <a:srgbClr val="000000">
                <a:alpha val="35000"/>
              </a:srgbClr>
            </a:outerShdw>
          </a:effectLst>
        </c:spPr>
        <c:dLbl>
          <c:idx val="0"/>
          <c:layout>
            <c:manualLayout>
              <c:x val="-5.3388013998249863E-3"/>
              <c:y val="-0.33712962962962967"/>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2049999999999997"/>
                  <c:h val="0.17675925925925923"/>
                </c:manualLayout>
              </c15:layout>
            </c:ext>
          </c:extLst>
        </c:dLbl>
      </c:pivotFmt>
    </c:pivotFmts>
    <c:plotArea>
      <c:layout>
        <c:manualLayout>
          <c:layoutTarget val="inner"/>
          <c:xMode val="edge"/>
          <c:yMode val="edge"/>
          <c:x val="0.1570580344123651"/>
          <c:y val="8.8706856306993265E-2"/>
          <c:w val="0.68399531597011909"/>
          <c:h val="0.87519085704838073"/>
        </c:manualLayout>
      </c:layout>
      <c:pieChart>
        <c:varyColors val="1"/>
        <c:ser>
          <c:idx val="0"/>
          <c:order val="0"/>
          <c:tx>
            <c:v>Total</c:v>
          </c:tx>
          <c:dPt>
            <c:idx val="0"/>
            <c:bubble3D val="0"/>
            <c:spPr>
              <a:solidFill>
                <a:schemeClr val="tx1"/>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FFDD-4D19-912F-9F61058092CE}"/>
              </c:ext>
            </c:extLst>
          </c:dPt>
          <c:dLbls>
            <c:dLbl>
              <c:idx val="0"/>
              <c:layout>
                <c:manualLayout>
                  <c:x val="-1.0269331718150616E-3"/>
                  <c:y val="-0.306850187033707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DD-4D19-912F-9F61058092CE}"/>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Lit>
              <c:ptCount val="1"/>
              <c:pt idx="0">
                <c:v>Total</c:v>
              </c:pt>
            </c:strLit>
          </c:cat>
          <c:val>
            <c:numLit>
              <c:formatCode>General</c:formatCode>
              <c:ptCount val="1"/>
              <c:pt idx="0">
                <c:v>45</c:v>
              </c:pt>
            </c:numLit>
          </c:val>
          <c:extLst>
            <c:ext xmlns:c16="http://schemas.microsoft.com/office/drawing/2014/chart" uri="{C3380CC4-5D6E-409C-BE32-E72D297353CC}">
              <c16:uniqueId val="{00000002-FFDD-4D19-912F-9F61058092C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[20190516_Myanmar_WASH_4W_2019_Q1_Consolidate.xlsx]Analysis!K_water1</c:name>
    <c:fmtId val="18"/>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Water Point Coverage</a:t>
            </a:r>
            <a:endParaRPr lang="en-US" sz="1400">
              <a:effectLst/>
            </a:endParaRPr>
          </a:p>
          <a:p>
            <a:pPr>
              <a:defRPr sz="1400"/>
            </a:pPr>
            <a:r>
              <a:rPr lang="en-US" sz="1400" b="1" i="0" baseline="0">
                <a:effectLst/>
              </a:rPr>
              <a:t>(in active IDP camps)</a:t>
            </a:r>
            <a:endParaRPr lang="en-US" sz="1400">
              <a:effectLst/>
            </a:endParaRPr>
          </a:p>
        </c:rich>
      </c:tx>
      <c:layout>
        <c:manualLayout>
          <c:xMode val="edge"/>
          <c:yMode val="edge"/>
          <c:x val="0.2430529546896211"/>
          <c:y val="2.8560612911000621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circle"/>
          <c:size val="6"/>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circle"/>
          <c:size val="6"/>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Analysis!$C$50</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Analysis!$B$51:$B$52</c:f>
              <c:strCache>
                <c:ptCount val="2"/>
                <c:pt idx="0">
                  <c:v>GCA (500:1)</c:v>
                </c:pt>
                <c:pt idx="1">
                  <c:v>NGCA (500:1)</c:v>
                </c:pt>
              </c:strCache>
            </c:strRef>
          </c:cat>
          <c:val>
            <c:numRef>
              <c:f>Analysis!$C$51:$C$52</c:f>
              <c:numCache>
                <c:formatCode>0</c:formatCode>
                <c:ptCount val="2"/>
                <c:pt idx="0">
                  <c:v>77.6869333333333</c:v>
                </c:pt>
                <c:pt idx="1">
                  <c:v>26.462666666666667</c:v>
                </c:pt>
              </c:numCache>
            </c:numRef>
          </c:val>
          <c:extLst>
            <c:ext xmlns:c16="http://schemas.microsoft.com/office/drawing/2014/chart" uri="{C3380CC4-5D6E-409C-BE32-E72D297353CC}">
              <c16:uniqueId val="{00000000-A106-4765-A739-467FC9D15075}"/>
            </c:ext>
          </c:extLst>
        </c:ser>
        <c:ser>
          <c:idx val="1"/>
          <c:order val="1"/>
          <c:tx>
            <c:strRef>
              <c:f>Analysis!$D$50</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Analysis!$B$51:$B$52</c:f>
              <c:strCache>
                <c:ptCount val="2"/>
                <c:pt idx="0">
                  <c:v>GCA (500:1)</c:v>
                </c:pt>
                <c:pt idx="1">
                  <c:v>NGCA (500:1)</c:v>
                </c:pt>
              </c:strCache>
            </c:strRef>
          </c:cat>
          <c:val>
            <c:numRef>
              <c:f>Analysis!$D$51:$D$52</c:f>
              <c:numCache>
                <c:formatCode>0</c:formatCode>
                <c:ptCount val="2"/>
                <c:pt idx="0">
                  <c:v>67.857066666666668</c:v>
                </c:pt>
                <c:pt idx="1">
                  <c:v>69.333333333333343</c:v>
                </c:pt>
              </c:numCache>
            </c:numRef>
          </c:val>
          <c:extLst>
            <c:ext xmlns:c16="http://schemas.microsoft.com/office/drawing/2014/chart" uri="{C3380CC4-5D6E-409C-BE32-E72D297353CC}">
              <c16:uniqueId val="{00000001-A106-4765-A739-467FC9D15075}"/>
            </c:ext>
          </c:extLst>
        </c:ser>
        <c:dLbls>
          <c:dLblPos val="ctr"/>
          <c:showLegendKey val="0"/>
          <c:showVal val="1"/>
          <c:showCatName val="0"/>
          <c:showSerName val="0"/>
          <c:showPercent val="0"/>
          <c:showBubbleSize val="0"/>
        </c:dLbls>
        <c:gapWidth val="150"/>
        <c:overlap val="100"/>
        <c:axId val="415866864"/>
        <c:axId val="415872744"/>
      </c:barChart>
      <c:catAx>
        <c:axId val="4158668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72744"/>
        <c:crosses val="autoZero"/>
        <c:auto val="1"/>
        <c:lblAlgn val="ctr"/>
        <c:lblOffset val="100"/>
        <c:noMultiLvlLbl val="0"/>
      </c:catAx>
      <c:valAx>
        <c:axId val="41587274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5866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of Sites which made water quality test at water sources</a:t>
            </a:r>
            <a:endParaRPr lang="en-US" sz="1400">
              <a:effectLst/>
            </a:endParaRPr>
          </a:p>
        </c:rich>
      </c:tx>
      <c:layout>
        <c:manualLayout>
          <c:xMode val="edge"/>
          <c:yMode val="edge"/>
          <c:x val="0.1426146731658543"/>
          <c:y val="1.737242722218308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1.9689726284214473E-2"/>
          <c:y val="0.23610667491059015"/>
          <c:w val="0.43774608274889804"/>
          <c:h val="0.59102878282892879"/>
        </c:manualLayout>
      </c:layout>
      <c:pieChart>
        <c:varyColors val="1"/>
        <c:ser>
          <c:idx val="0"/>
          <c:order val="0"/>
          <c:tx>
            <c:strRef>
              <c:f>Analysis!$H$65</c:f>
              <c:strCache>
                <c:ptCount val="1"/>
                <c:pt idx="0">
                  <c:v>Kachin</c:v>
                </c:pt>
              </c:strCache>
            </c:strRef>
          </c:tx>
          <c:dPt>
            <c:idx val="0"/>
            <c:bubble3D val="0"/>
            <c:spPr>
              <a:solidFill>
                <a:srgbClr val="0070C0"/>
              </a:solidFill>
              <a:ln>
                <a:noFill/>
              </a:ln>
              <a:effectLst/>
            </c:spPr>
            <c:extLst>
              <c:ext xmlns:c16="http://schemas.microsoft.com/office/drawing/2014/chart" uri="{C3380CC4-5D6E-409C-BE32-E72D297353CC}">
                <c16:uniqueId val="{00000001-7870-4DBE-A5BB-05318958220A}"/>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3-7870-4DBE-A5BB-05318958220A}"/>
              </c:ext>
            </c:extLst>
          </c:dPt>
          <c:dLbls>
            <c:dLbl>
              <c:idx val="0"/>
              <c:layout>
                <c:manualLayout>
                  <c:x val="-3.6131720061490048E-2"/>
                  <c:y val="0.1421746954119818"/>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870-4DBE-A5BB-05318958220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Analysis!$J$64:$K$64</c:f>
              <c:strCache>
                <c:ptCount val="2"/>
                <c:pt idx="0">
                  <c:v>Tested</c:v>
                </c:pt>
                <c:pt idx="1">
                  <c:v>No Test</c:v>
                </c:pt>
              </c:strCache>
            </c:strRef>
          </c:cat>
          <c:val>
            <c:numRef>
              <c:f>Analysis!$J$65:$K$65</c:f>
              <c:numCache>
                <c:formatCode>0</c:formatCode>
                <c:ptCount val="2"/>
                <c:pt idx="0" formatCode="General">
                  <c:v>12</c:v>
                </c:pt>
                <c:pt idx="1">
                  <c:v>122</c:v>
                </c:pt>
              </c:numCache>
            </c:numRef>
          </c:val>
          <c:extLst>
            <c:ext xmlns:c16="http://schemas.microsoft.com/office/drawing/2014/chart" uri="{C3380CC4-5D6E-409C-BE32-E72D297353CC}">
              <c16:uniqueId val="{00000004-7870-4DBE-A5BB-05318958220A}"/>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Analysis!$H$66</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6-7870-4DBE-A5BB-05318958220A}"/>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8-7870-4DBE-A5BB-05318958220A}"/>
                    </c:ext>
                  </c:extLst>
                </c:dPt>
                <c:cat>
                  <c:strRef>
                    <c:extLst>
                      <c:ext uri="{02D57815-91ED-43cb-92C2-25804820EDAC}">
                        <c15:formulaRef>
                          <c15:sqref>Analysis!$J$64:$K$64</c15:sqref>
                        </c15:formulaRef>
                      </c:ext>
                    </c:extLst>
                    <c:strCache>
                      <c:ptCount val="2"/>
                      <c:pt idx="0">
                        <c:v>Tested</c:v>
                      </c:pt>
                      <c:pt idx="1">
                        <c:v>No Test</c:v>
                      </c:pt>
                    </c:strCache>
                  </c:strRef>
                </c:cat>
                <c:val>
                  <c:numRef>
                    <c:extLst>
                      <c:ext uri="{02D57815-91ED-43cb-92C2-25804820EDAC}">
                        <c15:formulaRef>
                          <c15:sqref>Analysis!$J$66:$K$66</c15:sqref>
                        </c15:formulaRef>
                      </c:ext>
                    </c:extLst>
                    <c:numCache>
                      <c:formatCode>0</c:formatCode>
                      <c:ptCount val="2"/>
                      <c:pt idx="0" formatCode="General">
                        <c:v>14</c:v>
                      </c:pt>
                      <c:pt idx="1">
                        <c:v>14</c:v>
                      </c:pt>
                    </c:numCache>
                  </c:numRef>
                </c:val>
                <c:extLst>
                  <c:ext xmlns:c16="http://schemas.microsoft.com/office/drawing/2014/chart" uri="{C3380CC4-5D6E-409C-BE32-E72D297353CC}">
                    <c16:uniqueId val="{00000009-7870-4DBE-A5BB-05318958220A}"/>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Analysis!$H$67</c15:sqref>
                        </c15:formulaRef>
                      </c:ext>
                    </c:extLst>
                    <c:strCache>
                      <c:ptCount val="1"/>
                      <c:pt idx="0">
                        <c:v>Central Rakhine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7870-4DBE-A5BB-05318958220A}"/>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D-7870-4DBE-A5BB-05318958220A}"/>
                    </c:ext>
                  </c:extLst>
                </c:dPt>
                <c:cat>
                  <c:strRef>
                    <c:extLst xmlns:c15="http://schemas.microsoft.com/office/drawing/2012/chart">
                      <c:ext xmlns:c15="http://schemas.microsoft.com/office/drawing/2012/chart" uri="{02D57815-91ED-43cb-92C2-25804820EDAC}">
                        <c15:formulaRef>
                          <c15:sqref>Analysis!$J$64:$K$64</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Analysis!$J$67:$K$67</c15:sqref>
                        </c15:formulaRef>
                      </c:ext>
                    </c:extLst>
                    <c:numCache>
                      <c:formatCode>0</c:formatCode>
                      <c:ptCount val="2"/>
                      <c:pt idx="0" formatCode="General">
                        <c:v>16</c:v>
                      </c:pt>
                      <c:pt idx="1">
                        <c:v>9</c:v>
                      </c:pt>
                    </c:numCache>
                  </c:numRef>
                </c:val>
                <c:extLst xmlns:c15="http://schemas.microsoft.com/office/drawing/2012/chart">
                  <c:ext xmlns:c16="http://schemas.microsoft.com/office/drawing/2014/chart" uri="{C3380CC4-5D6E-409C-BE32-E72D297353CC}">
                    <c16:uniqueId val="{0000000E-7870-4DBE-A5BB-05318958220A}"/>
                  </c:ext>
                </c:extLst>
              </c15:ser>
            </c15:filteredPieSeries>
          </c:ext>
        </c:extLst>
      </c:pieChart>
      <c:spPr>
        <a:noFill/>
        <a:ln>
          <a:noFill/>
        </a:ln>
        <a:effectLst/>
      </c:spPr>
    </c:plotArea>
    <c:legend>
      <c:legendPos val="b"/>
      <c:layout>
        <c:manualLayout>
          <c:xMode val="edge"/>
          <c:yMode val="edge"/>
          <c:x val="2.1734470691163604E-2"/>
          <c:y val="0.78500082416436234"/>
          <c:w val="0.45558055243094614"/>
          <c:h val="0.1194508261136307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Analysis!$L$64</c:f>
              <c:strCache>
                <c:ptCount val="1"/>
                <c:pt idx="0">
                  <c:v># Tested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Analysis!$H$65:$H$67</c15:sqref>
                  </c15:fullRef>
                </c:ext>
              </c:extLst>
              <c:f>Analysis!$H$65</c:f>
              <c:strCache>
                <c:ptCount val="1"/>
                <c:pt idx="0">
                  <c:v>Kachin</c:v>
                </c:pt>
              </c:strCache>
            </c:strRef>
          </c:cat>
          <c:val>
            <c:numRef>
              <c:extLst>
                <c:ext xmlns:c15="http://schemas.microsoft.com/office/drawing/2012/chart" uri="{02D57815-91ED-43cb-92C2-25804820EDAC}">
                  <c15:fullRef>
                    <c15:sqref>Analysis!$L$65:$L$67</c15:sqref>
                  </c15:fullRef>
                </c:ext>
              </c:extLst>
              <c:f>Analysis!$L$65</c:f>
              <c:numCache>
                <c:formatCode>General</c:formatCode>
                <c:ptCount val="1"/>
                <c:pt idx="0">
                  <c:v>32</c:v>
                </c:pt>
              </c:numCache>
            </c:numRef>
          </c:val>
          <c:extLst>
            <c:ext xmlns:c16="http://schemas.microsoft.com/office/drawing/2014/chart" uri="{C3380CC4-5D6E-409C-BE32-E72D297353CC}">
              <c16:uniqueId val="{00000000-7EB8-4675-BFE5-9A43CE575D39}"/>
            </c:ext>
          </c:extLst>
        </c:ser>
        <c:ser>
          <c:idx val="1"/>
          <c:order val="1"/>
          <c:tx>
            <c:strRef>
              <c:f>Analysis!$M$64</c:f>
              <c:strCache>
                <c:ptCount val="1"/>
                <c:pt idx="0">
                  <c:v> # Treated</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Analysis!$H$65:$H$67</c15:sqref>
                  </c15:fullRef>
                </c:ext>
              </c:extLst>
              <c:f>Analysis!$H$65</c:f>
              <c:strCache>
                <c:ptCount val="1"/>
                <c:pt idx="0">
                  <c:v>Kachin</c:v>
                </c:pt>
              </c:strCache>
            </c:strRef>
          </c:cat>
          <c:val>
            <c:numRef>
              <c:extLst>
                <c:ext xmlns:c15="http://schemas.microsoft.com/office/drawing/2012/chart" uri="{02D57815-91ED-43cb-92C2-25804820EDAC}">
                  <c15:fullRef>
                    <c15:sqref>Analysis!$M$65:$M$67</c15:sqref>
                  </c15:fullRef>
                </c:ext>
              </c:extLst>
              <c:f>Analysis!$M$65</c:f>
              <c:numCache>
                <c:formatCode>General</c:formatCode>
                <c:ptCount val="1"/>
                <c:pt idx="0">
                  <c:v>30</c:v>
                </c:pt>
              </c:numCache>
            </c:numRef>
          </c:val>
          <c:extLst>
            <c:ext xmlns:c16="http://schemas.microsoft.com/office/drawing/2014/chart" uri="{C3380CC4-5D6E-409C-BE32-E72D297353CC}">
              <c16:uniqueId val="{00000001-7EB8-4675-BFE5-9A43CE575D39}"/>
            </c:ext>
          </c:extLst>
        </c:ser>
        <c:dLbls>
          <c:showLegendKey val="0"/>
          <c:showVal val="0"/>
          <c:showCatName val="0"/>
          <c:showSerName val="0"/>
          <c:showPercent val="0"/>
          <c:showBubbleSize val="0"/>
        </c:dLbls>
        <c:gapWidth val="150"/>
        <c:overlap val="100"/>
        <c:axId val="1332863680"/>
        <c:axId val="1335493040"/>
      </c:barChart>
      <c:catAx>
        <c:axId val="1332863680"/>
        <c:scaling>
          <c:orientation val="minMax"/>
        </c:scaling>
        <c:delete val="1"/>
        <c:axPos val="b"/>
        <c:numFmt formatCode="General" sourceLinked="1"/>
        <c:majorTickMark val="none"/>
        <c:minorTickMark val="none"/>
        <c:tickLblPos val="nextTo"/>
        <c:crossAx val="1335493040"/>
        <c:crosses val="autoZero"/>
        <c:auto val="1"/>
        <c:lblAlgn val="ctr"/>
        <c:lblOffset val="100"/>
        <c:noMultiLvlLbl val="0"/>
      </c:catAx>
      <c:valAx>
        <c:axId val="1335493040"/>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286368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of Sites which made water quality test at household</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6.0123421027221081E-3"/>
          <c:y val="0.28992098970786989"/>
          <c:w val="0.46906767088896495"/>
          <c:h val="0.45684425287670782"/>
        </c:manualLayout>
      </c:layout>
      <c:pieChart>
        <c:varyColors val="1"/>
        <c:ser>
          <c:idx val="0"/>
          <c:order val="0"/>
          <c:tx>
            <c:strRef>
              <c:f>Analysis!$V$65</c:f>
              <c:strCache>
                <c:ptCount val="1"/>
                <c:pt idx="0">
                  <c:v>Kachin</c:v>
                </c:pt>
              </c:strCache>
            </c:strRef>
          </c:tx>
          <c:dPt>
            <c:idx val="0"/>
            <c:bubble3D val="0"/>
            <c:spPr>
              <a:solidFill>
                <a:srgbClr val="0070C0"/>
              </a:solidFill>
              <a:ln>
                <a:noFill/>
              </a:ln>
              <a:effectLst/>
            </c:spPr>
            <c:extLst>
              <c:ext xmlns:c16="http://schemas.microsoft.com/office/drawing/2014/chart" uri="{C3380CC4-5D6E-409C-BE32-E72D297353CC}">
                <c16:uniqueId val="{00000001-D0AA-407D-BDD5-45EE421413A5}"/>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3-D0AA-407D-BDD5-45EE421413A5}"/>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D0AA-407D-BDD5-45EE421413A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Analysis!$X$64:$Y$64</c:f>
              <c:strCache>
                <c:ptCount val="2"/>
                <c:pt idx="0">
                  <c:v>Tested</c:v>
                </c:pt>
                <c:pt idx="1">
                  <c:v>No test</c:v>
                </c:pt>
              </c:strCache>
            </c:strRef>
          </c:cat>
          <c:val>
            <c:numRef>
              <c:f>Analysis!$X$65:$Y$65</c:f>
              <c:numCache>
                <c:formatCode>General</c:formatCode>
                <c:ptCount val="2"/>
                <c:pt idx="0">
                  <c:v>16</c:v>
                </c:pt>
                <c:pt idx="1">
                  <c:v>118</c:v>
                </c:pt>
              </c:numCache>
            </c:numRef>
          </c:val>
          <c:extLst>
            <c:ext xmlns:c16="http://schemas.microsoft.com/office/drawing/2014/chart" uri="{C3380CC4-5D6E-409C-BE32-E72D297353CC}">
              <c16:uniqueId val="{00000004-D0AA-407D-BDD5-45EE421413A5}"/>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Analysis!$V$66</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6-D0AA-407D-BDD5-45EE421413A5}"/>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8-D0AA-407D-BDD5-45EE421413A5}"/>
                    </c:ext>
                  </c:extLst>
                </c:dPt>
                <c:cat>
                  <c:strRef>
                    <c:extLst>
                      <c:ext uri="{02D57815-91ED-43cb-92C2-25804820EDAC}">
                        <c15:formulaRef>
                          <c15:sqref>Analysis!$X$64:$Y$64</c15:sqref>
                        </c15:formulaRef>
                      </c:ext>
                    </c:extLst>
                    <c:strCache>
                      <c:ptCount val="2"/>
                      <c:pt idx="0">
                        <c:v>Tested</c:v>
                      </c:pt>
                      <c:pt idx="1">
                        <c:v>No test</c:v>
                      </c:pt>
                    </c:strCache>
                  </c:strRef>
                </c:cat>
                <c:val>
                  <c:numRef>
                    <c:extLst>
                      <c:ext uri="{02D57815-91ED-43cb-92C2-25804820EDAC}">
                        <c15:formulaRef>
                          <c15:sqref>Analysis!$X$66:$Y$66</c15:sqref>
                        </c15:formulaRef>
                      </c:ext>
                    </c:extLst>
                    <c:numCache>
                      <c:formatCode>General</c:formatCode>
                      <c:ptCount val="2"/>
                      <c:pt idx="0">
                        <c:v>14</c:v>
                      </c:pt>
                      <c:pt idx="1">
                        <c:v>14</c:v>
                      </c:pt>
                    </c:numCache>
                  </c:numRef>
                </c:val>
                <c:extLst>
                  <c:ext xmlns:c16="http://schemas.microsoft.com/office/drawing/2014/chart" uri="{C3380CC4-5D6E-409C-BE32-E72D297353CC}">
                    <c16:uniqueId val="{00000009-D0AA-407D-BDD5-45EE421413A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Analysis!$V$67</c15:sqref>
                        </c15:formulaRef>
                      </c:ext>
                    </c:extLst>
                    <c:strCache>
                      <c:ptCount val="1"/>
                      <c:pt idx="0">
                        <c:v>Central Rakhine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D0AA-407D-BDD5-45EE421413A5}"/>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D-D0AA-407D-BDD5-45EE421413A5}"/>
                    </c:ext>
                  </c:extLst>
                </c:dPt>
                <c:cat>
                  <c:strRef>
                    <c:extLst xmlns:c15="http://schemas.microsoft.com/office/drawing/2012/chart">
                      <c:ext xmlns:c15="http://schemas.microsoft.com/office/drawing/2012/chart" uri="{02D57815-91ED-43cb-92C2-25804820EDAC}">
                        <c15:formulaRef>
                          <c15:sqref>Analysis!$X$64:$Y$64</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Analysis!$X$67:$Y$67</c15:sqref>
                        </c15:formulaRef>
                      </c:ext>
                    </c:extLst>
                    <c:numCache>
                      <c:formatCode>General</c:formatCode>
                      <c:ptCount val="2"/>
                      <c:pt idx="0">
                        <c:v>16</c:v>
                      </c:pt>
                      <c:pt idx="1">
                        <c:v>9</c:v>
                      </c:pt>
                    </c:numCache>
                  </c:numRef>
                </c:val>
                <c:extLst xmlns:c15="http://schemas.microsoft.com/office/drawing/2012/chart">
                  <c:ext xmlns:c16="http://schemas.microsoft.com/office/drawing/2014/chart" uri="{C3380CC4-5D6E-409C-BE32-E72D297353CC}">
                    <c16:uniqueId val="{0000000E-D0AA-407D-BDD5-45EE421413A5}"/>
                  </c:ext>
                </c:extLst>
              </c15:ser>
            </c15:filteredPieSeries>
          </c:ext>
        </c:extLst>
      </c:pieChart>
      <c:spPr>
        <a:noFill/>
        <a:ln>
          <a:noFill/>
        </a:ln>
        <a:effectLst/>
      </c:spPr>
    </c:plotArea>
    <c:legend>
      <c:legendPos val="b"/>
      <c:layout>
        <c:manualLayout>
          <c:xMode val="edge"/>
          <c:yMode val="edge"/>
          <c:x val="1.1585775858285272E-2"/>
          <c:y val="0.80010813302619266"/>
          <c:w val="0.48745477049482516"/>
          <c:h val="7.377100813218019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Analysis!$Z$64</c:f>
              <c:strCache>
                <c:ptCount val="1"/>
                <c:pt idx="0">
                  <c:v> # Tested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Analysis!$V$65:$V$67</c15:sqref>
                  </c15:fullRef>
                </c:ext>
              </c:extLst>
              <c:f>Analysis!$V$65</c:f>
              <c:strCache>
                <c:ptCount val="1"/>
                <c:pt idx="0">
                  <c:v>Kachin</c:v>
                </c:pt>
              </c:strCache>
            </c:strRef>
          </c:cat>
          <c:val>
            <c:numRef>
              <c:extLst>
                <c:ext xmlns:c15="http://schemas.microsoft.com/office/drawing/2012/chart" uri="{02D57815-91ED-43cb-92C2-25804820EDAC}">
                  <c15:fullRef>
                    <c15:sqref>Analysis!$Z$65:$Z$67</c15:sqref>
                  </c15:fullRef>
                </c:ext>
              </c:extLst>
              <c:f>Analysis!$Z$65</c:f>
              <c:numCache>
                <c:formatCode>General</c:formatCode>
                <c:ptCount val="1"/>
                <c:pt idx="0">
                  <c:v>251</c:v>
                </c:pt>
              </c:numCache>
            </c:numRef>
          </c:val>
          <c:extLst>
            <c:ext xmlns:c16="http://schemas.microsoft.com/office/drawing/2014/chart" uri="{C3380CC4-5D6E-409C-BE32-E72D297353CC}">
              <c16:uniqueId val="{00000000-0EA5-49C6-8AAD-D64C44191482}"/>
            </c:ext>
          </c:extLst>
        </c:ser>
        <c:ser>
          <c:idx val="1"/>
          <c:order val="1"/>
          <c:tx>
            <c:strRef>
              <c:f>Analysis!$AA$64</c:f>
              <c:strCache>
                <c:ptCount val="1"/>
                <c:pt idx="0">
                  <c:v> # Household received remediation action</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Analysis!$V$65:$V$67</c15:sqref>
                  </c15:fullRef>
                </c:ext>
              </c:extLst>
              <c:f>Analysis!$V$65</c:f>
              <c:strCache>
                <c:ptCount val="1"/>
                <c:pt idx="0">
                  <c:v>Kachin</c:v>
                </c:pt>
              </c:strCache>
            </c:strRef>
          </c:cat>
          <c:val>
            <c:numRef>
              <c:extLst>
                <c:ext xmlns:c15="http://schemas.microsoft.com/office/drawing/2012/chart" uri="{02D57815-91ED-43cb-92C2-25804820EDAC}">
                  <c15:fullRef>
                    <c15:sqref>Analysis!$AA$65:$AA$67</c15:sqref>
                  </c15:fullRef>
                </c:ext>
              </c:extLst>
              <c:f>Analysis!$AA$65</c:f>
              <c:numCache>
                <c:formatCode>General</c:formatCode>
                <c:ptCount val="1"/>
                <c:pt idx="0">
                  <c:v>30</c:v>
                </c:pt>
              </c:numCache>
            </c:numRef>
          </c:val>
          <c:extLst>
            <c:ext xmlns:c16="http://schemas.microsoft.com/office/drawing/2014/chart" uri="{C3380CC4-5D6E-409C-BE32-E72D297353CC}">
              <c16:uniqueId val="{00000001-0EA5-49C6-8AAD-D64C44191482}"/>
            </c:ext>
          </c:extLst>
        </c:ser>
        <c:dLbls>
          <c:showLegendKey val="0"/>
          <c:showVal val="0"/>
          <c:showCatName val="0"/>
          <c:showSerName val="0"/>
          <c:showPercent val="0"/>
          <c:showBubbleSize val="0"/>
        </c:dLbls>
        <c:gapWidth val="150"/>
        <c:overlap val="100"/>
        <c:axId val="1187118288"/>
        <c:axId val="1344061744"/>
      </c:barChart>
      <c:catAx>
        <c:axId val="1187118288"/>
        <c:scaling>
          <c:orientation val="minMax"/>
        </c:scaling>
        <c:delete val="1"/>
        <c:axPos val="b"/>
        <c:numFmt formatCode="General" sourceLinked="1"/>
        <c:majorTickMark val="none"/>
        <c:minorTickMark val="none"/>
        <c:tickLblPos val="nextTo"/>
        <c:crossAx val="1344061744"/>
        <c:crosses val="autoZero"/>
        <c:auto val="1"/>
        <c:lblAlgn val="ctr"/>
        <c:lblOffset val="100"/>
        <c:noMultiLvlLbl val="0"/>
      </c:catAx>
      <c:valAx>
        <c:axId val="1344061744"/>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7118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in active camps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0219866574296047"/>
          <c:y val="0.1768920122290806"/>
          <c:w val="0.87251225217106865"/>
          <c:h val="0.48433366593957394"/>
        </c:manualLayout>
      </c:layout>
      <c:barChart>
        <c:barDir val="col"/>
        <c:grouping val="percentStacked"/>
        <c:varyColors val="0"/>
        <c:ser>
          <c:idx val="0"/>
          <c:order val="0"/>
          <c:tx>
            <c:strRef>
              <c:f>Analysis!$Q$241</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Analysis!$P$242:$P$245</c15:sqref>
                  </c15:fullRef>
                </c:ext>
              </c:extLst>
              <c:f>(Analysis!$P$242,Analysis!$P$244:$P$245)</c:f>
              <c:strCache>
                <c:ptCount val="3"/>
                <c:pt idx="0">
                  <c:v>#HH reached by regular dedicated hygiene promotion</c:v>
                </c:pt>
                <c:pt idx="1">
                  <c:v># HH received soaps</c:v>
                </c:pt>
                <c:pt idx="2">
                  <c:v># HH received Sanitary Pads</c:v>
                </c:pt>
              </c:strCache>
            </c:strRef>
          </c:cat>
          <c:val>
            <c:numRef>
              <c:extLst>
                <c:ext xmlns:c15="http://schemas.microsoft.com/office/drawing/2012/chart" uri="{02D57815-91ED-43cb-92C2-25804820EDAC}">
                  <c15:fullRef>
                    <c15:sqref>Analysis!$Q$242:$Q$245</c15:sqref>
                  </c15:fullRef>
                </c:ext>
              </c:extLst>
              <c:f>(Analysis!$Q$242,Analysis!$Q$244:$Q$245)</c:f>
              <c:numCache>
                <c:formatCode>_(* #,##0_);_(* \(#,##0\);_(* "-"??_);_(@_)</c:formatCode>
                <c:ptCount val="3"/>
                <c:pt idx="0">
                  <c:v>22896.400000000001</c:v>
                </c:pt>
                <c:pt idx="1">
                  <c:v>23929</c:v>
                </c:pt>
                <c:pt idx="2">
                  <c:v>23828</c:v>
                </c:pt>
              </c:numCache>
            </c:numRef>
          </c:val>
          <c:extLst>
            <c:ext xmlns:c16="http://schemas.microsoft.com/office/drawing/2014/chart" uri="{C3380CC4-5D6E-409C-BE32-E72D297353CC}">
              <c16:uniqueId val="{00000000-F5FF-4313-84A4-722007FD5F1B}"/>
            </c:ext>
          </c:extLst>
        </c:ser>
        <c:ser>
          <c:idx val="1"/>
          <c:order val="1"/>
          <c:tx>
            <c:strRef>
              <c:f>Analysis!$R$241</c:f>
              <c:strCache>
                <c:ptCount val="1"/>
                <c:pt idx="0">
                  <c:v>Gap</c:v>
                </c:pt>
              </c:strCache>
            </c:strRef>
          </c:tx>
          <c:spPr>
            <a:solidFill>
              <a:schemeClr val="accent6">
                <a:lumMod val="40000"/>
                <a:lumOff val="60000"/>
              </a:schemeClr>
            </a:solidFill>
            <a:ln>
              <a:noFill/>
            </a:ln>
            <a:effectLst/>
          </c:spPr>
          <c:invertIfNegative val="0"/>
          <c:dLbls>
            <c:dLbl>
              <c:idx val="1"/>
              <c:layout>
                <c:manualLayout>
                  <c:x val="0"/>
                  <c:y val="-2.427194516706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59-4DE4-BDC8-7EF66AD71170}"/>
                </c:ext>
              </c:extLst>
            </c:dLbl>
            <c:dLbl>
              <c:idx val="2"/>
              <c:layout>
                <c:manualLayout>
                  <c:x val="-2.5725572556040224E-3"/>
                  <c:y val="-2.8317269361574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59-4DE4-BDC8-7EF66AD7117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Analysis!$P$242:$P$245</c15:sqref>
                  </c15:fullRef>
                </c:ext>
              </c:extLst>
              <c:f>(Analysis!$P$242,Analysis!$P$244:$P$245)</c:f>
              <c:strCache>
                <c:ptCount val="3"/>
                <c:pt idx="0">
                  <c:v>#HH reached by regular dedicated hygiene promotion</c:v>
                </c:pt>
                <c:pt idx="1">
                  <c:v># HH received soaps</c:v>
                </c:pt>
                <c:pt idx="2">
                  <c:v># HH received Sanitary Pads</c:v>
                </c:pt>
              </c:strCache>
            </c:strRef>
          </c:cat>
          <c:val>
            <c:numRef>
              <c:extLst>
                <c:ext xmlns:c15="http://schemas.microsoft.com/office/drawing/2012/chart" uri="{02D57815-91ED-43cb-92C2-25804820EDAC}">
                  <c15:fullRef>
                    <c15:sqref>Analysis!$R$242:$R$245</c15:sqref>
                  </c15:fullRef>
                </c:ext>
              </c:extLst>
              <c:f>(Analysis!$R$242,Analysis!$R$244:$R$245)</c:f>
              <c:numCache>
                <c:formatCode>_(* #,##0_);_(* \(#,##0\);_(* "-"??_);_(@_)</c:formatCode>
                <c:ptCount val="3"/>
                <c:pt idx="0">
                  <c:v>794.59999999999854</c:v>
                </c:pt>
                <c:pt idx="1">
                  <c:v>-238</c:v>
                </c:pt>
                <c:pt idx="2">
                  <c:v>-137</c:v>
                </c:pt>
              </c:numCache>
            </c:numRef>
          </c:val>
          <c:extLst>
            <c:ext xmlns:c16="http://schemas.microsoft.com/office/drawing/2014/chart" uri="{C3380CC4-5D6E-409C-BE32-E72D297353CC}">
              <c16:uniqueId val="{00000001-F5FF-4313-84A4-722007FD5F1B}"/>
            </c:ext>
          </c:extLst>
        </c:ser>
        <c:dLbls>
          <c:showLegendKey val="0"/>
          <c:showVal val="0"/>
          <c:showCatName val="0"/>
          <c:showSerName val="0"/>
          <c:showPercent val="0"/>
          <c:showBubbleSize val="0"/>
        </c:dLbls>
        <c:gapWidth val="150"/>
        <c:overlap val="100"/>
        <c:axId val="417017024"/>
        <c:axId val="417015456"/>
      </c:barChart>
      <c:catAx>
        <c:axId val="4170170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5456"/>
        <c:crosses val="autoZero"/>
        <c:auto val="1"/>
        <c:lblAlgn val="ctr"/>
        <c:lblOffset val="100"/>
        <c:noMultiLvlLbl val="0"/>
      </c:catAx>
      <c:valAx>
        <c:axId val="417015456"/>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7024"/>
        <c:crosses val="autoZero"/>
        <c:crossBetween val="between"/>
        <c:majorUnit val="0.2"/>
      </c:valAx>
      <c:spPr>
        <a:noFill/>
        <a:ln>
          <a:noFill/>
        </a:ln>
        <a:effectLst/>
      </c:spPr>
    </c:plotArea>
    <c:legend>
      <c:legendPos val="b"/>
      <c:legendEntry>
        <c:idx val="1"/>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Entry>
      <c:layout>
        <c:manualLayout>
          <c:xMode val="edge"/>
          <c:yMode val="edge"/>
          <c:x val="0.39631435292145367"/>
          <c:y val="0.88868555664118631"/>
          <c:w val="0.28858398950131231"/>
          <c:h val="8.136326709161355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[20190516_Myanmar_WASH_4W_2019_Q1_Consolidate.xlsx]Analysis!R_Geo</c:name>
    <c:fmtId val="16"/>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Number of Sites - Coverage/Gaps</a:t>
            </a:r>
          </a:p>
        </c:rich>
      </c:tx>
      <c:layout>
        <c:manualLayout>
          <c:xMode val="edge"/>
          <c:yMode val="edge"/>
          <c:x val="0.24044580033600649"/>
          <c:y val="5.06169790390930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s>
    <c:plotArea>
      <c:layout>
        <c:manualLayout>
          <c:layoutTarget val="inner"/>
          <c:xMode val="edge"/>
          <c:yMode val="edge"/>
          <c:x val="0.19953843589953474"/>
          <c:y val="0.18660346170653391"/>
          <c:w val="0.70386355380808219"/>
          <c:h val="0.61659333224571267"/>
        </c:manualLayout>
      </c:layout>
      <c:barChart>
        <c:barDir val="bar"/>
        <c:grouping val="clustered"/>
        <c:varyColors val="0"/>
        <c:ser>
          <c:idx val="0"/>
          <c:order val="0"/>
          <c:tx>
            <c:strRef>
              <c:f>Analysis!$I$330:$I$331</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Analysis!$H$332:$H$335</c:f>
              <c:strCache>
                <c:ptCount val="4"/>
                <c:pt idx="0">
                  <c:v>Camp</c:v>
                </c:pt>
                <c:pt idx="1">
                  <c:v>Village</c:v>
                </c:pt>
                <c:pt idx="2">
                  <c:v>Village_Not HRP</c:v>
                </c:pt>
                <c:pt idx="3">
                  <c:v>New Temporary Site</c:v>
                </c:pt>
              </c:strCache>
            </c:strRef>
          </c:cat>
          <c:val>
            <c:numRef>
              <c:f>Analysis!$I$332:$I$335</c:f>
              <c:numCache>
                <c:formatCode>General</c:formatCode>
                <c:ptCount val="4"/>
                <c:pt idx="0">
                  <c:v>25</c:v>
                </c:pt>
                <c:pt idx="1">
                  <c:v>186</c:v>
                </c:pt>
                <c:pt idx="2">
                  <c:v>22</c:v>
                </c:pt>
                <c:pt idx="3">
                  <c:v>49</c:v>
                </c:pt>
              </c:numCache>
            </c:numRef>
          </c:val>
          <c:extLst>
            <c:ext xmlns:c16="http://schemas.microsoft.com/office/drawing/2014/chart" uri="{C3380CC4-5D6E-409C-BE32-E72D297353CC}">
              <c16:uniqueId val="{00000000-30DA-42B0-8831-535E468CE2F5}"/>
            </c:ext>
          </c:extLst>
        </c:ser>
        <c:ser>
          <c:idx val="1"/>
          <c:order val="1"/>
          <c:tx>
            <c:strRef>
              <c:f>Analysis!$J$330:$J$331</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Analysis!$H$332:$H$335</c:f>
              <c:strCache>
                <c:ptCount val="4"/>
                <c:pt idx="0">
                  <c:v>Camp</c:v>
                </c:pt>
                <c:pt idx="1">
                  <c:v>Village</c:v>
                </c:pt>
                <c:pt idx="2">
                  <c:v>Village_Not HRP</c:v>
                </c:pt>
                <c:pt idx="3">
                  <c:v>New Temporary Site</c:v>
                </c:pt>
              </c:strCache>
            </c:strRef>
          </c:cat>
          <c:val>
            <c:numRef>
              <c:f>Analysis!$J$332:$J$335</c:f>
              <c:numCache>
                <c:formatCode>General</c:formatCode>
                <c:ptCount val="4"/>
                <c:pt idx="1">
                  <c:v>8</c:v>
                </c:pt>
                <c:pt idx="3">
                  <c:v>46</c:v>
                </c:pt>
              </c:numCache>
            </c:numRef>
          </c:val>
          <c:extLst>
            <c:ext xmlns:c16="http://schemas.microsoft.com/office/drawing/2014/chart" uri="{C3380CC4-5D6E-409C-BE32-E72D297353CC}">
              <c16:uniqueId val="{00000001-30DA-42B0-8831-535E468CE2F5}"/>
            </c:ext>
          </c:extLst>
        </c:ser>
        <c:dLbls>
          <c:showLegendKey val="0"/>
          <c:showVal val="0"/>
          <c:showCatName val="0"/>
          <c:showSerName val="0"/>
          <c:showPercent val="0"/>
          <c:showBubbleSize val="0"/>
        </c:dLbls>
        <c:gapWidth val="100"/>
        <c:axId val="417007224"/>
        <c:axId val="417013496"/>
      </c:barChart>
      <c:catAx>
        <c:axId val="41700722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417013496"/>
        <c:crosses val="autoZero"/>
        <c:auto val="1"/>
        <c:lblAlgn val="ctr"/>
        <c:lblOffset val="100"/>
        <c:noMultiLvlLbl val="0"/>
      </c:catAx>
      <c:valAx>
        <c:axId val="417013496"/>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417007224"/>
        <c:crosses val="autoZero"/>
        <c:crossBetween val="between"/>
      </c:valAx>
      <c:spPr>
        <a:noFill/>
        <a:ln>
          <a:noFill/>
        </a:ln>
        <a:effectLst/>
      </c:spPr>
    </c:plotArea>
    <c:legend>
      <c:legendPos val="r"/>
      <c:layout>
        <c:manualLayout>
          <c:xMode val="edge"/>
          <c:yMode val="edge"/>
          <c:x val="0.88825752779955003"/>
          <c:y val="0.38298215948169401"/>
          <c:w val="0.11174247220045003"/>
          <c:h val="0.2748539678317574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Number of ppl Covered</a:t>
            </a:r>
            <a:r>
              <a:rPr lang="en-US" sz="1400" baseline="0"/>
              <a:t> against 2019 HRP targets</a:t>
            </a:r>
          </a:p>
          <a:p>
            <a:pPr>
              <a:defRPr sz="1400"/>
            </a:pPr>
            <a:r>
              <a:rPr lang="en-US" sz="1400"/>
              <a:t> (in</a:t>
            </a:r>
            <a:r>
              <a:rPr lang="en-US" sz="1400" baseline="0"/>
              <a:t> IDP camps)</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HRP!$H$128</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1-80AE-4D26-A150-8FAE5CF11C26}"/>
              </c:ext>
            </c:extLst>
          </c:dPt>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3-80AE-4D26-A150-8FAE5CF11C2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HRP!$F$129:$F$131</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HRP!$H$129:$H$131</c:f>
              <c:numCache>
                <c:formatCode>_(* #,##0_);_(* \(#,##0\);_(* "-"??_);_(@_)</c:formatCode>
                <c:ptCount val="3"/>
                <c:pt idx="0">
                  <c:v>116532</c:v>
                </c:pt>
                <c:pt idx="1">
                  <c:v>78732</c:v>
                </c:pt>
                <c:pt idx="2">
                  <c:v>107578</c:v>
                </c:pt>
              </c:numCache>
            </c:numRef>
          </c:val>
          <c:extLst>
            <c:ext xmlns:c16="http://schemas.microsoft.com/office/drawing/2014/chart" uri="{C3380CC4-5D6E-409C-BE32-E72D297353CC}">
              <c16:uniqueId val="{00000008-80AE-4D26-A150-8FAE5CF11C26}"/>
            </c:ext>
          </c:extLst>
        </c:ser>
        <c:ser>
          <c:idx val="1"/>
          <c:order val="1"/>
          <c:tx>
            <c:strRef>
              <c:f>HRP!$I$128</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A-80AE-4D26-A150-8FAE5CF11C26}"/>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C-80AE-4D26-A150-8FAE5CF11C26}"/>
              </c:ext>
            </c:extLst>
          </c:dPt>
          <c:dLbls>
            <c:dLbl>
              <c:idx val="0"/>
              <c:delete val="1"/>
              <c:extLst>
                <c:ext xmlns:c15="http://schemas.microsoft.com/office/drawing/2012/chart" uri="{CE6537A1-D6FC-4f65-9D91-7224C49458BB}"/>
                <c:ext xmlns:c16="http://schemas.microsoft.com/office/drawing/2014/chart" uri="{C3380CC4-5D6E-409C-BE32-E72D297353CC}">
                  <c16:uniqueId val="{0000000A-80AE-4D26-A150-8FAE5CF11C26}"/>
                </c:ext>
              </c:extLst>
            </c:dLbl>
            <c:dLbl>
              <c:idx val="2"/>
              <c:layout>
                <c:manualLayout>
                  <c:x val="-1.8046247343303647E-2"/>
                  <c:y val="8.06663998953098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0AE-4D26-A150-8FAE5CF11C2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HRP!$F$129:$F$131</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HRP!$I$129:$I$131</c:f>
              <c:numCache>
                <c:formatCode>_(* #,##0_);_(* \(#,##0\);_(* "-"??_);_(@_)</c:formatCode>
                <c:ptCount val="3"/>
                <c:pt idx="0">
                  <c:v>5473</c:v>
                </c:pt>
                <c:pt idx="1">
                  <c:v>32327</c:v>
                </c:pt>
                <c:pt idx="2">
                  <c:v>3481</c:v>
                </c:pt>
              </c:numCache>
            </c:numRef>
          </c:val>
          <c:extLst>
            <c:ext xmlns:c16="http://schemas.microsoft.com/office/drawing/2014/chart" uri="{C3380CC4-5D6E-409C-BE32-E72D297353CC}">
              <c16:uniqueId val="{00000013-80AE-4D26-A150-8FAE5CF11C26}"/>
            </c:ext>
          </c:extLst>
        </c:ser>
        <c:dLbls>
          <c:showLegendKey val="0"/>
          <c:showVal val="0"/>
          <c:showCatName val="0"/>
          <c:showSerName val="0"/>
          <c:showPercent val="0"/>
          <c:showBubbleSize val="0"/>
        </c:dLbls>
        <c:gapWidth val="150"/>
        <c:overlap val="100"/>
        <c:axId val="417013888"/>
        <c:axId val="417006440"/>
      </c:barChart>
      <c:catAx>
        <c:axId val="41701388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2"/>
                </a:solidFill>
                <a:latin typeface="+mn-lt"/>
                <a:ea typeface="+mn-ea"/>
                <a:cs typeface="+mn-cs"/>
              </a:defRPr>
            </a:pPr>
            <a:endParaRPr lang="en-US"/>
          </a:p>
        </c:txPr>
        <c:crossAx val="417006440"/>
        <c:crosses val="autoZero"/>
        <c:auto val="1"/>
        <c:lblAlgn val="ctr"/>
        <c:lblOffset val="100"/>
        <c:noMultiLvlLbl val="0"/>
      </c:catAx>
      <c:valAx>
        <c:axId val="417006440"/>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38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1361-4C52-9488-B12D2B6D9B0F}"/>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1361-4C52-9488-B12D2B6D9B0F}"/>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1361-4C52-9488-B12D2B6D9B0F}"/>
              </c:ext>
            </c:extLst>
          </c:dPt>
          <c:dLbls>
            <c:dLbl>
              <c:idx val="0"/>
              <c:layout>
                <c:manualLayout>
                  <c:x val="-0.15679672226352562"/>
                  <c:y val="-4.4698534496219133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361-4C52-9488-B12D2B6D9B0F}"/>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3-1361-4C52-9488-B12D2B6D9B0F}"/>
                </c:ext>
              </c:extLst>
            </c:dLbl>
            <c:dLbl>
              <c:idx val="2"/>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5-1361-4C52-9488-B12D2B6D9B0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Analysis!$O$143:$O$145</c:f>
              <c:strCache>
                <c:ptCount val="3"/>
                <c:pt idx="0">
                  <c:v>Functioning</c:v>
                </c:pt>
                <c:pt idx="1">
                  <c:v>Operation &amp; maintenance</c:v>
                </c:pt>
                <c:pt idx="2">
                  <c:v>Desludging</c:v>
                </c:pt>
              </c:strCache>
            </c:strRef>
          </c:cat>
          <c:val>
            <c:numRef>
              <c:f>Analysis!$P$143:$P$145</c:f>
              <c:numCache>
                <c:formatCode>_(* #,##0_);_(* \(#,##0\);_(* "-"??_);_(@_)</c:formatCode>
                <c:ptCount val="3"/>
                <c:pt idx="0">
                  <c:v>4556</c:v>
                </c:pt>
                <c:pt idx="1">
                  <c:v>2546</c:v>
                </c:pt>
                <c:pt idx="2">
                  <c:v>2977</c:v>
                </c:pt>
              </c:numCache>
            </c:numRef>
          </c:val>
          <c:extLst>
            <c:ext xmlns:c16="http://schemas.microsoft.com/office/drawing/2014/chart" uri="{C3380CC4-5D6E-409C-BE32-E72D297353CC}">
              <c16:uniqueId val="{00000006-1361-4C52-9488-B12D2B6D9B0F}"/>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9570489672864391"/>
          <c:y val="0.32930504600372645"/>
          <c:w val="0.37480815520879435"/>
          <c:h val="0.5124959983260561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Latrines handed over to families</a:t>
            </a:r>
          </a:p>
        </c:rich>
      </c:tx>
      <c:layout>
        <c:manualLayout>
          <c:xMode val="edge"/>
          <c:yMode val="edge"/>
          <c:x val="0.13453094665166407"/>
          <c:y val="2.488188939353627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225514443705085"/>
          <c:y val="0.19775302824349142"/>
          <c:w val="0.73408816291109003"/>
          <c:h val="0.42142671578260205"/>
        </c:manualLayout>
      </c:layout>
      <c:barChart>
        <c:barDir val="col"/>
        <c:grouping val="percentStacked"/>
        <c:varyColors val="0"/>
        <c:ser>
          <c:idx val="0"/>
          <c:order val="0"/>
          <c:tx>
            <c:strRef>
              <c:f>Analysis!$K$145</c:f>
              <c:strCache>
                <c:ptCount val="1"/>
                <c:pt idx="0">
                  <c:v> Latrines handed over </c:v>
                </c:pt>
              </c:strCache>
            </c:strRef>
          </c:tx>
          <c:spPr>
            <a:solidFill>
              <a:schemeClr val="accent2">
                <a:lumMod val="75000"/>
              </a:schemeClr>
            </a:solidFill>
            <a:ln>
              <a:noFill/>
            </a:ln>
            <a:effectLst/>
          </c:spPr>
          <c:invertIfNegative val="0"/>
          <c:dLbls>
            <c:dLbl>
              <c:idx val="1"/>
              <c:layout>
                <c:manualLayout>
                  <c:x val="-7.935482098411592E-3"/>
                  <c:y val="-1.829770282830965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E2-43B6-8FB5-AB875B4A658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Analysis!$L$142:$M$142</c:f>
              <c:strCache>
                <c:ptCount val="2"/>
                <c:pt idx="0">
                  <c:v> # in active camps (20:1) </c:v>
                </c:pt>
                <c:pt idx="1">
                  <c:v> # in villages (6:1) </c:v>
                </c:pt>
              </c:strCache>
            </c:strRef>
          </c:cat>
          <c:val>
            <c:numRef>
              <c:f>Analysis!$L$145:$M$145</c:f>
              <c:numCache>
                <c:formatCode>_(* #,##0_);_(* \(#,##0\);_(* "-"??_);_(@_)</c:formatCode>
                <c:ptCount val="2"/>
                <c:pt idx="0">
                  <c:v>4097</c:v>
                </c:pt>
                <c:pt idx="1">
                  <c:v>1593</c:v>
                </c:pt>
              </c:numCache>
            </c:numRef>
          </c:val>
          <c:extLst>
            <c:ext xmlns:c16="http://schemas.microsoft.com/office/drawing/2014/chart" uri="{C3380CC4-5D6E-409C-BE32-E72D297353CC}">
              <c16:uniqueId val="{00000000-D438-4C53-93B3-9FA74B8C19A7}"/>
            </c:ext>
          </c:extLst>
        </c:ser>
        <c:ser>
          <c:idx val="1"/>
          <c:order val="1"/>
          <c:tx>
            <c:strRef>
              <c:f>Analysis!$K$146</c:f>
              <c:strCache>
                <c:ptCount val="1"/>
                <c:pt idx="0">
                  <c:v> Latrines not handed over </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Analysis!$L$142:$M$142</c:f>
              <c:strCache>
                <c:ptCount val="2"/>
                <c:pt idx="0">
                  <c:v> # in active camps (20:1) </c:v>
                </c:pt>
                <c:pt idx="1">
                  <c:v> # in villages (6:1) </c:v>
                </c:pt>
              </c:strCache>
            </c:strRef>
          </c:cat>
          <c:val>
            <c:numRef>
              <c:f>Analysis!$L$146:$M$146</c:f>
              <c:numCache>
                <c:formatCode>_(* #,##0_);_(* \(#,##0\);_(* "-"??_);_(@_)</c:formatCode>
                <c:ptCount val="2"/>
                <c:pt idx="0">
                  <c:v>1854</c:v>
                </c:pt>
                <c:pt idx="1">
                  <c:v>33691</c:v>
                </c:pt>
              </c:numCache>
            </c:numRef>
          </c:val>
          <c:extLst>
            <c:ext xmlns:c16="http://schemas.microsoft.com/office/drawing/2014/chart" uri="{C3380CC4-5D6E-409C-BE32-E72D297353CC}">
              <c16:uniqueId val="{00000001-D438-4C53-93B3-9FA74B8C19A7}"/>
            </c:ext>
          </c:extLst>
        </c:ser>
        <c:dLbls>
          <c:dLblPos val="ctr"/>
          <c:showLegendKey val="0"/>
          <c:showVal val="1"/>
          <c:showCatName val="0"/>
          <c:showSerName val="0"/>
          <c:showPercent val="0"/>
          <c:showBubbleSize val="0"/>
        </c:dLbls>
        <c:gapWidth val="150"/>
        <c:overlap val="100"/>
        <c:axId val="417008792"/>
        <c:axId val="417009184"/>
      </c:barChart>
      <c:catAx>
        <c:axId val="41700879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09184"/>
        <c:crosses val="autoZero"/>
        <c:auto val="1"/>
        <c:lblAlgn val="ctr"/>
        <c:lblOffset val="100"/>
        <c:noMultiLvlLbl val="0"/>
      </c:catAx>
      <c:valAx>
        <c:axId val="417009184"/>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08792"/>
        <c:crosses val="autoZero"/>
        <c:crossBetween val="between"/>
      </c:valAx>
      <c:spPr>
        <a:noFill/>
        <a:ln>
          <a:noFill/>
        </a:ln>
        <a:effectLst/>
      </c:spPr>
    </c:plotArea>
    <c:legend>
      <c:legendPos val="b"/>
      <c:layout>
        <c:manualLayout>
          <c:xMode val="edge"/>
          <c:yMode val="edge"/>
          <c:x val="7.676059010014509E-2"/>
          <c:y val="0.82722290293672907"/>
          <c:w val="0.91175567514967248"/>
          <c:h val="0.1528714082562670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u="none" strike="noStrike" baseline="0">
                <a:effectLst/>
              </a:rPr>
              <a:t>Constructed surface water drainage system</a:t>
            </a:r>
            <a:r>
              <a:rPr lang="en-US" sz="1400"/>
              <a:t> in active camps</a:t>
            </a:r>
          </a:p>
        </c:rich>
      </c:tx>
      <c:layout>
        <c:manualLayout>
          <c:xMode val="edge"/>
          <c:yMode val="edge"/>
          <c:x val="0.31744740740028904"/>
          <c:y val="1.88516803230020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8.9521466483290055E-2"/>
          <c:y val="0.28979476523767861"/>
          <c:w val="0.47782568381436591"/>
          <c:h val="0.56131488772236804"/>
        </c:manualLayout>
      </c:layout>
      <c:pieChart>
        <c:varyColors val="1"/>
        <c:ser>
          <c:idx val="1"/>
          <c:order val="1"/>
          <c:tx>
            <c:strRef>
              <c:f>Analysis!$B$173</c:f>
              <c:strCache>
                <c:ptCount val="1"/>
                <c:pt idx="0">
                  <c:v>Rakhine</c:v>
                </c:pt>
              </c:strCache>
              <c:extLst xmlns:c15="http://schemas.microsoft.com/office/drawing/2012/chart"/>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1-122C-4636-A191-0ADF6FD821A0}"/>
              </c:ext>
            </c:extLst>
          </c:dPt>
          <c:dPt>
            <c:idx val="1"/>
            <c:bubble3D val="0"/>
            <c:spPr>
              <a:solidFill>
                <a:schemeClr val="bg1">
                  <a:lumMod val="75000"/>
                </a:schemeClr>
              </a:solidFill>
              <a:ln>
                <a:noFill/>
              </a:ln>
              <a:effectLst/>
            </c:spPr>
            <c:extLst>
              <c:ext xmlns:c16="http://schemas.microsoft.com/office/drawing/2014/chart" uri="{C3380CC4-5D6E-409C-BE32-E72D297353CC}">
                <c16:uniqueId val="{00000003-122C-4636-A191-0ADF6FD821A0}"/>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5-122C-4636-A191-0ADF6FD821A0}"/>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c:ext xmlns:c16="http://schemas.microsoft.com/office/drawing/2014/chart" uri="{C3380CC4-5D6E-409C-BE32-E72D297353CC}">
                <c16:uniqueId val="{00000007-122C-4636-A191-0ADF6FD821A0}"/>
              </c:ext>
            </c:extLst>
          </c:dPt>
          <c:dLbls>
            <c:dLbl>
              <c:idx val="0"/>
              <c:layout>
                <c:manualLayout>
                  <c:x val="-0.14783023425981884"/>
                  <c:y val="-4.6805323500605032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22C-4636-A191-0ADF6FD821A0}"/>
                </c:ext>
              </c:extLst>
            </c:dLbl>
            <c:dLbl>
              <c:idx val="1"/>
              <c:layout>
                <c:manualLayout>
                  <c:x val="0.13423946731874342"/>
                  <c:y val="0.1223018694697872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22C-4636-A191-0ADF6FD821A0}"/>
                </c:ext>
              </c:extLst>
            </c:dLbl>
            <c:dLbl>
              <c:idx val="3"/>
              <c:layout>
                <c:manualLayout>
                  <c:x val="3.5601505668691198E-2"/>
                  <c:y val="0.1813401158670685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22C-4636-A191-0ADF6FD821A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f>Analysis!$C$171:$F$171</c:f>
              <c:strCache>
                <c:ptCount val="4"/>
                <c:pt idx="0">
                  <c:v>Functional</c:v>
                </c:pt>
                <c:pt idx="1">
                  <c:v>NA</c:v>
                </c:pt>
                <c:pt idx="2">
                  <c:v>Not_Functional</c:v>
                </c:pt>
                <c:pt idx="3">
                  <c:v>Not_inPlace</c:v>
                </c:pt>
              </c:strCache>
              <c:extLst xmlns:c15="http://schemas.microsoft.com/office/drawing/2012/chart"/>
            </c:strRef>
          </c:cat>
          <c:val>
            <c:numRef>
              <c:f>Analysis!$C$173:$F$173</c:f>
              <c:numCache>
                <c:formatCode>General</c:formatCode>
                <c:ptCount val="4"/>
                <c:pt idx="0">
                  <c:v>17</c:v>
                </c:pt>
                <c:pt idx="1">
                  <c:v>7</c:v>
                </c:pt>
                <c:pt idx="2">
                  <c:v>1</c:v>
                </c:pt>
                <c:pt idx="3">
                  <c:v>0</c:v>
                </c:pt>
              </c:numCache>
              <c:extLst xmlns:c15="http://schemas.microsoft.com/office/drawing/2012/chart"/>
            </c:numRef>
          </c:val>
          <c:extLst>
            <c:ext xmlns:c16="http://schemas.microsoft.com/office/drawing/2014/chart" uri="{C3380CC4-5D6E-409C-BE32-E72D297353CC}">
              <c16:uniqueId val="{00000008-122C-4636-A191-0ADF6FD821A0}"/>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Analysis!$B$172</c15:sqref>
                        </c15:formulaRef>
                      </c:ext>
                    </c:extLst>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1-3A63-4C59-8DE1-219A0638CA1F}"/>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c:ext xmlns:c16="http://schemas.microsoft.com/office/drawing/2014/chart" uri="{C3380CC4-5D6E-409C-BE32-E72D297353CC}">
                      <c16:uniqueId val="{00000003-3A63-4C59-8DE1-219A0638CA1F}"/>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5-3A63-4C59-8DE1-219A0638CA1F}"/>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c:ext xmlns:c16="http://schemas.microsoft.com/office/drawing/2014/chart" uri="{C3380CC4-5D6E-409C-BE32-E72D297353CC}">
                      <c16:uniqueId val="{00000007-3A63-4C59-8DE1-219A0638CA1F}"/>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3A63-4C59-8DE1-219A0638CA1F}"/>
                      </c:ext>
                    </c:extLst>
                  </c:dLbl>
                  <c:dLbl>
                    <c:idx val="1"/>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3-3A63-4C59-8DE1-219A0638CA1F}"/>
                      </c:ext>
                    </c:extLst>
                  </c:dLbl>
                  <c:dLbl>
                    <c:idx val="3"/>
                    <c:layout>
                      <c:manualLayout>
                        <c:x val="4.4142253079837497E-2"/>
                        <c:y val="0.12624238229460433"/>
                      </c:manualLayout>
                    </c:layout>
                    <c:dLblPos val="bestFit"/>
                    <c:showLegendKey val="0"/>
                    <c:showVal val="0"/>
                    <c:showCatName val="0"/>
                    <c:showSerName val="0"/>
                    <c:showPercent val="1"/>
                    <c:showBubbleSize val="0"/>
                    <c:extLst>
                      <c:ext uri="{CE6537A1-D6FC-4f65-9D91-7224C49458BB}"/>
                      <c:ext xmlns:c16="http://schemas.microsoft.com/office/drawing/2014/chart" uri="{C3380CC4-5D6E-409C-BE32-E72D297353CC}">
                        <c16:uniqueId val="{00000007-3A63-4C59-8DE1-219A0638CA1F}"/>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Analysis!$C$171:$F$171</c15:sqref>
                        </c15:formulaRef>
                      </c:ext>
                    </c:extLst>
                    <c:strCache>
                      <c:ptCount val="4"/>
                      <c:pt idx="0">
                        <c:v>Functional</c:v>
                      </c:pt>
                      <c:pt idx="1">
                        <c:v>NA</c:v>
                      </c:pt>
                      <c:pt idx="2">
                        <c:v>Not_Functional</c:v>
                      </c:pt>
                      <c:pt idx="3">
                        <c:v>Not_inPlace</c:v>
                      </c:pt>
                    </c:strCache>
                  </c:strRef>
                </c:cat>
                <c:val>
                  <c:numRef>
                    <c:extLst>
                      <c:ext uri="{02D57815-91ED-43cb-92C2-25804820EDAC}">
                        <c15:formulaRef>
                          <c15:sqref>Analysis!$C$172:$F$172</c15:sqref>
                        </c15:formulaRef>
                      </c:ext>
                    </c:extLst>
                    <c:numCache>
                      <c:formatCode>General</c:formatCode>
                      <c:ptCount val="4"/>
                      <c:pt idx="0">
                        <c:v>95</c:v>
                      </c:pt>
                      <c:pt idx="1">
                        <c:v>8</c:v>
                      </c:pt>
                      <c:pt idx="2">
                        <c:v>18</c:v>
                      </c:pt>
                      <c:pt idx="3">
                        <c:v>12</c:v>
                      </c:pt>
                    </c:numCache>
                  </c:numRef>
                </c:val>
                <c:extLst>
                  <c:ext xmlns:c16="http://schemas.microsoft.com/office/drawing/2014/chart" uri="{C3380CC4-5D6E-409C-BE32-E72D297353CC}">
                    <c16:uniqueId val="{00000008-3A63-4C59-8DE1-219A0638CA1F}"/>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Analysis!$B$174</c15:sqref>
                        </c15:formulaRef>
                      </c:ext>
                    </c:extLst>
                    <c:strCache>
                      <c:ptCount val="1"/>
                      <c:pt idx="0">
                        <c:v>Shan (North)</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2-122C-4636-A191-0ADF6FD821A0}"/>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4-122C-4636-A191-0ADF6FD821A0}"/>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6-122C-4636-A191-0ADF6FD821A0}"/>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8-122C-4636-A191-0ADF6FD821A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Analysis!$C$171:$F$171</c15:sqref>
                        </c15:formulaRef>
                      </c:ext>
                    </c:extLst>
                    <c:strCache>
                      <c:ptCount val="4"/>
                      <c:pt idx="0">
                        <c:v>Functional</c:v>
                      </c:pt>
                      <c:pt idx="1">
                        <c:v>NA</c:v>
                      </c:pt>
                      <c:pt idx="2">
                        <c:v>Not_Functional</c:v>
                      </c:pt>
                      <c:pt idx="3">
                        <c:v>Not_inPlace</c:v>
                      </c:pt>
                    </c:strCache>
                  </c:strRef>
                </c:cat>
                <c:val>
                  <c:numRef>
                    <c:extLst xmlns:c15="http://schemas.microsoft.com/office/drawing/2012/chart">
                      <c:ext xmlns:c15="http://schemas.microsoft.com/office/drawing/2012/chart" uri="{02D57815-91ED-43cb-92C2-25804820EDAC}">
                        <c15:formulaRef>
                          <c15:sqref>Analysis!$C$174:$F$174</c15:sqref>
                        </c15:formulaRef>
                      </c:ext>
                    </c:extLst>
                    <c:numCache>
                      <c:formatCode>General</c:formatCode>
                      <c:ptCount val="4"/>
                      <c:pt idx="0">
                        <c:v>16</c:v>
                      </c:pt>
                      <c:pt idx="1">
                        <c:v>0</c:v>
                      </c:pt>
                      <c:pt idx="2">
                        <c:v>6</c:v>
                      </c:pt>
                      <c:pt idx="3">
                        <c:v>6</c:v>
                      </c:pt>
                    </c:numCache>
                  </c:numRef>
                </c:val>
                <c:extLst xmlns:c15="http://schemas.microsoft.com/office/drawing/2012/chart">
                  <c:ext xmlns:c16="http://schemas.microsoft.com/office/drawing/2014/chart" uri="{C3380CC4-5D6E-409C-BE32-E72D297353CC}">
                    <c16:uniqueId val="{00000019-122C-4636-A191-0ADF6FD821A0}"/>
                  </c:ext>
                </c:extLst>
              </c15:ser>
            </c15:filteredPieSeries>
          </c:ext>
        </c:extLst>
      </c:pieChart>
      <c:spPr>
        <a:noFill/>
        <a:ln>
          <a:noFill/>
        </a:ln>
        <a:effectLst/>
      </c:spPr>
    </c:plotArea>
    <c:legend>
      <c:legendPos val="r"/>
      <c:layout>
        <c:manualLayout>
          <c:xMode val="edge"/>
          <c:yMode val="edge"/>
          <c:x val="0.59767924838886533"/>
          <c:y val="0.31178609379002692"/>
          <c:w val="0.3578265654579012"/>
          <c:h val="0.4443576143645357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Effective solid waste management system in place </a:t>
            </a:r>
          </a:p>
        </c:rich>
      </c:tx>
      <c:layout>
        <c:manualLayout>
          <c:xMode val="edge"/>
          <c:yMode val="edge"/>
          <c:x val="0.14399283986715838"/>
          <c:y val="1.8677871428592438E-2"/>
        </c:manualLayout>
      </c:layout>
      <c:overlay val="0"/>
      <c:spPr>
        <a:noFill/>
        <a:ln>
          <a:noFill/>
        </a:ln>
        <a:effectLst/>
      </c:spPr>
    </c:title>
    <c:autoTitleDeleted val="0"/>
    <c:plotArea>
      <c:layout>
        <c:manualLayout>
          <c:layoutTarget val="inner"/>
          <c:xMode val="edge"/>
          <c:yMode val="edge"/>
          <c:x val="0.12009439369697462"/>
          <c:y val="0.26896004098757131"/>
          <c:w val="0.47601172045347478"/>
          <c:h val="0.63147676764706107"/>
        </c:manualLayout>
      </c:layout>
      <c:pieChart>
        <c:varyColors val="1"/>
        <c:ser>
          <c:idx val="1"/>
          <c:order val="1"/>
          <c:tx>
            <c:strRef>
              <c:f>Analysis!$B$189</c:f>
              <c:strCache>
                <c:ptCount val="1"/>
                <c:pt idx="0">
                  <c:v>Rakhine</c:v>
                </c:pt>
              </c:strCache>
              <c:extLst xmlns:c15="http://schemas.microsoft.com/office/drawing/2012/chart"/>
            </c:strRef>
          </c:tx>
          <c:dPt>
            <c:idx val="0"/>
            <c:bubble3D val="0"/>
            <c:spPr>
              <a:solidFill>
                <a:schemeClr val="bg1">
                  <a:lumMod val="75000"/>
                </a:schemeClr>
              </a:solidFill>
              <a:ln>
                <a:noFill/>
              </a:ln>
              <a:effectLst/>
            </c:spPr>
            <c:extLst>
              <c:ext xmlns:c16="http://schemas.microsoft.com/office/drawing/2014/chart" uri="{C3380CC4-5D6E-409C-BE32-E72D297353CC}">
                <c16:uniqueId val="{00000001-E2F0-4F09-9FE6-B32474432E6F}"/>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E2F0-4F09-9FE6-B32474432E6F}"/>
              </c:ext>
            </c:extLst>
          </c:dPt>
          <c:dPt>
            <c:idx val="2"/>
            <c:bubble3D val="0"/>
            <c:spPr>
              <a:solidFill>
                <a:schemeClr val="accent2">
                  <a:lumMod val="75000"/>
                </a:schemeClr>
              </a:solidFill>
              <a:ln>
                <a:noFill/>
              </a:ln>
              <a:effectLst/>
            </c:spPr>
            <c:extLst>
              <c:ext xmlns:c16="http://schemas.microsoft.com/office/drawing/2014/chart" uri="{C3380CC4-5D6E-409C-BE32-E72D297353CC}">
                <c16:uniqueId val="{00000005-E2F0-4F09-9FE6-B32474432E6F}"/>
              </c:ext>
            </c:extLst>
          </c:dPt>
          <c:dLbls>
            <c:dLbl>
              <c:idx val="0"/>
              <c:delete val="1"/>
              <c:extLst>
                <c:ext xmlns:c15="http://schemas.microsoft.com/office/drawing/2012/chart" uri="{CE6537A1-D6FC-4f65-9D91-7224C49458BB}"/>
                <c:ext xmlns:c16="http://schemas.microsoft.com/office/drawing/2014/chart" uri="{C3380CC4-5D6E-409C-BE32-E72D297353CC}">
                  <c16:uniqueId val="{00000001-E2F0-4F09-9FE6-B32474432E6F}"/>
                </c:ext>
              </c:extLst>
            </c:dLbl>
            <c:dLbl>
              <c:idx val="1"/>
              <c:layout>
                <c:manualLayout>
                  <c:x val="-1.0104193731035414E-2"/>
                  <c:y val="9.2919654987204198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44546A"/>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2F0-4F09-9FE6-B32474432E6F}"/>
                </c:ext>
              </c:extLst>
            </c:dLbl>
            <c:dLbl>
              <c:idx val="2"/>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5-E2F0-4F09-9FE6-B32474432E6F}"/>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Analysis!$C$187:$F$187</c15:sqref>
                  </c15:fullRef>
                </c:ext>
              </c:extLst>
              <c:f>Analysis!$C$187:$E$187</c:f>
              <c:strCache>
                <c:ptCount val="3"/>
                <c:pt idx="0">
                  <c:v>NA</c:v>
                </c:pt>
                <c:pt idx="1">
                  <c:v>No</c:v>
                </c:pt>
                <c:pt idx="2">
                  <c:v>Yes</c:v>
                </c:pt>
              </c:strCache>
            </c:strRef>
          </c:cat>
          <c:val>
            <c:numRef>
              <c:extLst>
                <c:ext xmlns:c15="http://schemas.microsoft.com/office/drawing/2012/chart" uri="{02D57815-91ED-43cb-92C2-25804820EDAC}">
                  <c15:fullRef>
                    <c15:sqref>Analysis!$C$189:$F$189</c15:sqref>
                  </c15:fullRef>
                </c:ext>
              </c:extLst>
              <c:f>Analysis!$C$189:$E$189</c:f>
              <c:numCache>
                <c:formatCode>General</c:formatCode>
                <c:ptCount val="3"/>
                <c:pt idx="0">
                  <c:v>0</c:v>
                </c:pt>
                <c:pt idx="1">
                  <c:v>1</c:v>
                </c:pt>
                <c:pt idx="2">
                  <c:v>24</c:v>
                </c:pt>
              </c:numCache>
            </c:numRef>
          </c:val>
          <c:extLst>
            <c:ext xmlns:c15="http://schemas.microsoft.com/office/drawing/2012/chart" uri="{02D57815-91ED-43cb-92C2-25804820EDAC}">
              <c15:categoryFilterExceptions>
                <c15:categoryFilterException>
                  <c15:sqref>Analysis!$F$189</c15:sqref>
                  <c15:spPr xmlns:c15="http://schemas.microsoft.com/office/drawing/2012/chart">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15:spPr>
                  <c15:bubble3D val="0"/>
                  <c15:dLbl>
                    <c:idx val="2"/>
                    <c:layout>
                      <c:manualLayout>
                        <c:x val="3.0082532156811097E-2"/>
                        <c:y val="0.17103881442827915"/>
                      </c:manualLayout>
                    </c:layout>
                    <c:showLegendKey val="0"/>
                    <c:showVal val="0"/>
                    <c:showCatName val="0"/>
                    <c:showSerName val="0"/>
                    <c:showPercent val="1"/>
                    <c:showBubbleSize val="0"/>
                    <c:extLst>
                      <c:ext uri="{CE6537A1-D6FC-4f65-9D91-7224C49458BB}"/>
                      <c:ext xmlns:c16="http://schemas.microsoft.com/office/drawing/2014/chart" uri="{C3380CC4-5D6E-409C-BE32-E72D297353CC}">
                        <c16:uniqueId val="{00000015-A723-432A-A295-A3D10C5D7741}"/>
                      </c:ext>
                    </c:extLst>
                  </c15:dLbl>
                </c15:categoryFilterException>
              </c15:categoryFilterExceptions>
            </c:ext>
            <c:ext xmlns:c16="http://schemas.microsoft.com/office/drawing/2014/chart" uri="{C3380CC4-5D6E-409C-BE32-E72D297353CC}">
              <c16:uniqueId val="{00000008-E2F0-4F09-9FE6-B32474432E6F}"/>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Analysis!$B$188</c15:sqref>
                        </c15:formulaRef>
                      </c:ext>
                    </c:extLst>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1-7D04-4B5A-8D19-1128D053B922}"/>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c:ext xmlns:c16="http://schemas.microsoft.com/office/drawing/2014/chart" uri="{C3380CC4-5D6E-409C-BE32-E72D297353CC}">
                      <c16:uniqueId val="{00000003-7D04-4B5A-8D19-1128D053B922}"/>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5-7D04-4B5A-8D19-1128D053B922}"/>
                    </c:ext>
                  </c:extLst>
                </c:dPt>
                <c:dLbls>
                  <c:dLbl>
                    <c:idx val="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7D04-4B5A-8D19-1128D053B922}"/>
                      </c:ext>
                    </c:extLst>
                  </c:dLbl>
                  <c:dLbl>
                    <c:idx val="1"/>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3-7D04-4B5A-8D19-1128D053B922}"/>
                      </c:ext>
                    </c:extLst>
                  </c:dLbl>
                  <c:dLbl>
                    <c:idx val="2"/>
                    <c:layout>
                      <c:manualLayout>
                        <c:x val="4.3363541821423268E-2"/>
                        <c:y val="4.3223972003499561E-2"/>
                      </c:manualLayout>
                    </c:layout>
                    <c:dLblPos val="bestFit"/>
                    <c:showLegendKey val="0"/>
                    <c:showVal val="0"/>
                    <c:showCatName val="0"/>
                    <c:showSerName val="0"/>
                    <c:showPercent val="1"/>
                    <c:showBubbleSize val="0"/>
                    <c:extLst>
                      <c:ext uri="{CE6537A1-D6FC-4f65-9D91-7224C49458BB}"/>
                      <c:ext xmlns:c16="http://schemas.microsoft.com/office/drawing/2014/chart" uri="{C3380CC4-5D6E-409C-BE32-E72D297353CC}">
                        <c16:uniqueId val="{00000005-7D04-4B5A-8D19-1128D053B922}"/>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ullRef>
                          <c15:sqref>Analysis!$C$187:$F$187</c15:sqref>
                        </c15:fullRef>
                        <c15:formulaRef>
                          <c15:sqref>Analysis!$C$187:$E$187</c15:sqref>
                        </c15:formulaRef>
                      </c:ext>
                    </c:extLst>
                    <c:strCache>
                      <c:ptCount val="3"/>
                      <c:pt idx="0">
                        <c:v>NA</c:v>
                      </c:pt>
                      <c:pt idx="1">
                        <c:v>No</c:v>
                      </c:pt>
                      <c:pt idx="2">
                        <c:v>Yes</c:v>
                      </c:pt>
                    </c:strCache>
                  </c:strRef>
                </c:cat>
                <c:val>
                  <c:numRef>
                    <c:extLst>
                      <c:ext uri="{02D57815-91ED-43cb-92C2-25804820EDAC}">
                        <c15:fullRef>
                          <c15:sqref>Analysis!$C$188:$F$188</c15:sqref>
                        </c15:fullRef>
                        <c15:formulaRef>
                          <c15:sqref>Analysis!$C$188:$E$188</c15:sqref>
                        </c15:formulaRef>
                      </c:ext>
                    </c:extLst>
                    <c:numCache>
                      <c:formatCode>General</c:formatCode>
                      <c:ptCount val="3"/>
                      <c:pt idx="0">
                        <c:v>0</c:v>
                      </c:pt>
                      <c:pt idx="1">
                        <c:v>16</c:v>
                      </c:pt>
                      <c:pt idx="2">
                        <c:v>117</c:v>
                      </c:pt>
                    </c:numCache>
                  </c:numRef>
                </c:val>
                <c:extLst>
                  <c:ext uri="{02D57815-91ED-43cb-92C2-25804820EDAC}">
                    <c15:categoryFilterExceptions>
                      <c15:categoryFilterException>
                        <c15:sqref>Analysis!$F$188</c15:sqref>
                        <c15:spPr xmlns:c15="http://schemas.microsoft.com/office/drawing/2012/chart">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15:spPr>
                        <c15:bubble3D val="0"/>
                      </c15:categoryFilterException>
                    </c15:categoryFilterExceptions>
                  </c:ext>
                  <c:ext xmlns:c16="http://schemas.microsoft.com/office/drawing/2014/chart" uri="{C3380CC4-5D6E-409C-BE32-E72D297353CC}">
                    <c16:uniqueId val="{0000000A-7D04-4B5A-8D19-1128D053B922}"/>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Analysis!$B$190</c15:sqref>
                        </c15:formulaRef>
                      </c:ext>
                    </c:extLst>
                    <c:strCache>
                      <c:ptCount val="1"/>
                      <c:pt idx="0">
                        <c:v>Shan (North)</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2-E2F0-4F09-9FE6-B32474432E6F}"/>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4-E2F0-4F09-9FE6-B32474432E6F}"/>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6-E2F0-4F09-9FE6-B32474432E6F}"/>
                    </c:ext>
                  </c:extLst>
                </c:dPt>
                <c:cat>
                  <c:strRef>
                    <c:extLst>
                      <c:ext xmlns:c15="http://schemas.microsoft.com/office/drawing/2012/chart" uri="{02D57815-91ED-43cb-92C2-25804820EDAC}">
                        <c15:fullRef>
                          <c15:sqref>Analysis!$C$187:$F$187</c15:sqref>
                        </c15:fullRef>
                        <c15:formulaRef>
                          <c15:sqref>Analysis!$C$187:$E$187</c15:sqref>
                        </c15:formulaRef>
                      </c:ext>
                    </c:extLst>
                    <c:strCache>
                      <c:ptCount val="3"/>
                      <c:pt idx="0">
                        <c:v>NA</c:v>
                      </c:pt>
                      <c:pt idx="1">
                        <c:v>No</c:v>
                      </c:pt>
                      <c:pt idx="2">
                        <c:v>Yes</c:v>
                      </c:pt>
                    </c:strCache>
                  </c:strRef>
                </c:cat>
                <c:val>
                  <c:numRef>
                    <c:extLst>
                      <c:ext xmlns:c15="http://schemas.microsoft.com/office/drawing/2012/chart" uri="{02D57815-91ED-43cb-92C2-25804820EDAC}">
                        <c15:fullRef>
                          <c15:sqref>Analysis!$C$190:$F$190</c15:sqref>
                        </c15:fullRef>
                        <c15:formulaRef>
                          <c15:sqref>Analysis!$C$190:$E$190</c15:sqref>
                        </c15:formulaRef>
                      </c:ext>
                    </c:extLst>
                    <c:numCache>
                      <c:formatCode>General</c:formatCode>
                      <c:ptCount val="3"/>
                      <c:pt idx="0">
                        <c:v>3</c:v>
                      </c:pt>
                      <c:pt idx="1">
                        <c:v>7</c:v>
                      </c:pt>
                      <c:pt idx="2">
                        <c:v>18</c:v>
                      </c:pt>
                    </c:numCache>
                  </c:numRef>
                </c:val>
                <c:extLst xmlns:c15="http://schemas.microsoft.com/office/drawing/2012/chart">
                  <c:ext xmlns:c15="http://schemas.microsoft.com/office/drawing/2012/chart" uri="{02D57815-91ED-43cb-92C2-25804820EDAC}">
                    <c15:categoryFilterExceptions>
                      <c15:categoryFilterException>
                        <c15:sqref>Analysis!$F$190</c15:sqref>
                        <c15:spPr xmlns:c15="http://schemas.microsoft.com/office/drawing/2012/chart">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15:spPr>
                        <c15:bubble3D val="0"/>
                      </c15:categoryFilterException>
                    </c15:categoryFilterExceptions>
                  </c:ext>
                  <c:ext xmlns:c16="http://schemas.microsoft.com/office/drawing/2014/chart" uri="{C3380CC4-5D6E-409C-BE32-E72D297353CC}">
                    <c16:uniqueId val="{00000019-E2F0-4F09-9FE6-B32474432E6F}"/>
                  </c:ext>
                </c:extLst>
              </c15:ser>
            </c15:filteredPieSeries>
          </c:ext>
        </c:extLst>
      </c:pieChart>
      <c:spPr>
        <a:noFill/>
        <a:ln>
          <a:noFill/>
        </a:ln>
        <a:effectLst/>
      </c:spPr>
    </c:plotArea>
    <c:legend>
      <c:legendPos val="r"/>
      <c:layout>
        <c:manualLayout>
          <c:xMode val="edge"/>
          <c:yMode val="edge"/>
          <c:x val="0.68412561129107297"/>
          <c:y val="0.37664954465563394"/>
          <c:w val="0.23555836234519914"/>
          <c:h val="0.3133807858376176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 </a:t>
            </a:r>
          </a:p>
        </c:rich>
      </c:tx>
      <c:layout>
        <c:manualLayout>
          <c:xMode val="edge"/>
          <c:yMode val="edge"/>
          <c:x val="0.36310021620680605"/>
          <c:y val="1.6992175331507098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2239903786217674"/>
          <c:y val="0.14586939084824516"/>
          <c:w val="0.73427010918299018"/>
          <c:h val="0.53036942356695016"/>
        </c:manualLayout>
      </c:layout>
      <c:barChart>
        <c:barDir val="col"/>
        <c:grouping val="percentStacked"/>
        <c:varyColors val="0"/>
        <c:ser>
          <c:idx val="0"/>
          <c:order val="0"/>
          <c:tx>
            <c:strRef>
              <c:f>Analysis!$K$143</c:f>
              <c:strCache>
                <c:ptCount val="1"/>
                <c:pt idx="0">
                  <c:v> Coverage </c:v>
                </c:pt>
              </c:strCache>
            </c:strRef>
          </c:tx>
          <c:spPr>
            <a:solidFill>
              <a:schemeClr val="accent2">
                <a:lumMod val="75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EB48-4C9C-9E38-17A13475132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Analysis!$L$142:$M$142</c:f>
              <c:strCache>
                <c:ptCount val="2"/>
                <c:pt idx="0">
                  <c:v> # in active camps (20:1) </c:v>
                </c:pt>
                <c:pt idx="1">
                  <c:v> # in villages (6:1) </c:v>
                </c:pt>
              </c:strCache>
            </c:strRef>
          </c:cat>
          <c:val>
            <c:numRef>
              <c:f>Analysis!$L$143:$M$143</c:f>
              <c:numCache>
                <c:formatCode>_(* #,##0_);_(* \(#,##0\);_(* "-"??_);_(@_)</c:formatCode>
                <c:ptCount val="2"/>
                <c:pt idx="0">
                  <c:v>4556</c:v>
                </c:pt>
                <c:pt idx="1">
                  <c:v>2102</c:v>
                </c:pt>
              </c:numCache>
            </c:numRef>
          </c:val>
          <c:extLst>
            <c:ext xmlns:c16="http://schemas.microsoft.com/office/drawing/2014/chart" uri="{C3380CC4-5D6E-409C-BE32-E72D297353CC}">
              <c16:uniqueId val="{00000000-ED9B-4783-A8F8-A5280364F22C}"/>
            </c:ext>
          </c:extLst>
        </c:ser>
        <c:ser>
          <c:idx val="1"/>
          <c:order val="1"/>
          <c:tx>
            <c:strRef>
              <c:f>Analysis!$K$144</c:f>
              <c:strCache>
                <c:ptCount val="1"/>
                <c:pt idx="0">
                  <c:v> GAP </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Analysis!$L$142:$M$142</c:f>
              <c:strCache>
                <c:ptCount val="2"/>
                <c:pt idx="0">
                  <c:v> # in active camps (20:1) </c:v>
                </c:pt>
                <c:pt idx="1">
                  <c:v> # in villages (6:1) </c:v>
                </c:pt>
              </c:strCache>
            </c:strRef>
          </c:cat>
          <c:val>
            <c:numRef>
              <c:f>Analysis!$L$144:$M$144</c:f>
              <c:numCache>
                <c:formatCode>_(* #,##0_);_(* \(#,##0\);_(* "-"??_);_(@_)</c:formatCode>
                <c:ptCount val="2"/>
                <c:pt idx="0">
                  <c:v>1395</c:v>
                </c:pt>
                <c:pt idx="1">
                  <c:v>33182</c:v>
                </c:pt>
              </c:numCache>
            </c:numRef>
          </c:val>
          <c:extLst>
            <c:ext xmlns:c16="http://schemas.microsoft.com/office/drawing/2014/chart" uri="{C3380CC4-5D6E-409C-BE32-E72D297353CC}">
              <c16:uniqueId val="{00000001-ED9B-4783-A8F8-A5280364F22C}"/>
            </c:ext>
          </c:extLst>
        </c:ser>
        <c:dLbls>
          <c:dLblPos val="ctr"/>
          <c:showLegendKey val="0"/>
          <c:showVal val="1"/>
          <c:showCatName val="0"/>
          <c:showSerName val="0"/>
          <c:showPercent val="0"/>
          <c:showBubbleSize val="0"/>
        </c:dLbls>
        <c:gapWidth val="150"/>
        <c:overlap val="100"/>
        <c:axId val="417020160"/>
        <c:axId val="417018592"/>
      </c:barChart>
      <c:catAx>
        <c:axId val="41702016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8592"/>
        <c:crosses val="autoZero"/>
        <c:auto val="1"/>
        <c:lblAlgn val="ctr"/>
        <c:lblOffset val="100"/>
        <c:noMultiLvlLbl val="0"/>
      </c:catAx>
      <c:valAx>
        <c:axId val="417018592"/>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2016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repaired and desludged</a:t>
            </a:r>
          </a:p>
        </c:rich>
      </c:tx>
      <c:layout>
        <c:manualLayout>
          <c:xMode val="edge"/>
          <c:yMode val="edge"/>
          <c:x val="0.15424896962226864"/>
          <c:y val="1.9905511514829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9854308820840633"/>
          <c:y val="0.16551393640502543"/>
          <c:w val="0.75810578827945407"/>
          <c:h val="0.5048989893250817"/>
        </c:manualLayout>
      </c:layout>
      <c:barChart>
        <c:barDir val="col"/>
        <c:grouping val="clustered"/>
        <c:varyColors val="0"/>
        <c:ser>
          <c:idx val="0"/>
          <c:order val="0"/>
          <c:tx>
            <c:strRef>
              <c:f>Analysis!$K$147</c:f>
              <c:strCache>
                <c:ptCount val="1"/>
                <c:pt idx="0">
                  <c:v> # Operation &amp; maintenance </c:v>
                </c:pt>
              </c:strCache>
            </c:strRef>
          </c:tx>
          <c:spPr>
            <a:solidFill>
              <a:schemeClr val="accent2">
                <a:lumMod val="75000"/>
              </a:schemeClr>
            </a:solidFill>
            <a:ln>
              <a:noFill/>
            </a:ln>
            <a:effectLst/>
          </c:spPr>
          <c:invertIfNegative val="0"/>
          <c:dLbls>
            <c:dLbl>
              <c:idx val="1"/>
              <c:layout>
                <c:manualLayout>
                  <c:x val="-7.8927186873476614E-3"/>
                  <c:y val="5.75507278529616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65-4EE3-B2A7-555B5495E74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Analysis!$L$142:$M$142</c:f>
              <c:strCache>
                <c:ptCount val="2"/>
                <c:pt idx="0">
                  <c:v> # in active camps (20:1) </c:v>
                </c:pt>
                <c:pt idx="1">
                  <c:v> # in villages (6:1) </c:v>
                </c:pt>
              </c:strCache>
            </c:strRef>
          </c:cat>
          <c:val>
            <c:numRef>
              <c:f>Analysis!$L$147:$M$147</c:f>
              <c:numCache>
                <c:formatCode>_(* #,##0_);_(* \(#,##0\);_(* "-"??_);_(@_)</c:formatCode>
                <c:ptCount val="2"/>
                <c:pt idx="0">
                  <c:v>2546</c:v>
                </c:pt>
                <c:pt idx="1">
                  <c:v>0</c:v>
                </c:pt>
              </c:numCache>
            </c:numRef>
          </c:val>
          <c:extLst>
            <c:ext xmlns:c16="http://schemas.microsoft.com/office/drawing/2014/chart" uri="{C3380CC4-5D6E-409C-BE32-E72D297353CC}">
              <c16:uniqueId val="{00000000-F748-468C-8F17-12F68AC79064}"/>
            </c:ext>
          </c:extLst>
        </c:ser>
        <c:ser>
          <c:idx val="1"/>
          <c:order val="1"/>
          <c:tx>
            <c:strRef>
              <c:f>Analysis!$K$148</c:f>
              <c:strCache>
                <c:ptCount val="1"/>
                <c:pt idx="0">
                  <c:v> # latrines desludged </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Analysis!$L$142:$M$142</c:f>
              <c:strCache>
                <c:ptCount val="2"/>
                <c:pt idx="0">
                  <c:v> # in active camps (20:1) </c:v>
                </c:pt>
                <c:pt idx="1">
                  <c:v> # in villages (6:1) </c:v>
                </c:pt>
              </c:strCache>
            </c:strRef>
          </c:cat>
          <c:val>
            <c:numRef>
              <c:f>Analysis!$L$148:$M$148</c:f>
              <c:numCache>
                <c:formatCode>_(* #,##0_);_(* \(#,##0\);_(* "-"??_);_(@_)</c:formatCode>
                <c:ptCount val="2"/>
                <c:pt idx="0">
                  <c:v>2977</c:v>
                </c:pt>
                <c:pt idx="1">
                  <c:v>0</c:v>
                </c:pt>
              </c:numCache>
            </c:numRef>
          </c:val>
          <c:extLst>
            <c:ext xmlns:c16="http://schemas.microsoft.com/office/drawing/2014/chart" uri="{C3380CC4-5D6E-409C-BE32-E72D297353CC}">
              <c16:uniqueId val="{00000001-F748-468C-8F17-12F68AC79064}"/>
            </c:ext>
          </c:extLst>
        </c:ser>
        <c:dLbls>
          <c:dLblPos val="ctr"/>
          <c:showLegendKey val="0"/>
          <c:showVal val="1"/>
          <c:showCatName val="0"/>
          <c:showSerName val="0"/>
          <c:showPercent val="0"/>
          <c:showBubbleSize val="0"/>
        </c:dLbls>
        <c:gapWidth val="100"/>
        <c:overlap val="-24"/>
        <c:axId val="417021336"/>
        <c:axId val="417018984"/>
      </c:barChart>
      <c:catAx>
        <c:axId val="41702133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8984"/>
        <c:crosses val="autoZero"/>
        <c:auto val="1"/>
        <c:lblAlgn val="ctr"/>
        <c:lblOffset val="100"/>
        <c:noMultiLvlLbl val="0"/>
      </c:catAx>
      <c:valAx>
        <c:axId val="417018984"/>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21336"/>
        <c:crosses val="autoZero"/>
        <c:crossBetween val="between"/>
        <c:majorUnit val="400"/>
      </c:valAx>
      <c:spPr>
        <a:noFill/>
        <a:ln>
          <a:noFill/>
        </a:ln>
        <a:effectLst/>
      </c:spPr>
    </c:plotArea>
    <c:legend>
      <c:legendPos val="b"/>
      <c:layout>
        <c:manualLayout>
          <c:xMode val="edge"/>
          <c:yMode val="edge"/>
          <c:x val="6.5393894858836676E-2"/>
          <c:y val="0.85342258760556522"/>
          <c:w val="0.75477739957463796"/>
          <c:h val="0.1465774123944347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r>
              <a:rPr lang="en-US" sz="1400" b="1" i="0" baseline="0">
                <a:solidFill>
                  <a:srgbClr val="44546A"/>
                </a:solidFill>
                <a:effectLst/>
              </a:rPr>
              <a:t>WASH in Temporary Learning Spaces </a:t>
            </a:r>
            <a:endParaRPr lang="en-US" sz="1400" b="1">
              <a:solidFill>
                <a:srgbClr val="44546A"/>
              </a:solidFill>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endParaRPr lang="en-US"/>
        </a:p>
      </c:txPr>
    </c:title>
    <c:autoTitleDeleted val="0"/>
    <c:plotArea>
      <c:layout>
        <c:manualLayout>
          <c:layoutTarget val="inner"/>
          <c:xMode val="edge"/>
          <c:yMode val="edge"/>
          <c:x val="2.2669632380348723E-2"/>
          <c:y val="0.15182940960512162"/>
          <c:w val="0.9546607352393025"/>
          <c:h val="0.52061484330604624"/>
        </c:manualLayout>
      </c:layout>
      <c:barChart>
        <c:barDir val="bar"/>
        <c:grouping val="clustered"/>
        <c:varyColors val="0"/>
        <c:ser>
          <c:idx val="0"/>
          <c:order val="0"/>
          <c:tx>
            <c:strRef>
              <c:f>Analysis!$C$489</c:f>
              <c:strCache>
                <c:ptCount val="1"/>
                <c:pt idx="0">
                  <c:v>Rakhine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5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EA1-4578-B2E8-5263550BFBBA}"/>
              </c:ext>
            </c:extLst>
          </c:dPt>
          <c:dPt>
            <c:idx val="1"/>
            <c:invertIfNegative val="0"/>
            <c:bubble3D val="0"/>
            <c:spPr>
              <a:solidFill>
                <a:schemeClr val="accent6">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9EC5-43F1-A2CA-3245AB393898}"/>
              </c:ext>
            </c:extLst>
          </c:dPt>
          <c:dPt>
            <c:idx val="2"/>
            <c:invertIfNegative val="0"/>
            <c:bubble3D val="0"/>
            <c:spPr>
              <a:solidFill>
                <a:schemeClr val="accent6">
                  <a:lumMod val="20000"/>
                  <a:lumOff val="8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EA1-4578-B2E8-5263550BFBBA}"/>
              </c:ext>
            </c:extLst>
          </c:dPt>
          <c:dPt>
            <c:idx val="3"/>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4-9EC5-43F1-A2CA-3245AB393898}"/>
              </c:ext>
            </c:extLst>
          </c:dPt>
          <c:dPt>
            <c:idx val="4"/>
            <c:invertIfNegative val="0"/>
            <c:bubble3D val="0"/>
            <c:spPr>
              <a:solidFill>
                <a:srgbClr val="0070C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9317-4186-A13F-B2865919AF20}"/>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Analysis!$D$487:$H$487</c:f>
              <c:strCache>
                <c:ptCount val="5"/>
                <c:pt idx="0">
                  <c:v> # of hand washing stations with sufficient soap</c:v>
                </c:pt>
                <c:pt idx="1">
                  <c:v> # of hand washing stations for TLS</c:v>
                </c:pt>
                <c:pt idx="2">
                  <c:v># Hygiene Promotion activities (sessions) in TLS</c:v>
                </c:pt>
                <c:pt idx="3">
                  <c:v> # of latrines in TLS (schools)</c:v>
                </c:pt>
                <c:pt idx="4">
                  <c:v># Water points in TLS</c:v>
                </c:pt>
              </c:strCache>
            </c:strRef>
          </c:cat>
          <c:val>
            <c:numRef>
              <c:f>Analysis!$D$489:$H$489</c:f>
              <c:numCache>
                <c:formatCode>_(* #,##0_);_(* \(#,##0\);_(* "-"??_);_(@_)</c:formatCode>
                <c:ptCount val="5"/>
                <c:pt idx="0">
                  <c:v>94</c:v>
                </c:pt>
                <c:pt idx="1">
                  <c:v>109</c:v>
                </c:pt>
                <c:pt idx="2">
                  <c:v>771</c:v>
                </c:pt>
                <c:pt idx="3">
                  <c:v>40</c:v>
                </c:pt>
                <c:pt idx="4">
                  <c:v>6</c:v>
                </c:pt>
              </c:numCache>
            </c:numRef>
          </c:val>
          <c:extLst>
            <c:ext xmlns:c16="http://schemas.microsoft.com/office/drawing/2014/chart" uri="{C3380CC4-5D6E-409C-BE32-E72D297353CC}">
              <c16:uniqueId val="{00000004-2EA1-4578-B2E8-5263550BFBBA}"/>
            </c:ext>
          </c:extLst>
        </c:ser>
        <c:dLbls>
          <c:dLblPos val="outEnd"/>
          <c:showLegendKey val="0"/>
          <c:showVal val="1"/>
          <c:showCatName val="0"/>
          <c:showSerName val="0"/>
          <c:showPercent val="0"/>
          <c:showBubbleSize val="0"/>
        </c:dLbls>
        <c:gapWidth val="115"/>
        <c:overlap val="-20"/>
        <c:axId val="419842040"/>
        <c:axId val="419849488"/>
      </c:barChart>
      <c:catAx>
        <c:axId val="419842040"/>
        <c:scaling>
          <c:orientation val="minMax"/>
        </c:scaling>
        <c:delete val="1"/>
        <c:axPos val="l"/>
        <c:numFmt formatCode="General" sourceLinked="1"/>
        <c:majorTickMark val="none"/>
        <c:minorTickMark val="none"/>
        <c:tickLblPos val="nextTo"/>
        <c:crossAx val="419849488"/>
        <c:crosses val="autoZero"/>
        <c:auto val="1"/>
        <c:lblAlgn val="ctr"/>
        <c:lblOffset val="100"/>
        <c:noMultiLvlLbl val="0"/>
      </c:catAx>
      <c:valAx>
        <c:axId val="419849488"/>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419842040"/>
        <c:crosses val="autoZero"/>
        <c:crossBetween val="between"/>
      </c:valAx>
      <c:spPr>
        <a:noFill/>
        <a:ln>
          <a:noFill/>
        </a:ln>
        <a:effectLst/>
      </c:spPr>
    </c:plotArea>
    <c:legend>
      <c:legendPos val="b"/>
      <c:layout>
        <c:manualLayout>
          <c:xMode val="edge"/>
          <c:yMode val="edge"/>
          <c:x val="3.2401184662736002E-3"/>
          <c:y val="0.65033787223901296"/>
          <c:w val="0.991458887396512"/>
          <c:h val="0.34912482532254396"/>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44546A"/>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44546A"/>
                </a:solidFill>
                <a:latin typeface="+mn-lt"/>
                <a:ea typeface="+mn-ea"/>
                <a:cs typeface="+mn-cs"/>
              </a:defRPr>
            </a:pPr>
            <a:r>
              <a:rPr lang="en-US" sz="1200" b="1" i="0" baseline="0">
                <a:effectLst/>
              </a:rPr>
              <a:t>Number of ppl Covered against 2019 HRP targets</a:t>
            </a:r>
            <a:endParaRPr lang="en-US" sz="12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a:solidFill>
                  <a:srgbClr val="44546A"/>
                </a:solidFill>
              </a:defRPr>
            </a:pPr>
            <a:r>
              <a:rPr lang="en-US" sz="1200"/>
              <a:t>(Villages)</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44546A"/>
              </a:solidFill>
              <a:latin typeface="+mn-lt"/>
              <a:ea typeface="+mn-ea"/>
              <a:cs typeface="+mn-cs"/>
            </a:defRPr>
          </a:pPr>
          <a:endParaRPr lang="en-US"/>
        </a:p>
      </c:txPr>
    </c:title>
    <c:autoTitleDeleted val="0"/>
    <c:plotArea>
      <c:layout>
        <c:manualLayout>
          <c:layoutTarget val="inner"/>
          <c:xMode val="edge"/>
          <c:yMode val="edge"/>
          <c:x val="0.48411962887625587"/>
          <c:y val="0.1970164609053498"/>
          <c:w val="0.46523678440230043"/>
          <c:h val="0.68072648326366614"/>
        </c:manualLayout>
      </c:layout>
      <c:barChart>
        <c:barDir val="bar"/>
        <c:grouping val="percentStacked"/>
        <c:varyColors val="0"/>
        <c:ser>
          <c:idx val="0"/>
          <c:order val="0"/>
          <c:tx>
            <c:strRef>
              <c:f>HRP!$X$128</c:f>
              <c:strCache>
                <c:ptCount val="1"/>
                <c:pt idx="0">
                  <c:v>Coverage</c:v>
                </c:pt>
              </c:strCache>
            </c:strRef>
          </c:tx>
          <c:spPr>
            <a:solidFill>
              <a:schemeClr val="accent6">
                <a:lumMod val="75000"/>
              </a:schemeClr>
            </a:solidFill>
            <a:ln>
              <a:noFill/>
            </a:ln>
            <a:effectLst/>
          </c:spPr>
          <c:invertIfNegative val="0"/>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0-057D-42B2-9B65-739548585F31}"/>
              </c:ext>
            </c:extLst>
          </c:dPt>
          <c:dPt>
            <c:idx val="2"/>
            <c:invertIfNegative val="0"/>
            <c:bubble3D val="0"/>
            <c:spPr>
              <a:solidFill>
                <a:srgbClr val="0070C0"/>
              </a:solidFill>
              <a:ln>
                <a:noFill/>
              </a:ln>
              <a:effectLst/>
            </c:spPr>
            <c:extLst>
              <c:ext xmlns:c16="http://schemas.microsoft.com/office/drawing/2014/chart" uri="{C3380CC4-5D6E-409C-BE32-E72D297353CC}">
                <c16:uniqueId val="{00000003-9D7B-4BB3-9E37-D66793BA50F3}"/>
              </c:ext>
            </c:extLst>
          </c:dPt>
          <c:dLbls>
            <c:dLbl>
              <c:idx val="0"/>
              <c:layout>
                <c:manualLayout>
                  <c:x val="3.1216471481786908E-2"/>
                  <c:y val="-2.47338915662298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7B-4BB3-9E37-D66793BA50F3}"/>
                </c:ext>
              </c:extLst>
            </c:dLbl>
            <c:dLbl>
              <c:idx val="1"/>
              <c:layout>
                <c:manualLayout>
                  <c:x val="3.0262156910700094E-2"/>
                  <c:y val="-3.22163806526436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7D-42B2-9B65-739548585F31}"/>
                </c:ext>
              </c:extLst>
            </c:dLbl>
            <c:dLbl>
              <c:idx val="2"/>
              <c:layout>
                <c:manualLayout>
                  <c:x val="3.1216471481786908E-2"/>
                  <c:y val="-2.47338915662298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7B-4BB3-9E37-D66793BA50F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HRP!$V$129:$V$131</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HRP!$X$129:$X$131</c:f>
              <c:numCache>
                <c:formatCode>_(* #,##0_);_(* \(#,##0\);_(* "-"??_);_(@_)</c:formatCode>
                <c:ptCount val="3"/>
                <c:pt idx="0">
                  <c:v>91151</c:v>
                </c:pt>
                <c:pt idx="1">
                  <c:v>10584</c:v>
                </c:pt>
                <c:pt idx="2">
                  <c:v>32113</c:v>
                </c:pt>
              </c:numCache>
            </c:numRef>
          </c:val>
          <c:extLst>
            <c:ext xmlns:c16="http://schemas.microsoft.com/office/drawing/2014/chart" uri="{C3380CC4-5D6E-409C-BE32-E72D297353CC}">
              <c16:uniqueId val="{00000003-057D-42B2-9B65-739548585F31}"/>
            </c:ext>
          </c:extLst>
        </c:ser>
        <c:ser>
          <c:idx val="1"/>
          <c:order val="1"/>
          <c:tx>
            <c:strRef>
              <c:f>HRP!$Y$128</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6-9D7B-4BB3-9E37-D66793BA50F3}"/>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8-9D7B-4BB3-9E37-D66793BA50F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HRP!$V$129:$V$131</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HRP!$Y$129:$Y$131</c:f>
              <c:numCache>
                <c:formatCode>_(* #,##0_);_(* \(#,##0\);_(* "-"??_);_(@_)</c:formatCode>
                <c:ptCount val="3"/>
                <c:pt idx="0">
                  <c:v>168326</c:v>
                </c:pt>
                <c:pt idx="1">
                  <c:v>248893</c:v>
                </c:pt>
                <c:pt idx="2">
                  <c:v>227364</c:v>
                </c:pt>
              </c:numCache>
            </c:numRef>
          </c:val>
          <c:extLst>
            <c:ext xmlns:c16="http://schemas.microsoft.com/office/drawing/2014/chart" uri="{C3380CC4-5D6E-409C-BE32-E72D297353CC}">
              <c16:uniqueId val="{00000004-057D-42B2-9B65-739548585F31}"/>
            </c:ext>
          </c:extLst>
        </c:ser>
        <c:dLbls>
          <c:showLegendKey val="0"/>
          <c:showVal val="0"/>
          <c:showCatName val="0"/>
          <c:showSerName val="0"/>
          <c:showPercent val="0"/>
          <c:showBubbleSize val="0"/>
        </c:dLbls>
        <c:gapWidth val="150"/>
        <c:overlap val="100"/>
        <c:axId val="419840080"/>
        <c:axId val="419840472"/>
      </c:barChart>
      <c:catAx>
        <c:axId val="41984008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crossAx val="419840472"/>
        <c:crosses val="autoZero"/>
        <c:auto val="1"/>
        <c:lblAlgn val="ctr"/>
        <c:lblOffset val="100"/>
        <c:noMultiLvlLbl val="0"/>
      </c:catAx>
      <c:valAx>
        <c:axId val="41984047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crossAx val="419840080"/>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Rakhine Number of ppl Covered against 2019 HRP targets</a:t>
            </a:r>
            <a:endParaRPr lang="en-US" sz="1200">
              <a:effectLst/>
            </a:endParaRPr>
          </a:p>
          <a:p>
            <a:pPr>
              <a:defRPr sz="1200"/>
            </a:pPr>
            <a:r>
              <a:rPr lang="en-US" sz="1200" b="1" i="0" baseline="0">
                <a:effectLst/>
              </a:rPr>
              <a:t>(New Temporary Sites)</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47351526348318018"/>
          <c:y val="0.1970164609053498"/>
          <c:w val="0.47522236631195086"/>
          <c:h val="0.68072648326366603"/>
        </c:manualLayout>
      </c:layout>
      <c:barChart>
        <c:barDir val="bar"/>
        <c:grouping val="percentStacked"/>
        <c:varyColors val="0"/>
        <c:ser>
          <c:idx val="0"/>
          <c:order val="0"/>
          <c:tx>
            <c:strRef>
              <c:f>HRP!$AQ$128</c:f>
              <c:strCache>
                <c:ptCount val="1"/>
                <c:pt idx="0">
                  <c:v>Coverage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1-12FD-4552-9AD0-507A00462AC5}"/>
              </c:ext>
            </c:extLst>
          </c:dPt>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3-12FD-4552-9AD0-507A00462AC5}"/>
              </c:ext>
            </c:extLst>
          </c:dPt>
          <c:dLbls>
            <c:dLbl>
              <c:idx val="1"/>
              <c:layout>
                <c:manualLayout>
                  <c:x val="-2.954594766788121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FD-4552-9AD0-507A00462AC5}"/>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HRP!$AO$129:$AO$131</c15:sqref>
                  </c15:fullRef>
                </c:ext>
              </c:extLst>
              <c:f>HRP!$AO$129:$AO$130</c:f>
              <c:strCache>
                <c:ptCount val="2"/>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strCache>
            </c:strRef>
          </c:cat>
          <c:val>
            <c:numRef>
              <c:extLst>
                <c:ext xmlns:c15="http://schemas.microsoft.com/office/drawing/2012/chart" uri="{02D57815-91ED-43cb-92C2-25804820EDAC}">
                  <c15:fullRef>
                    <c15:sqref>HRP!$AQ$129:$AQ$131</c15:sqref>
                  </c15:fullRef>
                </c:ext>
              </c:extLst>
              <c:f>HRP!$AQ$129:$AQ$130</c:f>
              <c:numCache>
                <c:formatCode>_(* #,##0_);_(* \(#,##0\);_(* "-"??_);_(@_)</c:formatCode>
                <c:ptCount val="2"/>
                <c:pt idx="0">
                  <c:v>14162</c:v>
                </c:pt>
                <c:pt idx="1">
                  <c:v>8093</c:v>
                </c:pt>
              </c:numCache>
            </c:numRef>
          </c:val>
          <c:extLst>
            <c:ext xmlns:c16="http://schemas.microsoft.com/office/drawing/2014/chart" uri="{C3380CC4-5D6E-409C-BE32-E72D297353CC}">
              <c16:uniqueId val="{00000004-12FD-4552-9AD0-507A00462AC5}"/>
            </c:ext>
          </c:extLst>
        </c:ser>
        <c:ser>
          <c:idx val="1"/>
          <c:order val="1"/>
          <c:tx>
            <c:strRef>
              <c:f>HRP!$AR$128</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6-12FD-4552-9AD0-507A00462AC5}"/>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8-12FD-4552-9AD0-507A00462AC5}"/>
              </c:ext>
            </c:extLst>
          </c:dPt>
          <c:dLbls>
            <c:dLbl>
              <c:idx val="0"/>
              <c:layout>
                <c:manualLayout>
                  <c:x val="1.820940732393819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2FD-4552-9AD0-507A00462AC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HRP!$AO$129:$AO$131</c15:sqref>
                  </c15:fullRef>
                </c:ext>
              </c:extLst>
              <c:f>HRP!$AO$129:$AO$130</c:f>
              <c:strCache>
                <c:ptCount val="2"/>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strCache>
            </c:strRef>
          </c:cat>
          <c:val>
            <c:numRef>
              <c:extLst>
                <c:ext xmlns:c15="http://schemas.microsoft.com/office/drawing/2012/chart" uri="{02D57815-91ED-43cb-92C2-25804820EDAC}">
                  <c15:fullRef>
                    <c15:sqref>HRP!$AR$129:$AR$131</c15:sqref>
                  </c15:fullRef>
                </c:ext>
              </c:extLst>
              <c:f>HRP!$AR$129:$AR$130</c:f>
              <c:numCache>
                <c:formatCode>_(* #,##0_);_(* \(#,##0\);_(* "-"??_);_(@_)</c:formatCode>
                <c:ptCount val="2"/>
                <c:pt idx="0">
                  <c:v>49112</c:v>
                </c:pt>
                <c:pt idx="1">
                  <c:v>55181</c:v>
                </c:pt>
              </c:numCache>
            </c:numRef>
          </c:val>
          <c:extLst>
            <c:ext xmlns:c15="http://schemas.microsoft.com/office/drawing/2012/chart" uri="{02D57815-91ED-43cb-92C2-25804820EDAC}">
              <c15:categoryFilterExceptions>
                <c15:categoryFilterException>
                  <c15:sqref>HRP!$AR$131</c15:sqref>
                  <c15:spPr xmlns:c15="http://schemas.microsoft.com/office/drawing/2012/chart">
                    <a:solidFill>
                      <a:schemeClr val="accent1">
                        <a:lumMod val="20000"/>
                        <a:lumOff val="80000"/>
                      </a:schemeClr>
                    </a:solidFill>
                    <a:ln>
                      <a:noFill/>
                    </a:ln>
                    <a:effectLst/>
                  </c15:spPr>
                  <c15:invertIfNegative val="0"/>
                  <c15:bubble3D val="0"/>
                </c15:categoryFilterException>
              </c15:categoryFilterExceptions>
            </c:ext>
            <c:ext xmlns:c16="http://schemas.microsoft.com/office/drawing/2014/chart" uri="{C3380CC4-5D6E-409C-BE32-E72D297353CC}">
              <c16:uniqueId val="{0000000B-12FD-4552-9AD0-507A00462AC5}"/>
            </c:ext>
          </c:extLst>
        </c:ser>
        <c:dLbls>
          <c:showLegendKey val="0"/>
          <c:showVal val="0"/>
          <c:showCatName val="0"/>
          <c:showSerName val="0"/>
          <c:showPercent val="0"/>
          <c:showBubbleSize val="0"/>
        </c:dLbls>
        <c:gapWidth val="150"/>
        <c:overlap val="100"/>
        <c:axId val="1990686192"/>
        <c:axId val="2112639376"/>
      </c:barChart>
      <c:catAx>
        <c:axId val="199068619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crossAx val="2112639376"/>
        <c:crosses val="autoZero"/>
        <c:auto val="1"/>
        <c:lblAlgn val="ctr"/>
        <c:lblOffset val="100"/>
        <c:noMultiLvlLbl val="0"/>
      </c:catAx>
      <c:valAx>
        <c:axId val="2112639376"/>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990686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Rakhine Funding Splits INGO, LNGO</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bg1">
              <a:lumMod val="50000"/>
            </a:schemeClr>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65000"/>
            </a:schemeClr>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solidFill>
            <a:schemeClr val="bg1">
              <a:lumMod val="65000"/>
            </a:schemeClr>
          </a:solidFill>
          <a:ln>
            <a:noFill/>
          </a:ln>
          <a:effectLst/>
        </c:spPr>
        <c:dLbl>
          <c:idx val="0"/>
          <c:layout>
            <c:manualLayout>
              <c:x val="-2.2636003615344239E-2"/>
              <c:y val="-1.95755949362405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6"/>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8"/>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4"/>
          </a:solidFill>
          <a:ln>
            <a:noFill/>
          </a:ln>
          <a:effectLst/>
        </c:spPr>
        <c:marker>
          <c:symbol val="none"/>
        </c:marker>
      </c:pivotFmt>
      <c:pivotFmt>
        <c:idx val="10"/>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bg1">
              <a:lumMod val="65000"/>
            </a:schemeClr>
          </a:solidFill>
          <a:ln>
            <a:noFill/>
          </a:ln>
          <a:effectLst/>
        </c:spPr>
        <c:dLbl>
          <c:idx val="0"/>
          <c:layout>
            <c:manualLayout>
              <c:x val="-4.5925927265264722E-3"/>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bg1">
              <a:lumMod val="85000"/>
            </a:schemeClr>
          </a:solidFill>
          <a:ln>
            <a:noFill/>
          </a:ln>
          <a:effectLst/>
        </c:spPr>
        <c:dLbl>
          <c:idx val="0"/>
          <c:layout>
            <c:manualLayout>
              <c:x val="3.4444445448948542E-2"/>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bg1">
              <a:lumMod val="65000"/>
            </a:schemeClr>
          </a:solidFill>
          <a:ln>
            <a:noFill/>
          </a:ln>
          <a:effectLst/>
        </c:spPr>
        <c:dLbl>
          <c:idx val="0"/>
          <c:layout>
            <c:manualLayout>
              <c:x val="-4.5925927265264722E-3"/>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bg1">
              <a:lumMod val="85000"/>
            </a:schemeClr>
          </a:solidFill>
          <a:ln>
            <a:noFill/>
          </a:ln>
          <a:effectLst/>
        </c:spPr>
        <c:dLbl>
          <c:idx val="0"/>
          <c:layout>
            <c:manualLayout>
              <c:x val="3.4444445448948542E-2"/>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v>INGO</c:v>
          </c:tx>
          <c:spPr>
            <a:solidFill>
              <a:schemeClr val="bg1">
                <a:lumMod val="5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0.94851120626653984</c:v>
              </c:pt>
            </c:numLit>
          </c:val>
          <c:extLst>
            <c:ext xmlns:c16="http://schemas.microsoft.com/office/drawing/2014/chart" uri="{C3380CC4-5D6E-409C-BE32-E72D297353CC}">
              <c16:uniqueId val="{00000000-CE43-4B17-847A-F01B49DAFA12}"/>
            </c:ext>
          </c:extLst>
        </c:ser>
        <c:ser>
          <c:idx val="1"/>
          <c:order val="1"/>
          <c:tx>
            <c:v>LNGO</c:v>
          </c:tx>
          <c:spPr>
            <a:solidFill>
              <a:schemeClr val="bg1">
                <a:lumMod val="65000"/>
              </a:schemeClr>
            </a:solidFill>
            <a:ln>
              <a:noFill/>
            </a:ln>
            <a:effectLst/>
          </c:spPr>
          <c:invertIfNegative val="0"/>
          <c:dLbls>
            <c:dLbl>
              <c:idx val="0"/>
              <c:layout>
                <c:manualLayout>
                  <c:x val="-4.5925927265264722E-3"/>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43-4B17-847A-F01B49DAFA1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3.3619726831980702E-2</c:v>
              </c:pt>
            </c:numLit>
          </c:val>
          <c:extLst>
            <c:ext xmlns:c16="http://schemas.microsoft.com/office/drawing/2014/chart" uri="{C3380CC4-5D6E-409C-BE32-E72D297353CC}">
              <c16:uniqueId val="{00000002-CE43-4B17-847A-F01B49DAFA12}"/>
            </c:ext>
          </c:extLst>
        </c:ser>
        <c:ser>
          <c:idx val="2"/>
          <c:order val="2"/>
          <c:tx>
            <c:v>INGO/LNGO</c:v>
          </c:tx>
          <c:spPr>
            <a:solidFill>
              <a:schemeClr val="bg1">
                <a:lumMod val="85000"/>
              </a:schemeClr>
            </a:solidFill>
            <a:ln>
              <a:noFill/>
            </a:ln>
            <a:effectLst/>
          </c:spPr>
          <c:invertIfNegative val="0"/>
          <c:dLbls>
            <c:dLbl>
              <c:idx val="0"/>
              <c:layout>
                <c:manualLayout>
                  <c:x val="3.4444445448948542E-2"/>
                  <c:y val="-6.016267719009824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43-4B17-847A-F01B49DAFA1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1.7869066901479387E-2</c:v>
              </c:pt>
            </c:numLit>
          </c:val>
          <c:extLst>
            <c:ext xmlns:c16="http://schemas.microsoft.com/office/drawing/2014/chart" uri="{C3380CC4-5D6E-409C-BE32-E72D297353CC}">
              <c16:uniqueId val="{00000004-CE43-4B17-847A-F01B49DAFA12}"/>
            </c:ext>
          </c:extLst>
        </c:ser>
        <c:dLbls>
          <c:showLegendKey val="0"/>
          <c:showVal val="0"/>
          <c:showCatName val="0"/>
          <c:showSerName val="0"/>
          <c:showPercent val="0"/>
          <c:showBubbleSize val="0"/>
        </c:dLbls>
        <c:gapWidth val="150"/>
        <c:overlap val="100"/>
        <c:axId val="364369400"/>
        <c:axId val="364369792"/>
      </c:barChart>
      <c:catAx>
        <c:axId val="364369400"/>
        <c:scaling>
          <c:orientation val="minMax"/>
        </c:scaling>
        <c:delete val="1"/>
        <c:axPos val="l"/>
        <c:numFmt formatCode="General" sourceLinked="1"/>
        <c:majorTickMark val="none"/>
        <c:minorTickMark val="none"/>
        <c:tickLblPos val="nextTo"/>
        <c:crossAx val="364369792"/>
        <c:crosses val="autoZero"/>
        <c:auto val="1"/>
        <c:lblAlgn val="ctr"/>
        <c:lblOffset val="100"/>
        <c:noMultiLvlLbl val="0"/>
      </c:catAx>
      <c:valAx>
        <c:axId val="364369792"/>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64369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Sites with TLS/CFS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0256167979002624"/>
          <c:y val="0.19226669582968794"/>
          <c:w val="0.41987685914260719"/>
          <c:h val="0.69979476523767858"/>
        </c:manualLayout>
      </c:layout>
      <c:pieChart>
        <c:varyColors val="1"/>
        <c:ser>
          <c:idx val="2"/>
          <c:order val="2"/>
          <c:tx>
            <c:strRef>
              <c:f>Analysis!$C$522</c:f>
              <c:strCache>
                <c:ptCount val="1"/>
                <c:pt idx="0">
                  <c:v>Central Rakhine</c:v>
                </c:pt>
              </c:strCache>
              <c:extLst xmlns:c15="http://schemas.microsoft.com/office/drawing/2012/chart"/>
            </c:strRef>
          </c:tx>
          <c:dPt>
            <c:idx val="0"/>
            <c:bubble3D val="0"/>
            <c:spPr>
              <a:solidFill>
                <a:schemeClr val="bg1">
                  <a:lumMod val="75000"/>
                </a:schemeClr>
              </a:solidFill>
              <a:ln>
                <a:noFill/>
              </a:ln>
              <a:effectLst/>
            </c:spPr>
            <c:extLst>
              <c:ext xmlns:c16="http://schemas.microsoft.com/office/drawing/2014/chart" uri="{C3380CC4-5D6E-409C-BE32-E72D297353CC}">
                <c16:uniqueId val="{00000001-384C-4009-A279-F6CD5134B92F}"/>
              </c:ext>
            </c:extLst>
          </c:dPt>
          <c:dPt>
            <c:idx val="1"/>
            <c:bubble3D val="0"/>
            <c:spPr>
              <a:solidFill>
                <a:schemeClr val="tx1">
                  <a:lumMod val="65000"/>
                  <a:lumOff val="35000"/>
                </a:schemeClr>
              </a:solidFill>
              <a:ln>
                <a:noFill/>
              </a:ln>
              <a:effectLst/>
            </c:spPr>
            <c:extLst>
              <c:ext xmlns:c16="http://schemas.microsoft.com/office/drawing/2014/chart" uri="{C3380CC4-5D6E-409C-BE32-E72D297353CC}">
                <c16:uniqueId val="{00000003-384C-4009-A279-F6CD5134B92F}"/>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Analysis!$D$519:$E$519</c:f>
              <c:strCache>
                <c:ptCount val="2"/>
                <c:pt idx="0">
                  <c:v>No</c:v>
                </c:pt>
                <c:pt idx="1">
                  <c:v>Yes</c:v>
                </c:pt>
              </c:strCache>
              <c:extLst xmlns:c15="http://schemas.microsoft.com/office/drawing/2012/chart"/>
            </c:strRef>
          </c:cat>
          <c:val>
            <c:numRef>
              <c:f>Analysis!$D$522:$E$522</c:f>
              <c:numCache>
                <c:formatCode>0%</c:formatCode>
                <c:ptCount val="2"/>
                <c:pt idx="0">
                  <c:v>0.84</c:v>
                </c:pt>
                <c:pt idx="1">
                  <c:v>0.16</c:v>
                </c:pt>
              </c:numCache>
              <c:extLst xmlns:c15="http://schemas.microsoft.com/office/drawing/2012/chart"/>
            </c:numRef>
          </c:val>
          <c:extLst>
            <c:ext xmlns:c16="http://schemas.microsoft.com/office/drawing/2014/chart" uri="{C3380CC4-5D6E-409C-BE32-E72D297353CC}">
              <c16:uniqueId val="{00000004-384C-4009-A279-F6CD5134B92F}"/>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Analysis!$C$520</c15:sqref>
                        </c15:formulaRef>
                      </c:ext>
                    </c:extLst>
                    <c:strCache>
                      <c:ptCount val="1"/>
                      <c:pt idx="0">
                        <c:v>Kachin</c:v>
                      </c:pt>
                    </c:strCache>
                  </c:strRef>
                </c:tx>
                <c:dPt>
                  <c:idx val="0"/>
                  <c:bubble3D val="0"/>
                  <c:spPr>
                    <a:solidFill>
                      <a:schemeClr val="bg1">
                        <a:lumMod val="65000"/>
                      </a:schemeClr>
                    </a:solidFill>
                    <a:ln>
                      <a:noFill/>
                    </a:ln>
                    <a:effectLst/>
                  </c:spPr>
                  <c:extLst>
                    <c:ext xmlns:c16="http://schemas.microsoft.com/office/drawing/2014/chart" uri="{C3380CC4-5D6E-409C-BE32-E72D297353CC}">
                      <c16:uniqueId val="{00000006-384C-4009-A279-F6CD5134B92F}"/>
                    </c:ext>
                  </c:extLst>
                </c:dPt>
                <c:dPt>
                  <c:idx val="1"/>
                  <c:bubble3D val="0"/>
                  <c:spPr>
                    <a:solidFill>
                      <a:schemeClr val="tx1">
                        <a:lumMod val="65000"/>
                        <a:lumOff val="35000"/>
                      </a:schemeClr>
                    </a:solidFill>
                    <a:ln>
                      <a:noFill/>
                    </a:ln>
                    <a:effectLst/>
                  </c:spPr>
                  <c:extLst>
                    <c:ext xmlns:c16="http://schemas.microsoft.com/office/drawing/2014/chart" uri="{C3380CC4-5D6E-409C-BE32-E72D297353CC}">
                      <c16:uniqueId val="{00000008-384C-4009-A279-F6CD5134B92F}"/>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Analysis!$D$519:$E$519</c15:sqref>
                        </c15:formulaRef>
                      </c:ext>
                    </c:extLst>
                    <c:strCache>
                      <c:ptCount val="2"/>
                      <c:pt idx="0">
                        <c:v>No</c:v>
                      </c:pt>
                      <c:pt idx="1">
                        <c:v>Yes</c:v>
                      </c:pt>
                    </c:strCache>
                  </c:strRef>
                </c:cat>
                <c:val>
                  <c:numRef>
                    <c:extLst>
                      <c:ext uri="{02D57815-91ED-43cb-92C2-25804820EDAC}">
                        <c15:formulaRef>
                          <c15:sqref>Analysis!$D$520:$E$520</c15:sqref>
                        </c15:formulaRef>
                      </c:ext>
                    </c:extLst>
                    <c:numCache>
                      <c:formatCode>0%</c:formatCode>
                      <c:ptCount val="2"/>
                      <c:pt idx="0">
                        <c:v>0.76119402985074625</c:v>
                      </c:pt>
                      <c:pt idx="1">
                        <c:v>0.23880597014925373</c:v>
                      </c:pt>
                    </c:numCache>
                  </c:numRef>
                </c:val>
                <c:extLst>
                  <c:ext xmlns:c16="http://schemas.microsoft.com/office/drawing/2014/chart" uri="{C3380CC4-5D6E-409C-BE32-E72D297353CC}">
                    <c16:uniqueId val="{00000009-384C-4009-A279-F6CD5134B92F}"/>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Analysis!$C$521</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384C-4009-A279-F6CD5134B92F}"/>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D-384C-4009-A279-F6CD5134B92F}"/>
                    </c:ext>
                  </c:extLst>
                </c:dPt>
                <c:cat>
                  <c:strRef>
                    <c:extLst xmlns:c15="http://schemas.microsoft.com/office/drawing/2012/chart">
                      <c:ext xmlns:c15="http://schemas.microsoft.com/office/drawing/2012/chart" uri="{02D57815-91ED-43cb-92C2-25804820EDAC}">
                        <c15:formulaRef>
                          <c15:sqref>Analysis!$D$519:$E$519</c15:sqref>
                        </c15:formulaRef>
                      </c:ext>
                    </c:extLst>
                    <c:strCache>
                      <c:ptCount val="2"/>
                      <c:pt idx="0">
                        <c:v>No</c:v>
                      </c:pt>
                      <c:pt idx="1">
                        <c:v>Yes</c:v>
                      </c:pt>
                    </c:strCache>
                  </c:strRef>
                </c:cat>
                <c:val>
                  <c:numRef>
                    <c:extLst xmlns:c15="http://schemas.microsoft.com/office/drawing/2012/chart">
                      <c:ext xmlns:c15="http://schemas.microsoft.com/office/drawing/2012/chart" uri="{02D57815-91ED-43cb-92C2-25804820EDAC}">
                        <c15:formulaRef>
                          <c15:sqref>Analysis!$D$521:$E$521</c15:sqref>
                        </c15:formulaRef>
                      </c:ext>
                    </c:extLst>
                    <c:numCache>
                      <c:formatCode>0%</c:formatCode>
                      <c:ptCount val="2"/>
                      <c:pt idx="0">
                        <c:v>0.4642857142857143</c:v>
                      </c:pt>
                      <c:pt idx="1">
                        <c:v>0.5357142857142857</c:v>
                      </c:pt>
                    </c:numCache>
                  </c:numRef>
                </c:val>
                <c:extLst xmlns:c15="http://schemas.microsoft.com/office/drawing/2012/chart">
                  <c:ext xmlns:c16="http://schemas.microsoft.com/office/drawing/2014/chart" uri="{C3380CC4-5D6E-409C-BE32-E72D297353CC}">
                    <c16:uniqueId val="{0000000E-384C-4009-A279-F6CD5134B92F}"/>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r>
              <a:rPr lang="en-US">
                <a:solidFill>
                  <a:schemeClr val="bg1"/>
                </a:solidFill>
              </a:rPr>
              <a:t>Cluster Team</a:t>
            </a:r>
          </a:p>
          <a:p>
            <a:pPr>
              <a:defRPr>
                <a:solidFill>
                  <a:schemeClr val="bg1"/>
                </a:solidFill>
              </a:defRPr>
            </a:pPr>
            <a:r>
              <a:rPr lang="en-US">
                <a:solidFill>
                  <a:schemeClr val="bg1"/>
                </a:solidFill>
              </a:rPr>
              <a:t># Field visits</a:t>
            </a:r>
          </a:p>
        </c:rich>
      </c:tx>
      <c:layout>
        <c:manualLayout>
          <c:xMode val="edge"/>
          <c:yMode val="edge"/>
          <c:x val="0.24150548137528663"/>
          <c:y val="0.23311105742366464"/>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title>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tx1"/>
          </a:solidFill>
          <a:ln>
            <a:noFill/>
          </a:ln>
          <a:effectLst>
            <a:outerShdw blurRad="40000" dist="23000" dir="5400000" rotWithShape="0">
              <a:srgbClr val="000000">
                <a:alpha val="35000"/>
              </a:srgbClr>
            </a:outerShdw>
          </a:effectLst>
        </c:spPr>
        <c:dLbl>
          <c:idx val="0"/>
          <c:layout>
            <c:manualLayout>
              <c:x val="-5.3388013998249863E-3"/>
              <c:y val="-0.33712962962962967"/>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2049999999999997"/>
                  <c:h val="0.17675925925925923"/>
                </c:manualLayout>
              </c15:layout>
            </c:ext>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tx1"/>
          </a:solidFill>
          <a:ln>
            <a:noFill/>
          </a:ln>
          <a:effectLst>
            <a:outerShdw blurRad="40000" dist="23000" dir="5400000" rotWithShape="0">
              <a:srgbClr val="000000">
                <a:alpha val="35000"/>
              </a:srgbClr>
            </a:outerShdw>
          </a:effectLst>
        </c:spPr>
        <c:dLbl>
          <c:idx val="0"/>
          <c:layout>
            <c:manualLayout>
              <c:x val="-5.3388013998249863E-3"/>
              <c:y val="-0.33712962962962967"/>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2049999999999997"/>
                  <c:h val="0.17675925925925923"/>
                </c:manualLayout>
              </c15:layout>
            </c:ext>
          </c:extLst>
        </c:dLbl>
      </c:pivotFmt>
    </c:pivotFmts>
    <c:plotArea>
      <c:layout>
        <c:manualLayout>
          <c:layoutTarget val="inner"/>
          <c:xMode val="edge"/>
          <c:yMode val="edge"/>
          <c:x val="0.10080834990944404"/>
          <c:y val="9.4575706957448435E-2"/>
          <c:w val="0.83999291662290576"/>
          <c:h val="0.88116958925645028"/>
        </c:manualLayout>
      </c:layout>
      <c:pieChart>
        <c:varyColors val="1"/>
        <c:ser>
          <c:idx val="0"/>
          <c:order val="0"/>
          <c:tx>
            <c:v>Total</c:v>
          </c:tx>
          <c:dPt>
            <c:idx val="0"/>
            <c:bubble3D val="0"/>
            <c:spPr>
              <a:solidFill>
                <a:schemeClr val="tx1"/>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D7B1-4B40-9293-44801219B933}"/>
              </c:ext>
            </c:extLst>
          </c:dPt>
          <c:dLbls>
            <c:dLbl>
              <c:idx val="0"/>
              <c:layout>
                <c:manualLayout>
                  <c:x val="-8.6568852638911741E-3"/>
                  <c:y val="-0.290415160412655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B1-4B40-9293-44801219B933}"/>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Lit>
              <c:ptCount val="1"/>
              <c:pt idx="0">
                <c:v>Total</c:v>
              </c:pt>
            </c:strLit>
          </c:cat>
          <c:val>
            <c:numLit>
              <c:formatCode>General</c:formatCode>
              <c:ptCount val="1"/>
              <c:pt idx="0">
                <c:v>13</c:v>
              </c:pt>
            </c:numLit>
          </c:val>
          <c:extLst>
            <c:ext xmlns:c16="http://schemas.microsoft.com/office/drawing/2014/chart" uri="{C3380CC4-5D6E-409C-BE32-E72D297353CC}">
              <c16:uniqueId val="{00000002-D7B1-4B40-9293-44801219B93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Hygiene Coverage in New Temporary Sites</a:t>
            </a:r>
          </a:p>
        </c:rich>
      </c:tx>
      <c:layout>
        <c:manualLayout>
          <c:xMode val="edge"/>
          <c:yMode val="edge"/>
          <c:x val="0.15963907348167858"/>
          <c:y val="4.881657183809127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Analysis!$J$254</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Analysis!$I$255:$I$258</c15:sqref>
                  </c15:fullRef>
                </c:ext>
              </c:extLst>
              <c:f>Analysis!$I$257:$I$258</c:f>
              <c:strCache>
                <c:ptCount val="2"/>
                <c:pt idx="0">
                  <c:v># HH received soaps</c:v>
                </c:pt>
                <c:pt idx="1">
                  <c:v># HH received Sanitary Pads</c:v>
                </c:pt>
              </c:strCache>
            </c:strRef>
          </c:cat>
          <c:val>
            <c:numRef>
              <c:extLst>
                <c:ext xmlns:c15="http://schemas.microsoft.com/office/drawing/2012/chart" uri="{02D57815-91ED-43cb-92C2-25804820EDAC}">
                  <c15:fullRef>
                    <c15:sqref>Analysis!$J$255:$J$258</c15:sqref>
                  </c15:fullRef>
                </c:ext>
              </c:extLst>
              <c:f>Analysis!$J$257:$J$258</c:f>
              <c:numCache>
                <c:formatCode>0</c:formatCode>
                <c:ptCount val="2"/>
                <c:pt idx="0">
                  <c:v>5027</c:v>
                </c:pt>
                <c:pt idx="1">
                  <c:v>4986</c:v>
                </c:pt>
              </c:numCache>
            </c:numRef>
          </c:val>
          <c:extLst>
            <c:ext xmlns:c16="http://schemas.microsoft.com/office/drawing/2014/chart" uri="{C3380CC4-5D6E-409C-BE32-E72D297353CC}">
              <c16:uniqueId val="{00000000-CBEC-4F50-826B-F543768D342E}"/>
            </c:ext>
          </c:extLst>
        </c:ser>
        <c:ser>
          <c:idx val="1"/>
          <c:order val="1"/>
          <c:tx>
            <c:strRef>
              <c:f>Analysis!$K$254</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Analysis!$I$255:$I$258</c15:sqref>
                  </c15:fullRef>
                </c:ext>
              </c:extLst>
              <c:f>Analysis!$I$257:$I$258</c:f>
              <c:strCache>
                <c:ptCount val="2"/>
                <c:pt idx="0">
                  <c:v># HH received soaps</c:v>
                </c:pt>
                <c:pt idx="1">
                  <c:v># HH received Sanitary Pads</c:v>
                </c:pt>
              </c:strCache>
            </c:strRef>
          </c:cat>
          <c:val>
            <c:numRef>
              <c:extLst>
                <c:ext xmlns:c15="http://schemas.microsoft.com/office/drawing/2012/chart" uri="{02D57815-91ED-43cb-92C2-25804820EDAC}">
                  <c15:fullRef>
                    <c15:sqref>Analysis!$K$255:$K$258</c15:sqref>
                  </c15:fullRef>
                </c:ext>
              </c:extLst>
              <c:f>Analysis!$K$257:$K$258</c:f>
              <c:numCache>
                <c:formatCode>0</c:formatCode>
                <c:ptCount val="2"/>
                <c:pt idx="0">
                  <c:v>3306</c:v>
                </c:pt>
                <c:pt idx="1">
                  <c:v>3347</c:v>
                </c:pt>
              </c:numCache>
            </c:numRef>
          </c:val>
          <c:extLst>
            <c:ext xmlns:c16="http://schemas.microsoft.com/office/drawing/2014/chart" uri="{C3380CC4-5D6E-409C-BE32-E72D297353CC}">
              <c16:uniqueId val="{00000001-CBEC-4F50-826B-F543768D342E}"/>
            </c:ext>
          </c:extLst>
        </c:ser>
        <c:dLbls>
          <c:showLegendKey val="0"/>
          <c:showVal val="0"/>
          <c:showCatName val="0"/>
          <c:showSerName val="0"/>
          <c:showPercent val="0"/>
          <c:showBubbleSize val="0"/>
        </c:dLbls>
        <c:gapWidth val="150"/>
        <c:overlap val="100"/>
        <c:axId val="590637135"/>
        <c:axId val="578338607"/>
      </c:barChart>
      <c:catAx>
        <c:axId val="590637135"/>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78338607"/>
        <c:crosses val="autoZero"/>
        <c:auto val="1"/>
        <c:lblAlgn val="ctr"/>
        <c:lblOffset val="100"/>
        <c:noMultiLvlLbl val="0"/>
      </c:catAx>
      <c:valAx>
        <c:axId val="578338607"/>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906371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[20190516_Myanmar_WASH_4W_2019_Q1_Consolidate.xlsx]Analysis!R_water1</c:name>
    <c:fmtId val="15"/>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Water Point Coverage</a:t>
            </a:r>
          </a:p>
          <a:p>
            <a:pPr>
              <a:defRPr sz="1400"/>
            </a:pPr>
            <a:r>
              <a:rPr lang="en-US" sz="1400" b="1" i="0" baseline="0">
                <a:effectLst/>
              </a:rPr>
              <a:t>in active camps &amp; villages</a:t>
            </a:r>
          </a:p>
        </c:rich>
      </c:tx>
      <c:layout>
        <c:manualLayout>
          <c:xMode val="edge"/>
          <c:yMode val="edge"/>
          <c:x val="0.20280713857989052"/>
          <c:y val="1.102561392718570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circle"/>
          <c:size val="6"/>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circle"/>
          <c:size val="6"/>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724496922737123E-2"/>
          <c:y val="0.19490881723727033"/>
          <c:w val="0.72743677504115245"/>
          <c:h val="0.59267685736784093"/>
        </c:manualLayout>
      </c:layout>
      <c:barChart>
        <c:barDir val="col"/>
        <c:grouping val="percentStacked"/>
        <c:varyColors val="0"/>
        <c:ser>
          <c:idx val="0"/>
          <c:order val="0"/>
          <c:tx>
            <c:strRef>
              <c:f>Analysis!$J$50</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Analysis!$I$51:$I$52</c:f>
              <c:strCache>
                <c:ptCount val="2"/>
                <c:pt idx="0">
                  <c:v>Camp</c:v>
                </c:pt>
                <c:pt idx="1">
                  <c:v>Village</c:v>
                </c:pt>
              </c:strCache>
            </c:strRef>
          </c:cat>
          <c:val>
            <c:numRef>
              <c:f>Analysis!$J$51:$J$52</c:f>
              <c:numCache>
                <c:formatCode>0</c:formatCode>
                <c:ptCount val="2"/>
                <c:pt idx="0">
                  <c:v>215.15600000000003</c:v>
                </c:pt>
                <c:pt idx="1">
                  <c:v>64.225999999999999</c:v>
                </c:pt>
              </c:numCache>
            </c:numRef>
          </c:val>
          <c:extLst>
            <c:ext xmlns:c16="http://schemas.microsoft.com/office/drawing/2014/chart" uri="{C3380CC4-5D6E-409C-BE32-E72D297353CC}">
              <c16:uniqueId val="{00000000-DF64-4D48-9973-21FBD17B80A7}"/>
            </c:ext>
          </c:extLst>
        </c:ser>
        <c:ser>
          <c:idx val="1"/>
          <c:order val="1"/>
          <c:tx>
            <c:strRef>
              <c:f>Analysis!$K$50</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Analysis!$I$51:$I$52</c:f>
              <c:strCache>
                <c:ptCount val="2"/>
                <c:pt idx="0">
                  <c:v>Camp</c:v>
                </c:pt>
                <c:pt idx="1">
                  <c:v>Village</c:v>
                </c:pt>
              </c:strCache>
            </c:strRef>
          </c:cat>
          <c:val>
            <c:numRef>
              <c:f>Analysis!$K$51:$K$52</c:f>
              <c:numCache>
                <c:formatCode>0</c:formatCode>
                <c:ptCount val="2"/>
                <c:pt idx="0">
                  <c:v>25.761999999999997</c:v>
                </c:pt>
                <c:pt idx="1">
                  <c:v>386.80400000000003</c:v>
                </c:pt>
              </c:numCache>
            </c:numRef>
          </c:val>
          <c:extLst>
            <c:ext xmlns:c16="http://schemas.microsoft.com/office/drawing/2014/chart" uri="{C3380CC4-5D6E-409C-BE32-E72D297353CC}">
              <c16:uniqueId val="{00000001-DF64-4D48-9973-21FBD17B80A7}"/>
            </c:ext>
          </c:extLst>
        </c:ser>
        <c:dLbls>
          <c:dLblPos val="ctr"/>
          <c:showLegendKey val="0"/>
          <c:showVal val="1"/>
          <c:showCatName val="0"/>
          <c:showSerName val="0"/>
          <c:showPercent val="0"/>
          <c:showBubbleSize val="0"/>
        </c:dLbls>
        <c:gapWidth val="150"/>
        <c:overlap val="100"/>
        <c:axId val="417005656"/>
        <c:axId val="417006048"/>
      </c:barChart>
      <c:catAx>
        <c:axId val="4170056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06048"/>
        <c:crosses val="autoZero"/>
        <c:auto val="1"/>
        <c:lblAlgn val="ctr"/>
        <c:lblOffset val="100"/>
        <c:noMultiLvlLbl val="0"/>
      </c:catAx>
      <c:valAx>
        <c:axId val="4170060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05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of Sites which made water quality test at water sources</a:t>
            </a:r>
            <a:endParaRPr lang="en-US" sz="1400">
              <a:effectLst/>
            </a:endParaRPr>
          </a:p>
        </c:rich>
      </c:tx>
      <c:layout>
        <c:manualLayout>
          <c:xMode val="edge"/>
          <c:yMode val="edge"/>
          <c:x val="0.1741399946534461"/>
          <c:y val="1.737259769824610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1.3243049479926123E-2"/>
          <c:y val="0.29896813295357555"/>
          <c:w val="0.4369630357259669"/>
          <c:h val="0.45783261663363806"/>
        </c:manualLayout>
      </c:layout>
      <c:pieChart>
        <c:varyColors val="1"/>
        <c:ser>
          <c:idx val="2"/>
          <c:order val="2"/>
          <c:tx>
            <c:strRef>
              <c:f>Analysis!$H$67</c:f>
              <c:strCache>
                <c:ptCount val="1"/>
                <c:pt idx="0">
                  <c:v>Central Rakhine</c:v>
                </c:pt>
              </c:strCache>
              <c:extLst xmlns:c15="http://schemas.microsoft.com/office/drawing/2012/chart"/>
            </c:strRef>
          </c:tx>
          <c:dPt>
            <c:idx val="0"/>
            <c:bubble3D val="0"/>
            <c:spPr>
              <a:solidFill>
                <a:srgbClr val="0070C0"/>
              </a:solidFill>
              <a:ln>
                <a:noFill/>
              </a:ln>
              <a:effectLst/>
            </c:spPr>
            <c:extLst>
              <c:ext xmlns:c16="http://schemas.microsoft.com/office/drawing/2014/chart" uri="{C3380CC4-5D6E-409C-BE32-E72D297353CC}">
                <c16:uniqueId val="{0000000B-78DD-4321-8323-0F3AD2BF55E9}"/>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D-78DD-4321-8323-0F3AD2BF55E9}"/>
              </c:ext>
            </c:extLst>
          </c:dPt>
          <c:dLbls>
            <c:dLbl>
              <c:idx val="0"/>
              <c:layout>
                <c:manualLayout>
                  <c:x val="-0.14812387054953108"/>
                  <c:y val="-8.7415644643311446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8DD-4321-8323-0F3AD2BF55E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Analysis!$J$64:$K$64</c:f>
              <c:strCache>
                <c:ptCount val="2"/>
                <c:pt idx="0">
                  <c:v>Tested</c:v>
                </c:pt>
                <c:pt idx="1">
                  <c:v>No Test</c:v>
                </c:pt>
              </c:strCache>
              <c:extLst xmlns:c15="http://schemas.microsoft.com/office/drawing/2012/chart"/>
            </c:strRef>
          </c:cat>
          <c:val>
            <c:numRef>
              <c:f>Analysis!$J$67:$K$67</c:f>
              <c:numCache>
                <c:formatCode>0</c:formatCode>
                <c:ptCount val="2"/>
                <c:pt idx="0" formatCode="General">
                  <c:v>16</c:v>
                </c:pt>
                <c:pt idx="1">
                  <c:v>9</c:v>
                </c:pt>
              </c:numCache>
              <c:extLst xmlns:c15="http://schemas.microsoft.com/office/drawing/2012/chart"/>
            </c:numRef>
          </c:val>
          <c:extLst>
            <c:ext xmlns:c16="http://schemas.microsoft.com/office/drawing/2014/chart" uri="{C3380CC4-5D6E-409C-BE32-E72D297353CC}">
              <c16:uniqueId val="{0000000E-78DD-4321-8323-0F3AD2BF55E9}"/>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Analysis!$H$65</c15:sqref>
                        </c15:formulaRef>
                      </c:ext>
                    </c:extLst>
                    <c:strCache>
                      <c:ptCount val="1"/>
                      <c:pt idx="0">
                        <c:v>Kachin</c:v>
                      </c:pt>
                    </c:strCache>
                  </c:strRef>
                </c:tx>
                <c:dPt>
                  <c:idx val="0"/>
                  <c:bubble3D val="0"/>
                  <c:spPr>
                    <a:solidFill>
                      <a:srgbClr val="0070C0"/>
                    </a:solidFill>
                    <a:ln>
                      <a:noFill/>
                    </a:ln>
                    <a:effectLst/>
                  </c:spPr>
                  <c:extLst>
                    <c:ext xmlns:c16="http://schemas.microsoft.com/office/drawing/2014/chart" uri="{C3380CC4-5D6E-409C-BE32-E72D297353CC}">
                      <c16:uniqueId val="{00000001-78DD-4321-8323-0F3AD2BF55E9}"/>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3-78DD-4321-8323-0F3AD2BF55E9}"/>
                    </c:ext>
                  </c:extLst>
                </c:dPt>
                <c:dLbls>
                  <c:dLbl>
                    <c:idx val="0"/>
                    <c:layout>
                      <c:manualLayout>
                        <c:x val="-4.35631316958369E-2"/>
                        <c:y val="0.12426433216055201"/>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uri="{CE6537A1-D6FC-4f65-9D91-7224C49458BB}"/>
                      <c:ext xmlns:c16="http://schemas.microsoft.com/office/drawing/2014/chart" uri="{C3380CC4-5D6E-409C-BE32-E72D297353CC}">
                        <c16:uniqueId val="{00000001-78DD-4321-8323-0F3AD2BF55E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Analysis!$J$64:$K$64</c15:sqref>
                        </c15:formulaRef>
                      </c:ext>
                    </c:extLst>
                    <c:strCache>
                      <c:ptCount val="2"/>
                      <c:pt idx="0">
                        <c:v>Tested</c:v>
                      </c:pt>
                      <c:pt idx="1">
                        <c:v>No Test</c:v>
                      </c:pt>
                    </c:strCache>
                  </c:strRef>
                </c:cat>
                <c:val>
                  <c:numRef>
                    <c:extLst>
                      <c:ext uri="{02D57815-91ED-43cb-92C2-25804820EDAC}">
                        <c15:formulaRef>
                          <c15:sqref>Analysis!$J$65:$K$65</c15:sqref>
                        </c15:formulaRef>
                      </c:ext>
                    </c:extLst>
                    <c:numCache>
                      <c:formatCode>0</c:formatCode>
                      <c:ptCount val="2"/>
                      <c:pt idx="0" formatCode="General">
                        <c:v>12</c:v>
                      </c:pt>
                      <c:pt idx="1">
                        <c:v>122</c:v>
                      </c:pt>
                    </c:numCache>
                  </c:numRef>
                </c:val>
                <c:extLst>
                  <c:ext xmlns:c16="http://schemas.microsoft.com/office/drawing/2014/chart" uri="{C3380CC4-5D6E-409C-BE32-E72D297353CC}">
                    <c16:uniqueId val="{00000004-78DD-4321-8323-0F3AD2BF55E9}"/>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Analysis!$H$66</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6-78DD-4321-8323-0F3AD2BF55E9}"/>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8-78DD-4321-8323-0F3AD2BF55E9}"/>
                    </c:ext>
                  </c:extLst>
                </c:dPt>
                <c:cat>
                  <c:strRef>
                    <c:extLst xmlns:c15="http://schemas.microsoft.com/office/drawing/2012/chart">
                      <c:ext xmlns:c15="http://schemas.microsoft.com/office/drawing/2012/chart" uri="{02D57815-91ED-43cb-92C2-25804820EDAC}">
                        <c15:formulaRef>
                          <c15:sqref>Analysis!$J$64:$K$64</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Analysis!$J$66:$K$66</c15:sqref>
                        </c15:formulaRef>
                      </c:ext>
                    </c:extLst>
                    <c:numCache>
                      <c:formatCode>0</c:formatCode>
                      <c:ptCount val="2"/>
                      <c:pt idx="0" formatCode="General">
                        <c:v>14</c:v>
                      </c:pt>
                      <c:pt idx="1">
                        <c:v>14</c:v>
                      </c:pt>
                    </c:numCache>
                  </c:numRef>
                </c:val>
                <c:extLst xmlns:c15="http://schemas.microsoft.com/office/drawing/2012/chart">
                  <c:ext xmlns:c16="http://schemas.microsoft.com/office/drawing/2014/chart" uri="{C3380CC4-5D6E-409C-BE32-E72D297353CC}">
                    <c16:uniqueId val="{00000009-78DD-4321-8323-0F3AD2BF55E9}"/>
                  </c:ext>
                </c:extLst>
              </c15:ser>
            </c15:filteredPieSeries>
          </c:ext>
        </c:extLst>
      </c:pieChart>
      <c:spPr>
        <a:noFill/>
        <a:ln>
          <a:noFill/>
        </a:ln>
        <a:effectLst/>
      </c:spPr>
    </c:plotArea>
    <c:legend>
      <c:legendPos val="b"/>
      <c:layout>
        <c:manualLayout>
          <c:xMode val="edge"/>
          <c:yMode val="edge"/>
          <c:x val="0"/>
          <c:y val="0.743891693447712"/>
          <c:w val="0.43495323647924289"/>
          <c:h val="8.90490784748103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Analysis!$L$64</c:f>
              <c:strCache>
                <c:ptCount val="1"/>
                <c:pt idx="0">
                  <c:v># Tested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Analysis!$H$65:$H$67</c15:sqref>
                  </c15:fullRef>
                </c:ext>
              </c:extLst>
              <c:f>Analysis!$H$67</c:f>
              <c:strCache>
                <c:ptCount val="1"/>
                <c:pt idx="0">
                  <c:v>Central Rakhine</c:v>
                </c:pt>
              </c:strCache>
            </c:strRef>
          </c:cat>
          <c:val>
            <c:numRef>
              <c:extLst>
                <c:ext xmlns:c15="http://schemas.microsoft.com/office/drawing/2012/chart" uri="{02D57815-91ED-43cb-92C2-25804820EDAC}">
                  <c15:fullRef>
                    <c15:sqref>Analysis!$L$65:$L$67</c15:sqref>
                  </c15:fullRef>
                </c:ext>
              </c:extLst>
              <c:f>Analysis!$L$67</c:f>
              <c:numCache>
                <c:formatCode>General</c:formatCode>
                <c:ptCount val="1"/>
                <c:pt idx="0">
                  <c:v>653</c:v>
                </c:pt>
              </c:numCache>
            </c:numRef>
          </c:val>
          <c:extLst>
            <c:ext xmlns:c16="http://schemas.microsoft.com/office/drawing/2014/chart" uri="{C3380CC4-5D6E-409C-BE32-E72D297353CC}">
              <c16:uniqueId val="{00000000-9984-4CB3-A079-7574DB49FFA0}"/>
            </c:ext>
          </c:extLst>
        </c:ser>
        <c:ser>
          <c:idx val="1"/>
          <c:order val="1"/>
          <c:tx>
            <c:strRef>
              <c:f>Analysis!$M$64</c:f>
              <c:strCache>
                <c:ptCount val="1"/>
                <c:pt idx="0">
                  <c:v> # Treated</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Analysis!$H$65:$H$67</c15:sqref>
                  </c15:fullRef>
                </c:ext>
              </c:extLst>
              <c:f>Analysis!$H$67</c:f>
              <c:strCache>
                <c:ptCount val="1"/>
                <c:pt idx="0">
                  <c:v>Central Rakhine</c:v>
                </c:pt>
              </c:strCache>
            </c:strRef>
          </c:cat>
          <c:val>
            <c:numRef>
              <c:extLst>
                <c:ext xmlns:c15="http://schemas.microsoft.com/office/drawing/2012/chart" uri="{02D57815-91ED-43cb-92C2-25804820EDAC}">
                  <c15:fullRef>
                    <c15:sqref>Analysis!$M$65:$M$67</c15:sqref>
                  </c15:fullRef>
                </c:ext>
              </c:extLst>
              <c:f>Analysis!$M$67</c:f>
              <c:numCache>
                <c:formatCode>General</c:formatCode>
                <c:ptCount val="1"/>
                <c:pt idx="0">
                  <c:v>27</c:v>
                </c:pt>
              </c:numCache>
            </c:numRef>
          </c:val>
          <c:extLst>
            <c:ext xmlns:c16="http://schemas.microsoft.com/office/drawing/2014/chart" uri="{C3380CC4-5D6E-409C-BE32-E72D297353CC}">
              <c16:uniqueId val="{00000001-9984-4CB3-A079-7574DB49FFA0}"/>
            </c:ext>
          </c:extLst>
        </c:ser>
        <c:dLbls>
          <c:showLegendKey val="0"/>
          <c:showVal val="0"/>
          <c:showCatName val="0"/>
          <c:showSerName val="0"/>
          <c:showPercent val="0"/>
          <c:showBubbleSize val="0"/>
        </c:dLbls>
        <c:gapWidth val="150"/>
        <c:overlap val="100"/>
        <c:axId val="1332863680"/>
        <c:axId val="1335493040"/>
      </c:barChart>
      <c:catAx>
        <c:axId val="1332863680"/>
        <c:scaling>
          <c:orientation val="minMax"/>
        </c:scaling>
        <c:delete val="1"/>
        <c:axPos val="b"/>
        <c:numFmt formatCode="General" sourceLinked="1"/>
        <c:majorTickMark val="none"/>
        <c:minorTickMark val="none"/>
        <c:tickLblPos val="nextTo"/>
        <c:crossAx val="1335493040"/>
        <c:crosses val="autoZero"/>
        <c:auto val="1"/>
        <c:lblAlgn val="ctr"/>
        <c:lblOffset val="100"/>
        <c:noMultiLvlLbl val="0"/>
      </c:catAx>
      <c:valAx>
        <c:axId val="1335493040"/>
        <c:scaling>
          <c:orientation val="minMax"/>
          <c:max val="700"/>
          <c:min val="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2863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of Sites which made water quality test at household</a:t>
            </a:r>
            <a:endParaRPr lang="en-US" sz="1400">
              <a:effectLst/>
            </a:endParaRPr>
          </a:p>
        </c:rich>
      </c:tx>
      <c:layout>
        <c:manualLayout>
          <c:xMode val="edge"/>
          <c:yMode val="edge"/>
          <c:x val="0.16675324438611841"/>
          <c:y val="2.593402102378772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1.2836893652182366E-2"/>
          <c:y val="0.31277362204724407"/>
          <c:w val="0.44491500194420142"/>
          <c:h val="0.41186417322834645"/>
        </c:manualLayout>
      </c:layout>
      <c:pieChart>
        <c:varyColors val="1"/>
        <c:ser>
          <c:idx val="2"/>
          <c:order val="2"/>
          <c:tx>
            <c:strRef>
              <c:f>Analysis!$V$67</c:f>
              <c:strCache>
                <c:ptCount val="1"/>
                <c:pt idx="0">
                  <c:v>Central Rakhine</c:v>
                </c:pt>
              </c:strCache>
              <c:extLst xmlns:c15="http://schemas.microsoft.com/office/drawing/2012/chart"/>
            </c:strRef>
          </c:tx>
          <c:dPt>
            <c:idx val="0"/>
            <c:bubble3D val="0"/>
            <c:spPr>
              <a:solidFill>
                <a:srgbClr val="0070C0"/>
              </a:solidFill>
              <a:ln>
                <a:noFill/>
              </a:ln>
              <a:effectLst/>
            </c:spPr>
            <c:extLst>
              <c:ext xmlns:c16="http://schemas.microsoft.com/office/drawing/2014/chart" uri="{C3380CC4-5D6E-409C-BE32-E72D297353CC}">
                <c16:uniqueId val="{00000001-9702-49DA-9C90-2459AE5B6D9F}"/>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3-9702-49DA-9C90-2459AE5B6D9F}"/>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9702-49DA-9C90-2459AE5B6D9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Analysis!$X$64:$Y$64</c:f>
              <c:strCache>
                <c:ptCount val="2"/>
                <c:pt idx="0">
                  <c:v>Tested</c:v>
                </c:pt>
                <c:pt idx="1">
                  <c:v>No test</c:v>
                </c:pt>
              </c:strCache>
              <c:extLst xmlns:c15="http://schemas.microsoft.com/office/drawing/2012/chart"/>
            </c:strRef>
          </c:cat>
          <c:val>
            <c:numRef>
              <c:f>Analysis!$X$67:$Y$67</c:f>
              <c:numCache>
                <c:formatCode>General</c:formatCode>
                <c:ptCount val="2"/>
                <c:pt idx="0">
                  <c:v>16</c:v>
                </c:pt>
                <c:pt idx="1">
                  <c:v>9</c:v>
                </c:pt>
              </c:numCache>
              <c:extLst xmlns:c15="http://schemas.microsoft.com/office/drawing/2012/chart"/>
            </c:numRef>
          </c:val>
          <c:extLst>
            <c:ext xmlns:c16="http://schemas.microsoft.com/office/drawing/2014/chart" uri="{C3380CC4-5D6E-409C-BE32-E72D297353CC}">
              <c16:uniqueId val="{00000004-9702-49DA-9C90-2459AE5B6D9F}"/>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Analysis!$V$65</c15:sqref>
                        </c15:formulaRef>
                      </c:ext>
                    </c:extLst>
                    <c:strCache>
                      <c:ptCount val="1"/>
                      <c:pt idx="0">
                        <c:v>Kachin</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6-9702-49DA-9C90-2459AE5B6D9F}"/>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8-9702-49DA-9C90-2459AE5B6D9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Analysis!$X$64:$Y$64</c15:sqref>
                        </c15:formulaRef>
                      </c:ext>
                    </c:extLst>
                    <c:strCache>
                      <c:ptCount val="2"/>
                      <c:pt idx="0">
                        <c:v>Tested</c:v>
                      </c:pt>
                      <c:pt idx="1">
                        <c:v>No test</c:v>
                      </c:pt>
                    </c:strCache>
                  </c:strRef>
                </c:cat>
                <c:val>
                  <c:numRef>
                    <c:extLst>
                      <c:ext uri="{02D57815-91ED-43cb-92C2-25804820EDAC}">
                        <c15:formulaRef>
                          <c15:sqref>Analysis!$X$65:$Y$65</c15:sqref>
                        </c15:formulaRef>
                      </c:ext>
                    </c:extLst>
                    <c:numCache>
                      <c:formatCode>General</c:formatCode>
                      <c:ptCount val="2"/>
                      <c:pt idx="0">
                        <c:v>16</c:v>
                      </c:pt>
                      <c:pt idx="1">
                        <c:v>118</c:v>
                      </c:pt>
                    </c:numCache>
                  </c:numRef>
                </c:val>
                <c:extLst>
                  <c:ext xmlns:c16="http://schemas.microsoft.com/office/drawing/2014/chart" uri="{C3380CC4-5D6E-409C-BE32-E72D297353CC}">
                    <c16:uniqueId val="{00000009-9702-49DA-9C90-2459AE5B6D9F}"/>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Analysis!$V$66</c15:sqref>
                        </c15:formulaRef>
                      </c:ext>
                    </c:extLst>
                    <c:strCache>
                      <c:ptCount val="1"/>
                      <c:pt idx="0">
                        <c:v>Shan (North)</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9702-49DA-9C90-2459AE5B6D9F}"/>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D-9702-49DA-9C90-2459AE5B6D9F}"/>
                    </c:ext>
                  </c:extLst>
                </c:dPt>
                <c:cat>
                  <c:strRef>
                    <c:extLst xmlns:c15="http://schemas.microsoft.com/office/drawing/2012/chart">
                      <c:ext xmlns:c15="http://schemas.microsoft.com/office/drawing/2012/chart" uri="{02D57815-91ED-43cb-92C2-25804820EDAC}">
                        <c15:formulaRef>
                          <c15:sqref>Analysis!$X$64:$Y$64</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Analysis!$X$66:$Y$66</c15:sqref>
                        </c15:formulaRef>
                      </c:ext>
                    </c:extLst>
                    <c:numCache>
                      <c:formatCode>General</c:formatCode>
                      <c:ptCount val="2"/>
                      <c:pt idx="0">
                        <c:v>14</c:v>
                      </c:pt>
                      <c:pt idx="1">
                        <c:v>14</c:v>
                      </c:pt>
                    </c:numCache>
                  </c:numRef>
                </c:val>
                <c:extLst xmlns:c15="http://schemas.microsoft.com/office/drawing/2012/chart">
                  <c:ext xmlns:c16="http://schemas.microsoft.com/office/drawing/2014/chart" uri="{C3380CC4-5D6E-409C-BE32-E72D297353CC}">
                    <c16:uniqueId val="{0000000E-9702-49DA-9C90-2459AE5B6D9F}"/>
                  </c:ext>
                </c:extLst>
              </c15:ser>
            </c15:filteredPieSeries>
          </c:ext>
        </c:extLst>
      </c:pieChart>
      <c:spPr>
        <a:noFill/>
        <a:ln>
          <a:noFill/>
        </a:ln>
        <a:effectLst/>
      </c:spPr>
    </c:plotArea>
    <c:legend>
      <c:legendPos val="b"/>
      <c:layout>
        <c:manualLayout>
          <c:xMode val="edge"/>
          <c:yMode val="edge"/>
          <c:x val="2.2356493632740351E-2"/>
          <c:y val="0.74463020247469069"/>
          <c:w val="0.43831140031107224"/>
          <c:h val="7.322694038245219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6726659167604"/>
          <c:y val="3.9676123320037879E-2"/>
          <c:w val="0.78332733408323962"/>
          <c:h val="0.63388376874385099"/>
        </c:manualLayout>
      </c:layout>
      <c:barChart>
        <c:barDir val="col"/>
        <c:grouping val="stacked"/>
        <c:varyColors val="0"/>
        <c:ser>
          <c:idx val="0"/>
          <c:order val="0"/>
          <c:tx>
            <c:strRef>
              <c:f>Analysis!$Z$64</c:f>
              <c:strCache>
                <c:ptCount val="1"/>
                <c:pt idx="0">
                  <c:v> # Tested</c:v>
                </c:pt>
              </c:strCache>
            </c:strRef>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Analysis!$V$65:$V$67</c15:sqref>
                  </c15:fullRef>
                </c:ext>
              </c:extLst>
              <c:f>Analysis!$V$67</c:f>
              <c:strCache>
                <c:ptCount val="1"/>
                <c:pt idx="0">
                  <c:v>Central Rakhine</c:v>
                </c:pt>
              </c:strCache>
            </c:strRef>
          </c:cat>
          <c:val>
            <c:numRef>
              <c:extLst>
                <c:ext xmlns:c15="http://schemas.microsoft.com/office/drawing/2012/chart" uri="{02D57815-91ED-43cb-92C2-25804820EDAC}">
                  <c15:fullRef>
                    <c15:sqref>Analysis!$Z$65:$Z$67</c15:sqref>
                  </c15:fullRef>
                </c:ext>
              </c:extLst>
              <c:f>Analysis!$Z$67</c:f>
              <c:numCache>
                <c:formatCode>General</c:formatCode>
                <c:ptCount val="1"/>
                <c:pt idx="0">
                  <c:v>1023</c:v>
                </c:pt>
              </c:numCache>
            </c:numRef>
          </c:val>
          <c:extLst>
            <c:ext xmlns:c16="http://schemas.microsoft.com/office/drawing/2014/chart" uri="{C3380CC4-5D6E-409C-BE32-E72D297353CC}">
              <c16:uniqueId val="{00000000-AE66-4E98-9BF8-BD7945626084}"/>
            </c:ext>
          </c:extLst>
        </c:ser>
        <c:ser>
          <c:idx val="1"/>
          <c:order val="1"/>
          <c:tx>
            <c:strRef>
              <c:f>Analysis!$AA$64</c:f>
              <c:strCache>
                <c:ptCount val="1"/>
                <c:pt idx="0">
                  <c:v> # Household received remediation action</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Analysis!$V$65:$V$67</c15:sqref>
                  </c15:fullRef>
                </c:ext>
              </c:extLst>
              <c:f>Analysis!$V$67</c:f>
              <c:strCache>
                <c:ptCount val="1"/>
                <c:pt idx="0">
                  <c:v>Central Rakhine</c:v>
                </c:pt>
              </c:strCache>
            </c:strRef>
          </c:cat>
          <c:val>
            <c:numRef>
              <c:extLst>
                <c:ext xmlns:c15="http://schemas.microsoft.com/office/drawing/2012/chart" uri="{02D57815-91ED-43cb-92C2-25804820EDAC}">
                  <c15:fullRef>
                    <c15:sqref>Analysis!$AA$65:$AA$67</c15:sqref>
                  </c15:fullRef>
                </c:ext>
              </c:extLst>
              <c:f>Analysis!$AA$67</c:f>
              <c:numCache>
                <c:formatCode>General</c:formatCode>
                <c:ptCount val="1"/>
                <c:pt idx="0">
                  <c:v>134</c:v>
                </c:pt>
              </c:numCache>
            </c:numRef>
          </c:val>
          <c:extLst>
            <c:ext xmlns:c16="http://schemas.microsoft.com/office/drawing/2014/chart" uri="{C3380CC4-5D6E-409C-BE32-E72D297353CC}">
              <c16:uniqueId val="{00000001-AE66-4E98-9BF8-BD7945626084}"/>
            </c:ext>
          </c:extLst>
        </c:ser>
        <c:dLbls>
          <c:showLegendKey val="0"/>
          <c:showVal val="0"/>
          <c:showCatName val="0"/>
          <c:showSerName val="0"/>
          <c:showPercent val="0"/>
          <c:showBubbleSize val="0"/>
        </c:dLbls>
        <c:gapWidth val="150"/>
        <c:overlap val="100"/>
        <c:axId val="1187118288"/>
        <c:axId val="1344061744"/>
      </c:barChart>
      <c:catAx>
        <c:axId val="1187118288"/>
        <c:scaling>
          <c:orientation val="minMax"/>
        </c:scaling>
        <c:delete val="1"/>
        <c:axPos val="b"/>
        <c:numFmt formatCode="General" sourceLinked="1"/>
        <c:majorTickMark val="none"/>
        <c:minorTickMark val="none"/>
        <c:tickLblPos val="nextTo"/>
        <c:crossAx val="1344061744"/>
        <c:crosses val="autoZero"/>
        <c:auto val="1"/>
        <c:lblAlgn val="ctr"/>
        <c:lblOffset val="100"/>
        <c:noMultiLvlLbl val="0"/>
      </c:catAx>
      <c:valAx>
        <c:axId val="1344061744"/>
        <c:scaling>
          <c:orientation val="minMax"/>
          <c:max val="1200"/>
          <c:min val="0"/>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7118288"/>
        <c:crosses val="autoZero"/>
        <c:crossBetween val="between"/>
      </c:valAx>
      <c:spPr>
        <a:noFill/>
        <a:ln>
          <a:noFill/>
        </a:ln>
        <a:effectLst/>
      </c:spPr>
    </c:plotArea>
    <c:legend>
      <c:legendPos val="b"/>
      <c:layout>
        <c:manualLayout>
          <c:xMode val="edge"/>
          <c:yMode val="edge"/>
          <c:x val="0"/>
          <c:y val="0.69931919011227783"/>
          <c:w val="1"/>
          <c:h val="0.2943980853025799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Funding Received/Gap as of 2019-Q1(US$)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[5]National!$D$3</c:f>
              <c:strCache>
                <c:ptCount val="1"/>
                <c:pt idx="0">
                  <c:v>Cumulative Funding Received for 2019</c:v>
                </c:pt>
              </c:strCache>
            </c:strRef>
          </c:tx>
          <c:spPr>
            <a:solidFill>
              <a:schemeClr val="bg1">
                <a:lumMod val="50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[5]National!$B$4:$B$6</c15:sqref>
                  </c15:fullRef>
                </c:ext>
              </c:extLst>
              <c:f>[5]National!$B$5</c:f>
              <c:strCache>
                <c:ptCount val="1"/>
                <c:pt idx="0">
                  <c:v>Rakhine</c:v>
                </c:pt>
              </c:strCache>
            </c:strRef>
          </c:cat>
          <c:val>
            <c:numRef>
              <c:extLst>
                <c:ext xmlns:c15="http://schemas.microsoft.com/office/drawing/2012/chart" uri="{02D57815-91ED-43cb-92C2-25804820EDAC}">
                  <c15:fullRef>
                    <c15:sqref>[5]National!$D$4:$D$6</c15:sqref>
                  </c15:fullRef>
                </c:ext>
              </c:extLst>
              <c:f>[5]National!$D$5</c:f>
              <c:numCache>
                <c:formatCode>General</c:formatCode>
                <c:ptCount val="1"/>
                <c:pt idx="0">
                  <c:v>8115101.0040127141</c:v>
                </c:pt>
              </c:numCache>
            </c:numRef>
          </c:val>
          <c:extLst xmlns:c15="http://schemas.microsoft.com/office/drawing/2012/chart">
            <c:ext xmlns:c16="http://schemas.microsoft.com/office/drawing/2014/chart" uri="{C3380CC4-5D6E-409C-BE32-E72D297353CC}">
              <c16:uniqueId val="{00000000-22AC-4A07-B14F-4B92B6FEE47D}"/>
            </c:ext>
          </c:extLst>
        </c:ser>
        <c:ser>
          <c:idx val="1"/>
          <c:order val="1"/>
          <c:tx>
            <c:strRef>
              <c:f>[5]National!$E$3</c:f>
              <c:strCache>
                <c:ptCount val="1"/>
                <c:pt idx="0">
                  <c:v>Gap</c:v>
                </c:pt>
              </c:strCache>
            </c:strRef>
          </c:tx>
          <c:spPr>
            <a:solidFill>
              <a:schemeClr val="bg1">
                <a:lumMod val="85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[5]National!$B$4:$B$6</c15:sqref>
                  </c15:fullRef>
                </c:ext>
              </c:extLst>
              <c:f>[5]National!$B$5</c:f>
              <c:strCache>
                <c:ptCount val="1"/>
                <c:pt idx="0">
                  <c:v>Rakhine</c:v>
                </c:pt>
              </c:strCache>
            </c:strRef>
          </c:cat>
          <c:val>
            <c:numRef>
              <c:extLst>
                <c:ext xmlns:c15="http://schemas.microsoft.com/office/drawing/2012/chart" uri="{02D57815-91ED-43cb-92C2-25804820EDAC}">
                  <c15:fullRef>
                    <c15:sqref>[5]National!$E$4:$E$6</c15:sqref>
                  </c15:fullRef>
                </c:ext>
              </c:extLst>
              <c:f>[5]National!$E$5</c:f>
              <c:numCache>
                <c:formatCode>General</c:formatCode>
                <c:ptCount val="1"/>
                <c:pt idx="0">
                  <c:v>11584898.995987285</c:v>
                </c:pt>
              </c:numCache>
            </c:numRef>
          </c:val>
          <c:extLst>
            <c:ext xmlns:c16="http://schemas.microsoft.com/office/drawing/2014/chart" uri="{C3380CC4-5D6E-409C-BE32-E72D297353CC}">
              <c16:uniqueId val="{00000001-22AC-4A07-B14F-4B92B6FEE47D}"/>
            </c:ext>
          </c:extLst>
        </c:ser>
        <c:dLbls>
          <c:dLblPos val="ctr"/>
          <c:showLegendKey val="0"/>
          <c:showVal val="1"/>
          <c:showCatName val="0"/>
          <c:showSerName val="0"/>
          <c:showPercent val="0"/>
          <c:showBubbleSize val="0"/>
        </c:dLbls>
        <c:gapWidth val="150"/>
        <c:overlap val="100"/>
        <c:axId val="364368616"/>
        <c:axId val="364375672"/>
        <c:extLst/>
      </c:barChart>
      <c:catAx>
        <c:axId val="364368616"/>
        <c:scaling>
          <c:orientation val="minMax"/>
        </c:scaling>
        <c:delete val="1"/>
        <c:axPos val="l"/>
        <c:numFmt formatCode="General" sourceLinked="1"/>
        <c:majorTickMark val="none"/>
        <c:minorTickMark val="none"/>
        <c:tickLblPos val="nextTo"/>
        <c:crossAx val="364375672"/>
        <c:crosses val="autoZero"/>
        <c:auto val="1"/>
        <c:lblAlgn val="ctr"/>
        <c:lblOffset val="100"/>
        <c:noMultiLvlLbl val="0"/>
      </c:catAx>
      <c:valAx>
        <c:axId val="36437567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64368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[20190516_Myanmar_WASH_4W_2019_Q1_Consolidate.xlsx]Analysis!S_Geo</c:name>
    <c:fmtId val="1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a:t>Number of Sites - Coverage/Gaps</a:t>
            </a:r>
          </a:p>
        </c:rich>
      </c:tx>
      <c:layout>
        <c:manualLayout>
          <c:xMode val="edge"/>
          <c:yMode val="edge"/>
          <c:x val="0.24457802740360554"/>
          <c:y val="3.058023229986860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s>
    <c:plotArea>
      <c:layout>
        <c:manualLayout>
          <c:layoutTarget val="inner"/>
          <c:xMode val="edge"/>
          <c:yMode val="edge"/>
          <c:x val="0.19479182826299771"/>
          <c:y val="0.2017504968066309"/>
          <c:w val="0.68926037038666255"/>
          <c:h val="0.58889356005193771"/>
        </c:manualLayout>
      </c:layout>
      <c:barChart>
        <c:barDir val="bar"/>
        <c:grouping val="clustered"/>
        <c:varyColors val="0"/>
        <c:ser>
          <c:idx val="0"/>
          <c:order val="0"/>
          <c:tx>
            <c:strRef>
              <c:f>Analysis!$O$330:$O$331</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Analysis!$N$332:$N$334</c:f>
              <c:strCache>
                <c:ptCount val="3"/>
                <c:pt idx="0">
                  <c:v>Camp</c:v>
                </c:pt>
                <c:pt idx="1">
                  <c:v>Camp_not registered</c:v>
                </c:pt>
                <c:pt idx="2">
                  <c:v>New Temporary Site</c:v>
                </c:pt>
              </c:strCache>
            </c:strRef>
          </c:cat>
          <c:val>
            <c:numRef>
              <c:f>Analysis!$O$332:$O$334</c:f>
              <c:numCache>
                <c:formatCode>General</c:formatCode>
                <c:ptCount val="3"/>
                <c:pt idx="0">
                  <c:v>28</c:v>
                </c:pt>
                <c:pt idx="2">
                  <c:v>3</c:v>
                </c:pt>
              </c:numCache>
            </c:numRef>
          </c:val>
          <c:extLst>
            <c:ext xmlns:c16="http://schemas.microsoft.com/office/drawing/2014/chart" uri="{C3380CC4-5D6E-409C-BE32-E72D297353CC}">
              <c16:uniqueId val="{00000000-8B99-4DAA-B16C-EE4930950E0B}"/>
            </c:ext>
          </c:extLst>
        </c:ser>
        <c:ser>
          <c:idx val="1"/>
          <c:order val="1"/>
          <c:tx>
            <c:strRef>
              <c:f>Analysis!$P$330:$P$331</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Analysis!$N$332:$N$334</c:f>
              <c:strCache>
                <c:ptCount val="3"/>
                <c:pt idx="0">
                  <c:v>Camp</c:v>
                </c:pt>
                <c:pt idx="1">
                  <c:v>Camp_not registered</c:v>
                </c:pt>
                <c:pt idx="2">
                  <c:v>New Temporary Site</c:v>
                </c:pt>
              </c:strCache>
            </c:strRef>
          </c:cat>
          <c:val>
            <c:numRef>
              <c:f>Analysis!$P$332:$P$334</c:f>
              <c:numCache>
                <c:formatCode>General</c:formatCode>
                <c:ptCount val="3"/>
                <c:pt idx="0">
                  <c:v>8</c:v>
                </c:pt>
                <c:pt idx="1">
                  <c:v>1</c:v>
                </c:pt>
              </c:numCache>
            </c:numRef>
          </c:val>
          <c:extLst>
            <c:ext xmlns:c16="http://schemas.microsoft.com/office/drawing/2014/chart" uri="{C3380CC4-5D6E-409C-BE32-E72D297353CC}">
              <c16:uniqueId val="{00000001-8B99-4DAA-B16C-EE4930950E0B}"/>
            </c:ext>
          </c:extLst>
        </c:ser>
        <c:dLbls>
          <c:showLegendKey val="0"/>
          <c:showVal val="0"/>
          <c:showCatName val="0"/>
          <c:showSerName val="0"/>
          <c:showPercent val="0"/>
          <c:showBubbleSize val="0"/>
        </c:dLbls>
        <c:gapWidth val="100"/>
        <c:axId val="419844784"/>
        <c:axId val="419844392"/>
      </c:barChart>
      <c:catAx>
        <c:axId val="41984478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9844392"/>
        <c:crosses val="autoZero"/>
        <c:auto val="1"/>
        <c:lblAlgn val="ctr"/>
        <c:lblOffset val="100"/>
        <c:noMultiLvlLbl val="0"/>
      </c:catAx>
      <c:valAx>
        <c:axId val="419844392"/>
        <c:scaling>
          <c:orientation val="minMax"/>
          <c:max val="40"/>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9844784"/>
        <c:crosses val="autoZero"/>
        <c:crossBetween val="between"/>
      </c:valAx>
      <c:spPr>
        <a:noFill/>
        <a:ln>
          <a:noFill/>
        </a:ln>
        <a:effectLst/>
      </c:spPr>
    </c:plotArea>
    <c:legend>
      <c:legendPos val="b"/>
      <c:layout>
        <c:manualLayout>
          <c:xMode val="edge"/>
          <c:yMode val="edge"/>
          <c:x val="0.36769551533331063"/>
          <c:y val="0.8760478563984162"/>
          <c:w val="0.18517913972231675"/>
          <c:h val="0.1003557997439413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Number of ppl Covered against 2019 HRP targets</a:t>
            </a:r>
            <a:endParaRPr lang="en-US" sz="1400">
              <a:effectLst/>
            </a:endParaRPr>
          </a:p>
          <a:p>
            <a:pPr>
              <a:defRPr sz="1400"/>
            </a:pPr>
            <a:r>
              <a:rPr lang="en-US" sz="1400" b="1" i="0" baseline="0">
                <a:effectLst/>
              </a:rPr>
              <a:t> (in IDP camps)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HRP!$H$141</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1-B5ED-4942-B40E-F08C88DFE4B9}"/>
              </c:ext>
            </c:extLst>
          </c:dPt>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3-B5ED-4942-B40E-F08C88DFE4B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HRP!$F$142:$F$144</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HRP!$H$142:$H$144</c:f>
              <c:numCache>
                <c:formatCode>_(* #,##0_);_(* \(#,##0\);_(* "-"??_);_(@_)</c:formatCode>
                <c:ptCount val="3"/>
                <c:pt idx="0">
                  <c:v>7047</c:v>
                </c:pt>
                <c:pt idx="1">
                  <c:v>7491</c:v>
                </c:pt>
                <c:pt idx="2">
                  <c:v>6670.1333333333332</c:v>
                </c:pt>
              </c:numCache>
            </c:numRef>
          </c:val>
          <c:extLst>
            <c:ext xmlns:c16="http://schemas.microsoft.com/office/drawing/2014/chart" uri="{C3380CC4-5D6E-409C-BE32-E72D297353CC}">
              <c16:uniqueId val="{00000008-B5ED-4942-B40E-F08C88DFE4B9}"/>
            </c:ext>
          </c:extLst>
        </c:ser>
        <c:ser>
          <c:idx val="1"/>
          <c:order val="1"/>
          <c:tx>
            <c:strRef>
              <c:f>HRP!$I$141</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A-B5ED-4942-B40E-F08C88DFE4B9}"/>
              </c:ext>
            </c:extLst>
          </c:dPt>
          <c:dPt>
            <c:idx val="1"/>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C-B5ED-4942-B40E-F08C88DFE4B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HRP!$F$142:$F$144</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HRP!$I$142:$I$144</c:f>
              <c:numCache>
                <c:formatCode>_(* #,##0_);_(* \(#,##0\);_(* "-"??_);_(@_)</c:formatCode>
                <c:ptCount val="3"/>
                <c:pt idx="0">
                  <c:v>1607</c:v>
                </c:pt>
                <c:pt idx="1">
                  <c:v>1163</c:v>
                </c:pt>
                <c:pt idx="2">
                  <c:v>1983.8666666666668</c:v>
                </c:pt>
              </c:numCache>
            </c:numRef>
          </c:val>
          <c:extLst>
            <c:ext xmlns:c16="http://schemas.microsoft.com/office/drawing/2014/chart" uri="{C3380CC4-5D6E-409C-BE32-E72D297353CC}">
              <c16:uniqueId val="{00000011-B5ED-4942-B40E-F08C88DFE4B9}"/>
            </c:ext>
          </c:extLst>
        </c:ser>
        <c:dLbls>
          <c:showLegendKey val="0"/>
          <c:showVal val="0"/>
          <c:showCatName val="0"/>
          <c:showSerName val="0"/>
          <c:showPercent val="0"/>
          <c:showBubbleSize val="0"/>
        </c:dLbls>
        <c:gapWidth val="150"/>
        <c:overlap val="100"/>
        <c:axId val="419845568"/>
        <c:axId val="419845960"/>
      </c:barChart>
      <c:catAx>
        <c:axId val="41984556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2"/>
                </a:solidFill>
                <a:latin typeface="+mn-lt"/>
                <a:ea typeface="+mn-ea"/>
                <a:cs typeface="+mn-cs"/>
              </a:defRPr>
            </a:pPr>
            <a:endParaRPr lang="en-US"/>
          </a:p>
        </c:txPr>
        <c:crossAx val="419845960"/>
        <c:crosses val="autoZero"/>
        <c:auto val="1"/>
        <c:lblAlgn val="ctr"/>
        <c:lblOffset val="100"/>
        <c:noMultiLvlLbl val="0"/>
      </c:catAx>
      <c:valAx>
        <c:axId val="419845960"/>
        <c:scaling>
          <c:orientation val="minMax"/>
          <c:max val="1"/>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984556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u="none" strike="noStrike" baseline="0">
                <a:effectLst/>
              </a:rPr>
              <a:t>Constructed surface water drainage system</a:t>
            </a:r>
            <a:r>
              <a:rPr lang="en-US" sz="1400"/>
              <a:t> in active camps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0292988990399025"/>
          <c:y val="0.29036078721313535"/>
          <c:w val="0.45299388058807238"/>
          <c:h val="0.63134309292738622"/>
        </c:manualLayout>
      </c:layout>
      <c:pieChart>
        <c:varyColors val="1"/>
        <c:ser>
          <c:idx val="2"/>
          <c:order val="2"/>
          <c:tx>
            <c:strRef>
              <c:f>Analysis!$B$174</c:f>
              <c:strCache>
                <c:ptCount val="1"/>
                <c:pt idx="0">
                  <c:v>Shan (North)</c:v>
                </c:pt>
              </c:strCache>
              <c:extLst xmlns:c15="http://schemas.microsoft.com/office/drawing/2012/chart"/>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1-8667-40EB-A08A-ADA6B6C85ECE}"/>
              </c:ext>
            </c:extLst>
          </c:dPt>
          <c:dPt>
            <c:idx val="1"/>
            <c:bubble3D val="0"/>
            <c:spPr>
              <a:solidFill>
                <a:schemeClr val="bg1">
                  <a:lumMod val="75000"/>
                </a:schemeClr>
              </a:solidFill>
              <a:ln>
                <a:noFill/>
              </a:ln>
              <a:effectLst/>
            </c:spPr>
            <c:extLst>
              <c:ext xmlns:c16="http://schemas.microsoft.com/office/drawing/2014/chart" uri="{C3380CC4-5D6E-409C-BE32-E72D297353CC}">
                <c16:uniqueId val="{00000003-8667-40EB-A08A-ADA6B6C85ECE}"/>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5-8667-40EB-A08A-ADA6B6C85ECE}"/>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c:ext xmlns:c16="http://schemas.microsoft.com/office/drawing/2014/chart" uri="{C3380CC4-5D6E-409C-BE32-E72D297353CC}">
                <c16:uniqueId val="{00000007-8667-40EB-A08A-ADA6B6C85ECE}"/>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8667-40EB-A08A-ADA6B6C85ECE}"/>
                </c:ext>
              </c:extLst>
            </c:dLbl>
            <c:dLbl>
              <c:idx val="1"/>
              <c:layout>
                <c:manualLayout>
                  <c:x val="9.8610425988626141E-2"/>
                  <c:y val="-9.5431271095720971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667-40EB-A08A-ADA6B6C85ECE}"/>
                </c:ext>
              </c:extLst>
            </c:dLbl>
            <c:dLbl>
              <c:idx val="2"/>
              <c:layout>
                <c:manualLayout>
                  <c:x val="0.10215417070459565"/>
                  <c:y val="-3.43999716697080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667-40EB-A08A-ADA6B6C85ECE}"/>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f>Analysis!$C$171:$F$171</c:f>
              <c:strCache>
                <c:ptCount val="4"/>
                <c:pt idx="0">
                  <c:v>Functional</c:v>
                </c:pt>
                <c:pt idx="1">
                  <c:v>NA</c:v>
                </c:pt>
                <c:pt idx="2">
                  <c:v>Not_Functional</c:v>
                </c:pt>
                <c:pt idx="3">
                  <c:v>Not_inPlace</c:v>
                </c:pt>
              </c:strCache>
              <c:extLst xmlns:c15="http://schemas.microsoft.com/office/drawing/2012/chart"/>
            </c:strRef>
          </c:cat>
          <c:val>
            <c:numRef>
              <c:f>Analysis!$C$174:$F$174</c:f>
              <c:numCache>
                <c:formatCode>General</c:formatCode>
                <c:ptCount val="4"/>
                <c:pt idx="0">
                  <c:v>16</c:v>
                </c:pt>
                <c:pt idx="1">
                  <c:v>0</c:v>
                </c:pt>
                <c:pt idx="2">
                  <c:v>6</c:v>
                </c:pt>
                <c:pt idx="3">
                  <c:v>6</c:v>
                </c:pt>
              </c:numCache>
              <c:extLst xmlns:c15="http://schemas.microsoft.com/office/drawing/2012/chart"/>
            </c:numRef>
          </c:val>
          <c:extLst>
            <c:ext xmlns:c16="http://schemas.microsoft.com/office/drawing/2014/chart" uri="{C3380CC4-5D6E-409C-BE32-E72D297353CC}">
              <c16:uniqueId val="{00000008-8667-40EB-A08A-ADA6B6C85ECE}"/>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Analysis!$B$172</c15:sqref>
                        </c15:formulaRef>
                      </c:ext>
                    </c:extLst>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1-3A63-4C59-8DE1-219A0638CA1F}"/>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c:ext xmlns:c16="http://schemas.microsoft.com/office/drawing/2014/chart" uri="{C3380CC4-5D6E-409C-BE32-E72D297353CC}">
                      <c16:uniqueId val="{00000003-3A63-4C59-8DE1-219A0638CA1F}"/>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5-3A63-4C59-8DE1-219A0638CA1F}"/>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c:ext xmlns:c16="http://schemas.microsoft.com/office/drawing/2014/chart" uri="{C3380CC4-5D6E-409C-BE32-E72D297353CC}">
                      <c16:uniqueId val="{00000007-3A63-4C59-8DE1-219A0638CA1F}"/>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3A63-4C59-8DE1-219A0638CA1F}"/>
                      </c:ext>
                    </c:extLst>
                  </c:dLbl>
                  <c:dLbl>
                    <c:idx val="1"/>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3-3A63-4C59-8DE1-219A0638CA1F}"/>
                      </c:ext>
                    </c:extLst>
                  </c:dLbl>
                  <c:dLbl>
                    <c:idx val="3"/>
                    <c:layout>
                      <c:manualLayout>
                        <c:x val="4.4142253079837497E-2"/>
                        <c:y val="0.12624238229460433"/>
                      </c:manualLayout>
                    </c:layout>
                    <c:dLblPos val="bestFit"/>
                    <c:showLegendKey val="0"/>
                    <c:showVal val="0"/>
                    <c:showCatName val="0"/>
                    <c:showSerName val="0"/>
                    <c:showPercent val="1"/>
                    <c:showBubbleSize val="0"/>
                    <c:extLst>
                      <c:ext uri="{CE6537A1-D6FC-4f65-9D91-7224C49458BB}"/>
                      <c:ext xmlns:c16="http://schemas.microsoft.com/office/drawing/2014/chart" uri="{C3380CC4-5D6E-409C-BE32-E72D297353CC}">
                        <c16:uniqueId val="{00000007-3A63-4C59-8DE1-219A0638CA1F}"/>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Analysis!$C$171:$F$171</c15:sqref>
                        </c15:formulaRef>
                      </c:ext>
                    </c:extLst>
                    <c:strCache>
                      <c:ptCount val="4"/>
                      <c:pt idx="0">
                        <c:v>Functional</c:v>
                      </c:pt>
                      <c:pt idx="1">
                        <c:v>NA</c:v>
                      </c:pt>
                      <c:pt idx="2">
                        <c:v>Not_Functional</c:v>
                      </c:pt>
                      <c:pt idx="3">
                        <c:v>Not_inPlace</c:v>
                      </c:pt>
                    </c:strCache>
                  </c:strRef>
                </c:cat>
                <c:val>
                  <c:numRef>
                    <c:extLst>
                      <c:ext uri="{02D57815-91ED-43cb-92C2-25804820EDAC}">
                        <c15:formulaRef>
                          <c15:sqref>Analysis!$C$172:$F$172</c15:sqref>
                        </c15:formulaRef>
                      </c:ext>
                    </c:extLst>
                    <c:numCache>
                      <c:formatCode>General</c:formatCode>
                      <c:ptCount val="4"/>
                      <c:pt idx="0">
                        <c:v>95</c:v>
                      </c:pt>
                      <c:pt idx="1">
                        <c:v>8</c:v>
                      </c:pt>
                      <c:pt idx="2">
                        <c:v>18</c:v>
                      </c:pt>
                      <c:pt idx="3">
                        <c:v>12</c:v>
                      </c:pt>
                    </c:numCache>
                  </c:numRef>
                </c:val>
                <c:extLst>
                  <c:ext xmlns:c16="http://schemas.microsoft.com/office/drawing/2014/chart" uri="{C3380CC4-5D6E-409C-BE32-E72D297353CC}">
                    <c16:uniqueId val="{00000008-3A63-4C59-8DE1-219A0638CA1F}"/>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Analysis!$B$173</c15:sqref>
                        </c15:formulaRef>
                      </c:ext>
                    </c:extLst>
                    <c:strCache>
                      <c:ptCount val="1"/>
                      <c:pt idx="0">
                        <c:v>Rakhine</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2-8667-40EB-A08A-ADA6B6C85ECE}"/>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4-8667-40EB-A08A-ADA6B6C85ECE}"/>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6-8667-40EB-A08A-ADA6B6C85ECE}"/>
                    </c:ext>
                  </c:extLst>
                </c:dPt>
                <c:dPt>
                  <c:idx val="3"/>
                  <c:bubble3D val="0"/>
                  <c:spPr>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8-8667-40EB-A08A-ADA6B6C85ECE}"/>
                    </c:ext>
                  </c:extLst>
                </c:dPt>
                <c:dLbls>
                  <c:dLbl>
                    <c:idx val="0"/>
                    <c:layout>
                      <c:manualLayout>
                        <c:x val="-6.4180285353954231E-2"/>
                        <c:y val="0.12156082071856092"/>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8667-40EB-A08A-ADA6B6C85ECE}"/>
                      </c:ext>
                    </c:extLst>
                  </c:dLbl>
                  <c:dLbl>
                    <c:idx val="1"/>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4-8667-40EB-A08A-ADA6B6C85ECE}"/>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Analysis!$C$171:$F$171</c15:sqref>
                        </c15:formulaRef>
                      </c:ext>
                    </c:extLst>
                    <c:strCache>
                      <c:ptCount val="4"/>
                      <c:pt idx="0">
                        <c:v>Functional</c:v>
                      </c:pt>
                      <c:pt idx="1">
                        <c:v>NA</c:v>
                      </c:pt>
                      <c:pt idx="2">
                        <c:v>Not_Functional</c:v>
                      </c:pt>
                      <c:pt idx="3">
                        <c:v>Not_inPlace</c:v>
                      </c:pt>
                    </c:strCache>
                  </c:strRef>
                </c:cat>
                <c:val>
                  <c:numRef>
                    <c:extLst xmlns:c15="http://schemas.microsoft.com/office/drawing/2012/chart">
                      <c:ext xmlns:c15="http://schemas.microsoft.com/office/drawing/2012/chart" uri="{02D57815-91ED-43cb-92C2-25804820EDAC}">
                        <c15:formulaRef>
                          <c15:sqref>Analysis!$C$173:$F$173</c15:sqref>
                        </c15:formulaRef>
                      </c:ext>
                    </c:extLst>
                    <c:numCache>
                      <c:formatCode>General</c:formatCode>
                      <c:ptCount val="4"/>
                      <c:pt idx="0">
                        <c:v>17</c:v>
                      </c:pt>
                      <c:pt idx="1">
                        <c:v>7</c:v>
                      </c:pt>
                      <c:pt idx="2">
                        <c:v>1</c:v>
                      </c:pt>
                      <c:pt idx="3">
                        <c:v>0</c:v>
                      </c:pt>
                    </c:numCache>
                  </c:numRef>
                </c:val>
                <c:extLst xmlns:c15="http://schemas.microsoft.com/office/drawing/2012/chart">
                  <c:ext xmlns:c16="http://schemas.microsoft.com/office/drawing/2014/chart" uri="{C3380CC4-5D6E-409C-BE32-E72D297353CC}">
                    <c16:uniqueId val="{00000019-8667-40EB-A08A-ADA6B6C85ECE}"/>
                  </c:ext>
                </c:extLst>
              </c15:ser>
            </c15:filteredPieSeries>
          </c:ext>
        </c:extLst>
      </c:pieChart>
      <c:spPr>
        <a:noFill/>
        <a:ln>
          <a:noFill/>
        </a:ln>
        <a:effectLst/>
      </c:spPr>
    </c:plotArea>
    <c:legend>
      <c:legendPos val="r"/>
      <c:layout>
        <c:manualLayout>
          <c:xMode val="edge"/>
          <c:yMode val="edge"/>
          <c:x val="0.59523049461885758"/>
          <c:y val="0.39908968829050373"/>
          <c:w val="0.40476950538114242"/>
          <c:h val="0.4443576143645357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Effective solid waste management system in place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0744929049610484"/>
          <c:y val="0.27163900779868383"/>
          <c:w val="0.4991109785749398"/>
          <c:h val="0.66523763897072008"/>
        </c:manualLayout>
      </c:layout>
      <c:pieChart>
        <c:varyColors val="1"/>
        <c:ser>
          <c:idx val="2"/>
          <c:order val="2"/>
          <c:tx>
            <c:strRef>
              <c:f>Analysis!$B$190</c:f>
              <c:strCache>
                <c:ptCount val="1"/>
                <c:pt idx="0">
                  <c:v>Shan (North)</c:v>
                </c:pt>
              </c:strCache>
              <c:extLst xmlns:c15="http://schemas.microsoft.com/office/drawing/2012/chart"/>
            </c:strRef>
          </c:tx>
          <c:dPt>
            <c:idx val="0"/>
            <c:bubble3D val="0"/>
            <c:spPr>
              <a:solidFill>
                <a:schemeClr val="bg1">
                  <a:lumMod val="75000"/>
                </a:schemeClr>
              </a:solidFill>
              <a:ln>
                <a:noFill/>
              </a:ln>
              <a:effectLst/>
            </c:spPr>
            <c:extLst>
              <c:ext xmlns:c16="http://schemas.microsoft.com/office/drawing/2014/chart" uri="{C3380CC4-5D6E-409C-BE32-E72D297353CC}">
                <c16:uniqueId val="{00000001-CDAF-45DF-AD5D-165F6FDC16B2}"/>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CDAF-45DF-AD5D-165F6FDC16B2}"/>
              </c:ext>
            </c:extLst>
          </c:dPt>
          <c:dPt>
            <c:idx val="2"/>
            <c:bubble3D val="0"/>
            <c:spPr>
              <a:solidFill>
                <a:schemeClr val="accent2">
                  <a:lumMod val="75000"/>
                </a:schemeClr>
              </a:solidFill>
              <a:ln>
                <a:noFill/>
              </a:ln>
              <a:effectLst/>
            </c:spPr>
            <c:extLst>
              <c:ext xmlns:c16="http://schemas.microsoft.com/office/drawing/2014/chart" uri="{C3380CC4-5D6E-409C-BE32-E72D297353CC}">
                <c16:uniqueId val="{00000005-CDAF-45DF-AD5D-165F6FDC16B2}"/>
              </c:ext>
            </c:extLst>
          </c:dPt>
          <c:dLbls>
            <c:dLbl>
              <c:idx val="0"/>
              <c:layout>
                <c:manualLayout>
                  <c:x val="-5.9140873849878359E-2"/>
                  <c:y val="0.13248154260889439"/>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44546A"/>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DAF-45DF-AD5D-165F6FDC16B2}"/>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44546A"/>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3-CDAF-45DF-AD5D-165F6FDC16B2}"/>
                </c:ext>
              </c:extLst>
            </c:dLbl>
            <c:dLbl>
              <c:idx val="2"/>
              <c:layout>
                <c:manualLayout>
                  <c:x val="0.15499268393549651"/>
                  <c:y val="-7.3163580911844869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DAF-45DF-AD5D-165F6FDC16B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Analysis!$C$187:$F$187</c15:sqref>
                  </c15:fullRef>
                </c:ext>
              </c:extLst>
              <c:f>Analysis!$C$187:$E$187</c:f>
              <c:strCache>
                <c:ptCount val="3"/>
                <c:pt idx="0">
                  <c:v>NA</c:v>
                </c:pt>
                <c:pt idx="1">
                  <c:v>No</c:v>
                </c:pt>
                <c:pt idx="2">
                  <c:v>Yes</c:v>
                </c:pt>
              </c:strCache>
            </c:strRef>
          </c:cat>
          <c:val>
            <c:numRef>
              <c:extLst>
                <c:ext xmlns:c15="http://schemas.microsoft.com/office/drawing/2012/chart" uri="{02D57815-91ED-43cb-92C2-25804820EDAC}">
                  <c15:fullRef>
                    <c15:sqref>Analysis!$C$190:$F$190</c15:sqref>
                  </c15:fullRef>
                </c:ext>
              </c:extLst>
              <c:f>Analysis!$C$190:$E$190</c:f>
              <c:numCache>
                <c:formatCode>General</c:formatCode>
                <c:ptCount val="3"/>
                <c:pt idx="0">
                  <c:v>3</c:v>
                </c:pt>
                <c:pt idx="1">
                  <c:v>7</c:v>
                </c:pt>
                <c:pt idx="2">
                  <c:v>18</c:v>
                </c:pt>
              </c:numCache>
            </c:numRef>
          </c:val>
          <c:extLst>
            <c:ext xmlns:c15="http://schemas.microsoft.com/office/drawing/2012/chart" uri="{02D57815-91ED-43cb-92C2-25804820EDAC}">
              <c15:categoryFilterExceptions>
                <c15:categoryFilterException>
                  <c15:sqref>Analysis!$F$190</c15:sqref>
                  <c15:spPr xmlns:c15="http://schemas.microsoft.com/office/drawing/2012/chart">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15:spPr>
                  <c15:bubble3D val="0"/>
                  <c15:dLbl>
                    <c:idx val="2"/>
                    <c:layout>
                      <c:manualLayout>
                        <c:x val="8.0617375658231419E-2"/>
                        <c:y val="6.3452901720618252E-2"/>
                      </c:manualLayout>
                    </c:layout>
                    <c:showLegendKey val="0"/>
                    <c:showVal val="0"/>
                    <c:showCatName val="0"/>
                    <c:showSerName val="0"/>
                    <c:showPercent val="1"/>
                    <c:showBubbleSize val="0"/>
                    <c:extLst>
                      <c:ext uri="{CE6537A1-D6FC-4f65-9D91-7224C49458BB}"/>
                      <c:ext xmlns:c16="http://schemas.microsoft.com/office/drawing/2014/chart" uri="{C3380CC4-5D6E-409C-BE32-E72D297353CC}">
                        <c16:uniqueId val="{00000017-9983-47D8-BF2B-FCFF9881FA26}"/>
                      </c:ext>
                    </c:extLst>
                  </c15:dLbl>
                </c15:categoryFilterException>
              </c15:categoryFilterExceptions>
            </c:ext>
            <c:ext xmlns:c16="http://schemas.microsoft.com/office/drawing/2014/chart" uri="{C3380CC4-5D6E-409C-BE32-E72D297353CC}">
              <c16:uniqueId val="{00000008-CDAF-45DF-AD5D-165F6FDC16B2}"/>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Analysis!$B$188</c15:sqref>
                        </c15:formulaRef>
                      </c:ext>
                    </c:extLst>
                    <c:strCache>
                      <c:ptCount val="1"/>
                      <c:pt idx="0">
                        <c:v>Kachin</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1-7D04-4B5A-8D19-1128D053B922}"/>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c:ext xmlns:c16="http://schemas.microsoft.com/office/drawing/2014/chart" uri="{C3380CC4-5D6E-409C-BE32-E72D297353CC}">
                      <c16:uniqueId val="{00000003-7D04-4B5A-8D19-1128D053B922}"/>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5-7D04-4B5A-8D19-1128D053B922}"/>
                    </c:ext>
                  </c:extLst>
                </c:dPt>
                <c:dLbls>
                  <c:dLbl>
                    <c:idx val="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7D04-4B5A-8D19-1128D053B922}"/>
                      </c:ext>
                    </c:extLst>
                  </c:dLbl>
                  <c:dLbl>
                    <c:idx val="1"/>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3-7D04-4B5A-8D19-1128D053B922}"/>
                      </c:ext>
                    </c:extLst>
                  </c:dLbl>
                  <c:dLbl>
                    <c:idx val="2"/>
                    <c:layout>
                      <c:manualLayout>
                        <c:x val="4.3363541821423268E-2"/>
                        <c:y val="4.3223972003499561E-2"/>
                      </c:manualLayout>
                    </c:layout>
                    <c:dLblPos val="bestFit"/>
                    <c:showLegendKey val="0"/>
                    <c:showVal val="0"/>
                    <c:showCatName val="0"/>
                    <c:showSerName val="0"/>
                    <c:showPercent val="1"/>
                    <c:showBubbleSize val="0"/>
                    <c:extLst>
                      <c:ext uri="{CE6537A1-D6FC-4f65-9D91-7224C49458BB}"/>
                      <c:ext xmlns:c16="http://schemas.microsoft.com/office/drawing/2014/chart" uri="{C3380CC4-5D6E-409C-BE32-E72D297353CC}">
                        <c16:uniqueId val="{00000005-7D04-4B5A-8D19-1128D053B922}"/>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ullRef>
                          <c15:sqref>Analysis!$C$187:$F$187</c15:sqref>
                        </c15:fullRef>
                        <c15:formulaRef>
                          <c15:sqref>Analysis!$C$187:$E$187</c15:sqref>
                        </c15:formulaRef>
                      </c:ext>
                    </c:extLst>
                    <c:strCache>
                      <c:ptCount val="3"/>
                      <c:pt idx="0">
                        <c:v>NA</c:v>
                      </c:pt>
                      <c:pt idx="1">
                        <c:v>No</c:v>
                      </c:pt>
                      <c:pt idx="2">
                        <c:v>Yes</c:v>
                      </c:pt>
                    </c:strCache>
                  </c:strRef>
                </c:cat>
                <c:val>
                  <c:numRef>
                    <c:extLst>
                      <c:ext uri="{02D57815-91ED-43cb-92C2-25804820EDAC}">
                        <c15:fullRef>
                          <c15:sqref>Analysis!$C$188:$F$188</c15:sqref>
                        </c15:fullRef>
                        <c15:formulaRef>
                          <c15:sqref>Analysis!$C$188:$E$188</c15:sqref>
                        </c15:formulaRef>
                      </c:ext>
                    </c:extLst>
                    <c:numCache>
                      <c:formatCode>General</c:formatCode>
                      <c:ptCount val="3"/>
                      <c:pt idx="0">
                        <c:v>0</c:v>
                      </c:pt>
                      <c:pt idx="1">
                        <c:v>16</c:v>
                      </c:pt>
                      <c:pt idx="2">
                        <c:v>117</c:v>
                      </c:pt>
                    </c:numCache>
                  </c:numRef>
                </c:val>
                <c:extLst>
                  <c:ext uri="{02D57815-91ED-43cb-92C2-25804820EDAC}">
                    <c15:categoryFilterExceptions>
                      <c15:categoryFilterException>
                        <c15:sqref>Analysis!$F$188</c15:sqref>
                        <c15:spPr xmlns:c15="http://schemas.microsoft.com/office/drawing/2012/chart">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15:spPr>
                        <c15:bubble3D val="0"/>
                      </c15:categoryFilterException>
                    </c15:categoryFilterExceptions>
                  </c:ext>
                  <c:ext xmlns:c16="http://schemas.microsoft.com/office/drawing/2014/chart" uri="{C3380CC4-5D6E-409C-BE32-E72D297353CC}">
                    <c16:uniqueId val="{0000000A-7D04-4B5A-8D19-1128D053B922}"/>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Analysis!$B$189</c15:sqref>
                        </c15:formulaRef>
                      </c:ext>
                    </c:extLst>
                    <c:strCache>
                      <c:ptCount val="1"/>
                      <c:pt idx="0">
                        <c:v>Rakhine</c:v>
                      </c:pt>
                    </c:strCache>
                  </c:strRef>
                </c:tx>
                <c:dPt>
                  <c:idx val="0"/>
                  <c:bubble3D val="0"/>
                  <c:spPr>
                    <a:gradFill rotWithShape="1">
                      <a:gsLst>
                        <a:gs pos="0">
                          <a:schemeClr val="accent2">
                            <a:shade val="58000"/>
                            <a:satMod val="103000"/>
                            <a:lumMod val="102000"/>
                            <a:tint val="94000"/>
                          </a:schemeClr>
                        </a:gs>
                        <a:gs pos="50000">
                          <a:schemeClr val="accent2">
                            <a:shade val="58000"/>
                            <a:satMod val="110000"/>
                            <a:lumMod val="100000"/>
                            <a:shade val="100000"/>
                          </a:schemeClr>
                        </a:gs>
                        <a:gs pos="100000">
                          <a:schemeClr val="accent2">
                            <a:shade val="58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2-CDAF-45DF-AD5D-165F6FDC16B2}"/>
                    </c:ext>
                  </c:extLst>
                </c:dPt>
                <c:dPt>
                  <c:idx val="1"/>
                  <c:bubble3D val="0"/>
                  <c:spPr>
                    <a:gradFill rotWithShape="1">
                      <a:gsLst>
                        <a:gs pos="0">
                          <a:schemeClr val="accent2">
                            <a:shade val="86000"/>
                            <a:satMod val="103000"/>
                            <a:lumMod val="102000"/>
                            <a:tint val="94000"/>
                          </a:schemeClr>
                        </a:gs>
                        <a:gs pos="50000">
                          <a:schemeClr val="accent2">
                            <a:shade val="86000"/>
                            <a:satMod val="110000"/>
                            <a:lumMod val="100000"/>
                            <a:shade val="100000"/>
                          </a:schemeClr>
                        </a:gs>
                        <a:gs pos="100000">
                          <a:schemeClr val="accent2">
                            <a:shade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4-CDAF-45DF-AD5D-165F6FDC16B2}"/>
                    </c:ext>
                  </c:extLst>
                </c:dPt>
                <c:dPt>
                  <c:idx val="2"/>
                  <c:bubble3D val="0"/>
                  <c:spPr>
                    <a:gradFill rotWithShape="1">
                      <a:gsLst>
                        <a:gs pos="0">
                          <a:schemeClr val="accent2">
                            <a:tint val="86000"/>
                            <a:satMod val="103000"/>
                            <a:lumMod val="102000"/>
                            <a:tint val="94000"/>
                          </a:schemeClr>
                        </a:gs>
                        <a:gs pos="50000">
                          <a:schemeClr val="accent2">
                            <a:tint val="86000"/>
                            <a:satMod val="110000"/>
                            <a:lumMod val="100000"/>
                            <a:shade val="100000"/>
                          </a:schemeClr>
                        </a:gs>
                        <a:gs pos="100000">
                          <a:schemeClr val="accent2">
                            <a:tint val="86000"/>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16-CDAF-45DF-AD5D-165F6FDC16B2}"/>
                    </c:ext>
                  </c:extLst>
                </c:dPt>
                <c:dLbls>
                  <c:dLbl>
                    <c:idx val="0"/>
                    <c:layout>
                      <c:manualLayout>
                        <c:x val="-0.11369286386371519"/>
                        <c:y val="0.12671624380285798"/>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CDAF-45DF-AD5D-165F6FDC16B2}"/>
                      </c:ext>
                    </c:extLst>
                  </c:dLbl>
                  <c:dLbl>
                    <c:idx val="1"/>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5="http://schemas.microsoft.com/office/drawing/2012/chart">
                      <c:ext xmlns:c16="http://schemas.microsoft.com/office/drawing/2014/chart" uri="{C3380CC4-5D6E-409C-BE32-E72D297353CC}">
                        <c16:uniqueId val="{00000014-CDAF-45DF-AD5D-165F6FDC16B2}"/>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Analysis!$C$187:$F$187</c15:sqref>
                        </c15:fullRef>
                        <c15:formulaRef>
                          <c15:sqref>Analysis!$C$187:$E$187</c15:sqref>
                        </c15:formulaRef>
                      </c:ext>
                    </c:extLst>
                    <c:strCache>
                      <c:ptCount val="3"/>
                      <c:pt idx="0">
                        <c:v>NA</c:v>
                      </c:pt>
                      <c:pt idx="1">
                        <c:v>No</c:v>
                      </c:pt>
                      <c:pt idx="2">
                        <c:v>Yes</c:v>
                      </c:pt>
                    </c:strCache>
                  </c:strRef>
                </c:cat>
                <c:val>
                  <c:numRef>
                    <c:extLst>
                      <c:ext xmlns:c15="http://schemas.microsoft.com/office/drawing/2012/chart" uri="{02D57815-91ED-43cb-92C2-25804820EDAC}">
                        <c15:fullRef>
                          <c15:sqref>Analysis!$C$189:$F$189</c15:sqref>
                        </c15:fullRef>
                        <c15:formulaRef>
                          <c15:sqref>Analysis!$C$189:$E$189</c15:sqref>
                        </c15:formulaRef>
                      </c:ext>
                    </c:extLst>
                    <c:numCache>
                      <c:formatCode>General</c:formatCode>
                      <c:ptCount val="3"/>
                      <c:pt idx="0">
                        <c:v>0</c:v>
                      </c:pt>
                      <c:pt idx="1">
                        <c:v>1</c:v>
                      </c:pt>
                      <c:pt idx="2">
                        <c:v>24</c:v>
                      </c:pt>
                    </c:numCache>
                  </c:numRef>
                </c:val>
                <c:extLst xmlns:c15="http://schemas.microsoft.com/office/drawing/2012/chart">
                  <c:ext xmlns:c15="http://schemas.microsoft.com/office/drawing/2012/chart" uri="{02D57815-91ED-43cb-92C2-25804820EDAC}">
                    <c15:categoryFilterExceptions>
                      <c15:categoryFilterException>
                        <c15:sqref>Analysis!$F$189</c15:sqref>
                        <c15:spPr xmlns:c15="http://schemas.microsoft.com/office/drawing/2012/chart">
                          <a:gradFill rotWithShape="1">
                            <a:gsLst>
                              <a:gs pos="0">
                                <a:schemeClr val="accent2">
                                  <a:tint val="58000"/>
                                  <a:satMod val="103000"/>
                                  <a:lumMod val="102000"/>
                                  <a:tint val="94000"/>
                                </a:schemeClr>
                              </a:gs>
                              <a:gs pos="50000">
                                <a:schemeClr val="accent2">
                                  <a:tint val="58000"/>
                                  <a:satMod val="110000"/>
                                  <a:lumMod val="100000"/>
                                  <a:shade val="100000"/>
                                </a:schemeClr>
                              </a:gs>
                              <a:gs pos="100000">
                                <a:schemeClr val="accent2">
                                  <a:tint val="58000"/>
                                  <a:lumMod val="99000"/>
                                  <a:satMod val="120000"/>
                                  <a:shade val="78000"/>
                                </a:schemeClr>
                              </a:gs>
                            </a:gsLst>
                            <a:lin ang="5400000" scaled="0"/>
                          </a:gradFill>
                          <a:ln>
                            <a:noFill/>
                          </a:ln>
                          <a:effectLst/>
                        </c15:spPr>
                        <c15:bubble3D val="0"/>
                      </c15:categoryFilterException>
                    </c15:categoryFilterExceptions>
                  </c:ext>
                  <c:ext xmlns:c16="http://schemas.microsoft.com/office/drawing/2014/chart" uri="{C3380CC4-5D6E-409C-BE32-E72D297353CC}">
                    <c16:uniqueId val="{00000019-CDAF-45DF-AD5D-165F6FDC16B2}"/>
                  </c:ext>
                </c:extLst>
              </c15:ser>
            </c15:filteredPieSeries>
          </c:ext>
        </c:extLst>
      </c:pieChart>
      <c:spPr>
        <a:noFill/>
        <a:ln>
          <a:noFill/>
        </a:ln>
        <a:effectLst/>
      </c:spPr>
    </c:plotArea>
    <c:legend>
      <c:legendPos val="r"/>
      <c:layout>
        <c:manualLayout>
          <c:xMode val="edge"/>
          <c:yMode val="edge"/>
          <c:x val="0.68969607035906555"/>
          <c:y val="0.40394787937440657"/>
          <c:w val="0.23775258912011474"/>
          <c:h val="0.3765948888844486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Analysis!$S$143</c:f>
              <c:strCache>
                <c:ptCount val="1"/>
                <c:pt idx="0">
                  <c:v> Coverage </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Analysis!$T$142:$U$142</c15:sqref>
                  </c15:fullRef>
                </c:ext>
              </c:extLst>
              <c:f>Analysis!$T$142</c:f>
              <c:strCache>
                <c:ptCount val="1"/>
                <c:pt idx="0">
                  <c:v> # in GCA (20:1) </c:v>
                </c:pt>
              </c:strCache>
            </c:strRef>
          </c:cat>
          <c:val>
            <c:numRef>
              <c:extLst>
                <c:ext xmlns:c15="http://schemas.microsoft.com/office/drawing/2012/chart" uri="{02D57815-91ED-43cb-92C2-25804820EDAC}">
                  <c15:fullRef>
                    <c15:sqref>Analysis!$T$143:$U$143</c15:sqref>
                  </c15:fullRef>
                </c:ext>
              </c:extLst>
              <c:f>Analysis!$T$143</c:f>
              <c:numCache>
                <c:formatCode>_(* #,##0_);_(* \(#,##0\);_(* "-"??_);_(@_)</c:formatCode>
                <c:ptCount val="1"/>
                <c:pt idx="0">
                  <c:v>915</c:v>
                </c:pt>
              </c:numCache>
            </c:numRef>
          </c:val>
          <c:extLst>
            <c:ext xmlns:c16="http://schemas.microsoft.com/office/drawing/2014/chart" uri="{C3380CC4-5D6E-409C-BE32-E72D297353CC}">
              <c16:uniqueId val="{00000000-ECF2-490F-AB47-E863EB1424C6}"/>
            </c:ext>
          </c:extLst>
        </c:ser>
        <c:ser>
          <c:idx val="1"/>
          <c:order val="1"/>
          <c:tx>
            <c:strRef>
              <c:f>Analysis!$S$144</c:f>
              <c:strCache>
                <c:ptCount val="1"/>
                <c:pt idx="0">
                  <c:v> GAP </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Analysis!$T$142:$U$142</c15:sqref>
                  </c15:fullRef>
                </c:ext>
              </c:extLst>
              <c:f>Analysis!$T$142</c:f>
              <c:strCache>
                <c:ptCount val="1"/>
                <c:pt idx="0">
                  <c:v> # in GCA (20:1) </c:v>
                </c:pt>
              </c:strCache>
            </c:strRef>
          </c:cat>
          <c:val>
            <c:numRef>
              <c:extLst>
                <c:ext xmlns:c15="http://schemas.microsoft.com/office/drawing/2012/chart" uri="{02D57815-91ED-43cb-92C2-25804820EDAC}">
                  <c15:fullRef>
                    <c15:sqref>Analysis!$T$144:$U$144</c15:sqref>
                  </c15:fullRef>
                </c:ext>
              </c:extLst>
              <c:f>Analysis!$T$144</c:f>
              <c:numCache>
                <c:formatCode>_(* #,##0_);_(* \(#,##0\);_(* "-"??_);_(@_)</c:formatCode>
                <c:ptCount val="1"/>
                <c:pt idx="0">
                  <c:v>14</c:v>
                </c:pt>
              </c:numCache>
            </c:numRef>
          </c:val>
          <c:extLst>
            <c:ext xmlns:c16="http://schemas.microsoft.com/office/drawing/2014/chart" uri="{C3380CC4-5D6E-409C-BE32-E72D297353CC}">
              <c16:uniqueId val="{00000001-ECF2-490F-AB47-E863EB1424C6}"/>
            </c:ext>
          </c:extLst>
        </c:ser>
        <c:dLbls>
          <c:dLblPos val="ctr"/>
          <c:showLegendKey val="0"/>
          <c:showVal val="1"/>
          <c:showCatName val="0"/>
          <c:showSerName val="0"/>
          <c:showPercent val="0"/>
          <c:showBubbleSize val="0"/>
        </c:dLbls>
        <c:gapWidth val="150"/>
        <c:overlap val="100"/>
        <c:axId val="419854976"/>
        <c:axId val="419853800"/>
      </c:barChart>
      <c:catAx>
        <c:axId val="41985497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9853800"/>
        <c:crosses val="autoZero"/>
        <c:auto val="1"/>
        <c:lblAlgn val="ctr"/>
        <c:lblOffset val="100"/>
        <c:noMultiLvlLbl val="0"/>
      </c:catAx>
      <c:valAx>
        <c:axId val="419853800"/>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9854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Latrines handed over to families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842546606376825"/>
          <c:y val="0.25045499996090692"/>
          <c:w val="0.7643092337198466"/>
          <c:h val="0.35996078727503666"/>
        </c:manualLayout>
      </c:layout>
      <c:barChart>
        <c:barDir val="col"/>
        <c:grouping val="percentStacked"/>
        <c:varyColors val="0"/>
        <c:ser>
          <c:idx val="0"/>
          <c:order val="0"/>
          <c:tx>
            <c:strRef>
              <c:f>Analysis!$S$145</c:f>
              <c:strCache>
                <c:ptCount val="1"/>
                <c:pt idx="0">
                  <c:v> Latrines handed over </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Analysis!$T$142:$U$142</c15:sqref>
                  </c15:fullRef>
                </c:ext>
              </c:extLst>
              <c:f>Analysis!$T$142</c:f>
              <c:strCache>
                <c:ptCount val="1"/>
                <c:pt idx="0">
                  <c:v> # in GCA (20:1) </c:v>
                </c:pt>
              </c:strCache>
            </c:strRef>
          </c:cat>
          <c:val>
            <c:numRef>
              <c:extLst>
                <c:ext xmlns:c15="http://schemas.microsoft.com/office/drawing/2012/chart" uri="{02D57815-91ED-43cb-92C2-25804820EDAC}">
                  <c15:fullRef>
                    <c15:sqref>Analysis!$T$145:$U$145</c15:sqref>
                  </c15:fullRef>
                </c:ext>
              </c:extLst>
              <c:f>Analysis!$T$145</c:f>
              <c:numCache>
                <c:formatCode>_(* #,##0_);_(* \(#,##0\);_(* "-"??_);_(@_)</c:formatCode>
                <c:ptCount val="1"/>
                <c:pt idx="0">
                  <c:v>0</c:v>
                </c:pt>
              </c:numCache>
            </c:numRef>
          </c:val>
          <c:extLst>
            <c:ext xmlns:c16="http://schemas.microsoft.com/office/drawing/2014/chart" uri="{C3380CC4-5D6E-409C-BE32-E72D297353CC}">
              <c16:uniqueId val="{00000000-19C7-4FE3-A428-C7C7FA241793}"/>
            </c:ext>
          </c:extLst>
        </c:ser>
        <c:ser>
          <c:idx val="1"/>
          <c:order val="1"/>
          <c:tx>
            <c:strRef>
              <c:f>Analysis!$S$146</c:f>
              <c:strCache>
                <c:ptCount val="1"/>
                <c:pt idx="0">
                  <c:v> Latrines not handed over </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Analysis!$T$142:$U$142</c15:sqref>
                  </c15:fullRef>
                </c:ext>
              </c:extLst>
              <c:f>Analysis!$T$142</c:f>
              <c:strCache>
                <c:ptCount val="1"/>
                <c:pt idx="0">
                  <c:v> # in GCA (20:1) </c:v>
                </c:pt>
              </c:strCache>
            </c:strRef>
          </c:cat>
          <c:val>
            <c:numRef>
              <c:extLst>
                <c:ext xmlns:c15="http://schemas.microsoft.com/office/drawing/2012/chart" uri="{02D57815-91ED-43cb-92C2-25804820EDAC}">
                  <c15:fullRef>
                    <c15:sqref>Analysis!$T$146:$U$146</c15:sqref>
                  </c15:fullRef>
                </c:ext>
              </c:extLst>
              <c:f>Analysis!$T$146</c:f>
              <c:numCache>
                <c:formatCode>_(* #,##0_);_(* \(#,##0\);_(* "-"??_);_(@_)</c:formatCode>
                <c:ptCount val="1"/>
                <c:pt idx="0">
                  <c:v>929</c:v>
                </c:pt>
              </c:numCache>
            </c:numRef>
          </c:val>
          <c:extLst>
            <c:ext xmlns:c16="http://schemas.microsoft.com/office/drawing/2014/chart" uri="{C3380CC4-5D6E-409C-BE32-E72D297353CC}">
              <c16:uniqueId val="{00000001-19C7-4FE3-A428-C7C7FA241793}"/>
            </c:ext>
          </c:extLst>
        </c:ser>
        <c:dLbls>
          <c:dLblPos val="ctr"/>
          <c:showLegendKey val="0"/>
          <c:showVal val="1"/>
          <c:showCatName val="0"/>
          <c:showSerName val="0"/>
          <c:showPercent val="0"/>
          <c:showBubbleSize val="0"/>
        </c:dLbls>
        <c:gapWidth val="150"/>
        <c:overlap val="100"/>
        <c:axId val="419855368"/>
        <c:axId val="419852624"/>
      </c:barChart>
      <c:catAx>
        <c:axId val="4198553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9852624"/>
        <c:crosses val="autoZero"/>
        <c:auto val="1"/>
        <c:lblAlgn val="ctr"/>
        <c:lblOffset val="100"/>
        <c:noMultiLvlLbl val="0"/>
      </c:catAx>
      <c:valAx>
        <c:axId val="41985262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9855368"/>
        <c:crosses val="autoZero"/>
        <c:crossBetween val="between"/>
      </c:valAx>
      <c:spPr>
        <a:noFill/>
        <a:ln>
          <a:noFill/>
        </a:ln>
        <a:effectLst/>
      </c:spPr>
    </c:plotArea>
    <c:legend>
      <c:legendPos val="b"/>
      <c:layout>
        <c:manualLayout>
          <c:xMode val="edge"/>
          <c:yMode val="edge"/>
          <c:x val="0.17037464409859973"/>
          <c:y val="0.79473876703915125"/>
          <c:w val="0.62414962429393894"/>
          <c:h val="0.2052610406303044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repaired and desludged</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1970895869093266"/>
          <c:y val="0.22122744190961499"/>
          <c:w val="0.83332829080464643"/>
          <c:h val="0.37842313517829257"/>
        </c:manualLayout>
      </c:layout>
      <c:barChart>
        <c:barDir val="col"/>
        <c:grouping val="clustered"/>
        <c:varyColors val="0"/>
        <c:ser>
          <c:idx val="0"/>
          <c:order val="0"/>
          <c:tx>
            <c:strRef>
              <c:f>Analysis!$S$147</c:f>
              <c:strCache>
                <c:ptCount val="1"/>
                <c:pt idx="0">
                  <c:v> # Operation &amp; maintenance </c:v>
                </c:pt>
              </c:strCache>
            </c:strRef>
          </c:tx>
          <c:spPr>
            <a:solidFill>
              <a:schemeClr val="accent2">
                <a:lumMod val="75000"/>
              </a:schemeClr>
            </a:solidFill>
            <a:ln>
              <a:noFill/>
            </a:ln>
            <a:effectLst/>
          </c:spPr>
          <c:invertIfNegative val="0"/>
          <c:dLbls>
            <c:dLbl>
              <c:idx val="0"/>
              <c:layout>
                <c:manualLayout>
                  <c:x val="0"/>
                  <c:y val="0.1368842099777200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75-4A98-8EA6-1E0830D0CD9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Analysis!$T$142:$U$142</c15:sqref>
                  </c15:fullRef>
                </c:ext>
              </c:extLst>
              <c:f>Analysis!$T$142</c:f>
              <c:strCache>
                <c:ptCount val="1"/>
                <c:pt idx="0">
                  <c:v> # in GCA (20:1) </c:v>
                </c:pt>
              </c:strCache>
            </c:strRef>
          </c:cat>
          <c:val>
            <c:numRef>
              <c:extLst>
                <c:ext xmlns:c15="http://schemas.microsoft.com/office/drawing/2012/chart" uri="{02D57815-91ED-43cb-92C2-25804820EDAC}">
                  <c15:fullRef>
                    <c15:sqref>Analysis!$T$147:$U$147</c15:sqref>
                  </c15:fullRef>
                </c:ext>
              </c:extLst>
              <c:f>Analysis!$T$147</c:f>
              <c:numCache>
                <c:formatCode>_(* #,##0_);_(* \(#,##0\);_(* "-"??_);_(@_)</c:formatCode>
                <c:ptCount val="1"/>
                <c:pt idx="0">
                  <c:v>57</c:v>
                </c:pt>
              </c:numCache>
            </c:numRef>
          </c:val>
          <c:extLst>
            <c:ext xmlns:c16="http://schemas.microsoft.com/office/drawing/2014/chart" uri="{C3380CC4-5D6E-409C-BE32-E72D297353CC}">
              <c16:uniqueId val="{00000000-014A-4722-B456-E8907B7553F3}"/>
            </c:ext>
          </c:extLst>
        </c:ser>
        <c:ser>
          <c:idx val="1"/>
          <c:order val="1"/>
          <c:tx>
            <c:strRef>
              <c:f>Analysis!$S$148</c:f>
              <c:strCache>
                <c:ptCount val="1"/>
                <c:pt idx="0">
                  <c:v> # latrines desludged </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Analysis!$T$142:$U$142</c15:sqref>
                  </c15:fullRef>
                </c:ext>
              </c:extLst>
              <c:f>Analysis!$T$142</c:f>
              <c:strCache>
                <c:ptCount val="1"/>
                <c:pt idx="0">
                  <c:v> # in GCA (20:1) </c:v>
                </c:pt>
              </c:strCache>
            </c:strRef>
          </c:cat>
          <c:val>
            <c:numRef>
              <c:extLst>
                <c:ext xmlns:c15="http://schemas.microsoft.com/office/drawing/2012/chart" uri="{02D57815-91ED-43cb-92C2-25804820EDAC}">
                  <c15:fullRef>
                    <c15:sqref>Analysis!$T$148:$U$148</c15:sqref>
                  </c15:fullRef>
                </c:ext>
              </c:extLst>
              <c:f>Analysis!$T$148</c:f>
              <c:numCache>
                <c:formatCode>_(* #,##0_);_(* \(#,##0\);_(* "-"??_);_(@_)</c:formatCode>
                <c:ptCount val="1"/>
                <c:pt idx="0">
                  <c:v>10</c:v>
                </c:pt>
              </c:numCache>
            </c:numRef>
          </c:val>
          <c:extLst>
            <c:ext xmlns:c16="http://schemas.microsoft.com/office/drawing/2014/chart" uri="{C3380CC4-5D6E-409C-BE32-E72D297353CC}">
              <c16:uniqueId val="{00000001-014A-4722-B456-E8907B7553F3}"/>
            </c:ext>
          </c:extLst>
        </c:ser>
        <c:dLbls>
          <c:dLblPos val="ctr"/>
          <c:showLegendKey val="0"/>
          <c:showVal val="1"/>
          <c:showCatName val="0"/>
          <c:showSerName val="0"/>
          <c:showPercent val="0"/>
          <c:showBubbleSize val="0"/>
        </c:dLbls>
        <c:gapWidth val="100"/>
        <c:overlap val="-24"/>
        <c:axId val="419853408"/>
        <c:axId val="354342312"/>
      </c:barChart>
      <c:catAx>
        <c:axId val="41985340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54342312"/>
        <c:crosses val="autoZero"/>
        <c:auto val="1"/>
        <c:lblAlgn val="ctr"/>
        <c:lblOffset val="100"/>
        <c:noMultiLvlLbl val="0"/>
      </c:catAx>
      <c:valAx>
        <c:axId val="354342312"/>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9853408"/>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Entry>
      <c:legendEntry>
        <c:idx val="1"/>
        <c:txPr>
          <a:bodyPr rot="0" spcFirstLastPara="1" vertOverflow="ellipsis" vert="horz" wrap="square" anchor="ctr" anchorCtr="1"/>
          <a:lstStyle/>
          <a:p>
            <a:pPr>
              <a:defRPr sz="1300" b="0" i="0" u="none" strike="noStrike" kern="1200" baseline="0">
                <a:solidFill>
                  <a:schemeClr val="tx2"/>
                </a:solidFill>
                <a:latin typeface="+mn-lt"/>
                <a:ea typeface="+mn-ea"/>
                <a:cs typeface="+mn-cs"/>
              </a:defRPr>
            </a:pPr>
            <a:endParaRPr lang="en-US"/>
          </a:p>
        </c:txPr>
      </c:legendEntry>
      <c:layout>
        <c:manualLayout>
          <c:xMode val="edge"/>
          <c:yMode val="edge"/>
          <c:x val="0.17259768890825222"/>
          <c:y val="0.76187767849804511"/>
          <c:w val="0.66334330409339037"/>
          <c:h val="0.226193098427831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7.7002755523337518E-2"/>
          <c:y val="0.27283286709256394"/>
          <c:w val="0.48640971278746598"/>
          <c:h val="0.66954380131809299"/>
        </c:manualLayout>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2459-4622-81B0-FFE866AD0625}"/>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2459-4622-81B0-FFE866AD0625}"/>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2459-4622-81B0-FFE866AD0625}"/>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2459-4622-81B0-FFE866AD0625}"/>
                </c:ext>
              </c:extLst>
            </c:dLbl>
            <c:dLbl>
              <c:idx val="1"/>
              <c:layout>
                <c:manualLayout>
                  <c:x val="7.1359555095156776E-2"/>
                  <c:y val="0.104431134538909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459-4622-81B0-FFE866AD0625}"/>
                </c:ext>
              </c:extLst>
            </c:dLbl>
            <c:dLbl>
              <c:idx val="2"/>
              <c:layout>
                <c:manualLayout>
                  <c:x val="8.8458468503612928E-3"/>
                  <c:y val="2.6954005128665314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459-4622-81B0-FFE866AD062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Analysis!$W$143:$W$145</c:f>
              <c:strCache>
                <c:ptCount val="3"/>
                <c:pt idx="0">
                  <c:v>Functioning</c:v>
                </c:pt>
                <c:pt idx="1">
                  <c:v># Operation &amp; maintenance</c:v>
                </c:pt>
                <c:pt idx="2">
                  <c:v>Desludging</c:v>
                </c:pt>
              </c:strCache>
            </c:strRef>
          </c:cat>
          <c:val>
            <c:numRef>
              <c:f>Analysis!$X$143:$X$145</c:f>
              <c:numCache>
                <c:formatCode>_(* #,##0_);_(* \(#,##0\);_(* "-"??_);_(@_)</c:formatCode>
                <c:ptCount val="3"/>
                <c:pt idx="0">
                  <c:v>915</c:v>
                </c:pt>
                <c:pt idx="1">
                  <c:v>57</c:v>
                </c:pt>
                <c:pt idx="2">
                  <c:v>10</c:v>
                </c:pt>
              </c:numCache>
            </c:numRef>
          </c:val>
          <c:extLst>
            <c:ext xmlns:c16="http://schemas.microsoft.com/office/drawing/2014/chart" uri="{C3380CC4-5D6E-409C-BE32-E72D297353CC}">
              <c16:uniqueId val="{00000006-2459-4622-81B0-FFE866AD062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249413345114464"/>
          <c:y val="0.29850170887236827"/>
          <c:w val="0.41891549626714236"/>
          <c:h val="0.6124404414925318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lumMod val="20000"/>
          <a:lumOff val="80000"/>
        </a:schemeClr>
      </a:solidFill>
      <a:round/>
    </a:ln>
    <a:effectLst/>
  </c:spPr>
  <c:txPr>
    <a:bodyPr/>
    <a:lstStyle/>
    <a:p>
      <a:pPr>
        <a:defRPr/>
      </a:pPr>
      <a:endParaRPr lang="en-US"/>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Number of ppl Covered against 2019 HRP targets</a:t>
            </a:r>
            <a:endParaRPr lang="en-US" sz="1400">
              <a:effectLst/>
            </a:endParaRPr>
          </a:p>
          <a:p>
            <a:pPr>
              <a:defRPr sz="1400"/>
            </a:pPr>
            <a:r>
              <a:rPr lang="en-US" sz="1400" b="1" i="0" baseline="0">
                <a:effectLst/>
              </a:rPr>
              <a:t>(in New Temporary Sites)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HRP!$X$141</c:f>
              <c:strCache>
                <c:ptCount val="1"/>
                <c:pt idx="0">
                  <c:v>Coverage</c:v>
                </c:pt>
              </c:strCache>
            </c:strRef>
          </c:tx>
          <c:spPr>
            <a:solidFill>
              <a:schemeClr val="accent2">
                <a:lumMod val="75000"/>
              </a:schemeClr>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1-0053-423B-930C-ADA9C2B4224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HRP!$V$142:$V$144</c15:sqref>
                  </c15:fullRef>
                </c:ext>
              </c:extLst>
              <c:f>HRP!$V$142:$V$143</c:f>
              <c:strCache>
                <c:ptCount val="2"/>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strCache>
            </c:strRef>
          </c:cat>
          <c:val>
            <c:numRef>
              <c:extLst>
                <c:ext xmlns:c15="http://schemas.microsoft.com/office/drawing/2012/chart" uri="{02D57815-91ED-43cb-92C2-25804820EDAC}">
                  <c15:fullRef>
                    <c15:sqref>HRP!$X$142:$X$144</c15:sqref>
                  </c15:fullRef>
                </c:ext>
              </c:extLst>
              <c:f>HRP!$X$142:$X$143</c:f>
              <c:numCache>
                <c:formatCode>_(* #,##0_);_(* \(#,##0\);_(* "-"??_);_(@_)</c:formatCode>
                <c:ptCount val="2"/>
                <c:pt idx="0">
                  <c:v>864</c:v>
                </c:pt>
                <c:pt idx="1">
                  <c:v>1000</c:v>
                </c:pt>
              </c:numCache>
            </c:numRef>
          </c:val>
          <c:extLst>
            <c:ext xmlns:c16="http://schemas.microsoft.com/office/drawing/2014/chart" uri="{C3380CC4-5D6E-409C-BE32-E72D297353CC}">
              <c16:uniqueId val="{00000002-0053-423B-930C-ADA9C2B42246}"/>
            </c:ext>
          </c:extLst>
        </c:ser>
        <c:ser>
          <c:idx val="1"/>
          <c:order val="1"/>
          <c:tx>
            <c:strRef>
              <c:f>HRP!$Y$141</c:f>
              <c:strCache>
                <c:ptCount val="1"/>
                <c:pt idx="0">
                  <c:v>Gap</c:v>
                </c:pt>
              </c:strCache>
            </c:strRef>
          </c:tx>
          <c:spPr>
            <a:solidFill>
              <a:schemeClr val="accent2">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4-0053-423B-930C-ADA9C2B4224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HRP!$V$142:$V$144</c15:sqref>
                  </c15:fullRef>
                </c:ext>
              </c:extLst>
              <c:f>HRP!$V$142:$V$143</c:f>
              <c:strCache>
                <c:ptCount val="2"/>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strCache>
            </c:strRef>
          </c:cat>
          <c:val>
            <c:numRef>
              <c:extLst>
                <c:ext xmlns:c15="http://schemas.microsoft.com/office/drawing/2012/chart" uri="{02D57815-91ED-43cb-92C2-25804820EDAC}">
                  <c15:fullRef>
                    <c15:sqref>HRP!$Y$142:$Y$144</c15:sqref>
                  </c15:fullRef>
                </c:ext>
              </c:extLst>
              <c:f>HRP!$Y$142:$Y$143</c:f>
              <c:numCache>
                <c:formatCode>_(* #,##0_);_(* \(#,##0\);_(* "-"??_);_(@_)</c:formatCode>
                <c:ptCount val="2"/>
                <c:pt idx="0">
                  <c:v>1063</c:v>
                </c:pt>
                <c:pt idx="1">
                  <c:v>927</c:v>
                </c:pt>
              </c:numCache>
            </c:numRef>
          </c:val>
          <c:extLst>
            <c:ext xmlns:c15="http://schemas.microsoft.com/office/drawing/2012/chart" uri="{02D57815-91ED-43cb-92C2-25804820EDAC}">
              <c15:categoryFilterExceptions>
                <c15:categoryFilterException>
                  <c15:sqref>HRP!$Y$144</c15:sqref>
                  <c15:spPr xmlns:c15="http://schemas.microsoft.com/office/drawing/2012/chart">
                    <a:solidFill>
                      <a:schemeClr val="accent1">
                        <a:lumMod val="40000"/>
                        <a:lumOff val="60000"/>
                      </a:schemeClr>
                    </a:solidFill>
                    <a:ln>
                      <a:noFill/>
                    </a:ln>
                    <a:effectLst/>
                  </c15:spPr>
                  <c15:invertIfNegative val="0"/>
                  <c15:bubble3D val="0"/>
                </c15:categoryFilterException>
              </c15:categoryFilterExceptions>
            </c:ext>
            <c:ext xmlns:c16="http://schemas.microsoft.com/office/drawing/2014/chart" uri="{C3380CC4-5D6E-409C-BE32-E72D297353CC}">
              <c16:uniqueId val="{00000007-0053-423B-930C-ADA9C2B42246}"/>
            </c:ext>
          </c:extLst>
        </c:ser>
        <c:dLbls>
          <c:showLegendKey val="0"/>
          <c:showVal val="0"/>
          <c:showCatName val="0"/>
          <c:showSerName val="0"/>
          <c:showPercent val="0"/>
          <c:showBubbleSize val="0"/>
        </c:dLbls>
        <c:gapWidth val="150"/>
        <c:overlap val="100"/>
        <c:axId val="1611987664"/>
        <c:axId val="1689696496"/>
      </c:barChart>
      <c:catAx>
        <c:axId val="161198766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2"/>
                </a:solidFill>
                <a:latin typeface="+mn-lt"/>
                <a:ea typeface="+mn-ea"/>
                <a:cs typeface="+mn-cs"/>
              </a:defRPr>
            </a:pPr>
            <a:endParaRPr lang="en-US"/>
          </a:p>
        </c:txPr>
        <c:crossAx val="1689696496"/>
        <c:crosses val="autoZero"/>
        <c:auto val="1"/>
        <c:lblAlgn val="ctr"/>
        <c:lblOffset val="100"/>
        <c:noMultiLvlLbl val="0"/>
      </c:catAx>
      <c:valAx>
        <c:axId val="1689696496"/>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611987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Kachin/Shan Funding Splits INGO, LNGO</a:t>
            </a:r>
            <a:endParaRPr lang="en-US"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bg1">
              <a:lumMod val="50000"/>
            </a:schemeClr>
          </a:solidFill>
          <a:ln>
            <a:noFill/>
          </a:ln>
          <a:effectLst/>
        </c:spPr>
        <c:dLbl>
          <c:idx val="0"/>
          <c:layout>
            <c:manualLayout>
              <c:x val="1.7308993299750004E-2"/>
              <c:y val="-8.3856458529964154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v>INGO</c:v>
          </c:tx>
          <c:spPr>
            <a:solidFill>
              <a:schemeClr val="bg1">
                <a:lumMod val="5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6.5856274372621997E-3</c:v>
              </c:pt>
            </c:numLit>
          </c:val>
          <c:extLst>
            <c:ext xmlns:c16="http://schemas.microsoft.com/office/drawing/2014/chart" uri="{C3380CC4-5D6E-409C-BE32-E72D297353CC}">
              <c16:uniqueId val="{00000000-7437-4E98-B1AA-061ADDF60040}"/>
            </c:ext>
          </c:extLst>
        </c:ser>
        <c:ser>
          <c:idx val="1"/>
          <c:order val="1"/>
          <c:tx>
            <c:v>LNGO</c:v>
          </c:tx>
          <c:spPr>
            <a:solidFill>
              <a:schemeClr val="bg1">
                <a:lumMod val="6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0.23623427128609517</c:v>
              </c:pt>
            </c:numLit>
          </c:val>
          <c:extLst>
            <c:ext xmlns:c16="http://schemas.microsoft.com/office/drawing/2014/chart" uri="{C3380CC4-5D6E-409C-BE32-E72D297353CC}">
              <c16:uniqueId val="{00000001-7437-4E98-B1AA-061ADDF60040}"/>
            </c:ext>
          </c:extLst>
        </c:ser>
        <c:ser>
          <c:idx val="2"/>
          <c:order val="2"/>
          <c:tx>
            <c:v>INGO/LNGO</c:v>
          </c:tx>
          <c:spPr>
            <a:solidFill>
              <a:schemeClr val="bg1">
                <a:lumMod val="8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0.7571801012766427</c:v>
              </c:pt>
            </c:numLit>
          </c:val>
          <c:extLst>
            <c:ext xmlns:c16="http://schemas.microsoft.com/office/drawing/2014/chart" uri="{C3380CC4-5D6E-409C-BE32-E72D297353CC}">
              <c16:uniqueId val="{00000002-7437-4E98-B1AA-061ADDF60040}"/>
            </c:ext>
          </c:extLst>
        </c:ser>
        <c:dLbls>
          <c:showLegendKey val="0"/>
          <c:showVal val="0"/>
          <c:showCatName val="0"/>
          <c:showSerName val="0"/>
          <c:showPercent val="0"/>
          <c:showBubbleSize val="0"/>
        </c:dLbls>
        <c:gapWidth val="150"/>
        <c:overlap val="100"/>
        <c:axId val="546158520"/>
        <c:axId val="546159304"/>
      </c:barChart>
      <c:catAx>
        <c:axId val="546158520"/>
        <c:scaling>
          <c:orientation val="minMax"/>
        </c:scaling>
        <c:delete val="1"/>
        <c:axPos val="l"/>
        <c:numFmt formatCode="General" sourceLinked="1"/>
        <c:majorTickMark val="none"/>
        <c:minorTickMark val="none"/>
        <c:tickLblPos val="nextTo"/>
        <c:crossAx val="546159304"/>
        <c:crosses val="autoZero"/>
        <c:auto val="1"/>
        <c:lblAlgn val="ctr"/>
        <c:lblOffset val="100"/>
        <c:noMultiLvlLbl val="0"/>
      </c:catAx>
      <c:valAx>
        <c:axId val="5461593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6158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in active camps</a:t>
            </a:r>
            <a:endParaRPr lang="en-US" sz="1400">
              <a:effectLst/>
            </a:endParaRPr>
          </a:p>
        </c:rich>
      </c:tx>
      <c:layout>
        <c:manualLayout>
          <c:xMode val="edge"/>
          <c:yMode val="edge"/>
          <c:x val="0.34758333333333336"/>
          <c:y val="0"/>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9.7122703412073491E-2"/>
          <c:y val="0.13385808870940472"/>
          <c:w val="0.87232174103237092"/>
          <c:h val="0.5273621025225258"/>
        </c:manualLayout>
      </c:layout>
      <c:barChart>
        <c:barDir val="col"/>
        <c:grouping val="percentStacked"/>
        <c:varyColors val="0"/>
        <c:ser>
          <c:idx val="0"/>
          <c:order val="0"/>
          <c:tx>
            <c:strRef>
              <c:f>Analysis!$X$241</c:f>
              <c:strCache>
                <c:ptCount val="1"/>
                <c:pt idx="0">
                  <c:v>Covered</c:v>
                </c:pt>
              </c:strCache>
            </c:strRef>
          </c:tx>
          <c:spPr>
            <a:solidFill>
              <a:schemeClr val="accent6">
                <a:lumMod val="75000"/>
              </a:schemeClr>
            </a:solidFill>
            <a:ln>
              <a:noFill/>
            </a:ln>
            <a:effectLst/>
          </c:spPr>
          <c:invertIfNegative val="0"/>
          <c:dLbls>
            <c:dLbl>
              <c:idx val="3"/>
              <c:layout>
                <c:manualLayout>
                  <c:x val="6.5762431507390027E-3"/>
                  <c:y val="-2.2598870056497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D7-4316-B6E2-4B07A105AAC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Analysis!$W$242:$W$245</c:f>
              <c:strCache>
                <c:ptCount val="4"/>
                <c:pt idx="0">
                  <c:v>#HH reached by regular dedicated hygiene promotion</c:v>
                </c:pt>
                <c:pt idx="1">
                  <c:v>#HH with access to Hand Washing Station</c:v>
                </c:pt>
                <c:pt idx="2">
                  <c:v># HH received soaps</c:v>
                </c:pt>
                <c:pt idx="3">
                  <c:v># HH received Sanitary Pads</c:v>
                </c:pt>
              </c:strCache>
            </c:strRef>
          </c:cat>
          <c:val>
            <c:numRef>
              <c:f>Analysis!$X$242:$X$245</c:f>
              <c:numCache>
                <c:formatCode>0</c:formatCode>
                <c:ptCount val="4"/>
                <c:pt idx="0">
                  <c:v>1267.5999999999999</c:v>
                </c:pt>
                <c:pt idx="1">
                  <c:v>349</c:v>
                </c:pt>
                <c:pt idx="2">
                  <c:v>1021</c:v>
                </c:pt>
                <c:pt idx="3">
                  <c:v>0</c:v>
                </c:pt>
              </c:numCache>
            </c:numRef>
          </c:val>
          <c:extLst>
            <c:ext xmlns:c16="http://schemas.microsoft.com/office/drawing/2014/chart" uri="{C3380CC4-5D6E-409C-BE32-E72D297353CC}">
              <c16:uniqueId val="{00000000-CBDF-46C4-8398-2F2620566A1B}"/>
            </c:ext>
          </c:extLst>
        </c:ser>
        <c:ser>
          <c:idx val="1"/>
          <c:order val="1"/>
          <c:tx>
            <c:strRef>
              <c:f>Analysis!$Y$241</c:f>
              <c:strCache>
                <c:ptCount val="1"/>
                <c:pt idx="0">
                  <c:v>Gap</c:v>
                </c:pt>
              </c:strCache>
            </c:strRef>
          </c:tx>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Analysis!$W$242:$W$245</c:f>
              <c:strCache>
                <c:ptCount val="4"/>
                <c:pt idx="0">
                  <c:v>#HH reached by regular dedicated hygiene promotion</c:v>
                </c:pt>
                <c:pt idx="1">
                  <c:v>#HH with access to Hand Washing Station</c:v>
                </c:pt>
                <c:pt idx="2">
                  <c:v># HH received soaps</c:v>
                </c:pt>
                <c:pt idx="3">
                  <c:v># HH received Sanitary Pads</c:v>
                </c:pt>
              </c:strCache>
            </c:strRef>
          </c:cat>
          <c:val>
            <c:numRef>
              <c:f>Analysis!$Y$242:$Y$245</c:f>
              <c:numCache>
                <c:formatCode>0</c:formatCode>
                <c:ptCount val="4"/>
                <c:pt idx="0">
                  <c:v>475.40000000000009</c:v>
                </c:pt>
                <c:pt idx="1">
                  <c:v>1394</c:v>
                </c:pt>
                <c:pt idx="2">
                  <c:v>722</c:v>
                </c:pt>
                <c:pt idx="3">
                  <c:v>1743</c:v>
                </c:pt>
              </c:numCache>
            </c:numRef>
          </c:val>
          <c:extLst>
            <c:ext xmlns:c16="http://schemas.microsoft.com/office/drawing/2014/chart" uri="{C3380CC4-5D6E-409C-BE32-E72D297353CC}">
              <c16:uniqueId val="{00000001-CBDF-46C4-8398-2F2620566A1B}"/>
            </c:ext>
          </c:extLst>
        </c:ser>
        <c:dLbls>
          <c:showLegendKey val="0"/>
          <c:showVal val="0"/>
          <c:showCatName val="0"/>
          <c:showSerName val="0"/>
          <c:showPercent val="0"/>
          <c:showBubbleSize val="0"/>
        </c:dLbls>
        <c:gapWidth val="150"/>
        <c:overlap val="100"/>
        <c:axId val="419851840"/>
        <c:axId val="419850664"/>
      </c:barChart>
      <c:catAx>
        <c:axId val="4198518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9850664"/>
        <c:crosses val="autoZero"/>
        <c:auto val="1"/>
        <c:lblAlgn val="ctr"/>
        <c:lblOffset val="100"/>
        <c:noMultiLvlLbl val="0"/>
      </c:catAx>
      <c:valAx>
        <c:axId val="41985066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9851840"/>
        <c:crosses val="autoZero"/>
        <c:crossBetween val="between"/>
        <c:majorUnit val="0.2"/>
      </c:valAx>
      <c:spPr>
        <a:noFill/>
        <a:ln>
          <a:noFill/>
        </a:ln>
        <a:effectLst/>
      </c:spPr>
    </c:plotArea>
    <c:legend>
      <c:legendPos val="b"/>
      <c:layout>
        <c:manualLayout>
          <c:xMode val="edge"/>
          <c:yMode val="edge"/>
          <c:x val="0.63070800524934378"/>
          <c:y val="0.90434851304627795"/>
          <c:w val="0.28858398950131231"/>
          <c:h val="7.399744186727207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in New Temporary Sites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Analysis!$P$254</c:f>
              <c:strCache>
                <c:ptCount val="1"/>
                <c:pt idx="0">
                  <c:v>Covered</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Analysis!$O$255:$O$258</c15:sqref>
                  </c15:fullRef>
                </c:ext>
              </c:extLst>
              <c:f>Analysis!$O$257:$O$258</c:f>
              <c:strCache>
                <c:ptCount val="2"/>
                <c:pt idx="0">
                  <c:v># HH received soaps</c:v>
                </c:pt>
                <c:pt idx="1">
                  <c:v># HH received Sanitary Pads</c:v>
                </c:pt>
              </c:strCache>
            </c:strRef>
          </c:cat>
          <c:val>
            <c:numRef>
              <c:extLst>
                <c:ext xmlns:c15="http://schemas.microsoft.com/office/drawing/2012/chart" uri="{02D57815-91ED-43cb-92C2-25804820EDAC}">
                  <c15:fullRef>
                    <c15:sqref>Analysis!$P$255:$P$258</c15:sqref>
                  </c15:fullRef>
                </c:ext>
              </c:extLst>
              <c:f>Analysis!$P$257:$P$258</c:f>
              <c:numCache>
                <c:formatCode>0</c:formatCode>
                <c:ptCount val="2"/>
                <c:pt idx="0">
                  <c:v>187</c:v>
                </c:pt>
                <c:pt idx="1">
                  <c:v>187</c:v>
                </c:pt>
              </c:numCache>
            </c:numRef>
          </c:val>
          <c:extLst>
            <c:ext xmlns:c16="http://schemas.microsoft.com/office/drawing/2014/chart" uri="{C3380CC4-5D6E-409C-BE32-E72D297353CC}">
              <c16:uniqueId val="{00000000-E881-4879-A1E9-ACAF687C1D0F}"/>
            </c:ext>
          </c:extLst>
        </c:ser>
        <c:ser>
          <c:idx val="1"/>
          <c:order val="1"/>
          <c:tx>
            <c:strRef>
              <c:f>Analysis!$Q$254</c:f>
              <c:strCache>
                <c:ptCount val="1"/>
                <c:pt idx="0">
                  <c:v>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Analysis!$O$255:$O$258</c15:sqref>
                  </c15:fullRef>
                </c:ext>
              </c:extLst>
              <c:f>Analysis!$O$257:$O$258</c:f>
              <c:strCache>
                <c:ptCount val="2"/>
                <c:pt idx="0">
                  <c:v># HH received soaps</c:v>
                </c:pt>
                <c:pt idx="1">
                  <c:v># HH received Sanitary Pads</c:v>
                </c:pt>
              </c:strCache>
            </c:strRef>
          </c:cat>
          <c:val>
            <c:numRef>
              <c:extLst>
                <c:ext xmlns:c15="http://schemas.microsoft.com/office/drawing/2012/chart" uri="{02D57815-91ED-43cb-92C2-25804820EDAC}">
                  <c15:fullRef>
                    <c15:sqref>Analysis!$Q$255:$Q$258</c15:sqref>
                  </c15:fullRef>
                </c:ext>
              </c:extLst>
              <c:f>Analysis!$Q$257:$Q$258</c:f>
              <c:numCache>
                <c:formatCode>0</c:formatCode>
                <c:ptCount val="2"/>
                <c:pt idx="0">
                  <c:v>124</c:v>
                </c:pt>
                <c:pt idx="1">
                  <c:v>124</c:v>
                </c:pt>
              </c:numCache>
            </c:numRef>
          </c:val>
          <c:extLst>
            <c:ext xmlns:c16="http://schemas.microsoft.com/office/drawing/2014/chart" uri="{C3380CC4-5D6E-409C-BE32-E72D297353CC}">
              <c16:uniqueId val="{00000001-E881-4879-A1E9-ACAF687C1D0F}"/>
            </c:ext>
          </c:extLst>
        </c:ser>
        <c:dLbls>
          <c:showLegendKey val="0"/>
          <c:showVal val="0"/>
          <c:showCatName val="0"/>
          <c:showSerName val="0"/>
          <c:showPercent val="0"/>
          <c:showBubbleSize val="0"/>
        </c:dLbls>
        <c:gapWidth val="150"/>
        <c:overlap val="100"/>
        <c:axId val="590686639"/>
        <c:axId val="472839535"/>
      </c:barChart>
      <c:catAx>
        <c:axId val="590686639"/>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72839535"/>
        <c:crosses val="autoZero"/>
        <c:auto val="1"/>
        <c:lblAlgn val="ctr"/>
        <c:lblOffset val="100"/>
        <c:noMultiLvlLbl val="0"/>
      </c:catAx>
      <c:valAx>
        <c:axId val="472839535"/>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9068663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Funding Received/Gap as of 2019-Q1 (US$)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[4]National!$D$3</c:f>
              <c:strCache>
                <c:ptCount val="1"/>
                <c:pt idx="0">
                  <c:v>Cumulative Funding Received for 2019</c:v>
                </c:pt>
              </c:strCache>
            </c:strRef>
          </c:tx>
          <c:spPr>
            <a:solidFill>
              <a:schemeClr val="bg1">
                <a:lumMod val="50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[4]National!$B$4:$B$6</c15:sqref>
                  </c15:fullRef>
                </c:ext>
              </c:extLst>
              <c:f>[4]National!$B$4</c:f>
              <c:strCache>
                <c:ptCount val="1"/>
                <c:pt idx="0">
                  <c:v>Kachin/Shan</c:v>
                </c:pt>
              </c:strCache>
            </c:strRef>
          </c:cat>
          <c:val>
            <c:numRef>
              <c:extLst>
                <c:ext xmlns:c15="http://schemas.microsoft.com/office/drawing/2012/chart" uri="{02D57815-91ED-43cb-92C2-25804820EDAC}">
                  <c15:fullRef>
                    <c15:sqref>[4]National!$D$4:$D$6</c15:sqref>
                  </c15:fullRef>
                </c:ext>
              </c:extLst>
              <c:f>[4]National!$D$4</c:f>
              <c:numCache>
                <c:formatCode>General</c:formatCode>
                <c:ptCount val="1"/>
                <c:pt idx="0">
                  <c:v>2087002.1262643435</c:v>
                </c:pt>
              </c:numCache>
            </c:numRef>
          </c:val>
          <c:extLst xmlns:c15="http://schemas.microsoft.com/office/drawing/2012/chart">
            <c:ext xmlns:c16="http://schemas.microsoft.com/office/drawing/2014/chart" uri="{C3380CC4-5D6E-409C-BE32-E72D297353CC}">
              <c16:uniqueId val="{00000000-7380-43F9-BEE0-EA36D921AFDA}"/>
            </c:ext>
          </c:extLst>
        </c:ser>
        <c:ser>
          <c:idx val="1"/>
          <c:order val="1"/>
          <c:tx>
            <c:strRef>
              <c:f>[4]National!$E$3</c:f>
              <c:strCache>
                <c:ptCount val="1"/>
                <c:pt idx="0">
                  <c:v>Gap</c:v>
                </c:pt>
              </c:strCache>
            </c:strRef>
          </c:tx>
          <c:spPr>
            <a:solidFill>
              <a:schemeClr val="bg1">
                <a:lumMod val="85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[4]National!$B$4:$B$6</c15:sqref>
                  </c15:fullRef>
                </c:ext>
              </c:extLst>
              <c:f>[4]National!$B$4</c:f>
              <c:strCache>
                <c:ptCount val="1"/>
                <c:pt idx="0">
                  <c:v>Kachin/Shan</c:v>
                </c:pt>
              </c:strCache>
            </c:strRef>
          </c:cat>
          <c:val>
            <c:numRef>
              <c:extLst>
                <c:ext xmlns:c15="http://schemas.microsoft.com/office/drawing/2012/chart" uri="{02D57815-91ED-43cb-92C2-25804820EDAC}">
                  <c15:fullRef>
                    <c15:sqref>[4]National!$E$4:$E$6</c15:sqref>
                  </c15:fullRef>
                </c:ext>
              </c:extLst>
              <c:f>[4]National!$E$4</c:f>
              <c:numCache>
                <c:formatCode>General</c:formatCode>
                <c:ptCount val="1"/>
                <c:pt idx="0">
                  <c:v>5412997.873735657</c:v>
                </c:pt>
              </c:numCache>
            </c:numRef>
          </c:val>
          <c:extLst>
            <c:ext xmlns:c16="http://schemas.microsoft.com/office/drawing/2014/chart" uri="{C3380CC4-5D6E-409C-BE32-E72D297353CC}">
              <c16:uniqueId val="{00000001-7380-43F9-BEE0-EA36D921AFDA}"/>
            </c:ext>
          </c:extLst>
        </c:ser>
        <c:dLbls>
          <c:dLblPos val="ctr"/>
          <c:showLegendKey val="0"/>
          <c:showVal val="1"/>
          <c:showCatName val="0"/>
          <c:showSerName val="0"/>
          <c:showPercent val="0"/>
          <c:showBubbleSize val="0"/>
        </c:dLbls>
        <c:gapWidth val="150"/>
        <c:overlap val="100"/>
        <c:axId val="546155384"/>
        <c:axId val="546156560"/>
        <c:extLst/>
      </c:barChart>
      <c:catAx>
        <c:axId val="54615538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46156560"/>
        <c:crosses val="autoZero"/>
        <c:auto val="1"/>
        <c:lblAlgn val="ctr"/>
        <c:lblOffset val="100"/>
        <c:noMultiLvlLbl val="0"/>
      </c:catAx>
      <c:valAx>
        <c:axId val="546156560"/>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546155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r>
              <a:rPr lang="en-US" sz="1400" b="1" i="0" baseline="0">
                <a:solidFill>
                  <a:srgbClr val="44546A"/>
                </a:solidFill>
                <a:effectLst/>
              </a:rPr>
              <a:t>WASH in Temporary Learning Spaces </a:t>
            </a:r>
            <a:endParaRPr lang="en-US" sz="1400" b="1">
              <a:solidFill>
                <a:srgbClr val="44546A"/>
              </a:solidFill>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endParaRPr lang="en-US"/>
        </a:p>
      </c:txPr>
    </c:title>
    <c:autoTitleDeleted val="0"/>
    <c:plotArea>
      <c:layout>
        <c:manualLayout>
          <c:layoutTarget val="inner"/>
          <c:xMode val="edge"/>
          <c:yMode val="edge"/>
          <c:x val="1.5768188441703416E-2"/>
          <c:y val="0.17465235859270486"/>
          <c:w val="0.96846362311659318"/>
          <c:h val="0.53545055576207856"/>
        </c:manualLayout>
      </c:layout>
      <c:barChart>
        <c:barDir val="bar"/>
        <c:grouping val="clustered"/>
        <c:varyColors val="0"/>
        <c:ser>
          <c:idx val="0"/>
          <c:order val="0"/>
          <c:tx>
            <c:strRef>
              <c:f>Analysis!$C$490</c:f>
              <c:strCache>
                <c:ptCount val="1"/>
                <c:pt idx="0">
                  <c:v>Shan (North)</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6">
                  <a:lumMod val="5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90ED-4ECC-9CB6-AC79A5F1B3C6}"/>
              </c:ext>
            </c:extLst>
          </c:dPt>
          <c:dPt>
            <c:idx val="1"/>
            <c:invertIfNegative val="0"/>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90ED-4ECC-9CB6-AC79A5F1B3C6}"/>
              </c:ext>
            </c:extLst>
          </c:dPt>
          <c:dPt>
            <c:idx val="2"/>
            <c:invertIfNegative val="0"/>
            <c:bubble3D val="0"/>
            <c:spPr>
              <a:solidFill>
                <a:schemeClr val="accent6">
                  <a:lumMod val="20000"/>
                  <a:lumOff val="8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90ED-4ECC-9CB6-AC79A5F1B3C6}"/>
              </c:ext>
            </c:extLst>
          </c:dPt>
          <c:dPt>
            <c:idx val="3"/>
            <c:invertIfNegative val="0"/>
            <c:bubble3D val="0"/>
            <c:spPr>
              <a:solidFill>
                <a:schemeClr val="accent2">
                  <a:lumMod val="75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6-0FB9-44F9-B1CE-FCAACCF20A5F}"/>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Analysis!$D$487:$H$487</c:f>
              <c:strCache>
                <c:ptCount val="5"/>
                <c:pt idx="0">
                  <c:v> # of hand washing stations with sufficient soap</c:v>
                </c:pt>
                <c:pt idx="1">
                  <c:v> # of hand washing stations for TLS</c:v>
                </c:pt>
                <c:pt idx="2">
                  <c:v># Hygiene Promotion activities (sessions) in TLS</c:v>
                </c:pt>
                <c:pt idx="3">
                  <c:v> # of latrines in TLS (schools)</c:v>
                </c:pt>
                <c:pt idx="4">
                  <c:v># Water points in TLS</c:v>
                </c:pt>
              </c:strCache>
            </c:strRef>
          </c:cat>
          <c:val>
            <c:numRef>
              <c:f>Analysis!$D$490:$H$490</c:f>
              <c:numCache>
                <c:formatCode>_(* #,##0_);_(* \(#,##0\);_(* "-"??_);_(@_)</c:formatCode>
                <c:ptCount val="5"/>
                <c:pt idx="0">
                  <c:v>0</c:v>
                </c:pt>
                <c:pt idx="1">
                  <c:v>0</c:v>
                </c:pt>
                <c:pt idx="2">
                  <c:v>0</c:v>
                </c:pt>
                <c:pt idx="3">
                  <c:v>1</c:v>
                </c:pt>
                <c:pt idx="4">
                  <c:v>0</c:v>
                </c:pt>
              </c:numCache>
            </c:numRef>
          </c:val>
          <c:extLst>
            <c:ext xmlns:c16="http://schemas.microsoft.com/office/drawing/2014/chart" uri="{C3380CC4-5D6E-409C-BE32-E72D297353CC}">
              <c16:uniqueId val="{00000006-90ED-4ECC-9CB6-AC79A5F1B3C6}"/>
            </c:ext>
          </c:extLst>
        </c:ser>
        <c:dLbls>
          <c:showLegendKey val="0"/>
          <c:showVal val="0"/>
          <c:showCatName val="0"/>
          <c:showSerName val="0"/>
          <c:showPercent val="0"/>
          <c:showBubbleSize val="0"/>
        </c:dLbls>
        <c:gapWidth val="115"/>
        <c:overlap val="-20"/>
        <c:axId val="354343880"/>
        <c:axId val="354343488"/>
      </c:barChart>
      <c:catAx>
        <c:axId val="354343880"/>
        <c:scaling>
          <c:orientation val="minMax"/>
        </c:scaling>
        <c:delete val="1"/>
        <c:axPos val="l"/>
        <c:numFmt formatCode="General" sourceLinked="1"/>
        <c:majorTickMark val="none"/>
        <c:minorTickMark val="none"/>
        <c:tickLblPos val="nextTo"/>
        <c:crossAx val="354343488"/>
        <c:crosses val="autoZero"/>
        <c:auto val="1"/>
        <c:lblAlgn val="ctr"/>
        <c:lblOffset val="100"/>
        <c:noMultiLvlLbl val="0"/>
      </c:catAx>
      <c:valAx>
        <c:axId val="354343488"/>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354343880"/>
        <c:crosses val="autoZero"/>
        <c:crossBetween val="between"/>
      </c:valAx>
      <c:spPr>
        <a:noFill/>
        <a:ln>
          <a:noFill/>
        </a:ln>
        <a:effectLst/>
      </c:spPr>
    </c:plotArea>
    <c:legend>
      <c:legendPos val="b"/>
      <c:layout>
        <c:manualLayout>
          <c:xMode val="edge"/>
          <c:yMode val="edge"/>
          <c:x val="1.3808057013796317E-2"/>
          <c:y val="0.73248833479148434"/>
          <c:w val="0.98528513106107385"/>
          <c:h val="0.23925853018372703"/>
        </c:manualLayout>
      </c:layout>
      <c:overlay val="0"/>
      <c:spPr>
        <a:noFill/>
        <a:ln>
          <a:noFill/>
        </a:ln>
        <a:effectLst/>
      </c:spPr>
      <c:txPr>
        <a:bodyPr rot="0" spcFirstLastPara="1" vertOverflow="ellipsis" vert="horz" wrap="square" anchor="ctr" anchorCtr="1"/>
        <a:lstStyle/>
        <a:p>
          <a:pPr>
            <a:defRPr sz="1050" b="0" i="0" u="none" strike="noStrike" kern="1200" baseline="0">
              <a:solidFill>
                <a:srgbClr val="44546A"/>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Sites with TLS/CFS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0256167979002624"/>
          <c:y val="0.19226669582968794"/>
          <c:w val="0.41987685914260719"/>
          <c:h val="0.69979476523767858"/>
        </c:manualLayout>
      </c:layout>
      <c:pieChart>
        <c:varyColors val="1"/>
        <c:ser>
          <c:idx val="1"/>
          <c:order val="1"/>
          <c:tx>
            <c:strRef>
              <c:f>Analysis!$C$521</c:f>
              <c:strCache>
                <c:ptCount val="1"/>
                <c:pt idx="0">
                  <c:v>Shan (North)</c:v>
                </c:pt>
              </c:strCache>
              <c:extLst xmlns:c15="http://schemas.microsoft.com/office/drawing/2012/chart"/>
            </c:strRef>
          </c:tx>
          <c:dPt>
            <c:idx val="0"/>
            <c:bubble3D val="0"/>
            <c:spPr>
              <a:solidFill>
                <a:schemeClr val="tx1">
                  <a:lumMod val="65000"/>
                  <a:lumOff val="35000"/>
                </a:schemeClr>
              </a:solidFill>
              <a:ln>
                <a:noFill/>
              </a:ln>
              <a:effectLst/>
            </c:spPr>
            <c:extLst>
              <c:ext xmlns:c16="http://schemas.microsoft.com/office/drawing/2014/chart" uri="{C3380CC4-5D6E-409C-BE32-E72D297353CC}">
                <c16:uniqueId val="{00000001-2556-44CC-BE92-B3C85AC3BD1B}"/>
              </c:ext>
            </c:extLst>
          </c:dPt>
          <c:dPt>
            <c:idx val="1"/>
            <c:bubble3D val="0"/>
            <c:spPr>
              <a:solidFill>
                <a:schemeClr val="bg1">
                  <a:lumMod val="75000"/>
                </a:schemeClr>
              </a:solidFill>
              <a:ln>
                <a:noFill/>
              </a:ln>
              <a:effectLst/>
            </c:spPr>
            <c:extLst>
              <c:ext xmlns:c16="http://schemas.microsoft.com/office/drawing/2014/chart" uri="{C3380CC4-5D6E-409C-BE32-E72D297353CC}">
                <c16:uniqueId val="{00000003-2556-44CC-BE92-B3C85AC3BD1B}"/>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Analysis!$D$519:$E$519</c:f>
              <c:strCache>
                <c:ptCount val="2"/>
                <c:pt idx="0">
                  <c:v>No</c:v>
                </c:pt>
                <c:pt idx="1">
                  <c:v>Yes</c:v>
                </c:pt>
              </c:strCache>
              <c:extLst xmlns:c15="http://schemas.microsoft.com/office/drawing/2012/chart"/>
            </c:strRef>
          </c:cat>
          <c:val>
            <c:numRef>
              <c:f>Analysis!$D$521:$E$521</c:f>
              <c:numCache>
                <c:formatCode>0%</c:formatCode>
                <c:ptCount val="2"/>
                <c:pt idx="0">
                  <c:v>0.4642857142857143</c:v>
                </c:pt>
                <c:pt idx="1">
                  <c:v>0.5357142857142857</c:v>
                </c:pt>
              </c:numCache>
              <c:extLst xmlns:c15="http://schemas.microsoft.com/office/drawing/2012/chart"/>
            </c:numRef>
          </c:val>
          <c:extLst>
            <c:ext xmlns:c16="http://schemas.microsoft.com/office/drawing/2014/chart" uri="{C3380CC4-5D6E-409C-BE32-E72D297353CC}">
              <c16:uniqueId val="{00000004-2556-44CC-BE92-B3C85AC3BD1B}"/>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Analysis!$C$520</c15:sqref>
                        </c15:formulaRef>
                      </c:ext>
                    </c:extLst>
                    <c:strCache>
                      <c:ptCount val="1"/>
                      <c:pt idx="0">
                        <c:v>Kachin</c:v>
                      </c:pt>
                    </c:strCache>
                  </c:strRef>
                </c:tx>
                <c:dPt>
                  <c:idx val="0"/>
                  <c:bubble3D val="0"/>
                  <c:spPr>
                    <a:solidFill>
                      <a:schemeClr val="bg1">
                        <a:lumMod val="65000"/>
                      </a:schemeClr>
                    </a:solidFill>
                    <a:ln>
                      <a:noFill/>
                    </a:ln>
                    <a:effectLst/>
                  </c:spPr>
                  <c:extLst>
                    <c:ext xmlns:c16="http://schemas.microsoft.com/office/drawing/2014/chart" uri="{C3380CC4-5D6E-409C-BE32-E72D297353CC}">
                      <c16:uniqueId val="{00000006-2556-44CC-BE92-B3C85AC3BD1B}"/>
                    </c:ext>
                  </c:extLst>
                </c:dPt>
                <c:dPt>
                  <c:idx val="1"/>
                  <c:bubble3D val="0"/>
                  <c:spPr>
                    <a:solidFill>
                      <a:schemeClr val="tx1">
                        <a:lumMod val="65000"/>
                        <a:lumOff val="35000"/>
                      </a:schemeClr>
                    </a:solidFill>
                    <a:ln>
                      <a:noFill/>
                    </a:ln>
                    <a:effectLst/>
                  </c:spPr>
                  <c:extLst>
                    <c:ext xmlns:c16="http://schemas.microsoft.com/office/drawing/2014/chart" uri="{C3380CC4-5D6E-409C-BE32-E72D297353CC}">
                      <c16:uniqueId val="{00000008-2556-44CC-BE92-B3C85AC3BD1B}"/>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Analysis!$D$519:$E$519</c15:sqref>
                        </c15:formulaRef>
                      </c:ext>
                    </c:extLst>
                    <c:strCache>
                      <c:ptCount val="2"/>
                      <c:pt idx="0">
                        <c:v>No</c:v>
                      </c:pt>
                      <c:pt idx="1">
                        <c:v>Yes</c:v>
                      </c:pt>
                    </c:strCache>
                  </c:strRef>
                </c:cat>
                <c:val>
                  <c:numRef>
                    <c:extLst>
                      <c:ext uri="{02D57815-91ED-43cb-92C2-25804820EDAC}">
                        <c15:formulaRef>
                          <c15:sqref>Analysis!$D$520:$E$520</c15:sqref>
                        </c15:formulaRef>
                      </c:ext>
                    </c:extLst>
                    <c:numCache>
                      <c:formatCode>0%</c:formatCode>
                      <c:ptCount val="2"/>
                      <c:pt idx="0">
                        <c:v>0.76119402985074625</c:v>
                      </c:pt>
                      <c:pt idx="1">
                        <c:v>0.23880597014925373</c:v>
                      </c:pt>
                    </c:numCache>
                  </c:numRef>
                </c:val>
                <c:extLst>
                  <c:ext xmlns:c16="http://schemas.microsoft.com/office/drawing/2014/chart" uri="{C3380CC4-5D6E-409C-BE32-E72D297353CC}">
                    <c16:uniqueId val="{00000009-2556-44CC-BE92-B3C85AC3BD1B}"/>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Analysis!$C$522</c15:sqref>
                        </c15:formulaRef>
                      </c:ext>
                    </c:extLst>
                    <c:strCache>
                      <c:ptCount val="1"/>
                      <c:pt idx="0">
                        <c:v>Central Rakhine</c:v>
                      </c:pt>
                    </c:strCache>
                  </c:strRef>
                </c:tx>
                <c:dPt>
                  <c:idx val="0"/>
                  <c:bubble3D val="0"/>
                  <c:spPr>
                    <a:solidFill>
                      <a:schemeClr val="bg1">
                        <a:lumMod val="75000"/>
                      </a:schemeClr>
                    </a:solidFill>
                    <a:ln>
                      <a:noFill/>
                    </a:ln>
                    <a:effectLst/>
                  </c:spPr>
                  <c:extLst xmlns:c15="http://schemas.microsoft.com/office/drawing/2012/chart">
                    <c:ext xmlns:c16="http://schemas.microsoft.com/office/drawing/2014/chart" uri="{C3380CC4-5D6E-409C-BE32-E72D297353CC}">
                      <c16:uniqueId val="{0000000B-2556-44CC-BE92-B3C85AC3BD1B}"/>
                    </c:ext>
                  </c:extLst>
                </c:dPt>
                <c:dPt>
                  <c:idx val="1"/>
                  <c:bubble3D val="0"/>
                  <c:spPr>
                    <a:solidFill>
                      <a:schemeClr val="tx1">
                        <a:lumMod val="65000"/>
                        <a:lumOff val="35000"/>
                      </a:schemeClr>
                    </a:solidFill>
                    <a:ln>
                      <a:noFill/>
                    </a:ln>
                    <a:effectLst/>
                  </c:spPr>
                  <c:extLst xmlns:c15="http://schemas.microsoft.com/office/drawing/2012/chart">
                    <c:ext xmlns:c16="http://schemas.microsoft.com/office/drawing/2014/chart" uri="{C3380CC4-5D6E-409C-BE32-E72D297353CC}">
                      <c16:uniqueId val="{0000000D-2556-44CC-BE92-B3C85AC3BD1B}"/>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Analysis!$D$519:$E$519</c15:sqref>
                        </c15:formulaRef>
                      </c:ext>
                    </c:extLst>
                    <c:strCache>
                      <c:ptCount val="2"/>
                      <c:pt idx="0">
                        <c:v>No</c:v>
                      </c:pt>
                      <c:pt idx="1">
                        <c:v>Yes</c:v>
                      </c:pt>
                    </c:strCache>
                  </c:strRef>
                </c:cat>
                <c:val>
                  <c:numRef>
                    <c:extLst xmlns:c15="http://schemas.microsoft.com/office/drawing/2012/chart">
                      <c:ext xmlns:c15="http://schemas.microsoft.com/office/drawing/2012/chart" uri="{02D57815-91ED-43cb-92C2-25804820EDAC}">
                        <c15:formulaRef>
                          <c15:sqref>Analysis!$D$522:$E$522</c15:sqref>
                        </c15:formulaRef>
                      </c:ext>
                    </c:extLst>
                    <c:numCache>
                      <c:formatCode>0%</c:formatCode>
                      <c:ptCount val="2"/>
                      <c:pt idx="0">
                        <c:v>0.84</c:v>
                      </c:pt>
                      <c:pt idx="1">
                        <c:v>0.16</c:v>
                      </c:pt>
                    </c:numCache>
                  </c:numRef>
                </c:val>
                <c:extLst xmlns:c15="http://schemas.microsoft.com/office/drawing/2012/chart">
                  <c:ext xmlns:c16="http://schemas.microsoft.com/office/drawing/2014/chart" uri="{C3380CC4-5D6E-409C-BE32-E72D297353CC}">
                    <c16:uniqueId val="{0000000E-2556-44CC-BE92-B3C85AC3BD1B}"/>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r>
              <a:rPr lang="en-US">
                <a:solidFill>
                  <a:schemeClr val="bg1"/>
                </a:solidFill>
              </a:rPr>
              <a:t>Cluster Team</a:t>
            </a:r>
          </a:p>
          <a:p>
            <a:pPr>
              <a:defRPr>
                <a:solidFill>
                  <a:schemeClr val="bg1"/>
                </a:solidFill>
              </a:defRPr>
            </a:pPr>
            <a:r>
              <a:rPr lang="en-US">
                <a:solidFill>
                  <a:schemeClr val="bg1"/>
                </a:solidFill>
              </a:rPr>
              <a:t># Field visits</a:t>
            </a:r>
          </a:p>
        </c:rich>
      </c:tx>
      <c:layout>
        <c:manualLayout>
          <c:xMode val="edge"/>
          <c:yMode val="edge"/>
          <c:x val="0.29734416782810735"/>
          <c:y val="0.2263633671286186"/>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title>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tx1"/>
          </a:solidFill>
          <a:ln>
            <a:noFill/>
          </a:ln>
          <a:effectLst>
            <a:outerShdw blurRad="40000" dist="23000" dir="5400000" rotWithShape="0">
              <a:srgbClr val="000000">
                <a:alpha val="35000"/>
              </a:srgbClr>
            </a:outerShdw>
          </a:effectLst>
        </c:spPr>
        <c:dLbl>
          <c:idx val="0"/>
          <c:layout>
            <c:manualLayout>
              <c:x val="-5.3388013998249863E-3"/>
              <c:y val="-0.33712962962962967"/>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2049999999999997"/>
                  <c:h val="0.17675925925925923"/>
                </c:manualLayout>
              </c15:layout>
            </c:ext>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tx1"/>
          </a:solidFill>
          <a:ln>
            <a:noFill/>
          </a:ln>
          <a:effectLst>
            <a:outerShdw blurRad="40000" dist="23000" dir="5400000" rotWithShape="0">
              <a:srgbClr val="000000">
                <a:alpha val="35000"/>
              </a:srgbClr>
            </a:outerShdw>
          </a:effectLst>
        </c:spPr>
        <c:dLbl>
          <c:idx val="0"/>
          <c:layout>
            <c:manualLayout>
              <c:x val="-5.3388013998249863E-3"/>
              <c:y val="-0.33712962962962967"/>
            </c:manualLayout>
          </c:layout>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2049999999999997"/>
                  <c:h val="0.17675925925925923"/>
                </c:manualLayout>
              </c15:layout>
            </c:ext>
          </c:extLst>
        </c:dLbl>
      </c:pivotFmt>
    </c:pivotFmts>
    <c:plotArea>
      <c:layout>
        <c:manualLayout>
          <c:layoutTarget val="inner"/>
          <c:xMode val="edge"/>
          <c:yMode val="edge"/>
          <c:x val="0.19902598425196849"/>
          <c:y val="0.10202707128747768"/>
          <c:w val="0.66694842519685038"/>
          <c:h val="0.78147514621097003"/>
        </c:manualLayout>
      </c:layout>
      <c:pieChart>
        <c:varyColors val="1"/>
        <c:ser>
          <c:idx val="0"/>
          <c:order val="0"/>
          <c:tx>
            <c:v>Total</c:v>
          </c:tx>
          <c:dPt>
            <c:idx val="0"/>
            <c:bubble3D val="0"/>
            <c:spPr>
              <a:solidFill>
                <a:schemeClr val="tx1"/>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D52D-4BC4-BEBD-05DAD3D268AE}"/>
              </c:ext>
            </c:extLst>
          </c:dPt>
          <c:dLbls>
            <c:dLbl>
              <c:idx val="0"/>
              <c:layout>
                <c:manualLayout>
                  <c:x val="-5.3388013998249863E-3"/>
                  <c:y val="-0.33712962962962967"/>
                </c:manualLayout>
              </c:layout>
              <c:tx>
                <c:rich>
                  <a:bodyPr rot="0" spcFirstLastPara="1" vertOverflow="ellipsis" vert="horz" wrap="square" lIns="38100" tIns="19050" rIns="38100" bIns="19050" anchor="ctr" anchorCtr="1">
                    <a:noAutofit/>
                  </a:bodyPr>
                  <a:lstStyle/>
                  <a:p>
                    <a:pPr>
                      <a:defRPr sz="2800" b="0" i="0" u="none" strike="noStrike" kern="1200" baseline="0">
                        <a:solidFill>
                          <a:schemeClr val="bg1"/>
                        </a:solidFill>
                        <a:latin typeface="+mn-lt"/>
                        <a:ea typeface="+mn-ea"/>
                        <a:cs typeface="+mn-cs"/>
                      </a:defRPr>
                    </a:pPr>
                    <a:r>
                      <a:rPr lang="en-US"/>
                      <a:t>8</a:t>
                    </a:r>
                  </a:p>
                </c:rich>
              </c:tx>
              <c:spPr>
                <a:noFill/>
                <a:ln>
                  <a:noFill/>
                </a:ln>
                <a:effectLst/>
              </c:spPr>
              <c:txPr>
                <a:bodyPr rot="0" spcFirstLastPara="1" vertOverflow="ellipsis" vert="horz" wrap="square" lIns="38100" tIns="19050" rIns="38100" bIns="19050" anchor="ctr" anchorCtr="1">
                  <a:noAutofit/>
                </a:bodyPr>
                <a:lstStyle/>
                <a:p>
                  <a:pPr>
                    <a:defRPr sz="2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2049999999999997"/>
                      <c:h val="0.17675925925925923"/>
                    </c:manualLayout>
                  </c15:layout>
                </c:ext>
                <c:ext xmlns:c16="http://schemas.microsoft.com/office/drawing/2014/chart" uri="{C3380CC4-5D6E-409C-BE32-E72D297353CC}">
                  <c16:uniqueId val="{00000001-D52D-4BC4-BEBD-05DAD3D268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Lit>
              <c:ptCount val="1"/>
              <c:pt idx="0">
                <c:v>Total</c:v>
              </c:pt>
            </c:strLit>
          </c:cat>
          <c:val>
            <c:numLit>
              <c:formatCode>General</c:formatCode>
              <c:ptCount val="1"/>
              <c:pt idx="0">
                <c:v>4</c:v>
              </c:pt>
            </c:numLit>
          </c:val>
          <c:extLst>
            <c:ext xmlns:c16="http://schemas.microsoft.com/office/drawing/2014/chart" uri="{C3380CC4-5D6E-409C-BE32-E72D297353CC}">
              <c16:uniqueId val="{00000002-D52D-4BC4-BEBD-05DAD3D268A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[20190516_Myanmar_WASH_4W_2019_Q1_Consolidate.xlsx]Analysis!S_water1</c:name>
    <c:fmtId val="14"/>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Water Point Coverage</a:t>
            </a:r>
          </a:p>
          <a:p>
            <a:pPr>
              <a:defRPr sz="1400"/>
            </a:pPr>
            <a:r>
              <a:rPr lang="en-US" sz="1400" b="1" i="0" baseline="0">
                <a:effectLst/>
              </a:rPr>
              <a:t>(in active IDP camps)</a:t>
            </a:r>
          </a:p>
        </c:rich>
      </c:tx>
      <c:layout>
        <c:manualLayout>
          <c:xMode val="edge"/>
          <c:yMode val="edge"/>
          <c:x val="0.28129855643044621"/>
          <c:y val="4.150453955901426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circle"/>
          <c:size val="6"/>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circle"/>
          <c:size val="6"/>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lumMod val="40000"/>
              <a:lumOff val="60000"/>
            </a:schemeClr>
          </a:solidFill>
          <a:ln>
            <a:noFill/>
          </a:ln>
          <a:effectLst/>
        </c:spPr>
        <c:dLbl>
          <c:idx val="0"/>
          <c:layout>
            <c:manualLayout>
              <c:x val="-8.3333333333333332E-3"/>
              <c:y val="-6.225680933852140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70C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lumMod val="40000"/>
              <a:lumOff val="60000"/>
            </a:schemeClr>
          </a:solidFill>
          <a:ln>
            <a:noFill/>
          </a:ln>
          <a:effectLst/>
        </c:spPr>
        <c:dLbl>
          <c:idx val="0"/>
          <c:layout>
            <c:manualLayout>
              <c:x val="-8.3333333333333332E-3"/>
              <c:y val="-6.225680933852140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0070C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lumMod val="40000"/>
              <a:lumOff val="60000"/>
            </a:schemeClr>
          </a:solidFill>
          <a:ln>
            <a:noFill/>
          </a:ln>
          <a:effectLst/>
        </c:spPr>
        <c:dLbl>
          <c:idx val="0"/>
          <c:layout>
            <c:manualLayout>
              <c:x val="-8.3333333333333332E-3"/>
              <c:y val="-6.2256809338521402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Analysis!$Q$50</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Analysis!$P$51</c:f>
              <c:strCache>
                <c:ptCount val="1"/>
                <c:pt idx="0">
                  <c:v>GCA (500:1)</c:v>
                </c:pt>
              </c:strCache>
            </c:strRef>
          </c:cat>
          <c:val>
            <c:numRef>
              <c:f>Analysis!$Q$51</c:f>
              <c:numCache>
                <c:formatCode>0</c:formatCode>
                <c:ptCount val="1"/>
                <c:pt idx="0">
                  <c:v>13.340266666666668</c:v>
                </c:pt>
              </c:numCache>
            </c:numRef>
          </c:val>
          <c:extLst>
            <c:ext xmlns:c16="http://schemas.microsoft.com/office/drawing/2014/chart" uri="{C3380CC4-5D6E-409C-BE32-E72D297353CC}">
              <c16:uniqueId val="{00000000-D7F4-4139-9C36-2442EE4AFBCC}"/>
            </c:ext>
          </c:extLst>
        </c:ser>
        <c:ser>
          <c:idx val="1"/>
          <c:order val="1"/>
          <c:tx>
            <c:strRef>
              <c:f>Analysis!$R$50</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Analysis!$P$51</c:f>
              <c:strCache>
                <c:ptCount val="1"/>
                <c:pt idx="0">
                  <c:v>GCA (500:1)</c:v>
                </c:pt>
              </c:strCache>
            </c:strRef>
          </c:cat>
          <c:val>
            <c:numRef>
              <c:f>Analysis!$R$51</c:f>
              <c:numCache>
                <c:formatCode>0</c:formatCode>
                <c:ptCount val="1"/>
                <c:pt idx="0">
                  <c:v>22.077733333333331</c:v>
                </c:pt>
              </c:numCache>
            </c:numRef>
          </c:val>
          <c:extLst>
            <c:ext xmlns:c16="http://schemas.microsoft.com/office/drawing/2014/chart" uri="{C3380CC4-5D6E-409C-BE32-E72D297353CC}">
              <c16:uniqueId val="{00000001-D7F4-4139-9C36-2442EE4AFBCC}"/>
            </c:ext>
          </c:extLst>
        </c:ser>
        <c:dLbls>
          <c:dLblPos val="ctr"/>
          <c:showLegendKey val="0"/>
          <c:showVal val="1"/>
          <c:showCatName val="0"/>
          <c:showSerName val="0"/>
          <c:showPercent val="0"/>
          <c:showBubbleSize val="0"/>
        </c:dLbls>
        <c:gapWidth val="150"/>
        <c:overlap val="100"/>
        <c:axId val="419852232"/>
        <c:axId val="419843216"/>
      </c:barChart>
      <c:catAx>
        <c:axId val="41985223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9843216"/>
        <c:crosses val="autoZero"/>
        <c:auto val="1"/>
        <c:lblAlgn val="ctr"/>
        <c:lblOffset val="100"/>
        <c:noMultiLvlLbl val="0"/>
      </c:catAx>
      <c:valAx>
        <c:axId val="41984321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9852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of Sites which made water quality test at water sources</a:t>
            </a:r>
            <a:endParaRPr lang="en-US" sz="1400">
              <a:effectLst/>
            </a:endParaRPr>
          </a:p>
        </c:rich>
      </c:tx>
      <c:layout>
        <c:manualLayout>
          <c:xMode val="edge"/>
          <c:yMode val="edge"/>
          <c:x val="0.15451943507061616"/>
          <c:y val="1.737232640195057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1.7120047494063241E-2"/>
          <c:y val="0.27290688996332735"/>
          <c:w val="0.43843738282714667"/>
          <c:h val="0.49843401830157863"/>
        </c:manualLayout>
      </c:layout>
      <c:pieChart>
        <c:varyColors val="1"/>
        <c:ser>
          <c:idx val="1"/>
          <c:order val="1"/>
          <c:tx>
            <c:strRef>
              <c:f>Analysis!$H$66</c:f>
              <c:strCache>
                <c:ptCount val="1"/>
                <c:pt idx="0">
                  <c:v>Shan (North)</c:v>
                </c:pt>
              </c:strCache>
              <c:extLst xmlns:c15="http://schemas.microsoft.com/office/drawing/2012/chart"/>
            </c:strRef>
          </c:tx>
          <c:dPt>
            <c:idx val="0"/>
            <c:bubble3D val="0"/>
            <c:spPr>
              <a:solidFill>
                <a:srgbClr val="0070C0"/>
              </a:solidFill>
              <a:ln>
                <a:noFill/>
              </a:ln>
              <a:effectLst/>
            </c:spPr>
            <c:extLst>
              <c:ext xmlns:c16="http://schemas.microsoft.com/office/drawing/2014/chart" uri="{C3380CC4-5D6E-409C-BE32-E72D297353CC}">
                <c16:uniqueId val="{0000000B-69B2-430A-97C5-D037BE72A184}"/>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D-69B2-430A-97C5-D037BE72A184}"/>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B-69B2-430A-97C5-D037BE72A18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Analysis!$J$64:$K$64</c:f>
              <c:strCache>
                <c:ptCount val="2"/>
                <c:pt idx="0">
                  <c:v>Tested</c:v>
                </c:pt>
                <c:pt idx="1">
                  <c:v>No Test</c:v>
                </c:pt>
              </c:strCache>
              <c:extLst xmlns:c15="http://schemas.microsoft.com/office/drawing/2012/chart"/>
            </c:strRef>
          </c:cat>
          <c:val>
            <c:numRef>
              <c:f>Analysis!$J$66:$K$66</c:f>
              <c:numCache>
                <c:formatCode>0</c:formatCode>
                <c:ptCount val="2"/>
                <c:pt idx="0" formatCode="General">
                  <c:v>14</c:v>
                </c:pt>
                <c:pt idx="1">
                  <c:v>14</c:v>
                </c:pt>
              </c:numCache>
              <c:extLst xmlns:c15="http://schemas.microsoft.com/office/drawing/2012/chart"/>
            </c:numRef>
          </c:val>
          <c:extLst>
            <c:ext xmlns:c16="http://schemas.microsoft.com/office/drawing/2014/chart" uri="{C3380CC4-5D6E-409C-BE32-E72D297353CC}">
              <c16:uniqueId val="{0000000E-69B2-430A-97C5-D037BE72A184}"/>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Analysis!$H$65</c15:sqref>
                        </c15:formulaRef>
                      </c:ext>
                    </c:extLst>
                    <c:strCache>
                      <c:ptCount val="1"/>
                      <c:pt idx="0">
                        <c:v>Kachin</c:v>
                      </c:pt>
                    </c:strCache>
                  </c:strRef>
                </c:tx>
                <c:dPt>
                  <c:idx val="0"/>
                  <c:bubble3D val="0"/>
                  <c:spPr>
                    <a:solidFill>
                      <a:srgbClr val="0070C0"/>
                    </a:solidFill>
                    <a:ln>
                      <a:noFill/>
                    </a:ln>
                    <a:effectLst/>
                  </c:spPr>
                  <c:extLst>
                    <c:ext xmlns:c16="http://schemas.microsoft.com/office/drawing/2014/chart" uri="{C3380CC4-5D6E-409C-BE32-E72D297353CC}">
                      <c16:uniqueId val="{00000006-69B2-430A-97C5-D037BE72A184}"/>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8-69B2-430A-97C5-D037BE72A184}"/>
                    </c:ext>
                  </c:extLst>
                </c:dPt>
                <c:dLbls>
                  <c:dLbl>
                    <c:idx val="0"/>
                    <c:layout>
                      <c:manualLayout>
                        <c:x val="-4.35631316958369E-2"/>
                        <c:y val="0.12426433216055201"/>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uri="{CE6537A1-D6FC-4f65-9D91-7224C49458BB}"/>
                      <c:ext xmlns:c16="http://schemas.microsoft.com/office/drawing/2014/chart" uri="{C3380CC4-5D6E-409C-BE32-E72D297353CC}">
                        <c16:uniqueId val="{00000006-69B2-430A-97C5-D037BE72A18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Analysis!$J$64:$K$64</c15:sqref>
                        </c15:formulaRef>
                      </c:ext>
                    </c:extLst>
                    <c:strCache>
                      <c:ptCount val="2"/>
                      <c:pt idx="0">
                        <c:v>Tested</c:v>
                      </c:pt>
                      <c:pt idx="1">
                        <c:v>No Test</c:v>
                      </c:pt>
                    </c:strCache>
                  </c:strRef>
                </c:cat>
                <c:val>
                  <c:numRef>
                    <c:extLst>
                      <c:ext uri="{02D57815-91ED-43cb-92C2-25804820EDAC}">
                        <c15:formulaRef>
                          <c15:sqref>Analysis!$J$65:$K$65</c15:sqref>
                        </c15:formulaRef>
                      </c:ext>
                    </c:extLst>
                    <c:numCache>
                      <c:formatCode>0</c:formatCode>
                      <c:ptCount val="2"/>
                      <c:pt idx="0" formatCode="General">
                        <c:v>12</c:v>
                      </c:pt>
                      <c:pt idx="1">
                        <c:v>122</c:v>
                      </c:pt>
                    </c:numCache>
                  </c:numRef>
                </c:val>
                <c:extLst>
                  <c:ext xmlns:c16="http://schemas.microsoft.com/office/drawing/2014/chart" uri="{C3380CC4-5D6E-409C-BE32-E72D297353CC}">
                    <c16:uniqueId val="{00000009-69B2-430A-97C5-D037BE72A184}"/>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Analysis!$H$67</c15:sqref>
                        </c15:formulaRef>
                      </c:ext>
                    </c:extLst>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69B2-430A-97C5-D037BE72A184}"/>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69B2-430A-97C5-D037BE72A184}"/>
                    </c:ext>
                  </c:extLst>
                </c:dPt>
                <c:dLbls>
                  <c:dLbl>
                    <c:idx val="0"/>
                    <c:layout>
                      <c:manualLayout>
                        <c:x val="-0.14812387054953108"/>
                        <c:y val="-8.7415644643311446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69B2-430A-97C5-D037BE72A18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Analysis!$J$64:$K$64</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Analysis!$J$67:$K$67</c15:sqref>
                        </c15:formulaRef>
                      </c:ext>
                    </c:extLst>
                    <c:numCache>
                      <c:formatCode>0</c:formatCode>
                      <c:ptCount val="2"/>
                      <c:pt idx="0" formatCode="General">
                        <c:v>16</c:v>
                      </c:pt>
                      <c:pt idx="1">
                        <c:v>9</c:v>
                      </c:pt>
                    </c:numCache>
                  </c:numRef>
                </c:val>
                <c:extLst xmlns:c15="http://schemas.microsoft.com/office/drawing/2012/chart">
                  <c:ext xmlns:c16="http://schemas.microsoft.com/office/drawing/2014/chart" uri="{C3380CC4-5D6E-409C-BE32-E72D297353CC}">
                    <c16:uniqueId val="{00000004-69B2-430A-97C5-D037BE72A184}"/>
                  </c:ext>
                </c:extLst>
              </c15:ser>
            </c15:filteredPieSeries>
          </c:ext>
        </c:extLst>
      </c:pieChart>
      <c:spPr>
        <a:noFill/>
        <a:ln>
          <a:noFill/>
        </a:ln>
        <a:effectLst/>
      </c:spPr>
    </c:plotArea>
    <c:legend>
      <c:legendPos val="b"/>
      <c:layout>
        <c:manualLayout>
          <c:xMode val="edge"/>
          <c:yMode val="edge"/>
          <c:x val="1.776621672290964E-2"/>
          <c:y val="0.80769595551525009"/>
          <c:w val="0.43495323647924289"/>
          <c:h val="8.90490784748103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Analysis!$L$64</c:f>
              <c:strCache>
                <c:ptCount val="1"/>
                <c:pt idx="0">
                  <c:v># Tested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Analysis!$H$65:$H$67</c15:sqref>
                  </c15:fullRef>
                </c:ext>
              </c:extLst>
              <c:f>Analysis!$H$66</c:f>
              <c:strCache>
                <c:ptCount val="1"/>
                <c:pt idx="0">
                  <c:v>Shan (North)</c:v>
                </c:pt>
              </c:strCache>
            </c:strRef>
          </c:cat>
          <c:val>
            <c:numRef>
              <c:extLst>
                <c:ext xmlns:c15="http://schemas.microsoft.com/office/drawing/2012/chart" uri="{02D57815-91ED-43cb-92C2-25804820EDAC}">
                  <c15:fullRef>
                    <c15:sqref>Analysis!$L$65:$L$67</c15:sqref>
                  </c15:fullRef>
                </c:ext>
              </c:extLst>
              <c:f>Analysis!$L$66</c:f>
              <c:numCache>
                <c:formatCode>General</c:formatCode>
                <c:ptCount val="1"/>
                <c:pt idx="0">
                  <c:v>14</c:v>
                </c:pt>
              </c:numCache>
            </c:numRef>
          </c:val>
          <c:extLst>
            <c:ext xmlns:c16="http://schemas.microsoft.com/office/drawing/2014/chart" uri="{C3380CC4-5D6E-409C-BE32-E72D297353CC}">
              <c16:uniqueId val="{00000000-38D6-4369-BEB9-91BE6B261982}"/>
            </c:ext>
          </c:extLst>
        </c:ser>
        <c:ser>
          <c:idx val="1"/>
          <c:order val="1"/>
          <c:tx>
            <c:strRef>
              <c:f>Analysis!$M$64</c:f>
              <c:strCache>
                <c:ptCount val="1"/>
                <c:pt idx="0">
                  <c:v> # Treated</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Analysis!$H$65:$H$67</c15:sqref>
                  </c15:fullRef>
                </c:ext>
              </c:extLst>
              <c:f>Analysis!$H$66</c:f>
              <c:strCache>
                <c:ptCount val="1"/>
                <c:pt idx="0">
                  <c:v>Shan (North)</c:v>
                </c:pt>
              </c:strCache>
            </c:strRef>
          </c:cat>
          <c:val>
            <c:numRef>
              <c:extLst>
                <c:ext xmlns:c15="http://schemas.microsoft.com/office/drawing/2012/chart" uri="{02D57815-91ED-43cb-92C2-25804820EDAC}">
                  <c15:fullRef>
                    <c15:sqref>Analysis!$M$65:$M$67</c15:sqref>
                  </c15:fullRef>
                </c:ext>
              </c:extLst>
              <c:f>Analysis!$M$66</c:f>
              <c:numCache>
                <c:formatCode>General</c:formatCode>
                <c:ptCount val="1"/>
                <c:pt idx="0">
                  <c:v>0</c:v>
                </c:pt>
              </c:numCache>
            </c:numRef>
          </c:val>
          <c:extLst>
            <c:ext xmlns:c16="http://schemas.microsoft.com/office/drawing/2014/chart" uri="{C3380CC4-5D6E-409C-BE32-E72D297353CC}">
              <c16:uniqueId val="{00000001-38D6-4369-BEB9-91BE6B261982}"/>
            </c:ext>
          </c:extLst>
        </c:ser>
        <c:dLbls>
          <c:showLegendKey val="0"/>
          <c:showVal val="0"/>
          <c:showCatName val="0"/>
          <c:showSerName val="0"/>
          <c:showPercent val="0"/>
          <c:showBubbleSize val="0"/>
        </c:dLbls>
        <c:gapWidth val="150"/>
        <c:overlap val="100"/>
        <c:axId val="1332863680"/>
        <c:axId val="1335493040"/>
      </c:barChart>
      <c:catAx>
        <c:axId val="1332863680"/>
        <c:scaling>
          <c:orientation val="minMax"/>
        </c:scaling>
        <c:delete val="1"/>
        <c:axPos val="b"/>
        <c:numFmt formatCode="General" sourceLinked="1"/>
        <c:majorTickMark val="none"/>
        <c:minorTickMark val="none"/>
        <c:tickLblPos val="nextTo"/>
        <c:crossAx val="1335493040"/>
        <c:crosses val="autoZero"/>
        <c:auto val="1"/>
        <c:lblAlgn val="ctr"/>
        <c:lblOffset val="100"/>
        <c:noMultiLvlLbl val="0"/>
      </c:catAx>
      <c:valAx>
        <c:axId val="1335493040"/>
        <c:scaling>
          <c:orientation val="minMax"/>
          <c:max val="30"/>
          <c:min val="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2863680"/>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of Sites which made water quality test at household</a:t>
            </a:r>
            <a:endParaRPr lang="en-US" sz="1400">
              <a:effectLst/>
            </a:endParaRPr>
          </a:p>
        </c:rich>
      </c:tx>
      <c:layout>
        <c:manualLayout>
          <c:xMode val="edge"/>
          <c:yMode val="edge"/>
          <c:x val="0.16449865219550258"/>
          <c:y val="7.4832853499604999E-3"/>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8.0377621716204387E-3"/>
          <c:y val="0.25843402772254831"/>
          <c:w val="0.43066550802771281"/>
          <c:h val="0.51502577670323313"/>
        </c:manualLayout>
      </c:layout>
      <c:pieChart>
        <c:varyColors val="1"/>
        <c:ser>
          <c:idx val="1"/>
          <c:order val="1"/>
          <c:tx>
            <c:strRef>
              <c:f>Analysis!$V$66</c:f>
              <c:strCache>
                <c:ptCount val="1"/>
                <c:pt idx="0">
                  <c:v>Shan (North)</c:v>
                </c:pt>
              </c:strCache>
              <c:extLst xmlns:c15="http://schemas.microsoft.com/office/drawing/2012/chart"/>
            </c:strRef>
          </c:tx>
          <c:dPt>
            <c:idx val="0"/>
            <c:bubble3D val="0"/>
            <c:spPr>
              <a:solidFill>
                <a:srgbClr val="0070C0"/>
              </a:solidFill>
              <a:ln>
                <a:noFill/>
              </a:ln>
              <a:effectLst/>
            </c:spPr>
            <c:extLst>
              <c:ext xmlns:c16="http://schemas.microsoft.com/office/drawing/2014/chart" uri="{C3380CC4-5D6E-409C-BE32-E72D297353CC}">
                <c16:uniqueId val="{00000001-C683-47EA-90EF-0BAE90DEBD59}"/>
              </c:ext>
            </c:extLst>
          </c:dPt>
          <c:dPt>
            <c:idx val="1"/>
            <c:bubble3D val="0"/>
            <c:spPr>
              <a:solidFill>
                <a:schemeClr val="accent1">
                  <a:lumMod val="40000"/>
                  <a:lumOff val="60000"/>
                </a:schemeClr>
              </a:solidFill>
              <a:ln>
                <a:noFill/>
              </a:ln>
              <a:effectLst/>
            </c:spPr>
            <c:extLst>
              <c:ext xmlns:c16="http://schemas.microsoft.com/office/drawing/2014/chart" uri="{C3380CC4-5D6E-409C-BE32-E72D297353CC}">
                <c16:uniqueId val="{00000003-C683-47EA-90EF-0BAE90DEBD59}"/>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C683-47EA-90EF-0BAE90DEBD5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Analysis!$X$64:$Y$64</c:f>
              <c:strCache>
                <c:ptCount val="2"/>
                <c:pt idx="0">
                  <c:v>Tested</c:v>
                </c:pt>
                <c:pt idx="1">
                  <c:v>No test</c:v>
                </c:pt>
              </c:strCache>
              <c:extLst xmlns:c15="http://schemas.microsoft.com/office/drawing/2012/chart"/>
            </c:strRef>
          </c:cat>
          <c:val>
            <c:numRef>
              <c:f>Analysis!$X$66:$Y$66</c:f>
              <c:numCache>
                <c:formatCode>General</c:formatCode>
                <c:ptCount val="2"/>
                <c:pt idx="0">
                  <c:v>14</c:v>
                </c:pt>
                <c:pt idx="1">
                  <c:v>14</c:v>
                </c:pt>
              </c:numCache>
              <c:extLst xmlns:c15="http://schemas.microsoft.com/office/drawing/2012/chart"/>
            </c:numRef>
          </c:val>
          <c:extLst>
            <c:ext xmlns:c16="http://schemas.microsoft.com/office/drawing/2014/chart" uri="{C3380CC4-5D6E-409C-BE32-E72D297353CC}">
              <c16:uniqueId val="{00000004-C683-47EA-90EF-0BAE90DEBD59}"/>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Analysis!$V$65</c15:sqref>
                        </c15:formulaRef>
                      </c:ext>
                    </c:extLst>
                    <c:strCache>
                      <c:ptCount val="1"/>
                      <c:pt idx="0">
                        <c:v>Kachin</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6-C683-47EA-90EF-0BAE90DEBD59}"/>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8-C683-47EA-90EF-0BAE90DEBD5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Analysis!$X$64:$Y$64</c15:sqref>
                        </c15:formulaRef>
                      </c:ext>
                    </c:extLst>
                    <c:strCache>
                      <c:ptCount val="2"/>
                      <c:pt idx="0">
                        <c:v>Tested</c:v>
                      </c:pt>
                      <c:pt idx="1">
                        <c:v>No test</c:v>
                      </c:pt>
                    </c:strCache>
                  </c:strRef>
                </c:cat>
                <c:val>
                  <c:numRef>
                    <c:extLst>
                      <c:ext uri="{02D57815-91ED-43cb-92C2-25804820EDAC}">
                        <c15:formulaRef>
                          <c15:sqref>Analysis!$X$65:$Y$65</c15:sqref>
                        </c15:formulaRef>
                      </c:ext>
                    </c:extLst>
                    <c:numCache>
                      <c:formatCode>General</c:formatCode>
                      <c:ptCount val="2"/>
                      <c:pt idx="0">
                        <c:v>16</c:v>
                      </c:pt>
                      <c:pt idx="1">
                        <c:v>118</c:v>
                      </c:pt>
                    </c:numCache>
                  </c:numRef>
                </c:val>
                <c:extLst>
                  <c:ext xmlns:c16="http://schemas.microsoft.com/office/drawing/2014/chart" uri="{C3380CC4-5D6E-409C-BE32-E72D297353CC}">
                    <c16:uniqueId val="{00000009-C683-47EA-90EF-0BAE90DEBD59}"/>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Analysis!$V$67</c15:sqref>
                        </c15:formulaRef>
                      </c:ext>
                    </c:extLst>
                    <c:strCache>
                      <c:ptCount val="1"/>
                      <c:pt idx="0">
                        <c:v>Central Rakhine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C683-47EA-90EF-0BAE90DEBD59}"/>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D-C683-47EA-90EF-0BAE90DEBD5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Analysis!$X$64:$Y$64</c15:sqref>
                        </c15:formulaRef>
                      </c:ext>
                    </c:extLst>
                    <c:strCache>
                      <c:ptCount val="2"/>
                      <c:pt idx="0">
                        <c:v>Tested</c:v>
                      </c:pt>
                      <c:pt idx="1">
                        <c:v>No test</c:v>
                      </c:pt>
                    </c:strCache>
                  </c:strRef>
                </c:cat>
                <c:val>
                  <c:numRef>
                    <c:extLst xmlns:c15="http://schemas.microsoft.com/office/drawing/2012/chart">
                      <c:ext xmlns:c15="http://schemas.microsoft.com/office/drawing/2012/chart" uri="{02D57815-91ED-43cb-92C2-25804820EDAC}">
                        <c15:formulaRef>
                          <c15:sqref>Analysis!$X$67:$Y$67</c15:sqref>
                        </c15:formulaRef>
                      </c:ext>
                    </c:extLst>
                    <c:numCache>
                      <c:formatCode>General</c:formatCode>
                      <c:ptCount val="2"/>
                      <c:pt idx="0">
                        <c:v>16</c:v>
                      </c:pt>
                      <c:pt idx="1">
                        <c:v>9</c:v>
                      </c:pt>
                    </c:numCache>
                  </c:numRef>
                </c:val>
                <c:extLst xmlns:c15="http://schemas.microsoft.com/office/drawing/2012/chart">
                  <c:ext xmlns:c16="http://schemas.microsoft.com/office/drawing/2014/chart" uri="{C3380CC4-5D6E-409C-BE32-E72D297353CC}">
                    <c16:uniqueId val="{0000000E-C683-47EA-90EF-0BAE90DEBD59}"/>
                  </c:ext>
                </c:extLst>
              </c15:ser>
            </c15:filteredPieSeries>
          </c:ext>
        </c:extLst>
      </c:pieChart>
      <c:spPr>
        <a:noFill/>
        <a:ln>
          <a:noFill/>
        </a:ln>
        <a:effectLst/>
      </c:spPr>
    </c:plotArea>
    <c:legend>
      <c:legendPos val="b"/>
      <c:layout>
        <c:manualLayout>
          <c:xMode val="edge"/>
          <c:yMode val="edge"/>
          <c:x val="4.353615426450072E-2"/>
          <c:y val="0.80423384780699214"/>
          <c:w val="0.37238715093045804"/>
          <c:h val="7.818582787472844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6726659167604"/>
          <c:y val="3.9506262249521334E-2"/>
          <c:w val="0.78332733408323962"/>
          <c:h val="0.60489814214225379"/>
        </c:manualLayout>
      </c:layout>
      <c:barChart>
        <c:barDir val="col"/>
        <c:grouping val="stacked"/>
        <c:varyColors val="0"/>
        <c:ser>
          <c:idx val="0"/>
          <c:order val="0"/>
          <c:tx>
            <c:strRef>
              <c:f>Analysis!$Z$64</c:f>
              <c:strCache>
                <c:ptCount val="1"/>
                <c:pt idx="0">
                  <c:v> # Tested</c:v>
                </c:pt>
              </c:strCache>
            </c:strRef>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Analysis!$V$65:$V$67</c15:sqref>
                  </c15:fullRef>
                </c:ext>
              </c:extLst>
              <c:f>Analysis!$V$66</c:f>
              <c:strCache>
                <c:ptCount val="1"/>
                <c:pt idx="0">
                  <c:v>Shan (North)</c:v>
                </c:pt>
              </c:strCache>
            </c:strRef>
          </c:cat>
          <c:val>
            <c:numRef>
              <c:extLst>
                <c:ext xmlns:c15="http://schemas.microsoft.com/office/drawing/2012/chart" uri="{02D57815-91ED-43cb-92C2-25804820EDAC}">
                  <c15:fullRef>
                    <c15:sqref>Analysis!$Z$65:$Z$67</c15:sqref>
                  </c15:fullRef>
                </c:ext>
              </c:extLst>
              <c:f>Analysis!$Z$66</c:f>
              <c:numCache>
                <c:formatCode>General</c:formatCode>
                <c:ptCount val="1"/>
                <c:pt idx="0">
                  <c:v>210</c:v>
                </c:pt>
              </c:numCache>
            </c:numRef>
          </c:val>
          <c:extLst>
            <c:ext xmlns:c16="http://schemas.microsoft.com/office/drawing/2014/chart" uri="{C3380CC4-5D6E-409C-BE32-E72D297353CC}">
              <c16:uniqueId val="{00000000-16BA-41CC-B04A-6600D6A5C684}"/>
            </c:ext>
          </c:extLst>
        </c:ser>
        <c:ser>
          <c:idx val="1"/>
          <c:order val="1"/>
          <c:tx>
            <c:strRef>
              <c:f>Analysis!$AA$64</c:f>
              <c:strCache>
                <c:ptCount val="1"/>
                <c:pt idx="0">
                  <c:v> # Household received remediation action</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Analysis!$V$65:$V$67</c15:sqref>
                  </c15:fullRef>
                </c:ext>
              </c:extLst>
              <c:f>Analysis!$V$66</c:f>
              <c:strCache>
                <c:ptCount val="1"/>
                <c:pt idx="0">
                  <c:v>Shan (North)</c:v>
                </c:pt>
              </c:strCache>
            </c:strRef>
          </c:cat>
          <c:val>
            <c:numRef>
              <c:extLst>
                <c:ext xmlns:c15="http://schemas.microsoft.com/office/drawing/2012/chart" uri="{02D57815-91ED-43cb-92C2-25804820EDAC}">
                  <c15:fullRef>
                    <c15:sqref>Analysis!$AA$65:$AA$67</c15:sqref>
                  </c15:fullRef>
                </c:ext>
              </c:extLst>
              <c:f>Analysis!$AA$66</c:f>
              <c:numCache>
                <c:formatCode>General</c:formatCode>
                <c:ptCount val="1"/>
                <c:pt idx="0">
                  <c:v>0</c:v>
                </c:pt>
              </c:numCache>
            </c:numRef>
          </c:val>
          <c:extLst>
            <c:ext xmlns:c16="http://schemas.microsoft.com/office/drawing/2014/chart" uri="{C3380CC4-5D6E-409C-BE32-E72D297353CC}">
              <c16:uniqueId val="{00000001-16BA-41CC-B04A-6600D6A5C684}"/>
            </c:ext>
          </c:extLst>
        </c:ser>
        <c:dLbls>
          <c:showLegendKey val="0"/>
          <c:showVal val="0"/>
          <c:showCatName val="0"/>
          <c:showSerName val="0"/>
          <c:showPercent val="0"/>
          <c:showBubbleSize val="0"/>
        </c:dLbls>
        <c:gapWidth val="150"/>
        <c:overlap val="100"/>
        <c:axId val="1187118288"/>
        <c:axId val="1344061744"/>
      </c:barChart>
      <c:catAx>
        <c:axId val="1187118288"/>
        <c:scaling>
          <c:orientation val="minMax"/>
        </c:scaling>
        <c:delete val="1"/>
        <c:axPos val="b"/>
        <c:numFmt formatCode="General" sourceLinked="1"/>
        <c:majorTickMark val="none"/>
        <c:minorTickMark val="none"/>
        <c:tickLblPos val="nextTo"/>
        <c:crossAx val="1344061744"/>
        <c:crosses val="autoZero"/>
        <c:auto val="1"/>
        <c:lblAlgn val="ctr"/>
        <c:lblOffset val="100"/>
        <c:noMultiLvlLbl val="0"/>
      </c:catAx>
      <c:valAx>
        <c:axId val="1344061744"/>
        <c:scaling>
          <c:orientation val="minMax"/>
          <c:max val="300"/>
          <c:min val="0"/>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7118288"/>
        <c:crosses val="autoZero"/>
        <c:crossBetween val="between"/>
        <c:majorUnit val="100"/>
      </c:valAx>
      <c:spPr>
        <a:noFill/>
        <a:ln>
          <a:noFill/>
        </a:ln>
        <a:effectLst/>
      </c:spPr>
    </c:plotArea>
    <c:legend>
      <c:legendPos val="b"/>
      <c:layout>
        <c:manualLayout>
          <c:xMode val="edge"/>
          <c:yMode val="edge"/>
          <c:x val="6.3692350956130489E-2"/>
          <c:y val="0.67936860645290742"/>
          <c:w val="0.91512422320884312"/>
          <c:h val="0.291645278535836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[20190516_Myanmar_WASH_4W_2019_Q1_Consolidate.xlsx]By Camps!PivotTable1</c:name>
    <c:fmtId val="4"/>
  </c:pivotSource>
  <c:chart>
    <c:title>
      <c:tx>
        <c:strRef>
          <c:f>'By Camps'!$B$34</c:f>
          <c:strCache>
            <c:ptCount val="1"/>
            <c:pt idx="0">
              <c:v>2019_Q1</c:v>
            </c:pt>
          </c:strCache>
        </c:strRef>
      </c:tx>
      <c:overlay val="0"/>
      <c:spPr>
        <a:no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ivotFmts>
      <c:pivotFmt>
        <c:idx val="0"/>
      </c:pivotFmt>
      <c:pivotFmt>
        <c:idx val="1"/>
      </c:pivotFmt>
      <c:pivotFmt>
        <c:idx val="2"/>
        <c:spPr>
          <a:solidFill>
            <a:schemeClr val="tx1"/>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spPr>
          <a:solidFill>
            <a:schemeClr val="accent2">
              <a:lumMod val="75000"/>
            </a:schemeClr>
          </a:solidFill>
          <a:ln>
            <a:noFill/>
          </a:ln>
          <a:effectLst/>
        </c:spPr>
        <c:marker>
          <c:symbol val="none"/>
        </c:marker>
      </c:pivotFmt>
      <c:pivotFmt>
        <c:idx val="5"/>
        <c:spPr>
          <a:solidFill>
            <a:srgbClr val="0070C0"/>
          </a:solidFill>
          <a:ln>
            <a:noFill/>
          </a:ln>
          <a:effectLst/>
        </c:spPr>
        <c:marker>
          <c:symbol val="none"/>
        </c:marke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7"/>
        <c:spPr>
          <a:solidFill>
            <a:schemeClr val="accent6">
              <a:lumMod val="50000"/>
            </a:schemeClr>
          </a:solidFill>
          <a:ln>
            <a:noFill/>
          </a:ln>
          <a:effectLst/>
        </c:spPr>
        <c:marker>
          <c:symbol val="none"/>
        </c:marker>
      </c:pivotFmt>
      <c:pivotFmt>
        <c:idx val="8"/>
        <c:spPr>
          <a:solidFill>
            <a:schemeClr val="accent2">
              <a:lumMod val="75000"/>
            </a:schemeClr>
          </a:solidFill>
          <a:ln>
            <a:noFill/>
          </a:ln>
          <a:effectLst/>
        </c:spPr>
        <c:marker>
          <c:symbol val="none"/>
        </c:marker>
      </c:pivotFmt>
      <c:pivotFmt>
        <c:idx val="9"/>
        <c:spPr>
          <a:solidFill>
            <a:srgbClr val="0070C0"/>
          </a:solidFill>
          <a:ln>
            <a:noFill/>
          </a:ln>
          <a:effectLst/>
        </c:spPr>
        <c:marker>
          <c:symbol val="none"/>
        </c:marker>
      </c:pivotFmt>
    </c:pivotFmts>
    <c:plotArea>
      <c:layout>
        <c:manualLayout>
          <c:layoutTarget val="inner"/>
          <c:xMode val="edge"/>
          <c:yMode val="edge"/>
          <c:x val="0.22539750826490748"/>
          <c:y val="0.11493115019255251"/>
          <c:w val="0.61261601843615388"/>
          <c:h val="0.82620867752909466"/>
        </c:manualLayout>
      </c:layout>
      <c:barChart>
        <c:barDir val="bar"/>
        <c:grouping val="clustered"/>
        <c:varyColors val="0"/>
        <c:ser>
          <c:idx val="0"/>
          <c:order val="0"/>
          <c:tx>
            <c:strRef>
              <c:f>'By Camps'!$B$34</c:f>
              <c:strCache>
                <c:ptCount val="1"/>
                <c:pt idx="0">
                  <c:v>Total Population</c:v>
                </c:pt>
              </c:strCache>
            </c:strRef>
          </c:tx>
          <c:spPr>
            <a:solidFill>
              <a:schemeClr val="tx1"/>
            </a:solidFill>
            <a:ln>
              <a:noFill/>
            </a:ln>
            <a:effectLst/>
          </c:spPr>
          <c:invertIfNegative val="0"/>
          <c:cat>
            <c:strRef>
              <c:f>'By Camps'!$B$34</c:f>
              <c:strCache>
                <c:ptCount val="534"/>
                <c:pt idx="0">
                  <c:v>5 Ward RC Church(lon Khin)</c:v>
                </c:pt>
                <c:pt idx="1">
                  <c:v>AD-2000 Extension camp</c:v>
                </c:pt>
                <c:pt idx="2">
                  <c:v>AD-2000 Tharthana Compound</c:v>
                </c:pt>
                <c:pt idx="3">
                  <c:v>AG Church, Hmaw Si Sa</c:v>
                </c:pt>
                <c:pt idx="4">
                  <c:v>AG Church, Maw Wan</c:v>
                </c:pt>
                <c:pt idx="5">
                  <c:v>Agritural Compound (KBC)</c:v>
                </c:pt>
                <c:pt idx="6">
                  <c:v>Ah Htet Gar Pu</c:v>
                </c:pt>
                <c:pt idx="7">
                  <c:v>Ah Nauk Pyin</c:v>
                </c:pt>
                <c:pt idx="8">
                  <c:v>Ah Nauk Ye Ku Lar</c:v>
                </c:pt>
                <c:pt idx="9">
                  <c:v>Ah Nauk Ywe</c:v>
                </c:pt>
                <c:pt idx="10">
                  <c:v>Ah Pauk Wa</c:v>
                </c:pt>
                <c:pt idx="11">
                  <c:v>Aung Thar Church</c:v>
                </c:pt>
                <c:pt idx="12">
                  <c:v>Aung Thar Yar</c:v>
                </c:pt>
                <c:pt idx="13">
                  <c:v>Baptist Church, Hmaw Si Sar(Lon Khin)</c:v>
                </c:pt>
                <c:pt idx="14">
                  <c:v>Basare</c:v>
                </c:pt>
                <c:pt idx="15">
                  <c:v>Baw Du Pha 1</c:v>
                </c:pt>
                <c:pt idx="16">
                  <c:v>Baw Du Pha 2</c:v>
                </c:pt>
                <c:pt idx="17">
                  <c:v>Baw Du Pha Village</c:v>
                </c:pt>
                <c:pt idx="18">
                  <c:v>Bhamo_Host Families</c:v>
                </c:pt>
                <c:pt idx="19">
                  <c:v>Border Post 8</c:v>
                </c:pt>
                <c:pt idx="20">
                  <c:v>Bum Tsit Pa</c:v>
                </c:pt>
                <c:pt idx="21">
                  <c:v>Chaik Taung</c:v>
                </c:pt>
                <c:pt idx="22">
                  <c:v>Chin Church, Seik Mu</c:v>
                </c:pt>
                <c:pt idx="23">
                  <c:v>Chipwi KBC camp</c:v>
                </c:pt>
                <c:pt idx="24">
                  <c:v>Dar Pai</c:v>
                </c:pt>
                <c:pt idx="25">
                  <c:v>Dar Pai (IDP in host families)</c:v>
                </c:pt>
                <c:pt idx="26">
                  <c:v>Dhama Rakhita, Nyein Chan Tar Yar Ward(Lon Khin)</c:v>
                </c:pt>
                <c:pt idx="27">
                  <c:v>Doke Kan Chaung</c:v>
                </c:pt>
                <c:pt idx="28">
                  <c:v>Done Thein</c:v>
                </c:pt>
                <c:pt idx="29">
                  <c:v>Du Kahtawng Baptist</c:v>
                </c:pt>
                <c:pt idx="30">
                  <c:v>Dum Bung </c:v>
                </c:pt>
                <c:pt idx="31">
                  <c:v>Gar Pu (Lower)</c:v>
                </c:pt>
                <c:pt idx="32">
                  <c:v>Goke Pi Htaunt</c:v>
                </c:pt>
                <c:pt idx="33">
                  <c:v>Gone Nar</c:v>
                </c:pt>
                <c:pt idx="34">
                  <c:v>Gwa Sone Rakhine</c:v>
                </c:pt>
                <c:pt idx="35">
                  <c:v>Hka Shi</c:v>
                </c:pt>
                <c:pt idx="36">
                  <c:v>Hkat Cho </c:v>
                </c:pt>
                <c:pt idx="37">
                  <c:v>Hkau Shau (BP 12)</c:v>
                </c:pt>
                <c:pt idx="38">
                  <c:v>Hla May Shwe</c:v>
                </c:pt>
                <c:pt idx="39">
                  <c:v>Hla Nyo Kan</c:v>
                </c:pt>
                <c:pt idx="40">
                  <c:v>Hlaing Naung Baptist</c:v>
                </c:pt>
                <c:pt idx="41">
                  <c:v>Hmaw Wan, Anglican</c:v>
                </c:pt>
                <c:pt idx="42">
                  <c:v>Hopin Host Families</c:v>
                </c:pt>
                <c:pt idx="43">
                  <c:v>Hpai Kawng</c:v>
                </c:pt>
                <c:pt idx="44">
                  <c:v>Hpai Kawng Mare</c:v>
                </c:pt>
                <c:pt idx="45">
                  <c:v>Hpakant Baptist Church, Nam Ma Hpit</c:v>
                </c:pt>
                <c:pt idx="46">
                  <c:v>Hpare Hkyer - BP6</c:v>
                </c:pt>
                <c:pt idx="47">
                  <c:v>Hpun Lum Yang </c:v>
                </c:pt>
                <c:pt idx="48">
                  <c:v>Htoi San Church</c:v>
                </c:pt>
                <c:pt idx="49">
                  <c:v>IDP Boarding School, A Len Bum</c:v>
                </c:pt>
                <c:pt idx="50">
                  <c:v>In Bar Yi</c:v>
                </c:pt>
                <c:pt idx="51">
                  <c:v>Inn Hpauk</c:v>
                </c:pt>
                <c:pt idx="52">
                  <c:v>Inn Lel Yan - Host Families</c:v>
                </c:pt>
                <c:pt idx="53">
                  <c:v>Jan Mai Kawng Baptist Church</c:v>
                </c:pt>
                <c:pt idx="54">
                  <c:v>Jan Mai Kawng Catholic Church</c:v>
                </c:pt>
                <c:pt idx="55">
                  <c:v>Je Yang Hka </c:v>
                </c:pt>
                <c:pt idx="56">
                  <c:v>Ka Doe Seik</c:v>
                </c:pt>
                <c:pt idx="57">
                  <c:v>Ka Nyin Taw</c:v>
                </c:pt>
                <c:pt idx="58">
                  <c:v>Kachin Su Baptist Church (ECCD)</c:v>
                </c:pt>
                <c:pt idx="59">
                  <c:v>Kan Thar Htwat Wa</c:v>
                </c:pt>
                <c:pt idx="60">
                  <c:v>Khar Nan (1) Baptist Church</c:v>
                </c:pt>
                <c:pt idx="61">
                  <c:v>Khaung Htoke</c:v>
                </c:pt>
                <c:pt idx="62">
                  <c:v>Khun Sint Village</c:v>
                </c:pt>
                <c:pt idx="63">
                  <c:v>Kin Chaung</c:v>
                </c:pt>
                <c:pt idx="64">
                  <c:v>Kone Khem Camp</c:v>
                </c:pt>
                <c:pt idx="65">
                  <c:v>Kutkai downtown (KBC Church)</c:v>
                </c:pt>
                <c:pt idx="66">
                  <c:v>Kutkai downtown (KBC Church-2)</c:v>
                </c:pt>
                <c:pt idx="67">
                  <c:v>Kutkai downtown (RC Church)</c:v>
                </c:pt>
                <c:pt idx="68">
                  <c:v>Kyar Nyo Inn</c:v>
                </c:pt>
                <c:pt idx="69">
                  <c:v>Kyar Nyo Pyin (Muslim)</c:v>
                </c:pt>
                <c:pt idx="70">
                  <c:v>Kyauk Se</c:v>
                </c:pt>
                <c:pt idx="71">
                  <c:v>Kyauk Ta Lone</c:v>
                </c:pt>
                <c:pt idx="72">
                  <c:v>Kyein Ni Pyin</c:v>
                </c:pt>
                <c:pt idx="73">
                  <c:v>Kyet Taw Pyin</c:v>
                </c:pt>
                <c:pt idx="74">
                  <c:v>Kyu Sot</c:v>
                </c:pt>
                <c:pt idx="75">
                  <c:v>Kyun Pin Thar Baptist Church</c:v>
                </c:pt>
                <c:pt idx="76">
                  <c:v>Kyun Taw Baptist Church </c:v>
                </c:pt>
                <c:pt idx="77">
                  <c:v>Laiza Je Yang School</c:v>
                </c:pt>
                <c:pt idx="78">
                  <c:v>Lana Zup Ja</c:v>
                </c:pt>
                <c:pt idx="79">
                  <c:v>Lawk Awng Mare D. (Sinbo Area)</c:v>
                </c:pt>
                <c:pt idx="80">
                  <c:v>Lawng Hkang Shait Yang Camp​ ( Lel Pyin)​ </c:v>
                </c:pt>
                <c:pt idx="81">
                  <c:v>Le Kone Bethlehem Church</c:v>
                </c:pt>
                <c:pt idx="82">
                  <c:v>Le Kone Ziun Baptist Church </c:v>
                </c:pt>
                <c:pt idx="83">
                  <c:v>Let Saung Kauk</c:v>
                </c:pt>
                <c:pt idx="84">
                  <c:v>Lhaovao Baptist Church (LBC)</c:v>
                </c:pt>
                <c:pt idx="85">
                  <c:v>Lisu Baptist Church</c:v>
                </c:pt>
                <c:pt idx="86">
                  <c:v>Lisu Baptist Church, Maw Shan Vil,. Seik Mu</c:v>
                </c:pt>
                <c:pt idx="87">
                  <c:v>Lisu Baptist Church, Maw Wan Ward</c:v>
                </c:pt>
                <c:pt idx="88">
                  <c:v>Lisu Boarding-House</c:v>
                </c:pt>
                <c:pt idx="89">
                  <c:v>Lisu Church Namtu</c:v>
                </c:pt>
                <c:pt idx="90">
                  <c:v>Loi Je Baptist Church</c:v>
                </c:pt>
                <c:pt idx="91">
                  <c:v>Loi Je Catholic Church</c:v>
                </c:pt>
                <c:pt idx="92">
                  <c:v>Loi Je Lisu Camp</c:v>
                </c:pt>
                <c:pt idx="93">
                  <c:v>Lung Sut</c:v>
                </c:pt>
                <c:pt idx="94">
                  <c:v>Lwegel High School</c:v>
                </c:pt>
                <c:pt idx="95">
                  <c:v>Mading Baptist Church</c:v>
                </c:pt>
                <c:pt idx="96">
                  <c:v>Maga Yang </c:v>
                </c:pt>
                <c:pt idx="97">
                  <c:v>Maina AG Church</c:v>
                </c:pt>
                <c:pt idx="98">
                  <c:v>Maina Catholic Church (St. Joseph)</c:v>
                </c:pt>
                <c:pt idx="99">
                  <c:v>Maina KBC (Bawng Ring)</c:v>
                </c:pt>
                <c:pt idx="100">
                  <c:v>Maina Lawang Baptist Church</c:v>
                </c:pt>
                <c:pt idx="101">
                  <c:v>Maing Khaung</c:v>
                </c:pt>
                <c:pt idx="102">
                  <c:v>Maing Khaung Catholic Church</c:v>
                </c:pt>
                <c:pt idx="103">
                  <c:v>Maliyang Baptist Church</c:v>
                </c:pt>
                <c:pt idx="104">
                  <c:v>Man Bung Catholic compound</c:v>
                </c:pt>
                <c:pt idx="105">
                  <c:v>Man Bung Edin Baptist Church</c:v>
                </c:pt>
                <c:pt idx="106">
                  <c:v>Man Hkring Baptist Church</c:v>
                </c:pt>
                <c:pt idx="107">
                  <c:v>Man Kaung/Naung Ti Kyar Village</c:v>
                </c:pt>
                <c:pt idx="108">
                  <c:v>Man Loi</c:v>
                </c:pt>
                <c:pt idx="109">
                  <c:v>Man Wing Baptist Church</c:v>
                </c:pt>
                <c:pt idx="110">
                  <c:v>Man Wing Baptist Church Cultural Compound</c:v>
                </c:pt>
                <c:pt idx="111">
                  <c:v>Man Wing Catholic Church</c:v>
                </c:pt>
                <c:pt idx="112">
                  <c:v>Man Wing Catholic Church II</c:v>
                </c:pt>
                <c:pt idx="113">
                  <c:v>Man Wing Host Families</c:v>
                </c:pt>
                <c:pt idx="114">
                  <c:v>Mandalay Monestry</c:v>
                </c:pt>
                <c:pt idx="115">
                  <c:v>Mandung - Jinghpaw</c:v>
                </c:pt>
                <c:pt idx="116">
                  <c:v>Mandung - RC</c:v>
                </c:pt>
                <c:pt idx="117">
                  <c:v>Mansi Baptist Church</c:v>
                </c:pt>
                <c:pt idx="118">
                  <c:v>Mansi_Host Families</c:v>
                </c:pt>
                <c:pt idx="119">
                  <c:v>Maw Hpawng Hka Nan Baptist Church</c:v>
                </c:pt>
                <c:pt idx="120">
                  <c:v>Maw Hpawng Lhaovo Baptist Church</c:v>
                </c:pt>
                <c:pt idx="121">
                  <c:v>Maw Ti Ngar</c:v>
                </c:pt>
                <c:pt idx="122">
                  <c:v>Maw Wan, Mu-yin Baptist Church</c:v>
                </c:pt>
                <c:pt idx="123">
                  <c:v>Min Thar Seik</c:v>
                </c:pt>
                <c:pt idx="124">
                  <c:v>Moenyin Host Families</c:v>
                </c:pt>
                <c:pt idx="125">
                  <c:v>Momauk Baptist Church</c:v>
                </c:pt>
                <c:pt idx="126">
                  <c:v>Momauk_Host Families</c:v>
                </c:pt>
                <c:pt idx="127">
                  <c:v>Mong Wee Shan</c:v>
                </c:pt>
                <c:pt idx="128">
                  <c:v>Mung Hawm </c:v>
                </c:pt>
                <c:pt idx="129">
                  <c:v>Mungji Pa Dabang (Baptist Church)</c:v>
                </c:pt>
                <c:pt idx="130">
                  <c:v>Mungji Pa Dabang (Catholic Church)</c:v>
                </c:pt>
                <c:pt idx="131">
                  <c:v>Muse Baptist Church</c:v>
                </c:pt>
                <c:pt idx="132">
                  <c:v>Muse Catholic Church</c:v>
                </c:pt>
                <c:pt idx="133">
                  <c:v>Mu-yin Baptist Church</c:v>
                </c:pt>
                <c:pt idx="134">
                  <c:v>Muyin church (Aung Yar pre-school compound)</c:v>
                </c:pt>
                <c:pt idx="135">
                  <c:v>Myo Thit </c:v>
                </c:pt>
                <c:pt idx="136">
                  <c:v>Nam Hkam - Nay Win Ni (Palawng)</c:v>
                </c:pt>
                <c:pt idx="137">
                  <c:v>Nam Hkam (KBC Jaw Wang)</c:v>
                </c:pt>
                <c:pt idx="138">
                  <c:v>Nam Hkam (KBC Jaw Wang) II</c:v>
                </c:pt>
                <c:pt idx="139">
                  <c:v>Nam Hkam Catholic Church ( St. Thomas I)</c:v>
                </c:pt>
                <c:pt idx="140">
                  <c:v>Nam Hpak Ka Mare </c:v>
                </c:pt>
                <c:pt idx="141">
                  <c:v>Nam Ma Phyit, COC</c:v>
                </c:pt>
                <c:pt idx="142">
                  <c:v>Nam Sa Larp</c:v>
                </c:pt>
                <c:pt idx="143">
                  <c:v>Nam Tu Baptist</c:v>
                </c:pt>
                <c:pt idx="144">
                  <c:v>Namhkan - Pang Long KBC</c:v>
                </c:pt>
                <c:pt idx="145">
                  <c:v>Nan Kway St. John Catholic Church</c:v>
                </c:pt>
                <c:pt idx="146">
                  <c:v>Nan Yah Gone Ahtet</c:v>
                </c:pt>
                <c:pt idx="147">
                  <c:v>Nant Hlaing Church</c:v>
                </c:pt>
                <c:pt idx="148">
                  <c:v>Nant Ma Hpit Catholic Church</c:v>
                </c:pt>
                <c:pt idx="149">
                  <c:v>Nat Gyi Kone Baptist Church </c:v>
                </c:pt>
                <c:pt idx="150">
                  <c:v>Nawng Hee Village</c:v>
                </c:pt>
                <c:pt idx="151">
                  <c:v>Nawng Ing (Indawgyi) Baptist Church </c:v>
                </c:pt>
                <c:pt idx="152">
                  <c:v>Nay Pu Khan</c:v>
                </c:pt>
                <c:pt idx="153">
                  <c:v>Ndup Yang</c:v>
                </c:pt>
                <c:pt idx="154">
                  <c:v>New Pang Ku </c:v>
                </c:pt>
                <c:pt idx="155">
                  <c:v>Nga Ta Paung</c:v>
                </c:pt>
                <c:pt idx="156">
                  <c:v>Ngar Yauk Kaing</c:v>
                </c:pt>
                <c:pt idx="157">
                  <c:v>Nget Chaung 1</c:v>
                </c:pt>
                <c:pt idx="158">
                  <c:v>Nget Chaung 2</c:v>
                </c:pt>
                <c:pt idx="159">
                  <c:v>Ngwe Taung</c:v>
                </c:pt>
                <c:pt idx="160">
                  <c:v>Nhkawng Pa </c:v>
                </c:pt>
                <c:pt idx="161">
                  <c:v>NiDin</c:v>
                </c:pt>
                <c:pt idx="162">
                  <c:v>Njang Dung Baptist Church </c:v>
                </c:pt>
                <c:pt idx="163">
                  <c:v>Nwar Yone Taung</c:v>
                </c:pt>
                <c:pt idx="164">
                  <c:v>Nyaung Chaung</c:v>
                </c:pt>
                <c:pt idx="165">
                  <c:v>Nyaung Na Pin </c:v>
                </c:pt>
                <c:pt idx="166">
                  <c:v>Nyaung Pin Gyi (Ku Lar)</c:v>
                </c:pt>
                <c:pt idx="167">
                  <c:v>Ohn Taw Chay</c:v>
                </c:pt>
                <c:pt idx="168">
                  <c:v>Ohn Taw Gyi</c:v>
                </c:pt>
                <c:pt idx="169">
                  <c:v>Ohn Taw Gyi (North)</c:v>
                </c:pt>
                <c:pt idx="170">
                  <c:v>Ohn Taw Gyi (South)</c:v>
                </c:pt>
                <c:pt idx="171">
                  <c:v>Oke Hpo (Oe Hpauk)</c:v>
                </c:pt>
                <c:pt idx="172">
                  <c:v>Oke Taung Pyin</c:v>
                </c:pt>
                <c:pt idx="173">
                  <c:v>Pa Dauk Myaing(Pa La Na)</c:v>
                </c:pt>
                <c:pt idx="174">
                  <c:v>Pa Kahtawng </c:v>
                </c:pt>
                <c:pt idx="175">
                  <c:v>Pajau - Jan Mai</c:v>
                </c:pt>
                <c:pt idx="176">
                  <c:v>Palae' Kaine</c:v>
                </c:pt>
                <c:pt idx="177">
                  <c:v>Pale Taung</c:v>
                </c:pt>
                <c:pt idx="178">
                  <c:v>Pan Law</c:v>
                </c:pt>
                <c:pt idx="179">
                  <c:v>Pan Ta Pyae</c:v>
                </c:pt>
                <c:pt idx="180">
                  <c:v>Pan Wa</c:v>
                </c:pt>
                <c:pt idx="181">
                  <c:v>Paung Zar</c:v>
                </c:pt>
                <c:pt idx="182">
                  <c:v>Pe Tha Du</c:v>
                </c:pt>
                <c:pt idx="183">
                  <c:v>Phan Khar Kone</c:v>
                </c:pt>
                <c:pt idx="184">
                  <c:v>Pin Zaing</c:v>
                </c:pt>
                <c:pt idx="185">
                  <c:v>Post 6 Camp</c:v>
                </c:pt>
                <c:pt idx="186">
                  <c:v>Pyaing Chaung</c:v>
                </c:pt>
                <c:pt idx="187">
                  <c:v>Pyaung Seik</c:v>
                </c:pt>
                <c:pt idx="188">
                  <c:v>Qtr. 2 Lhaovo Baptist Church</c:v>
                </c:pt>
                <c:pt idx="189">
                  <c:v>Qtr. 2 Myoma Baptist Church</c:v>
                </c:pt>
                <c:pt idx="190">
                  <c:v>Qtr. 3 Mu-yin  Baptist Church</c:v>
                </c:pt>
                <c:pt idx="191">
                  <c:v>Rawan Baptist Church, Maw Shan Vil., Seik Mu</c:v>
                </c:pt>
                <c:pt idx="192">
                  <c:v>Robert Church</c:v>
                </c:pt>
                <c:pt idx="193">
                  <c:v>Robert -Middle school</c:v>
                </c:pt>
                <c:pt idx="194">
                  <c:v>Salang Yang</c:v>
                </c:pt>
                <c:pt idx="195">
                  <c:v>San Go Taung</c:v>
                </c:pt>
                <c:pt idx="196">
                  <c:v>San Htoe Tan</c:v>
                </c:pt>
                <c:pt idx="197">
                  <c:v>Sar Hmaw - KBC</c:v>
                </c:pt>
                <c:pt idx="198">
                  <c:v>Sat Roe Kya 1</c:v>
                </c:pt>
                <c:pt idx="199">
                  <c:v>Sat Roe Kya 2</c:v>
                </c:pt>
                <c:pt idx="200">
                  <c:v>Saw Zam</c:v>
                </c:pt>
                <c:pt idx="201">
                  <c:v>Say Taung</c:v>
                </c:pt>
                <c:pt idx="202">
                  <c:v>Say Tha Mar Gyi</c:v>
                </c:pt>
                <c:pt idx="203">
                  <c:v>Say Tha Mar Gyi village</c:v>
                </c:pt>
                <c:pt idx="204">
                  <c:v>Say Tha Mar Nge</c:v>
                </c:pt>
                <c:pt idx="205">
                  <c:v>Seng Ja </c:v>
                </c:pt>
                <c:pt idx="206">
                  <c:v>Set Yone Su 1</c:v>
                </c:pt>
                <c:pt idx="207">
                  <c:v>Set Yone Su 3 (Mingan)</c:v>
                </c:pt>
                <c:pt idx="208">
                  <c:v>Sha-It Yang</c:v>
                </c:pt>
                <c:pt idx="209">
                  <c:v>Shar Du Zut KBC church </c:v>
                </c:pt>
                <c:pt idx="210">
                  <c:v>Shar Du Zut SanPya</c:v>
                </c:pt>
                <c:pt idx="211">
                  <c:v>Shat Shar Taung</c:v>
                </c:pt>
                <c:pt idx="212">
                  <c:v>Shatapru Sut Ngai Tawng</c:v>
                </c:pt>
                <c:pt idx="213">
                  <c:v>Shatapru Thida Aye Baptist Church</c:v>
                </c:pt>
                <c:pt idx="214">
                  <c:v>Shauk Chaung</c:v>
                </c:pt>
                <c:pt idx="215">
                  <c:v>Shing Jai</c:v>
                </c:pt>
                <c:pt idx="216">
                  <c:v>Shwe Gu Baptist Church</c:v>
                </c:pt>
                <c:pt idx="217">
                  <c:v>Shwe Gu Catholic Church</c:v>
                </c:pt>
                <c:pt idx="218">
                  <c:v>Shwe Hlaing</c:v>
                </c:pt>
                <c:pt idx="219">
                  <c:v>Shwe Zet Baptist Church</c:v>
                </c:pt>
                <c:pt idx="220">
                  <c:v>Shwe Zin Khin (Rakhine)</c:v>
                </c:pt>
                <c:pt idx="221">
                  <c:v>Sin Aing</c:v>
                </c:pt>
                <c:pt idx="222">
                  <c:v>Sin Bo</c:v>
                </c:pt>
                <c:pt idx="223">
                  <c:v>Sin Tet Maw</c:v>
                </c:pt>
                <c:pt idx="224">
                  <c:v>Sin Tet Maw (Host)</c:v>
                </c:pt>
                <c:pt idx="225">
                  <c:v>Sin Tet Maw Rakhine(Baw Da Li)</c:v>
                </c:pt>
                <c:pt idx="226">
                  <c:v>St. Patrick Catholic Church </c:v>
                </c:pt>
                <c:pt idx="227">
                  <c:v>Sumprabum</c:v>
                </c:pt>
                <c:pt idx="228">
                  <c:v>Tanai CoC</c:v>
                </c:pt>
                <c:pt idx="229">
                  <c:v>Tat Kone Baptist Church</c:v>
                </c:pt>
                <c:pt idx="230">
                  <c:v>Tat Kone COC Baptist - Tat Kone Htoi San</c:v>
                </c:pt>
                <c:pt idx="231">
                  <c:v>Tat Kone Emanuel Church</c:v>
                </c:pt>
                <c:pt idx="232">
                  <c:v>Tat Kone Galile Baptist Church</c:v>
                </c:pt>
                <c:pt idx="233">
                  <c:v>Tat Kone San Pya Baptist Church</c:v>
                </c:pt>
                <c:pt idx="234">
                  <c:v>Taung Htaung</c:v>
                </c:pt>
                <c:pt idx="235">
                  <c:v>Taung Htaung Ha Yar</c:v>
                </c:pt>
                <c:pt idx="236">
                  <c:v>Taung Paw</c:v>
                </c:pt>
                <c:pt idx="237">
                  <c:v>Tha Dar</c:v>
                </c:pt>
                <c:pt idx="238">
                  <c:v>Tha Yet Oke Ywar Haung</c:v>
                </c:pt>
                <c:pt idx="239">
                  <c:v>Tha Yet Oke Ywar Thit</c:v>
                </c:pt>
                <c:pt idx="240">
                  <c:v>Thae Chaung</c:v>
                </c:pt>
                <c:pt idx="241">
                  <c:v>Thae Chaung(Rakhine)</c:v>
                </c:pt>
                <c:pt idx="242">
                  <c:v>Thargaya Lisu Baptist Church</c:v>
                </c:pt>
                <c:pt idx="243">
                  <c:v>Thea Chaung Ku Lar</c:v>
                </c:pt>
                <c:pt idx="244">
                  <c:v>Thea Chaung Let Tha Mar Kone</c:v>
                </c:pt>
                <c:pt idx="245">
                  <c:v>Thein Tan</c:v>
                </c:pt>
                <c:pt idx="246">
                  <c:v>Thein Tan (Rakhine)</c:v>
                </c:pt>
                <c:pt idx="247">
                  <c:v>Thet Kae Pyin </c:v>
                </c:pt>
                <c:pt idx="248">
                  <c:v>Thet Kae Pyin Village (IDPs in host family)</c:v>
                </c:pt>
                <c:pt idx="249">
                  <c:v>Thet Kay Pyin Ywar Ma</c:v>
                </c:pt>
                <c:pt idx="250">
                  <c:v>Thone Gwa</c:v>
                </c:pt>
                <c:pt idx="251">
                  <c:v>Tote Tan Ward</c:v>
                </c:pt>
                <c:pt idx="252">
                  <c:v>Tsan Lun - Namjarap</c:v>
                </c:pt>
                <c:pt idx="253">
                  <c:v>Waingmaw AG Church</c:v>
                </c:pt>
                <c:pt idx="254">
                  <c:v>Ward 2 Sai Taung Baptist Church, Seik Mu </c:v>
                </c:pt>
                <c:pt idx="255">
                  <c:v>Woi Chyai </c:v>
                </c:pt>
                <c:pt idx="256">
                  <c:v>Woi Chyai (Mong Lai)</c:v>
                </c:pt>
                <c:pt idx="257">
                  <c:v>Woi Chyai host families</c:v>
                </c:pt>
                <c:pt idx="258">
                  <c:v>Yet Khone Taing</c:v>
                </c:pt>
                <c:pt idx="259">
                  <c:v>Yoe Kyi Monastery</c:v>
                </c:pt>
                <c:pt idx="260">
                  <c:v>Yumar Baptist Church</c:v>
                </c:pt>
                <c:pt idx="261">
                  <c:v>Yun Nyar</c:v>
                </c:pt>
                <c:pt idx="262">
                  <c:v>Ywar Thar Yar</c:v>
                </c:pt>
                <c:pt idx="263">
                  <c:v>Zaw Ma Tat</c:v>
                </c:pt>
                <c:pt idx="264">
                  <c:v>Zaw Pu Gyar</c:v>
                </c:pt>
                <c:pt idx="265">
                  <c:v>Zee Khaung</c:v>
                </c:pt>
                <c:pt idx="266">
                  <c:v>Zup Aung Camp</c:v>
                </c:pt>
                <c:pt idx="267">
                  <c:v>Myo Oo St. Dominic RC Church</c:v>
                </c:pt>
                <c:pt idx="268">
                  <c:v>Lan Gwa St.Paul RC Church</c:v>
                </c:pt>
                <c:pt idx="269">
                  <c:v>Emmanuel AG Church</c:v>
                </c:pt>
                <c:pt idx="270">
                  <c:v>Ti Yang Zup</c:v>
                </c:pt>
                <c:pt idx="271">
                  <c:v>Sadung</c:v>
                </c:pt>
                <c:pt idx="272">
                  <c:v>Lawa RC Church</c:v>
                </c:pt>
                <c:pt idx="273">
                  <c:v>Karmaing RC Church</c:v>
                </c:pt>
                <c:pt idx="274">
                  <c:v>Ka Bu Dam CoC</c:v>
                </c:pt>
                <c:pt idx="275">
                  <c:v>Pi Htu_Wa Lar Kan</c:v>
                </c:pt>
                <c:pt idx="276">
                  <c:v>Taung Htaung Hayar_Wa Lar Kan (Ku Lar)</c:v>
                </c:pt>
                <c:pt idx="277">
                  <c:v>Ta Man Thar (Thar Zay)_(Myo)</c:v>
                </c:pt>
                <c:pt idx="278">
                  <c:v>Kyet Yoe Pyin (Ywa Ma)</c:v>
                </c:pt>
                <c:pt idx="279">
                  <c:v>Thin Baw Hla (Rakhine) (Thar Yar Gone)</c:v>
                </c:pt>
                <c:pt idx="280">
                  <c:v>Yae Chan Pyin</c:v>
                </c:pt>
                <c:pt idx="281">
                  <c:v>Kyan Taw</c:v>
                </c:pt>
                <c:pt idx="282">
                  <c:v>Pang Hkawn Yang</c:v>
                </c:pt>
                <c:pt idx="283">
                  <c:v>Lone Khin Catholic Church</c:v>
                </c:pt>
                <c:pt idx="284">
                  <c:v>Zupra</c:v>
                </c:pt>
                <c:pt idx="285">
                  <c:v>Lawt Awng</c:v>
                </c:pt>
                <c:pt idx="286">
                  <c:v>Ban Dang</c:v>
                </c:pt>
                <c:pt idx="287">
                  <c:v>Sut Chyai</c:v>
                </c:pt>
                <c:pt idx="288">
                  <c:v>Da Wei</c:v>
                </c:pt>
                <c:pt idx="289">
                  <c:v>Htai Ra Yang</c:v>
                </c:pt>
                <c:pt idx="290">
                  <c:v>Namatee AG</c:v>
                </c:pt>
                <c:pt idx="291">
                  <c:v>Momauk IDP new Extension camp
(Alen Kawng Lawk)</c:v>
                </c:pt>
                <c:pt idx="292">
                  <c:v>Thar Zay Kone (Thar Zi Kone)</c:v>
                </c:pt>
                <c:pt idx="293">
                  <c:v>Kyauk Hlay Kar</c:v>
                </c:pt>
                <c:pt idx="294">
                  <c:v>Shwe Yin Aye (NaTaLa)</c:v>
                </c:pt>
                <c:pt idx="295">
                  <c:v>Chan Pyin</c:v>
                </c:pt>
                <c:pt idx="296">
                  <c:v>Sa Bai Pin Yin</c:v>
                </c:pt>
                <c:pt idx="297">
                  <c:v>Ma Hawng Baptist Church</c:v>
                </c:pt>
                <c:pt idx="298">
                  <c:v>Tanai KBC Camp</c:v>
                </c:pt>
                <c:pt idx="299">
                  <c:v>Nam Hpak Ka Ta'ang ( Aung Tha Pyay)</c:v>
                </c:pt>
                <c:pt idx="300">
                  <c:v>Mai Yu Lay New (Ta'ang)</c:v>
                </c:pt>
                <c:pt idx="301">
                  <c:v>Mine Yu Lay village ( Old)</c:v>
                </c:pt>
                <c:pt idx="302">
                  <c:v>Namti Labraw Yang KBC Camp</c:v>
                </c:pt>
                <c:pt idx="303">
                  <c:v>Trinity Camp</c:v>
                </c:pt>
                <c:pt idx="304">
                  <c:v>Jaw Masat Camp</c:v>
                </c:pt>
                <c:pt idx="305">
                  <c:v>Waimaw Baptist Zonal Office 2</c:v>
                </c:pt>
                <c:pt idx="306">
                  <c:v>Pa Dauk Myaing(Pa La Na)-II</c:v>
                </c:pt>
                <c:pt idx="307">
                  <c:v>Kar Di (Middle)</c:v>
                </c:pt>
                <c:pt idx="308">
                  <c:v>Pyar</c:v>
                </c:pt>
                <c:pt idx="309">
                  <c:v>Kar Di Ha Yar</c:v>
                </c:pt>
                <c:pt idx="310">
                  <c:v>Ngar Saung Bet</c:v>
                </c:pt>
                <c:pt idx="311">
                  <c:v>Sabei Hla</c:v>
                </c:pt>
                <c:pt idx="312">
                  <c:v>San Thar Pyin</c:v>
                </c:pt>
                <c:pt idx="313">
                  <c:v>Thin Ga Net</c:v>
                </c:pt>
                <c:pt idx="314">
                  <c:v>Pon Nar</c:v>
                </c:pt>
                <c:pt idx="315">
                  <c:v>St. Joseph Tanai RC camp </c:v>
                </c:pt>
                <c:pt idx="316">
                  <c:v>Aung Zay Ya</c:v>
                </c:pt>
                <c:pt idx="317">
                  <c:v>Pyin Hpyu Maw</c:v>
                </c:pt>
                <c:pt idx="318">
                  <c:v>Galeng (Palaung) &amp; Kone Khem</c:v>
                </c:pt>
                <c:pt idx="319">
                  <c:v>Hu Hku &amp; Ho Hko</c:v>
                </c:pt>
                <c:pt idx="320">
                  <c:v>Khaung Doke Khar 2 (Hmanzi)</c:v>
                </c:pt>
                <c:pt idx="321">
                  <c:v>Khaung Doke Khar 1</c:v>
                </c:pt>
                <c:pt idx="322">
                  <c:v>Phwe Yar Kone (Say Tha Mar Gyi)</c:v>
                </c:pt>
                <c:pt idx="323">
                  <c:v>Htan Shauk Khan</c:v>
                </c:pt>
                <c:pt idx="324">
                  <c:v>Ah Twin Hnget Thay</c:v>
                </c:pt>
                <c:pt idx="325">
                  <c:v>Pyar Pin Yin</c:v>
                </c:pt>
                <c:pt idx="326">
                  <c:v>Ward (1)</c:v>
                </c:pt>
                <c:pt idx="327">
                  <c:v>Sha Kay Ywa</c:v>
                </c:pt>
                <c:pt idx="328">
                  <c:v>Tha Yet Pyin (Rakhine)</c:v>
                </c:pt>
                <c:pt idx="329">
                  <c:v>Tha Bauk Chaung</c:v>
                </c:pt>
                <c:pt idx="330">
                  <c:v>Baw Li (Rakhine)</c:v>
                </c:pt>
                <c:pt idx="331">
                  <c:v>Baw Li (Muslim)</c:v>
                </c:pt>
                <c:pt idx="332">
                  <c:v>Gwa Sone (Muslim)</c:v>
                </c:pt>
                <c:pt idx="333">
                  <c:v>Gwa Sone (Rakhine)</c:v>
                </c:pt>
                <c:pt idx="334">
                  <c:v>Thay Kan (Muslim)</c:v>
                </c:pt>
                <c:pt idx="335">
                  <c:v>Thay Kan (Rakhine)</c:v>
                </c:pt>
                <c:pt idx="336">
                  <c:v>Na Nwin Ku</c:v>
                </c:pt>
                <c:pt idx="337">
                  <c:v>Kyauk Yant (Rakhine)</c:v>
                </c:pt>
                <c:pt idx="338">
                  <c:v>Than Chay (Rakhine)</c:v>
                </c:pt>
                <c:pt idx="339">
                  <c:v>Kyauk Yit (Rakhine)</c:v>
                </c:pt>
                <c:pt idx="340">
                  <c:v>Shwe Baho</c:v>
                </c:pt>
                <c:pt idx="341">
                  <c:v>Wai Thar Li</c:v>
                </c:pt>
                <c:pt idx="342">
                  <c:v>Ar Kya</c:v>
                </c:pt>
                <c:pt idx="343">
                  <c:v>Ka Yin</c:v>
                </c:pt>
                <c:pt idx="344">
                  <c:v>Gyin Chaung</c:v>
                </c:pt>
                <c:pt idx="345">
                  <c:v>Wa  Lan</c:v>
                </c:pt>
                <c:pt idx="346">
                  <c:v>Wa Lan Kone</c:v>
                </c:pt>
                <c:pt idx="347">
                  <c:v>Na Htoe Pyin</c:v>
                </c:pt>
                <c:pt idx="348">
                  <c:v>Yar Taik</c:v>
                </c:pt>
                <c:pt idx="349">
                  <c:v>Ku Lar Thein</c:v>
                </c:pt>
                <c:pt idx="350">
                  <c:v>Yae Hnyin Chaung</c:v>
                </c:pt>
                <c:pt idx="351">
                  <c:v>Ku Lar Te</c:v>
                </c:pt>
                <c:pt idx="352">
                  <c:v>Auk Thin Pone Than/ Phar Kywe</c:v>
                </c:pt>
                <c:pt idx="353">
                  <c:v>Tha Lu Chaung</c:v>
                </c:pt>
                <c:pt idx="354">
                  <c:v> Zay Ywar </c:v>
                </c:pt>
                <c:pt idx="355">
                  <c:v>Nga Pha Yone</c:v>
                </c:pt>
                <c:pt idx="356">
                  <c:v>Wah Net Yone </c:v>
                </c:pt>
                <c:pt idx="357">
                  <c:v>Kar Hpi Chaung</c:v>
                </c:pt>
                <c:pt idx="358">
                  <c:v>U Gar Hton</c:v>
                </c:pt>
                <c:pt idx="359">
                  <c:v>Ma La Kyun</c:v>
                </c:pt>
                <c:pt idx="360">
                  <c:v>Dway Cha</c:v>
                </c:pt>
                <c:pt idx="361">
                  <c:v>YinYeKan</c:v>
                </c:pt>
                <c:pt idx="362">
                  <c:v>OhnHnanChaung</c:v>
                </c:pt>
                <c:pt idx="363">
                  <c:v>ThonePetChaing</c:v>
                </c:pt>
                <c:pt idx="364">
                  <c:v>MiGyaungTet</c:v>
                </c:pt>
                <c:pt idx="365">
                  <c:v>KaLarChaung</c:v>
                </c:pt>
                <c:pt idx="366">
                  <c:v>PyunTo</c:v>
                </c:pt>
                <c:pt idx="367">
                  <c:v>Sar Pyin</c:v>
                </c:pt>
                <c:pt idx="368">
                  <c:v>Nga Khu Chaung</c:v>
                </c:pt>
                <c:pt idx="369">
                  <c:v>Tha Yet Cho</c:v>
                </c:pt>
                <c:pt idx="370">
                  <c:v>Tha Yet</c:v>
                </c:pt>
                <c:pt idx="371">
                  <c:v>NgweTwinDway</c:v>
                </c:pt>
                <c:pt idx="372">
                  <c:v>NgaWetSway</c:v>
                </c:pt>
                <c:pt idx="373">
                  <c:v>HlaKhaing</c:v>
                </c:pt>
                <c:pt idx="374">
                  <c:v>MinPauk</c:v>
                </c:pt>
                <c:pt idx="375">
                  <c:v>Pyein Chaung (ngwe Twin Dway tract)</c:v>
                </c:pt>
                <c:pt idx="376">
                  <c:v>Shit Thaung Monastery</c:v>
                </c:pt>
                <c:pt idx="377">
                  <c:v>Shaw Me (primary school)</c:v>
                </c:pt>
                <c:pt idx="378">
                  <c:v>Mya Ta Saung Monastery</c:v>
                </c:pt>
                <c:pt idx="379">
                  <c:v>Let Kauk Zay Monastery</c:v>
                </c:pt>
                <c:pt idx="380">
                  <c:v>Phayapaw Phayathein</c:v>
                </c:pt>
                <c:pt idx="381">
                  <c:v>Tin Nyo (Primary school)</c:v>
                </c:pt>
                <c:pt idx="382">
                  <c:v>Shwe Taung Monastery</c:v>
                </c:pt>
                <c:pt idx="383">
                  <c:v>Payar Por Thain Taw Gyi Monastery</c:v>
                </c:pt>
                <c:pt idx="384">
                  <c:v>Chaung Thit Monastery</c:v>
                </c:pt>
                <c:pt idx="385">
                  <c:v>Sin Kae (High School)</c:v>
                </c:pt>
                <c:pt idx="386">
                  <c:v>Sin Khing Baw (Primary School)</c:v>
                </c:pt>
                <c:pt idx="387">
                  <c:v>Chaung New Min Gan</c:v>
                </c:pt>
                <c:pt idx="388">
                  <c:v>Kan Pyin Ywa Haung</c:v>
                </c:pt>
                <c:pt idx="389">
                  <c:v>Kan Pyin Ywar Thit</c:v>
                </c:pt>
                <c:pt idx="390">
                  <c:v>Thone Saung</c:v>
                </c:pt>
                <c:pt idx="391">
                  <c:v>Kyauk Tan Gyi</c:v>
                </c:pt>
                <c:pt idx="392">
                  <c:v>Kyauk Tan Chay</c:v>
                </c:pt>
                <c:pt idx="393">
                  <c:v>Kyar Ma Thauk</c:v>
                </c:pt>
                <c:pt idx="394">
                  <c:v>Done Pyin (North)</c:v>
                </c:pt>
                <c:pt idx="395">
                  <c:v>Done Pyin (South)</c:v>
                </c:pt>
                <c:pt idx="396">
                  <c:v>Maung Ni Pyin</c:v>
                </c:pt>
                <c:pt idx="397">
                  <c:v>Pyar Lay Chaung Ywar Haung</c:v>
                </c:pt>
                <c:pt idx="398">
                  <c:v>Ohn Ye Paw</c:v>
                </c:pt>
                <c:pt idx="399">
                  <c:v>Pyin Shey Ku lar</c:v>
                </c:pt>
                <c:pt idx="400">
                  <c:v>Bu May Ohn Daw Chay</c:v>
                </c:pt>
                <c:pt idx="401">
                  <c:v>Dar Paing Ywar Haung</c:v>
                </c:pt>
                <c:pt idx="402">
                  <c:v>Dar Paing Ywar Thit</c:v>
                </c:pt>
                <c:pt idx="403">
                  <c:v>Sa Ma Nya Village</c:v>
                </c:pt>
                <c:pt idx="404">
                  <c:v>Koe Saung (1) village</c:v>
                </c:pt>
                <c:pt idx="405">
                  <c:v>Thet Kay Pyin</c:v>
                </c:pt>
                <c:pt idx="406">
                  <c:v>Shwe Zin Khin (Ku Lar)</c:v>
                </c:pt>
                <c:pt idx="407">
                  <c:v>Kyan Taik</c:v>
                </c:pt>
                <c:pt idx="408">
                  <c:v>Sat Yon Maw (Rakhine)</c:v>
                </c:pt>
                <c:pt idx="409">
                  <c:v>Ann Thar</c:v>
                </c:pt>
                <c:pt idx="410">
                  <c:v>Naw Naw(Rakhine)</c:v>
                </c:pt>
                <c:pt idx="411">
                  <c:v>Naw Naw(Ku Lar)</c:v>
                </c:pt>
                <c:pt idx="412">
                  <c:v>Ah Pyin Done Chaung</c:v>
                </c:pt>
                <c:pt idx="413">
                  <c:v>Thin Ga Zar</c:v>
                </c:pt>
                <c:pt idx="414">
                  <c:v>Than Shin Ywar Thit</c:v>
                </c:pt>
                <c:pt idx="415">
                  <c:v>Tan Seik</c:v>
                </c:pt>
                <c:pt idx="416">
                  <c:v>Sat Kyar</c:v>
                </c:pt>
                <c:pt idx="417">
                  <c:v>Let Taw Ri</c:v>
                </c:pt>
                <c:pt idx="418">
                  <c:v>Har Ra Paing</c:v>
                </c:pt>
                <c:pt idx="419">
                  <c:v>Kan Hpay</c:v>
                </c:pt>
                <c:pt idx="420">
                  <c:v>Thin Khaung Maw</c:v>
                </c:pt>
                <c:pt idx="421">
                  <c:v>Beik Taung</c:v>
                </c:pt>
                <c:pt idx="422">
                  <c:v>Sa Par Htar</c:v>
                </c:pt>
                <c:pt idx="423">
                  <c:v>Aung Taing</c:v>
                </c:pt>
                <c:pt idx="424">
                  <c:v>Taw Tan</c:v>
                </c:pt>
                <c:pt idx="425">
                  <c:v>Sin Seik</c:v>
                </c:pt>
                <c:pt idx="426">
                  <c:v>Ta Khun Taing</c:v>
                </c:pt>
                <c:pt idx="427">
                  <c:v>Done Thar</c:v>
                </c:pt>
                <c:pt idx="428">
                  <c:v>War Taung</c:v>
                </c:pt>
                <c:pt idx="429">
                  <c:v>Athay Kar La</c:v>
                </c:pt>
                <c:pt idx="430">
                  <c:v>Myin Kan Seik</c:v>
                </c:pt>
                <c:pt idx="431">
                  <c:v>Thar Dar</c:v>
                </c:pt>
                <c:pt idx="432">
                  <c:v>Seik Ta Ra</c:v>
                </c:pt>
                <c:pt idx="433">
                  <c:v>Gwa Sone Chin</c:v>
                </c:pt>
                <c:pt idx="434">
                  <c:v>Taung Poke Kay</c:v>
                </c:pt>
                <c:pt idx="435">
                  <c:v>Shwe Zin Yaw</c:v>
                </c:pt>
                <c:pt idx="436">
                  <c:v>Sasana 2500 monastery</c:v>
                </c:pt>
                <c:pt idx="437">
                  <c:v>Boe Taw monastery</c:v>
                </c:pt>
                <c:pt idx="438">
                  <c:v>Man Li</c:v>
                </c:pt>
                <c:pt idx="439">
                  <c:v>Baw Du Pha Village (IDP in host families)</c:v>
                </c:pt>
                <c:pt idx="440">
                  <c:v>Hka Garan Yang </c:v>
                </c:pt>
                <c:pt idx="441">
                  <c:v>Thein Tan (Ku Lar)</c:v>
                </c:pt>
                <c:pt idx="442">
                  <c:v>Ah Lel Chaung</c:v>
                </c:pt>
                <c:pt idx="443">
                  <c:v>Zay Di Taung</c:v>
                </c:pt>
                <c:pt idx="444">
                  <c:v>Hpon Nyo Leik</c:v>
                </c:pt>
                <c:pt idx="445">
                  <c:v>Kin Taung</c:v>
                </c:pt>
                <c:pt idx="446">
                  <c:v>Aung Tha Pyay</c:v>
                </c:pt>
                <c:pt idx="447">
                  <c:v>Yae Nauk Ngar Thar</c:v>
                </c:pt>
                <c:pt idx="448">
                  <c:v>Thin Pone Tan</c:v>
                </c:pt>
                <c:pt idx="449">
                  <c:v>Kha Tin Paik</c:v>
                </c:pt>
                <c:pt idx="450">
                  <c:v>Thar Yar Kone (Rakhine)</c:v>
                </c:pt>
                <c:pt idx="451">
                  <c:v>Kyar Nyo Pyin</c:v>
                </c:pt>
                <c:pt idx="452">
                  <c:v>Say Oe Kya ( Host+ Displaced)</c:v>
                </c:pt>
                <c:pt idx="453">
                  <c:v>Thay Kan Gwa Sone ( Host)</c:v>
                </c:pt>
                <c:pt idx="454">
                  <c:v>Zay Di Taung  ( Host + Displaced)</c:v>
                </c:pt>
                <c:pt idx="455">
                  <c:v>Pan Myaung (Aung Mingalar Monastery)</c:v>
                </c:pt>
                <c:pt idx="456">
                  <c:v>Gye Kyaung</c:v>
                </c:pt>
                <c:pt idx="457">
                  <c:v>Win Zar</c:v>
                </c:pt>
                <c:pt idx="458">
                  <c:v>Tin Nyo Thit Monastery</c:v>
                </c:pt>
                <c:pt idx="459">
                  <c:v>Thu Yiya Yaung Chi Monastery</c:v>
                </c:pt>
                <c:pt idx="460">
                  <c:v>Ywar Thit Kay Monastery</c:v>
                </c:pt>
                <c:pt idx="461">
                  <c:v>Tin Htein Kan Monastery</c:v>
                </c:pt>
                <c:pt idx="462">
                  <c:v>Thin Pan Kaing</c:v>
                </c:pt>
                <c:pt idx="463">
                  <c:v>Wet Hla Middle School</c:v>
                </c:pt>
                <c:pt idx="464">
                  <c:v>Taung Myint</c:v>
                </c:pt>
                <c:pt idx="465">
                  <c:v>Pi Pin Yin Monastery</c:v>
                </c:pt>
                <c:pt idx="466">
                  <c:v>Aung Tat Ward (Aung Mingalar Monastery)</c:v>
                </c:pt>
                <c:pt idx="467">
                  <c:v>Aung Tat Ward (Aung Zaydi Hpayar Thin)</c:v>
                </c:pt>
                <c:pt idx="468">
                  <c:v>Aung Tat Ward (Dein Kyi Monastery)</c:v>
                </c:pt>
                <c:pt idx="469">
                  <c:v>Aung Tat Ward (Myo Thit Monastery)</c:v>
                </c:pt>
                <c:pt idx="470">
                  <c:v>Aung Tat Ward (Naratsar Hpayar Thin)</c:v>
                </c:pt>
                <c:pt idx="471">
                  <c:v>Myet Yeik Kyun Monastery</c:v>
                </c:pt>
                <c:pt idx="472">
                  <c:v>Tein Nyo</c:v>
                </c:pt>
                <c:pt idx="473">
                  <c:v>Kyauk Reik Kay Monastery</c:v>
                </c:pt>
                <c:pt idx="474">
                  <c:v>Nyaung Bin Hla Village</c:v>
                </c:pt>
                <c:pt idx="475">
                  <c:v>Mya Yaike Kyun</c:v>
                </c:pt>
                <c:pt idx="476">
                  <c:v>Ywar Thit Monastery/Pan Myaung</c:v>
                </c:pt>
                <c:pt idx="477">
                  <c:v>Hpar Kywe Wa</c:v>
                </c:pt>
                <c:pt idx="478">
                  <c:v>Kun Taung</c:v>
                </c:pt>
                <c:pt idx="479">
                  <c:v>Taung Yin School Compound</c:v>
                </c:pt>
                <c:pt idx="480">
                  <c:v>Taung Yin</c:v>
                </c:pt>
                <c:pt idx="481">
                  <c:v>Ban Bwee</c:v>
                </c:pt>
                <c:pt idx="482">
                  <c:v>Nga/Pyauk Se</c:v>
                </c:pt>
                <c:pt idx="483">
                  <c:v>Let Wea Myan</c:v>
                </c:pt>
                <c:pt idx="484">
                  <c:v>Be Kho</c:v>
                </c:pt>
                <c:pt idx="485">
                  <c:v>Nga Sin Rine Kine Primary School</c:v>
                </c:pt>
                <c:pt idx="486">
                  <c:v>Hnget Pyaw Chaung</c:v>
                </c:pt>
                <c:pt idx="487">
                  <c:v>Doke Kan Chaung Monastery</c:v>
                </c:pt>
                <c:pt idx="488">
                  <c:v>Myo Thit Ward</c:v>
                </c:pt>
                <c:pt idx="489">
                  <c:v>Paik Thei Ward</c:v>
                </c:pt>
                <c:pt idx="490">
                  <c:v>Bo Min Monastery</c:v>
                </c:pt>
                <c:pt idx="491">
                  <c:v>Aung Zay Ya Monastery</c:v>
                </c:pt>
                <c:pt idx="492">
                  <c:v>Ba Ra War Monastery</c:v>
                </c:pt>
                <c:pt idx="493">
                  <c:v>Kyar Nin Kan Monastery</c:v>
                </c:pt>
                <c:pt idx="494">
                  <c:v>Zin Khar Chay Monastery</c:v>
                </c:pt>
                <c:pt idx="495">
                  <c:v>Min Hla Kaing</c:v>
                </c:pt>
                <c:pt idx="496">
                  <c:v>Yay Myet</c:v>
                </c:pt>
                <c:pt idx="497">
                  <c:v>Tha Mee Hla</c:v>
                </c:pt>
                <c:pt idx="498">
                  <c:v>Ray Zar Chaung</c:v>
                </c:pt>
                <c:pt idx="499">
                  <c:v>Sin Khone Taing</c:v>
                </c:pt>
                <c:pt idx="500">
                  <c:v>Gan Kya</c:v>
                </c:pt>
                <c:pt idx="501">
                  <c:v>Ba Wan Chaung Wa Su Ward / Monastery</c:v>
                </c:pt>
                <c:pt idx="502">
                  <c:v>Ah Htet Thin Pone Tan</c:v>
                </c:pt>
                <c:pt idx="503">
                  <c:v>Kan Sauk</c:v>
                </c:pt>
                <c:pt idx="504">
                  <c:v>Taung Min Ku Lar</c:v>
                </c:pt>
                <c:pt idx="505">
                  <c:v>Kyun Taw</c:v>
                </c:pt>
                <c:pt idx="506">
                  <c:v>Thit Pok Chaung</c:v>
                </c:pt>
                <c:pt idx="507">
                  <c:v>Kyu Taw Chaing</c:v>
                </c:pt>
                <c:pt idx="508">
                  <c:v>Auk Thar Kan</c:v>
                </c:pt>
                <c:pt idx="509">
                  <c:v>Htan Ma Rit (Kwet Thit)</c:v>
                </c:pt>
                <c:pt idx="510">
                  <c:v>Mra_Zay Di Taung</c:v>
                </c:pt>
                <c:pt idx="511">
                  <c:v>Ah Htet Myat Hle</c:v>
                </c:pt>
                <c:pt idx="512">
                  <c:v>Auk Myat Hle</c:v>
                </c:pt>
                <c:pt idx="513">
                  <c:v>Yoe Ta Yoke</c:v>
                </c:pt>
                <c:pt idx="514">
                  <c:v>Sin Thi Pein Hne Taw</c:v>
                </c:pt>
                <c:pt idx="515">
                  <c:v>War Taung Camp</c:v>
                </c:pt>
                <c:pt idx="516">
                  <c:v>Shwe Thee </c:v>
                </c:pt>
                <c:pt idx="517">
                  <c:v>BUT_Sa Par Htar</c:v>
                </c:pt>
                <c:pt idx="518">
                  <c:v>RAT_Zay Di Pyin</c:v>
                </c:pt>
                <c:pt idx="519">
                  <c:v>Hpet Leik</c:v>
                </c:pt>
                <c:pt idx="520">
                  <c:v>Aung Zay Kone</c:v>
                </c:pt>
                <c:pt idx="521">
                  <c:v>Ah Shey (North) Ward</c:v>
                </c:pt>
                <c:pt idx="522">
                  <c:v>Sin Baw Kaing (School)</c:v>
                </c:pt>
                <c:pt idx="523">
                  <c:v>Sin Baw Kaing (Monastery)</c:v>
                </c:pt>
                <c:pt idx="524">
                  <c:v>KAT_Nyaung Chaung</c:v>
                </c:pt>
                <c:pt idx="525">
                  <c:v>Hpa Yar Pyin Thein Tan</c:v>
                </c:pt>
                <c:pt idx="526">
                  <c:v>Bar Ri Zar</c:v>
                </c:pt>
                <c:pt idx="527">
                  <c:v>Ywa Thit</c:v>
                </c:pt>
                <c:pt idx="528">
                  <c:v>Ywa Haung</c:v>
                </c:pt>
                <c:pt idx="529">
                  <c:v>Zay Di Taung (Rakhine)</c:v>
                </c:pt>
                <c:pt idx="530">
                  <c:v>Teik Tu Pauk</c:v>
                </c:pt>
                <c:pt idx="531">
                  <c:v>Kan Thar Yar</c:v>
                </c:pt>
                <c:pt idx="532">
                  <c:v>Shwe Baho+Sein P M</c:v>
                </c:pt>
                <c:pt idx="533">
                  <c:v>Tat U Chaung (West)</c:v>
                </c:pt>
              </c:strCache>
            </c:strRef>
          </c:cat>
          <c:val>
            <c:numRef>
              <c:f>'By Camps'!$B$34</c:f>
              <c:numCache>
                <c:formatCode>General</c:formatCode>
                <c:ptCount val="534"/>
                <c:pt idx="0">
                  <c:v>350</c:v>
                </c:pt>
                <c:pt idx="1">
                  <c:v>356</c:v>
                </c:pt>
                <c:pt idx="2">
                  <c:v>815</c:v>
                </c:pt>
                <c:pt idx="3">
                  <c:v>371</c:v>
                </c:pt>
                <c:pt idx="4">
                  <c:v>83</c:v>
                </c:pt>
                <c:pt idx="5">
                  <c:v>665</c:v>
                </c:pt>
                <c:pt idx="6">
                  <c:v>415</c:v>
                </c:pt>
                <c:pt idx="7">
                  <c:v>2552</c:v>
                </c:pt>
                <c:pt idx="8">
                  <c:v>2050</c:v>
                </c:pt>
                <c:pt idx="9">
                  <c:v>4717</c:v>
                </c:pt>
                <c:pt idx="10">
                  <c:v>559</c:v>
                </c:pt>
                <c:pt idx="11">
                  <c:v>52</c:v>
                </c:pt>
                <c:pt idx="12">
                  <c:v>428</c:v>
                </c:pt>
                <c:pt idx="13">
                  <c:v>228</c:v>
                </c:pt>
                <c:pt idx="14">
                  <c:v>2111</c:v>
                </c:pt>
                <c:pt idx="15">
                  <c:v>4892</c:v>
                </c:pt>
                <c:pt idx="16">
                  <c:v>6936</c:v>
                </c:pt>
                <c:pt idx="17">
                  <c:v>1435</c:v>
                </c:pt>
                <c:pt idx="18">
                  <c:v>928</c:v>
                </c:pt>
                <c:pt idx="19">
                  <c:v>458</c:v>
                </c:pt>
                <c:pt idx="20">
                  <c:v>1661</c:v>
                </c:pt>
                <c:pt idx="21">
                  <c:v>421</c:v>
                </c:pt>
                <c:pt idx="22">
                  <c:v>31</c:v>
                </c:pt>
                <c:pt idx="23">
                  <c:v>830</c:v>
                </c:pt>
                <c:pt idx="24">
                  <c:v>11625</c:v>
                </c:pt>
                <c:pt idx="25">
                  <c:v>3360</c:v>
                </c:pt>
                <c:pt idx="26">
                  <c:v>377</c:v>
                </c:pt>
                <c:pt idx="27">
                  <c:v>1669</c:v>
                </c:pt>
                <c:pt idx="28">
                  <c:v>172</c:v>
                </c:pt>
                <c:pt idx="29">
                  <c:v>197</c:v>
                </c:pt>
                <c:pt idx="30">
                  <c:v>458</c:v>
                </c:pt>
                <c:pt idx="31">
                  <c:v>397</c:v>
                </c:pt>
                <c:pt idx="32">
                  <c:v>802</c:v>
                </c:pt>
                <c:pt idx="33">
                  <c:v>533</c:v>
                </c:pt>
                <c:pt idx="34">
                  <c:v>397</c:v>
                </c:pt>
                <c:pt idx="35">
                  <c:v>410</c:v>
                </c:pt>
                <c:pt idx="36">
                  <c:v>448</c:v>
                </c:pt>
                <c:pt idx="37">
                  <c:v>875</c:v>
                </c:pt>
                <c:pt idx="38">
                  <c:v>2256</c:v>
                </c:pt>
                <c:pt idx="39">
                  <c:v>343</c:v>
                </c:pt>
                <c:pt idx="40">
                  <c:v>132</c:v>
                </c:pt>
                <c:pt idx="41">
                  <c:v>14</c:v>
                </c:pt>
                <c:pt idx="42">
                  <c:v>121</c:v>
                </c:pt>
                <c:pt idx="43">
                  <c:v>494</c:v>
                </c:pt>
                <c:pt idx="44">
                  <c:v>779</c:v>
                </c:pt>
                <c:pt idx="45">
                  <c:v>519</c:v>
                </c:pt>
                <c:pt idx="46">
                  <c:v>837</c:v>
                </c:pt>
                <c:pt idx="47">
                  <c:v>3652</c:v>
                </c:pt>
                <c:pt idx="48">
                  <c:v>235</c:v>
                </c:pt>
                <c:pt idx="49">
                  <c:v>862</c:v>
                </c:pt>
                <c:pt idx="50">
                  <c:v>1786</c:v>
                </c:pt>
                <c:pt idx="51">
                  <c:v>91</c:v>
                </c:pt>
                <c:pt idx="52">
                  <c:v>56</c:v>
                </c:pt>
                <c:pt idx="53">
                  <c:v>1050</c:v>
                </c:pt>
                <c:pt idx="54">
                  <c:v>430</c:v>
                </c:pt>
                <c:pt idx="55">
                  <c:v>8486</c:v>
                </c:pt>
                <c:pt idx="56">
                  <c:v>658</c:v>
                </c:pt>
                <c:pt idx="57">
                  <c:v>2392</c:v>
                </c:pt>
                <c:pt idx="58">
                  <c:v>106</c:v>
                </c:pt>
                <c:pt idx="59">
                  <c:v>217</c:v>
                </c:pt>
                <c:pt idx="60">
                  <c:v>94</c:v>
                </c:pt>
                <c:pt idx="61">
                  <c:v>557</c:v>
                </c:pt>
                <c:pt idx="62">
                  <c:v>18</c:v>
                </c:pt>
                <c:pt idx="63">
                  <c:v>100</c:v>
                </c:pt>
                <c:pt idx="64">
                  <c:v>442</c:v>
                </c:pt>
                <c:pt idx="65">
                  <c:v>292</c:v>
                </c:pt>
                <c:pt idx="66">
                  <c:v>156</c:v>
                </c:pt>
                <c:pt idx="67">
                  <c:v>138</c:v>
                </c:pt>
                <c:pt idx="68">
                  <c:v>207</c:v>
                </c:pt>
                <c:pt idx="69">
                  <c:v>523</c:v>
                </c:pt>
                <c:pt idx="70">
                  <c:v>184</c:v>
                </c:pt>
                <c:pt idx="71">
                  <c:v>989</c:v>
                </c:pt>
                <c:pt idx="72">
                  <c:v>6042</c:v>
                </c:pt>
                <c:pt idx="73">
                  <c:v>811</c:v>
                </c:pt>
                <c:pt idx="74">
                  <c:v>290</c:v>
                </c:pt>
                <c:pt idx="75">
                  <c:v>194</c:v>
                </c:pt>
                <c:pt idx="76">
                  <c:v>66</c:v>
                </c:pt>
                <c:pt idx="77">
                  <c:v>2199</c:v>
                </c:pt>
                <c:pt idx="78">
                  <c:v>2581</c:v>
                </c:pt>
                <c:pt idx="79">
                  <c:v>1691</c:v>
                </c:pt>
                <c:pt idx="80">
                  <c:v>672</c:v>
                </c:pt>
                <c:pt idx="81">
                  <c:v>547</c:v>
                </c:pt>
                <c:pt idx="82">
                  <c:v>676</c:v>
                </c:pt>
                <c:pt idx="83">
                  <c:v>157</c:v>
                </c:pt>
                <c:pt idx="84">
                  <c:v>856</c:v>
                </c:pt>
                <c:pt idx="85">
                  <c:v>257</c:v>
                </c:pt>
                <c:pt idx="86">
                  <c:v>103</c:v>
                </c:pt>
                <c:pt idx="87">
                  <c:v>60</c:v>
                </c:pt>
                <c:pt idx="88">
                  <c:v>800</c:v>
                </c:pt>
                <c:pt idx="89">
                  <c:v>182</c:v>
                </c:pt>
                <c:pt idx="90">
                  <c:v>240</c:v>
                </c:pt>
                <c:pt idx="91">
                  <c:v>405</c:v>
                </c:pt>
                <c:pt idx="92">
                  <c:v>1138</c:v>
                </c:pt>
                <c:pt idx="93">
                  <c:v>289</c:v>
                </c:pt>
                <c:pt idx="94">
                  <c:v>2350</c:v>
                </c:pt>
                <c:pt idx="95">
                  <c:v>159</c:v>
                </c:pt>
                <c:pt idx="96">
                  <c:v>1801</c:v>
                </c:pt>
                <c:pt idx="97">
                  <c:v>2065</c:v>
                </c:pt>
                <c:pt idx="98">
                  <c:v>1481</c:v>
                </c:pt>
                <c:pt idx="99">
                  <c:v>2500</c:v>
                </c:pt>
                <c:pt idx="100">
                  <c:v>191</c:v>
                </c:pt>
                <c:pt idx="101">
                  <c:v>1855</c:v>
                </c:pt>
                <c:pt idx="102">
                  <c:v>694</c:v>
                </c:pt>
                <c:pt idx="103">
                  <c:v>290</c:v>
                </c:pt>
                <c:pt idx="104">
                  <c:v>1258</c:v>
                </c:pt>
                <c:pt idx="105">
                  <c:v>650</c:v>
                </c:pt>
                <c:pt idx="106">
                  <c:v>547</c:v>
                </c:pt>
                <c:pt idx="107">
                  <c:v>120</c:v>
                </c:pt>
                <c:pt idx="108">
                  <c:v>86</c:v>
                </c:pt>
                <c:pt idx="109">
                  <c:v>647</c:v>
                </c:pt>
                <c:pt idx="110">
                  <c:v>524</c:v>
                </c:pt>
                <c:pt idx="111">
                  <c:v>2338</c:v>
                </c:pt>
                <c:pt idx="112">
                  <c:v>637</c:v>
                </c:pt>
                <c:pt idx="113">
                  <c:v>834</c:v>
                </c:pt>
                <c:pt idx="114">
                  <c:v>13</c:v>
                </c:pt>
                <c:pt idx="115">
                  <c:v>147</c:v>
                </c:pt>
                <c:pt idx="116">
                  <c:v>170</c:v>
                </c:pt>
                <c:pt idx="117">
                  <c:v>807</c:v>
                </c:pt>
                <c:pt idx="118">
                  <c:v>290</c:v>
                </c:pt>
                <c:pt idx="119">
                  <c:v>92</c:v>
                </c:pt>
                <c:pt idx="120">
                  <c:v>123</c:v>
                </c:pt>
                <c:pt idx="121">
                  <c:v>3486</c:v>
                </c:pt>
                <c:pt idx="122">
                  <c:v>15</c:v>
                </c:pt>
                <c:pt idx="123">
                  <c:v>486</c:v>
                </c:pt>
                <c:pt idx="124">
                  <c:v>63</c:v>
                </c:pt>
                <c:pt idx="125">
                  <c:v>453</c:v>
                </c:pt>
                <c:pt idx="126">
                  <c:v>1067</c:v>
                </c:pt>
                <c:pt idx="127">
                  <c:v>276</c:v>
                </c:pt>
                <c:pt idx="128">
                  <c:v>180</c:v>
                </c:pt>
                <c:pt idx="129">
                  <c:v>265</c:v>
                </c:pt>
                <c:pt idx="130">
                  <c:v>138</c:v>
                </c:pt>
                <c:pt idx="131">
                  <c:v>207</c:v>
                </c:pt>
                <c:pt idx="132">
                  <c:v>114</c:v>
                </c:pt>
                <c:pt idx="133">
                  <c:v>49</c:v>
                </c:pt>
                <c:pt idx="134">
                  <c:v>18</c:v>
                </c:pt>
                <c:pt idx="135">
                  <c:v>153</c:v>
                </c:pt>
                <c:pt idx="136">
                  <c:v>570</c:v>
                </c:pt>
                <c:pt idx="137">
                  <c:v>350</c:v>
                </c:pt>
                <c:pt idx="138">
                  <c:v>176</c:v>
                </c:pt>
                <c:pt idx="139">
                  <c:v>209</c:v>
                </c:pt>
                <c:pt idx="140">
                  <c:v>266</c:v>
                </c:pt>
                <c:pt idx="141">
                  <c:v>42</c:v>
                </c:pt>
                <c:pt idx="142">
                  <c:v>166</c:v>
                </c:pt>
                <c:pt idx="143">
                  <c:v>263</c:v>
                </c:pt>
                <c:pt idx="144">
                  <c:v>568</c:v>
                </c:pt>
                <c:pt idx="145">
                  <c:v>309</c:v>
                </c:pt>
                <c:pt idx="146">
                  <c:v>69</c:v>
                </c:pt>
                <c:pt idx="147">
                  <c:v>76</c:v>
                </c:pt>
                <c:pt idx="148">
                  <c:v>218</c:v>
                </c:pt>
                <c:pt idx="149">
                  <c:v>41</c:v>
                </c:pt>
                <c:pt idx="150">
                  <c:v>82</c:v>
                </c:pt>
                <c:pt idx="151">
                  <c:v>113</c:v>
                </c:pt>
                <c:pt idx="152">
                  <c:v>1503</c:v>
                </c:pt>
                <c:pt idx="153">
                  <c:v>547</c:v>
                </c:pt>
                <c:pt idx="154">
                  <c:v>632</c:v>
                </c:pt>
                <c:pt idx="155">
                  <c:v>915</c:v>
                </c:pt>
                <c:pt idx="156">
                  <c:v>631</c:v>
                </c:pt>
                <c:pt idx="157">
                  <c:v>4645</c:v>
                </c:pt>
                <c:pt idx="158">
                  <c:v>4104</c:v>
                </c:pt>
                <c:pt idx="159">
                  <c:v>361</c:v>
                </c:pt>
                <c:pt idx="160">
                  <c:v>1722</c:v>
                </c:pt>
                <c:pt idx="161">
                  <c:v>581</c:v>
                </c:pt>
                <c:pt idx="162">
                  <c:v>281</c:v>
                </c:pt>
                <c:pt idx="163">
                  <c:v>854</c:v>
                </c:pt>
                <c:pt idx="164">
                  <c:v>1089</c:v>
                </c:pt>
                <c:pt idx="165">
                  <c:v>300</c:v>
                </c:pt>
                <c:pt idx="166">
                  <c:v>1751</c:v>
                </c:pt>
                <c:pt idx="167">
                  <c:v>3095</c:v>
                </c:pt>
                <c:pt idx="168">
                  <c:v>1065</c:v>
                </c:pt>
                <c:pt idx="169">
                  <c:v>13302</c:v>
                </c:pt>
                <c:pt idx="170">
                  <c:v>11375</c:v>
                </c:pt>
                <c:pt idx="171">
                  <c:v>534</c:v>
                </c:pt>
                <c:pt idx="172">
                  <c:v>394</c:v>
                </c:pt>
                <c:pt idx="173">
                  <c:v>882</c:v>
                </c:pt>
                <c:pt idx="174">
                  <c:v>3316</c:v>
                </c:pt>
                <c:pt idx="175">
                  <c:v>846</c:v>
                </c:pt>
                <c:pt idx="176">
                  <c:v>203</c:v>
                </c:pt>
                <c:pt idx="177">
                  <c:v>249</c:v>
                </c:pt>
                <c:pt idx="178">
                  <c:v>191</c:v>
                </c:pt>
                <c:pt idx="179">
                  <c:v>27</c:v>
                </c:pt>
                <c:pt idx="180">
                  <c:v>264</c:v>
                </c:pt>
                <c:pt idx="181">
                  <c:v>1397</c:v>
                </c:pt>
                <c:pt idx="182">
                  <c:v>188</c:v>
                </c:pt>
                <c:pt idx="183">
                  <c:v>778</c:v>
                </c:pt>
                <c:pt idx="184">
                  <c:v>792</c:v>
                </c:pt>
                <c:pt idx="185">
                  <c:v>612</c:v>
                </c:pt>
                <c:pt idx="186">
                  <c:v>825</c:v>
                </c:pt>
                <c:pt idx="187">
                  <c:v>609</c:v>
                </c:pt>
                <c:pt idx="188">
                  <c:v>493</c:v>
                </c:pt>
                <c:pt idx="189">
                  <c:v>307</c:v>
                </c:pt>
                <c:pt idx="190">
                  <c:v>189</c:v>
                </c:pt>
                <c:pt idx="191">
                  <c:v>38</c:v>
                </c:pt>
                <c:pt idx="192">
                  <c:v>4010</c:v>
                </c:pt>
                <c:pt idx="193">
                  <c:v>1409</c:v>
                </c:pt>
                <c:pt idx="194">
                  <c:v>325</c:v>
                </c:pt>
                <c:pt idx="195">
                  <c:v>233</c:v>
                </c:pt>
                <c:pt idx="196">
                  <c:v>513</c:v>
                </c:pt>
                <c:pt idx="197">
                  <c:v>136</c:v>
                </c:pt>
                <c:pt idx="198">
                  <c:v>1362</c:v>
                </c:pt>
                <c:pt idx="199">
                  <c:v>2179</c:v>
                </c:pt>
                <c:pt idx="200">
                  <c:v>173</c:v>
                </c:pt>
                <c:pt idx="201">
                  <c:v>256</c:v>
                </c:pt>
                <c:pt idx="202">
                  <c:v>11564</c:v>
                </c:pt>
                <c:pt idx="203">
                  <c:v>1847</c:v>
                </c:pt>
                <c:pt idx="204">
                  <c:v>1390</c:v>
                </c:pt>
                <c:pt idx="205">
                  <c:v>253</c:v>
                </c:pt>
                <c:pt idx="206">
                  <c:v>442</c:v>
                </c:pt>
                <c:pt idx="207">
                  <c:v>625</c:v>
                </c:pt>
                <c:pt idx="208">
                  <c:v>1775</c:v>
                </c:pt>
                <c:pt idx="209">
                  <c:v>103</c:v>
                </c:pt>
                <c:pt idx="210">
                  <c:v>80</c:v>
                </c:pt>
                <c:pt idx="211">
                  <c:v>91</c:v>
                </c:pt>
                <c:pt idx="212">
                  <c:v>534</c:v>
                </c:pt>
                <c:pt idx="213">
                  <c:v>111</c:v>
                </c:pt>
                <c:pt idx="214">
                  <c:v>418</c:v>
                </c:pt>
                <c:pt idx="215">
                  <c:v>958</c:v>
                </c:pt>
                <c:pt idx="216">
                  <c:v>259</c:v>
                </c:pt>
                <c:pt idx="217">
                  <c:v>169</c:v>
                </c:pt>
                <c:pt idx="218">
                  <c:v>1006</c:v>
                </c:pt>
                <c:pt idx="219">
                  <c:v>499</c:v>
                </c:pt>
                <c:pt idx="220">
                  <c:v>170</c:v>
                </c:pt>
                <c:pt idx="221">
                  <c:v>1055</c:v>
                </c:pt>
                <c:pt idx="222">
                  <c:v>122</c:v>
                </c:pt>
                <c:pt idx="223">
                  <c:v>2810</c:v>
                </c:pt>
                <c:pt idx="224">
                  <c:v>3946</c:v>
                </c:pt>
                <c:pt idx="225">
                  <c:v>2034</c:v>
                </c:pt>
                <c:pt idx="226">
                  <c:v>52</c:v>
                </c:pt>
                <c:pt idx="227">
                  <c:v>32</c:v>
                </c:pt>
                <c:pt idx="228">
                  <c:v>152</c:v>
                </c:pt>
                <c:pt idx="229">
                  <c:v>351</c:v>
                </c:pt>
                <c:pt idx="230">
                  <c:v>253</c:v>
                </c:pt>
                <c:pt idx="231">
                  <c:v>77</c:v>
                </c:pt>
                <c:pt idx="232">
                  <c:v>165</c:v>
                </c:pt>
                <c:pt idx="233">
                  <c:v>219</c:v>
                </c:pt>
                <c:pt idx="234">
                  <c:v>3020</c:v>
                </c:pt>
                <c:pt idx="235">
                  <c:v>3224</c:v>
                </c:pt>
                <c:pt idx="236">
                  <c:v>2920</c:v>
                </c:pt>
                <c:pt idx="237">
                  <c:v>1423</c:v>
                </c:pt>
                <c:pt idx="238">
                  <c:v>375</c:v>
                </c:pt>
                <c:pt idx="239">
                  <c:v>867</c:v>
                </c:pt>
                <c:pt idx="240">
                  <c:v>6016</c:v>
                </c:pt>
                <c:pt idx="241">
                  <c:v>745</c:v>
                </c:pt>
                <c:pt idx="242">
                  <c:v>186</c:v>
                </c:pt>
                <c:pt idx="243">
                  <c:v>5579</c:v>
                </c:pt>
                <c:pt idx="244">
                  <c:v>5985</c:v>
                </c:pt>
                <c:pt idx="245">
                  <c:v>658</c:v>
                </c:pt>
                <c:pt idx="246">
                  <c:v>300</c:v>
                </c:pt>
                <c:pt idx="247">
                  <c:v>5950</c:v>
                </c:pt>
                <c:pt idx="248">
                  <c:v>1670</c:v>
                </c:pt>
                <c:pt idx="249">
                  <c:v>74</c:v>
                </c:pt>
                <c:pt idx="250">
                  <c:v>306</c:v>
                </c:pt>
                <c:pt idx="251">
                  <c:v>75</c:v>
                </c:pt>
                <c:pt idx="252">
                  <c:v>175</c:v>
                </c:pt>
                <c:pt idx="253">
                  <c:v>263</c:v>
                </c:pt>
                <c:pt idx="254">
                  <c:v>172</c:v>
                </c:pt>
                <c:pt idx="255">
                  <c:v>6992</c:v>
                </c:pt>
                <c:pt idx="256">
                  <c:v>709</c:v>
                </c:pt>
                <c:pt idx="257">
                  <c:v>2550</c:v>
                </c:pt>
                <c:pt idx="258">
                  <c:v>255</c:v>
                </c:pt>
                <c:pt idx="259">
                  <c:v>59</c:v>
                </c:pt>
                <c:pt idx="260">
                  <c:v>67</c:v>
                </c:pt>
                <c:pt idx="261">
                  <c:v>1090</c:v>
                </c:pt>
                <c:pt idx="262">
                  <c:v>1473</c:v>
                </c:pt>
                <c:pt idx="263">
                  <c:v>523</c:v>
                </c:pt>
                <c:pt idx="264">
                  <c:v>320</c:v>
                </c:pt>
                <c:pt idx="265">
                  <c:v>347</c:v>
                </c:pt>
                <c:pt idx="266">
                  <c:v>1077</c:v>
                </c:pt>
                <c:pt idx="267">
                  <c:v>235</c:v>
                </c:pt>
                <c:pt idx="268">
                  <c:v>396</c:v>
                </c:pt>
                <c:pt idx="269">
                  <c:v>32</c:v>
                </c:pt>
                <c:pt idx="270">
                  <c:v>87</c:v>
                </c:pt>
                <c:pt idx="271">
                  <c:v>449</c:v>
                </c:pt>
                <c:pt idx="272">
                  <c:v>218</c:v>
                </c:pt>
                <c:pt idx="273">
                  <c:v>63</c:v>
                </c:pt>
                <c:pt idx="274">
                  <c:v>39</c:v>
                </c:pt>
                <c:pt idx="275">
                  <c:v>206</c:v>
                </c:pt>
                <c:pt idx="276">
                  <c:v>1002</c:v>
                </c:pt>
                <c:pt idx="277">
                  <c:v>412</c:v>
                </c:pt>
                <c:pt idx="278">
                  <c:v>694</c:v>
                </c:pt>
                <c:pt idx="279">
                  <c:v>742</c:v>
                </c:pt>
                <c:pt idx="280">
                  <c:v>1529</c:v>
                </c:pt>
                <c:pt idx="281">
                  <c:v>656</c:v>
                </c:pt>
                <c:pt idx="282">
                  <c:v>1015</c:v>
                </c:pt>
                <c:pt idx="283">
                  <c:v>329</c:v>
                </c:pt>
                <c:pt idx="284">
                  <c:v>324</c:v>
                </c:pt>
                <c:pt idx="285">
                  <c:v>252</c:v>
                </c:pt>
                <c:pt idx="286">
                  <c:v>103</c:v>
                </c:pt>
                <c:pt idx="287">
                  <c:v>270</c:v>
                </c:pt>
                <c:pt idx="288">
                  <c:v>381</c:v>
                </c:pt>
                <c:pt idx="289">
                  <c:v>121</c:v>
                </c:pt>
                <c:pt idx="290">
                  <c:v>36</c:v>
                </c:pt>
                <c:pt idx="291">
                  <c:v>161</c:v>
                </c:pt>
                <c:pt idx="292">
                  <c:v>626</c:v>
                </c:pt>
                <c:pt idx="293">
                  <c:v>989</c:v>
                </c:pt>
                <c:pt idx="294">
                  <c:v>401</c:v>
                </c:pt>
                <c:pt idx="295">
                  <c:v>266</c:v>
                </c:pt>
                <c:pt idx="296">
                  <c:v>93</c:v>
                </c:pt>
                <c:pt idx="297">
                  <c:v>78</c:v>
                </c:pt>
                <c:pt idx="298">
                  <c:v>450</c:v>
                </c:pt>
                <c:pt idx="299">
                  <c:v>121</c:v>
                </c:pt>
                <c:pt idx="300">
                  <c:v>426</c:v>
                </c:pt>
                <c:pt idx="301">
                  <c:v>344</c:v>
                </c:pt>
                <c:pt idx="302">
                  <c:v>474</c:v>
                </c:pt>
                <c:pt idx="303">
                  <c:v>724</c:v>
                </c:pt>
                <c:pt idx="304">
                  <c:v>489</c:v>
                </c:pt>
                <c:pt idx="305">
                  <c:v>356</c:v>
                </c:pt>
                <c:pt idx="306">
                  <c:v>1374</c:v>
                </c:pt>
                <c:pt idx="307">
                  <c:v>531</c:v>
                </c:pt>
                <c:pt idx="308">
                  <c:v>667</c:v>
                </c:pt>
                <c:pt idx="309">
                  <c:v>770</c:v>
                </c:pt>
                <c:pt idx="310">
                  <c:v>665</c:v>
                </c:pt>
                <c:pt idx="311">
                  <c:v>292</c:v>
                </c:pt>
                <c:pt idx="312">
                  <c:v>304</c:v>
                </c:pt>
                <c:pt idx="313">
                  <c:v>2578</c:v>
                </c:pt>
                <c:pt idx="314">
                  <c:v>1372</c:v>
                </c:pt>
                <c:pt idx="315">
                  <c:v>129</c:v>
                </c:pt>
                <c:pt idx="316">
                  <c:v>314</c:v>
                </c:pt>
                <c:pt idx="317">
                  <c:v>323</c:v>
                </c:pt>
                <c:pt idx="318">
                  <c:v>496</c:v>
                </c:pt>
                <c:pt idx="319">
                  <c:v>154</c:v>
                </c:pt>
                <c:pt idx="320">
                  <c:v>2186</c:v>
                </c:pt>
                <c:pt idx="321">
                  <c:v>2248</c:v>
                </c:pt>
                <c:pt idx="322">
                  <c:v>2285</c:v>
                </c:pt>
                <c:pt idx="323">
                  <c:v>908</c:v>
                </c:pt>
                <c:pt idx="324">
                  <c:v>838</c:v>
                </c:pt>
                <c:pt idx="325">
                  <c:v>798</c:v>
                </c:pt>
                <c:pt idx="326">
                  <c:v>580</c:v>
                </c:pt>
                <c:pt idx="327">
                  <c:v>847</c:v>
                </c:pt>
                <c:pt idx="328">
                  <c:v>343</c:v>
                </c:pt>
                <c:pt idx="329">
                  <c:v>86</c:v>
                </c:pt>
                <c:pt idx="330">
                  <c:v>42</c:v>
                </c:pt>
                <c:pt idx="331">
                  <c:v>570</c:v>
                </c:pt>
                <c:pt idx="332">
                  <c:v>1155</c:v>
                </c:pt>
                <c:pt idx="333">
                  <c:v>664</c:v>
                </c:pt>
                <c:pt idx="334">
                  <c:v>1207</c:v>
                </c:pt>
                <c:pt idx="335">
                  <c:v>39</c:v>
                </c:pt>
                <c:pt idx="336">
                  <c:v>927</c:v>
                </c:pt>
                <c:pt idx="337">
                  <c:v>123</c:v>
                </c:pt>
                <c:pt idx="338">
                  <c:v>73</c:v>
                </c:pt>
                <c:pt idx="339">
                  <c:v>85</c:v>
                </c:pt>
                <c:pt idx="340">
                  <c:v>256</c:v>
                </c:pt>
                <c:pt idx="341">
                  <c:v>263</c:v>
                </c:pt>
                <c:pt idx="342">
                  <c:v>1698</c:v>
                </c:pt>
                <c:pt idx="343">
                  <c:v>702</c:v>
                </c:pt>
                <c:pt idx="344">
                  <c:v>663</c:v>
                </c:pt>
                <c:pt idx="345">
                  <c:v>239</c:v>
                </c:pt>
                <c:pt idx="346">
                  <c:v>506</c:v>
                </c:pt>
                <c:pt idx="347">
                  <c:v>81</c:v>
                </c:pt>
                <c:pt idx="348">
                  <c:v>582</c:v>
                </c:pt>
                <c:pt idx="349">
                  <c:v>248</c:v>
                </c:pt>
                <c:pt idx="350">
                  <c:v>315</c:v>
                </c:pt>
                <c:pt idx="351">
                  <c:v>393</c:v>
                </c:pt>
                <c:pt idx="352">
                  <c:v>609</c:v>
                </c:pt>
                <c:pt idx="353">
                  <c:v>82</c:v>
                </c:pt>
                <c:pt idx="354">
                  <c:v>118</c:v>
                </c:pt>
                <c:pt idx="355">
                  <c:v>280</c:v>
                </c:pt>
                <c:pt idx="356">
                  <c:v>314</c:v>
                </c:pt>
                <c:pt idx="357">
                  <c:v>1018</c:v>
                </c:pt>
                <c:pt idx="358">
                  <c:v>276</c:v>
                </c:pt>
                <c:pt idx="359">
                  <c:v>970</c:v>
                </c:pt>
                <c:pt idx="360">
                  <c:v>864</c:v>
                </c:pt>
                <c:pt idx="361">
                  <c:v>1246</c:v>
                </c:pt>
                <c:pt idx="362">
                  <c:v>959</c:v>
                </c:pt>
                <c:pt idx="363">
                  <c:v>957</c:v>
                </c:pt>
                <c:pt idx="364">
                  <c:v>776</c:v>
                </c:pt>
                <c:pt idx="365">
                  <c:v>1006</c:v>
                </c:pt>
                <c:pt idx="366">
                  <c:v>601</c:v>
                </c:pt>
                <c:pt idx="367">
                  <c:v>1292</c:v>
                </c:pt>
                <c:pt idx="368">
                  <c:v>1614</c:v>
                </c:pt>
                <c:pt idx="369">
                  <c:v>1018</c:v>
                </c:pt>
                <c:pt idx="370">
                  <c:v>354</c:v>
                </c:pt>
                <c:pt idx="371">
                  <c:v>2287</c:v>
                </c:pt>
                <c:pt idx="372">
                  <c:v>1711</c:v>
                </c:pt>
                <c:pt idx="373">
                  <c:v>427</c:v>
                </c:pt>
                <c:pt idx="374">
                  <c:v>265</c:v>
                </c:pt>
                <c:pt idx="375">
                  <c:v>92</c:v>
                </c:pt>
                <c:pt idx="376">
                  <c:v>318</c:v>
                </c:pt>
                <c:pt idx="377">
                  <c:v>164</c:v>
                </c:pt>
                <c:pt idx="378">
                  <c:v>373</c:v>
                </c:pt>
                <c:pt idx="379">
                  <c:v>384</c:v>
                </c:pt>
                <c:pt idx="380">
                  <c:v>101</c:v>
                </c:pt>
                <c:pt idx="381">
                  <c:v>140</c:v>
                </c:pt>
                <c:pt idx="382">
                  <c:v>157</c:v>
                </c:pt>
                <c:pt idx="383">
                  <c:v>217</c:v>
                </c:pt>
                <c:pt idx="384">
                  <c:v>230</c:v>
                </c:pt>
                <c:pt idx="385">
                  <c:v>285</c:v>
                </c:pt>
                <c:pt idx="386">
                  <c:v>1169</c:v>
                </c:pt>
                <c:pt idx="387">
                  <c:v>1083</c:v>
                </c:pt>
                <c:pt idx="388">
                  <c:v>373</c:v>
                </c:pt>
                <c:pt idx="389">
                  <c:v>481</c:v>
                </c:pt>
                <c:pt idx="390">
                  <c:v>454</c:v>
                </c:pt>
                <c:pt idx="391">
                  <c:v>978</c:v>
                </c:pt>
                <c:pt idx="392">
                  <c:v>741</c:v>
                </c:pt>
                <c:pt idx="393">
                  <c:v>1117</c:v>
                </c:pt>
                <c:pt idx="394">
                  <c:v>1416</c:v>
                </c:pt>
                <c:pt idx="395">
                  <c:v>853</c:v>
                </c:pt>
                <c:pt idx="396">
                  <c:v>1027</c:v>
                </c:pt>
                <c:pt idx="397">
                  <c:v>370</c:v>
                </c:pt>
                <c:pt idx="398">
                  <c:v>369</c:v>
                </c:pt>
                <c:pt idx="399">
                  <c:v>1369</c:v>
                </c:pt>
                <c:pt idx="400">
                  <c:v>4476</c:v>
                </c:pt>
                <c:pt idx="401">
                  <c:v>1867</c:v>
                </c:pt>
                <c:pt idx="402">
                  <c:v>3768</c:v>
                </c:pt>
                <c:pt idx="403">
                  <c:v>1750</c:v>
                </c:pt>
                <c:pt idx="404">
                  <c:v>715</c:v>
                </c:pt>
                <c:pt idx="405">
                  <c:v>12993</c:v>
                </c:pt>
                <c:pt idx="406">
                  <c:v>1923</c:v>
                </c:pt>
                <c:pt idx="407">
                  <c:v>801</c:v>
                </c:pt>
                <c:pt idx="408">
                  <c:v>156</c:v>
                </c:pt>
                <c:pt idx="409">
                  <c:v>329</c:v>
                </c:pt>
                <c:pt idx="410">
                  <c:v>119</c:v>
                </c:pt>
                <c:pt idx="411">
                  <c:v>1027</c:v>
                </c:pt>
                <c:pt idx="412">
                  <c:v>414</c:v>
                </c:pt>
                <c:pt idx="413">
                  <c:v>308</c:v>
                </c:pt>
                <c:pt idx="414">
                  <c:v>413</c:v>
                </c:pt>
                <c:pt idx="415">
                  <c:v>2111</c:v>
                </c:pt>
                <c:pt idx="416">
                  <c:v>1698</c:v>
                </c:pt>
                <c:pt idx="417">
                  <c:v>985</c:v>
                </c:pt>
                <c:pt idx="418">
                  <c:v>735</c:v>
                </c:pt>
                <c:pt idx="419">
                  <c:v>142</c:v>
                </c:pt>
                <c:pt idx="420">
                  <c:v>630</c:v>
                </c:pt>
                <c:pt idx="421">
                  <c:v>593</c:v>
                </c:pt>
                <c:pt idx="422">
                  <c:v>585</c:v>
                </c:pt>
                <c:pt idx="423">
                  <c:v>2009</c:v>
                </c:pt>
                <c:pt idx="424">
                  <c:v>190</c:v>
                </c:pt>
                <c:pt idx="425">
                  <c:v>532</c:v>
                </c:pt>
                <c:pt idx="426">
                  <c:v>542</c:v>
                </c:pt>
                <c:pt idx="427">
                  <c:v>1314</c:v>
                </c:pt>
                <c:pt idx="428">
                  <c:v>1125</c:v>
                </c:pt>
                <c:pt idx="429">
                  <c:v>940</c:v>
                </c:pt>
                <c:pt idx="430">
                  <c:v>743</c:v>
                </c:pt>
                <c:pt idx="431">
                  <c:v>1118</c:v>
                </c:pt>
                <c:pt idx="432">
                  <c:v>964</c:v>
                </c:pt>
                <c:pt idx="433">
                  <c:v>398</c:v>
                </c:pt>
                <c:pt idx="434">
                  <c:v>713</c:v>
                </c:pt>
                <c:pt idx="435">
                  <c:v>53</c:v>
                </c:pt>
                <c:pt idx="436">
                  <c:v>194</c:v>
                </c:pt>
                <c:pt idx="437">
                  <c:v>373</c:v>
                </c:pt>
                <c:pt idx="438">
                  <c:v>1360</c:v>
                </c:pt>
                <c:pt idx="439">
                  <c:v>93</c:v>
                </c:pt>
                <c:pt idx="440">
                  <c:v>140</c:v>
                </c:pt>
                <c:pt idx="441">
                  <c:v>1690</c:v>
                </c:pt>
                <c:pt idx="442">
                  <c:v>16050</c:v>
                </c:pt>
                <c:pt idx="443">
                  <c:v>5240</c:v>
                </c:pt>
                <c:pt idx="444">
                  <c:v>8172</c:v>
                </c:pt>
                <c:pt idx="445">
                  <c:v>2015</c:v>
                </c:pt>
                <c:pt idx="446">
                  <c:v>3368</c:v>
                </c:pt>
                <c:pt idx="447">
                  <c:v>756</c:v>
                </c:pt>
                <c:pt idx="448">
                  <c:v>1574</c:v>
                </c:pt>
                <c:pt idx="449">
                  <c:v>2168</c:v>
                </c:pt>
                <c:pt idx="450">
                  <c:v>163</c:v>
                </c:pt>
                <c:pt idx="451">
                  <c:v>127</c:v>
                </c:pt>
                <c:pt idx="452">
                  <c:v>1891</c:v>
                </c:pt>
                <c:pt idx="453">
                  <c:v>166</c:v>
                </c:pt>
                <c:pt idx="454">
                  <c:v>1995</c:v>
                </c:pt>
                <c:pt idx="455">
                  <c:v>487</c:v>
                </c:pt>
                <c:pt idx="456">
                  <c:v>1663</c:v>
                </c:pt>
                <c:pt idx="457">
                  <c:v>144</c:v>
                </c:pt>
                <c:pt idx="458">
                  <c:v>46</c:v>
                </c:pt>
                <c:pt idx="459">
                  <c:v>62</c:v>
                </c:pt>
                <c:pt idx="460">
                  <c:v>492</c:v>
                </c:pt>
                <c:pt idx="461">
                  <c:v>798</c:v>
                </c:pt>
                <c:pt idx="462">
                  <c:v>151</c:v>
                </c:pt>
                <c:pt idx="463">
                  <c:v>472</c:v>
                </c:pt>
                <c:pt idx="464">
                  <c:v>154</c:v>
                </c:pt>
                <c:pt idx="465">
                  <c:v>455</c:v>
                </c:pt>
                <c:pt idx="466">
                  <c:v>330</c:v>
                </c:pt>
                <c:pt idx="467">
                  <c:v>272</c:v>
                </c:pt>
                <c:pt idx="468">
                  <c:v>119</c:v>
                </c:pt>
                <c:pt idx="469">
                  <c:v>549</c:v>
                </c:pt>
                <c:pt idx="470">
                  <c:v>139</c:v>
                </c:pt>
                <c:pt idx="471">
                  <c:v>176</c:v>
                </c:pt>
                <c:pt idx="472">
                  <c:v>981</c:v>
                </c:pt>
                <c:pt idx="473">
                  <c:v>61</c:v>
                </c:pt>
                <c:pt idx="474">
                  <c:v>103</c:v>
                </c:pt>
                <c:pt idx="475">
                  <c:v>200</c:v>
                </c:pt>
                <c:pt idx="476">
                  <c:v>929</c:v>
                </c:pt>
                <c:pt idx="477">
                  <c:v>207</c:v>
                </c:pt>
                <c:pt idx="478">
                  <c:v>30</c:v>
                </c:pt>
                <c:pt idx="479">
                  <c:v>45</c:v>
                </c:pt>
                <c:pt idx="480">
                  <c:v>45</c:v>
                </c:pt>
                <c:pt idx="481">
                  <c:v>65</c:v>
                </c:pt>
                <c:pt idx="482">
                  <c:v>124</c:v>
                </c:pt>
                <c:pt idx="483">
                  <c:v>143</c:v>
                </c:pt>
                <c:pt idx="484">
                  <c:v>80</c:v>
                </c:pt>
                <c:pt idx="485">
                  <c:v>42</c:v>
                </c:pt>
                <c:pt idx="486">
                  <c:v>16</c:v>
                </c:pt>
                <c:pt idx="487">
                  <c:v>116</c:v>
                </c:pt>
                <c:pt idx="488">
                  <c:v>137</c:v>
                </c:pt>
                <c:pt idx="489">
                  <c:v>148</c:v>
                </c:pt>
                <c:pt idx="490">
                  <c:v>372</c:v>
                </c:pt>
                <c:pt idx="491">
                  <c:v>281</c:v>
                </c:pt>
                <c:pt idx="492">
                  <c:v>169</c:v>
                </c:pt>
                <c:pt idx="493">
                  <c:v>20</c:v>
                </c:pt>
                <c:pt idx="494">
                  <c:v>100</c:v>
                </c:pt>
                <c:pt idx="495">
                  <c:v>302</c:v>
                </c:pt>
                <c:pt idx="496">
                  <c:v>54</c:v>
                </c:pt>
                <c:pt idx="497">
                  <c:v>423</c:v>
                </c:pt>
                <c:pt idx="498">
                  <c:v>113</c:v>
                </c:pt>
                <c:pt idx="499">
                  <c:v>1260</c:v>
                </c:pt>
                <c:pt idx="500">
                  <c:v>25</c:v>
                </c:pt>
                <c:pt idx="501">
                  <c:v>45</c:v>
                </c:pt>
                <c:pt idx="502">
                  <c:v>332</c:v>
                </c:pt>
                <c:pt idx="503">
                  <c:v>586</c:v>
                </c:pt>
                <c:pt idx="504">
                  <c:v>637</c:v>
                </c:pt>
                <c:pt idx="505">
                  <c:v>1663</c:v>
                </c:pt>
                <c:pt idx="506">
                  <c:v>97</c:v>
                </c:pt>
                <c:pt idx="507">
                  <c:v>193</c:v>
                </c:pt>
                <c:pt idx="508">
                  <c:v>128</c:v>
                </c:pt>
                <c:pt idx="509">
                  <c:v>69</c:v>
                </c:pt>
                <c:pt idx="510">
                  <c:v>191</c:v>
                </c:pt>
                <c:pt idx="511">
                  <c:v>508</c:v>
                </c:pt>
                <c:pt idx="512">
                  <c:v>376</c:v>
                </c:pt>
                <c:pt idx="513">
                  <c:v>245</c:v>
                </c:pt>
                <c:pt idx="514">
                  <c:v>117</c:v>
                </c:pt>
                <c:pt idx="515">
                  <c:v>1228</c:v>
                </c:pt>
                <c:pt idx="516">
                  <c:v>61</c:v>
                </c:pt>
                <c:pt idx="517">
                  <c:v>100</c:v>
                </c:pt>
                <c:pt idx="518">
                  <c:v>16</c:v>
                </c:pt>
                <c:pt idx="519">
                  <c:v>56</c:v>
                </c:pt>
                <c:pt idx="520">
                  <c:v>624</c:v>
                </c:pt>
                <c:pt idx="521">
                  <c:v>193</c:v>
                </c:pt>
                <c:pt idx="522">
                  <c:v>2027</c:v>
                </c:pt>
                <c:pt idx="523">
                  <c:v>2290</c:v>
                </c:pt>
                <c:pt idx="524">
                  <c:v>32</c:v>
                </c:pt>
                <c:pt idx="525">
                  <c:v>4679</c:v>
                </c:pt>
                <c:pt idx="526">
                  <c:v>184</c:v>
                </c:pt>
                <c:pt idx="527">
                  <c:v>1713</c:v>
                </c:pt>
                <c:pt idx="528">
                  <c:v>96</c:v>
                </c:pt>
                <c:pt idx="529">
                  <c:v>1012</c:v>
                </c:pt>
                <c:pt idx="530">
                  <c:v>2652</c:v>
                </c:pt>
                <c:pt idx="531">
                  <c:v>241</c:v>
                </c:pt>
                <c:pt idx="532">
                  <c:v>249</c:v>
                </c:pt>
                <c:pt idx="533">
                  <c:v>332</c:v>
                </c:pt>
              </c:numCache>
            </c:numRef>
          </c:val>
          <c:extLst>
            <c:ext xmlns:c16="http://schemas.microsoft.com/office/drawing/2014/chart" uri="{C3380CC4-5D6E-409C-BE32-E72D297353CC}">
              <c16:uniqueId val="{00000000-92B1-419D-9658-6A092474F164}"/>
            </c:ext>
          </c:extLst>
        </c:ser>
        <c:ser>
          <c:idx val="1"/>
          <c:order val="1"/>
          <c:tx>
            <c:strRef>
              <c:f>'By Camps'!$B$34</c:f>
              <c:strCache>
                <c:ptCount val="1"/>
                <c:pt idx="0">
                  <c:v># of People adopt basic personal and community hygiene practices</c:v>
                </c:pt>
              </c:strCache>
            </c:strRef>
          </c:tx>
          <c:spPr>
            <a:solidFill>
              <a:schemeClr val="accent6">
                <a:lumMod val="50000"/>
              </a:schemeClr>
            </a:solidFill>
            <a:ln>
              <a:noFill/>
            </a:ln>
            <a:effectLst/>
          </c:spPr>
          <c:invertIfNegative val="0"/>
          <c:cat>
            <c:strRef>
              <c:f>'By Camps'!$B$34</c:f>
              <c:strCache>
                <c:ptCount val="534"/>
                <c:pt idx="0">
                  <c:v>5 Ward RC Church(lon Khin)</c:v>
                </c:pt>
                <c:pt idx="1">
                  <c:v>AD-2000 Extension camp</c:v>
                </c:pt>
                <c:pt idx="2">
                  <c:v>AD-2000 Tharthana Compound</c:v>
                </c:pt>
                <c:pt idx="3">
                  <c:v>AG Church, Hmaw Si Sa</c:v>
                </c:pt>
                <c:pt idx="4">
                  <c:v>AG Church, Maw Wan</c:v>
                </c:pt>
                <c:pt idx="5">
                  <c:v>Agritural Compound (KBC)</c:v>
                </c:pt>
                <c:pt idx="6">
                  <c:v>Ah Htet Gar Pu</c:v>
                </c:pt>
                <c:pt idx="7">
                  <c:v>Ah Nauk Pyin</c:v>
                </c:pt>
                <c:pt idx="8">
                  <c:v>Ah Nauk Ye Ku Lar</c:v>
                </c:pt>
                <c:pt idx="9">
                  <c:v>Ah Nauk Ywe</c:v>
                </c:pt>
                <c:pt idx="10">
                  <c:v>Ah Pauk Wa</c:v>
                </c:pt>
                <c:pt idx="11">
                  <c:v>Aung Thar Church</c:v>
                </c:pt>
                <c:pt idx="12">
                  <c:v>Aung Thar Yar</c:v>
                </c:pt>
                <c:pt idx="13">
                  <c:v>Baptist Church, Hmaw Si Sar(Lon Khin)</c:v>
                </c:pt>
                <c:pt idx="14">
                  <c:v>Basare</c:v>
                </c:pt>
                <c:pt idx="15">
                  <c:v>Baw Du Pha 1</c:v>
                </c:pt>
                <c:pt idx="16">
                  <c:v>Baw Du Pha 2</c:v>
                </c:pt>
                <c:pt idx="17">
                  <c:v>Baw Du Pha Village</c:v>
                </c:pt>
                <c:pt idx="18">
                  <c:v>Bhamo_Host Families</c:v>
                </c:pt>
                <c:pt idx="19">
                  <c:v>Border Post 8</c:v>
                </c:pt>
                <c:pt idx="20">
                  <c:v>Bum Tsit Pa</c:v>
                </c:pt>
                <c:pt idx="21">
                  <c:v>Chaik Taung</c:v>
                </c:pt>
                <c:pt idx="22">
                  <c:v>Chin Church, Seik Mu</c:v>
                </c:pt>
                <c:pt idx="23">
                  <c:v>Chipwi KBC camp</c:v>
                </c:pt>
                <c:pt idx="24">
                  <c:v>Dar Pai</c:v>
                </c:pt>
                <c:pt idx="25">
                  <c:v>Dar Pai (IDP in host families)</c:v>
                </c:pt>
                <c:pt idx="26">
                  <c:v>Dhama Rakhita, Nyein Chan Tar Yar Ward(Lon Khin)</c:v>
                </c:pt>
                <c:pt idx="27">
                  <c:v>Doke Kan Chaung</c:v>
                </c:pt>
                <c:pt idx="28">
                  <c:v>Done Thein</c:v>
                </c:pt>
                <c:pt idx="29">
                  <c:v>Du Kahtawng Baptist</c:v>
                </c:pt>
                <c:pt idx="30">
                  <c:v>Dum Bung </c:v>
                </c:pt>
                <c:pt idx="31">
                  <c:v>Gar Pu (Lower)</c:v>
                </c:pt>
                <c:pt idx="32">
                  <c:v>Goke Pi Htaunt</c:v>
                </c:pt>
                <c:pt idx="33">
                  <c:v>Gone Nar</c:v>
                </c:pt>
                <c:pt idx="34">
                  <c:v>Gwa Sone Rakhine</c:v>
                </c:pt>
                <c:pt idx="35">
                  <c:v>Hka Shi</c:v>
                </c:pt>
                <c:pt idx="36">
                  <c:v>Hkat Cho </c:v>
                </c:pt>
                <c:pt idx="37">
                  <c:v>Hkau Shau (BP 12)</c:v>
                </c:pt>
                <c:pt idx="38">
                  <c:v>Hla May Shwe</c:v>
                </c:pt>
                <c:pt idx="39">
                  <c:v>Hla Nyo Kan</c:v>
                </c:pt>
                <c:pt idx="40">
                  <c:v>Hlaing Naung Baptist</c:v>
                </c:pt>
                <c:pt idx="41">
                  <c:v>Hmaw Wan, Anglican</c:v>
                </c:pt>
                <c:pt idx="42">
                  <c:v>Hopin Host Families</c:v>
                </c:pt>
                <c:pt idx="43">
                  <c:v>Hpai Kawng</c:v>
                </c:pt>
                <c:pt idx="44">
                  <c:v>Hpai Kawng Mare</c:v>
                </c:pt>
                <c:pt idx="45">
                  <c:v>Hpakant Baptist Church, Nam Ma Hpit</c:v>
                </c:pt>
                <c:pt idx="46">
                  <c:v>Hpare Hkyer - BP6</c:v>
                </c:pt>
                <c:pt idx="47">
                  <c:v>Hpun Lum Yang </c:v>
                </c:pt>
                <c:pt idx="48">
                  <c:v>Htoi San Church</c:v>
                </c:pt>
                <c:pt idx="49">
                  <c:v>IDP Boarding School, A Len Bum</c:v>
                </c:pt>
                <c:pt idx="50">
                  <c:v>In Bar Yi</c:v>
                </c:pt>
                <c:pt idx="51">
                  <c:v>Inn Hpauk</c:v>
                </c:pt>
                <c:pt idx="52">
                  <c:v>Inn Lel Yan - Host Families</c:v>
                </c:pt>
                <c:pt idx="53">
                  <c:v>Jan Mai Kawng Baptist Church</c:v>
                </c:pt>
                <c:pt idx="54">
                  <c:v>Jan Mai Kawng Catholic Church</c:v>
                </c:pt>
                <c:pt idx="55">
                  <c:v>Je Yang Hka </c:v>
                </c:pt>
                <c:pt idx="56">
                  <c:v>Ka Doe Seik</c:v>
                </c:pt>
                <c:pt idx="57">
                  <c:v>Ka Nyin Taw</c:v>
                </c:pt>
                <c:pt idx="58">
                  <c:v>Kachin Su Baptist Church (ECCD)</c:v>
                </c:pt>
                <c:pt idx="59">
                  <c:v>Kan Thar Htwat Wa</c:v>
                </c:pt>
                <c:pt idx="60">
                  <c:v>Khar Nan (1) Baptist Church</c:v>
                </c:pt>
                <c:pt idx="61">
                  <c:v>Khaung Htoke</c:v>
                </c:pt>
                <c:pt idx="62">
                  <c:v>Khun Sint Village</c:v>
                </c:pt>
                <c:pt idx="63">
                  <c:v>Kin Chaung</c:v>
                </c:pt>
                <c:pt idx="64">
                  <c:v>Kone Khem Camp</c:v>
                </c:pt>
                <c:pt idx="65">
                  <c:v>Kutkai downtown (KBC Church)</c:v>
                </c:pt>
                <c:pt idx="66">
                  <c:v>Kutkai downtown (KBC Church-2)</c:v>
                </c:pt>
                <c:pt idx="67">
                  <c:v>Kutkai downtown (RC Church)</c:v>
                </c:pt>
                <c:pt idx="68">
                  <c:v>Kyar Nyo Inn</c:v>
                </c:pt>
                <c:pt idx="69">
                  <c:v>Kyar Nyo Pyin (Muslim)</c:v>
                </c:pt>
                <c:pt idx="70">
                  <c:v>Kyauk Se</c:v>
                </c:pt>
                <c:pt idx="71">
                  <c:v>Kyauk Ta Lone</c:v>
                </c:pt>
                <c:pt idx="72">
                  <c:v>Kyein Ni Pyin</c:v>
                </c:pt>
                <c:pt idx="73">
                  <c:v>Kyet Taw Pyin</c:v>
                </c:pt>
                <c:pt idx="74">
                  <c:v>Kyu Sot</c:v>
                </c:pt>
                <c:pt idx="75">
                  <c:v>Kyun Pin Thar Baptist Church</c:v>
                </c:pt>
                <c:pt idx="76">
                  <c:v>Kyun Taw Baptist Church </c:v>
                </c:pt>
                <c:pt idx="77">
                  <c:v>Laiza Je Yang School</c:v>
                </c:pt>
                <c:pt idx="78">
                  <c:v>Lana Zup Ja</c:v>
                </c:pt>
                <c:pt idx="79">
                  <c:v>Lawk Awng Mare D. (Sinbo Area)</c:v>
                </c:pt>
                <c:pt idx="80">
                  <c:v>Lawng Hkang Shait Yang Camp​ ( Lel Pyin)​ </c:v>
                </c:pt>
                <c:pt idx="81">
                  <c:v>Le Kone Bethlehem Church</c:v>
                </c:pt>
                <c:pt idx="82">
                  <c:v>Le Kone Ziun Baptist Church </c:v>
                </c:pt>
                <c:pt idx="83">
                  <c:v>Let Saung Kauk</c:v>
                </c:pt>
                <c:pt idx="84">
                  <c:v>Lhaovao Baptist Church (LBC)</c:v>
                </c:pt>
                <c:pt idx="85">
                  <c:v>Lisu Baptist Church</c:v>
                </c:pt>
                <c:pt idx="86">
                  <c:v>Lisu Baptist Church, Maw Shan Vil,. Seik Mu</c:v>
                </c:pt>
                <c:pt idx="87">
                  <c:v>Lisu Baptist Church, Maw Wan Ward</c:v>
                </c:pt>
                <c:pt idx="88">
                  <c:v>Lisu Boarding-House</c:v>
                </c:pt>
                <c:pt idx="89">
                  <c:v>Lisu Church Namtu</c:v>
                </c:pt>
                <c:pt idx="90">
                  <c:v>Loi Je Baptist Church</c:v>
                </c:pt>
                <c:pt idx="91">
                  <c:v>Loi Je Catholic Church</c:v>
                </c:pt>
                <c:pt idx="92">
                  <c:v>Loi Je Lisu Camp</c:v>
                </c:pt>
                <c:pt idx="93">
                  <c:v>Lung Sut</c:v>
                </c:pt>
                <c:pt idx="94">
                  <c:v>Lwegel High School</c:v>
                </c:pt>
                <c:pt idx="95">
                  <c:v>Mading Baptist Church</c:v>
                </c:pt>
                <c:pt idx="96">
                  <c:v>Maga Yang </c:v>
                </c:pt>
                <c:pt idx="97">
                  <c:v>Maina AG Church</c:v>
                </c:pt>
                <c:pt idx="98">
                  <c:v>Maina Catholic Church (St. Joseph)</c:v>
                </c:pt>
                <c:pt idx="99">
                  <c:v>Maina KBC (Bawng Ring)</c:v>
                </c:pt>
                <c:pt idx="100">
                  <c:v>Maina Lawang Baptist Church</c:v>
                </c:pt>
                <c:pt idx="101">
                  <c:v>Maing Khaung</c:v>
                </c:pt>
                <c:pt idx="102">
                  <c:v>Maing Khaung Catholic Church</c:v>
                </c:pt>
                <c:pt idx="103">
                  <c:v>Maliyang Baptist Church</c:v>
                </c:pt>
                <c:pt idx="104">
                  <c:v>Man Bung Catholic compound</c:v>
                </c:pt>
                <c:pt idx="105">
                  <c:v>Man Bung Edin Baptist Church</c:v>
                </c:pt>
                <c:pt idx="106">
                  <c:v>Man Hkring Baptist Church</c:v>
                </c:pt>
                <c:pt idx="107">
                  <c:v>Man Kaung/Naung Ti Kyar Village</c:v>
                </c:pt>
                <c:pt idx="108">
                  <c:v>Man Loi</c:v>
                </c:pt>
                <c:pt idx="109">
                  <c:v>Man Wing Baptist Church</c:v>
                </c:pt>
                <c:pt idx="110">
                  <c:v>Man Wing Baptist Church Cultural Compound</c:v>
                </c:pt>
                <c:pt idx="111">
                  <c:v>Man Wing Catholic Church</c:v>
                </c:pt>
                <c:pt idx="112">
                  <c:v>Man Wing Catholic Church II</c:v>
                </c:pt>
                <c:pt idx="113">
                  <c:v>Man Wing Host Families</c:v>
                </c:pt>
                <c:pt idx="114">
                  <c:v>Mandalay Monestry</c:v>
                </c:pt>
                <c:pt idx="115">
                  <c:v>Mandung - Jinghpaw</c:v>
                </c:pt>
                <c:pt idx="116">
                  <c:v>Mandung - RC</c:v>
                </c:pt>
                <c:pt idx="117">
                  <c:v>Mansi Baptist Church</c:v>
                </c:pt>
                <c:pt idx="118">
                  <c:v>Mansi_Host Families</c:v>
                </c:pt>
                <c:pt idx="119">
                  <c:v>Maw Hpawng Hka Nan Baptist Church</c:v>
                </c:pt>
                <c:pt idx="120">
                  <c:v>Maw Hpawng Lhaovo Baptist Church</c:v>
                </c:pt>
                <c:pt idx="121">
                  <c:v>Maw Ti Ngar</c:v>
                </c:pt>
                <c:pt idx="122">
                  <c:v>Maw Wan, Mu-yin Baptist Church</c:v>
                </c:pt>
                <c:pt idx="123">
                  <c:v>Min Thar Seik</c:v>
                </c:pt>
                <c:pt idx="124">
                  <c:v>Moenyin Host Families</c:v>
                </c:pt>
                <c:pt idx="125">
                  <c:v>Momauk Baptist Church</c:v>
                </c:pt>
                <c:pt idx="126">
                  <c:v>Momauk_Host Families</c:v>
                </c:pt>
                <c:pt idx="127">
                  <c:v>Mong Wee Shan</c:v>
                </c:pt>
                <c:pt idx="128">
                  <c:v>Mung Hawm </c:v>
                </c:pt>
                <c:pt idx="129">
                  <c:v>Mungji Pa Dabang (Baptist Church)</c:v>
                </c:pt>
                <c:pt idx="130">
                  <c:v>Mungji Pa Dabang (Catholic Church)</c:v>
                </c:pt>
                <c:pt idx="131">
                  <c:v>Muse Baptist Church</c:v>
                </c:pt>
                <c:pt idx="132">
                  <c:v>Muse Catholic Church</c:v>
                </c:pt>
                <c:pt idx="133">
                  <c:v>Mu-yin Baptist Church</c:v>
                </c:pt>
                <c:pt idx="134">
                  <c:v>Muyin church (Aung Yar pre-school compound)</c:v>
                </c:pt>
                <c:pt idx="135">
                  <c:v>Myo Thit </c:v>
                </c:pt>
                <c:pt idx="136">
                  <c:v>Nam Hkam - Nay Win Ni (Palawng)</c:v>
                </c:pt>
                <c:pt idx="137">
                  <c:v>Nam Hkam (KBC Jaw Wang)</c:v>
                </c:pt>
                <c:pt idx="138">
                  <c:v>Nam Hkam (KBC Jaw Wang) II</c:v>
                </c:pt>
                <c:pt idx="139">
                  <c:v>Nam Hkam Catholic Church ( St. Thomas I)</c:v>
                </c:pt>
                <c:pt idx="140">
                  <c:v>Nam Hpak Ka Mare </c:v>
                </c:pt>
                <c:pt idx="141">
                  <c:v>Nam Ma Phyit, COC</c:v>
                </c:pt>
                <c:pt idx="142">
                  <c:v>Nam Sa Larp</c:v>
                </c:pt>
                <c:pt idx="143">
                  <c:v>Nam Tu Baptist</c:v>
                </c:pt>
                <c:pt idx="144">
                  <c:v>Namhkan - Pang Long KBC</c:v>
                </c:pt>
                <c:pt idx="145">
                  <c:v>Nan Kway St. John Catholic Church</c:v>
                </c:pt>
                <c:pt idx="146">
                  <c:v>Nan Yah Gone Ahtet</c:v>
                </c:pt>
                <c:pt idx="147">
                  <c:v>Nant Hlaing Church</c:v>
                </c:pt>
                <c:pt idx="148">
                  <c:v>Nant Ma Hpit Catholic Church</c:v>
                </c:pt>
                <c:pt idx="149">
                  <c:v>Nat Gyi Kone Baptist Church </c:v>
                </c:pt>
                <c:pt idx="150">
                  <c:v>Nawng Hee Village</c:v>
                </c:pt>
                <c:pt idx="151">
                  <c:v>Nawng Ing (Indawgyi) Baptist Church </c:v>
                </c:pt>
                <c:pt idx="152">
                  <c:v>Nay Pu Khan</c:v>
                </c:pt>
                <c:pt idx="153">
                  <c:v>Ndup Yang</c:v>
                </c:pt>
                <c:pt idx="154">
                  <c:v>New Pang Ku </c:v>
                </c:pt>
                <c:pt idx="155">
                  <c:v>Nga Ta Paung</c:v>
                </c:pt>
                <c:pt idx="156">
                  <c:v>Ngar Yauk Kaing</c:v>
                </c:pt>
                <c:pt idx="157">
                  <c:v>Nget Chaung 1</c:v>
                </c:pt>
                <c:pt idx="158">
                  <c:v>Nget Chaung 2</c:v>
                </c:pt>
                <c:pt idx="159">
                  <c:v>Ngwe Taung</c:v>
                </c:pt>
                <c:pt idx="160">
                  <c:v>Nhkawng Pa </c:v>
                </c:pt>
                <c:pt idx="161">
                  <c:v>NiDin</c:v>
                </c:pt>
                <c:pt idx="162">
                  <c:v>Njang Dung Baptist Church </c:v>
                </c:pt>
                <c:pt idx="163">
                  <c:v>Nwar Yone Taung</c:v>
                </c:pt>
                <c:pt idx="164">
                  <c:v>Nyaung Chaung</c:v>
                </c:pt>
                <c:pt idx="165">
                  <c:v>Nyaung Na Pin </c:v>
                </c:pt>
                <c:pt idx="166">
                  <c:v>Nyaung Pin Gyi (Ku Lar)</c:v>
                </c:pt>
                <c:pt idx="167">
                  <c:v>Ohn Taw Chay</c:v>
                </c:pt>
                <c:pt idx="168">
                  <c:v>Ohn Taw Gyi</c:v>
                </c:pt>
                <c:pt idx="169">
                  <c:v>Ohn Taw Gyi (North)</c:v>
                </c:pt>
                <c:pt idx="170">
                  <c:v>Ohn Taw Gyi (South)</c:v>
                </c:pt>
                <c:pt idx="171">
                  <c:v>Oke Hpo (Oe Hpauk)</c:v>
                </c:pt>
                <c:pt idx="172">
                  <c:v>Oke Taung Pyin</c:v>
                </c:pt>
                <c:pt idx="173">
                  <c:v>Pa Dauk Myaing(Pa La Na)</c:v>
                </c:pt>
                <c:pt idx="174">
                  <c:v>Pa Kahtawng </c:v>
                </c:pt>
                <c:pt idx="175">
                  <c:v>Pajau - Jan Mai</c:v>
                </c:pt>
                <c:pt idx="176">
                  <c:v>Palae' Kaine</c:v>
                </c:pt>
                <c:pt idx="177">
                  <c:v>Pale Taung</c:v>
                </c:pt>
                <c:pt idx="178">
                  <c:v>Pan Law</c:v>
                </c:pt>
                <c:pt idx="179">
                  <c:v>Pan Ta Pyae</c:v>
                </c:pt>
                <c:pt idx="180">
                  <c:v>Pan Wa</c:v>
                </c:pt>
                <c:pt idx="181">
                  <c:v>Paung Zar</c:v>
                </c:pt>
                <c:pt idx="182">
                  <c:v>Pe Tha Du</c:v>
                </c:pt>
                <c:pt idx="183">
                  <c:v>Phan Khar Kone</c:v>
                </c:pt>
                <c:pt idx="184">
                  <c:v>Pin Zaing</c:v>
                </c:pt>
                <c:pt idx="185">
                  <c:v>Post 6 Camp</c:v>
                </c:pt>
                <c:pt idx="186">
                  <c:v>Pyaing Chaung</c:v>
                </c:pt>
                <c:pt idx="187">
                  <c:v>Pyaung Seik</c:v>
                </c:pt>
                <c:pt idx="188">
                  <c:v>Qtr. 2 Lhaovo Baptist Church</c:v>
                </c:pt>
                <c:pt idx="189">
                  <c:v>Qtr. 2 Myoma Baptist Church</c:v>
                </c:pt>
                <c:pt idx="190">
                  <c:v>Qtr. 3 Mu-yin  Baptist Church</c:v>
                </c:pt>
                <c:pt idx="191">
                  <c:v>Rawan Baptist Church, Maw Shan Vil., Seik Mu</c:v>
                </c:pt>
                <c:pt idx="192">
                  <c:v>Robert Church</c:v>
                </c:pt>
                <c:pt idx="193">
                  <c:v>Robert -Middle school</c:v>
                </c:pt>
                <c:pt idx="194">
                  <c:v>Salang Yang</c:v>
                </c:pt>
                <c:pt idx="195">
                  <c:v>San Go Taung</c:v>
                </c:pt>
                <c:pt idx="196">
                  <c:v>San Htoe Tan</c:v>
                </c:pt>
                <c:pt idx="197">
                  <c:v>Sar Hmaw - KBC</c:v>
                </c:pt>
                <c:pt idx="198">
                  <c:v>Sat Roe Kya 1</c:v>
                </c:pt>
                <c:pt idx="199">
                  <c:v>Sat Roe Kya 2</c:v>
                </c:pt>
                <c:pt idx="200">
                  <c:v>Saw Zam</c:v>
                </c:pt>
                <c:pt idx="201">
                  <c:v>Say Taung</c:v>
                </c:pt>
                <c:pt idx="202">
                  <c:v>Say Tha Mar Gyi</c:v>
                </c:pt>
                <c:pt idx="203">
                  <c:v>Say Tha Mar Gyi village</c:v>
                </c:pt>
                <c:pt idx="204">
                  <c:v>Say Tha Mar Nge</c:v>
                </c:pt>
                <c:pt idx="205">
                  <c:v>Seng Ja </c:v>
                </c:pt>
                <c:pt idx="206">
                  <c:v>Set Yone Su 1</c:v>
                </c:pt>
                <c:pt idx="207">
                  <c:v>Set Yone Su 3 (Mingan)</c:v>
                </c:pt>
                <c:pt idx="208">
                  <c:v>Sha-It Yang</c:v>
                </c:pt>
                <c:pt idx="209">
                  <c:v>Shar Du Zut KBC church </c:v>
                </c:pt>
                <c:pt idx="210">
                  <c:v>Shar Du Zut SanPya</c:v>
                </c:pt>
                <c:pt idx="211">
                  <c:v>Shat Shar Taung</c:v>
                </c:pt>
                <c:pt idx="212">
                  <c:v>Shatapru Sut Ngai Tawng</c:v>
                </c:pt>
                <c:pt idx="213">
                  <c:v>Shatapru Thida Aye Baptist Church</c:v>
                </c:pt>
                <c:pt idx="214">
                  <c:v>Shauk Chaung</c:v>
                </c:pt>
                <c:pt idx="215">
                  <c:v>Shing Jai</c:v>
                </c:pt>
                <c:pt idx="216">
                  <c:v>Shwe Gu Baptist Church</c:v>
                </c:pt>
                <c:pt idx="217">
                  <c:v>Shwe Gu Catholic Church</c:v>
                </c:pt>
                <c:pt idx="218">
                  <c:v>Shwe Hlaing</c:v>
                </c:pt>
                <c:pt idx="219">
                  <c:v>Shwe Zet Baptist Church</c:v>
                </c:pt>
                <c:pt idx="220">
                  <c:v>Shwe Zin Khin (Rakhine)</c:v>
                </c:pt>
                <c:pt idx="221">
                  <c:v>Sin Aing</c:v>
                </c:pt>
                <c:pt idx="222">
                  <c:v>Sin Bo</c:v>
                </c:pt>
                <c:pt idx="223">
                  <c:v>Sin Tet Maw</c:v>
                </c:pt>
                <c:pt idx="224">
                  <c:v>Sin Tet Maw (Host)</c:v>
                </c:pt>
                <c:pt idx="225">
                  <c:v>Sin Tet Maw Rakhine(Baw Da Li)</c:v>
                </c:pt>
                <c:pt idx="226">
                  <c:v>St. Patrick Catholic Church </c:v>
                </c:pt>
                <c:pt idx="227">
                  <c:v>Sumprabum</c:v>
                </c:pt>
                <c:pt idx="228">
                  <c:v>Tanai CoC</c:v>
                </c:pt>
                <c:pt idx="229">
                  <c:v>Tat Kone Baptist Church</c:v>
                </c:pt>
                <c:pt idx="230">
                  <c:v>Tat Kone COC Baptist - Tat Kone Htoi San</c:v>
                </c:pt>
                <c:pt idx="231">
                  <c:v>Tat Kone Emanuel Church</c:v>
                </c:pt>
                <c:pt idx="232">
                  <c:v>Tat Kone Galile Baptist Church</c:v>
                </c:pt>
                <c:pt idx="233">
                  <c:v>Tat Kone San Pya Baptist Church</c:v>
                </c:pt>
                <c:pt idx="234">
                  <c:v>Taung Htaung</c:v>
                </c:pt>
                <c:pt idx="235">
                  <c:v>Taung Htaung Ha Yar</c:v>
                </c:pt>
                <c:pt idx="236">
                  <c:v>Taung Paw</c:v>
                </c:pt>
                <c:pt idx="237">
                  <c:v>Tha Dar</c:v>
                </c:pt>
                <c:pt idx="238">
                  <c:v>Tha Yet Oke Ywar Haung</c:v>
                </c:pt>
                <c:pt idx="239">
                  <c:v>Tha Yet Oke Ywar Thit</c:v>
                </c:pt>
                <c:pt idx="240">
                  <c:v>Thae Chaung</c:v>
                </c:pt>
                <c:pt idx="241">
                  <c:v>Thae Chaung(Rakhine)</c:v>
                </c:pt>
                <c:pt idx="242">
                  <c:v>Thargaya Lisu Baptist Church</c:v>
                </c:pt>
                <c:pt idx="243">
                  <c:v>Thea Chaung Ku Lar</c:v>
                </c:pt>
                <c:pt idx="244">
                  <c:v>Thea Chaung Let Tha Mar Kone</c:v>
                </c:pt>
                <c:pt idx="245">
                  <c:v>Thein Tan</c:v>
                </c:pt>
                <c:pt idx="246">
                  <c:v>Thein Tan (Rakhine)</c:v>
                </c:pt>
                <c:pt idx="247">
                  <c:v>Thet Kae Pyin </c:v>
                </c:pt>
                <c:pt idx="248">
                  <c:v>Thet Kae Pyin Village (IDPs in host family)</c:v>
                </c:pt>
                <c:pt idx="249">
                  <c:v>Thet Kay Pyin Ywar Ma</c:v>
                </c:pt>
                <c:pt idx="250">
                  <c:v>Thone Gwa</c:v>
                </c:pt>
                <c:pt idx="251">
                  <c:v>Tote Tan Ward</c:v>
                </c:pt>
                <c:pt idx="252">
                  <c:v>Tsan Lun - Namjarap</c:v>
                </c:pt>
                <c:pt idx="253">
                  <c:v>Waingmaw AG Church</c:v>
                </c:pt>
                <c:pt idx="254">
                  <c:v>Ward 2 Sai Taung Baptist Church, Seik Mu </c:v>
                </c:pt>
                <c:pt idx="255">
                  <c:v>Woi Chyai </c:v>
                </c:pt>
                <c:pt idx="256">
                  <c:v>Woi Chyai (Mong Lai)</c:v>
                </c:pt>
                <c:pt idx="257">
                  <c:v>Woi Chyai host families</c:v>
                </c:pt>
                <c:pt idx="258">
                  <c:v>Yet Khone Taing</c:v>
                </c:pt>
                <c:pt idx="259">
                  <c:v>Yoe Kyi Monastery</c:v>
                </c:pt>
                <c:pt idx="260">
                  <c:v>Yumar Baptist Church</c:v>
                </c:pt>
                <c:pt idx="261">
                  <c:v>Yun Nyar</c:v>
                </c:pt>
                <c:pt idx="262">
                  <c:v>Ywar Thar Yar</c:v>
                </c:pt>
                <c:pt idx="263">
                  <c:v>Zaw Ma Tat</c:v>
                </c:pt>
                <c:pt idx="264">
                  <c:v>Zaw Pu Gyar</c:v>
                </c:pt>
                <c:pt idx="265">
                  <c:v>Zee Khaung</c:v>
                </c:pt>
                <c:pt idx="266">
                  <c:v>Zup Aung Camp</c:v>
                </c:pt>
                <c:pt idx="267">
                  <c:v>Myo Oo St. Dominic RC Church</c:v>
                </c:pt>
                <c:pt idx="268">
                  <c:v>Lan Gwa St.Paul RC Church</c:v>
                </c:pt>
                <c:pt idx="269">
                  <c:v>Emmanuel AG Church</c:v>
                </c:pt>
                <c:pt idx="270">
                  <c:v>Ti Yang Zup</c:v>
                </c:pt>
                <c:pt idx="271">
                  <c:v>Sadung</c:v>
                </c:pt>
                <c:pt idx="272">
                  <c:v>Lawa RC Church</c:v>
                </c:pt>
                <c:pt idx="273">
                  <c:v>Karmaing RC Church</c:v>
                </c:pt>
                <c:pt idx="274">
                  <c:v>Ka Bu Dam CoC</c:v>
                </c:pt>
                <c:pt idx="275">
                  <c:v>Pi Htu_Wa Lar Kan</c:v>
                </c:pt>
                <c:pt idx="276">
                  <c:v>Taung Htaung Hayar_Wa Lar Kan (Ku Lar)</c:v>
                </c:pt>
                <c:pt idx="277">
                  <c:v>Ta Man Thar (Thar Zay)_(Myo)</c:v>
                </c:pt>
                <c:pt idx="278">
                  <c:v>Kyet Yoe Pyin (Ywa Ma)</c:v>
                </c:pt>
                <c:pt idx="279">
                  <c:v>Thin Baw Hla (Rakhine) (Thar Yar Gone)</c:v>
                </c:pt>
                <c:pt idx="280">
                  <c:v>Yae Chan Pyin</c:v>
                </c:pt>
                <c:pt idx="281">
                  <c:v>Kyan Taw</c:v>
                </c:pt>
                <c:pt idx="282">
                  <c:v>Pang Hkawn Yang</c:v>
                </c:pt>
                <c:pt idx="283">
                  <c:v>Lone Khin Catholic Church</c:v>
                </c:pt>
                <c:pt idx="284">
                  <c:v>Zupra</c:v>
                </c:pt>
                <c:pt idx="285">
                  <c:v>Lawt Awng</c:v>
                </c:pt>
                <c:pt idx="286">
                  <c:v>Ban Dang</c:v>
                </c:pt>
                <c:pt idx="287">
                  <c:v>Sut Chyai</c:v>
                </c:pt>
                <c:pt idx="288">
                  <c:v>Da Wei</c:v>
                </c:pt>
                <c:pt idx="289">
                  <c:v>Htai Ra Yang</c:v>
                </c:pt>
                <c:pt idx="290">
                  <c:v>Namatee AG</c:v>
                </c:pt>
                <c:pt idx="291">
                  <c:v>Momauk IDP new Extension camp
(Alen Kawng Lawk)</c:v>
                </c:pt>
                <c:pt idx="292">
                  <c:v>Thar Zay Kone (Thar Zi Kone)</c:v>
                </c:pt>
                <c:pt idx="293">
                  <c:v>Kyauk Hlay Kar</c:v>
                </c:pt>
                <c:pt idx="294">
                  <c:v>Shwe Yin Aye (NaTaLa)</c:v>
                </c:pt>
                <c:pt idx="295">
                  <c:v>Chan Pyin</c:v>
                </c:pt>
                <c:pt idx="296">
                  <c:v>Sa Bai Pin Yin</c:v>
                </c:pt>
                <c:pt idx="297">
                  <c:v>Ma Hawng Baptist Church</c:v>
                </c:pt>
                <c:pt idx="298">
                  <c:v>Tanai KBC Camp</c:v>
                </c:pt>
                <c:pt idx="299">
                  <c:v>Nam Hpak Ka Ta'ang ( Aung Tha Pyay)</c:v>
                </c:pt>
                <c:pt idx="300">
                  <c:v>Mai Yu Lay New (Ta'ang)</c:v>
                </c:pt>
                <c:pt idx="301">
                  <c:v>Mine Yu Lay village ( Old)</c:v>
                </c:pt>
                <c:pt idx="302">
                  <c:v>Namti Labraw Yang KBC Camp</c:v>
                </c:pt>
                <c:pt idx="303">
                  <c:v>Trinity Camp</c:v>
                </c:pt>
                <c:pt idx="304">
                  <c:v>Jaw Masat Camp</c:v>
                </c:pt>
                <c:pt idx="305">
                  <c:v>Waimaw Baptist Zonal Office 2</c:v>
                </c:pt>
                <c:pt idx="306">
                  <c:v>Pa Dauk Myaing(Pa La Na)-II</c:v>
                </c:pt>
                <c:pt idx="307">
                  <c:v>Kar Di (Middle)</c:v>
                </c:pt>
                <c:pt idx="308">
                  <c:v>Pyar</c:v>
                </c:pt>
                <c:pt idx="309">
                  <c:v>Kar Di Ha Yar</c:v>
                </c:pt>
                <c:pt idx="310">
                  <c:v>Ngar Saung Bet</c:v>
                </c:pt>
                <c:pt idx="311">
                  <c:v>Sabei Hla</c:v>
                </c:pt>
                <c:pt idx="312">
                  <c:v>San Thar Pyin</c:v>
                </c:pt>
                <c:pt idx="313">
                  <c:v>Thin Ga Net</c:v>
                </c:pt>
                <c:pt idx="314">
                  <c:v>Pon Nar</c:v>
                </c:pt>
                <c:pt idx="315">
                  <c:v>St. Joseph Tanai RC camp </c:v>
                </c:pt>
                <c:pt idx="316">
                  <c:v>Aung Zay Ya</c:v>
                </c:pt>
                <c:pt idx="317">
                  <c:v>Pyin Hpyu Maw</c:v>
                </c:pt>
                <c:pt idx="318">
                  <c:v>Galeng (Palaung) &amp; Kone Khem</c:v>
                </c:pt>
                <c:pt idx="319">
                  <c:v>Hu Hku &amp; Ho Hko</c:v>
                </c:pt>
                <c:pt idx="320">
                  <c:v>Khaung Doke Khar 2 (Hmanzi)</c:v>
                </c:pt>
                <c:pt idx="321">
                  <c:v>Khaung Doke Khar 1</c:v>
                </c:pt>
                <c:pt idx="322">
                  <c:v>Phwe Yar Kone (Say Tha Mar Gyi)</c:v>
                </c:pt>
                <c:pt idx="323">
                  <c:v>Htan Shauk Khan</c:v>
                </c:pt>
                <c:pt idx="324">
                  <c:v>Ah Twin Hnget Thay</c:v>
                </c:pt>
                <c:pt idx="325">
                  <c:v>Pyar Pin Yin</c:v>
                </c:pt>
                <c:pt idx="326">
                  <c:v>Ward (1)</c:v>
                </c:pt>
                <c:pt idx="327">
                  <c:v>Sha Kay Ywa</c:v>
                </c:pt>
                <c:pt idx="328">
                  <c:v>Tha Yet Pyin (Rakhine)</c:v>
                </c:pt>
                <c:pt idx="329">
                  <c:v>Tha Bauk Chaung</c:v>
                </c:pt>
                <c:pt idx="330">
                  <c:v>Baw Li (Rakhine)</c:v>
                </c:pt>
                <c:pt idx="331">
                  <c:v>Baw Li (Muslim)</c:v>
                </c:pt>
                <c:pt idx="332">
                  <c:v>Gwa Sone (Muslim)</c:v>
                </c:pt>
                <c:pt idx="333">
                  <c:v>Gwa Sone (Rakhine)</c:v>
                </c:pt>
                <c:pt idx="334">
                  <c:v>Thay Kan (Muslim)</c:v>
                </c:pt>
                <c:pt idx="335">
                  <c:v>Thay Kan (Rakhine)</c:v>
                </c:pt>
                <c:pt idx="336">
                  <c:v>Na Nwin Ku</c:v>
                </c:pt>
                <c:pt idx="337">
                  <c:v>Kyauk Yant (Rakhine)</c:v>
                </c:pt>
                <c:pt idx="338">
                  <c:v>Than Chay (Rakhine)</c:v>
                </c:pt>
                <c:pt idx="339">
                  <c:v>Kyauk Yit (Rakhine)</c:v>
                </c:pt>
                <c:pt idx="340">
                  <c:v>Shwe Baho</c:v>
                </c:pt>
                <c:pt idx="341">
                  <c:v>Wai Thar Li</c:v>
                </c:pt>
                <c:pt idx="342">
                  <c:v>Ar Kya</c:v>
                </c:pt>
                <c:pt idx="343">
                  <c:v>Ka Yin</c:v>
                </c:pt>
                <c:pt idx="344">
                  <c:v>Gyin Chaung</c:v>
                </c:pt>
                <c:pt idx="345">
                  <c:v>Wa  Lan</c:v>
                </c:pt>
                <c:pt idx="346">
                  <c:v>Wa Lan Kone</c:v>
                </c:pt>
                <c:pt idx="347">
                  <c:v>Na Htoe Pyin</c:v>
                </c:pt>
                <c:pt idx="348">
                  <c:v>Yar Taik</c:v>
                </c:pt>
                <c:pt idx="349">
                  <c:v>Ku Lar Thein</c:v>
                </c:pt>
                <c:pt idx="350">
                  <c:v>Yae Hnyin Chaung</c:v>
                </c:pt>
                <c:pt idx="351">
                  <c:v>Ku Lar Te</c:v>
                </c:pt>
                <c:pt idx="352">
                  <c:v>Auk Thin Pone Than/ Phar Kywe</c:v>
                </c:pt>
                <c:pt idx="353">
                  <c:v>Tha Lu Chaung</c:v>
                </c:pt>
                <c:pt idx="354">
                  <c:v> Zay Ywar </c:v>
                </c:pt>
                <c:pt idx="355">
                  <c:v>Nga Pha Yone</c:v>
                </c:pt>
                <c:pt idx="356">
                  <c:v>Wah Net Yone </c:v>
                </c:pt>
                <c:pt idx="357">
                  <c:v>Kar Hpi Chaung</c:v>
                </c:pt>
                <c:pt idx="358">
                  <c:v>U Gar Hton</c:v>
                </c:pt>
                <c:pt idx="359">
                  <c:v>Ma La Kyun</c:v>
                </c:pt>
                <c:pt idx="360">
                  <c:v>Dway Cha</c:v>
                </c:pt>
                <c:pt idx="361">
                  <c:v>YinYeKan</c:v>
                </c:pt>
                <c:pt idx="362">
                  <c:v>OhnHnanChaung</c:v>
                </c:pt>
                <c:pt idx="363">
                  <c:v>ThonePetChaing</c:v>
                </c:pt>
                <c:pt idx="364">
                  <c:v>MiGyaungTet</c:v>
                </c:pt>
                <c:pt idx="365">
                  <c:v>KaLarChaung</c:v>
                </c:pt>
                <c:pt idx="366">
                  <c:v>PyunTo</c:v>
                </c:pt>
                <c:pt idx="367">
                  <c:v>Sar Pyin</c:v>
                </c:pt>
                <c:pt idx="368">
                  <c:v>Nga Khu Chaung</c:v>
                </c:pt>
                <c:pt idx="369">
                  <c:v>Tha Yet Cho</c:v>
                </c:pt>
                <c:pt idx="370">
                  <c:v>Tha Yet</c:v>
                </c:pt>
                <c:pt idx="371">
                  <c:v>NgweTwinDway</c:v>
                </c:pt>
                <c:pt idx="372">
                  <c:v>NgaWetSway</c:v>
                </c:pt>
                <c:pt idx="373">
                  <c:v>HlaKhaing</c:v>
                </c:pt>
                <c:pt idx="374">
                  <c:v>MinPauk</c:v>
                </c:pt>
                <c:pt idx="375">
                  <c:v>Pyein Chaung (ngwe Twin Dway tract)</c:v>
                </c:pt>
                <c:pt idx="376">
                  <c:v>Shit Thaung Monastery</c:v>
                </c:pt>
                <c:pt idx="377">
                  <c:v>Shaw Me (primary school)</c:v>
                </c:pt>
                <c:pt idx="378">
                  <c:v>Mya Ta Saung Monastery</c:v>
                </c:pt>
                <c:pt idx="379">
                  <c:v>Let Kauk Zay Monastery</c:v>
                </c:pt>
                <c:pt idx="380">
                  <c:v>Phayapaw Phayathein</c:v>
                </c:pt>
                <c:pt idx="381">
                  <c:v>Tin Nyo (Primary school)</c:v>
                </c:pt>
                <c:pt idx="382">
                  <c:v>Shwe Taung Monastery</c:v>
                </c:pt>
                <c:pt idx="383">
                  <c:v>Payar Por Thain Taw Gyi Monastery</c:v>
                </c:pt>
                <c:pt idx="384">
                  <c:v>Chaung Thit Monastery</c:v>
                </c:pt>
                <c:pt idx="385">
                  <c:v>Sin Kae (High School)</c:v>
                </c:pt>
                <c:pt idx="386">
                  <c:v>Sin Khing Baw (Primary School)</c:v>
                </c:pt>
                <c:pt idx="387">
                  <c:v>Chaung New Min Gan</c:v>
                </c:pt>
                <c:pt idx="388">
                  <c:v>Kan Pyin Ywa Haung</c:v>
                </c:pt>
                <c:pt idx="389">
                  <c:v>Kan Pyin Ywar Thit</c:v>
                </c:pt>
                <c:pt idx="390">
                  <c:v>Thone Saung</c:v>
                </c:pt>
                <c:pt idx="391">
                  <c:v>Kyauk Tan Gyi</c:v>
                </c:pt>
                <c:pt idx="392">
                  <c:v>Kyauk Tan Chay</c:v>
                </c:pt>
                <c:pt idx="393">
                  <c:v>Kyar Ma Thauk</c:v>
                </c:pt>
                <c:pt idx="394">
                  <c:v>Done Pyin (North)</c:v>
                </c:pt>
                <c:pt idx="395">
                  <c:v>Done Pyin (South)</c:v>
                </c:pt>
                <c:pt idx="396">
                  <c:v>Maung Ni Pyin</c:v>
                </c:pt>
                <c:pt idx="397">
                  <c:v>Pyar Lay Chaung Ywar Haung</c:v>
                </c:pt>
                <c:pt idx="398">
                  <c:v>Ohn Ye Paw</c:v>
                </c:pt>
                <c:pt idx="399">
                  <c:v>Pyin Shey Ku lar</c:v>
                </c:pt>
                <c:pt idx="400">
                  <c:v>Bu May Ohn Daw Chay</c:v>
                </c:pt>
                <c:pt idx="401">
                  <c:v>Dar Paing Ywar Haung</c:v>
                </c:pt>
                <c:pt idx="402">
                  <c:v>Dar Paing Ywar Thit</c:v>
                </c:pt>
                <c:pt idx="403">
                  <c:v>Sa Ma Nya Village</c:v>
                </c:pt>
                <c:pt idx="404">
                  <c:v>Koe Saung (1) village</c:v>
                </c:pt>
                <c:pt idx="405">
                  <c:v>Thet Kay Pyin</c:v>
                </c:pt>
                <c:pt idx="406">
                  <c:v>Shwe Zin Khin (Ku Lar)</c:v>
                </c:pt>
                <c:pt idx="407">
                  <c:v>Kyan Taik</c:v>
                </c:pt>
                <c:pt idx="408">
                  <c:v>Sat Yon Maw (Rakhine)</c:v>
                </c:pt>
                <c:pt idx="409">
                  <c:v>Ann Thar</c:v>
                </c:pt>
                <c:pt idx="410">
                  <c:v>Naw Naw(Rakhine)</c:v>
                </c:pt>
                <c:pt idx="411">
                  <c:v>Naw Naw(Ku Lar)</c:v>
                </c:pt>
                <c:pt idx="412">
                  <c:v>Ah Pyin Done Chaung</c:v>
                </c:pt>
                <c:pt idx="413">
                  <c:v>Thin Ga Zar</c:v>
                </c:pt>
                <c:pt idx="414">
                  <c:v>Than Shin Ywar Thit</c:v>
                </c:pt>
                <c:pt idx="415">
                  <c:v>Tan Seik</c:v>
                </c:pt>
                <c:pt idx="416">
                  <c:v>Sat Kyar</c:v>
                </c:pt>
                <c:pt idx="417">
                  <c:v>Let Taw Ri</c:v>
                </c:pt>
                <c:pt idx="418">
                  <c:v>Har Ra Paing</c:v>
                </c:pt>
                <c:pt idx="419">
                  <c:v>Kan Hpay</c:v>
                </c:pt>
                <c:pt idx="420">
                  <c:v>Thin Khaung Maw</c:v>
                </c:pt>
                <c:pt idx="421">
                  <c:v>Beik Taung</c:v>
                </c:pt>
                <c:pt idx="422">
                  <c:v>Sa Par Htar</c:v>
                </c:pt>
                <c:pt idx="423">
                  <c:v>Aung Taing</c:v>
                </c:pt>
                <c:pt idx="424">
                  <c:v>Taw Tan</c:v>
                </c:pt>
                <c:pt idx="425">
                  <c:v>Sin Seik</c:v>
                </c:pt>
                <c:pt idx="426">
                  <c:v>Ta Khun Taing</c:v>
                </c:pt>
                <c:pt idx="427">
                  <c:v>Done Thar</c:v>
                </c:pt>
                <c:pt idx="428">
                  <c:v>War Taung</c:v>
                </c:pt>
                <c:pt idx="429">
                  <c:v>Athay Kar La</c:v>
                </c:pt>
                <c:pt idx="430">
                  <c:v>Myin Kan Seik</c:v>
                </c:pt>
                <c:pt idx="431">
                  <c:v>Thar Dar</c:v>
                </c:pt>
                <c:pt idx="432">
                  <c:v>Seik Ta Ra</c:v>
                </c:pt>
                <c:pt idx="433">
                  <c:v>Gwa Sone Chin</c:v>
                </c:pt>
                <c:pt idx="434">
                  <c:v>Taung Poke Kay</c:v>
                </c:pt>
                <c:pt idx="435">
                  <c:v>Shwe Zin Yaw</c:v>
                </c:pt>
                <c:pt idx="436">
                  <c:v>Sasana 2500 monastery</c:v>
                </c:pt>
                <c:pt idx="437">
                  <c:v>Boe Taw monastery</c:v>
                </c:pt>
                <c:pt idx="438">
                  <c:v>Man Li</c:v>
                </c:pt>
                <c:pt idx="439">
                  <c:v>Baw Du Pha Village (IDP in host families)</c:v>
                </c:pt>
                <c:pt idx="440">
                  <c:v>Hka Garan Yang </c:v>
                </c:pt>
                <c:pt idx="441">
                  <c:v>Thein Tan (Ku Lar)</c:v>
                </c:pt>
                <c:pt idx="442">
                  <c:v>Ah Lel Chaung</c:v>
                </c:pt>
                <c:pt idx="443">
                  <c:v>Zay Di Taung</c:v>
                </c:pt>
                <c:pt idx="444">
                  <c:v>Hpon Nyo Leik</c:v>
                </c:pt>
                <c:pt idx="445">
                  <c:v>Kin Taung</c:v>
                </c:pt>
                <c:pt idx="446">
                  <c:v>Aung Tha Pyay</c:v>
                </c:pt>
                <c:pt idx="447">
                  <c:v>Yae Nauk Ngar Thar</c:v>
                </c:pt>
                <c:pt idx="448">
                  <c:v>Thin Pone Tan</c:v>
                </c:pt>
                <c:pt idx="449">
                  <c:v>Kha Tin Paik</c:v>
                </c:pt>
                <c:pt idx="450">
                  <c:v>Thar Yar Kone (Rakhine)</c:v>
                </c:pt>
                <c:pt idx="451">
                  <c:v>Kyar Nyo Pyin</c:v>
                </c:pt>
                <c:pt idx="452">
                  <c:v>Say Oe Kya ( Host+ Displaced)</c:v>
                </c:pt>
                <c:pt idx="453">
                  <c:v>Thay Kan Gwa Sone ( Host)</c:v>
                </c:pt>
                <c:pt idx="454">
                  <c:v>Zay Di Taung  ( Host + Displaced)</c:v>
                </c:pt>
                <c:pt idx="455">
                  <c:v>Pan Myaung (Aung Mingalar Monastery)</c:v>
                </c:pt>
                <c:pt idx="456">
                  <c:v>Gye Kyaung</c:v>
                </c:pt>
                <c:pt idx="457">
                  <c:v>Win Zar</c:v>
                </c:pt>
                <c:pt idx="458">
                  <c:v>Tin Nyo Thit Monastery</c:v>
                </c:pt>
                <c:pt idx="459">
                  <c:v>Thu Yiya Yaung Chi Monastery</c:v>
                </c:pt>
                <c:pt idx="460">
                  <c:v>Ywar Thit Kay Monastery</c:v>
                </c:pt>
                <c:pt idx="461">
                  <c:v>Tin Htein Kan Monastery</c:v>
                </c:pt>
                <c:pt idx="462">
                  <c:v>Thin Pan Kaing</c:v>
                </c:pt>
                <c:pt idx="463">
                  <c:v>Wet Hla Middle School</c:v>
                </c:pt>
                <c:pt idx="464">
                  <c:v>Taung Myint</c:v>
                </c:pt>
                <c:pt idx="465">
                  <c:v>Pi Pin Yin Monastery</c:v>
                </c:pt>
                <c:pt idx="466">
                  <c:v>Aung Tat Ward (Aung Mingalar Monastery)</c:v>
                </c:pt>
                <c:pt idx="467">
                  <c:v>Aung Tat Ward (Aung Zaydi Hpayar Thin)</c:v>
                </c:pt>
                <c:pt idx="468">
                  <c:v>Aung Tat Ward (Dein Kyi Monastery)</c:v>
                </c:pt>
                <c:pt idx="469">
                  <c:v>Aung Tat Ward (Myo Thit Monastery)</c:v>
                </c:pt>
                <c:pt idx="470">
                  <c:v>Aung Tat Ward (Naratsar Hpayar Thin)</c:v>
                </c:pt>
                <c:pt idx="471">
                  <c:v>Myet Yeik Kyun Monastery</c:v>
                </c:pt>
                <c:pt idx="472">
                  <c:v>Tein Nyo</c:v>
                </c:pt>
                <c:pt idx="473">
                  <c:v>Kyauk Reik Kay Monastery</c:v>
                </c:pt>
                <c:pt idx="474">
                  <c:v>Nyaung Bin Hla Village</c:v>
                </c:pt>
                <c:pt idx="475">
                  <c:v>Mya Yaike Kyun</c:v>
                </c:pt>
                <c:pt idx="476">
                  <c:v>Ywar Thit Monastery/Pan Myaung</c:v>
                </c:pt>
                <c:pt idx="477">
                  <c:v>Hpar Kywe Wa</c:v>
                </c:pt>
                <c:pt idx="478">
                  <c:v>Kun Taung</c:v>
                </c:pt>
                <c:pt idx="479">
                  <c:v>Taung Yin School Compound</c:v>
                </c:pt>
                <c:pt idx="480">
                  <c:v>Taung Yin</c:v>
                </c:pt>
                <c:pt idx="481">
                  <c:v>Ban Bwee</c:v>
                </c:pt>
                <c:pt idx="482">
                  <c:v>Nga/Pyauk Se</c:v>
                </c:pt>
                <c:pt idx="483">
                  <c:v>Let Wea Myan</c:v>
                </c:pt>
                <c:pt idx="484">
                  <c:v>Be Kho</c:v>
                </c:pt>
                <c:pt idx="485">
                  <c:v>Nga Sin Rine Kine Primary School</c:v>
                </c:pt>
                <c:pt idx="486">
                  <c:v>Hnget Pyaw Chaung</c:v>
                </c:pt>
                <c:pt idx="487">
                  <c:v>Doke Kan Chaung Monastery</c:v>
                </c:pt>
                <c:pt idx="488">
                  <c:v>Myo Thit Ward</c:v>
                </c:pt>
                <c:pt idx="489">
                  <c:v>Paik Thei Ward</c:v>
                </c:pt>
                <c:pt idx="490">
                  <c:v>Bo Min Monastery</c:v>
                </c:pt>
                <c:pt idx="491">
                  <c:v>Aung Zay Ya Monastery</c:v>
                </c:pt>
                <c:pt idx="492">
                  <c:v>Ba Ra War Monastery</c:v>
                </c:pt>
                <c:pt idx="493">
                  <c:v>Kyar Nin Kan Monastery</c:v>
                </c:pt>
                <c:pt idx="494">
                  <c:v>Zin Khar Chay Monastery</c:v>
                </c:pt>
                <c:pt idx="495">
                  <c:v>Min Hla Kaing</c:v>
                </c:pt>
                <c:pt idx="496">
                  <c:v>Yay Myet</c:v>
                </c:pt>
                <c:pt idx="497">
                  <c:v>Tha Mee Hla</c:v>
                </c:pt>
                <c:pt idx="498">
                  <c:v>Ray Zar Chaung</c:v>
                </c:pt>
                <c:pt idx="499">
                  <c:v>Sin Khone Taing</c:v>
                </c:pt>
                <c:pt idx="500">
                  <c:v>Gan Kya</c:v>
                </c:pt>
                <c:pt idx="501">
                  <c:v>Ba Wan Chaung Wa Su Ward / Monastery</c:v>
                </c:pt>
                <c:pt idx="502">
                  <c:v>Ah Htet Thin Pone Tan</c:v>
                </c:pt>
                <c:pt idx="503">
                  <c:v>Kan Sauk</c:v>
                </c:pt>
                <c:pt idx="504">
                  <c:v>Taung Min Ku Lar</c:v>
                </c:pt>
                <c:pt idx="505">
                  <c:v>Kyun Taw</c:v>
                </c:pt>
                <c:pt idx="506">
                  <c:v>Thit Pok Chaung</c:v>
                </c:pt>
                <c:pt idx="507">
                  <c:v>Kyu Taw Chaing</c:v>
                </c:pt>
                <c:pt idx="508">
                  <c:v>Auk Thar Kan</c:v>
                </c:pt>
                <c:pt idx="509">
                  <c:v>Htan Ma Rit (Kwet Thit)</c:v>
                </c:pt>
                <c:pt idx="510">
                  <c:v>Mra_Zay Di Taung</c:v>
                </c:pt>
                <c:pt idx="511">
                  <c:v>Ah Htet Myat Hle</c:v>
                </c:pt>
                <c:pt idx="512">
                  <c:v>Auk Myat Hle</c:v>
                </c:pt>
                <c:pt idx="513">
                  <c:v>Yoe Ta Yoke</c:v>
                </c:pt>
                <c:pt idx="514">
                  <c:v>Sin Thi Pein Hne Taw</c:v>
                </c:pt>
                <c:pt idx="515">
                  <c:v>War Taung Camp</c:v>
                </c:pt>
                <c:pt idx="516">
                  <c:v>Shwe Thee </c:v>
                </c:pt>
                <c:pt idx="517">
                  <c:v>BUT_Sa Par Htar</c:v>
                </c:pt>
                <c:pt idx="518">
                  <c:v>RAT_Zay Di Pyin</c:v>
                </c:pt>
                <c:pt idx="519">
                  <c:v>Hpet Leik</c:v>
                </c:pt>
                <c:pt idx="520">
                  <c:v>Aung Zay Kone</c:v>
                </c:pt>
                <c:pt idx="521">
                  <c:v>Ah Shey (North) Ward</c:v>
                </c:pt>
                <c:pt idx="522">
                  <c:v>Sin Baw Kaing (School)</c:v>
                </c:pt>
                <c:pt idx="523">
                  <c:v>Sin Baw Kaing (Monastery)</c:v>
                </c:pt>
                <c:pt idx="524">
                  <c:v>KAT_Nyaung Chaung</c:v>
                </c:pt>
                <c:pt idx="525">
                  <c:v>Hpa Yar Pyin Thein Tan</c:v>
                </c:pt>
                <c:pt idx="526">
                  <c:v>Bar Ri Zar</c:v>
                </c:pt>
                <c:pt idx="527">
                  <c:v>Ywa Thit</c:v>
                </c:pt>
                <c:pt idx="528">
                  <c:v>Ywa Haung</c:v>
                </c:pt>
                <c:pt idx="529">
                  <c:v>Zay Di Taung (Rakhine)</c:v>
                </c:pt>
                <c:pt idx="530">
                  <c:v>Teik Tu Pauk</c:v>
                </c:pt>
                <c:pt idx="531">
                  <c:v>Kan Thar Yar</c:v>
                </c:pt>
                <c:pt idx="532">
                  <c:v>Shwe Baho+Sein P M</c:v>
                </c:pt>
                <c:pt idx="533">
                  <c:v>Tat U Chaung (West)</c:v>
                </c:pt>
              </c:strCache>
            </c:strRef>
          </c:cat>
          <c:val>
            <c:numRef>
              <c:f>'By Camps'!$B$34</c:f>
              <c:numCache>
                <c:formatCode>General</c:formatCode>
                <c:ptCount val="534"/>
                <c:pt idx="0">
                  <c:v>0</c:v>
                </c:pt>
                <c:pt idx="1">
                  <c:v>356</c:v>
                </c:pt>
                <c:pt idx="2">
                  <c:v>815</c:v>
                </c:pt>
                <c:pt idx="3">
                  <c:v>371</c:v>
                </c:pt>
                <c:pt idx="4">
                  <c:v>83</c:v>
                </c:pt>
                <c:pt idx="5">
                  <c:v>0</c:v>
                </c:pt>
                <c:pt idx="6">
                  <c:v>0</c:v>
                </c:pt>
                <c:pt idx="7">
                  <c:v>0</c:v>
                </c:pt>
                <c:pt idx="8">
                  <c:v>2050</c:v>
                </c:pt>
                <c:pt idx="9">
                  <c:v>4717</c:v>
                </c:pt>
                <c:pt idx="10">
                  <c:v>0</c:v>
                </c:pt>
                <c:pt idx="11">
                  <c:v>52</c:v>
                </c:pt>
                <c:pt idx="12">
                  <c:v>428</c:v>
                </c:pt>
                <c:pt idx="13">
                  <c:v>228</c:v>
                </c:pt>
                <c:pt idx="14">
                  <c:v>2111</c:v>
                </c:pt>
                <c:pt idx="15">
                  <c:v>4892</c:v>
                </c:pt>
                <c:pt idx="16">
                  <c:v>6750</c:v>
                </c:pt>
                <c:pt idx="17">
                  <c:v>0</c:v>
                </c:pt>
                <c:pt idx="18">
                  <c:v>0</c:v>
                </c:pt>
                <c:pt idx="19">
                  <c:v>458</c:v>
                </c:pt>
                <c:pt idx="20">
                  <c:v>1661</c:v>
                </c:pt>
                <c:pt idx="21">
                  <c:v>0</c:v>
                </c:pt>
                <c:pt idx="22">
                  <c:v>31</c:v>
                </c:pt>
                <c:pt idx="23">
                  <c:v>830</c:v>
                </c:pt>
                <c:pt idx="24">
                  <c:v>10015</c:v>
                </c:pt>
                <c:pt idx="25">
                  <c:v>3360</c:v>
                </c:pt>
                <c:pt idx="26">
                  <c:v>377</c:v>
                </c:pt>
                <c:pt idx="27">
                  <c:v>0</c:v>
                </c:pt>
                <c:pt idx="28">
                  <c:v>172</c:v>
                </c:pt>
                <c:pt idx="29">
                  <c:v>197</c:v>
                </c:pt>
                <c:pt idx="30">
                  <c:v>458</c:v>
                </c:pt>
                <c:pt idx="31">
                  <c:v>0</c:v>
                </c:pt>
                <c:pt idx="32">
                  <c:v>0</c:v>
                </c:pt>
                <c:pt idx="33">
                  <c:v>533</c:v>
                </c:pt>
                <c:pt idx="34">
                  <c:v>0</c:v>
                </c:pt>
                <c:pt idx="35">
                  <c:v>0</c:v>
                </c:pt>
                <c:pt idx="36">
                  <c:v>0</c:v>
                </c:pt>
                <c:pt idx="37">
                  <c:v>875</c:v>
                </c:pt>
                <c:pt idx="38">
                  <c:v>0</c:v>
                </c:pt>
                <c:pt idx="39">
                  <c:v>0</c:v>
                </c:pt>
                <c:pt idx="40">
                  <c:v>132</c:v>
                </c:pt>
                <c:pt idx="41">
                  <c:v>0</c:v>
                </c:pt>
                <c:pt idx="42">
                  <c:v>0</c:v>
                </c:pt>
                <c:pt idx="43">
                  <c:v>494</c:v>
                </c:pt>
                <c:pt idx="44">
                  <c:v>0</c:v>
                </c:pt>
                <c:pt idx="45">
                  <c:v>519</c:v>
                </c:pt>
                <c:pt idx="46">
                  <c:v>837</c:v>
                </c:pt>
                <c:pt idx="47">
                  <c:v>1500</c:v>
                </c:pt>
                <c:pt idx="48">
                  <c:v>235</c:v>
                </c:pt>
                <c:pt idx="49">
                  <c:v>0</c:v>
                </c:pt>
                <c:pt idx="50">
                  <c:v>0</c:v>
                </c:pt>
                <c:pt idx="51">
                  <c:v>91</c:v>
                </c:pt>
                <c:pt idx="52">
                  <c:v>0</c:v>
                </c:pt>
                <c:pt idx="53">
                  <c:v>1050</c:v>
                </c:pt>
                <c:pt idx="54">
                  <c:v>430</c:v>
                </c:pt>
                <c:pt idx="55">
                  <c:v>1000</c:v>
                </c:pt>
                <c:pt idx="56">
                  <c:v>658</c:v>
                </c:pt>
                <c:pt idx="57">
                  <c:v>2392</c:v>
                </c:pt>
                <c:pt idx="58">
                  <c:v>0</c:v>
                </c:pt>
                <c:pt idx="59">
                  <c:v>217</c:v>
                </c:pt>
                <c:pt idx="60">
                  <c:v>0</c:v>
                </c:pt>
                <c:pt idx="61">
                  <c:v>0</c:v>
                </c:pt>
                <c:pt idx="62">
                  <c:v>0</c:v>
                </c:pt>
                <c:pt idx="63">
                  <c:v>100</c:v>
                </c:pt>
                <c:pt idx="64">
                  <c:v>442</c:v>
                </c:pt>
                <c:pt idx="65">
                  <c:v>292</c:v>
                </c:pt>
                <c:pt idx="66">
                  <c:v>156</c:v>
                </c:pt>
                <c:pt idx="67">
                  <c:v>0</c:v>
                </c:pt>
                <c:pt idx="68">
                  <c:v>0</c:v>
                </c:pt>
                <c:pt idx="69">
                  <c:v>523</c:v>
                </c:pt>
                <c:pt idx="70">
                  <c:v>0</c:v>
                </c:pt>
                <c:pt idx="71">
                  <c:v>989</c:v>
                </c:pt>
                <c:pt idx="72">
                  <c:v>6042</c:v>
                </c:pt>
                <c:pt idx="73">
                  <c:v>0</c:v>
                </c:pt>
                <c:pt idx="74">
                  <c:v>0</c:v>
                </c:pt>
                <c:pt idx="75">
                  <c:v>194</c:v>
                </c:pt>
                <c:pt idx="76">
                  <c:v>66</c:v>
                </c:pt>
                <c:pt idx="77">
                  <c:v>0</c:v>
                </c:pt>
                <c:pt idx="78">
                  <c:v>2380</c:v>
                </c:pt>
                <c:pt idx="79">
                  <c:v>0</c:v>
                </c:pt>
                <c:pt idx="80">
                  <c:v>672</c:v>
                </c:pt>
                <c:pt idx="81">
                  <c:v>500</c:v>
                </c:pt>
                <c:pt idx="82">
                  <c:v>500</c:v>
                </c:pt>
                <c:pt idx="83">
                  <c:v>0</c:v>
                </c:pt>
                <c:pt idx="84">
                  <c:v>856</c:v>
                </c:pt>
                <c:pt idx="85">
                  <c:v>0</c:v>
                </c:pt>
                <c:pt idx="86">
                  <c:v>103</c:v>
                </c:pt>
                <c:pt idx="87">
                  <c:v>60</c:v>
                </c:pt>
                <c:pt idx="88">
                  <c:v>800</c:v>
                </c:pt>
                <c:pt idx="89">
                  <c:v>182</c:v>
                </c:pt>
                <c:pt idx="90">
                  <c:v>240</c:v>
                </c:pt>
                <c:pt idx="91">
                  <c:v>405</c:v>
                </c:pt>
                <c:pt idx="92">
                  <c:v>1138</c:v>
                </c:pt>
                <c:pt idx="93">
                  <c:v>289</c:v>
                </c:pt>
                <c:pt idx="94">
                  <c:v>0</c:v>
                </c:pt>
                <c:pt idx="95">
                  <c:v>159</c:v>
                </c:pt>
                <c:pt idx="96">
                  <c:v>0</c:v>
                </c:pt>
                <c:pt idx="97">
                  <c:v>0</c:v>
                </c:pt>
                <c:pt idx="98">
                  <c:v>1481</c:v>
                </c:pt>
                <c:pt idx="99">
                  <c:v>2500</c:v>
                </c:pt>
                <c:pt idx="100">
                  <c:v>191</c:v>
                </c:pt>
                <c:pt idx="101">
                  <c:v>1500</c:v>
                </c:pt>
                <c:pt idx="102">
                  <c:v>694</c:v>
                </c:pt>
                <c:pt idx="103">
                  <c:v>290</c:v>
                </c:pt>
                <c:pt idx="104">
                  <c:v>1258</c:v>
                </c:pt>
                <c:pt idx="105">
                  <c:v>650</c:v>
                </c:pt>
                <c:pt idx="106">
                  <c:v>547</c:v>
                </c:pt>
                <c:pt idx="107">
                  <c:v>0</c:v>
                </c:pt>
                <c:pt idx="108">
                  <c:v>0</c:v>
                </c:pt>
                <c:pt idx="109">
                  <c:v>0</c:v>
                </c:pt>
                <c:pt idx="110">
                  <c:v>0</c:v>
                </c:pt>
                <c:pt idx="111">
                  <c:v>0</c:v>
                </c:pt>
                <c:pt idx="112">
                  <c:v>0</c:v>
                </c:pt>
                <c:pt idx="113">
                  <c:v>0</c:v>
                </c:pt>
                <c:pt idx="114">
                  <c:v>0</c:v>
                </c:pt>
                <c:pt idx="115">
                  <c:v>147</c:v>
                </c:pt>
                <c:pt idx="116">
                  <c:v>170</c:v>
                </c:pt>
                <c:pt idx="117">
                  <c:v>807</c:v>
                </c:pt>
                <c:pt idx="118">
                  <c:v>0</c:v>
                </c:pt>
                <c:pt idx="119">
                  <c:v>0</c:v>
                </c:pt>
                <c:pt idx="120">
                  <c:v>123</c:v>
                </c:pt>
                <c:pt idx="121">
                  <c:v>3486</c:v>
                </c:pt>
                <c:pt idx="122">
                  <c:v>0</c:v>
                </c:pt>
                <c:pt idx="123">
                  <c:v>0</c:v>
                </c:pt>
                <c:pt idx="124">
                  <c:v>0</c:v>
                </c:pt>
                <c:pt idx="125">
                  <c:v>0</c:v>
                </c:pt>
                <c:pt idx="126">
                  <c:v>0</c:v>
                </c:pt>
                <c:pt idx="127">
                  <c:v>276</c:v>
                </c:pt>
                <c:pt idx="128">
                  <c:v>180</c:v>
                </c:pt>
                <c:pt idx="129">
                  <c:v>0</c:v>
                </c:pt>
                <c:pt idx="130">
                  <c:v>0</c:v>
                </c:pt>
                <c:pt idx="131">
                  <c:v>0</c:v>
                </c:pt>
                <c:pt idx="132">
                  <c:v>114</c:v>
                </c:pt>
                <c:pt idx="133">
                  <c:v>49</c:v>
                </c:pt>
                <c:pt idx="134">
                  <c:v>0</c:v>
                </c:pt>
                <c:pt idx="135">
                  <c:v>0</c:v>
                </c:pt>
                <c:pt idx="136">
                  <c:v>570</c:v>
                </c:pt>
                <c:pt idx="137">
                  <c:v>0</c:v>
                </c:pt>
                <c:pt idx="138">
                  <c:v>0</c:v>
                </c:pt>
                <c:pt idx="139">
                  <c:v>209</c:v>
                </c:pt>
                <c:pt idx="140">
                  <c:v>266</c:v>
                </c:pt>
                <c:pt idx="141">
                  <c:v>42</c:v>
                </c:pt>
                <c:pt idx="142">
                  <c:v>166</c:v>
                </c:pt>
                <c:pt idx="143">
                  <c:v>263</c:v>
                </c:pt>
                <c:pt idx="144">
                  <c:v>0</c:v>
                </c:pt>
                <c:pt idx="145">
                  <c:v>309</c:v>
                </c:pt>
                <c:pt idx="146">
                  <c:v>69</c:v>
                </c:pt>
                <c:pt idx="147">
                  <c:v>76</c:v>
                </c:pt>
                <c:pt idx="148">
                  <c:v>218</c:v>
                </c:pt>
                <c:pt idx="149">
                  <c:v>41</c:v>
                </c:pt>
                <c:pt idx="150">
                  <c:v>0</c:v>
                </c:pt>
                <c:pt idx="151">
                  <c:v>113</c:v>
                </c:pt>
                <c:pt idx="152">
                  <c:v>0</c:v>
                </c:pt>
                <c:pt idx="153">
                  <c:v>547</c:v>
                </c:pt>
                <c:pt idx="154">
                  <c:v>632</c:v>
                </c:pt>
                <c:pt idx="155">
                  <c:v>0</c:v>
                </c:pt>
                <c:pt idx="156">
                  <c:v>0</c:v>
                </c:pt>
                <c:pt idx="157">
                  <c:v>4645</c:v>
                </c:pt>
                <c:pt idx="158">
                  <c:v>4104</c:v>
                </c:pt>
                <c:pt idx="159">
                  <c:v>361</c:v>
                </c:pt>
                <c:pt idx="160">
                  <c:v>1380</c:v>
                </c:pt>
                <c:pt idx="161">
                  <c:v>0</c:v>
                </c:pt>
                <c:pt idx="162">
                  <c:v>281</c:v>
                </c:pt>
                <c:pt idx="163">
                  <c:v>854</c:v>
                </c:pt>
                <c:pt idx="164">
                  <c:v>1089</c:v>
                </c:pt>
                <c:pt idx="165">
                  <c:v>300</c:v>
                </c:pt>
                <c:pt idx="166">
                  <c:v>0</c:v>
                </c:pt>
                <c:pt idx="167">
                  <c:v>3095</c:v>
                </c:pt>
                <c:pt idx="168">
                  <c:v>0</c:v>
                </c:pt>
                <c:pt idx="169">
                  <c:v>13302</c:v>
                </c:pt>
                <c:pt idx="170">
                  <c:v>11375</c:v>
                </c:pt>
                <c:pt idx="171">
                  <c:v>0</c:v>
                </c:pt>
                <c:pt idx="172">
                  <c:v>0</c:v>
                </c:pt>
                <c:pt idx="173">
                  <c:v>882</c:v>
                </c:pt>
                <c:pt idx="174">
                  <c:v>2245</c:v>
                </c:pt>
                <c:pt idx="175">
                  <c:v>846</c:v>
                </c:pt>
                <c:pt idx="176">
                  <c:v>0</c:v>
                </c:pt>
                <c:pt idx="177">
                  <c:v>0</c:v>
                </c:pt>
                <c:pt idx="178">
                  <c:v>191</c:v>
                </c:pt>
                <c:pt idx="179">
                  <c:v>0</c:v>
                </c:pt>
                <c:pt idx="180">
                  <c:v>264</c:v>
                </c:pt>
                <c:pt idx="181">
                  <c:v>1397</c:v>
                </c:pt>
                <c:pt idx="182">
                  <c:v>0</c:v>
                </c:pt>
                <c:pt idx="183">
                  <c:v>778</c:v>
                </c:pt>
                <c:pt idx="184">
                  <c:v>0</c:v>
                </c:pt>
                <c:pt idx="185">
                  <c:v>612</c:v>
                </c:pt>
                <c:pt idx="186">
                  <c:v>0</c:v>
                </c:pt>
                <c:pt idx="187">
                  <c:v>0</c:v>
                </c:pt>
                <c:pt idx="188">
                  <c:v>0</c:v>
                </c:pt>
                <c:pt idx="189">
                  <c:v>307</c:v>
                </c:pt>
                <c:pt idx="190">
                  <c:v>0</c:v>
                </c:pt>
                <c:pt idx="191">
                  <c:v>38</c:v>
                </c:pt>
                <c:pt idx="192">
                  <c:v>3475</c:v>
                </c:pt>
                <c:pt idx="193">
                  <c:v>0</c:v>
                </c:pt>
                <c:pt idx="194">
                  <c:v>325</c:v>
                </c:pt>
                <c:pt idx="195">
                  <c:v>233</c:v>
                </c:pt>
                <c:pt idx="196">
                  <c:v>0</c:v>
                </c:pt>
                <c:pt idx="197">
                  <c:v>136</c:v>
                </c:pt>
                <c:pt idx="198">
                  <c:v>1000</c:v>
                </c:pt>
                <c:pt idx="199">
                  <c:v>500</c:v>
                </c:pt>
                <c:pt idx="200">
                  <c:v>173</c:v>
                </c:pt>
                <c:pt idx="201">
                  <c:v>256</c:v>
                </c:pt>
                <c:pt idx="202">
                  <c:v>11564</c:v>
                </c:pt>
                <c:pt idx="203">
                  <c:v>0</c:v>
                </c:pt>
                <c:pt idx="204">
                  <c:v>0</c:v>
                </c:pt>
                <c:pt idx="205">
                  <c:v>253</c:v>
                </c:pt>
                <c:pt idx="206">
                  <c:v>0</c:v>
                </c:pt>
                <c:pt idx="207">
                  <c:v>500</c:v>
                </c:pt>
                <c:pt idx="208">
                  <c:v>1775</c:v>
                </c:pt>
                <c:pt idx="209">
                  <c:v>103</c:v>
                </c:pt>
                <c:pt idx="210">
                  <c:v>80</c:v>
                </c:pt>
                <c:pt idx="211">
                  <c:v>91</c:v>
                </c:pt>
                <c:pt idx="212">
                  <c:v>534</c:v>
                </c:pt>
                <c:pt idx="213">
                  <c:v>0</c:v>
                </c:pt>
                <c:pt idx="214">
                  <c:v>0</c:v>
                </c:pt>
                <c:pt idx="215">
                  <c:v>958</c:v>
                </c:pt>
                <c:pt idx="216">
                  <c:v>0</c:v>
                </c:pt>
                <c:pt idx="217">
                  <c:v>0</c:v>
                </c:pt>
                <c:pt idx="218">
                  <c:v>0</c:v>
                </c:pt>
                <c:pt idx="219">
                  <c:v>499</c:v>
                </c:pt>
                <c:pt idx="220">
                  <c:v>0</c:v>
                </c:pt>
                <c:pt idx="221">
                  <c:v>1055</c:v>
                </c:pt>
                <c:pt idx="222">
                  <c:v>122</c:v>
                </c:pt>
                <c:pt idx="223">
                  <c:v>2810</c:v>
                </c:pt>
                <c:pt idx="224">
                  <c:v>3946</c:v>
                </c:pt>
                <c:pt idx="225">
                  <c:v>2000</c:v>
                </c:pt>
                <c:pt idx="226">
                  <c:v>52</c:v>
                </c:pt>
                <c:pt idx="227">
                  <c:v>0</c:v>
                </c:pt>
                <c:pt idx="228">
                  <c:v>0</c:v>
                </c:pt>
                <c:pt idx="229">
                  <c:v>351</c:v>
                </c:pt>
                <c:pt idx="230">
                  <c:v>253</c:v>
                </c:pt>
                <c:pt idx="231">
                  <c:v>0</c:v>
                </c:pt>
                <c:pt idx="232">
                  <c:v>165</c:v>
                </c:pt>
                <c:pt idx="233">
                  <c:v>219</c:v>
                </c:pt>
                <c:pt idx="234">
                  <c:v>0</c:v>
                </c:pt>
                <c:pt idx="235">
                  <c:v>0</c:v>
                </c:pt>
                <c:pt idx="236">
                  <c:v>2920</c:v>
                </c:pt>
                <c:pt idx="237">
                  <c:v>0</c:v>
                </c:pt>
                <c:pt idx="238">
                  <c:v>0</c:v>
                </c:pt>
                <c:pt idx="239">
                  <c:v>0</c:v>
                </c:pt>
                <c:pt idx="240">
                  <c:v>6016</c:v>
                </c:pt>
                <c:pt idx="241">
                  <c:v>745</c:v>
                </c:pt>
                <c:pt idx="242">
                  <c:v>0</c:v>
                </c:pt>
                <c:pt idx="243">
                  <c:v>3785</c:v>
                </c:pt>
                <c:pt idx="244">
                  <c:v>2115</c:v>
                </c:pt>
                <c:pt idx="245">
                  <c:v>0</c:v>
                </c:pt>
                <c:pt idx="246">
                  <c:v>300</c:v>
                </c:pt>
                <c:pt idx="247">
                  <c:v>5950</c:v>
                </c:pt>
                <c:pt idx="248">
                  <c:v>1670</c:v>
                </c:pt>
                <c:pt idx="249">
                  <c:v>0</c:v>
                </c:pt>
                <c:pt idx="250">
                  <c:v>0</c:v>
                </c:pt>
                <c:pt idx="251">
                  <c:v>0</c:v>
                </c:pt>
                <c:pt idx="252">
                  <c:v>175</c:v>
                </c:pt>
                <c:pt idx="253">
                  <c:v>0</c:v>
                </c:pt>
                <c:pt idx="254">
                  <c:v>172</c:v>
                </c:pt>
                <c:pt idx="255">
                  <c:v>3500</c:v>
                </c:pt>
                <c:pt idx="256">
                  <c:v>0</c:v>
                </c:pt>
                <c:pt idx="257">
                  <c:v>0</c:v>
                </c:pt>
                <c:pt idx="258">
                  <c:v>0</c:v>
                </c:pt>
                <c:pt idx="259">
                  <c:v>59</c:v>
                </c:pt>
                <c:pt idx="260">
                  <c:v>67</c:v>
                </c:pt>
                <c:pt idx="261">
                  <c:v>0</c:v>
                </c:pt>
                <c:pt idx="262">
                  <c:v>0</c:v>
                </c:pt>
                <c:pt idx="263">
                  <c:v>523</c:v>
                </c:pt>
                <c:pt idx="264">
                  <c:v>0</c:v>
                </c:pt>
                <c:pt idx="265">
                  <c:v>0</c:v>
                </c:pt>
                <c:pt idx="266">
                  <c:v>1077</c:v>
                </c:pt>
                <c:pt idx="267">
                  <c:v>235</c:v>
                </c:pt>
                <c:pt idx="268">
                  <c:v>396</c:v>
                </c:pt>
                <c:pt idx="269">
                  <c:v>0</c:v>
                </c:pt>
                <c:pt idx="270">
                  <c:v>87</c:v>
                </c:pt>
                <c:pt idx="271">
                  <c:v>0</c:v>
                </c:pt>
                <c:pt idx="272">
                  <c:v>218</c:v>
                </c:pt>
                <c:pt idx="273">
                  <c:v>63</c:v>
                </c:pt>
                <c:pt idx="274">
                  <c:v>39</c:v>
                </c:pt>
                <c:pt idx="275">
                  <c:v>0</c:v>
                </c:pt>
                <c:pt idx="276">
                  <c:v>0</c:v>
                </c:pt>
                <c:pt idx="277">
                  <c:v>0</c:v>
                </c:pt>
                <c:pt idx="278">
                  <c:v>0</c:v>
                </c:pt>
                <c:pt idx="279">
                  <c:v>0</c:v>
                </c:pt>
                <c:pt idx="280">
                  <c:v>0</c:v>
                </c:pt>
                <c:pt idx="281">
                  <c:v>0</c:v>
                </c:pt>
                <c:pt idx="282">
                  <c:v>0</c:v>
                </c:pt>
                <c:pt idx="283">
                  <c:v>329</c:v>
                </c:pt>
                <c:pt idx="284">
                  <c:v>0</c:v>
                </c:pt>
                <c:pt idx="285">
                  <c:v>0</c:v>
                </c:pt>
                <c:pt idx="286">
                  <c:v>0</c:v>
                </c:pt>
                <c:pt idx="287">
                  <c:v>0</c:v>
                </c:pt>
                <c:pt idx="288">
                  <c:v>0</c:v>
                </c:pt>
                <c:pt idx="289">
                  <c:v>0</c:v>
                </c:pt>
                <c:pt idx="290">
                  <c:v>36</c:v>
                </c:pt>
                <c:pt idx="291">
                  <c:v>161</c:v>
                </c:pt>
                <c:pt idx="292">
                  <c:v>626</c:v>
                </c:pt>
                <c:pt idx="293">
                  <c:v>989</c:v>
                </c:pt>
                <c:pt idx="294">
                  <c:v>401</c:v>
                </c:pt>
                <c:pt idx="295">
                  <c:v>266</c:v>
                </c:pt>
                <c:pt idx="296">
                  <c:v>93</c:v>
                </c:pt>
                <c:pt idx="297">
                  <c:v>78</c:v>
                </c:pt>
                <c:pt idx="298">
                  <c:v>0</c:v>
                </c:pt>
                <c:pt idx="299">
                  <c:v>121</c:v>
                </c:pt>
                <c:pt idx="300">
                  <c:v>426</c:v>
                </c:pt>
                <c:pt idx="301">
                  <c:v>344</c:v>
                </c:pt>
                <c:pt idx="302">
                  <c:v>474</c:v>
                </c:pt>
                <c:pt idx="303">
                  <c:v>724</c:v>
                </c:pt>
                <c:pt idx="304">
                  <c:v>489</c:v>
                </c:pt>
                <c:pt idx="305">
                  <c:v>356</c:v>
                </c:pt>
                <c:pt idx="306">
                  <c:v>0</c:v>
                </c:pt>
                <c:pt idx="307">
                  <c:v>0</c:v>
                </c:pt>
                <c:pt idx="308">
                  <c:v>0</c:v>
                </c:pt>
                <c:pt idx="309">
                  <c:v>0</c:v>
                </c:pt>
                <c:pt idx="310">
                  <c:v>0</c:v>
                </c:pt>
                <c:pt idx="311">
                  <c:v>0</c:v>
                </c:pt>
                <c:pt idx="312">
                  <c:v>0</c:v>
                </c:pt>
                <c:pt idx="313">
                  <c:v>0</c:v>
                </c:pt>
                <c:pt idx="314">
                  <c:v>0</c:v>
                </c:pt>
                <c:pt idx="315">
                  <c:v>0</c:v>
                </c:pt>
                <c:pt idx="316">
                  <c:v>314</c:v>
                </c:pt>
                <c:pt idx="317">
                  <c:v>323</c:v>
                </c:pt>
                <c:pt idx="318">
                  <c:v>0</c:v>
                </c:pt>
                <c:pt idx="319">
                  <c:v>154</c:v>
                </c:pt>
                <c:pt idx="320">
                  <c:v>2186</c:v>
                </c:pt>
                <c:pt idx="321">
                  <c:v>2248</c:v>
                </c:pt>
                <c:pt idx="322">
                  <c:v>2285</c:v>
                </c:pt>
                <c:pt idx="323">
                  <c:v>908</c:v>
                </c:pt>
                <c:pt idx="324">
                  <c:v>838</c:v>
                </c:pt>
                <c:pt idx="325">
                  <c:v>798</c:v>
                </c:pt>
                <c:pt idx="326">
                  <c:v>580</c:v>
                </c:pt>
                <c:pt idx="327">
                  <c:v>847</c:v>
                </c:pt>
                <c:pt idx="328">
                  <c:v>343</c:v>
                </c:pt>
                <c:pt idx="329">
                  <c:v>86</c:v>
                </c:pt>
                <c:pt idx="330">
                  <c:v>42</c:v>
                </c:pt>
                <c:pt idx="331">
                  <c:v>570</c:v>
                </c:pt>
                <c:pt idx="332">
                  <c:v>1155</c:v>
                </c:pt>
                <c:pt idx="333">
                  <c:v>664</c:v>
                </c:pt>
                <c:pt idx="334">
                  <c:v>1207</c:v>
                </c:pt>
                <c:pt idx="335">
                  <c:v>39</c:v>
                </c:pt>
                <c:pt idx="336">
                  <c:v>927</c:v>
                </c:pt>
                <c:pt idx="337">
                  <c:v>123</c:v>
                </c:pt>
                <c:pt idx="338">
                  <c:v>73</c:v>
                </c:pt>
                <c:pt idx="339">
                  <c:v>85</c:v>
                </c:pt>
                <c:pt idx="340">
                  <c:v>256</c:v>
                </c:pt>
                <c:pt idx="341">
                  <c:v>263</c:v>
                </c:pt>
                <c:pt idx="342">
                  <c:v>1698</c:v>
                </c:pt>
                <c:pt idx="343">
                  <c:v>702</c:v>
                </c:pt>
                <c:pt idx="344">
                  <c:v>0</c:v>
                </c:pt>
                <c:pt idx="345">
                  <c:v>0</c:v>
                </c:pt>
                <c:pt idx="346">
                  <c:v>0</c:v>
                </c:pt>
                <c:pt idx="347">
                  <c:v>0</c:v>
                </c:pt>
                <c:pt idx="348">
                  <c:v>0</c:v>
                </c:pt>
                <c:pt idx="349">
                  <c:v>0</c:v>
                </c:pt>
                <c:pt idx="350">
                  <c:v>0</c:v>
                </c:pt>
                <c:pt idx="351">
                  <c:v>0</c:v>
                </c:pt>
                <c:pt idx="352">
                  <c:v>609</c:v>
                </c:pt>
                <c:pt idx="353">
                  <c:v>82</c:v>
                </c:pt>
                <c:pt idx="354">
                  <c:v>118</c:v>
                </c:pt>
                <c:pt idx="355">
                  <c:v>280</c:v>
                </c:pt>
                <c:pt idx="356">
                  <c:v>314</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318</c:v>
                </c:pt>
                <c:pt idx="377">
                  <c:v>125</c:v>
                </c:pt>
                <c:pt idx="378">
                  <c:v>373</c:v>
                </c:pt>
                <c:pt idx="379">
                  <c:v>384</c:v>
                </c:pt>
                <c:pt idx="380">
                  <c:v>101</c:v>
                </c:pt>
                <c:pt idx="381">
                  <c:v>140</c:v>
                </c:pt>
                <c:pt idx="382">
                  <c:v>157</c:v>
                </c:pt>
                <c:pt idx="383">
                  <c:v>217</c:v>
                </c:pt>
                <c:pt idx="384">
                  <c:v>230</c:v>
                </c:pt>
                <c:pt idx="385">
                  <c:v>285</c:v>
                </c:pt>
                <c:pt idx="386">
                  <c:v>1169</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194</c:v>
                </c:pt>
                <c:pt idx="437">
                  <c:v>0</c:v>
                </c:pt>
                <c:pt idx="438">
                  <c:v>670</c:v>
                </c:pt>
                <c:pt idx="439">
                  <c:v>0</c:v>
                </c:pt>
                <c:pt idx="440">
                  <c:v>0</c:v>
                </c:pt>
                <c:pt idx="441">
                  <c:v>1500</c:v>
                </c:pt>
                <c:pt idx="442">
                  <c:v>16050</c:v>
                </c:pt>
                <c:pt idx="443">
                  <c:v>5240</c:v>
                </c:pt>
                <c:pt idx="444">
                  <c:v>8172</c:v>
                </c:pt>
                <c:pt idx="445">
                  <c:v>2015</c:v>
                </c:pt>
                <c:pt idx="446">
                  <c:v>3368</c:v>
                </c:pt>
                <c:pt idx="447">
                  <c:v>756</c:v>
                </c:pt>
                <c:pt idx="448">
                  <c:v>0</c:v>
                </c:pt>
                <c:pt idx="449">
                  <c:v>0</c:v>
                </c:pt>
                <c:pt idx="450">
                  <c:v>0</c:v>
                </c:pt>
                <c:pt idx="451">
                  <c:v>127</c:v>
                </c:pt>
                <c:pt idx="452">
                  <c:v>410</c:v>
                </c:pt>
                <c:pt idx="453">
                  <c:v>0</c:v>
                </c:pt>
                <c:pt idx="454">
                  <c:v>375</c:v>
                </c:pt>
                <c:pt idx="455">
                  <c:v>487</c:v>
                </c:pt>
                <c:pt idx="456">
                  <c:v>1663</c:v>
                </c:pt>
                <c:pt idx="457">
                  <c:v>144</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176</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332</c:v>
                </c:pt>
                <c:pt idx="503">
                  <c:v>0</c:v>
                </c:pt>
                <c:pt idx="504">
                  <c:v>0</c:v>
                </c:pt>
                <c:pt idx="505">
                  <c:v>1663</c:v>
                </c:pt>
                <c:pt idx="506">
                  <c:v>0</c:v>
                </c:pt>
                <c:pt idx="507">
                  <c:v>0</c:v>
                </c:pt>
                <c:pt idx="508">
                  <c:v>128</c:v>
                </c:pt>
                <c:pt idx="509">
                  <c:v>0</c:v>
                </c:pt>
                <c:pt idx="510">
                  <c:v>191</c:v>
                </c:pt>
                <c:pt idx="511">
                  <c:v>508</c:v>
                </c:pt>
                <c:pt idx="512">
                  <c:v>0</c:v>
                </c:pt>
                <c:pt idx="513">
                  <c:v>245</c:v>
                </c:pt>
                <c:pt idx="514">
                  <c:v>117</c:v>
                </c:pt>
                <c:pt idx="515">
                  <c:v>1228</c:v>
                </c:pt>
                <c:pt idx="516">
                  <c:v>61</c:v>
                </c:pt>
                <c:pt idx="517">
                  <c:v>0</c:v>
                </c:pt>
                <c:pt idx="518">
                  <c:v>0</c:v>
                </c:pt>
                <c:pt idx="519">
                  <c:v>0</c:v>
                </c:pt>
                <c:pt idx="520">
                  <c:v>0</c:v>
                </c:pt>
                <c:pt idx="521">
                  <c:v>0</c:v>
                </c:pt>
                <c:pt idx="522">
                  <c:v>610</c:v>
                </c:pt>
                <c:pt idx="523">
                  <c:v>500</c:v>
                </c:pt>
                <c:pt idx="524">
                  <c:v>0</c:v>
                </c:pt>
                <c:pt idx="525">
                  <c:v>4679</c:v>
                </c:pt>
                <c:pt idx="526">
                  <c:v>184</c:v>
                </c:pt>
                <c:pt idx="527">
                  <c:v>1713</c:v>
                </c:pt>
                <c:pt idx="528">
                  <c:v>96</c:v>
                </c:pt>
                <c:pt idx="529">
                  <c:v>1000</c:v>
                </c:pt>
                <c:pt idx="530">
                  <c:v>2652</c:v>
                </c:pt>
                <c:pt idx="531">
                  <c:v>241</c:v>
                </c:pt>
                <c:pt idx="532">
                  <c:v>249</c:v>
                </c:pt>
                <c:pt idx="533">
                  <c:v>332</c:v>
                </c:pt>
              </c:numCache>
            </c:numRef>
          </c:val>
          <c:extLst>
            <c:ext xmlns:c16="http://schemas.microsoft.com/office/drawing/2014/chart" uri="{C3380CC4-5D6E-409C-BE32-E72D297353CC}">
              <c16:uniqueId val="{00000001-AA6C-47F1-9AB0-98C69D3B90AD}"/>
            </c:ext>
          </c:extLst>
        </c:ser>
        <c:ser>
          <c:idx val="2"/>
          <c:order val="2"/>
          <c:tx>
            <c:strRef>
              <c:f>'By Camps'!$B$34</c:f>
              <c:strCache>
                <c:ptCount val="1"/>
                <c:pt idx="0">
                  <c:v># of people access to functioning  sanitation facilities</c:v>
                </c:pt>
              </c:strCache>
            </c:strRef>
          </c:tx>
          <c:spPr>
            <a:solidFill>
              <a:schemeClr val="accent2">
                <a:lumMod val="75000"/>
              </a:schemeClr>
            </a:solidFill>
            <a:ln>
              <a:noFill/>
            </a:ln>
            <a:effectLst/>
          </c:spPr>
          <c:invertIfNegative val="0"/>
          <c:cat>
            <c:strRef>
              <c:f>'By Camps'!$B$34</c:f>
              <c:strCache>
                <c:ptCount val="534"/>
                <c:pt idx="0">
                  <c:v>5 Ward RC Church(lon Khin)</c:v>
                </c:pt>
                <c:pt idx="1">
                  <c:v>AD-2000 Extension camp</c:v>
                </c:pt>
                <c:pt idx="2">
                  <c:v>AD-2000 Tharthana Compound</c:v>
                </c:pt>
                <c:pt idx="3">
                  <c:v>AG Church, Hmaw Si Sa</c:v>
                </c:pt>
                <c:pt idx="4">
                  <c:v>AG Church, Maw Wan</c:v>
                </c:pt>
                <c:pt idx="5">
                  <c:v>Agritural Compound (KBC)</c:v>
                </c:pt>
                <c:pt idx="6">
                  <c:v>Ah Htet Gar Pu</c:v>
                </c:pt>
                <c:pt idx="7">
                  <c:v>Ah Nauk Pyin</c:v>
                </c:pt>
                <c:pt idx="8">
                  <c:v>Ah Nauk Ye Ku Lar</c:v>
                </c:pt>
                <c:pt idx="9">
                  <c:v>Ah Nauk Ywe</c:v>
                </c:pt>
                <c:pt idx="10">
                  <c:v>Ah Pauk Wa</c:v>
                </c:pt>
                <c:pt idx="11">
                  <c:v>Aung Thar Church</c:v>
                </c:pt>
                <c:pt idx="12">
                  <c:v>Aung Thar Yar</c:v>
                </c:pt>
                <c:pt idx="13">
                  <c:v>Baptist Church, Hmaw Si Sar(Lon Khin)</c:v>
                </c:pt>
                <c:pt idx="14">
                  <c:v>Basare</c:v>
                </c:pt>
                <c:pt idx="15">
                  <c:v>Baw Du Pha 1</c:v>
                </c:pt>
                <c:pt idx="16">
                  <c:v>Baw Du Pha 2</c:v>
                </c:pt>
                <c:pt idx="17">
                  <c:v>Baw Du Pha Village</c:v>
                </c:pt>
                <c:pt idx="18">
                  <c:v>Bhamo_Host Families</c:v>
                </c:pt>
                <c:pt idx="19">
                  <c:v>Border Post 8</c:v>
                </c:pt>
                <c:pt idx="20">
                  <c:v>Bum Tsit Pa</c:v>
                </c:pt>
                <c:pt idx="21">
                  <c:v>Chaik Taung</c:v>
                </c:pt>
                <c:pt idx="22">
                  <c:v>Chin Church, Seik Mu</c:v>
                </c:pt>
                <c:pt idx="23">
                  <c:v>Chipwi KBC camp</c:v>
                </c:pt>
                <c:pt idx="24">
                  <c:v>Dar Pai</c:v>
                </c:pt>
                <c:pt idx="25">
                  <c:v>Dar Pai (IDP in host families)</c:v>
                </c:pt>
                <c:pt idx="26">
                  <c:v>Dhama Rakhita, Nyein Chan Tar Yar Ward(Lon Khin)</c:v>
                </c:pt>
                <c:pt idx="27">
                  <c:v>Doke Kan Chaung</c:v>
                </c:pt>
                <c:pt idx="28">
                  <c:v>Done Thein</c:v>
                </c:pt>
                <c:pt idx="29">
                  <c:v>Du Kahtawng Baptist</c:v>
                </c:pt>
                <c:pt idx="30">
                  <c:v>Dum Bung </c:v>
                </c:pt>
                <c:pt idx="31">
                  <c:v>Gar Pu (Lower)</c:v>
                </c:pt>
                <c:pt idx="32">
                  <c:v>Goke Pi Htaunt</c:v>
                </c:pt>
                <c:pt idx="33">
                  <c:v>Gone Nar</c:v>
                </c:pt>
                <c:pt idx="34">
                  <c:v>Gwa Sone Rakhine</c:v>
                </c:pt>
                <c:pt idx="35">
                  <c:v>Hka Shi</c:v>
                </c:pt>
                <c:pt idx="36">
                  <c:v>Hkat Cho </c:v>
                </c:pt>
                <c:pt idx="37">
                  <c:v>Hkau Shau (BP 12)</c:v>
                </c:pt>
                <c:pt idx="38">
                  <c:v>Hla May Shwe</c:v>
                </c:pt>
                <c:pt idx="39">
                  <c:v>Hla Nyo Kan</c:v>
                </c:pt>
                <c:pt idx="40">
                  <c:v>Hlaing Naung Baptist</c:v>
                </c:pt>
                <c:pt idx="41">
                  <c:v>Hmaw Wan, Anglican</c:v>
                </c:pt>
                <c:pt idx="42">
                  <c:v>Hopin Host Families</c:v>
                </c:pt>
                <c:pt idx="43">
                  <c:v>Hpai Kawng</c:v>
                </c:pt>
                <c:pt idx="44">
                  <c:v>Hpai Kawng Mare</c:v>
                </c:pt>
                <c:pt idx="45">
                  <c:v>Hpakant Baptist Church, Nam Ma Hpit</c:v>
                </c:pt>
                <c:pt idx="46">
                  <c:v>Hpare Hkyer - BP6</c:v>
                </c:pt>
                <c:pt idx="47">
                  <c:v>Hpun Lum Yang </c:v>
                </c:pt>
                <c:pt idx="48">
                  <c:v>Htoi San Church</c:v>
                </c:pt>
                <c:pt idx="49">
                  <c:v>IDP Boarding School, A Len Bum</c:v>
                </c:pt>
                <c:pt idx="50">
                  <c:v>In Bar Yi</c:v>
                </c:pt>
                <c:pt idx="51">
                  <c:v>Inn Hpauk</c:v>
                </c:pt>
                <c:pt idx="52">
                  <c:v>Inn Lel Yan - Host Families</c:v>
                </c:pt>
                <c:pt idx="53">
                  <c:v>Jan Mai Kawng Baptist Church</c:v>
                </c:pt>
                <c:pt idx="54">
                  <c:v>Jan Mai Kawng Catholic Church</c:v>
                </c:pt>
                <c:pt idx="55">
                  <c:v>Je Yang Hka </c:v>
                </c:pt>
                <c:pt idx="56">
                  <c:v>Ka Doe Seik</c:v>
                </c:pt>
                <c:pt idx="57">
                  <c:v>Ka Nyin Taw</c:v>
                </c:pt>
                <c:pt idx="58">
                  <c:v>Kachin Su Baptist Church (ECCD)</c:v>
                </c:pt>
                <c:pt idx="59">
                  <c:v>Kan Thar Htwat Wa</c:v>
                </c:pt>
                <c:pt idx="60">
                  <c:v>Khar Nan (1) Baptist Church</c:v>
                </c:pt>
                <c:pt idx="61">
                  <c:v>Khaung Htoke</c:v>
                </c:pt>
                <c:pt idx="62">
                  <c:v>Khun Sint Village</c:v>
                </c:pt>
                <c:pt idx="63">
                  <c:v>Kin Chaung</c:v>
                </c:pt>
                <c:pt idx="64">
                  <c:v>Kone Khem Camp</c:v>
                </c:pt>
                <c:pt idx="65">
                  <c:v>Kutkai downtown (KBC Church)</c:v>
                </c:pt>
                <c:pt idx="66">
                  <c:v>Kutkai downtown (KBC Church-2)</c:v>
                </c:pt>
                <c:pt idx="67">
                  <c:v>Kutkai downtown (RC Church)</c:v>
                </c:pt>
                <c:pt idx="68">
                  <c:v>Kyar Nyo Inn</c:v>
                </c:pt>
                <c:pt idx="69">
                  <c:v>Kyar Nyo Pyin (Muslim)</c:v>
                </c:pt>
                <c:pt idx="70">
                  <c:v>Kyauk Se</c:v>
                </c:pt>
                <c:pt idx="71">
                  <c:v>Kyauk Ta Lone</c:v>
                </c:pt>
                <c:pt idx="72">
                  <c:v>Kyein Ni Pyin</c:v>
                </c:pt>
                <c:pt idx="73">
                  <c:v>Kyet Taw Pyin</c:v>
                </c:pt>
                <c:pt idx="74">
                  <c:v>Kyu Sot</c:v>
                </c:pt>
                <c:pt idx="75">
                  <c:v>Kyun Pin Thar Baptist Church</c:v>
                </c:pt>
                <c:pt idx="76">
                  <c:v>Kyun Taw Baptist Church </c:v>
                </c:pt>
                <c:pt idx="77">
                  <c:v>Laiza Je Yang School</c:v>
                </c:pt>
                <c:pt idx="78">
                  <c:v>Lana Zup Ja</c:v>
                </c:pt>
                <c:pt idx="79">
                  <c:v>Lawk Awng Mare D. (Sinbo Area)</c:v>
                </c:pt>
                <c:pt idx="80">
                  <c:v>Lawng Hkang Shait Yang Camp​ ( Lel Pyin)​ </c:v>
                </c:pt>
                <c:pt idx="81">
                  <c:v>Le Kone Bethlehem Church</c:v>
                </c:pt>
                <c:pt idx="82">
                  <c:v>Le Kone Ziun Baptist Church </c:v>
                </c:pt>
                <c:pt idx="83">
                  <c:v>Let Saung Kauk</c:v>
                </c:pt>
                <c:pt idx="84">
                  <c:v>Lhaovao Baptist Church (LBC)</c:v>
                </c:pt>
                <c:pt idx="85">
                  <c:v>Lisu Baptist Church</c:v>
                </c:pt>
                <c:pt idx="86">
                  <c:v>Lisu Baptist Church, Maw Shan Vil,. Seik Mu</c:v>
                </c:pt>
                <c:pt idx="87">
                  <c:v>Lisu Baptist Church, Maw Wan Ward</c:v>
                </c:pt>
                <c:pt idx="88">
                  <c:v>Lisu Boarding-House</c:v>
                </c:pt>
                <c:pt idx="89">
                  <c:v>Lisu Church Namtu</c:v>
                </c:pt>
                <c:pt idx="90">
                  <c:v>Loi Je Baptist Church</c:v>
                </c:pt>
                <c:pt idx="91">
                  <c:v>Loi Je Catholic Church</c:v>
                </c:pt>
                <c:pt idx="92">
                  <c:v>Loi Je Lisu Camp</c:v>
                </c:pt>
                <c:pt idx="93">
                  <c:v>Lung Sut</c:v>
                </c:pt>
                <c:pt idx="94">
                  <c:v>Lwegel High School</c:v>
                </c:pt>
                <c:pt idx="95">
                  <c:v>Mading Baptist Church</c:v>
                </c:pt>
                <c:pt idx="96">
                  <c:v>Maga Yang </c:v>
                </c:pt>
                <c:pt idx="97">
                  <c:v>Maina AG Church</c:v>
                </c:pt>
                <c:pt idx="98">
                  <c:v>Maina Catholic Church (St. Joseph)</c:v>
                </c:pt>
                <c:pt idx="99">
                  <c:v>Maina KBC (Bawng Ring)</c:v>
                </c:pt>
                <c:pt idx="100">
                  <c:v>Maina Lawang Baptist Church</c:v>
                </c:pt>
                <c:pt idx="101">
                  <c:v>Maing Khaung</c:v>
                </c:pt>
                <c:pt idx="102">
                  <c:v>Maing Khaung Catholic Church</c:v>
                </c:pt>
                <c:pt idx="103">
                  <c:v>Maliyang Baptist Church</c:v>
                </c:pt>
                <c:pt idx="104">
                  <c:v>Man Bung Catholic compound</c:v>
                </c:pt>
                <c:pt idx="105">
                  <c:v>Man Bung Edin Baptist Church</c:v>
                </c:pt>
                <c:pt idx="106">
                  <c:v>Man Hkring Baptist Church</c:v>
                </c:pt>
                <c:pt idx="107">
                  <c:v>Man Kaung/Naung Ti Kyar Village</c:v>
                </c:pt>
                <c:pt idx="108">
                  <c:v>Man Loi</c:v>
                </c:pt>
                <c:pt idx="109">
                  <c:v>Man Wing Baptist Church</c:v>
                </c:pt>
                <c:pt idx="110">
                  <c:v>Man Wing Baptist Church Cultural Compound</c:v>
                </c:pt>
                <c:pt idx="111">
                  <c:v>Man Wing Catholic Church</c:v>
                </c:pt>
                <c:pt idx="112">
                  <c:v>Man Wing Catholic Church II</c:v>
                </c:pt>
                <c:pt idx="113">
                  <c:v>Man Wing Host Families</c:v>
                </c:pt>
                <c:pt idx="114">
                  <c:v>Mandalay Monestry</c:v>
                </c:pt>
                <c:pt idx="115">
                  <c:v>Mandung - Jinghpaw</c:v>
                </c:pt>
                <c:pt idx="116">
                  <c:v>Mandung - RC</c:v>
                </c:pt>
                <c:pt idx="117">
                  <c:v>Mansi Baptist Church</c:v>
                </c:pt>
                <c:pt idx="118">
                  <c:v>Mansi_Host Families</c:v>
                </c:pt>
                <c:pt idx="119">
                  <c:v>Maw Hpawng Hka Nan Baptist Church</c:v>
                </c:pt>
                <c:pt idx="120">
                  <c:v>Maw Hpawng Lhaovo Baptist Church</c:v>
                </c:pt>
                <c:pt idx="121">
                  <c:v>Maw Ti Ngar</c:v>
                </c:pt>
                <c:pt idx="122">
                  <c:v>Maw Wan, Mu-yin Baptist Church</c:v>
                </c:pt>
                <c:pt idx="123">
                  <c:v>Min Thar Seik</c:v>
                </c:pt>
                <c:pt idx="124">
                  <c:v>Moenyin Host Families</c:v>
                </c:pt>
                <c:pt idx="125">
                  <c:v>Momauk Baptist Church</c:v>
                </c:pt>
                <c:pt idx="126">
                  <c:v>Momauk_Host Families</c:v>
                </c:pt>
                <c:pt idx="127">
                  <c:v>Mong Wee Shan</c:v>
                </c:pt>
                <c:pt idx="128">
                  <c:v>Mung Hawm </c:v>
                </c:pt>
                <c:pt idx="129">
                  <c:v>Mungji Pa Dabang (Baptist Church)</c:v>
                </c:pt>
                <c:pt idx="130">
                  <c:v>Mungji Pa Dabang (Catholic Church)</c:v>
                </c:pt>
                <c:pt idx="131">
                  <c:v>Muse Baptist Church</c:v>
                </c:pt>
                <c:pt idx="132">
                  <c:v>Muse Catholic Church</c:v>
                </c:pt>
                <c:pt idx="133">
                  <c:v>Mu-yin Baptist Church</c:v>
                </c:pt>
                <c:pt idx="134">
                  <c:v>Muyin church (Aung Yar pre-school compound)</c:v>
                </c:pt>
                <c:pt idx="135">
                  <c:v>Myo Thit </c:v>
                </c:pt>
                <c:pt idx="136">
                  <c:v>Nam Hkam - Nay Win Ni (Palawng)</c:v>
                </c:pt>
                <c:pt idx="137">
                  <c:v>Nam Hkam (KBC Jaw Wang)</c:v>
                </c:pt>
                <c:pt idx="138">
                  <c:v>Nam Hkam (KBC Jaw Wang) II</c:v>
                </c:pt>
                <c:pt idx="139">
                  <c:v>Nam Hkam Catholic Church ( St. Thomas I)</c:v>
                </c:pt>
                <c:pt idx="140">
                  <c:v>Nam Hpak Ka Mare </c:v>
                </c:pt>
                <c:pt idx="141">
                  <c:v>Nam Ma Phyit, COC</c:v>
                </c:pt>
                <c:pt idx="142">
                  <c:v>Nam Sa Larp</c:v>
                </c:pt>
                <c:pt idx="143">
                  <c:v>Nam Tu Baptist</c:v>
                </c:pt>
                <c:pt idx="144">
                  <c:v>Namhkan - Pang Long KBC</c:v>
                </c:pt>
                <c:pt idx="145">
                  <c:v>Nan Kway St. John Catholic Church</c:v>
                </c:pt>
                <c:pt idx="146">
                  <c:v>Nan Yah Gone Ahtet</c:v>
                </c:pt>
                <c:pt idx="147">
                  <c:v>Nant Hlaing Church</c:v>
                </c:pt>
                <c:pt idx="148">
                  <c:v>Nant Ma Hpit Catholic Church</c:v>
                </c:pt>
                <c:pt idx="149">
                  <c:v>Nat Gyi Kone Baptist Church </c:v>
                </c:pt>
                <c:pt idx="150">
                  <c:v>Nawng Hee Village</c:v>
                </c:pt>
                <c:pt idx="151">
                  <c:v>Nawng Ing (Indawgyi) Baptist Church </c:v>
                </c:pt>
                <c:pt idx="152">
                  <c:v>Nay Pu Khan</c:v>
                </c:pt>
                <c:pt idx="153">
                  <c:v>Ndup Yang</c:v>
                </c:pt>
                <c:pt idx="154">
                  <c:v>New Pang Ku </c:v>
                </c:pt>
                <c:pt idx="155">
                  <c:v>Nga Ta Paung</c:v>
                </c:pt>
                <c:pt idx="156">
                  <c:v>Ngar Yauk Kaing</c:v>
                </c:pt>
                <c:pt idx="157">
                  <c:v>Nget Chaung 1</c:v>
                </c:pt>
                <c:pt idx="158">
                  <c:v>Nget Chaung 2</c:v>
                </c:pt>
                <c:pt idx="159">
                  <c:v>Ngwe Taung</c:v>
                </c:pt>
                <c:pt idx="160">
                  <c:v>Nhkawng Pa </c:v>
                </c:pt>
                <c:pt idx="161">
                  <c:v>NiDin</c:v>
                </c:pt>
                <c:pt idx="162">
                  <c:v>Njang Dung Baptist Church </c:v>
                </c:pt>
                <c:pt idx="163">
                  <c:v>Nwar Yone Taung</c:v>
                </c:pt>
                <c:pt idx="164">
                  <c:v>Nyaung Chaung</c:v>
                </c:pt>
                <c:pt idx="165">
                  <c:v>Nyaung Na Pin </c:v>
                </c:pt>
                <c:pt idx="166">
                  <c:v>Nyaung Pin Gyi (Ku Lar)</c:v>
                </c:pt>
                <c:pt idx="167">
                  <c:v>Ohn Taw Chay</c:v>
                </c:pt>
                <c:pt idx="168">
                  <c:v>Ohn Taw Gyi</c:v>
                </c:pt>
                <c:pt idx="169">
                  <c:v>Ohn Taw Gyi (North)</c:v>
                </c:pt>
                <c:pt idx="170">
                  <c:v>Ohn Taw Gyi (South)</c:v>
                </c:pt>
                <c:pt idx="171">
                  <c:v>Oke Hpo (Oe Hpauk)</c:v>
                </c:pt>
                <c:pt idx="172">
                  <c:v>Oke Taung Pyin</c:v>
                </c:pt>
                <c:pt idx="173">
                  <c:v>Pa Dauk Myaing(Pa La Na)</c:v>
                </c:pt>
                <c:pt idx="174">
                  <c:v>Pa Kahtawng </c:v>
                </c:pt>
                <c:pt idx="175">
                  <c:v>Pajau - Jan Mai</c:v>
                </c:pt>
                <c:pt idx="176">
                  <c:v>Palae' Kaine</c:v>
                </c:pt>
                <c:pt idx="177">
                  <c:v>Pale Taung</c:v>
                </c:pt>
                <c:pt idx="178">
                  <c:v>Pan Law</c:v>
                </c:pt>
                <c:pt idx="179">
                  <c:v>Pan Ta Pyae</c:v>
                </c:pt>
                <c:pt idx="180">
                  <c:v>Pan Wa</c:v>
                </c:pt>
                <c:pt idx="181">
                  <c:v>Paung Zar</c:v>
                </c:pt>
                <c:pt idx="182">
                  <c:v>Pe Tha Du</c:v>
                </c:pt>
                <c:pt idx="183">
                  <c:v>Phan Khar Kone</c:v>
                </c:pt>
                <c:pt idx="184">
                  <c:v>Pin Zaing</c:v>
                </c:pt>
                <c:pt idx="185">
                  <c:v>Post 6 Camp</c:v>
                </c:pt>
                <c:pt idx="186">
                  <c:v>Pyaing Chaung</c:v>
                </c:pt>
                <c:pt idx="187">
                  <c:v>Pyaung Seik</c:v>
                </c:pt>
                <c:pt idx="188">
                  <c:v>Qtr. 2 Lhaovo Baptist Church</c:v>
                </c:pt>
                <c:pt idx="189">
                  <c:v>Qtr. 2 Myoma Baptist Church</c:v>
                </c:pt>
                <c:pt idx="190">
                  <c:v>Qtr. 3 Mu-yin  Baptist Church</c:v>
                </c:pt>
                <c:pt idx="191">
                  <c:v>Rawan Baptist Church, Maw Shan Vil., Seik Mu</c:v>
                </c:pt>
                <c:pt idx="192">
                  <c:v>Robert Church</c:v>
                </c:pt>
                <c:pt idx="193">
                  <c:v>Robert -Middle school</c:v>
                </c:pt>
                <c:pt idx="194">
                  <c:v>Salang Yang</c:v>
                </c:pt>
                <c:pt idx="195">
                  <c:v>San Go Taung</c:v>
                </c:pt>
                <c:pt idx="196">
                  <c:v>San Htoe Tan</c:v>
                </c:pt>
                <c:pt idx="197">
                  <c:v>Sar Hmaw - KBC</c:v>
                </c:pt>
                <c:pt idx="198">
                  <c:v>Sat Roe Kya 1</c:v>
                </c:pt>
                <c:pt idx="199">
                  <c:v>Sat Roe Kya 2</c:v>
                </c:pt>
                <c:pt idx="200">
                  <c:v>Saw Zam</c:v>
                </c:pt>
                <c:pt idx="201">
                  <c:v>Say Taung</c:v>
                </c:pt>
                <c:pt idx="202">
                  <c:v>Say Tha Mar Gyi</c:v>
                </c:pt>
                <c:pt idx="203">
                  <c:v>Say Tha Mar Gyi village</c:v>
                </c:pt>
                <c:pt idx="204">
                  <c:v>Say Tha Mar Nge</c:v>
                </c:pt>
                <c:pt idx="205">
                  <c:v>Seng Ja </c:v>
                </c:pt>
                <c:pt idx="206">
                  <c:v>Set Yone Su 1</c:v>
                </c:pt>
                <c:pt idx="207">
                  <c:v>Set Yone Su 3 (Mingan)</c:v>
                </c:pt>
                <c:pt idx="208">
                  <c:v>Sha-It Yang</c:v>
                </c:pt>
                <c:pt idx="209">
                  <c:v>Shar Du Zut KBC church </c:v>
                </c:pt>
                <c:pt idx="210">
                  <c:v>Shar Du Zut SanPya</c:v>
                </c:pt>
                <c:pt idx="211">
                  <c:v>Shat Shar Taung</c:v>
                </c:pt>
                <c:pt idx="212">
                  <c:v>Shatapru Sut Ngai Tawng</c:v>
                </c:pt>
                <c:pt idx="213">
                  <c:v>Shatapru Thida Aye Baptist Church</c:v>
                </c:pt>
                <c:pt idx="214">
                  <c:v>Shauk Chaung</c:v>
                </c:pt>
                <c:pt idx="215">
                  <c:v>Shing Jai</c:v>
                </c:pt>
                <c:pt idx="216">
                  <c:v>Shwe Gu Baptist Church</c:v>
                </c:pt>
                <c:pt idx="217">
                  <c:v>Shwe Gu Catholic Church</c:v>
                </c:pt>
                <c:pt idx="218">
                  <c:v>Shwe Hlaing</c:v>
                </c:pt>
                <c:pt idx="219">
                  <c:v>Shwe Zet Baptist Church</c:v>
                </c:pt>
                <c:pt idx="220">
                  <c:v>Shwe Zin Khin (Rakhine)</c:v>
                </c:pt>
                <c:pt idx="221">
                  <c:v>Sin Aing</c:v>
                </c:pt>
                <c:pt idx="222">
                  <c:v>Sin Bo</c:v>
                </c:pt>
                <c:pt idx="223">
                  <c:v>Sin Tet Maw</c:v>
                </c:pt>
                <c:pt idx="224">
                  <c:v>Sin Tet Maw (Host)</c:v>
                </c:pt>
                <c:pt idx="225">
                  <c:v>Sin Tet Maw Rakhine(Baw Da Li)</c:v>
                </c:pt>
                <c:pt idx="226">
                  <c:v>St. Patrick Catholic Church </c:v>
                </c:pt>
                <c:pt idx="227">
                  <c:v>Sumprabum</c:v>
                </c:pt>
                <c:pt idx="228">
                  <c:v>Tanai CoC</c:v>
                </c:pt>
                <c:pt idx="229">
                  <c:v>Tat Kone Baptist Church</c:v>
                </c:pt>
                <c:pt idx="230">
                  <c:v>Tat Kone COC Baptist - Tat Kone Htoi San</c:v>
                </c:pt>
                <c:pt idx="231">
                  <c:v>Tat Kone Emanuel Church</c:v>
                </c:pt>
                <c:pt idx="232">
                  <c:v>Tat Kone Galile Baptist Church</c:v>
                </c:pt>
                <c:pt idx="233">
                  <c:v>Tat Kone San Pya Baptist Church</c:v>
                </c:pt>
                <c:pt idx="234">
                  <c:v>Taung Htaung</c:v>
                </c:pt>
                <c:pt idx="235">
                  <c:v>Taung Htaung Ha Yar</c:v>
                </c:pt>
                <c:pt idx="236">
                  <c:v>Taung Paw</c:v>
                </c:pt>
                <c:pt idx="237">
                  <c:v>Tha Dar</c:v>
                </c:pt>
                <c:pt idx="238">
                  <c:v>Tha Yet Oke Ywar Haung</c:v>
                </c:pt>
                <c:pt idx="239">
                  <c:v>Tha Yet Oke Ywar Thit</c:v>
                </c:pt>
                <c:pt idx="240">
                  <c:v>Thae Chaung</c:v>
                </c:pt>
                <c:pt idx="241">
                  <c:v>Thae Chaung(Rakhine)</c:v>
                </c:pt>
                <c:pt idx="242">
                  <c:v>Thargaya Lisu Baptist Church</c:v>
                </c:pt>
                <c:pt idx="243">
                  <c:v>Thea Chaung Ku Lar</c:v>
                </c:pt>
                <c:pt idx="244">
                  <c:v>Thea Chaung Let Tha Mar Kone</c:v>
                </c:pt>
                <c:pt idx="245">
                  <c:v>Thein Tan</c:v>
                </c:pt>
                <c:pt idx="246">
                  <c:v>Thein Tan (Rakhine)</c:v>
                </c:pt>
                <c:pt idx="247">
                  <c:v>Thet Kae Pyin </c:v>
                </c:pt>
                <c:pt idx="248">
                  <c:v>Thet Kae Pyin Village (IDPs in host family)</c:v>
                </c:pt>
                <c:pt idx="249">
                  <c:v>Thet Kay Pyin Ywar Ma</c:v>
                </c:pt>
                <c:pt idx="250">
                  <c:v>Thone Gwa</c:v>
                </c:pt>
                <c:pt idx="251">
                  <c:v>Tote Tan Ward</c:v>
                </c:pt>
                <c:pt idx="252">
                  <c:v>Tsan Lun - Namjarap</c:v>
                </c:pt>
                <c:pt idx="253">
                  <c:v>Waingmaw AG Church</c:v>
                </c:pt>
                <c:pt idx="254">
                  <c:v>Ward 2 Sai Taung Baptist Church, Seik Mu </c:v>
                </c:pt>
                <c:pt idx="255">
                  <c:v>Woi Chyai </c:v>
                </c:pt>
                <c:pt idx="256">
                  <c:v>Woi Chyai (Mong Lai)</c:v>
                </c:pt>
                <c:pt idx="257">
                  <c:v>Woi Chyai host families</c:v>
                </c:pt>
                <c:pt idx="258">
                  <c:v>Yet Khone Taing</c:v>
                </c:pt>
                <c:pt idx="259">
                  <c:v>Yoe Kyi Monastery</c:v>
                </c:pt>
                <c:pt idx="260">
                  <c:v>Yumar Baptist Church</c:v>
                </c:pt>
                <c:pt idx="261">
                  <c:v>Yun Nyar</c:v>
                </c:pt>
                <c:pt idx="262">
                  <c:v>Ywar Thar Yar</c:v>
                </c:pt>
                <c:pt idx="263">
                  <c:v>Zaw Ma Tat</c:v>
                </c:pt>
                <c:pt idx="264">
                  <c:v>Zaw Pu Gyar</c:v>
                </c:pt>
                <c:pt idx="265">
                  <c:v>Zee Khaung</c:v>
                </c:pt>
                <c:pt idx="266">
                  <c:v>Zup Aung Camp</c:v>
                </c:pt>
                <c:pt idx="267">
                  <c:v>Myo Oo St. Dominic RC Church</c:v>
                </c:pt>
                <c:pt idx="268">
                  <c:v>Lan Gwa St.Paul RC Church</c:v>
                </c:pt>
                <c:pt idx="269">
                  <c:v>Emmanuel AG Church</c:v>
                </c:pt>
                <c:pt idx="270">
                  <c:v>Ti Yang Zup</c:v>
                </c:pt>
                <c:pt idx="271">
                  <c:v>Sadung</c:v>
                </c:pt>
                <c:pt idx="272">
                  <c:v>Lawa RC Church</c:v>
                </c:pt>
                <c:pt idx="273">
                  <c:v>Karmaing RC Church</c:v>
                </c:pt>
                <c:pt idx="274">
                  <c:v>Ka Bu Dam CoC</c:v>
                </c:pt>
                <c:pt idx="275">
                  <c:v>Pi Htu_Wa Lar Kan</c:v>
                </c:pt>
                <c:pt idx="276">
                  <c:v>Taung Htaung Hayar_Wa Lar Kan (Ku Lar)</c:v>
                </c:pt>
                <c:pt idx="277">
                  <c:v>Ta Man Thar (Thar Zay)_(Myo)</c:v>
                </c:pt>
                <c:pt idx="278">
                  <c:v>Kyet Yoe Pyin (Ywa Ma)</c:v>
                </c:pt>
                <c:pt idx="279">
                  <c:v>Thin Baw Hla (Rakhine) (Thar Yar Gone)</c:v>
                </c:pt>
                <c:pt idx="280">
                  <c:v>Yae Chan Pyin</c:v>
                </c:pt>
                <c:pt idx="281">
                  <c:v>Kyan Taw</c:v>
                </c:pt>
                <c:pt idx="282">
                  <c:v>Pang Hkawn Yang</c:v>
                </c:pt>
                <c:pt idx="283">
                  <c:v>Lone Khin Catholic Church</c:v>
                </c:pt>
                <c:pt idx="284">
                  <c:v>Zupra</c:v>
                </c:pt>
                <c:pt idx="285">
                  <c:v>Lawt Awng</c:v>
                </c:pt>
                <c:pt idx="286">
                  <c:v>Ban Dang</c:v>
                </c:pt>
                <c:pt idx="287">
                  <c:v>Sut Chyai</c:v>
                </c:pt>
                <c:pt idx="288">
                  <c:v>Da Wei</c:v>
                </c:pt>
                <c:pt idx="289">
                  <c:v>Htai Ra Yang</c:v>
                </c:pt>
                <c:pt idx="290">
                  <c:v>Namatee AG</c:v>
                </c:pt>
                <c:pt idx="291">
                  <c:v>Momauk IDP new Extension camp
(Alen Kawng Lawk)</c:v>
                </c:pt>
                <c:pt idx="292">
                  <c:v>Thar Zay Kone (Thar Zi Kone)</c:v>
                </c:pt>
                <c:pt idx="293">
                  <c:v>Kyauk Hlay Kar</c:v>
                </c:pt>
                <c:pt idx="294">
                  <c:v>Shwe Yin Aye (NaTaLa)</c:v>
                </c:pt>
                <c:pt idx="295">
                  <c:v>Chan Pyin</c:v>
                </c:pt>
                <c:pt idx="296">
                  <c:v>Sa Bai Pin Yin</c:v>
                </c:pt>
                <c:pt idx="297">
                  <c:v>Ma Hawng Baptist Church</c:v>
                </c:pt>
                <c:pt idx="298">
                  <c:v>Tanai KBC Camp</c:v>
                </c:pt>
                <c:pt idx="299">
                  <c:v>Nam Hpak Ka Ta'ang ( Aung Tha Pyay)</c:v>
                </c:pt>
                <c:pt idx="300">
                  <c:v>Mai Yu Lay New (Ta'ang)</c:v>
                </c:pt>
                <c:pt idx="301">
                  <c:v>Mine Yu Lay village ( Old)</c:v>
                </c:pt>
                <c:pt idx="302">
                  <c:v>Namti Labraw Yang KBC Camp</c:v>
                </c:pt>
                <c:pt idx="303">
                  <c:v>Trinity Camp</c:v>
                </c:pt>
                <c:pt idx="304">
                  <c:v>Jaw Masat Camp</c:v>
                </c:pt>
                <c:pt idx="305">
                  <c:v>Waimaw Baptist Zonal Office 2</c:v>
                </c:pt>
                <c:pt idx="306">
                  <c:v>Pa Dauk Myaing(Pa La Na)-II</c:v>
                </c:pt>
                <c:pt idx="307">
                  <c:v>Kar Di (Middle)</c:v>
                </c:pt>
                <c:pt idx="308">
                  <c:v>Pyar</c:v>
                </c:pt>
                <c:pt idx="309">
                  <c:v>Kar Di Ha Yar</c:v>
                </c:pt>
                <c:pt idx="310">
                  <c:v>Ngar Saung Bet</c:v>
                </c:pt>
                <c:pt idx="311">
                  <c:v>Sabei Hla</c:v>
                </c:pt>
                <c:pt idx="312">
                  <c:v>San Thar Pyin</c:v>
                </c:pt>
                <c:pt idx="313">
                  <c:v>Thin Ga Net</c:v>
                </c:pt>
                <c:pt idx="314">
                  <c:v>Pon Nar</c:v>
                </c:pt>
                <c:pt idx="315">
                  <c:v>St. Joseph Tanai RC camp </c:v>
                </c:pt>
                <c:pt idx="316">
                  <c:v>Aung Zay Ya</c:v>
                </c:pt>
                <c:pt idx="317">
                  <c:v>Pyin Hpyu Maw</c:v>
                </c:pt>
                <c:pt idx="318">
                  <c:v>Galeng (Palaung) &amp; Kone Khem</c:v>
                </c:pt>
                <c:pt idx="319">
                  <c:v>Hu Hku &amp; Ho Hko</c:v>
                </c:pt>
                <c:pt idx="320">
                  <c:v>Khaung Doke Khar 2 (Hmanzi)</c:v>
                </c:pt>
                <c:pt idx="321">
                  <c:v>Khaung Doke Khar 1</c:v>
                </c:pt>
                <c:pt idx="322">
                  <c:v>Phwe Yar Kone (Say Tha Mar Gyi)</c:v>
                </c:pt>
                <c:pt idx="323">
                  <c:v>Htan Shauk Khan</c:v>
                </c:pt>
                <c:pt idx="324">
                  <c:v>Ah Twin Hnget Thay</c:v>
                </c:pt>
                <c:pt idx="325">
                  <c:v>Pyar Pin Yin</c:v>
                </c:pt>
                <c:pt idx="326">
                  <c:v>Ward (1)</c:v>
                </c:pt>
                <c:pt idx="327">
                  <c:v>Sha Kay Ywa</c:v>
                </c:pt>
                <c:pt idx="328">
                  <c:v>Tha Yet Pyin (Rakhine)</c:v>
                </c:pt>
                <c:pt idx="329">
                  <c:v>Tha Bauk Chaung</c:v>
                </c:pt>
                <c:pt idx="330">
                  <c:v>Baw Li (Rakhine)</c:v>
                </c:pt>
                <c:pt idx="331">
                  <c:v>Baw Li (Muslim)</c:v>
                </c:pt>
                <c:pt idx="332">
                  <c:v>Gwa Sone (Muslim)</c:v>
                </c:pt>
                <c:pt idx="333">
                  <c:v>Gwa Sone (Rakhine)</c:v>
                </c:pt>
                <c:pt idx="334">
                  <c:v>Thay Kan (Muslim)</c:v>
                </c:pt>
                <c:pt idx="335">
                  <c:v>Thay Kan (Rakhine)</c:v>
                </c:pt>
                <c:pt idx="336">
                  <c:v>Na Nwin Ku</c:v>
                </c:pt>
                <c:pt idx="337">
                  <c:v>Kyauk Yant (Rakhine)</c:v>
                </c:pt>
                <c:pt idx="338">
                  <c:v>Than Chay (Rakhine)</c:v>
                </c:pt>
                <c:pt idx="339">
                  <c:v>Kyauk Yit (Rakhine)</c:v>
                </c:pt>
                <c:pt idx="340">
                  <c:v>Shwe Baho</c:v>
                </c:pt>
                <c:pt idx="341">
                  <c:v>Wai Thar Li</c:v>
                </c:pt>
                <c:pt idx="342">
                  <c:v>Ar Kya</c:v>
                </c:pt>
                <c:pt idx="343">
                  <c:v>Ka Yin</c:v>
                </c:pt>
                <c:pt idx="344">
                  <c:v>Gyin Chaung</c:v>
                </c:pt>
                <c:pt idx="345">
                  <c:v>Wa  Lan</c:v>
                </c:pt>
                <c:pt idx="346">
                  <c:v>Wa Lan Kone</c:v>
                </c:pt>
                <c:pt idx="347">
                  <c:v>Na Htoe Pyin</c:v>
                </c:pt>
                <c:pt idx="348">
                  <c:v>Yar Taik</c:v>
                </c:pt>
                <c:pt idx="349">
                  <c:v>Ku Lar Thein</c:v>
                </c:pt>
                <c:pt idx="350">
                  <c:v>Yae Hnyin Chaung</c:v>
                </c:pt>
                <c:pt idx="351">
                  <c:v>Ku Lar Te</c:v>
                </c:pt>
                <c:pt idx="352">
                  <c:v>Auk Thin Pone Than/ Phar Kywe</c:v>
                </c:pt>
                <c:pt idx="353">
                  <c:v>Tha Lu Chaung</c:v>
                </c:pt>
                <c:pt idx="354">
                  <c:v> Zay Ywar </c:v>
                </c:pt>
                <c:pt idx="355">
                  <c:v>Nga Pha Yone</c:v>
                </c:pt>
                <c:pt idx="356">
                  <c:v>Wah Net Yone </c:v>
                </c:pt>
                <c:pt idx="357">
                  <c:v>Kar Hpi Chaung</c:v>
                </c:pt>
                <c:pt idx="358">
                  <c:v>U Gar Hton</c:v>
                </c:pt>
                <c:pt idx="359">
                  <c:v>Ma La Kyun</c:v>
                </c:pt>
                <c:pt idx="360">
                  <c:v>Dway Cha</c:v>
                </c:pt>
                <c:pt idx="361">
                  <c:v>YinYeKan</c:v>
                </c:pt>
                <c:pt idx="362">
                  <c:v>OhnHnanChaung</c:v>
                </c:pt>
                <c:pt idx="363">
                  <c:v>ThonePetChaing</c:v>
                </c:pt>
                <c:pt idx="364">
                  <c:v>MiGyaungTet</c:v>
                </c:pt>
                <c:pt idx="365">
                  <c:v>KaLarChaung</c:v>
                </c:pt>
                <c:pt idx="366">
                  <c:v>PyunTo</c:v>
                </c:pt>
                <c:pt idx="367">
                  <c:v>Sar Pyin</c:v>
                </c:pt>
                <c:pt idx="368">
                  <c:v>Nga Khu Chaung</c:v>
                </c:pt>
                <c:pt idx="369">
                  <c:v>Tha Yet Cho</c:v>
                </c:pt>
                <c:pt idx="370">
                  <c:v>Tha Yet</c:v>
                </c:pt>
                <c:pt idx="371">
                  <c:v>NgweTwinDway</c:v>
                </c:pt>
                <c:pt idx="372">
                  <c:v>NgaWetSway</c:v>
                </c:pt>
                <c:pt idx="373">
                  <c:v>HlaKhaing</c:v>
                </c:pt>
                <c:pt idx="374">
                  <c:v>MinPauk</c:v>
                </c:pt>
                <c:pt idx="375">
                  <c:v>Pyein Chaung (ngwe Twin Dway tract)</c:v>
                </c:pt>
                <c:pt idx="376">
                  <c:v>Shit Thaung Monastery</c:v>
                </c:pt>
                <c:pt idx="377">
                  <c:v>Shaw Me (primary school)</c:v>
                </c:pt>
                <c:pt idx="378">
                  <c:v>Mya Ta Saung Monastery</c:v>
                </c:pt>
                <c:pt idx="379">
                  <c:v>Let Kauk Zay Monastery</c:v>
                </c:pt>
                <c:pt idx="380">
                  <c:v>Phayapaw Phayathein</c:v>
                </c:pt>
                <c:pt idx="381">
                  <c:v>Tin Nyo (Primary school)</c:v>
                </c:pt>
                <c:pt idx="382">
                  <c:v>Shwe Taung Monastery</c:v>
                </c:pt>
                <c:pt idx="383">
                  <c:v>Payar Por Thain Taw Gyi Monastery</c:v>
                </c:pt>
                <c:pt idx="384">
                  <c:v>Chaung Thit Monastery</c:v>
                </c:pt>
                <c:pt idx="385">
                  <c:v>Sin Kae (High School)</c:v>
                </c:pt>
                <c:pt idx="386">
                  <c:v>Sin Khing Baw (Primary School)</c:v>
                </c:pt>
                <c:pt idx="387">
                  <c:v>Chaung New Min Gan</c:v>
                </c:pt>
                <c:pt idx="388">
                  <c:v>Kan Pyin Ywa Haung</c:v>
                </c:pt>
                <c:pt idx="389">
                  <c:v>Kan Pyin Ywar Thit</c:v>
                </c:pt>
                <c:pt idx="390">
                  <c:v>Thone Saung</c:v>
                </c:pt>
                <c:pt idx="391">
                  <c:v>Kyauk Tan Gyi</c:v>
                </c:pt>
                <c:pt idx="392">
                  <c:v>Kyauk Tan Chay</c:v>
                </c:pt>
                <c:pt idx="393">
                  <c:v>Kyar Ma Thauk</c:v>
                </c:pt>
                <c:pt idx="394">
                  <c:v>Done Pyin (North)</c:v>
                </c:pt>
                <c:pt idx="395">
                  <c:v>Done Pyin (South)</c:v>
                </c:pt>
                <c:pt idx="396">
                  <c:v>Maung Ni Pyin</c:v>
                </c:pt>
                <c:pt idx="397">
                  <c:v>Pyar Lay Chaung Ywar Haung</c:v>
                </c:pt>
                <c:pt idx="398">
                  <c:v>Ohn Ye Paw</c:v>
                </c:pt>
                <c:pt idx="399">
                  <c:v>Pyin Shey Ku lar</c:v>
                </c:pt>
                <c:pt idx="400">
                  <c:v>Bu May Ohn Daw Chay</c:v>
                </c:pt>
                <c:pt idx="401">
                  <c:v>Dar Paing Ywar Haung</c:v>
                </c:pt>
                <c:pt idx="402">
                  <c:v>Dar Paing Ywar Thit</c:v>
                </c:pt>
                <c:pt idx="403">
                  <c:v>Sa Ma Nya Village</c:v>
                </c:pt>
                <c:pt idx="404">
                  <c:v>Koe Saung (1) village</c:v>
                </c:pt>
                <c:pt idx="405">
                  <c:v>Thet Kay Pyin</c:v>
                </c:pt>
                <c:pt idx="406">
                  <c:v>Shwe Zin Khin (Ku Lar)</c:v>
                </c:pt>
                <c:pt idx="407">
                  <c:v>Kyan Taik</c:v>
                </c:pt>
                <c:pt idx="408">
                  <c:v>Sat Yon Maw (Rakhine)</c:v>
                </c:pt>
                <c:pt idx="409">
                  <c:v>Ann Thar</c:v>
                </c:pt>
                <c:pt idx="410">
                  <c:v>Naw Naw(Rakhine)</c:v>
                </c:pt>
                <c:pt idx="411">
                  <c:v>Naw Naw(Ku Lar)</c:v>
                </c:pt>
                <c:pt idx="412">
                  <c:v>Ah Pyin Done Chaung</c:v>
                </c:pt>
                <c:pt idx="413">
                  <c:v>Thin Ga Zar</c:v>
                </c:pt>
                <c:pt idx="414">
                  <c:v>Than Shin Ywar Thit</c:v>
                </c:pt>
                <c:pt idx="415">
                  <c:v>Tan Seik</c:v>
                </c:pt>
                <c:pt idx="416">
                  <c:v>Sat Kyar</c:v>
                </c:pt>
                <c:pt idx="417">
                  <c:v>Let Taw Ri</c:v>
                </c:pt>
                <c:pt idx="418">
                  <c:v>Har Ra Paing</c:v>
                </c:pt>
                <c:pt idx="419">
                  <c:v>Kan Hpay</c:v>
                </c:pt>
                <c:pt idx="420">
                  <c:v>Thin Khaung Maw</c:v>
                </c:pt>
                <c:pt idx="421">
                  <c:v>Beik Taung</c:v>
                </c:pt>
                <c:pt idx="422">
                  <c:v>Sa Par Htar</c:v>
                </c:pt>
                <c:pt idx="423">
                  <c:v>Aung Taing</c:v>
                </c:pt>
                <c:pt idx="424">
                  <c:v>Taw Tan</c:v>
                </c:pt>
                <c:pt idx="425">
                  <c:v>Sin Seik</c:v>
                </c:pt>
                <c:pt idx="426">
                  <c:v>Ta Khun Taing</c:v>
                </c:pt>
                <c:pt idx="427">
                  <c:v>Done Thar</c:v>
                </c:pt>
                <c:pt idx="428">
                  <c:v>War Taung</c:v>
                </c:pt>
                <c:pt idx="429">
                  <c:v>Athay Kar La</c:v>
                </c:pt>
                <c:pt idx="430">
                  <c:v>Myin Kan Seik</c:v>
                </c:pt>
                <c:pt idx="431">
                  <c:v>Thar Dar</c:v>
                </c:pt>
                <c:pt idx="432">
                  <c:v>Seik Ta Ra</c:v>
                </c:pt>
                <c:pt idx="433">
                  <c:v>Gwa Sone Chin</c:v>
                </c:pt>
                <c:pt idx="434">
                  <c:v>Taung Poke Kay</c:v>
                </c:pt>
                <c:pt idx="435">
                  <c:v>Shwe Zin Yaw</c:v>
                </c:pt>
                <c:pt idx="436">
                  <c:v>Sasana 2500 monastery</c:v>
                </c:pt>
                <c:pt idx="437">
                  <c:v>Boe Taw monastery</c:v>
                </c:pt>
                <c:pt idx="438">
                  <c:v>Man Li</c:v>
                </c:pt>
                <c:pt idx="439">
                  <c:v>Baw Du Pha Village (IDP in host families)</c:v>
                </c:pt>
                <c:pt idx="440">
                  <c:v>Hka Garan Yang </c:v>
                </c:pt>
                <c:pt idx="441">
                  <c:v>Thein Tan (Ku Lar)</c:v>
                </c:pt>
                <c:pt idx="442">
                  <c:v>Ah Lel Chaung</c:v>
                </c:pt>
                <c:pt idx="443">
                  <c:v>Zay Di Taung</c:v>
                </c:pt>
                <c:pt idx="444">
                  <c:v>Hpon Nyo Leik</c:v>
                </c:pt>
                <c:pt idx="445">
                  <c:v>Kin Taung</c:v>
                </c:pt>
                <c:pt idx="446">
                  <c:v>Aung Tha Pyay</c:v>
                </c:pt>
                <c:pt idx="447">
                  <c:v>Yae Nauk Ngar Thar</c:v>
                </c:pt>
                <c:pt idx="448">
                  <c:v>Thin Pone Tan</c:v>
                </c:pt>
                <c:pt idx="449">
                  <c:v>Kha Tin Paik</c:v>
                </c:pt>
                <c:pt idx="450">
                  <c:v>Thar Yar Kone (Rakhine)</c:v>
                </c:pt>
                <c:pt idx="451">
                  <c:v>Kyar Nyo Pyin</c:v>
                </c:pt>
                <c:pt idx="452">
                  <c:v>Say Oe Kya ( Host+ Displaced)</c:v>
                </c:pt>
                <c:pt idx="453">
                  <c:v>Thay Kan Gwa Sone ( Host)</c:v>
                </c:pt>
                <c:pt idx="454">
                  <c:v>Zay Di Taung  ( Host + Displaced)</c:v>
                </c:pt>
                <c:pt idx="455">
                  <c:v>Pan Myaung (Aung Mingalar Monastery)</c:v>
                </c:pt>
                <c:pt idx="456">
                  <c:v>Gye Kyaung</c:v>
                </c:pt>
                <c:pt idx="457">
                  <c:v>Win Zar</c:v>
                </c:pt>
                <c:pt idx="458">
                  <c:v>Tin Nyo Thit Monastery</c:v>
                </c:pt>
                <c:pt idx="459">
                  <c:v>Thu Yiya Yaung Chi Monastery</c:v>
                </c:pt>
                <c:pt idx="460">
                  <c:v>Ywar Thit Kay Monastery</c:v>
                </c:pt>
                <c:pt idx="461">
                  <c:v>Tin Htein Kan Monastery</c:v>
                </c:pt>
                <c:pt idx="462">
                  <c:v>Thin Pan Kaing</c:v>
                </c:pt>
                <c:pt idx="463">
                  <c:v>Wet Hla Middle School</c:v>
                </c:pt>
                <c:pt idx="464">
                  <c:v>Taung Myint</c:v>
                </c:pt>
                <c:pt idx="465">
                  <c:v>Pi Pin Yin Monastery</c:v>
                </c:pt>
                <c:pt idx="466">
                  <c:v>Aung Tat Ward (Aung Mingalar Monastery)</c:v>
                </c:pt>
                <c:pt idx="467">
                  <c:v>Aung Tat Ward (Aung Zaydi Hpayar Thin)</c:v>
                </c:pt>
                <c:pt idx="468">
                  <c:v>Aung Tat Ward (Dein Kyi Monastery)</c:v>
                </c:pt>
                <c:pt idx="469">
                  <c:v>Aung Tat Ward (Myo Thit Monastery)</c:v>
                </c:pt>
                <c:pt idx="470">
                  <c:v>Aung Tat Ward (Naratsar Hpayar Thin)</c:v>
                </c:pt>
                <c:pt idx="471">
                  <c:v>Myet Yeik Kyun Monastery</c:v>
                </c:pt>
                <c:pt idx="472">
                  <c:v>Tein Nyo</c:v>
                </c:pt>
                <c:pt idx="473">
                  <c:v>Kyauk Reik Kay Monastery</c:v>
                </c:pt>
                <c:pt idx="474">
                  <c:v>Nyaung Bin Hla Village</c:v>
                </c:pt>
                <c:pt idx="475">
                  <c:v>Mya Yaike Kyun</c:v>
                </c:pt>
                <c:pt idx="476">
                  <c:v>Ywar Thit Monastery/Pan Myaung</c:v>
                </c:pt>
                <c:pt idx="477">
                  <c:v>Hpar Kywe Wa</c:v>
                </c:pt>
                <c:pt idx="478">
                  <c:v>Kun Taung</c:v>
                </c:pt>
                <c:pt idx="479">
                  <c:v>Taung Yin School Compound</c:v>
                </c:pt>
                <c:pt idx="480">
                  <c:v>Taung Yin</c:v>
                </c:pt>
                <c:pt idx="481">
                  <c:v>Ban Bwee</c:v>
                </c:pt>
                <c:pt idx="482">
                  <c:v>Nga/Pyauk Se</c:v>
                </c:pt>
                <c:pt idx="483">
                  <c:v>Let Wea Myan</c:v>
                </c:pt>
                <c:pt idx="484">
                  <c:v>Be Kho</c:v>
                </c:pt>
                <c:pt idx="485">
                  <c:v>Nga Sin Rine Kine Primary School</c:v>
                </c:pt>
                <c:pt idx="486">
                  <c:v>Hnget Pyaw Chaung</c:v>
                </c:pt>
                <c:pt idx="487">
                  <c:v>Doke Kan Chaung Monastery</c:v>
                </c:pt>
                <c:pt idx="488">
                  <c:v>Myo Thit Ward</c:v>
                </c:pt>
                <c:pt idx="489">
                  <c:v>Paik Thei Ward</c:v>
                </c:pt>
                <c:pt idx="490">
                  <c:v>Bo Min Monastery</c:v>
                </c:pt>
                <c:pt idx="491">
                  <c:v>Aung Zay Ya Monastery</c:v>
                </c:pt>
                <c:pt idx="492">
                  <c:v>Ba Ra War Monastery</c:v>
                </c:pt>
                <c:pt idx="493">
                  <c:v>Kyar Nin Kan Monastery</c:v>
                </c:pt>
                <c:pt idx="494">
                  <c:v>Zin Khar Chay Monastery</c:v>
                </c:pt>
                <c:pt idx="495">
                  <c:v>Min Hla Kaing</c:v>
                </c:pt>
                <c:pt idx="496">
                  <c:v>Yay Myet</c:v>
                </c:pt>
                <c:pt idx="497">
                  <c:v>Tha Mee Hla</c:v>
                </c:pt>
                <c:pt idx="498">
                  <c:v>Ray Zar Chaung</c:v>
                </c:pt>
                <c:pt idx="499">
                  <c:v>Sin Khone Taing</c:v>
                </c:pt>
                <c:pt idx="500">
                  <c:v>Gan Kya</c:v>
                </c:pt>
                <c:pt idx="501">
                  <c:v>Ba Wan Chaung Wa Su Ward / Monastery</c:v>
                </c:pt>
                <c:pt idx="502">
                  <c:v>Ah Htet Thin Pone Tan</c:v>
                </c:pt>
                <c:pt idx="503">
                  <c:v>Kan Sauk</c:v>
                </c:pt>
                <c:pt idx="504">
                  <c:v>Taung Min Ku Lar</c:v>
                </c:pt>
                <c:pt idx="505">
                  <c:v>Kyun Taw</c:v>
                </c:pt>
                <c:pt idx="506">
                  <c:v>Thit Pok Chaung</c:v>
                </c:pt>
                <c:pt idx="507">
                  <c:v>Kyu Taw Chaing</c:v>
                </c:pt>
                <c:pt idx="508">
                  <c:v>Auk Thar Kan</c:v>
                </c:pt>
                <c:pt idx="509">
                  <c:v>Htan Ma Rit (Kwet Thit)</c:v>
                </c:pt>
                <c:pt idx="510">
                  <c:v>Mra_Zay Di Taung</c:v>
                </c:pt>
                <c:pt idx="511">
                  <c:v>Ah Htet Myat Hle</c:v>
                </c:pt>
                <c:pt idx="512">
                  <c:v>Auk Myat Hle</c:v>
                </c:pt>
                <c:pt idx="513">
                  <c:v>Yoe Ta Yoke</c:v>
                </c:pt>
                <c:pt idx="514">
                  <c:v>Sin Thi Pein Hne Taw</c:v>
                </c:pt>
                <c:pt idx="515">
                  <c:v>War Taung Camp</c:v>
                </c:pt>
                <c:pt idx="516">
                  <c:v>Shwe Thee </c:v>
                </c:pt>
                <c:pt idx="517">
                  <c:v>BUT_Sa Par Htar</c:v>
                </c:pt>
                <c:pt idx="518">
                  <c:v>RAT_Zay Di Pyin</c:v>
                </c:pt>
                <c:pt idx="519">
                  <c:v>Hpet Leik</c:v>
                </c:pt>
                <c:pt idx="520">
                  <c:v>Aung Zay Kone</c:v>
                </c:pt>
                <c:pt idx="521">
                  <c:v>Ah Shey (North) Ward</c:v>
                </c:pt>
                <c:pt idx="522">
                  <c:v>Sin Baw Kaing (School)</c:v>
                </c:pt>
                <c:pt idx="523">
                  <c:v>Sin Baw Kaing (Monastery)</c:v>
                </c:pt>
                <c:pt idx="524">
                  <c:v>KAT_Nyaung Chaung</c:v>
                </c:pt>
                <c:pt idx="525">
                  <c:v>Hpa Yar Pyin Thein Tan</c:v>
                </c:pt>
                <c:pt idx="526">
                  <c:v>Bar Ri Zar</c:v>
                </c:pt>
                <c:pt idx="527">
                  <c:v>Ywa Thit</c:v>
                </c:pt>
                <c:pt idx="528">
                  <c:v>Ywa Haung</c:v>
                </c:pt>
                <c:pt idx="529">
                  <c:v>Zay Di Taung (Rakhine)</c:v>
                </c:pt>
                <c:pt idx="530">
                  <c:v>Teik Tu Pauk</c:v>
                </c:pt>
                <c:pt idx="531">
                  <c:v>Kan Thar Yar</c:v>
                </c:pt>
                <c:pt idx="532">
                  <c:v>Shwe Baho+Sein P M</c:v>
                </c:pt>
                <c:pt idx="533">
                  <c:v>Tat U Chaung (West)</c:v>
                </c:pt>
              </c:strCache>
            </c:strRef>
          </c:cat>
          <c:val>
            <c:numRef>
              <c:f>'By Camps'!$B$34</c:f>
              <c:numCache>
                <c:formatCode>General</c:formatCode>
                <c:ptCount val="534"/>
                <c:pt idx="0">
                  <c:v>0</c:v>
                </c:pt>
                <c:pt idx="1">
                  <c:v>260</c:v>
                </c:pt>
                <c:pt idx="2">
                  <c:v>760</c:v>
                </c:pt>
                <c:pt idx="3">
                  <c:v>371</c:v>
                </c:pt>
                <c:pt idx="4">
                  <c:v>83</c:v>
                </c:pt>
                <c:pt idx="5">
                  <c:v>560</c:v>
                </c:pt>
                <c:pt idx="6">
                  <c:v>0</c:v>
                </c:pt>
                <c:pt idx="7">
                  <c:v>0</c:v>
                </c:pt>
                <c:pt idx="8">
                  <c:v>2050</c:v>
                </c:pt>
                <c:pt idx="9">
                  <c:v>3360</c:v>
                </c:pt>
                <c:pt idx="10">
                  <c:v>0</c:v>
                </c:pt>
                <c:pt idx="11">
                  <c:v>40</c:v>
                </c:pt>
                <c:pt idx="12">
                  <c:v>0</c:v>
                </c:pt>
                <c:pt idx="13">
                  <c:v>200</c:v>
                </c:pt>
                <c:pt idx="14">
                  <c:v>2111</c:v>
                </c:pt>
                <c:pt idx="15">
                  <c:v>4892</c:v>
                </c:pt>
                <c:pt idx="16">
                  <c:v>0</c:v>
                </c:pt>
                <c:pt idx="17">
                  <c:v>0</c:v>
                </c:pt>
                <c:pt idx="18">
                  <c:v>0</c:v>
                </c:pt>
                <c:pt idx="19">
                  <c:v>458</c:v>
                </c:pt>
                <c:pt idx="20">
                  <c:v>1661</c:v>
                </c:pt>
                <c:pt idx="21">
                  <c:v>0</c:v>
                </c:pt>
                <c:pt idx="22">
                  <c:v>31</c:v>
                </c:pt>
                <c:pt idx="23">
                  <c:v>830</c:v>
                </c:pt>
                <c:pt idx="24">
                  <c:v>8260</c:v>
                </c:pt>
                <c:pt idx="25">
                  <c:v>0</c:v>
                </c:pt>
                <c:pt idx="26">
                  <c:v>377</c:v>
                </c:pt>
                <c:pt idx="27">
                  <c:v>0</c:v>
                </c:pt>
                <c:pt idx="28">
                  <c:v>0</c:v>
                </c:pt>
                <c:pt idx="29">
                  <c:v>140</c:v>
                </c:pt>
                <c:pt idx="30">
                  <c:v>458</c:v>
                </c:pt>
                <c:pt idx="31">
                  <c:v>0</c:v>
                </c:pt>
                <c:pt idx="32">
                  <c:v>0</c:v>
                </c:pt>
                <c:pt idx="33">
                  <c:v>0</c:v>
                </c:pt>
                <c:pt idx="34">
                  <c:v>0</c:v>
                </c:pt>
                <c:pt idx="35">
                  <c:v>0</c:v>
                </c:pt>
                <c:pt idx="36">
                  <c:v>400</c:v>
                </c:pt>
                <c:pt idx="37">
                  <c:v>875</c:v>
                </c:pt>
                <c:pt idx="38">
                  <c:v>0</c:v>
                </c:pt>
                <c:pt idx="39">
                  <c:v>0</c:v>
                </c:pt>
                <c:pt idx="40">
                  <c:v>132</c:v>
                </c:pt>
                <c:pt idx="41">
                  <c:v>0</c:v>
                </c:pt>
                <c:pt idx="42">
                  <c:v>0</c:v>
                </c:pt>
                <c:pt idx="43">
                  <c:v>494</c:v>
                </c:pt>
                <c:pt idx="44">
                  <c:v>779</c:v>
                </c:pt>
                <c:pt idx="45">
                  <c:v>519</c:v>
                </c:pt>
                <c:pt idx="46">
                  <c:v>640</c:v>
                </c:pt>
                <c:pt idx="47">
                  <c:v>3652</c:v>
                </c:pt>
                <c:pt idx="48">
                  <c:v>140</c:v>
                </c:pt>
                <c:pt idx="49">
                  <c:v>0</c:v>
                </c:pt>
                <c:pt idx="50">
                  <c:v>0</c:v>
                </c:pt>
                <c:pt idx="51">
                  <c:v>91</c:v>
                </c:pt>
                <c:pt idx="52">
                  <c:v>0</c:v>
                </c:pt>
                <c:pt idx="53">
                  <c:v>860</c:v>
                </c:pt>
                <c:pt idx="54">
                  <c:v>430</c:v>
                </c:pt>
                <c:pt idx="55">
                  <c:v>440</c:v>
                </c:pt>
                <c:pt idx="56">
                  <c:v>420</c:v>
                </c:pt>
                <c:pt idx="57">
                  <c:v>0</c:v>
                </c:pt>
                <c:pt idx="58">
                  <c:v>60</c:v>
                </c:pt>
                <c:pt idx="59">
                  <c:v>0</c:v>
                </c:pt>
                <c:pt idx="60">
                  <c:v>94</c:v>
                </c:pt>
                <c:pt idx="61">
                  <c:v>0</c:v>
                </c:pt>
                <c:pt idx="62">
                  <c:v>0</c:v>
                </c:pt>
                <c:pt idx="63">
                  <c:v>0</c:v>
                </c:pt>
                <c:pt idx="64">
                  <c:v>442</c:v>
                </c:pt>
                <c:pt idx="65">
                  <c:v>240</c:v>
                </c:pt>
                <c:pt idx="66">
                  <c:v>156</c:v>
                </c:pt>
                <c:pt idx="67">
                  <c:v>0</c:v>
                </c:pt>
                <c:pt idx="68">
                  <c:v>0</c:v>
                </c:pt>
                <c:pt idx="69">
                  <c:v>0</c:v>
                </c:pt>
                <c:pt idx="70">
                  <c:v>0</c:v>
                </c:pt>
                <c:pt idx="71">
                  <c:v>989</c:v>
                </c:pt>
                <c:pt idx="72">
                  <c:v>2780</c:v>
                </c:pt>
                <c:pt idx="73">
                  <c:v>0</c:v>
                </c:pt>
                <c:pt idx="74">
                  <c:v>0</c:v>
                </c:pt>
                <c:pt idx="75">
                  <c:v>80</c:v>
                </c:pt>
                <c:pt idx="76">
                  <c:v>66</c:v>
                </c:pt>
                <c:pt idx="77">
                  <c:v>320</c:v>
                </c:pt>
                <c:pt idx="78">
                  <c:v>2080</c:v>
                </c:pt>
                <c:pt idx="79">
                  <c:v>0</c:v>
                </c:pt>
                <c:pt idx="80">
                  <c:v>360</c:v>
                </c:pt>
                <c:pt idx="81">
                  <c:v>160</c:v>
                </c:pt>
                <c:pt idx="82">
                  <c:v>640</c:v>
                </c:pt>
                <c:pt idx="83">
                  <c:v>0</c:v>
                </c:pt>
                <c:pt idx="84">
                  <c:v>856</c:v>
                </c:pt>
                <c:pt idx="85">
                  <c:v>0</c:v>
                </c:pt>
                <c:pt idx="86">
                  <c:v>80</c:v>
                </c:pt>
                <c:pt idx="87">
                  <c:v>40</c:v>
                </c:pt>
                <c:pt idx="88">
                  <c:v>380</c:v>
                </c:pt>
                <c:pt idx="89">
                  <c:v>160</c:v>
                </c:pt>
                <c:pt idx="90">
                  <c:v>180</c:v>
                </c:pt>
                <c:pt idx="91">
                  <c:v>360</c:v>
                </c:pt>
                <c:pt idx="92">
                  <c:v>760</c:v>
                </c:pt>
                <c:pt idx="93">
                  <c:v>40</c:v>
                </c:pt>
                <c:pt idx="94">
                  <c:v>0</c:v>
                </c:pt>
                <c:pt idx="95">
                  <c:v>120</c:v>
                </c:pt>
                <c:pt idx="96">
                  <c:v>1272</c:v>
                </c:pt>
                <c:pt idx="97">
                  <c:v>820</c:v>
                </c:pt>
                <c:pt idx="98">
                  <c:v>1481</c:v>
                </c:pt>
                <c:pt idx="99">
                  <c:v>520</c:v>
                </c:pt>
                <c:pt idx="100">
                  <c:v>191</c:v>
                </c:pt>
                <c:pt idx="101">
                  <c:v>1855</c:v>
                </c:pt>
                <c:pt idx="102">
                  <c:v>694</c:v>
                </c:pt>
                <c:pt idx="103">
                  <c:v>140</c:v>
                </c:pt>
                <c:pt idx="104">
                  <c:v>760</c:v>
                </c:pt>
                <c:pt idx="105">
                  <c:v>560</c:v>
                </c:pt>
                <c:pt idx="106">
                  <c:v>547</c:v>
                </c:pt>
                <c:pt idx="107">
                  <c:v>0</c:v>
                </c:pt>
                <c:pt idx="108">
                  <c:v>0</c:v>
                </c:pt>
                <c:pt idx="109">
                  <c:v>0</c:v>
                </c:pt>
                <c:pt idx="110">
                  <c:v>0</c:v>
                </c:pt>
                <c:pt idx="111">
                  <c:v>0</c:v>
                </c:pt>
                <c:pt idx="112">
                  <c:v>0</c:v>
                </c:pt>
                <c:pt idx="113">
                  <c:v>0</c:v>
                </c:pt>
                <c:pt idx="114">
                  <c:v>13</c:v>
                </c:pt>
                <c:pt idx="115">
                  <c:v>147</c:v>
                </c:pt>
                <c:pt idx="116">
                  <c:v>160</c:v>
                </c:pt>
                <c:pt idx="117">
                  <c:v>800</c:v>
                </c:pt>
                <c:pt idx="118">
                  <c:v>0</c:v>
                </c:pt>
                <c:pt idx="119">
                  <c:v>92</c:v>
                </c:pt>
                <c:pt idx="120">
                  <c:v>100</c:v>
                </c:pt>
                <c:pt idx="121">
                  <c:v>3260</c:v>
                </c:pt>
                <c:pt idx="122">
                  <c:v>0</c:v>
                </c:pt>
                <c:pt idx="123">
                  <c:v>0</c:v>
                </c:pt>
                <c:pt idx="124">
                  <c:v>0</c:v>
                </c:pt>
                <c:pt idx="125">
                  <c:v>160</c:v>
                </c:pt>
                <c:pt idx="126">
                  <c:v>0</c:v>
                </c:pt>
                <c:pt idx="127">
                  <c:v>200</c:v>
                </c:pt>
                <c:pt idx="128">
                  <c:v>180</c:v>
                </c:pt>
                <c:pt idx="129">
                  <c:v>0</c:v>
                </c:pt>
                <c:pt idx="130">
                  <c:v>138</c:v>
                </c:pt>
                <c:pt idx="131">
                  <c:v>207</c:v>
                </c:pt>
                <c:pt idx="132">
                  <c:v>114</c:v>
                </c:pt>
                <c:pt idx="133">
                  <c:v>40</c:v>
                </c:pt>
                <c:pt idx="134">
                  <c:v>0</c:v>
                </c:pt>
                <c:pt idx="135">
                  <c:v>0</c:v>
                </c:pt>
                <c:pt idx="136">
                  <c:v>340</c:v>
                </c:pt>
                <c:pt idx="137">
                  <c:v>0</c:v>
                </c:pt>
                <c:pt idx="138">
                  <c:v>0</c:v>
                </c:pt>
                <c:pt idx="139">
                  <c:v>209</c:v>
                </c:pt>
                <c:pt idx="140">
                  <c:v>220</c:v>
                </c:pt>
                <c:pt idx="141">
                  <c:v>42</c:v>
                </c:pt>
                <c:pt idx="142">
                  <c:v>166</c:v>
                </c:pt>
                <c:pt idx="143">
                  <c:v>160</c:v>
                </c:pt>
                <c:pt idx="144">
                  <c:v>0</c:v>
                </c:pt>
                <c:pt idx="145">
                  <c:v>309</c:v>
                </c:pt>
                <c:pt idx="146">
                  <c:v>69</c:v>
                </c:pt>
                <c:pt idx="147">
                  <c:v>76</c:v>
                </c:pt>
                <c:pt idx="148">
                  <c:v>218</c:v>
                </c:pt>
                <c:pt idx="149">
                  <c:v>41</c:v>
                </c:pt>
                <c:pt idx="150">
                  <c:v>82</c:v>
                </c:pt>
                <c:pt idx="151">
                  <c:v>100</c:v>
                </c:pt>
                <c:pt idx="152">
                  <c:v>0</c:v>
                </c:pt>
                <c:pt idx="153">
                  <c:v>547</c:v>
                </c:pt>
                <c:pt idx="154">
                  <c:v>618</c:v>
                </c:pt>
                <c:pt idx="155">
                  <c:v>0</c:v>
                </c:pt>
                <c:pt idx="156">
                  <c:v>0</c:v>
                </c:pt>
                <c:pt idx="157">
                  <c:v>1780</c:v>
                </c:pt>
                <c:pt idx="158">
                  <c:v>2480</c:v>
                </c:pt>
                <c:pt idx="159">
                  <c:v>0</c:v>
                </c:pt>
                <c:pt idx="160">
                  <c:v>1722</c:v>
                </c:pt>
                <c:pt idx="161">
                  <c:v>260</c:v>
                </c:pt>
                <c:pt idx="162">
                  <c:v>281</c:v>
                </c:pt>
                <c:pt idx="163">
                  <c:v>0</c:v>
                </c:pt>
                <c:pt idx="164">
                  <c:v>0</c:v>
                </c:pt>
                <c:pt idx="165">
                  <c:v>300</c:v>
                </c:pt>
                <c:pt idx="166">
                  <c:v>0</c:v>
                </c:pt>
                <c:pt idx="167">
                  <c:v>3095</c:v>
                </c:pt>
                <c:pt idx="168">
                  <c:v>0</c:v>
                </c:pt>
                <c:pt idx="169">
                  <c:v>6940</c:v>
                </c:pt>
                <c:pt idx="170">
                  <c:v>11375</c:v>
                </c:pt>
                <c:pt idx="171">
                  <c:v>534</c:v>
                </c:pt>
                <c:pt idx="172">
                  <c:v>0</c:v>
                </c:pt>
                <c:pt idx="173">
                  <c:v>882</c:v>
                </c:pt>
                <c:pt idx="174">
                  <c:v>3316</c:v>
                </c:pt>
                <c:pt idx="175">
                  <c:v>846</c:v>
                </c:pt>
                <c:pt idx="176">
                  <c:v>0</c:v>
                </c:pt>
                <c:pt idx="177">
                  <c:v>0</c:v>
                </c:pt>
                <c:pt idx="178">
                  <c:v>191</c:v>
                </c:pt>
                <c:pt idx="179">
                  <c:v>0</c:v>
                </c:pt>
                <c:pt idx="180">
                  <c:v>264</c:v>
                </c:pt>
                <c:pt idx="181">
                  <c:v>0</c:v>
                </c:pt>
                <c:pt idx="182">
                  <c:v>188</c:v>
                </c:pt>
                <c:pt idx="183">
                  <c:v>778</c:v>
                </c:pt>
                <c:pt idx="184">
                  <c:v>0</c:v>
                </c:pt>
                <c:pt idx="185">
                  <c:v>612</c:v>
                </c:pt>
                <c:pt idx="186">
                  <c:v>0</c:v>
                </c:pt>
                <c:pt idx="187">
                  <c:v>0</c:v>
                </c:pt>
                <c:pt idx="188">
                  <c:v>200</c:v>
                </c:pt>
                <c:pt idx="189">
                  <c:v>200</c:v>
                </c:pt>
                <c:pt idx="190">
                  <c:v>160</c:v>
                </c:pt>
                <c:pt idx="191">
                  <c:v>38</c:v>
                </c:pt>
                <c:pt idx="192">
                  <c:v>3000</c:v>
                </c:pt>
                <c:pt idx="193">
                  <c:v>0</c:v>
                </c:pt>
                <c:pt idx="194">
                  <c:v>325</c:v>
                </c:pt>
                <c:pt idx="195">
                  <c:v>233</c:v>
                </c:pt>
                <c:pt idx="196">
                  <c:v>0</c:v>
                </c:pt>
                <c:pt idx="197">
                  <c:v>136</c:v>
                </c:pt>
                <c:pt idx="198">
                  <c:v>0</c:v>
                </c:pt>
                <c:pt idx="199">
                  <c:v>0</c:v>
                </c:pt>
                <c:pt idx="200">
                  <c:v>173</c:v>
                </c:pt>
                <c:pt idx="201">
                  <c:v>0</c:v>
                </c:pt>
                <c:pt idx="202">
                  <c:v>9160</c:v>
                </c:pt>
                <c:pt idx="203">
                  <c:v>0</c:v>
                </c:pt>
                <c:pt idx="204">
                  <c:v>0</c:v>
                </c:pt>
                <c:pt idx="205">
                  <c:v>253</c:v>
                </c:pt>
                <c:pt idx="206">
                  <c:v>0</c:v>
                </c:pt>
                <c:pt idx="207">
                  <c:v>0</c:v>
                </c:pt>
                <c:pt idx="208">
                  <c:v>1775</c:v>
                </c:pt>
                <c:pt idx="209">
                  <c:v>103</c:v>
                </c:pt>
                <c:pt idx="210">
                  <c:v>80</c:v>
                </c:pt>
                <c:pt idx="211">
                  <c:v>0</c:v>
                </c:pt>
                <c:pt idx="212">
                  <c:v>260</c:v>
                </c:pt>
                <c:pt idx="213">
                  <c:v>111</c:v>
                </c:pt>
                <c:pt idx="214">
                  <c:v>0</c:v>
                </c:pt>
                <c:pt idx="215">
                  <c:v>958</c:v>
                </c:pt>
                <c:pt idx="216">
                  <c:v>180</c:v>
                </c:pt>
                <c:pt idx="217">
                  <c:v>169</c:v>
                </c:pt>
                <c:pt idx="218">
                  <c:v>0</c:v>
                </c:pt>
                <c:pt idx="219">
                  <c:v>340</c:v>
                </c:pt>
                <c:pt idx="220">
                  <c:v>0</c:v>
                </c:pt>
                <c:pt idx="221">
                  <c:v>474</c:v>
                </c:pt>
                <c:pt idx="222">
                  <c:v>120</c:v>
                </c:pt>
                <c:pt idx="223">
                  <c:v>2810</c:v>
                </c:pt>
                <c:pt idx="224">
                  <c:v>2058</c:v>
                </c:pt>
                <c:pt idx="225">
                  <c:v>1200</c:v>
                </c:pt>
                <c:pt idx="226">
                  <c:v>52</c:v>
                </c:pt>
                <c:pt idx="227">
                  <c:v>0</c:v>
                </c:pt>
                <c:pt idx="228">
                  <c:v>0</c:v>
                </c:pt>
                <c:pt idx="229">
                  <c:v>220</c:v>
                </c:pt>
                <c:pt idx="230">
                  <c:v>253</c:v>
                </c:pt>
                <c:pt idx="231">
                  <c:v>77</c:v>
                </c:pt>
                <c:pt idx="232">
                  <c:v>100</c:v>
                </c:pt>
                <c:pt idx="233">
                  <c:v>219</c:v>
                </c:pt>
                <c:pt idx="234">
                  <c:v>0</c:v>
                </c:pt>
                <c:pt idx="235">
                  <c:v>0</c:v>
                </c:pt>
                <c:pt idx="236">
                  <c:v>2920</c:v>
                </c:pt>
                <c:pt idx="237">
                  <c:v>0</c:v>
                </c:pt>
                <c:pt idx="238">
                  <c:v>0</c:v>
                </c:pt>
                <c:pt idx="239">
                  <c:v>0</c:v>
                </c:pt>
                <c:pt idx="240">
                  <c:v>3740</c:v>
                </c:pt>
                <c:pt idx="241">
                  <c:v>0</c:v>
                </c:pt>
                <c:pt idx="242">
                  <c:v>140</c:v>
                </c:pt>
                <c:pt idx="243">
                  <c:v>0</c:v>
                </c:pt>
                <c:pt idx="244">
                  <c:v>0</c:v>
                </c:pt>
                <c:pt idx="245">
                  <c:v>0</c:v>
                </c:pt>
                <c:pt idx="246">
                  <c:v>300</c:v>
                </c:pt>
                <c:pt idx="247">
                  <c:v>3940</c:v>
                </c:pt>
                <c:pt idx="248">
                  <c:v>0</c:v>
                </c:pt>
                <c:pt idx="249">
                  <c:v>0</c:v>
                </c:pt>
                <c:pt idx="250">
                  <c:v>0</c:v>
                </c:pt>
                <c:pt idx="251">
                  <c:v>0</c:v>
                </c:pt>
                <c:pt idx="252">
                  <c:v>175</c:v>
                </c:pt>
                <c:pt idx="253">
                  <c:v>100</c:v>
                </c:pt>
                <c:pt idx="254">
                  <c:v>172</c:v>
                </c:pt>
                <c:pt idx="255">
                  <c:v>4500</c:v>
                </c:pt>
                <c:pt idx="256">
                  <c:v>0</c:v>
                </c:pt>
                <c:pt idx="257">
                  <c:v>0</c:v>
                </c:pt>
                <c:pt idx="258">
                  <c:v>0</c:v>
                </c:pt>
                <c:pt idx="259">
                  <c:v>59</c:v>
                </c:pt>
                <c:pt idx="260">
                  <c:v>67</c:v>
                </c:pt>
                <c:pt idx="261">
                  <c:v>0</c:v>
                </c:pt>
                <c:pt idx="262">
                  <c:v>0</c:v>
                </c:pt>
                <c:pt idx="263">
                  <c:v>0</c:v>
                </c:pt>
                <c:pt idx="264">
                  <c:v>0</c:v>
                </c:pt>
                <c:pt idx="265">
                  <c:v>0</c:v>
                </c:pt>
                <c:pt idx="266">
                  <c:v>1077</c:v>
                </c:pt>
                <c:pt idx="267">
                  <c:v>160</c:v>
                </c:pt>
                <c:pt idx="268">
                  <c:v>40</c:v>
                </c:pt>
                <c:pt idx="269">
                  <c:v>0</c:v>
                </c:pt>
                <c:pt idx="270">
                  <c:v>87</c:v>
                </c:pt>
                <c:pt idx="271">
                  <c:v>0</c:v>
                </c:pt>
                <c:pt idx="272">
                  <c:v>160</c:v>
                </c:pt>
                <c:pt idx="273">
                  <c:v>40</c:v>
                </c:pt>
                <c:pt idx="274">
                  <c:v>39</c:v>
                </c:pt>
                <c:pt idx="275">
                  <c:v>0</c:v>
                </c:pt>
                <c:pt idx="276">
                  <c:v>0</c:v>
                </c:pt>
                <c:pt idx="277">
                  <c:v>0</c:v>
                </c:pt>
                <c:pt idx="278">
                  <c:v>0</c:v>
                </c:pt>
                <c:pt idx="279">
                  <c:v>0</c:v>
                </c:pt>
                <c:pt idx="280">
                  <c:v>0</c:v>
                </c:pt>
                <c:pt idx="281">
                  <c:v>0</c:v>
                </c:pt>
                <c:pt idx="282">
                  <c:v>320</c:v>
                </c:pt>
                <c:pt idx="283">
                  <c:v>240</c:v>
                </c:pt>
                <c:pt idx="284">
                  <c:v>0</c:v>
                </c:pt>
                <c:pt idx="285">
                  <c:v>0</c:v>
                </c:pt>
                <c:pt idx="286">
                  <c:v>0</c:v>
                </c:pt>
                <c:pt idx="287">
                  <c:v>0</c:v>
                </c:pt>
                <c:pt idx="288">
                  <c:v>0</c:v>
                </c:pt>
                <c:pt idx="289">
                  <c:v>0</c:v>
                </c:pt>
                <c:pt idx="290">
                  <c:v>36</c:v>
                </c:pt>
                <c:pt idx="291">
                  <c:v>120</c:v>
                </c:pt>
                <c:pt idx="292">
                  <c:v>626</c:v>
                </c:pt>
                <c:pt idx="293">
                  <c:v>989</c:v>
                </c:pt>
                <c:pt idx="294">
                  <c:v>0</c:v>
                </c:pt>
                <c:pt idx="295">
                  <c:v>266</c:v>
                </c:pt>
                <c:pt idx="296">
                  <c:v>93</c:v>
                </c:pt>
                <c:pt idx="297">
                  <c:v>40</c:v>
                </c:pt>
                <c:pt idx="298">
                  <c:v>0</c:v>
                </c:pt>
                <c:pt idx="299">
                  <c:v>120</c:v>
                </c:pt>
                <c:pt idx="300">
                  <c:v>300</c:v>
                </c:pt>
                <c:pt idx="301">
                  <c:v>344</c:v>
                </c:pt>
                <c:pt idx="302">
                  <c:v>240</c:v>
                </c:pt>
                <c:pt idx="303">
                  <c:v>560</c:v>
                </c:pt>
                <c:pt idx="304">
                  <c:v>320</c:v>
                </c:pt>
                <c:pt idx="305">
                  <c:v>120</c:v>
                </c:pt>
                <c:pt idx="306">
                  <c:v>0</c:v>
                </c:pt>
                <c:pt idx="307">
                  <c:v>0</c:v>
                </c:pt>
                <c:pt idx="308">
                  <c:v>0</c:v>
                </c:pt>
                <c:pt idx="309">
                  <c:v>0</c:v>
                </c:pt>
                <c:pt idx="310">
                  <c:v>0</c:v>
                </c:pt>
                <c:pt idx="311">
                  <c:v>0</c:v>
                </c:pt>
                <c:pt idx="312">
                  <c:v>0</c:v>
                </c:pt>
                <c:pt idx="313">
                  <c:v>0</c:v>
                </c:pt>
                <c:pt idx="314">
                  <c:v>0</c:v>
                </c:pt>
                <c:pt idx="315">
                  <c:v>0</c:v>
                </c:pt>
                <c:pt idx="316">
                  <c:v>0</c:v>
                </c:pt>
                <c:pt idx="317">
                  <c:v>323</c:v>
                </c:pt>
                <c:pt idx="318">
                  <c:v>0</c:v>
                </c:pt>
                <c:pt idx="319">
                  <c:v>154</c:v>
                </c:pt>
                <c:pt idx="320">
                  <c:v>1720</c:v>
                </c:pt>
                <c:pt idx="321">
                  <c:v>2020</c:v>
                </c:pt>
                <c:pt idx="322">
                  <c:v>840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200</c:v>
                </c:pt>
                <c:pt idx="377">
                  <c:v>0</c:v>
                </c:pt>
                <c:pt idx="378">
                  <c:v>0</c:v>
                </c:pt>
                <c:pt idx="379">
                  <c:v>200</c:v>
                </c:pt>
                <c:pt idx="380">
                  <c:v>0</c:v>
                </c:pt>
                <c:pt idx="381">
                  <c:v>0</c:v>
                </c:pt>
                <c:pt idx="382">
                  <c:v>150</c:v>
                </c:pt>
                <c:pt idx="383">
                  <c:v>100</c:v>
                </c:pt>
                <c:pt idx="384">
                  <c:v>230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1000</c:v>
                </c:pt>
                <c:pt idx="439">
                  <c:v>0</c:v>
                </c:pt>
                <c:pt idx="440">
                  <c:v>0</c:v>
                </c:pt>
                <c:pt idx="441">
                  <c:v>1128</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50</c:v>
                </c:pt>
                <c:pt idx="460">
                  <c:v>0</c:v>
                </c:pt>
                <c:pt idx="461">
                  <c:v>0</c:v>
                </c:pt>
                <c:pt idx="462">
                  <c:v>0</c:v>
                </c:pt>
                <c:pt idx="463">
                  <c:v>0</c:v>
                </c:pt>
                <c:pt idx="464">
                  <c:v>0</c:v>
                </c:pt>
                <c:pt idx="465">
                  <c:v>0</c:v>
                </c:pt>
                <c:pt idx="466">
                  <c:v>0</c:v>
                </c:pt>
                <c:pt idx="467">
                  <c:v>200</c:v>
                </c:pt>
                <c:pt idx="468">
                  <c:v>0</c:v>
                </c:pt>
                <c:pt idx="469">
                  <c:v>0</c:v>
                </c:pt>
                <c:pt idx="470">
                  <c:v>0</c:v>
                </c:pt>
                <c:pt idx="471">
                  <c:v>0</c:v>
                </c:pt>
                <c:pt idx="472">
                  <c:v>250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1000</c:v>
                </c:pt>
                <c:pt idx="500">
                  <c:v>0</c:v>
                </c:pt>
                <c:pt idx="501">
                  <c:v>0</c:v>
                </c:pt>
                <c:pt idx="502">
                  <c:v>332</c:v>
                </c:pt>
                <c:pt idx="503">
                  <c:v>586</c:v>
                </c:pt>
                <c:pt idx="504">
                  <c:v>637</c:v>
                </c:pt>
                <c:pt idx="505">
                  <c:v>0</c:v>
                </c:pt>
                <c:pt idx="506">
                  <c:v>0</c:v>
                </c:pt>
                <c:pt idx="507">
                  <c:v>0</c:v>
                </c:pt>
                <c:pt idx="508">
                  <c:v>128</c:v>
                </c:pt>
                <c:pt idx="509">
                  <c:v>0</c:v>
                </c:pt>
                <c:pt idx="510">
                  <c:v>191</c:v>
                </c:pt>
                <c:pt idx="511">
                  <c:v>500</c:v>
                </c:pt>
                <c:pt idx="512">
                  <c:v>376</c:v>
                </c:pt>
                <c:pt idx="513">
                  <c:v>0</c:v>
                </c:pt>
                <c:pt idx="514">
                  <c:v>117</c:v>
                </c:pt>
                <c:pt idx="515">
                  <c:v>0</c:v>
                </c:pt>
                <c:pt idx="516">
                  <c:v>0</c:v>
                </c:pt>
                <c:pt idx="517">
                  <c:v>0</c:v>
                </c:pt>
                <c:pt idx="518">
                  <c:v>0</c:v>
                </c:pt>
                <c:pt idx="519">
                  <c:v>0</c:v>
                </c:pt>
                <c:pt idx="520">
                  <c:v>624</c:v>
                </c:pt>
                <c:pt idx="521">
                  <c:v>0</c:v>
                </c:pt>
                <c:pt idx="522">
                  <c:v>1500</c:v>
                </c:pt>
                <c:pt idx="523">
                  <c:v>0</c:v>
                </c:pt>
                <c:pt idx="524">
                  <c:v>0</c:v>
                </c:pt>
                <c:pt idx="525">
                  <c:v>0</c:v>
                </c:pt>
                <c:pt idx="526">
                  <c:v>144</c:v>
                </c:pt>
                <c:pt idx="527">
                  <c:v>12</c:v>
                </c:pt>
                <c:pt idx="528">
                  <c:v>96</c:v>
                </c:pt>
                <c:pt idx="529">
                  <c:v>0</c:v>
                </c:pt>
                <c:pt idx="530">
                  <c:v>0</c:v>
                </c:pt>
                <c:pt idx="531">
                  <c:v>0</c:v>
                </c:pt>
                <c:pt idx="532">
                  <c:v>12</c:v>
                </c:pt>
                <c:pt idx="533">
                  <c:v>0</c:v>
                </c:pt>
              </c:numCache>
            </c:numRef>
          </c:val>
          <c:extLst>
            <c:ext xmlns:c16="http://schemas.microsoft.com/office/drawing/2014/chart" uri="{C3380CC4-5D6E-409C-BE32-E72D297353CC}">
              <c16:uniqueId val="{00000002-AA6C-47F1-9AB0-98C69D3B90AD}"/>
            </c:ext>
          </c:extLst>
        </c:ser>
        <c:ser>
          <c:idx val="3"/>
          <c:order val="3"/>
          <c:tx>
            <c:strRef>
              <c:f>'By Camps'!$B$34</c:f>
              <c:strCache>
                <c:ptCount val="1"/>
                <c:pt idx="0">
                  <c:v># of people Equitable and continuous access to sufficient quantity of domestic water</c:v>
                </c:pt>
              </c:strCache>
            </c:strRef>
          </c:tx>
          <c:spPr>
            <a:solidFill>
              <a:srgbClr val="0070C0"/>
            </a:solidFill>
            <a:ln>
              <a:noFill/>
            </a:ln>
            <a:effectLst/>
          </c:spPr>
          <c:invertIfNegative val="0"/>
          <c:cat>
            <c:strRef>
              <c:f>'By Camps'!$B$34</c:f>
              <c:strCache>
                <c:ptCount val="534"/>
                <c:pt idx="0">
                  <c:v>5 Ward RC Church(lon Khin)</c:v>
                </c:pt>
                <c:pt idx="1">
                  <c:v>AD-2000 Extension camp</c:v>
                </c:pt>
                <c:pt idx="2">
                  <c:v>AD-2000 Tharthana Compound</c:v>
                </c:pt>
                <c:pt idx="3">
                  <c:v>AG Church, Hmaw Si Sa</c:v>
                </c:pt>
                <c:pt idx="4">
                  <c:v>AG Church, Maw Wan</c:v>
                </c:pt>
                <c:pt idx="5">
                  <c:v>Agritural Compound (KBC)</c:v>
                </c:pt>
                <c:pt idx="6">
                  <c:v>Ah Htet Gar Pu</c:v>
                </c:pt>
                <c:pt idx="7">
                  <c:v>Ah Nauk Pyin</c:v>
                </c:pt>
                <c:pt idx="8">
                  <c:v>Ah Nauk Ye Ku Lar</c:v>
                </c:pt>
                <c:pt idx="9">
                  <c:v>Ah Nauk Ywe</c:v>
                </c:pt>
                <c:pt idx="10">
                  <c:v>Ah Pauk Wa</c:v>
                </c:pt>
                <c:pt idx="11">
                  <c:v>Aung Thar Church</c:v>
                </c:pt>
                <c:pt idx="12">
                  <c:v>Aung Thar Yar</c:v>
                </c:pt>
                <c:pt idx="13">
                  <c:v>Baptist Church, Hmaw Si Sar(Lon Khin)</c:v>
                </c:pt>
                <c:pt idx="14">
                  <c:v>Basare</c:v>
                </c:pt>
                <c:pt idx="15">
                  <c:v>Baw Du Pha 1</c:v>
                </c:pt>
                <c:pt idx="16">
                  <c:v>Baw Du Pha 2</c:v>
                </c:pt>
                <c:pt idx="17">
                  <c:v>Baw Du Pha Village</c:v>
                </c:pt>
                <c:pt idx="18">
                  <c:v>Bhamo_Host Families</c:v>
                </c:pt>
                <c:pt idx="19">
                  <c:v>Border Post 8</c:v>
                </c:pt>
                <c:pt idx="20">
                  <c:v>Bum Tsit Pa</c:v>
                </c:pt>
                <c:pt idx="21">
                  <c:v>Chaik Taung</c:v>
                </c:pt>
                <c:pt idx="22">
                  <c:v>Chin Church, Seik Mu</c:v>
                </c:pt>
                <c:pt idx="23">
                  <c:v>Chipwi KBC camp</c:v>
                </c:pt>
                <c:pt idx="24">
                  <c:v>Dar Pai</c:v>
                </c:pt>
                <c:pt idx="25">
                  <c:v>Dar Pai (IDP in host families)</c:v>
                </c:pt>
                <c:pt idx="26">
                  <c:v>Dhama Rakhita, Nyein Chan Tar Yar Ward(Lon Khin)</c:v>
                </c:pt>
                <c:pt idx="27">
                  <c:v>Doke Kan Chaung</c:v>
                </c:pt>
                <c:pt idx="28">
                  <c:v>Done Thein</c:v>
                </c:pt>
                <c:pt idx="29">
                  <c:v>Du Kahtawng Baptist</c:v>
                </c:pt>
                <c:pt idx="30">
                  <c:v>Dum Bung </c:v>
                </c:pt>
                <c:pt idx="31">
                  <c:v>Gar Pu (Lower)</c:v>
                </c:pt>
                <c:pt idx="32">
                  <c:v>Goke Pi Htaunt</c:v>
                </c:pt>
                <c:pt idx="33">
                  <c:v>Gone Nar</c:v>
                </c:pt>
                <c:pt idx="34">
                  <c:v>Gwa Sone Rakhine</c:v>
                </c:pt>
                <c:pt idx="35">
                  <c:v>Hka Shi</c:v>
                </c:pt>
                <c:pt idx="36">
                  <c:v>Hkat Cho </c:v>
                </c:pt>
                <c:pt idx="37">
                  <c:v>Hkau Shau (BP 12)</c:v>
                </c:pt>
                <c:pt idx="38">
                  <c:v>Hla May Shwe</c:v>
                </c:pt>
                <c:pt idx="39">
                  <c:v>Hla Nyo Kan</c:v>
                </c:pt>
                <c:pt idx="40">
                  <c:v>Hlaing Naung Baptist</c:v>
                </c:pt>
                <c:pt idx="41">
                  <c:v>Hmaw Wan, Anglican</c:v>
                </c:pt>
                <c:pt idx="42">
                  <c:v>Hopin Host Families</c:v>
                </c:pt>
                <c:pt idx="43">
                  <c:v>Hpai Kawng</c:v>
                </c:pt>
                <c:pt idx="44">
                  <c:v>Hpai Kawng Mare</c:v>
                </c:pt>
                <c:pt idx="45">
                  <c:v>Hpakant Baptist Church, Nam Ma Hpit</c:v>
                </c:pt>
                <c:pt idx="46">
                  <c:v>Hpare Hkyer - BP6</c:v>
                </c:pt>
                <c:pt idx="47">
                  <c:v>Hpun Lum Yang </c:v>
                </c:pt>
                <c:pt idx="48">
                  <c:v>Htoi San Church</c:v>
                </c:pt>
                <c:pt idx="49">
                  <c:v>IDP Boarding School, A Len Bum</c:v>
                </c:pt>
                <c:pt idx="50">
                  <c:v>In Bar Yi</c:v>
                </c:pt>
                <c:pt idx="51">
                  <c:v>Inn Hpauk</c:v>
                </c:pt>
                <c:pt idx="52">
                  <c:v>Inn Lel Yan - Host Families</c:v>
                </c:pt>
                <c:pt idx="53">
                  <c:v>Jan Mai Kawng Baptist Church</c:v>
                </c:pt>
                <c:pt idx="54">
                  <c:v>Jan Mai Kawng Catholic Church</c:v>
                </c:pt>
                <c:pt idx="55">
                  <c:v>Je Yang Hka </c:v>
                </c:pt>
                <c:pt idx="56">
                  <c:v>Ka Doe Seik</c:v>
                </c:pt>
                <c:pt idx="57">
                  <c:v>Ka Nyin Taw</c:v>
                </c:pt>
                <c:pt idx="58">
                  <c:v>Kachin Su Baptist Church (ECCD)</c:v>
                </c:pt>
                <c:pt idx="59">
                  <c:v>Kan Thar Htwat Wa</c:v>
                </c:pt>
                <c:pt idx="60">
                  <c:v>Khar Nan (1) Baptist Church</c:v>
                </c:pt>
                <c:pt idx="61">
                  <c:v>Khaung Htoke</c:v>
                </c:pt>
                <c:pt idx="62">
                  <c:v>Khun Sint Village</c:v>
                </c:pt>
                <c:pt idx="63">
                  <c:v>Kin Chaung</c:v>
                </c:pt>
                <c:pt idx="64">
                  <c:v>Kone Khem Camp</c:v>
                </c:pt>
                <c:pt idx="65">
                  <c:v>Kutkai downtown (KBC Church)</c:v>
                </c:pt>
                <c:pt idx="66">
                  <c:v>Kutkai downtown (KBC Church-2)</c:v>
                </c:pt>
                <c:pt idx="67">
                  <c:v>Kutkai downtown (RC Church)</c:v>
                </c:pt>
                <c:pt idx="68">
                  <c:v>Kyar Nyo Inn</c:v>
                </c:pt>
                <c:pt idx="69">
                  <c:v>Kyar Nyo Pyin (Muslim)</c:v>
                </c:pt>
                <c:pt idx="70">
                  <c:v>Kyauk Se</c:v>
                </c:pt>
                <c:pt idx="71">
                  <c:v>Kyauk Ta Lone</c:v>
                </c:pt>
                <c:pt idx="72">
                  <c:v>Kyein Ni Pyin</c:v>
                </c:pt>
                <c:pt idx="73">
                  <c:v>Kyet Taw Pyin</c:v>
                </c:pt>
                <c:pt idx="74">
                  <c:v>Kyu Sot</c:v>
                </c:pt>
                <c:pt idx="75">
                  <c:v>Kyun Pin Thar Baptist Church</c:v>
                </c:pt>
                <c:pt idx="76">
                  <c:v>Kyun Taw Baptist Church </c:v>
                </c:pt>
                <c:pt idx="77">
                  <c:v>Laiza Je Yang School</c:v>
                </c:pt>
                <c:pt idx="78">
                  <c:v>Lana Zup Ja</c:v>
                </c:pt>
                <c:pt idx="79">
                  <c:v>Lawk Awng Mare D. (Sinbo Area)</c:v>
                </c:pt>
                <c:pt idx="80">
                  <c:v>Lawng Hkang Shait Yang Camp​ ( Lel Pyin)​ </c:v>
                </c:pt>
                <c:pt idx="81">
                  <c:v>Le Kone Bethlehem Church</c:v>
                </c:pt>
                <c:pt idx="82">
                  <c:v>Le Kone Ziun Baptist Church </c:v>
                </c:pt>
                <c:pt idx="83">
                  <c:v>Let Saung Kauk</c:v>
                </c:pt>
                <c:pt idx="84">
                  <c:v>Lhaovao Baptist Church (LBC)</c:v>
                </c:pt>
                <c:pt idx="85">
                  <c:v>Lisu Baptist Church</c:v>
                </c:pt>
                <c:pt idx="86">
                  <c:v>Lisu Baptist Church, Maw Shan Vil,. Seik Mu</c:v>
                </c:pt>
                <c:pt idx="87">
                  <c:v>Lisu Baptist Church, Maw Wan Ward</c:v>
                </c:pt>
                <c:pt idx="88">
                  <c:v>Lisu Boarding-House</c:v>
                </c:pt>
                <c:pt idx="89">
                  <c:v>Lisu Church Namtu</c:v>
                </c:pt>
                <c:pt idx="90">
                  <c:v>Loi Je Baptist Church</c:v>
                </c:pt>
                <c:pt idx="91">
                  <c:v>Loi Je Catholic Church</c:v>
                </c:pt>
                <c:pt idx="92">
                  <c:v>Loi Je Lisu Camp</c:v>
                </c:pt>
                <c:pt idx="93">
                  <c:v>Lung Sut</c:v>
                </c:pt>
                <c:pt idx="94">
                  <c:v>Lwegel High School</c:v>
                </c:pt>
                <c:pt idx="95">
                  <c:v>Mading Baptist Church</c:v>
                </c:pt>
                <c:pt idx="96">
                  <c:v>Maga Yang </c:v>
                </c:pt>
                <c:pt idx="97">
                  <c:v>Maina AG Church</c:v>
                </c:pt>
                <c:pt idx="98">
                  <c:v>Maina Catholic Church (St. Joseph)</c:v>
                </c:pt>
                <c:pt idx="99">
                  <c:v>Maina KBC (Bawng Ring)</c:v>
                </c:pt>
                <c:pt idx="100">
                  <c:v>Maina Lawang Baptist Church</c:v>
                </c:pt>
                <c:pt idx="101">
                  <c:v>Maing Khaung</c:v>
                </c:pt>
                <c:pt idx="102">
                  <c:v>Maing Khaung Catholic Church</c:v>
                </c:pt>
                <c:pt idx="103">
                  <c:v>Maliyang Baptist Church</c:v>
                </c:pt>
                <c:pt idx="104">
                  <c:v>Man Bung Catholic compound</c:v>
                </c:pt>
                <c:pt idx="105">
                  <c:v>Man Bung Edin Baptist Church</c:v>
                </c:pt>
                <c:pt idx="106">
                  <c:v>Man Hkring Baptist Church</c:v>
                </c:pt>
                <c:pt idx="107">
                  <c:v>Man Kaung/Naung Ti Kyar Village</c:v>
                </c:pt>
                <c:pt idx="108">
                  <c:v>Man Loi</c:v>
                </c:pt>
                <c:pt idx="109">
                  <c:v>Man Wing Baptist Church</c:v>
                </c:pt>
                <c:pt idx="110">
                  <c:v>Man Wing Baptist Church Cultural Compound</c:v>
                </c:pt>
                <c:pt idx="111">
                  <c:v>Man Wing Catholic Church</c:v>
                </c:pt>
                <c:pt idx="112">
                  <c:v>Man Wing Catholic Church II</c:v>
                </c:pt>
                <c:pt idx="113">
                  <c:v>Man Wing Host Families</c:v>
                </c:pt>
                <c:pt idx="114">
                  <c:v>Mandalay Monestry</c:v>
                </c:pt>
                <c:pt idx="115">
                  <c:v>Mandung - Jinghpaw</c:v>
                </c:pt>
                <c:pt idx="116">
                  <c:v>Mandung - RC</c:v>
                </c:pt>
                <c:pt idx="117">
                  <c:v>Mansi Baptist Church</c:v>
                </c:pt>
                <c:pt idx="118">
                  <c:v>Mansi_Host Families</c:v>
                </c:pt>
                <c:pt idx="119">
                  <c:v>Maw Hpawng Hka Nan Baptist Church</c:v>
                </c:pt>
                <c:pt idx="120">
                  <c:v>Maw Hpawng Lhaovo Baptist Church</c:v>
                </c:pt>
                <c:pt idx="121">
                  <c:v>Maw Ti Ngar</c:v>
                </c:pt>
                <c:pt idx="122">
                  <c:v>Maw Wan, Mu-yin Baptist Church</c:v>
                </c:pt>
                <c:pt idx="123">
                  <c:v>Min Thar Seik</c:v>
                </c:pt>
                <c:pt idx="124">
                  <c:v>Moenyin Host Families</c:v>
                </c:pt>
                <c:pt idx="125">
                  <c:v>Momauk Baptist Church</c:v>
                </c:pt>
                <c:pt idx="126">
                  <c:v>Momauk_Host Families</c:v>
                </c:pt>
                <c:pt idx="127">
                  <c:v>Mong Wee Shan</c:v>
                </c:pt>
                <c:pt idx="128">
                  <c:v>Mung Hawm </c:v>
                </c:pt>
                <c:pt idx="129">
                  <c:v>Mungji Pa Dabang (Baptist Church)</c:v>
                </c:pt>
                <c:pt idx="130">
                  <c:v>Mungji Pa Dabang (Catholic Church)</c:v>
                </c:pt>
                <c:pt idx="131">
                  <c:v>Muse Baptist Church</c:v>
                </c:pt>
                <c:pt idx="132">
                  <c:v>Muse Catholic Church</c:v>
                </c:pt>
                <c:pt idx="133">
                  <c:v>Mu-yin Baptist Church</c:v>
                </c:pt>
                <c:pt idx="134">
                  <c:v>Muyin church (Aung Yar pre-school compound)</c:v>
                </c:pt>
                <c:pt idx="135">
                  <c:v>Myo Thit </c:v>
                </c:pt>
                <c:pt idx="136">
                  <c:v>Nam Hkam - Nay Win Ni (Palawng)</c:v>
                </c:pt>
                <c:pt idx="137">
                  <c:v>Nam Hkam (KBC Jaw Wang)</c:v>
                </c:pt>
                <c:pt idx="138">
                  <c:v>Nam Hkam (KBC Jaw Wang) II</c:v>
                </c:pt>
                <c:pt idx="139">
                  <c:v>Nam Hkam Catholic Church ( St. Thomas I)</c:v>
                </c:pt>
                <c:pt idx="140">
                  <c:v>Nam Hpak Ka Mare </c:v>
                </c:pt>
                <c:pt idx="141">
                  <c:v>Nam Ma Phyit, COC</c:v>
                </c:pt>
                <c:pt idx="142">
                  <c:v>Nam Sa Larp</c:v>
                </c:pt>
                <c:pt idx="143">
                  <c:v>Nam Tu Baptist</c:v>
                </c:pt>
                <c:pt idx="144">
                  <c:v>Namhkan - Pang Long KBC</c:v>
                </c:pt>
                <c:pt idx="145">
                  <c:v>Nan Kway St. John Catholic Church</c:v>
                </c:pt>
                <c:pt idx="146">
                  <c:v>Nan Yah Gone Ahtet</c:v>
                </c:pt>
                <c:pt idx="147">
                  <c:v>Nant Hlaing Church</c:v>
                </c:pt>
                <c:pt idx="148">
                  <c:v>Nant Ma Hpit Catholic Church</c:v>
                </c:pt>
                <c:pt idx="149">
                  <c:v>Nat Gyi Kone Baptist Church </c:v>
                </c:pt>
                <c:pt idx="150">
                  <c:v>Nawng Hee Village</c:v>
                </c:pt>
                <c:pt idx="151">
                  <c:v>Nawng Ing (Indawgyi) Baptist Church </c:v>
                </c:pt>
                <c:pt idx="152">
                  <c:v>Nay Pu Khan</c:v>
                </c:pt>
                <c:pt idx="153">
                  <c:v>Ndup Yang</c:v>
                </c:pt>
                <c:pt idx="154">
                  <c:v>New Pang Ku </c:v>
                </c:pt>
                <c:pt idx="155">
                  <c:v>Nga Ta Paung</c:v>
                </c:pt>
                <c:pt idx="156">
                  <c:v>Ngar Yauk Kaing</c:v>
                </c:pt>
                <c:pt idx="157">
                  <c:v>Nget Chaung 1</c:v>
                </c:pt>
                <c:pt idx="158">
                  <c:v>Nget Chaung 2</c:v>
                </c:pt>
                <c:pt idx="159">
                  <c:v>Ngwe Taung</c:v>
                </c:pt>
                <c:pt idx="160">
                  <c:v>Nhkawng Pa </c:v>
                </c:pt>
                <c:pt idx="161">
                  <c:v>NiDin</c:v>
                </c:pt>
                <c:pt idx="162">
                  <c:v>Njang Dung Baptist Church </c:v>
                </c:pt>
                <c:pt idx="163">
                  <c:v>Nwar Yone Taung</c:v>
                </c:pt>
                <c:pt idx="164">
                  <c:v>Nyaung Chaung</c:v>
                </c:pt>
                <c:pt idx="165">
                  <c:v>Nyaung Na Pin </c:v>
                </c:pt>
                <c:pt idx="166">
                  <c:v>Nyaung Pin Gyi (Ku Lar)</c:v>
                </c:pt>
                <c:pt idx="167">
                  <c:v>Ohn Taw Chay</c:v>
                </c:pt>
                <c:pt idx="168">
                  <c:v>Ohn Taw Gyi</c:v>
                </c:pt>
                <c:pt idx="169">
                  <c:v>Ohn Taw Gyi (North)</c:v>
                </c:pt>
                <c:pt idx="170">
                  <c:v>Ohn Taw Gyi (South)</c:v>
                </c:pt>
                <c:pt idx="171">
                  <c:v>Oke Hpo (Oe Hpauk)</c:v>
                </c:pt>
                <c:pt idx="172">
                  <c:v>Oke Taung Pyin</c:v>
                </c:pt>
                <c:pt idx="173">
                  <c:v>Pa Dauk Myaing(Pa La Na)</c:v>
                </c:pt>
                <c:pt idx="174">
                  <c:v>Pa Kahtawng </c:v>
                </c:pt>
                <c:pt idx="175">
                  <c:v>Pajau - Jan Mai</c:v>
                </c:pt>
                <c:pt idx="176">
                  <c:v>Palae' Kaine</c:v>
                </c:pt>
                <c:pt idx="177">
                  <c:v>Pale Taung</c:v>
                </c:pt>
                <c:pt idx="178">
                  <c:v>Pan Law</c:v>
                </c:pt>
                <c:pt idx="179">
                  <c:v>Pan Ta Pyae</c:v>
                </c:pt>
                <c:pt idx="180">
                  <c:v>Pan Wa</c:v>
                </c:pt>
                <c:pt idx="181">
                  <c:v>Paung Zar</c:v>
                </c:pt>
                <c:pt idx="182">
                  <c:v>Pe Tha Du</c:v>
                </c:pt>
                <c:pt idx="183">
                  <c:v>Phan Khar Kone</c:v>
                </c:pt>
                <c:pt idx="184">
                  <c:v>Pin Zaing</c:v>
                </c:pt>
                <c:pt idx="185">
                  <c:v>Post 6 Camp</c:v>
                </c:pt>
                <c:pt idx="186">
                  <c:v>Pyaing Chaung</c:v>
                </c:pt>
                <c:pt idx="187">
                  <c:v>Pyaung Seik</c:v>
                </c:pt>
                <c:pt idx="188">
                  <c:v>Qtr. 2 Lhaovo Baptist Church</c:v>
                </c:pt>
                <c:pt idx="189">
                  <c:v>Qtr. 2 Myoma Baptist Church</c:v>
                </c:pt>
                <c:pt idx="190">
                  <c:v>Qtr. 3 Mu-yin  Baptist Church</c:v>
                </c:pt>
                <c:pt idx="191">
                  <c:v>Rawan Baptist Church, Maw Shan Vil., Seik Mu</c:v>
                </c:pt>
                <c:pt idx="192">
                  <c:v>Robert Church</c:v>
                </c:pt>
                <c:pt idx="193">
                  <c:v>Robert -Middle school</c:v>
                </c:pt>
                <c:pt idx="194">
                  <c:v>Salang Yang</c:v>
                </c:pt>
                <c:pt idx="195">
                  <c:v>San Go Taung</c:v>
                </c:pt>
                <c:pt idx="196">
                  <c:v>San Htoe Tan</c:v>
                </c:pt>
                <c:pt idx="197">
                  <c:v>Sar Hmaw - KBC</c:v>
                </c:pt>
                <c:pt idx="198">
                  <c:v>Sat Roe Kya 1</c:v>
                </c:pt>
                <c:pt idx="199">
                  <c:v>Sat Roe Kya 2</c:v>
                </c:pt>
                <c:pt idx="200">
                  <c:v>Saw Zam</c:v>
                </c:pt>
                <c:pt idx="201">
                  <c:v>Say Taung</c:v>
                </c:pt>
                <c:pt idx="202">
                  <c:v>Say Tha Mar Gyi</c:v>
                </c:pt>
                <c:pt idx="203">
                  <c:v>Say Tha Mar Gyi village</c:v>
                </c:pt>
                <c:pt idx="204">
                  <c:v>Say Tha Mar Nge</c:v>
                </c:pt>
                <c:pt idx="205">
                  <c:v>Seng Ja </c:v>
                </c:pt>
                <c:pt idx="206">
                  <c:v>Set Yone Su 1</c:v>
                </c:pt>
                <c:pt idx="207">
                  <c:v>Set Yone Su 3 (Mingan)</c:v>
                </c:pt>
                <c:pt idx="208">
                  <c:v>Sha-It Yang</c:v>
                </c:pt>
                <c:pt idx="209">
                  <c:v>Shar Du Zut KBC church </c:v>
                </c:pt>
                <c:pt idx="210">
                  <c:v>Shar Du Zut SanPya</c:v>
                </c:pt>
                <c:pt idx="211">
                  <c:v>Shat Shar Taung</c:v>
                </c:pt>
                <c:pt idx="212">
                  <c:v>Shatapru Sut Ngai Tawng</c:v>
                </c:pt>
                <c:pt idx="213">
                  <c:v>Shatapru Thida Aye Baptist Church</c:v>
                </c:pt>
                <c:pt idx="214">
                  <c:v>Shauk Chaung</c:v>
                </c:pt>
                <c:pt idx="215">
                  <c:v>Shing Jai</c:v>
                </c:pt>
                <c:pt idx="216">
                  <c:v>Shwe Gu Baptist Church</c:v>
                </c:pt>
                <c:pt idx="217">
                  <c:v>Shwe Gu Catholic Church</c:v>
                </c:pt>
                <c:pt idx="218">
                  <c:v>Shwe Hlaing</c:v>
                </c:pt>
                <c:pt idx="219">
                  <c:v>Shwe Zet Baptist Church</c:v>
                </c:pt>
                <c:pt idx="220">
                  <c:v>Shwe Zin Khin (Rakhine)</c:v>
                </c:pt>
                <c:pt idx="221">
                  <c:v>Sin Aing</c:v>
                </c:pt>
                <c:pt idx="222">
                  <c:v>Sin Bo</c:v>
                </c:pt>
                <c:pt idx="223">
                  <c:v>Sin Tet Maw</c:v>
                </c:pt>
                <c:pt idx="224">
                  <c:v>Sin Tet Maw (Host)</c:v>
                </c:pt>
                <c:pt idx="225">
                  <c:v>Sin Tet Maw Rakhine(Baw Da Li)</c:v>
                </c:pt>
                <c:pt idx="226">
                  <c:v>St. Patrick Catholic Church </c:v>
                </c:pt>
                <c:pt idx="227">
                  <c:v>Sumprabum</c:v>
                </c:pt>
                <c:pt idx="228">
                  <c:v>Tanai CoC</c:v>
                </c:pt>
                <c:pt idx="229">
                  <c:v>Tat Kone Baptist Church</c:v>
                </c:pt>
                <c:pt idx="230">
                  <c:v>Tat Kone COC Baptist - Tat Kone Htoi San</c:v>
                </c:pt>
                <c:pt idx="231">
                  <c:v>Tat Kone Emanuel Church</c:v>
                </c:pt>
                <c:pt idx="232">
                  <c:v>Tat Kone Galile Baptist Church</c:v>
                </c:pt>
                <c:pt idx="233">
                  <c:v>Tat Kone San Pya Baptist Church</c:v>
                </c:pt>
                <c:pt idx="234">
                  <c:v>Taung Htaung</c:v>
                </c:pt>
                <c:pt idx="235">
                  <c:v>Taung Htaung Ha Yar</c:v>
                </c:pt>
                <c:pt idx="236">
                  <c:v>Taung Paw</c:v>
                </c:pt>
                <c:pt idx="237">
                  <c:v>Tha Dar</c:v>
                </c:pt>
                <c:pt idx="238">
                  <c:v>Tha Yet Oke Ywar Haung</c:v>
                </c:pt>
                <c:pt idx="239">
                  <c:v>Tha Yet Oke Ywar Thit</c:v>
                </c:pt>
                <c:pt idx="240">
                  <c:v>Thae Chaung</c:v>
                </c:pt>
                <c:pt idx="241">
                  <c:v>Thae Chaung(Rakhine)</c:v>
                </c:pt>
                <c:pt idx="242">
                  <c:v>Thargaya Lisu Baptist Church</c:v>
                </c:pt>
                <c:pt idx="243">
                  <c:v>Thea Chaung Ku Lar</c:v>
                </c:pt>
                <c:pt idx="244">
                  <c:v>Thea Chaung Let Tha Mar Kone</c:v>
                </c:pt>
                <c:pt idx="245">
                  <c:v>Thein Tan</c:v>
                </c:pt>
                <c:pt idx="246">
                  <c:v>Thein Tan (Rakhine)</c:v>
                </c:pt>
                <c:pt idx="247">
                  <c:v>Thet Kae Pyin </c:v>
                </c:pt>
                <c:pt idx="248">
                  <c:v>Thet Kae Pyin Village (IDPs in host family)</c:v>
                </c:pt>
                <c:pt idx="249">
                  <c:v>Thet Kay Pyin Ywar Ma</c:v>
                </c:pt>
                <c:pt idx="250">
                  <c:v>Thone Gwa</c:v>
                </c:pt>
                <c:pt idx="251">
                  <c:v>Tote Tan Ward</c:v>
                </c:pt>
                <c:pt idx="252">
                  <c:v>Tsan Lun - Namjarap</c:v>
                </c:pt>
                <c:pt idx="253">
                  <c:v>Waingmaw AG Church</c:v>
                </c:pt>
                <c:pt idx="254">
                  <c:v>Ward 2 Sai Taung Baptist Church, Seik Mu </c:v>
                </c:pt>
                <c:pt idx="255">
                  <c:v>Woi Chyai </c:v>
                </c:pt>
                <c:pt idx="256">
                  <c:v>Woi Chyai (Mong Lai)</c:v>
                </c:pt>
                <c:pt idx="257">
                  <c:v>Woi Chyai host families</c:v>
                </c:pt>
                <c:pt idx="258">
                  <c:v>Yet Khone Taing</c:v>
                </c:pt>
                <c:pt idx="259">
                  <c:v>Yoe Kyi Monastery</c:v>
                </c:pt>
                <c:pt idx="260">
                  <c:v>Yumar Baptist Church</c:v>
                </c:pt>
                <c:pt idx="261">
                  <c:v>Yun Nyar</c:v>
                </c:pt>
                <c:pt idx="262">
                  <c:v>Ywar Thar Yar</c:v>
                </c:pt>
                <c:pt idx="263">
                  <c:v>Zaw Ma Tat</c:v>
                </c:pt>
                <c:pt idx="264">
                  <c:v>Zaw Pu Gyar</c:v>
                </c:pt>
                <c:pt idx="265">
                  <c:v>Zee Khaung</c:v>
                </c:pt>
                <c:pt idx="266">
                  <c:v>Zup Aung Camp</c:v>
                </c:pt>
                <c:pt idx="267">
                  <c:v>Myo Oo St. Dominic RC Church</c:v>
                </c:pt>
                <c:pt idx="268">
                  <c:v>Lan Gwa St.Paul RC Church</c:v>
                </c:pt>
                <c:pt idx="269">
                  <c:v>Emmanuel AG Church</c:v>
                </c:pt>
                <c:pt idx="270">
                  <c:v>Ti Yang Zup</c:v>
                </c:pt>
                <c:pt idx="271">
                  <c:v>Sadung</c:v>
                </c:pt>
                <c:pt idx="272">
                  <c:v>Lawa RC Church</c:v>
                </c:pt>
                <c:pt idx="273">
                  <c:v>Karmaing RC Church</c:v>
                </c:pt>
                <c:pt idx="274">
                  <c:v>Ka Bu Dam CoC</c:v>
                </c:pt>
                <c:pt idx="275">
                  <c:v>Pi Htu_Wa Lar Kan</c:v>
                </c:pt>
                <c:pt idx="276">
                  <c:v>Taung Htaung Hayar_Wa Lar Kan (Ku Lar)</c:v>
                </c:pt>
                <c:pt idx="277">
                  <c:v>Ta Man Thar (Thar Zay)_(Myo)</c:v>
                </c:pt>
                <c:pt idx="278">
                  <c:v>Kyet Yoe Pyin (Ywa Ma)</c:v>
                </c:pt>
                <c:pt idx="279">
                  <c:v>Thin Baw Hla (Rakhine) (Thar Yar Gone)</c:v>
                </c:pt>
                <c:pt idx="280">
                  <c:v>Yae Chan Pyin</c:v>
                </c:pt>
                <c:pt idx="281">
                  <c:v>Kyan Taw</c:v>
                </c:pt>
                <c:pt idx="282">
                  <c:v>Pang Hkawn Yang</c:v>
                </c:pt>
                <c:pt idx="283">
                  <c:v>Lone Khin Catholic Church</c:v>
                </c:pt>
                <c:pt idx="284">
                  <c:v>Zupra</c:v>
                </c:pt>
                <c:pt idx="285">
                  <c:v>Lawt Awng</c:v>
                </c:pt>
                <c:pt idx="286">
                  <c:v>Ban Dang</c:v>
                </c:pt>
                <c:pt idx="287">
                  <c:v>Sut Chyai</c:v>
                </c:pt>
                <c:pt idx="288">
                  <c:v>Da Wei</c:v>
                </c:pt>
                <c:pt idx="289">
                  <c:v>Htai Ra Yang</c:v>
                </c:pt>
                <c:pt idx="290">
                  <c:v>Namatee AG</c:v>
                </c:pt>
                <c:pt idx="291">
                  <c:v>Momauk IDP new Extension camp
(Alen Kawng Lawk)</c:v>
                </c:pt>
                <c:pt idx="292">
                  <c:v>Thar Zay Kone (Thar Zi Kone)</c:v>
                </c:pt>
                <c:pt idx="293">
                  <c:v>Kyauk Hlay Kar</c:v>
                </c:pt>
                <c:pt idx="294">
                  <c:v>Shwe Yin Aye (NaTaLa)</c:v>
                </c:pt>
                <c:pt idx="295">
                  <c:v>Chan Pyin</c:v>
                </c:pt>
                <c:pt idx="296">
                  <c:v>Sa Bai Pin Yin</c:v>
                </c:pt>
                <c:pt idx="297">
                  <c:v>Ma Hawng Baptist Church</c:v>
                </c:pt>
                <c:pt idx="298">
                  <c:v>Tanai KBC Camp</c:v>
                </c:pt>
                <c:pt idx="299">
                  <c:v>Nam Hpak Ka Ta'ang ( Aung Tha Pyay)</c:v>
                </c:pt>
                <c:pt idx="300">
                  <c:v>Mai Yu Lay New (Ta'ang)</c:v>
                </c:pt>
                <c:pt idx="301">
                  <c:v>Mine Yu Lay village ( Old)</c:v>
                </c:pt>
                <c:pt idx="302">
                  <c:v>Namti Labraw Yang KBC Camp</c:v>
                </c:pt>
                <c:pt idx="303">
                  <c:v>Trinity Camp</c:v>
                </c:pt>
                <c:pt idx="304">
                  <c:v>Jaw Masat Camp</c:v>
                </c:pt>
                <c:pt idx="305">
                  <c:v>Waimaw Baptist Zonal Office 2</c:v>
                </c:pt>
                <c:pt idx="306">
                  <c:v>Pa Dauk Myaing(Pa La Na)-II</c:v>
                </c:pt>
                <c:pt idx="307">
                  <c:v>Kar Di (Middle)</c:v>
                </c:pt>
                <c:pt idx="308">
                  <c:v>Pyar</c:v>
                </c:pt>
                <c:pt idx="309">
                  <c:v>Kar Di Ha Yar</c:v>
                </c:pt>
                <c:pt idx="310">
                  <c:v>Ngar Saung Bet</c:v>
                </c:pt>
                <c:pt idx="311">
                  <c:v>Sabei Hla</c:v>
                </c:pt>
                <c:pt idx="312">
                  <c:v>San Thar Pyin</c:v>
                </c:pt>
                <c:pt idx="313">
                  <c:v>Thin Ga Net</c:v>
                </c:pt>
                <c:pt idx="314">
                  <c:v>Pon Nar</c:v>
                </c:pt>
                <c:pt idx="315">
                  <c:v>St. Joseph Tanai RC camp </c:v>
                </c:pt>
                <c:pt idx="316">
                  <c:v>Aung Zay Ya</c:v>
                </c:pt>
                <c:pt idx="317">
                  <c:v>Pyin Hpyu Maw</c:v>
                </c:pt>
                <c:pt idx="318">
                  <c:v>Galeng (Palaung) &amp; Kone Khem</c:v>
                </c:pt>
                <c:pt idx="319">
                  <c:v>Hu Hku &amp; Ho Hko</c:v>
                </c:pt>
                <c:pt idx="320">
                  <c:v>Khaung Doke Khar 2 (Hmanzi)</c:v>
                </c:pt>
                <c:pt idx="321">
                  <c:v>Khaung Doke Khar 1</c:v>
                </c:pt>
                <c:pt idx="322">
                  <c:v>Phwe Yar Kone (Say Tha Mar Gyi)</c:v>
                </c:pt>
                <c:pt idx="323">
                  <c:v>Htan Shauk Khan</c:v>
                </c:pt>
                <c:pt idx="324">
                  <c:v>Ah Twin Hnget Thay</c:v>
                </c:pt>
                <c:pt idx="325">
                  <c:v>Pyar Pin Yin</c:v>
                </c:pt>
                <c:pt idx="326">
                  <c:v>Ward (1)</c:v>
                </c:pt>
                <c:pt idx="327">
                  <c:v>Sha Kay Ywa</c:v>
                </c:pt>
                <c:pt idx="328">
                  <c:v>Tha Yet Pyin (Rakhine)</c:v>
                </c:pt>
                <c:pt idx="329">
                  <c:v>Tha Bauk Chaung</c:v>
                </c:pt>
                <c:pt idx="330">
                  <c:v>Baw Li (Rakhine)</c:v>
                </c:pt>
                <c:pt idx="331">
                  <c:v>Baw Li (Muslim)</c:v>
                </c:pt>
                <c:pt idx="332">
                  <c:v>Gwa Sone (Muslim)</c:v>
                </c:pt>
                <c:pt idx="333">
                  <c:v>Gwa Sone (Rakhine)</c:v>
                </c:pt>
                <c:pt idx="334">
                  <c:v>Thay Kan (Muslim)</c:v>
                </c:pt>
                <c:pt idx="335">
                  <c:v>Thay Kan (Rakhine)</c:v>
                </c:pt>
                <c:pt idx="336">
                  <c:v>Na Nwin Ku</c:v>
                </c:pt>
                <c:pt idx="337">
                  <c:v>Kyauk Yant (Rakhine)</c:v>
                </c:pt>
                <c:pt idx="338">
                  <c:v>Than Chay (Rakhine)</c:v>
                </c:pt>
                <c:pt idx="339">
                  <c:v>Kyauk Yit (Rakhine)</c:v>
                </c:pt>
                <c:pt idx="340">
                  <c:v>Shwe Baho</c:v>
                </c:pt>
                <c:pt idx="341">
                  <c:v>Wai Thar Li</c:v>
                </c:pt>
                <c:pt idx="342">
                  <c:v>Ar Kya</c:v>
                </c:pt>
                <c:pt idx="343">
                  <c:v>Ka Yin</c:v>
                </c:pt>
                <c:pt idx="344">
                  <c:v>Gyin Chaung</c:v>
                </c:pt>
                <c:pt idx="345">
                  <c:v>Wa  Lan</c:v>
                </c:pt>
                <c:pt idx="346">
                  <c:v>Wa Lan Kone</c:v>
                </c:pt>
                <c:pt idx="347">
                  <c:v>Na Htoe Pyin</c:v>
                </c:pt>
                <c:pt idx="348">
                  <c:v>Yar Taik</c:v>
                </c:pt>
                <c:pt idx="349">
                  <c:v>Ku Lar Thein</c:v>
                </c:pt>
                <c:pt idx="350">
                  <c:v>Yae Hnyin Chaung</c:v>
                </c:pt>
                <c:pt idx="351">
                  <c:v>Ku Lar Te</c:v>
                </c:pt>
                <c:pt idx="352">
                  <c:v>Auk Thin Pone Than/ Phar Kywe</c:v>
                </c:pt>
                <c:pt idx="353">
                  <c:v>Tha Lu Chaung</c:v>
                </c:pt>
                <c:pt idx="354">
                  <c:v> Zay Ywar </c:v>
                </c:pt>
                <c:pt idx="355">
                  <c:v>Nga Pha Yone</c:v>
                </c:pt>
                <c:pt idx="356">
                  <c:v>Wah Net Yone </c:v>
                </c:pt>
                <c:pt idx="357">
                  <c:v>Kar Hpi Chaung</c:v>
                </c:pt>
                <c:pt idx="358">
                  <c:v>U Gar Hton</c:v>
                </c:pt>
                <c:pt idx="359">
                  <c:v>Ma La Kyun</c:v>
                </c:pt>
                <c:pt idx="360">
                  <c:v>Dway Cha</c:v>
                </c:pt>
                <c:pt idx="361">
                  <c:v>YinYeKan</c:v>
                </c:pt>
                <c:pt idx="362">
                  <c:v>OhnHnanChaung</c:v>
                </c:pt>
                <c:pt idx="363">
                  <c:v>ThonePetChaing</c:v>
                </c:pt>
                <c:pt idx="364">
                  <c:v>MiGyaungTet</c:v>
                </c:pt>
                <c:pt idx="365">
                  <c:v>KaLarChaung</c:v>
                </c:pt>
                <c:pt idx="366">
                  <c:v>PyunTo</c:v>
                </c:pt>
                <c:pt idx="367">
                  <c:v>Sar Pyin</c:v>
                </c:pt>
                <c:pt idx="368">
                  <c:v>Nga Khu Chaung</c:v>
                </c:pt>
                <c:pt idx="369">
                  <c:v>Tha Yet Cho</c:v>
                </c:pt>
                <c:pt idx="370">
                  <c:v>Tha Yet</c:v>
                </c:pt>
                <c:pt idx="371">
                  <c:v>NgweTwinDway</c:v>
                </c:pt>
                <c:pt idx="372">
                  <c:v>NgaWetSway</c:v>
                </c:pt>
                <c:pt idx="373">
                  <c:v>HlaKhaing</c:v>
                </c:pt>
                <c:pt idx="374">
                  <c:v>MinPauk</c:v>
                </c:pt>
                <c:pt idx="375">
                  <c:v>Pyein Chaung (ngwe Twin Dway tract)</c:v>
                </c:pt>
                <c:pt idx="376">
                  <c:v>Shit Thaung Monastery</c:v>
                </c:pt>
                <c:pt idx="377">
                  <c:v>Shaw Me (primary school)</c:v>
                </c:pt>
                <c:pt idx="378">
                  <c:v>Mya Ta Saung Monastery</c:v>
                </c:pt>
                <c:pt idx="379">
                  <c:v>Let Kauk Zay Monastery</c:v>
                </c:pt>
                <c:pt idx="380">
                  <c:v>Phayapaw Phayathein</c:v>
                </c:pt>
                <c:pt idx="381">
                  <c:v>Tin Nyo (Primary school)</c:v>
                </c:pt>
                <c:pt idx="382">
                  <c:v>Shwe Taung Monastery</c:v>
                </c:pt>
                <c:pt idx="383">
                  <c:v>Payar Por Thain Taw Gyi Monastery</c:v>
                </c:pt>
                <c:pt idx="384">
                  <c:v>Chaung Thit Monastery</c:v>
                </c:pt>
                <c:pt idx="385">
                  <c:v>Sin Kae (High School)</c:v>
                </c:pt>
                <c:pt idx="386">
                  <c:v>Sin Khing Baw (Primary School)</c:v>
                </c:pt>
                <c:pt idx="387">
                  <c:v>Chaung New Min Gan</c:v>
                </c:pt>
                <c:pt idx="388">
                  <c:v>Kan Pyin Ywa Haung</c:v>
                </c:pt>
                <c:pt idx="389">
                  <c:v>Kan Pyin Ywar Thit</c:v>
                </c:pt>
                <c:pt idx="390">
                  <c:v>Thone Saung</c:v>
                </c:pt>
                <c:pt idx="391">
                  <c:v>Kyauk Tan Gyi</c:v>
                </c:pt>
                <c:pt idx="392">
                  <c:v>Kyauk Tan Chay</c:v>
                </c:pt>
                <c:pt idx="393">
                  <c:v>Kyar Ma Thauk</c:v>
                </c:pt>
                <c:pt idx="394">
                  <c:v>Done Pyin (North)</c:v>
                </c:pt>
                <c:pt idx="395">
                  <c:v>Done Pyin (South)</c:v>
                </c:pt>
                <c:pt idx="396">
                  <c:v>Maung Ni Pyin</c:v>
                </c:pt>
                <c:pt idx="397">
                  <c:v>Pyar Lay Chaung Ywar Haung</c:v>
                </c:pt>
                <c:pt idx="398">
                  <c:v>Ohn Ye Paw</c:v>
                </c:pt>
                <c:pt idx="399">
                  <c:v>Pyin Shey Ku lar</c:v>
                </c:pt>
                <c:pt idx="400">
                  <c:v>Bu May Ohn Daw Chay</c:v>
                </c:pt>
                <c:pt idx="401">
                  <c:v>Dar Paing Ywar Haung</c:v>
                </c:pt>
                <c:pt idx="402">
                  <c:v>Dar Paing Ywar Thit</c:v>
                </c:pt>
                <c:pt idx="403">
                  <c:v>Sa Ma Nya Village</c:v>
                </c:pt>
                <c:pt idx="404">
                  <c:v>Koe Saung (1) village</c:v>
                </c:pt>
                <c:pt idx="405">
                  <c:v>Thet Kay Pyin</c:v>
                </c:pt>
                <c:pt idx="406">
                  <c:v>Shwe Zin Khin (Ku Lar)</c:v>
                </c:pt>
                <c:pt idx="407">
                  <c:v>Kyan Taik</c:v>
                </c:pt>
                <c:pt idx="408">
                  <c:v>Sat Yon Maw (Rakhine)</c:v>
                </c:pt>
                <c:pt idx="409">
                  <c:v>Ann Thar</c:v>
                </c:pt>
                <c:pt idx="410">
                  <c:v>Naw Naw(Rakhine)</c:v>
                </c:pt>
                <c:pt idx="411">
                  <c:v>Naw Naw(Ku Lar)</c:v>
                </c:pt>
                <c:pt idx="412">
                  <c:v>Ah Pyin Done Chaung</c:v>
                </c:pt>
                <c:pt idx="413">
                  <c:v>Thin Ga Zar</c:v>
                </c:pt>
                <c:pt idx="414">
                  <c:v>Than Shin Ywar Thit</c:v>
                </c:pt>
                <c:pt idx="415">
                  <c:v>Tan Seik</c:v>
                </c:pt>
                <c:pt idx="416">
                  <c:v>Sat Kyar</c:v>
                </c:pt>
                <c:pt idx="417">
                  <c:v>Let Taw Ri</c:v>
                </c:pt>
                <c:pt idx="418">
                  <c:v>Har Ra Paing</c:v>
                </c:pt>
                <c:pt idx="419">
                  <c:v>Kan Hpay</c:v>
                </c:pt>
                <c:pt idx="420">
                  <c:v>Thin Khaung Maw</c:v>
                </c:pt>
                <c:pt idx="421">
                  <c:v>Beik Taung</c:v>
                </c:pt>
                <c:pt idx="422">
                  <c:v>Sa Par Htar</c:v>
                </c:pt>
                <c:pt idx="423">
                  <c:v>Aung Taing</c:v>
                </c:pt>
                <c:pt idx="424">
                  <c:v>Taw Tan</c:v>
                </c:pt>
                <c:pt idx="425">
                  <c:v>Sin Seik</c:v>
                </c:pt>
                <c:pt idx="426">
                  <c:v>Ta Khun Taing</c:v>
                </c:pt>
                <c:pt idx="427">
                  <c:v>Done Thar</c:v>
                </c:pt>
                <c:pt idx="428">
                  <c:v>War Taung</c:v>
                </c:pt>
                <c:pt idx="429">
                  <c:v>Athay Kar La</c:v>
                </c:pt>
                <c:pt idx="430">
                  <c:v>Myin Kan Seik</c:v>
                </c:pt>
                <c:pt idx="431">
                  <c:v>Thar Dar</c:v>
                </c:pt>
                <c:pt idx="432">
                  <c:v>Seik Ta Ra</c:v>
                </c:pt>
                <c:pt idx="433">
                  <c:v>Gwa Sone Chin</c:v>
                </c:pt>
                <c:pt idx="434">
                  <c:v>Taung Poke Kay</c:v>
                </c:pt>
                <c:pt idx="435">
                  <c:v>Shwe Zin Yaw</c:v>
                </c:pt>
                <c:pt idx="436">
                  <c:v>Sasana 2500 monastery</c:v>
                </c:pt>
                <c:pt idx="437">
                  <c:v>Boe Taw monastery</c:v>
                </c:pt>
                <c:pt idx="438">
                  <c:v>Man Li</c:v>
                </c:pt>
                <c:pt idx="439">
                  <c:v>Baw Du Pha Village (IDP in host families)</c:v>
                </c:pt>
                <c:pt idx="440">
                  <c:v>Hka Garan Yang </c:v>
                </c:pt>
                <c:pt idx="441">
                  <c:v>Thein Tan (Ku Lar)</c:v>
                </c:pt>
                <c:pt idx="442">
                  <c:v>Ah Lel Chaung</c:v>
                </c:pt>
                <c:pt idx="443">
                  <c:v>Zay Di Taung</c:v>
                </c:pt>
                <c:pt idx="444">
                  <c:v>Hpon Nyo Leik</c:v>
                </c:pt>
                <c:pt idx="445">
                  <c:v>Kin Taung</c:v>
                </c:pt>
                <c:pt idx="446">
                  <c:v>Aung Tha Pyay</c:v>
                </c:pt>
                <c:pt idx="447">
                  <c:v>Yae Nauk Ngar Thar</c:v>
                </c:pt>
                <c:pt idx="448">
                  <c:v>Thin Pone Tan</c:v>
                </c:pt>
                <c:pt idx="449">
                  <c:v>Kha Tin Paik</c:v>
                </c:pt>
                <c:pt idx="450">
                  <c:v>Thar Yar Kone (Rakhine)</c:v>
                </c:pt>
                <c:pt idx="451">
                  <c:v>Kyar Nyo Pyin</c:v>
                </c:pt>
                <c:pt idx="452">
                  <c:v>Say Oe Kya ( Host+ Displaced)</c:v>
                </c:pt>
                <c:pt idx="453">
                  <c:v>Thay Kan Gwa Sone ( Host)</c:v>
                </c:pt>
                <c:pt idx="454">
                  <c:v>Zay Di Taung  ( Host + Displaced)</c:v>
                </c:pt>
                <c:pt idx="455">
                  <c:v>Pan Myaung (Aung Mingalar Monastery)</c:v>
                </c:pt>
                <c:pt idx="456">
                  <c:v>Gye Kyaung</c:v>
                </c:pt>
                <c:pt idx="457">
                  <c:v>Win Zar</c:v>
                </c:pt>
                <c:pt idx="458">
                  <c:v>Tin Nyo Thit Monastery</c:v>
                </c:pt>
                <c:pt idx="459">
                  <c:v>Thu Yiya Yaung Chi Monastery</c:v>
                </c:pt>
                <c:pt idx="460">
                  <c:v>Ywar Thit Kay Monastery</c:v>
                </c:pt>
                <c:pt idx="461">
                  <c:v>Tin Htein Kan Monastery</c:v>
                </c:pt>
                <c:pt idx="462">
                  <c:v>Thin Pan Kaing</c:v>
                </c:pt>
                <c:pt idx="463">
                  <c:v>Wet Hla Middle School</c:v>
                </c:pt>
                <c:pt idx="464">
                  <c:v>Taung Myint</c:v>
                </c:pt>
                <c:pt idx="465">
                  <c:v>Pi Pin Yin Monastery</c:v>
                </c:pt>
                <c:pt idx="466">
                  <c:v>Aung Tat Ward (Aung Mingalar Monastery)</c:v>
                </c:pt>
                <c:pt idx="467">
                  <c:v>Aung Tat Ward (Aung Zaydi Hpayar Thin)</c:v>
                </c:pt>
                <c:pt idx="468">
                  <c:v>Aung Tat Ward (Dein Kyi Monastery)</c:v>
                </c:pt>
                <c:pt idx="469">
                  <c:v>Aung Tat Ward (Myo Thit Monastery)</c:v>
                </c:pt>
                <c:pt idx="470">
                  <c:v>Aung Tat Ward (Naratsar Hpayar Thin)</c:v>
                </c:pt>
                <c:pt idx="471">
                  <c:v>Myet Yeik Kyun Monastery</c:v>
                </c:pt>
                <c:pt idx="472">
                  <c:v>Tein Nyo</c:v>
                </c:pt>
                <c:pt idx="473">
                  <c:v>Kyauk Reik Kay Monastery</c:v>
                </c:pt>
                <c:pt idx="474">
                  <c:v>Nyaung Bin Hla Village</c:v>
                </c:pt>
                <c:pt idx="475">
                  <c:v>Mya Yaike Kyun</c:v>
                </c:pt>
                <c:pt idx="476">
                  <c:v>Ywar Thit Monastery/Pan Myaung</c:v>
                </c:pt>
                <c:pt idx="477">
                  <c:v>Hpar Kywe Wa</c:v>
                </c:pt>
                <c:pt idx="478">
                  <c:v>Kun Taung</c:v>
                </c:pt>
                <c:pt idx="479">
                  <c:v>Taung Yin School Compound</c:v>
                </c:pt>
                <c:pt idx="480">
                  <c:v>Taung Yin</c:v>
                </c:pt>
                <c:pt idx="481">
                  <c:v>Ban Bwee</c:v>
                </c:pt>
                <c:pt idx="482">
                  <c:v>Nga/Pyauk Se</c:v>
                </c:pt>
                <c:pt idx="483">
                  <c:v>Let Wea Myan</c:v>
                </c:pt>
                <c:pt idx="484">
                  <c:v>Be Kho</c:v>
                </c:pt>
                <c:pt idx="485">
                  <c:v>Nga Sin Rine Kine Primary School</c:v>
                </c:pt>
                <c:pt idx="486">
                  <c:v>Hnget Pyaw Chaung</c:v>
                </c:pt>
                <c:pt idx="487">
                  <c:v>Doke Kan Chaung Monastery</c:v>
                </c:pt>
                <c:pt idx="488">
                  <c:v>Myo Thit Ward</c:v>
                </c:pt>
                <c:pt idx="489">
                  <c:v>Paik Thei Ward</c:v>
                </c:pt>
                <c:pt idx="490">
                  <c:v>Bo Min Monastery</c:v>
                </c:pt>
                <c:pt idx="491">
                  <c:v>Aung Zay Ya Monastery</c:v>
                </c:pt>
                <c:pt idx="492">
                  <c:v>Ba Ra War Monastery</c:v>
                </c:pt>
                <c:pt idx="493">
                  <c:v>Kyar Nin Kan Monastery</c:v>
                </c:pt>
                <c:pt idx="494">
                  <c:v>Zin Khar Chay Monastery</c:v>
                </c:pt>
                <c:pt idx="495">
                  <c:v>Min Hla Kaing</c:v>
                </c:pt>
                <c:pt idx="496">
                  <c:v>Yay Myet</c:v>
                </c:pt>
                <c:pt idx="497">
                  <c:v>Tha Mee Hla</c:v>
                </c:pt>
                <c:pt idx="498">
                  <c:v>Ray Zar Chaung</c:v>
                </c:pt>
                <c:pt idx="499">
                  <c:v>Sin Khone Taing</c:v>
                </c:pt>
                <c:pt idx="500">
                  <c:v>Gan Kya</c:v>
                </c:pt>
                <c:pt idx="501">
                  <c:v>Ba Wan Chaung Wa Su Ward / Monastery</c:v>
                </c:pt>
                <c:pt idx="502">
                  <c:v>Ah Htet Thin Pone Tan</c:v>
                </c:pt>
                <c:pt idx="503">
                  <c:v>Kan Sauk</c:v>
                </c:pt>
                <c:pt idx="504">
                  <c:v>Taung Min Ku Lar</c:v>
                </c:pt>
                <c:pt idx="505">
                  <c:v>Kyun Taw</c:v>
                </c:pt>
                <c:pt idx="506">
                  <c:v>Thit Pok Chaung</c:v>
                </c:pt>
                <c:pt idx="507">
                  <c:v>Kyu Taw Chaing</c:v>
                </c:pt>
                <c:pt idx="508">
                  <c:v>Auk Thar Kan</c:v>
                </c:pt>
                <c:pt idx="509">
                  <c:v>Htan Ma Rit (Kwet Thit)</c:v>
                </c:pt>
                <c:pt idx="510">
                  <c:v>Mra_Zay Di Taung</c:v>
                </c:pt>
                <c:pt idx="511">
                  <c:v>Ah Htet Myat Hle</c:v>
                </c:pt>
                <c:pt idx="512">
                  <c:v>Auk Myat Hle</c:v>
                </c:pt>
                <c:pt idx="513">
                  <c:v>Yoe Ta Yoke</c:v>
                </c:pt>
                <c:pt idx="514">
                  <c:v>Sin Thi Pein Hne Taw</c:v>
                </c:pt>
                <c:pt idx="515">
                  <c:v>War Taung Camp</c:v>
                </c:pt>
                <c:pt idx="516">
                  <c:v>Shwe Thee </c:v>
                </c:pt>
                <c:pt idx="517">
                  <c:v>BUT_Sa Par Htar</c:v>
                </c:pt>
                <c:pt idx="518">
                  <c:v>RAT_Zay Di Pyin</c:v>
                </c:pt>
                <c:pt idx="519">
                  <c:v>Hpet Leik</c:v>
                </c:pt>
                <c:pt idx="520">
                  <c:v>Aung Zay Kone</c:v>
                </c:pt>
                <c:pt idx="521">
                  <c:v>Ah Shey (North) Ward</c:v>
                </c:pt>
                <c:pt idx="522">
                  <c:v>Sin Baw Kaing (School)</c:v>
                </c:pt>
                <c:pt idx="523">
                  <c:v>Sin Baw Kaing (Monastery)</c:v>
                </c:pt>
                <c:pt idx="524">
                  <c:v>KAT_Nyaung Chaung</c:v>
                </c:pt>
                <c:pt idx="525">
                  <c:v>Hpa Yar Pyin Thein Tan</c:v>
                </c:pt>
                <c:pt idx="526">
                  <c:v>Bar Ri Zar</c:v>
                </c:pt>
                <c:pt idx="527">
                  <c:v>Ywa Thit</c:v>
                </c:pt>
                <c:pt idx="528">
                  <c:v>Ywa Haung</c:v>
                </c:pt>
                <c:pt idx="529">
                  <c:v>Zay Di Taung (Rakhine)</c:v>
                </c:pt>
                <c:pt idx="530">
                  <c:v>Teik Tu Pauk</c:v>
                </c:pt>
                <c:pt idx="531">
                  <c:v>Kan Thar Yar</c:v>
                </c:pt>
                <c:pt idx="532">
                  <c:v>Shwe Baho+Sein P M</c:v>
                </c:pt>
                <c:pt idx="533">
                  <c:v>Tat U Chaung (West)</c:v>
                </c:pt>
              </c:strCache>
            </c:strRef>
          </c:cat>
          <c:val>
            <c:numRef>
              <c:f>'By Camps'!$B$34</c:f>
              <c:numCache>
                <c:formatCode>General</c:formatCode>
                <c:ptCount val="534"/>
                <c:pt idx="0">
                  <c:v>0</c:v>
                </c:pt>
                <c:pt idx="1">
                  <c:v>356</c:v>
                </c:pt>
                <c:pt idx="2">
                  <c:v>815</c:v>
                </c:pt>
                <c:pt idx="3">
                  <c:v>0</c:v>
                </c:pt>
                <c:pt idx="4">
                  <c:v>83</c:v>
                </c:pt>
                <c:pt idx="5">
                  <c:v>665</c:v>
                </c:pt>
                <c:pt idx="6">
                  <c:v>415</c:v>
                </c:pt>
                <c:pt idx="7">
                  <c:v>0</c:v>
                </c:pt>
                <c:pt idx="8">
                  <c:v>750</c:v>
                </c:pt>
                <c:pt idx="9">
                  <c:v>4717</c:v>
                </c:pt>
                <c:pt idx="10">
                  <c:v>0</c:v>
                </c:pt>
                <c:pt idx="11">
                  <c:v>52</c:v>
                </c:pt>
                <c:pt idx="12">
                  <c:v>0</c:v>
                </c:pt>
                <c:pt idx="13">
                  <c:v>228</c:v>
                </c:pt>
                <c:pt idx="14">
                  <c:v>2111</c:v>
                </c:pt>
                <c:pt idx="15">
                  <c:v>4892</c:v>
                </c:pt>
                <c:pt idx="16">
                  <c:v>0</c:v>
                </c:pt>
                <c:pt idx="17">
                  <c:v>0</c:v>
                </c:pt>
                <c:pt idx="18">
                  <c:v>0</c:v>
                </c:pt>
                <c:pt idx="19">
                  <c:v>66.666666666666671</c:v>
                </c:pt>
                <c:pt idx="20">
                  <c:v>1661</c:v>
                </c:pt>
                <c:pt idx="21">
                  <c:v>0</c:v>
                </c:pt>
                <c:pt idx="22">
                  <c:v>0</c:v>
                </c:pt>
                <c:pt idx="23">
                  <c:v>66.666666666666671</c:v>
                </c:pt>
                <c:pt idx="24">
                  <c:v>11625</c:v>
                </c:pt>
                <c:pt idx="25">
                  <c:v>3360</c:v>
                </c:pt>
                <c:pt idx="26">
                  <c:v>0</c:v>
                </c:pt>
                <c:pt idx="27">
                  <c:v>500</c:v>
                </c:pt>
                <c:pt idx="28">
                  <c:v>172</c:v>
                </c:pt>
                <c:pt idx="29">
                  <c:v>197</c:v>
                </c:pt>
                <c:pt idx="30">
                  <c:v>66.666666666666671</c:v>
                </c:pt>
                <c:pt idx="31">
                  <c:v>249.99999999999997</c:v>
                </c:pt>
                <c:pt idx="32">
                  <c:v>0</c:v>
                </c:pt>
                <c:pt idx="33">
                  <c:v>0</c:v>
                </c:pt>
                <c:pt idx="34">
                  <c:v>0</c:v>
                </c:pt>
                <c:pt idx="35">
                  <c:v>0</c:v>
                </c:pt>
                <c:pt idx="36">
                  <c:v>448</c:v>
                </c:pt>
                <c:pt idx="37">
                  <c:v>66.666666666666671</c:v>
                </c:pt>
                <c:pt idx="38">
                  <c:v>0</c:v>
                </c:pt>
                <c:pt idx="39">
                  <c:v>0</c:v>
                </c:pt>
                <c:pt idx="40">
                  <c:v>132</c:v>
                </c:pt>
                <c:pt idx="41">
                  <c:v>0</c:v>
                </c:pt>
                <c:pt idx="42">
                  <c:v>0</c:v>
                </c:pt>
                <c:pt idx="43">
                  <c:v>494</c:v>
                </c:pt>
                <c:pt idx="44">
                  <c:v>0</c:v>
                </c:pt>
                <c:pt idx="45">
                  <c:v>519</c:v>
                </c:pt>
                <c:pt idx="46">
                  <c:v>66.666666666666671</c:v>
                </c:pt>
                <c:pt idx="47">
                  <c:v>1333.3333333333333</c:v>
                </c:pt>
                <c:pt idx="48">
                  <c:v>235</c:v>
                </c:pt>
                <c:pt idx="49">
                  <c:v>0</c:v>
                </c:pt>
                <c:pt idx="50">
                  <c:v>500</c:v>
                </c:pt>
                <c:pt idx="51">
                  <c:v>91</c:v>
                </c:pt>
                <c:pt idx="52">
                  <c:v>0</c:v>
                </c:pt>
                <c:pt idx="53">
                  <c:v>1050</c:v>
                </c:pt>
                <c:pt idx="54">
                  <c:v>400</c:v>
                </c:pt>
                <c:pt idx="55">
                  <c:v>400</c:v>
                </c:pt>
                <c:pt idx="56">
                  <c:v>500.00000000000006</c:v>
                </c:pt>
                <c:pt idx="57">
                  <c:v>0</c:v>
                </c:pt>
                <c:pt idx="58">
                  <c:v>106</c:v>
                </c:pt>
                <c:pt idx="59">
                  <c:v>0</c:v>
                </c:pt>
                <c:pt idx="60">
                  <c:v>94</c:v>
                </c:pt>
                <c:pt idx="61">
                  <c:v>0</c:v>
                </c:pt>
                <c:pt idx="62">
                  <c:v>0</c:v>
                </c:pt>
                <c:pt idx="63">
                  <c:v>0</c:v>
                </c:pt>
                <c:pt idx="64">
                  <c:v>442</c:v>
                </c:pt>
                <c:pt idx="65">
                  <c:v>292</c:v>
                </c:pt>
                <c:pt idx="66">
                  <c:v>156</c:v>
                </c:pt>
                <c:pt idx="67">
                  <c:v>0</c:v>
                </c:pt>
                <c:pt idx="68">
                  <c:v>207</c:v>
                </c:pt>
                <c:pt idx="69">
                  <c:v>523</c:v>
                </c:pt>
                <c:pt idx="70">
                  <c:v>184</c:v>
                </c:pt>
                <c:pt idx="71">
                  <c:v>989</c:v>
                </c:pt>
                <c:pt idx="72">
                  <c:v>6042</c:v>
                </c:pt>
                <c:pt idx="73">
                  <c:v>0</c:v>
                </c:pt>
                <c:pt idx="74">
                  <c:v>0</c:v>
                </c:pt>
                <c:pt idx="75">
                  <c:v>194</c:v>
                </c:pt>
                <c:pt idx="76">
                  <c:v>66</c:v>
                </c:pt>
                <c:pt idx="77">
                  <c:v>500</c:v>
                </c:pt>
                <c:pt idx="78">
                  <c:v>1450</c:v>
                </c:pt>
                <c:pt idx="79">
                  <c:v>0</c:v>
                </c:pt>
                <c:pt idx="80">
                  <c:v>316.73333333333335</c:v>
                </c:pt>
                <c:pt idx="81">
                  <c:v>400</c:v>
                </c:pt>
                <c:pt idx="82">
                  <c:v>676</c:v>
                </c:pt>
                <c:pt idx="83">
                  <c:v>0</c:v>
                </c:pt>
                <c:pt idx="84">
                  <c:v>0</c:v>
                </c:pt>
                <c:pt idx="85">
                  <c:v>0</c:v>
                </c:pt>
                <c:pt idx="86">
                  <c:v>103</c:v>
                </c:pt>
                <c:pt idx="87">
                  <c:v>6.6666666666666666E-2</c:v>
                </c:pt>
                <c:pt idx="88">
                  <c:v>800</c:v>
                </c:pt>
                <c:pt idx="89">
                  <c:v>6.6666666666666666E-2</c:v>
                </c:pt>
                <c:pt idx="90">
                  <c:v>240</c:v>
                </c:pt>
                <c:pt idx="91">
                  <c:v>405</c:v>
                </c:pt>
                <c:pt idx="92">
                  <c:v>1138</c:v>
                </c:pt>
                <c:pt idx="93">
                  <c:v>289</c:v>
                </c:pt>
                <c:pt idx="94">
                  <c:v>0</c:v>
                </c:pt>
                <c:pt idx="95">
                  <c:v>159</c:v>
                </c:pt>
                <c:pt idx="96">
                  <c:v>400</c:v>
                </c:pt>
                <c:pt idx="97">
                  <c:v>2065</c:v>
                </c:pt>
                <c:pt idx="98">
                  <c:v>1481</c:v>
                </c:pt>
                <c:pt idx="99">
                  <c:v>2500</c:v>
                </c:pt>
                <c:pt idx="100">
                  <c:v>191</c:v>
                </c:pt>
                <c:pt idx="101">
                  <c:v>1855</c:v>
                </c:pt>
                <c:pt idx="102">
                  <c:v>694</c:v>
                </c:pt>
                <c:pt idx="103">
                  <c:v>290</c:v>
                </c:pt>
                <c:pt idx="104">
                  <c:v>1258</c:v>
                </c:pt>
                <c:pt idx="105">
                  <c:v>650</c:v>
                </c:pt>
                <c:pt idx="106">
                  <c:v>547</c:v>
                </c:pt>
                <c:pt idx="107">
                  <c:v>0</c:v>
                </c:pt>
                <c:pt idx="108">
                  <c:v>0</c:v>
                </c:pt>
                <c:pt idx="109">
                  <c:v>0</c:v>
                </c:pt>
                <c:pt idx="110">
                  <c:v>0</c:v>
                </c:pt>
                <c:pt idx="111">
                  <c:v>0</c:v>
                </c:pt>
                <c:pt idx="112">
                  <c:v>0</c:v>
                </c:pt>
                <c:pt idx="113">
                  <c:v>0</c:v>
                </c:pt>
                <c:pt idx="114">
                  <c:v>13</c:v>
                </c:pt>
                <c:pt idx="115">
                  <c:v>147</c:v>
                </c:pt>
                <c:pt idx="116">
                  <c:v>170</c:v>
                </c:pt>
                <c:pt idx="117">
                  <c:v>807</c:v>
                </c:pt>
                <c:pt idx="118">
                  <c:v>0</c:v>
                </c:pt>
                <c:pt idx="119">
                  <c:v>92</c:v>
                </c:pt>
                <c:pt idx="120">
                  <c:v>123</c:v>
                </c:pt>
                <c:pt idx="121">
                  <c:v>3486</c:v>
                </c:pt>
                <c:pt idx="122">
                  <c:v>15</c:v>
                </c:pt>
                <c:pt idx="123">
                  <c:v>486</c:v>
                </c:pt>
                <c:pt idx="124">
                  <c:v>0</c:v>
                </c:pt>
                <c:pt idx="125">
                  <c:v>453</c:v>
                </c:pt>
                <c:pt idx="126">
                  <c:v>0</c:v>
                </c:pt>
                <c:pt idx="127">
                  <c:v>276</c:v>
                </c:pt>
                <c:pt idx="128">
                  <c:v>180</c:v>
                </c:pt>
                <c:pt idx="129">
                  <c:v>0</c:v>
                </c:pt>
                <c:pt idx="130">
                  <c:v>138</c:v>
                </c:pt>
                <c:pt idx="131">
                  <c:v>0</c:v>
                </c:pt>
                <c:pt idx="132">
                  <c:v>114</c:v>
                </c:pt>
                <c:pt idx="133">
                  <c:v>49</c:v>
                </c:pt>
                <c:pt idx="134">
                  <c:v>0</c:v>
                </c:pt>
                <c:pt idx="135">
                  <c:v>0</c:v>
                </c:pt>
                <c:pt idx="136">
                  <c:v>500</c:v>
                </c:pt>
                <c:pt idx="137">
                  <c:v>0</c:v>
                </c:pt>
                <c:pt idx="138">
                  <c:v>0</c:v>
                </c:pt>
                <c:pt idx="139">
                  <c:v>209</c:v>
                </c:pt>
                <c:pt idx="140">
                  <c:v>266</c:v>
                </c:pt>
                <c:pt idx="141">
                  <c:v>42</c:v>
                </c:pt>
                <c:pt idx="142">
                  <c:v>166</c:v>
                </c:pt>
                <c:pt idx="143">
                  <c:v>6.6666666666666666E-2</c:v>
                </c:pt>
                <c:pt idx="144">
                  <c:v>0</c:v>
                </c:pt>
                <c:pt idx="145">
                  <c:v>309</c:v>
                </c:pt>
                <c:pt idx="146">
                  <c:v>69</c:v>
                </c:pt>
                <c:pt idx="147">
                  <c:v>76</c:v>
                </c:pt>
                <c:pt idx="148">
                  <c:v>218</c:v>
                </c:pt>
                <c:pt idx="149">
                  <c:v>41</c:v>
                </c:pt>
                <c:pt idx="150">
                  <c:v>82</c:v>
                </c:pt>
                <c:pt idx="151">
                  <c:v>113</c:v>
                </c:pt>
                <c:pt idx="152">
                  <c:v>1000.0000000000001</c:v>
                </c:pt>
                <c:pt idx="153">
                  <c:v>0</c:v>
                </c:pt>
                <c:pt idx="154">
                  <c:v>632</c:v>
                </c:pt>
                <c:pt idx="155">
                  <c:v>750</c:v>
                </c:pt>
                <c:pt idx="156">
                  <c:v>250</c:v>
                </c:pt>
                <c:pt idx="157">
                  <c:v>250</c:v>
                </c:pt>
                <c:pt idx="158">
                  <c:v>4104</c:v>
                </c:pt>
                <c:pt idx="159">
                  <c:v>361</c:v>
                </c:pt>
                <c:pt idx="160">
                  <c:v>1722</c:v>
                </c:pt>
                <c:pt idx="161">
                  <c:v>581</c:v>
                </c:pt>
                <c:pt idx="162">
                  <c:v>281</c:v>
                </c:pt>
                <c:pt idx="163">
                  <c:v>854</c:v>
                </c:pt>
                <c:pt idx="164">
                  <c:v>0</c:v>
                </c:pt>
                <c:pt idx="165">
                  <c:v>300</c:v>
                </c:pt>
                <c:pt idx="166">
                  <c:v>0</c:v>
                </c:pt>
                <c:pt idx="167">
                  <c:v>3095</c:v>
                </c:pt>
                <c:pt idx="168">
                  <c:v>1065</c:v>
                </c:pt>
                <c:pt idx="169">
                  <c:v>13302</c:v>
                </c:pt>
                <c:pt idx="170">
                  <c:v>11375</c:v>
                </c:pt>
                <c:pt idx="171">
                  <c:v>0</c:v>
                </c:pt>
                <c:pt idx="172">
                  <c:v>394</c:v>
                </c:pt>
                <c:pt idx="173">
                  <c:v>882</c:v>
                </c:pt>
                <c:pt idx="174">
                  <c:v>1249.9999999999998</c:v>
                </c:pt>
                <c:pt idx="175">
                  <c:v>200</c:v>
                </c:pt>
                <c:pt idx="176">
                  <c:v>0</c:v>
                </c:pt>
                <c:pt idx="177">
                  <c:v>0</c:v>
                </c:pt>
                <c:pt idx="178">
                  <c:v>191</c:v>
                </c:pt>
                <c:pt idx="179">
                  <c:v>0</c:v>
                </c:pt>
                <c:pt idx="180">
                  <c:v>66.666666666666671</c:v>
                </c:pt>
                <c:pt idx="181">
                  <c:v>0</c:v>
                </c:pt>
                <c:pt idx="182">
                  <c:v>0</c:v>
                </c:pt>
                <c:pt idx="183">
                  <c:v>778</c:v>
                </c:pt>
                <c:pt idx="184">
                  <c:v>0</c:v>
                </c:pt>
                <c:pt idx="185">
                  <c:v>66.666666666666671</c:v>
                </c:pt>
                <c:pt idx="186">
                  <c:v>250</c:v>
                </c:pt>
                <c:pt idx="187">
                  <c:v>609</c:v>
                </c:pt>
                <c:pt idx="188">
                  <c:v>493</c:v>
                </c:pt>
                <c:pt idx="189">
                  <c:v>307</c:v>
                </c:pt>
                <c:pt idx="190">
                  <c:v>189</c:v>
                </c:pt>
                <c:pt idx="191">
                  <c:v>38</c:v>
                </c:pt>
                <c:pt idx="192">
                  <c:v>4010</c:v>
                </c:pt>
                <c:pt idx="193">
                  <c:v>0</c:v>
                </c:pt>
                <c:pt idx="194">
                  <c:v>0</c:v>
                </c:pt>
                <c:pt idx="195">
                  <c:v>233</c:v>
                </c:pt>
                <c:pt idx="196">
                  <c:v>0</c:v>
                </c:pt>
                <c:pt idx="197">
                  <c:v>136</c:v>
                </c:pt>
                <c:pt idx="198">
                  <c:v>1362</c:v>
                </c:pt>
                <c:pt idx="199">
                  <c:v>0</c:v>
                </c:pt>
                <c:pt idx="200">
                  <c:v>0</c:v>
                </c:pt>
                <c:pt idx="201">
                  <c:v>0</c:v>
                </c:pt>
                <c:pt idx="202">
                  <c:v>11564</c:v>
                </c:pt>
                <c:pt idx="203">
                  <c:v>695</c:v>
                </c:pt>
                <c:pt idx="204">
                  <c:v>1390</c:v>
                </c:pt>
                <c:pt idx="205">
                  <c:v>253</c:v>
                </c:pt>
                <c:pt idx="206">
                  <c:v>0</c:v>
                </c:pt>
                <c:pt idx="207">
                  <c:v>625</c:v>
                </c:pt>
                <c:pt idx="208">
                  <c:v>266.66666666666669</c:v>
                </c:pt>
                <c:pt idx="209">
                  <c:v>103</c:v>
                </c:pt>
                <c:pt idx="210">
                  <c:v>80</c:v>
                </c:pt>
                <c:pt idx="211">
                  <c:v>0</c:v>
                </c:pt>
                <c:pt idx="212">
                  <c:v>534</c:v>
                </c:pt>
                <c:pt idx="213">
                  <c:v>111</c:v>
                </c:pt>
                <c:pt idx="214">
                  <c:v>0</c:v>
                </c:pt>
                <c:pt idx="215">
                  <c:v>0</c:v>
                </c:pt>
                <c:pt idx="216">
                  <c:v>259</c:v>
                </c:pt>
                <c:pt idx="217">
                  <c:v>169</c:v>
                </c:pt>
                <c:pt idx="218">
                  <c:v>0</c:v>
                </c:pt>
                <c:pt idx="219">
                  <c:v>499</c:v>
                </c:pt>
                <c:pt idx="220">
                  <c:v>0</c:v>
                </c:pt>
                <c:pt idx="221">
                  <c:v>1000</c:v>
                </c:pt>
                <c:pt idx="222">
                  <c:v>122</c:v>
                </c:pt>
                <c:pt idx="223">
                  <c:v>2810</c:v>
                </c:pt>
                <c:pt idx="224">
                  <c:v>3946</c:v>
                </c:pt>
                <c:pt idx="225">
                  <c:v>2034</c:v>
                </c:pt>
                <c:pt idx="226">
                  <c:v>52</c:v>
                </c:pt>
                <c:pt idx="227">
                  <c:v>0</c:v>
                </c:pt>
                <c:pt idx="228">
                  <c:v>0</c:v>
                </c:pt>
                <c:pt idx="229">
                  <c:v>351</c:v>
                </c:pt>
                <c:pt idx="230">
                  <c:v>253</c:v>
                </c:pt>
                <c:pt idx="231">
                  <c:v>77</c:v>
                </c:pt>
                <c:pt idx="232">
                  <c:v>165</c:v>
                </c:pt>
                <c:pt idx="233">
                  <c:v>219</c:v>
                </c:pt>
                <c:pt idx="234">
                  <c:v>500.00000000000006</c:v>
                </c:pt>
                <c:pt idx="235">
                  <c:v>750</c:v>
                </c:pt>
                <c:pt idx="236">
                  <c:v>2920</c:v>
                </c:pt>
                <c:pt idx="237">
                  <c:v>0</c:v>
                </c:pt>
                <c:pt idx="238">
                  <c:v>250</c:v>
                </c:pt>
                <c:pt idx="239">
                  <c:v>500</c:v>
                </c:pt>
                <c:pt idx="240">
                  <c:v>6016</c:v>
                </c:pt>
                <c:pt idx="241">
                  <c:v>745</c:v>
                </c:pt>
                <c:pt idx="242">
                  <c:v>0</c:v>
                </c:pt>
                <c:pt idx="243">
                  <c:v>3500.0000000000005</c:v>
                </c:pt>
                <c:pt idx="244">
                  <c:v>2427</c:v>
                </c:pt>
                <c:pt idx="245">
                  <c:v>0</c:v>
                </c:pt>
                <c:pt idx="246">
                  <c:v>300</c:v>
                </c:pt>
                <c:pt idx="247">
                  <c:v>5950</c:v>
                </c:pt>
                <c:pt idx="248">
                  <c:v>1670</c:v>
                </c:pt>
                <c:pt idx="249">
                  <c:v>0</c:v>
                </c:pt>
                <c:pt idx="250">
                  <c:v>0</c:v>
                </c:pt>
                <c:pt idx="251">
                  <c:v>0</c:v>
                </c:pt>
                <c:pt idx="252">
                  <c:v>175</c:v>
                </c:pt>
                <c:pt idx="253">
                  <c:v>263</c:v>
                </c:pt>
                <c:pt idx="254">
                  <c:v>172</c:v>
                </c:pt>
                <c:pt idx="255">
                  <c:v>2700</c:v>
                </c:pt>
                <c:pt idx="256">
                  <c:v>0</c:v>
                </c:pt>
                <c:pt idx="257">
                  <c:v>0</c:v>
                </c:pt>
                <c:pt idx="258">
                  <c:v>0</c:v>
                </c:pt>
                <c:pt idx="259">
                  <c:v>59</c:v>
                </c:pt>
                <c:pt idx="260">
                  <c:v>0</c:v>
                </c:pt>
                <c:pt idx="261">
                  <c:v>0</c:v>
                </c:pt>
                <c:pt idx="262">
                  <c:v>0</c:v>
                </c:pt>
                <c:pt idx="263">
                  <c:v>0</c:v>
                </c:pt>
                <c:pt idx="264">
                  <c:v>0</c:v>
                </c:pt>
                <c:pt idx="265">
                  <c:v>0</c:v>
                </c:pt>
                <c:pt idx="266">
                  <c:v>1077</c:v>
                </c:pt>
                <c:pt idx="267">
                  <c:v>235</c:v>
                </c:pt>
                <c:pt idx="268">
                  <c:v>396</c:v>
                </c:pt>
                <c:pt idx="269">
                  <c:v>0</c:v>
                </c:pt>
                <c:pt idx="270">
                  <c:v>66.666666666666671</c:v>
                </c:pt>
                <c:pt idx="271">
                  <c:v>0</c:v>
                </c:pt>
                <c:pt idx="272">
                  <c:v>66.666666666666671</c:v>
                </c:pt>
                <c:pt idx="273">
                  <c:v>63</c:v>
                </c:pt>
                <c:pt idx="274">
                  <c:v>39</c:v>
                </c:pt>
                <c:pt idx="275">
                  <c:v>206</c:v>
                </c:pt>
                <c:pt idx="276">
                  <c:v>500</c:v>
                </c:pt>
                <c:pt idx="277">
                  <c:v>0</c:v>
                </c:pt>
                <c:pt idx="278">
                  <c:v>0</c:v>
                </c:pt>
                <c:pt idx="279">
                  <c:v>0</c:v>
                </c:pt>
                <c:pt idx="280">
                  <c:v>0</c:v>
                </c:pt>
                <c:pt idx="281">
                  <c:v>0</c:v>
                </c:pt>
                <c:pt idx="282">
                  <c:v>1015</c:v>
                </c:pt>
                <c:pt idx="283">
                  <c:v>329</c:v>
                </c:pt>
                <c:pt idx="284">
                  <c:v>0</c:v>
                </c:pt>
                <c:pt idx="285">
                  <c:v>0</c:v>
                </c:pt>
                <c:pt idx="286">
                  <c:v>0</c:v>
                </c:pt>
                <c:pt idx="287">
                  <c:v>0</c:v>
                </c:pt>
                <c:pt idx="288">
                  <c:v>0</c:v>
                </c:pt>
                <c:pt idx="289">
                  <c:v>0</c:v>
                </c:pt>
                <c:pt idx="290">
                  <c:v>36</c:v>
                </c:pt>
                <c:pt idx="291">
                  <c:v>161</c:v>
                </c:pt>
                <c:pt idx="292">
                  <c:v>626</c:v>
                </c:pt>
                <c:pt idx="293">
                  <c:v>989</c:v>
                </c:pt>
                <c:pt idx="294">
                  <c:v>0</c:v>
                </c:pt>
                <c:pt idx="295">
                  <c:v>266</c:v>
                </c:pt>
                <c:pt idx="296">
                  <c:v>93</c:v>
                </c:pt>
                <c:pt idx="297">
                  <c:v>78</c:v>
                </c:pt>
                <c:pt idx="298">
                  <c:v>0</c:v>
                </c:pt>
                <c:pt idx="299">
                  <c:v>121</c:v>
                </c:pt>
                <c:pt idx="300">
                  <c:v>426</c:v>
                </c:pt>
                <c:pt idx="301">
                  <c:v>344</c:v>
                </c:pt>
                <c:pt idx="302">
                  <c:v>400</c:v>
                </c:pt>
                <c:pt idx="303">
                  <c:v>724</c:v>
                </c:pt>
                <c:pt idx="304">
                  <c:v>489</c:v>
                </c:pt>
                <c:pt idx="305">
                  <c:v>356</c:v>
                </c:pt>
                <c:pt idx="306">
                  <c:v>0</c:v>
                </c:pt>
                <c:pt idx="307">
                  <c:v>0</c:v>
                </c:pt>
                <c:pt idx="308">
                  <c:v>0</c:v>
                </c:pt>
                <c:pt idx="309">
                  <c:v>0</c:v>
                </c:pt>
                <c:pt idx="310">
                  <c:v>0</c:v>
                </c:pt>
                <c:pt idx="311">
                  <c:v>0</c:v>
                </c:pt>
                <c:pt idx="312">
                  <c:v>0</c:v>
                </c:pt>
                <c:pt idx="313">
                  <c:v>0</c:v>
                </c:pt>
                <c:pt idx="314">
                  <c:v>0</c:v>
                </c:pt>
                <c:pt idx="315">
                  <c:v>0</c:v>
                </c:pt>
                <c:pt idx="316">
                  <c:v>0</c:v>
                </c:pt>
                <c:pt idx="317">
                  <c:v>250.00000000000003</c:v>
                </c:pt>
                <c:pt idx="318">
                  <c:v>0</c:v>
                </c:pt>
                <c:pt idx="319">
                  <c:v>154</c:v>
                </c:pt>
                <c:pt idx="320">
                  <c:v>2186</c:v>
                </c:pt>
                <c:pt idx="321">
                  <c:v>2248</c:v>
                </c:pt>
                <c:pt idx="322">
                  <c:v>2285</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1690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184</c:v>
                </c:pt>
                <c:pt idx="527">
                  <c:v>1316.6666666666665</c:v>
                </c:pt>
                <c:pt idx="528">
                  <c:v>96</c:v>
                </c:pt>
                <c:pt idx="529">
                  <c:v>1012</c:v>
                </c:pt>
                <c:pt idx="530">
                  <c:v>1383.3333333333333</c:v>
                </c:pt>
                <c:pt idx="531">
                  <c:v>241</c:v>
                </c:pt>
                <c:pt idx="532">
                  <c:v>249</c:v>
                </c:pt>
                <c:pt idx="533">
                  <c:v>332</c:v>
                </c:pt>
              </c:numCache>
            </c:numRef>
          </c:val>
          <c:extLst>
            <c:ext xmlns:c16="http://schemas.microsoft.com/office/drawing/2014/chart" uri="{C3380CC4-5D6E-409C-BE32-E72D297353CC}">
              <c16:uniqueId val="{00000003-AA6C-47F1-9AB0-98C69D3B90AD}"/>
            </c:ext>
          </c:extLst>
        </c:ser>
        <c:dLbls>
          <c:showLegendKey val="0"/>
          <c:showVal val="0"/>
          <c:showCatName val="0"/>
          <c:showSerName val="0"/>
          <c:showPercent val="0"/>
          <c:showBubbleSize val="0"/>
        </c:dLbls>
        <c:gapWidth val="100"/>
        <c:axId val="354334472"/>
        <c:axId val="354340352"/>
      </c:barChart>
      <c:catAx>
        <c:axId val="3543344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54340352"/>
        <c:crosses val="autoZero"/>
        <c:auto val="1"/>
        <c:lblAlgn val="ctr"/>
        <c:lblOffset val="100"/>
        <c:noMultiLvlLbl val="0"/>
      </c:catAx>
      <c:valAx>
        <c:axId val="35434035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Nb of People</a:t>
                </a:r>
              </a:p>
            </c:rich>
          </c:tx>
          <c:layout>
            <c:manualLayout>
              <c:xMode val="edge"/>
              <c:yMode val="edge"/>
              <c:x val="0.8665541111587558"/>
              <c:y val="0.9546071163545147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54334472"/>
        <c:crosses val="autoZero"/>
        <c:crossBetween val="between"/>
      </c:valAx>
      <c:spPr>
        <a:noFill/>
        <a:ln>
          <a:noFill/>
        </a:ln>
        <a:effectLst/>
      </c:spPr>
    </c:plotArea>
    <c:legend>
      <c:legendPos val="r"/>
      <c:layout>
        <c:manualLayout>
          <c:xMode val="edge"/>
          <c:yMode val="edge"/>
          <c:x val="0.83852548601251686"/>
          <c:y val="0.22990727458670238"/>
          <c:w val="0.16147453061974054"/>
          <c:h val="0.3884773677806310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[20190516_Myanmar_WASH_4W_2019_Q1_Consolidate.xlsx]Tracking Dashboard!PivotTable1</c:name>
    <c:fmtId val="3"/>
  </c:pivotSource>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a:t>Tracking Quarterly Achievement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ivotFmts>
      <c:pivotFmt>
        <c:idx val="0"/>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pivotFmt>
      <c:pivotFmt>
        <c:idx val="5"/>
        <c:spPr>
          <a:solidFill>
            <a:schemeClr val="accent6">
              <a:lumMod val="75000"/>
            </a:schemeClr>
          </a:solidFill>
          <a:ln>
            <a:noFill/>
          </a:ln>
          <a:effectLst/>
        </c:spPr>
        <c:marker>
          <c:symbol val="none"/>
        </c:marker>
      </c:pivotFmt>
      <c:pivotFmt>
        <c:idx val="6"/>
        <c:spPr>
          <a:solidFill>
            <a:schemeClr val="accent2">
              <a:lumMod val="75000"/>
            </a:schemeClr>
          </a:solidFill>
          <a:ln>
            <a:noFill/>
          </a:ln>
          <a:effectLst/>
        </c:spPr>
        <c:marker>
          <c:symbol val="none"/>
        </c:marker>
      </c:pivotFmt>
      <c:pivotFmt>
        <c:idx val="7"/>
        <c:spPr>
          <a:solidFill>
            <a:srgbClr val="0070C0"/>
          </a:solidFill>
          <a:ln>
            <a:noFill/>
          </a:ln>
          <a:effectLst/>
        </c:spPr>
        <c:marker>
          <c:symbol val="none"/>
        </c:marker>
      </c:pivotFmt>
    </c:pivotFmts>
    <c:plotArea>
      <c:layout>
        <c:manualLayout>
          <c:layoutTarget val="inner"/>
          <c:xMode val="edge"/>
          <c:yMode val="edge"/>
          <c:x val="0.11813904458850057"/>
          <c:y val="6.1073498743170695E-2"/>
          <c:w val="0.62467518940594613"/>
          <c:h val="0.90227339407347507"/>
        </c:manualLayout>
      </c:layout>
      <c:barChart>
        <c:barDir val="bar"/>
        <c:grouping val="clustered"/>
        <c:varyColors val="0"/>
        <c:ser>
          <c:idx val="0"/>
          <c:order val="0"/>
          <c:tx>
            <c:strRef>
              <c:f>'Tracking Dashboard'!$N$4</c:f>
              <c:strCache>
                <c:ptCount val="1"/>
                <c:pt idx="0">
                  <c:v># of People adopt basic personal and community hygiene practices</c:v>
                </c:pt>
              </c:strCache>
            </c:strRef>
          </c:tx>
          <c:spPr>
            <a:solidFill>
              <a:schemeClr val="accent6">
                <a:lumMod val="75000"/>
              </a:schemeClr>
            </a:solidFill>
            <a:ln>
              <a:noFill/>
            </a:ln>
            <a:effectLst/>
          </c:spPr>
          <c:invertIfNegative val="0"/>
          <c:cat>
            <c:multiLvlStrRef>
              <c:f>'Tracking Dashboard'!$L$5:$M$59</c:f>
              <c:multiLvlStrCache>
                <c:ptCount val="27"/>
                <c:lvl>
                  <c:pt idx="0">
                    <c:v>2019_Q1</c:v>
                  </c:pt>
                  <c:pt idx="1">
                    <c:v>2019_Q1</c:v>
                  </c:pt>
                  <c:pt idx="2">
                    <c:v>2019_Q1</c:v>
                  </c:pt>
                  <c:pt idx="3">
                    <c:v>2019_Q1</c:v>
                  </c:pt>
                  <c:pt idx="4">
                    <c:v>2019_Q1</c:v>
                  </c:pt>
                  <c:pt idx="5">
                    <c:v>2019_Q1</c:v>
                  </c:pt>
                  <c:pt idx="6">
                    <c:v>2019_Q1</c:v>
                  </c:pt>
                  <c:pt idx="7">
                    <c:v>2019_Q1</c:v>
                  </c:pt>
                  <c:pt idx="8">
                    <c:v>2019_Q1</c:v>
                  </c:pt>
                  <c:pt idx="9">
                    <c:v>2019_Q1</c:v>
                  </c:pt>
                  <c:pt idx="10">
                    <c:v>2019_Q1</c:v>
                  </c:pt>
                  <c:pt idx="11">
                    <c:v>2019_Q1</c:v>
                  </c:pt>
                  <c:pt idx="12">
                    <c:v>2019_Q1</c:v>
                  </c:pt>
                  <c:pt idx="13">
                    <c:v>2019_Q1</c:v>
                  </c:pt>
                  <c:pt idx="14">
                    <c:v>2019_Q1</c:v>
                  </c:pt>
                  <c:pt idx="15">
                    <c:v>2019_Q1</c:v>
                  </c:pt>
                  <c:pt idx="16">
                    <c:v>2019_Q1</c:v>
                  </c:pt>
                  <c:pt idx="17">
                    <c:v>2019_Q1</c:v>
                  </c:pt>
                  <c:pt idx="18">
                    <c:v>2019_Q1</c:v>
                  </c:pt>
                  <c:pt idx="19">
                    <c:v>2019_Q1</c:v>
                  </c:pt>
                  <c:pt idx="20">
                    <c:v>2019_Q1</c:v>
                  </c:pt>
                  <c:pt idx="21">
                    <c:v>2019_Q1</c:v>
                  </c:pt>
                  <c:pt idx="22">
                    <c:v>2019_Q1</c:v>
                  </c:pt>
                  <c:pt idx="23">
                    <c:v>2019_Q1</c:v>
                  </c:pt>
                  <c:pt idx="24">
                    <c:v>2019_Q1</c:v>
                  </c:pt>
                  <c:pt idx="25">
                    <c:v>2019_Q1</c:v>
                  </c:pt>
                  <c:pt idx="26">
                    <c:v>2019_Q1</c:v>
                  </c:pt>
                </c:lvl>
                <c:lvl>
                  <c:pt idx="0">
                    <c:v>Agritural Compound (KBC)</c:v>
                  </c:pt>
                  <c:pt idx="1">
                    <c:v>Aung Thar Church</c:v>
                  </c:pt>
                  <c:pt idx="2">
                    <c:v>Hpai Kawng Mare</c:v>
                  </c:pt>
                  <c:pt idx="3">
                    <c:v>Htoi San Church</c:v>
                  </c:pt>
                  <c:pt idx="4">
                    <c:v>IDP Boarding School, A Len Bum</c:v>
                  </c:pt>
                  <c:pt idx="5">
                    <c:v>Kachin Su Baptist Church (ECCD)</c:v>
                  </c:pt>
                  <c:pt idx="6">
                    <c:v>Khar Nan (1) Baptist Church</c:v>
                  </c:pt>
                  <c:pt idx="7">
                    <c:v>Kutkai downtown (KBC Church)</c:v>
                  </c:pt>
                  <c:pt idx="8">
                    <c:v>Kutkai downtown (RC Church)</c:v>
                  </c:pt>
                  <c:pt idx="9">
                    <c:v>Lisu Boarding-House</c:v>
                  </c:pt>
                  <c:pt idx="10">
                    <c:v>Lisu Church Namtu</c:v>
                  </c:pt>
                  <c:pt idx="11">
                    <c:v>Man Bung Catholic compound</c:v>
                  </c:pt>
                  <c:pt idx="12">
                    <c:v>Mandalay Monestry</c:v>
                  </c:pt>
                  <c:pt idx="13">
                    <c:v>Mandung - Jinghpaw</c:v>
                  </c:pt>
                  <c:pt idx="14">
                    <c:v>Mansi Baptist Church</c:v>
                  </c:pt>
                  <c:pt idx="15">
                    <c:v>Momauk Baptist Church</c:v>
                  </c:pt>
                  <c:pt idx="16">
                    <c:v>Muse Baptist Church</c:v>
                  </c:pt>
                  <c:pt idx="17">
                    <c:v>Mu-yin Baptist Church</c:v>
                  </c:pt>
                  <c:pt idx="18">
                    <c:v>Nam Sa Larp</c:v>
                  </c:pt>
                  <c:pt idx="19">
                    <c:v>Nam Tu Baptist</c:v>
                  </c:pt>
                  <c:pt idx="20">
                    <c:v>Nant Hlaing Church</c:v>
                  </c:pt>
                  <c:pt idx="21">
                    <c:v>Pan Ta Pyae</c:v>
                  </c:pt>
                  <c:pt idx="22">
                    <c:v>Shwe Gu Baptist Church</c:v>
                  </c:pt>
                  <c:pt idx="23">
                    <c:v>Shwe Gu Catholic Church</c:v>
                  </c:pt>
                  <c:pt idx="24">
                    <c:v>Woi Chyai (Mong Lai)</c:v>
                  </c:pt>
                  <c:pt idx="25">
                    <c:v>Woi Chyai host families</c:v>
                  </c:pt>
                  <c:pt idx="26">
                    <c:v>Yoe Kyi Monastery</c:v>
                  </c:pt>
                </c:lvl>
              </c:multiLvlStrCache>
            </c:multiLvlStrRef>
          </c:cat>
          <c:val>
            <c:numRef>
              <c:f>'Tracking Dashboard'!$N$5:$N$59</c:f>
              <c:numCache>
                <c:formatCode>General</c:formatCode>
                <c:ptCount val="27"/>
                <c:pt idx="0">
                  <c:v>0</c:v>
                </c:pt>
                <c:pt idx="1">
                  <c:v>52</c:v>
                </c:pt>
                <c:pt idx="2">
                  <c:v>0</c:v>
                </c:pt>
                <c:pt idx="3">
                  <c:v>235</c:v>
                </c:pt>
                <c:pt idx="4">
                  <c:v>0</c:v>
                </c:pt>
                <c:pt idx="5">
                  <c:v>0</c:v>
                </c:pt>
                <c:pt idx="6">
                  <c:v>0</c:v>
                </c:pt>
                <c:pt idx="7">
                  <c:v>292</c:v>
                </c:pt>
                <c:pt idx="8">
                  <c:v>0</c:v>
                </c:pt>
                <c:pt idx="9">
                  <c:v>800</c:v>
                </c:pt>
                <c:pt idx="10">
                  <c:v>182</c:v>
                </c:pt>
                <c:pt idx="11">
                  <c:v>1258</c:v>
                </c:pt>
                <c:pt idx="12">
                  <c:v>0</c:v>
                </c:pt>
                <c:pt idx="13">
                  <c:v>147</c:v>
                </c:pt>
                <c:pt idx="14">
                  <c:v>807</c:v>
                </c:pt>
                <c:pt idx="15">
                  <c:v>0</c:v>
                </c:pt>
                <c:pt idx="16">
                  <c:v>0</c:v>
                </c:pt>
                <c:pt idx="17">
                  <c:v>49</c:v>
                </c:pt>
                <c:pt idx="18">
                  <c:v>166</c:v>
                </c:pt>
                <c:pt idx="19">
                  <c:v>263</c:v>
                </c:pt>
                <c:pt idx="20">
                  <c:v>76</c:v>
                </c:pt>
                <c:pt idx="21">
                  <c:v>0</c:v>
                </c:pt>
                <c:pt idx="22">
                  <c:v>0</c:v>
                </c:pt>
                <c:pt idx="23">
                  <c:v>0</c:v>
                </c:pt>
                <c:pt idx="24">
                  <c:v>0</c:v>
                </c:pt>
                <c:pt idx="25">
                  <c:v>0</c:v>
                </c:pt>
                <c:pt idx="26">
                  <c:v>59</c:v>
                </c:pt>
              </c:numCache>
            </c:numRef>
          </c:val>
          <c:extLst>
            <c:ext xmlns:c16="http://schemas.microsoft.com/office/drawing/2014/chart" uri="{C3380CC4-5D6E-409C-BE32-E72D297353CC}">
              <c16:uniqueId val="{00000000-FFE7-4630-AA87-8BB156FFBC38}"/>
            </c:ext>
          </c:extLst>
        </c:ser>
        <c:ser>
          <c:idx val="1"/>
          <c:order val="1"/>
          <c:tx>
            <c:strRef>
              <c:f>'Tracking Dashboard'!$O$4</c:f>
              <c:strCache>
                <c:ptCount val="1"/>
                <c:pt idx="0">
                  <c:v># of people access to functioning  sanitation facilities</c:v>
                </c:pt>
              </c:strCache>
            </c:strRef>
          </c:tx>
          <c:spPr>
            <a:solidFill>
              <a:schemeClr val="accent2">
                <a:lumMod val="75000"/>
              </a:schemeClr>
            </a:solidFill>
            <a:ln>
              <a:noFill/>
            </a:ln>
            <a:effectLst/>
          </c:spPr>
          <c:invertIfNegative val="0"/>
          <c:cat>
            <c:multiLvlStrRef>
              <c:f>'Tracking Dashboard'!$L$5:$M$59</c:f>
              <c:multiLvlStrCache>
                <c:ptCount val="27"/>
                <c:lvl>
                  <c:pt idx="0">
                    <c:v>2019_Q1</c:v>
                  </c:pt>
                  <c:pt idx="1">
                    <c:v>2019_Q1</c:v>
                  </c:pt>
                  <c:pt idx="2">
                    <c:v>2019_Q1</c:v>
                  </c:pt>
                  <c:pt idx="3">
                    <c:v>2019_Q1</c:v>
                  </c:pt>
                  <c:pt idx="4">
                    <c:v>2019_Q1</c:v>
                  </c:pt>
                  <c:pt idx="5">
                    <c:v>2019_Q1</c:v>
                  </c:pt>
                  <c:pt idx="6">
                    <c:v>2019_Q1</c:v>
                  </c:pt>
                  <c:pt idx="7">
                    <c:v>2019_Q1</c:v>
                  </c:pt>
                  <c:pt idx="8">
                    <c:v>2019_Q1</c:v>
                  </c:pt>
                  <c:pt idx="9">
                    <c:v>2019_Q1</c:v>
                  </c:pt>
                  <c:pt idx="10">
                    <c:v>2019_Q1</c:v>
                  </c:pt>
                  <c:pt idx="11">
                    <c:v>2019_Q1</c:v>
                  </c:pt>
                  <c:pt idx="12">
                    <c:v>2019_Q1</c:v>
                  </c:pt>
                  <c:pt idx="13">
                    <c:v>2019_Q1</c:v>
                  </c:pt>
                  <c:pt idx="14">
                    <c:v>2019_Q1</c:v>
                  </c:pt>
                  <c:pt idx="15">
                    <c:v>2019_Q1</c:v>
                  </c:pt>
                  <c:pt idx="16">
                    <c:v>2019_Q1</c:v>
                  </c:pt>
                  <c:pt idx="17">
                    <c:v>2019_Q1</c:v>
                  </c:pt>
                  <c:pt idx="18">
                    <c:v>2019_Q1</c:v>
                  </c:pt>
                  <c:pt idx="19">
                    <c:v>2019_Q1</c:v>
                  </c:pt>
                  <c:pt idx="20">
                    <c:v>2019_Q1</c:v>
                  </c:pt>
                  <c:pt idx="21">
                    <c:v>2019_Q1</c:v>
                  </c:pt>
                  <c:pt idx="22">
                    <c:v>2019_Q1</c:v>
                  </c:pt>
                  <c:pt idx="23">
                    <c:v>2019_Q1</c:v>
                  </c:pt>
                  <c:pt idx="24">
                    <c:v>2019_Q1</c:v>
                  </c:pt>
                  <c:pt idx="25">
                    <c:v>2019_Q1</c:v>
                  </c:pt>
                  <c:pt idx="26">
                    <c:v>2019_Q1</c:v>
                  </c:pt>
                </c:lvl>
                <c:lvl>
                  <c:pt idx="0">
                    <c:v>Agritural Compound (KBC)</c:v>
                  </c:pt>
                  <c:pt idx="1">
                    <c:v>Aung Thar Church</c:v>
                  </c:pt>
                  <c:pt idx="2">
                    <c:v>Hpai Kawng Mare</c:v>
                  </c:pt>
                  <c:pt idx="3">
                    <c:v>Htoi San Church</c:v>
                  </c:pt>
                  <c:pt idx="4">
                    <c:v>IDP Boarding School, A Len Bum</c:v>
                  </c:pt>
                  <c:pt idx="5">
                    <c:v>Kachin Su Baptist Church (ECCD)</c:v>
                  </c:pt>
                  <c:pt idx="6">
                    <c:v>Khar Nan (1) Baptist Church</c:v>
                  </c:pt>
                  <c:pt idx="7">
                    <c:v>Kutkai downtown (KBC Church)</c:v>
                  </c:pt>
                  <c:pt idx="8">
                    <c:v>Kutkai downtown (RC Church)</c:v>
                  </c:pt>
                  <c:pt idx="9">
                    <c:v>Lisu Boarding-House</c:v>
                  </c:pt>
                  <c:pt idx="10">
                    <c:v>Lisu Church Namtu</c:v>
                  </c:pt>
                  <c:pt idx="11">
                    <c:v>Man Bung Catholic compound</c:v>
                  </c:pt>
                  <c:pt idx="12">
                    <c:v>Mandalay Monestry</c:v>
                  </c:pt>
                  <c:pt idx="13">
                    <c:v>Mandung - Jinghpaw</c:v>
                  </c:pt>
                  <c:pt idx="14">
                    <c:v>Mansi Baptist Church</c:v>
                  </c:pt>
                  <c:pt idx="15">
                    <c:v>Momauk Baptist Church</c:v>
                  </c:pt>
                  <c:pt idx="16">
                    <c:v>Muse Baptist Church</c:v>
                  </c:pt>
                  <c:pt idx="17">
                    <c:v>Mu-yin Baptist Church</c:v>
                  </c:pt>
                  <c:pt idx="18">
                    <c:v>Nam Sa Larp</c:v>
                  </c:pt>
                  <c:pt idx="19">
                    <c:v>Nam Tu Baptist</c:v>
                  </c:pt>
                  <c:pt idx="20">
                    <c:v>Nant Hlaing Church</c:v>
                  </c:pt>
                  <c:pt idx="21">
                    <c:v>Pan Ta Pyae</c:v>
                  </c:pt>
                  <c:pt idx="22">
                    <c:v>Shwe Gu Baptist Church</c:v>
                  </c:pt>
                  <c:pt idx="23">
                    <c:v>Shwe Gu Catholic Church</c:v>
                  </c:pt>
                  <c:pt idx="24">
                    <c:v>Woi Chyai (Mong Lai)</c:v>
                  </c:pt>
                  <c:pt idx="25">
                    <c:v>Woi Chyai host families</c:v>
                  </c:pt>
                  <c:pt idx="26">
                    <c:v>Yoe Kyi Monastery</c:v>
                  </c:pt>
                </c:lvl>
              </c:multiLvlStrCache>
            </c:multiLvlStrRef>
          </c:cat>
          <c:val>
            <c:numRef>
              <c:f>'Tracking Dashboard'!$O$5:$O$59</c:f>
              <c:numCache>
                <c:formatCode>General</c:formatCode>
                <c:ptCount val="27"/>
                <c:pt idx="0">
                  <c:v>560</c:v>
                </c:pt>
                <c:pt idx="1">
                  <c:v>40</c:v>
                </c:pt>
                <c:pt idx="2">
                  <c:v>779</c:v>
                </c:pt>
                <c:pt idx="3">
                  <c:v>140</c:v>
                </c:pt>
                <c:pt idx="4">
                  <c:v>0</c:v>
                </c:pt>
                <c:pt idx="5">
                  <c:v>60</c:v>
                </c:pt>
                <c:pt idx="6">
                  <c:v>94</c:v>
                </c:pt>
                <c:pt idx="7">
                  <c:v>240</c:v>
                </c:pt>
                <c:pt idx="8">
                  <c:v>0</c:v>
                </c:pt>
                <c:pt idx="9">
                  <c:v>380</c:v>
                </c:pt>
                <c:pt idx="10">
                  <c:v>160</c:v>
                </c:pt>
                <c:pt idx="11">
                  <c:v>760</c:v>
                </c:pt>
                <c:pt idx="12">
                  <c:v>13</c:v>
                </c:pt>
                <c:pt idx="13">
                  <c:v>147</c:v>
                </c:pt>
                <c:pt idx="14">
                  <c:v>800</c:v>
                </c:pt>
                <c:pt idx="15">
                  <c:v>160</c:v>
                </c:pt>
                <c:pt idx="16">
                  <c:v>207</c:v>
                </c:pt>
                <c:pt idx="17">
                  <c:v>40</c:v>
                </c:pt>
                <c:pt idx="18">
                  <c:v>166</c:v>
                </c:pt>
                <c:pt idx="19">
                  <c:v>160</c:v>
                </c:pt>
                <c:pt idx="20">
                  <c:v>76</c:v>
                </c:pt>
                <c:pt idx="21">
                  <c:v>0</c:v>
                </c:pt>
                <c:pt idx="22">
                  <c:v>180</c:v>
                </c:pt>
                <c:pt idx="23">
                  <c:v>169</c:v>
                </c:pt>
                <c:pt idx="24">
                  <c:v>0</c:v>
                </c:pt>
                <c:pt idx="25">
                  <c:v>0</c:v>
                </c:pt>
                <c:pt idx="26">
                  <c:v>59</c:v>
                </c:pt>
              </c:numCache>
            </c:numRef>
          </c:val>
          <c:extLst>
            <c:ext xmlns:c16="http://schemas.microsoft.com/office/drawing/2014/chart" uri="{C3380CC4-5D6E-409C-BE32-E72D297353CC}">
              <c16:uniqueId val="{00000001-FFE7-4630-AA87-8BB156FFBC38}"/>
            </c:ext>
          </c:extLst>
        </c:ser>
        <c:ser>
          <c:idx val="2"/>
          <c:order val="2"/>
          <c:tx>
            <c:strRef>
              <c:f>'Tracking Dashboard'!$P$4</c:f>
              <c:strCache>
                <c:ptCount val="1"/>
                <c:pt idx="0">
                  <c:v># of people Equitable and continuous access to sufficient quantity of domestic water</c:v>
                </c:pt>
              </c:strCache>
            </c:strRef>
          </c:tx>
          <c:spPr>
            <a:solidFill>
              <a:srgbClr val="0070C0"/>
            </a:solidFill>
            <a:ln>
              <a:noFill/>
            </a:ln>
            <a:effectLst/>
          </c:spPr>
          <c:invertIfNegative val="0"/>
          <c:cat>
            <c:multiLvlStrRef>
              <c:f>'Tracking Dashboard'!$L$5:$M$59</c:f>
              <c:multiLvlStrCache>
                <c:ptCount val="27"/>
                <c:lvl>
                  <c:pt idx="0">
                    <c:v>2019_Q1</c:v>
                  </c:pt>
                  <c:pt idx="1">
                    <c:v>2019_Q1</c:v>
                  </c:pt>
                  <c:pt idx="2">
                    <c:v>2019_Q1</c:v>
                  </c:pt>
                  <c:pt idx="3">
                    <c:v>2019_Q1</c:v>
                  </c:pt>
                  <c:pt idx="4">
                    <c:v>2019_Q1</c:v>
                  </c:pt>
                  <c:pt idx="5">
                    <c:v>2019_Q1</c:v>
                  </c:pt>
                  <c:pt idx="6">
                    <c:v>2019_Q1</c:v>
                  </c:pt>
                  <c:pt idx="7">
                    <c:v>2019_Q1</c:v>
                  </c:pt>
                  <c:pt idx="8">
                    <c:v>2019_Q1</c:v>
                  </c:pt>
                  <c:pt idx="9">
                    <c:v>2019_Q1</c:v>
                  </c:pt>
                  <c:pt idx="10">
                    <c:v>2019_Q1</c:v>
                  </c:pt>
                  <c:pt idx="11">
                    <c:v>2019_Q1</c:v>
                  </c:pt>
                  <c:pt idx="12">
                    <c:v>2019_Q1</c:v>
                  </c:pt>
                  <c:pt idx="13">
                    <c:v>2019_Q1</c:v>
                  </c:pt>
                  <c:pt idx="14">
                    <c:v>2019_Q1</c:v>
                  </c:pt>
                  <c:pt idx="15">
                    <c:v>2019_Q1</c:v>
                  </c:pt>
                  <c:pt idx="16">
                    <c:v>2019_Q1</c:v>
                  </c:pt>
                  <c:pt idx="17">
                    <c:v>2019_Q1</c:v>
                  </c:pt>
                  <c:pt idx="18">
                    <c:v>2019_Q1</c:v>
                  </c:pt>
                  <c:pt idx="19">
                    <c:v>2019_Q1</c:v>
                  </c:pt>
                  <c:pt idx="20">
                    <c:v>2019_Q1</c:v>
                  </c:pt>
                  <c:pt idx="21">
                    <c:v>2019_Q1</c:v>
                  </c:pt>
                  <c:pt idx="22">
                    <c:v>2019_Q1</c:v>
                  </c:pt>
                  <c:pt idx="23">
                    <c:v>2019_Q1</c:v>
                  </c:pt>
                  <c:pt idx="24">
                    <c:v>2019_Q1</c:v>
                  </c:pt>
                  <c:pt idx="25">
                    <c:v>2019_Q1</c:v>
                  </c:pt>
                  <c:pt idx="26">
                    <c:v>2019_Q1</c:v>
                  </c:pt>
                </c:lvl>
                <c:lvl>
                  <c:pt idx="0">
                    <c:v>Agritural Compound (KBC)</c:v>
                  </c:pt>
                  <c:pt idx="1">
                    <c:v>Aung Thar Church</c:v>
                  </c:pt>
                  <c:pt idx="2">
                    <c:v>Hpai Kawng Mare</c:v>
                  </c:pt>
                  <c:pt idx="3">
                    <c:v>Htoi San Church</c:v>
                  </c:pt>
                  <c:pt idx="4">
                    <c:v>IDP Boarding School, A Len Bum</c:v>
                  </c:pt>
                  <c:pt idx="5">
                    <c:v>Kachin Su Baptist Church (ECCD)</c:v>
                  </c:pt>
                  <c:pt idx="6">
                    <c:v>Khar Nan (1) Baptist Church</c:v>
                  </c:pt>
                  <c:pt idx="7">
                    <c:v>Kutkai downtown (KBC Church)</c:v>
                  </c:pt>
                  <c:pt idx="8">
                    <c:v>Kutkai downtown (RC Church)</c:v>
                  </c:pt>
                  <c:pt idx="9">
                    <c:v>Lisu Boarding-House</c:v>
                  </c:pt>
                  <c:pt idx="10">
                    <c:v>Lisu Church Namtu</c:v>
                  </c:pt>
                  <c:pt idx="11">
                    <c:v>Man Bung Catholic compound</c:v>
                  </c:pt>
                  <c:pt idx="12">
                    <c:v>Mandalay Monestry</c:v>
                  </c:pt>
                  <c:pt idx="13">
                    <c:v>Mandung - Jinghpaw</c:v>
                  </c:pt>
                  <c:pt idx="14">
                    <c:v>Mansi Baptist Church</c:v>
                  </c:pt>
                  <c:pt idx="15">
                    <c:v>Momauk Baptist Church</c:v>
                  </c:pt>
                  <c:pt idx="16">
                    <c:v>Muse Baptist Church</c:v>
                  </c:pt>
                  <c:pt idx="17">
                    <c:v>Mu-yin Baptist Church</c:v>
                  </c:pt>
                  <c:pt idx="18">
                    <c:v>Nam Sa Larp</c:v>
                  </c:pt>
                  <c:pt idx="19">
                    <c:v>Nam Tu Baptist</c:v>
                  </c:pt>
                  <c:pt idx="20">
                    <c:v>Nant Hlaing Church</c:v>
                  </c:pt>
                  <c:pt idx="21">
                    <c:v>Pan Ta Pyae</c:v>
                  </c:pt>
                  <c:pt idx="22">
                    <c:v>Shwe Gu Baptist Church</c:v>
                  </c:pt>
                  <c:pt idx="23">
                    <c:v>Shwe Gu Catholic Church</c:v>
                  </c:pt>
                  <c:pt idx="24">
                    <c:v>Woi Chyai (Mong Lai)</c:v>
                  </c:pt>
                  <c:pt idx="25">
                    <c:v>Woi Chyai host families</c:v>
                  </c:pt>
                  <c:pt idx="26">
                    <c:v>Yoe Kyi Monastery</c:v>
                  </c:pt>
                </c:lvl>
              </c:multiLvlStrCache>
            </c:multiLvlStrRef>
          </c:cat>
          <c:val>
            <c:numRef>
              <c:f>'Tracking Dashboard'!$P$5:$P$59</c:f>
              <c:numCache>
                <c:formatCode>General</c:formatCode>
                <c:ptCount val="27"/>
                <c:pt idx="0">
                  <c:v>665</c:v>
                </c:pt>
                <c:pt idx="1">
                  <c:v>52</c:v>
                </c:pt>
                <c:pt idx="2">
                  <c:v>0</c:v>
                </c:pt>
                <c:pt idx="3">
                  <c:v>235</c:v>
                </c:pt>
                <c:pt idx="4">
                  <c:v>0</c:v>
                </c:pt>
                <c:pt idx="5">
                  <c:v>106</c:v>
                </c:pt>
                <c:pt idx="6">
                  <c:v>94</c:v>
                </c:pt>
                <c:pt idx="7">
                  <c:v>292</c:v>
                </c:pt>
                <c:pt idx="8">
                  <c:v>0</c:v>
                </c:pt>
                <c:pt idx="9">
                  <c:v>800</c:v>
                </c:pt>
                <c:pt idx="10">
                  <c:v>6.6666666666666666E-2</c:v>
                </c:pt>
                <c:pt idx="11">
                  <c:v>1258</c:v>
                </c:pt>
                <c:pt idx="12">
                  <c:v>13</c:v>
                </c:pt>
                <c:pt idx="13">
                  <c:v>147</c:v>
                </c:pt>
                <c:pt idx="14">
                  <c:v>807</c:v>
                </c:pt>
                <c:pt idx="15">
                  <c:v>453</c:v>
                </c:pt>
                <c:pt idx="16">
                  <c:v>0</c:v>
                </c:pt>
                <c:pt idx="17">
                  <c:v>49</c:v>
                </c:pt>
                <c:pt idx="18">
                  <c:v>166</c:v>
                </c:pt>
                <c:pt idx="19">
                  <c:v>6.6666666666666666E-2</c:v>
                </c:pt>
                <c:pt idx="20">
                  <c:v>76</c:v>
                </c:pt>
                <c:pt idx="21">
                  <c:v>0</c:v>
                </c:pt>
                <c:pt idx="22">
                  <c:v>259</c:v>
                </c:pt>
                <c:pt idx="23">
                  <c:v>169</c:v>
                </c:pt>
                <c:pt idx="24">
                  <c:v>0</c:v>
                </c:pt>
                <c:pt idx="25">
                  <c:v>0</c:v>
                </c:pt>
                <c:pt idx="26">
                  <c:v>59</c:v>
                </c:pt>
              </c:numCache>
            </c:numRef>
          </c:val>
          <c:extLst>
            <c:ext xmlns:c16="http://schemas.microsoft.com/office/drawing/2014/chart" uri="{C3380CC4-5D6E-409C-BE32-E72D297353CC}">
              <c16:uniqueId val="{00000002-FFE7-4630-AA87-8BB156FFBC38}"/>
            </c:ext>
          </c:extLst>
        </c:ser>
        <c:dLbls>
          <c:showLegendKey val="0"/>
          <c:showVal val="0"/>
          <c:showCatName val="0"/>
          <c:showSerName val="0"/>
          <c:showPercent val="0"/>
          <c:showBubbleSize val="0"/>
        </c:dLbls>
        <c:gapWidth val="100"/>
        <c:axId val="354336040"/>
        <c:axId val="354339176"/>
      </c:barChart>
      <c:catAx>
        <c:axId val="3543360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4339176"/>
        <c:crosses val="autoZero"/>
        <c:auto val="1"/>
        <c:lblAlgn val="ctr"/>
        <c:lblOffset val="100"/>
        <c:noMultiLvlLbl val="0"/>
      </c:catAx>
      <c:valAx>
        <c:axId val="354339176"/>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4336040"/>
        <c:crosses val="autoZero"/>
        <c:crossBetween val="between"/>
      </c:valAx>
      <c:spPr>
        <a:noFill/>
        <a:ln>
          <a:noFill/>
        </a:ln>
        <a:effectLst/>
      </c:spPr>
    </c:plotArea>
    <c:legend>
      <c:legendPos val="r"/>
      <c:layout>
        <c:manualLayout>
          <c:xMode val="edge"/>
          <c:yMode val="edge"/>
          <c:x val="0.7116369818760272"/>
          <c:y val="0.33456621547684184"/>
          <c:w val="0.28836305215211328"/>
          <c:h val="0.167675143326117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5">
  <a:schemeClr val="accent2"/>
</cs:colorStyle>
</file>

<file path=xl/charts/colors17.xml><?xml version="1.0" encoding="utf-8"?>
<cs:colorStyle xmlns:cs="http://schemas.microsoft.com/office/drawing/2012/chartStyle" xmlns:a="http://schemas.openxmlformats.org/drawingml/2006/main" meth="withinLinear" id="15">
  <a:schemeClr val="accent2"/>
</cs:colorStyle>
</file>

<file path=xl/charts/colors18.xml><?xml version="1.0" encoding="utf-8"?>
<cs:colorStyle xmlns:cs="http://schemas.microsoft.com/office/drawing/2012/chartStyle" xmlns:a="http://schemas.openxmlformats.org/drawingml/2006/main" meth="withinLinear" id="15">
  <a:schemeClr val="accent2"/>
</cs:colorStyle>
</file>

<file path=xl/charts/colors19.xml><?xml version="1.0" encoding="utf-8"?>
<cs:colorStyle xmlns:cs="http://schemas.microsoft.com/office/drawing/2012/chartStyle" xmlns:a="http://schemas.openxmlformats.org/drawingml/2006/main" meth="withinLinear" id="15">
  <a:schemeClr val="accent2"/>
</cs:colorStyle>
</file>

<file path=xl/charts/colors20.xml><?xml version="1.0" encoding="utf-8"?>
<cs:colorStyle xmlns:cs="http://schemas.microsoft.com/office/drawing/2012/chartStyle" xmlns:a="http://schemas.openxmlformats.org/drawingml/2006/main" meth="withinLinear" id="15">
  <a:schemeClr val="accent2"/>
</cs:colorStyle>
</file>

<file path=xl/charts/colors21.xml><?xml version="1.0" encoding="utf-8"?>
<cs:colorStyle xmlns:cs="http://schemas.microsoft.com/office/drawing/2012/chartStyle" xmlns:a="http://schemas.openxmlformats.org/drawingml/2006/main" meth="withinLinear" id="15">
  <a:schemeClr val="accent2"/>
</cs:colorStyle>
</file>

<file path=xl/charts/colors22.xml><?xml version="1.0" encoding="utf-8"?>
<cs:colorStyle xmlns:cs="http://schemas.microsoft.com/office/drawing/2012/chartStyle" xmlns:a="http://schemas.openxmlformats.org/drawingml/2006/main" meth="withinLinear" id="14">
  <a:schemeClr val="accent1"/>
</cs:colorStyle>
</file>

<file path=xl/charts/colors23.xml><?xml version="1.0" encoding="utf-8"?>
<cs:colorStyle xmlns:cs="http://schemas.microsoft.com/office/drawing/2012/chartStyle" xmlns:a="http://schemas.openxmlformats.org/drawingml/2006/main" meth="withinLinear" id="14">
  <a:schemeClr val="accent1"/>
</cs:colorStyle>
</file>

<file path=xl/charts/colors24.xml><?xml version="1.0" encoding="utf-8"?>
<cs:colorStyle xmlns:cs="http://schemas.microsoft.com/office/drawing/2012/chartStyle" xmlns:a="http://schemas.openxmlformats.org/drawingml/2006/main" meth="withinLinear" id="14">
  <a:schemeClr val="accent1"/>
</cs:colorStyle>
</file>

<file path=xl/charts/colors25.xml><?xml version="1.0" encoding="utf-8"?>
<cs:colorStyle xmlns:cs="http://schemas.microsoft.com/office/drawing/2012/chartStyle" xmlns:a="http://schemas.openxmlformats.org/drawingml/2006/main" meth="withinLinear" id="19">
  <a:schemeClr val="accent6"/>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 id="15">
  <a:schemeClr val="accent2"/>
</cs:colorStyle>
</file>

<file path=xl/charts/colors31.xml><?xml version="1.0" encoding="utf-8"?>
<cs:colorStyle xmlns:cs="http://schemas.microsoft.com/office/drawing/2012/chartStyle" xmlns:a="http://schemas.openxmlformats.org/drawingml/2006/main" meth="withinLinear" id="15">
  <a:schemeClr val="accent2"/>
</cs:colorStyle>
</file>

<file path=xl/charts/colors32.xml><?xml version="1.0" encoding="utf-8"?>
<cs:colorStyle xmlns:cs="http://schemas.microsoft.com/office/drawing/2012/chartStyle" xmlns:a="http://schemas.openxmlformats.org/drawingml/2006/main" meth="withinLinear" id="15">
  <a:schemeClr val="accent2"/>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withinLinear" id="15">
  <a:schemeClr val="accent2"/>
</cs:colorStyle>
</file>

<file path=xl/charts/colors35.xml><?xml version="1.0" encoding="utf-8"?>
<cs:colorStyle xmlns:cs="http://schemas.microsoft.com/office/drawing/2012/chartStyle" xmlns:a="http://schemas.openxmlformats.org/drawingml/2006/main" meth="withinLinear" id="15">
  <a:schemeClr val="accent2"/>
</cs:colorStyle>
</file>

<file path=xl/charts/colors36.xml><?xml version="1.0" encoding="utf-8"?>
<cs:colorStyle xmlns:cs="http://schemas.microsoft.com/office/drawing/2012/chartStyle" xmlns:a="http://schemas.openxmlformats.org/drawingml/2006/main" meth="withinLinear" id="15">
  <a:schemeClr val="accent2"/>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withinLinear" id="15">
  <a:schemeClr val="accent2"/>
</cs:colorStyle>
</file>

<file path=xl/charts/colors39.xml><?xml version="1.0" encoding="utf-8"?>
<cs:colorStyle xmlns:cs="http://schemas.microsoft.com/office/drawing/2012/chartStyle" xmlns:a="http://schemas.openxmlformats.org/drawingml/2006/main" meth="withinLinear" id="15">
  <a:schemeClr val="accent2"/>
</cs:colorStyle>
</file>

<file path=xl/charts/colors40.xml><?xml version="1.0" encoding="utf-8"?>
<cs:colorStyle xmlns:cs="http://schemas.microsoft.com/office/drawing/2012/chartStyle" xmlns:a="http://schemas.openxmlformats.org/drawingml/2006/main" meth="withinLinear" id="15">
  <a:schemeClr val="accent2"/>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withinLinear" id="19">
  <a:schemeClr val="accent6"/>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withinLinear" id="15">
  <a:schemeClr val="accent2"/>
</cs:colorStyle>
</file>

<file path=xl/charts/colors83.xml><?xml version="1.0" encoding="utf-8"?>
<cs:colorStyle xmlns:cs="http://schemas.microsoft.com/office/drawing/2012/chartStyle" xmlns:a="http://schemas.openxmlformats.org/drawingml/2006/main" meth="withinLinear" id="15">
  <a:schemeClr val="accent2"/>
</cs:colorStyle>
</file>

<file path=xl/charts/colors84.xml><?xml version="1.0" encoding="utf-8"?>
<cs:colorStyle xmlns:cs="http://schemas.microsoft.com/office/drawing/2012/chartStyle" xmlns:a="http://schemas.openxmlformats.org/drawingml/2006/main" meth="withinLinear" id="15">
  <a:schemeClr val="accent2"/>
</cs:colorStyle>
</file>

<file path=xl/charts/colors85.xml><?xml version="1.0" encoding="utf-8"?>
<cs:colorStyle xmlns:cs="http://schemas.microsoft.com/office/drawing/2012/chartStyle" xmlns:a="http://schemas.openxmlformats.org/drawingml/2006/main" meth="withinLinear" id="15">
  <a:schemeClr val="accent2"/>
</cs:colorStyle>
</file>

<file path=xl/charts/colors86.xml><?xml version="1.0" encoding="utf-8"?>
<cs:colorStyle xmlns:cs="http://schemas.microsoft.com/office/drawing/2012/chartStyle" xmlns:a="http://schemas.openxmlformats.org/drawingml/2006/main" meth="withinLinear" id="15">
  <a:schemeClr val="accent2"/>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withinLinear" id="14">
  <a:schemeClr val="accent1"/>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withinLinear" id="14">
  <a:schemeClr val="accent1"/>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withinLinear" id="19">
  <a:schemeClr val="accent6"/>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withinLinear" id="15">
  <a:schemeClr val="accent2"/>
</cs:colorStyle>
</file>

<file path=xl/charts/colors102.xml><?xml version="1.0" encoding="utf-8"?>
<cs:colorStyle xmlns:cs="http://schemas.microsoft.com/office/drawing/2012/chartStyle" xmlns:a="http://schemas.openxmlformats.org/drawingml/2006/main" meth="withinLinear" id="15">
  <a:schemeClr val="accent2"/>
</cs:colorStyle>
</file>

<file path=xl/charts/colors103.xml><?xml version="1.0" encoding="utf-8"?>
<cs:colorStyle xmlns:cs="http://schemas.microsoft.com/office/drawing/2012/chartStyle" xmlns:a="http://schemas.openxmlformats.org/drawingml/2006/main" meth="withinLinear" id="15">
  <a:schemeClr val="accent2"/>
</cs:colorStyle>
</file>

<file path=xl/charts/colors104.xml><?xml version="1.0" encoding="utf-8"?>
<cs:colorStyle xmlns:cs="http://schemas.microsoft.com/office/drawing/2012/chartStyle" xmlns:a="http://schemas.openxmlformats.org/drawingml/2006/main" meth="withinLinear" id="15">
  <a:schemeClr val="accent2"/>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withinLinear" id="14">
  <a:schemeClr val="accent1"/>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withinLinear" id="14">
  <a:schemeClr val="accent1"/>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withinLinear" id="15">
  <a:schemeClr val="accent2"/>
</cs:colorStyle>
</file>

<file path=xl/charts/colors121.xml><?xml version="1.0" encoding="utf-8"?>
<cs:colorStyle xmlns:cs="http://schemas.microsoft.com/office/drawing/2012/chartStyle" xmlns:a="http://schemas.openxmlformats.org/drawingml/2006/main" meth="withinLinear" id="15">
  <a:schemeClr val="accent2"/>
</cs:colorStyle>
</file>

<file path=xl/charts/colors122.xml><?xml version="1.0" encoding="utf-8"?>
<cs:colorStyle xmlns:cs="http://schemas.microsoft.com/office/drawing/2012/chartStyle" xmlns:a="http://schemas.openxmlformats.org/drawingml/2006/main" meth="withinLinear" id="15">
  <a:schemeClr val="accent2"/>
</cs:colorStyle>
</file>

<file path=xl/charts/colors123.xml><?xml version="1.0" encoding="utf-8"?>
<cs:colorStyle xmlns:cs="http://schemas.microsoft.com/office/drawing/2012/chartStyle" xmlns:a="http://schemas.openxmlformats.org/drawingml/2006/main" meth="withinLinear" id="15">
  <a:schemeClr val="accent2"/>
</cs:colorStyle>
</file>

<file path=xl/charts/colors124.xml><?xml version="1.0" encoding="utf-8"?>
<cs:colorStyle xmlns:cs="http://schemas.microsoft.com/office/drawing/2012/chartStyle" xmlns:a="http://schemas.openxmlformats.org/drawingml/2006/main" meth="withinLinear" id="15">
  <a:schemeClr val="accent2"/>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withinLinear" id="19">
  <a:schemeClr val="accent6"/>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withinLinear" id="14">
  <a:schemeClr val="accent1"/>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withinLinear" id="14">
  <a:schemeClr val="accent1"/>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9.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6.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0.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5.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6.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7.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8.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0.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6.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8.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5.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8.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9.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0.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3" Type="http://schemas.openxmlformats.org/officeDocument/2006/relationships/chart" Target="../charts/chart26.xml"/><Relationship Id="rId18" Type="http://schemas.openxmlformats.org/officeDocument/2006/relationships/chart" Target="../charts/chart31.xml"/><Relationship Id="rId26" Type="http://schemas.openxmlformats.org/officeDocument/2006/relationships/chart" Target="../charts/chart39.xml"/><Relationship Id="rId39" Type="http://schemas.openxmlformats.org/officeDocument/2006/relationships/chart" Target="../charts/chart52.xml"/><Relationship Id="rId21" Type="http://schemas.openxmlformats.org/officeDocument/2006/relationships/chart" Target="../charts/chart34.xml"/><Relationship Id="rId34" Type="http://schemas.openxmlformats.org/officeDocument/2006/relationships/chart" Target="../charts/chart47.xml"/><Relationship Id="rId42" Type="http://schemas.openxmlformats.org/officeDocument/2006/relationships/chart" Target="../charts/chart55.xml"/><Relationship Id="rId47" Type="http://schemas.openxmlformats.org/officeDocument/2006/relationships/chart" Target="../charts/chart60.xml"/><Relationship Id="rId50" Type="http://schemas.openxmlformats.org/officeDocument/2006/relationships/chart" Target="../charts/chart63.xml"/><Relationship Id="rId55" Type="http://schemas.openxmlformats.org/officeDocument/2006/relationships/chart" Target="../charts/chart68.xml"/><Relationship Id="rId63" Type="http://schemas.openxmlformats.org/officeDocument/2006/relationships/chart" Target="../charts/chart76.xml"/><Relationship Id="rId7" Type="http://schemas.openxmlformats.org/officeDocument/2006/relationships/chart" Target="../charts/chart20.xml"/><Relationship Id="rId2" Type="http://schemas.openxmlformats.org/officeDocument/2006/relationships/chart" Target="../charts/chart15.xml"/><Relationship Id="rId16" Type="http://schemas.openxmlformats.org/officeDocument/2006/relationships/chart" Target="../charts/chart29.xml"/><Relationship Id="rId29" Type="http://schemas.openxmlformats.org/officeDocument/2006/relationships/chart" Target="../charts/chart42.xml"/><Relationship Id="rId11" Type="http://schemas.openxmlformats.org/officeDocument/2006/relationships/chart" Target="../charts/chart24.xml"/><Relationship Id="rId24" Type="http://schemas.openxmlformats.org/officeDocument/2006/relationships/chart" Target="../charts/chart37.xml"/><Relationship Id="rId32" Type="http://schemas.openxmlformats.org/officeDocument/2006/relationships/chart" Target="../charts/chart45.xml"/><Relationship Id="rId37" Type="http://schemas.openxmlformats.org/officeDocument/2006/relationships/chart" Target="../charts/chart50.xml"/><Relationship Id="rId40" Type="http://schemas.openxmlformats.org/officeDocument/2006/relationships/chart" Target="../charts/chart53.xml"/><Relationship Id="rId45" Type="http://schemas.openxmlformats.org/officeDocument/2006/relationships/chart" Target="../charts/chart58.xml"/><Relationship Id="rId53" Type="http://schemas.openxmlformats.org/officeDocument/2006/relationships/chart" Target="../charts/chart66.xml"/><Relationship Id="rId58" Type="http://schemas.openxmlformats.org/officeDocument/2006/relationships/chart" Target="../charts/chart71.xml"/><Relationship Id="rId5" Type="http://schemas.openxmlformats.org/officeDocument/2006/relationships/chart" Target="../charts/chart18.xml"/><Relationship Id="rId61" Type="http://schemas.openxmlformats.org/officeDocument/2006/relationships/chart" Target="../charts/chart74.xml"/><Relationship Id="rId19" Type="http://schemas.openxmlformats.org/officeDocument/2006/relationships/chart" Target="../charts/chart32.xml"/><Relationship Id="rId14" Type="http://schemas.openxmlformats.org/officeDocument/2006/relationships/chart" Target="../charts/chart27.xml"/><Relationship Id="rId22" Type="http://schemas.openxmlformats.org/officeDocument/2006/relationships/chart" Target="../charts/chart35.xml"/><Relationship Id="rId27" Type="http://schemas.openxmlformats.org/officeDocument/2006/relationships/chart" Target="../charts/chart40.xml"/><Relationship Id="rId30" Type="http://schemas.openxmlformats.org/officeDocument/2006/relationships/chart" Target="../charts/chart43.xml"/><Relationship Id="rId35" Type="http://schemas.openxmlformats.org/officeDocument/2006/relationships/chart" Target="../charts/chart48.xml"/><Relationship Id="rId43" Type="http://schemas.openxmlformats.org/officeDocument/2006/relationships/chart" Target="../charts/chart56.xml"/><Relationship Id="rId48" Type="http://schemas.openxmlformats.org/officeDocument/2006/relationships/chart" Target="../charts/chart61.xml"/><Relationship Id="rId56" Type="http://schemas.openxmlformats.org/officeDocument/2006/relationships/chart" Target="../charts/chart69.xml"/><Relationship Id="rId64" Type="http://schemas.openxmlformats.org/officeDocument/2006/relationships/chart" Target="../charts/chart77.xml"/><Relationship Id="rId8" Type="http://schemas.openxmlformats.org/officeDocument/2006/relationships/chart" Target="../charts/chart21.xml"/><Relationship Id="rId51" Type="http://schemas.openxmlformats.org/officeDocument/2006/relationships/chart" Target="../charts/chart64.xml"/><Relationship Id="rId3" Type="http://schemas.openxmlformats.org/officeDocument/2006/relationships/chart" Target="../charts/chart16.xml"/><Relationship Id="rId12" Type="http://schemas.openxmlformats.org/officeDocument/2006/relationships/chart" Target="../charts/chart25.xml"/><Relationship Id="rId17" Type="http://schemas.openxmlformats.org/officeDocument/2006/relationships/chart" Target="../charts/chart30.xml"/><Relationship Id="rId25" Type="http://schemas.openxmlformats.org/officeDocument/2006/relationships/chart" Target="../charts/chart38.xml"/><Relationship Id="rId33" Type="http://schemas.openxmlformats.org/officeDocument/2006/relationships/chart" Target="../charts/chart46.xml"/><Relationship Id="rId38" Type="http://schemas.openxmlformats.org/officeDocument/2006/relationships/chart" Target="../charts/chart51.xml"/><Relationship Id="rId46" Type="http://schemas.openxmlformats.org/officeDocument/2006/relationships/chart" Target="../charts/chart59.xml"/><Relationship Id="rId59" Type="http://schemas.openxmlformats.org/officeDocument/2006/relationships/chart" Target="../charts/chart72.xml"/><Relationship Id="rId20" Type="http://schemas.openxmlformats.org/officeDocument/2006/relationships/chart" Target="../charts/chart33.xml"/><Relationship Id="rId41" Type="http://schemas.openxmlformats.org/officeDocument/2006/relationships/chart" Target="../charts/chart54.xml"/><Relationship Id="rId54" Type="http://schemas.openxmlformats.org/officeDocument/2006/relationships/chart" Target="../charts/chart67.xml"/><Relationship Id="rId62" Type="http://schemas.openxmlformats.org/officeDocument/2006/relationships/chart" Target="../charts/chart75.xml"/><Relationship Id="rId1" Type="http://schemas.openxmlformats.org/officeDocument/2006/relationships/chart" Target="../charts/chart14.xml"/><Relationship Id="rId6" Type="http://schemas.openxmlformats.org/officeDocument/2006/relationships/chart" Target="../charts/chart19.xml"/><Relationship Id="rId15" Type="http://schemas.openxmlformats.org/officeDocument/2006/relationships/chart" Target="../charts/chart28.xml"/><Relationship Id="rId23" Type="http://schemas.openxmlformats.org/officeDocument/2006/relationships/chart" Target="../charts/chart36.xml"/><Relationship Id="rId28" Type="http://schemas.openxmlformats.org/officeDocument/2006/relationships/chart" Target="../charts/chart41.xml"/><Relationship Id="rId36" Type="http://schemas.openxmlformats.org/officeDocument/2006/relationships/chart" Target="../charts/chart49.xml"/><Relationship Id="rId49" Type="http://schemas.openxmlformats.org/officeDocument/2006/relationships/chart" Target="../charts/chart62.xml"/><Relationship Id="rId57" Type="http://schemas.openxmlformats.org/officeDocument/2006/relationships/chart" Target="../charts/chart70.xml"/><Relationship Id="rId10" Type="http://schemas.openxmlformats.org/officeDocument/2006/relationships/chart" Target="../charts/chart23.xml"/><Relationship Id="rId31" Type="http://schemas.openxmlformats.org/officeDocument/2006/relationships/chart" Target="../charts/chart44.xml"/><Relationship Id="rId44" Type="http://schemas.openxmlformats.org/officeDocument/2006/relationships/chart" Target="../charts/chart57.xml"/><Relationship Id="rId52" Type="http://schemas.openxmlformats.org/officeDocument/2006/relationships/chart" Target="../charts/chart65.xml"/><Relationship Id="rId60" Type="http://schemas.openxmlformats.org/officeDocument/2006/relationships/chart" Target="../charts/chart73.xml"/><Relationship Id="rId4" Type="http://schemas.openxmlformats.org/officeDocument/2006/relationships/chart" Target="../charts/chart17.xml"/><Relationship Id="rId9"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xml.rels><?xml version="1.0" encoding="UTF-8" standalone="yes"?>
<Relationships xmlns="http://schemas.openxmlformats.org/package/2006/relationships"><Relationship Id="rId8" Type="http://schemas.openxmlformats.org/officeDocument/2006/relationships/chart" Target="../charts/chart85.xml"/><Relationship Id="rId13" Type="http://schemas.openxmlformats.org/officeDocument/2006/relationships/chart" Target="../charts/chart90.xml"/><Relationship Id="rId18" Type="http://schemas.openxmlformats.org/officeDocument/2006/relationships/chart" Target="../charts/chart94.xml"/><Relationship Id="rId3" Type="http://schemas.openxmlformats.org/officeDocument/2006/relationships/hyperlink" Target="#Analysis!A348"/><Relationship Id="rId21" Type="http://schemas.openxmlformats.org/officeDocument/2006/relationships/chart" Target="../charts/chart97.xml"/><Relationship Id="rId7" Type="http://schemas.openxmlformats.org/officeDocument/2006/relationships/chart" Target="../charts/chart84.xml"/><Relationship Id="rId12" Type="http://schemas.openxmlformats.org/officeDocument/2006/relationships/chart" Target="../charts/chart89.xml"/><Relationship Id="rId17" Type="http://schemas.openxmlformats.org/officeDocument/2006/relationships/chart" Target="../charts/chart93.xml"/><Relationship Id="rId2" Type="http://schemas.openxmlformats.org/officeDocument/2006/relationships/chart" Target="../charts/chart80.xml"/><Relationship Id="rId16" Type="http://schemas.openxmlformats.org/officeDocument/2006/relationships/image" Target="../media/image2.jpeg"/><Relationship Id="rId20" Type="http://schemas.openxmlformats.org/officeDocument/2006/relationships/chart" Target="../charts/chart96.xml"/><Relationship Id="rId1" Type="http://schemas.openxmlformats.org/officeDocument/2006/relationships/chart" Target="../charts/chart79.xml"/><Relationship Id="rId6" Type="http://schemas.openxmlformats.org/officeDocument/2006/relationships/chart" Target="../charts/chart83.xml"/><Relationship Id="rId11" Type="http://schemas.openxmlformats.org/officeDocument/2006/relationships/chart" Target="../charts/chart88.xml"/><Relationship Id="rId5" Type="http://schemas.openxmlformats.org/officeDocument/2006/relationships/chart" Target="../charts/chart82.xml"/><Relationship Id="rId15" Type="http://schemas.openxmlformats.org/officeDocument/2006/relationships/chart" Target="../charts/chart92.xml"/><Relationship Id="rId10" Type="http://schemas.openxmlformats.org/officeDocument/2006/relationships/chart" Target="../charts/chart87.xml"/><Relationship Id="rId19" Type="http://schemas.openxmlformats.org/officeDocument/2006/relationships/chart" Target="../charts/chart95.xml"/><Relationship Id="rId4" Type="http://schemas.openxmlformats.org/officeDocument/2006/relationships/chart" Target="../charts/chart81.xml"/><Relationship Id="rId9" Type="http://schemas.openxmlformats.org/officeDocument/2006/relationships/chart" Target="../charts/chart86.xml"/><Relationship Id="rId14" Type="http://schemas.openxmlformats.org/officeDocument/2006/relationships/chart" Target="../charts/chart91.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04.xml"/><Relationship Id="rId13" Type="http://schemas.openxmlformats.org/officeDocument/2006/relationships/chart" Target="../charts/chart109.xml"/><Relationship Id="rId18" Type="http://schemas.openxmlformats.org/officeDocument/2006/relationships/chart" Target="../charts/chart114.xml"/><Relationship Id="rId3" Type="http://schemas.openxmlformats.org/officeDocument/2006/relationships/hyperlink" Target="#Analysis!A348"/><Relationship Id="rId21" Type="http://schemas.openxmlformats.org/officeDocument/2006/relationships/chart" Target="../charts/chart117.xml"/><Relationship Id="rId7" Type="http://schemas.openxmlformats.org/officeDocument/2006/relationships/chart" Target="../charts/chart103.xml"/><Relationship Id="rId12" Type="http://schemas.openxmlformats.org/officeDocument/2006/relationships/chart" Target="../charts/chart108.xml"/><Relationship Id="rId17" Type="http://schemas.openxmlformats.org/officeDocument/2006/relationships/chart" Target="../charts/chart113.xml"/><Relationship Id="rId2" Type="http://schemas.openxmlformats.org/officeDocument/2006/relationships/chart" Target="../charts/chart99.xml"/><Relationship Id="rId16" Type="http://schemas.openxmlformats.org/officeDocument/2006/relationships/chart" Target="../charts/chart112.xml"/><Relationship Id="rId20" Type="http://schemas.openxmlformats.org/officeDocument/2006/relationships/chart" Target="../charts/chart116.xml"/><Relationship Id="rId1" Type="http://schemas.openxmlformats.org/officeDocument/2006/relationships/chart" Target="../charts/chart98.xml"/><Relationship Id="rId6" Type="http://schemas.openxmlformats.org/officeDocument/2006/relationships/chart" Target="../charts/chart102.xml"/><Relationship Id="rId11" Type="http://schemas.openxmlformats.org/officeDocument/2006/relationships/chart" Target="../charts/chart107.xml"/><Relationship Id="rId24" Type="http://schemas.openxmlformats.org/officeDocument/2006/relationships/image" Target="../media/image3.jpeg"/><Relationship Id="rId5" Type="http://schemas.openxmlformats.org/officeDocument/2006/relationships/chart" Target="../charts/chart101.xml"/><Relationship Id="rId15" Type="http://schemas.openxmlformats.org/officeDocument/2006/relationships/chart" Target="../charts/chart111.xml"/><Relationship Id="rId23" Type="http://schemas.openxmlformats.org/officeDocument/2006/relationships/chart" Target="../charts/chart119.xml"/><Relationship Id="rId10" Type="http://schemas.openxmlformats.org/officeDocument/2006/relationships/chart" Target="../charts/chart106.xml"/><Relationship Id="rId19" Type="http://schemas.openxmlformats.org/officeDocument/2006/relationships/chart" Target="../charts/chart115.xml"/><Relationship Id="rId4" Type="http://schemas.openxmlformats.org/officeDocument/2006/relationships/chart" Target="../charts/chart100.xml"/><Relationship Id="rId9" Type="http://schemas.openxmlformats.org/officeDocument/2006/relationships/chart" Target="../charts/chart105.xml"/><Relationship Id="rId14" Type="http://schemas.openxmlformats.org/officeDocument/2006/relationships/chart" Target="../charts/chart110.xml"/><Relationship Id="rId22" Type="http://schemas.openxmlformats.org/officeDocument/2006/relationships/chart" Target="../charts/chart118.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26.xml"/><Relationship Id="rId13" Type="http://schemas.openxmlformats.org/officeDocument/2006/relationships/chart" Target="../charts/chart130.xml"/><Relationship Id="rId18" Type="http://schemas.openxmlformats.org/officeDocument/2006/relationships/chart" Target="../charts/chart135.xml"/><Relationship Id="rId3" Type="http://schemas.openxmlformats.org/officeDocument/2006/relationships/chart" Target="../charts/chart121.xml"/><Relationship Id="rId21" Type="http://schemas.openxmlformats.org/officeDocument/2006/relationships/chart" Target="../charts/chart138.xml"/><Relationship Id="rId7" Type="http://schemas.openxmlformats.org/officeDocument/2006/relationships/chart" Target="../charts/chart125.xml"/><Relationship Id="rId12" Type="http://schemas.openxmlformats.org/officeDocument/2006/relationships/image" Target="../media/image4.jpeg"/><Relationship Id="rId17" Type="http://schemas.openxmlformats.org/officeDocument/2006/relationships/chart" Target="../charts/chart134.xml"/><Relationship Id="rId2" Type="http://schemas.openxmlformats.org/officeDocument/2006/relationships/hyperlink" Target="#Analysis!A348"/><Relationship Id="rId16" Type="http://schemas.openxmlformats.org/officeDocument/2006/relationships/chart" Target="../charts/chart133.xml"/><Relationship Id="rId20" Type="http://schemas.openxmlformats.org/officeDocument/2006/relationships/chart" Target="../charts/chart137.xml"/><Relationship Id="rId1" Type="http://schemas.openxmlformats.org/officeDocument/2006/relationships/chart" Target="../charts/chart120.xml"/><Relationship Id="rId6" Type="http://schemas.openxmlformats.org/officeDocument/2006/relationships/chart" Target="../charts/chart124.xml"/><Relationship Id="rId11" Type="http://schemas.openxmlformats.org/officeDocument/2006/relationships/chart" Target="../charts/chart129.xml"/><Relationship Id="rId5" Type="http://schemas.openxmlformats.org/officeDocument/2006/relationships/chart" Target="../charts/chart123.xml"/><Relationship Id="rId15" Type="http://schemas.openxmlformats.org/officeDocument/2006/relationships/chart" Target="../charts/chart132.xml"/><Relationship Id="rId23" Type="http://schemas.openxmlformats.org/officeDocument/2006/relationships/chart" Target="../charts/chart140.xml"/><Relationship Id="rId10" Type="http://schemas.openxmlformats.org/officeDocument/2006/relationships/chart" Target="../charts/chart128.xml"/><Relationship Id="rId19" Type="http://schemas.openxmlformats.org/officeDocument/2006/relationships/chart" Target="../charts/chart136.xml"/><Relationship Id="rId4" Type="http://schemas.openxmlformats.org/officeDocument/2006/relationships/chart" Target="../charts/chart122.xml"/><Relationship Id="rId9" Type="http://schemas.openxmlformats.org/officeDocument/2006/relationships/chart" Target="../charts/chart127.xml"/><Relationship Id="rId14" Type="http://schemas.openxmlformats.org/officeDocument/2006/relationships/chart" Target="../charts/chart131.xml"/><Relationship Id="rId22" Type="http://schemas.openxmlformats.org/officeDocument/2006/relationships/chart" Target="../charts/chart13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2.xml"/></Relationships>
</file>

<file path=xl/drawings/drawing1.xml><?xml version="1.0" encoding="utf-8"?>
<xdr:wsDr xmlns:xdr="http://schemas.openxmlformats.org/drawingml/2006/spreadsheetDrawing" xmlns:a="http://schemas.openxmlformats.org/drawingml/2006/main">
  <xdr:oneCellAnchor>
    <xdr:from>
      <xdr:col>0</xdr:col>
      <xdr:colOff>561975</xdr:colOff>
      <xdr:row>74</xdr:row>
      <xdr:rowOff>561975</xdr:rowOff>
    </xdr:from>
    <xdr:ext cx="7246792" cy="2009775"/>
    <xdr:pic>
      <xdr:nvPicPr>
        <xdr:cNvPr id="2" name="Picture 1">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561975" y="44538900"/>
          <a:ext cx="7246792" cy="200977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3463</xdr:colOff>
      <xdr:row>73</xdr:row>
      <xdr:rowOff>562841</xdr:rowOff>
    </xdr:from>
    <xdr:ext cx="7246792" cy="2009775"/>
    <xdr:pic>
      <xdr:nvPicPr>
        <xdr:cNvPr id="2" name="Picture 1">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470188" y="47321066"/>
          <a:ext cx="7246792" cy="200977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xdr:col>
      <xdr:colOff>63788</xdr:colOff>
      <xdr:row>52</xdr:row>
      <xdr:rowOff>63500</xdr:rowOff>
    </xdr:from>
    <xdr:to>
      <xdr:col>13</xdr:col>
      <xdr:colOff>232832</xdr:colOff>
      <xdr:row>63</xdr:row>
      <xdr:rowOff>84666</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82491</xdr:colOff>
      <xdr:row>64</xdr:row>
      <xdr:rowOff>28228</xdr:rowOff>
    </xdr:from>
    <xdr:to>
      <xdr:col>13</xdr:col>
      <xdr:colOff>243417</xdr:colOff>
      <xdr:row>74</xdr:row>
      <xdr:rowOff>84667</xdr:rowOff>
    </xdr:to>
    <xdr:graphicFrame macro="">
      <xdr:nvGraphicFramePr>
        <xdr:cNvPr id="6" name="Chart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71908</xdr:colOff>
      <xdr:row>75</xdr:row>
      <xdr:rowOff>39143</xdr:rowOff>
    </xdr:from>
    <xdr:to>
      <xdr:col>13</xdr:col>
      <xdr:colOff>201083</xdr:colOff>
      <xdr:row>92</xdr:row>
      <xdr:rowOff>140573</xdr:rowOff>
    </xdr:to>
    <xdr:graphicFrame macro="">
      <xdr:nvGraphicFramePr>
        <xdr:cNvPr id="8" name="Chart 7">
          <a:extLst>
            <a:ext uri="{FF2B5EF4-FFF2-40B4-BE49-F238E27FC236}">
              <a16:creationId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168753</xdr:colOff>
      <xdr:row>97</xdr:row>
      <xdr:rowOff>14237</xdr:rowOff>
    </xdr:from>
    <xdr:to>
      <xdr:col>17</xdr:col>
      <xdr:colOff>321468</xdr:colOff>
      <xdr:row>104</xdr:row>
      <xdr:rowOff>71437</xdr:rowOff>
    </xdr:to>
    <xdr:graphicFrame macro="">
      <xdr:nvGraphicFramePr>
        <xdr:cNvPr id="12" name="Chart 11">
          <a:extLst>
            <a:ext uri="{FF2B5EF4-FFF2-40B4-BE49-F238E27FC236}">
              <a16:creationId xmlns:a16="http://schemas.microsoft.com/office/drawing/2014/main" id="{00000000-0008-0000-07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195792</xdr:colOff>
      <xdr:row>109</xdr:row>
      <xdr:rowOff>190498</xdr:rowOff>
    </xdr:from>
    <xdr:to>
      <xdr:col>17</xdr:col>
      <xdr:colOff>345281</xdr:colOff>
      <xdr:row>118</xdr:row>
      <xdr:rowOff>166686</xdr:rowOff>
    </xdr:to>
    <xdr:graphicFrame macro="">
      <xdr:nvGraphicFramePr>
        <xdr:cNvPr id="15" name="Chart 14">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399590</xdr:colOff>
      <xdr:row>123</xdr:row>
      <xdr:rowOff>25542</xdr:rowOff>
    </xdr:from>
    <xdr:to>
      <xdr:col>17</xdr:col>
      <xdr:colOff>523874</xdr:colOff>
      <xdr:row>132</xdr:row>
      <xdr:rowOff>130967</xdr:rowOff>
    </xdr:to>
    <xdr:graphicFrame macro="">
      <xdr:nvGraphicFramePr>
        <xdr:cNvPr id="16" name="Chart 15">
          <a:extLst>
            <a:ext uri="{FF2B5EF4-FFF2-40B4-BE49-F238E27FC236}">
              <a16:creationId xmlns:a16="http://schemas.microsoft.com/office/drawing/2014/main" id="{00000000-0008-0000-07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251661</xdr:colOff>
      <xdr:row>136</xdr:row>
      <xdr:rowOff>35720</xdr:rowOff>
    </xdr:from>
    <xdr:to>
      <xdr:col>17</xdr:col>
      <xdr:colOff>404812</xdr:colOff>
      <xdr:row>144</xdr:row>
      <xdr:rowOff>23813</xdr:rowOff>
    </xdr:to>
    <xdr:graphicFrame macro="">
      <xdr:nvGraphicFramePr>
        <xdr:cNvPr id="17" name="Chart 16">
          <a:extLst>
            <a:ext uri="{FF2B5EF4-FFF2-40B4-BE49-F238E27FC236}">
              <a16:creationId xmlns:a16="http://schemas.microsoft.com/office/drawing/2014/main" id="{00000000-0008-0000-07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274986</xdr:colOff>
      <xdr:row>97</xdr:row>
      <xdr:rowOff>11417</xdr:rowOff>
    </xdr:from>
    <xdr:to>
      <xdr:col>36</xdr:col>
      <xdr:colOff>30173</xdr:colOff>
      <xdr:row>103</xdr:row>
      <xdr:rowOff>176245</xdr:rowOff>
    </xdr:to>
    <xdr:graphicFrame macro="">
      <xdr:nvGraphicFramePr>
        <xdr:cNvPr id="18" name="Chart 17">
          <a:extLst>
            <a:ext uri="{FF2B5EF4-FFF2-40B4-BE49-F238E27FC236}">
              <a16:creationId xmlns:a16="http://schemas.microsoft.com/office/drawing/2014/main" id="{00000000-0008-0000-07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25</xdr:col>
      <xdr:colOff>692702</xdr:colOff>
      <xdr:row>123</xdr:row>
      <xdr:rowOff>92052</xdr:rowOff>
    </xdr:from>
    <xdr:to>
      <xdr:col>35</xdr:col>
      <xdr:colOff>642937</xdr:colOff>
      <xdr:row>131</xdr:row>
      <xdr:rowOff>39687</xdr:rowOff>
    </xdr:to>
    <xdr:graphicFrame macro="">
      <xdr:nvGraphicFramePr>
        <xdr:cNvPr id="20" name="Chart 19">
          <a:extLst>
            <a:ext uri="{FF2B5EF4-FFF2-40B4-BE49-F238E27FC236}">
              <a16:creationId xmlns:a16="http://schemas.microsoft.com/office/drawing/2014/main" id="{00000000-0008-0000-07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48</xdr:col>
      <xdr:colOff>447144</xdr:colOff>
      <xdr:row>98</xdr:row>
      <xdr:rowOff>155308</xdr:rowOff>
    </xdr:from>
    <xdr:to>
      <xdr:col>58</xdr:col>
      <xdr:colOff>486832</xdr:colOff>
      <xdr:row>103</xdr:row>
      <xdr:rowOff>169333</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190501</xdr:colOff>
      <xdr:row>20</xdr:row>
      <xdr:rowOff>114827</xdr:rowOff>
    </xdr:from>
    <xdr:to>
      <xdr:col>22</xdr:col>
      <xdr:colOff>688975</xdr:colOff>
      <xdr:row>50</xdr:row>
      <xdr:rowOff>89957</xdr:rowOff>
    </xdr:to>
    <xdr:graphicFrame macro="">
      <xdr:nvGraphicFramePr>
        <xdr:cNvPr id="10" name="Chart 9">
          <a:extLst>
            <a:ext uri="{FF2B5EF4-FFF2-40B4-BE49-F238E27FC236}">
              <a16:creationId xmlns:a16="http://schemas.microsoft.com/office/drawing/2014/main" id="{00000000-0008-0000-07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25</xdr:col>
      <xdr:colOff>601264</xdr:colOff>
      <xdr:row>136</xdr:row>
      <xdr:rowOff>152399</xdr:rowOff>
    </xdr:from>
    <xdr:to>
      <xdr:col>36</xdr:col>
      <xdr:colOff>107156</xdr:colOff>
      <xdr:row>144</xdr:row>
      <xdr:rowOff>154781</xdr:rowOff>
    </xdr:to>
    <xdr:graphicFrame macro="">
      <xdr:nvGraphicFramePr>
        <xdr:cNvPr id="5" name="Chart 4">
          <a:extLst>
            <a:ext uri="{FF2B5EF4-FFF2-40B4-BE49-F238E27FC236}">
              <a16:creationId xmlns:a16="http://schemas.microsoft.com/office/drawing/2014/main" id="{AD33D40F-A18F-4B2E-9F86-488A02F3AE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44</xdr:col>
      <xdr:colOff>211666</xdr:colOff>
      <xdr:row>122</xdr:row>
      <xdr:rowOff>189441</xdr:rowOff>
    </xdr:from>
    <xdr:to>
      <xdr:col>52</xdr:col>
      <xdr:colOff>486833</xdr:colOff>
      <xdr:row>131</xdr:row>
      <xdr:rowOff>31750</xdr:rowOff>
    </xdr:to>
    <xdr:graphicFrame macro="">
      <xdr:nvGraphicFramePr>
        <xdr:cNvPr id="3" name="Chart 2">
          <a:extLst>
            <a:ext uri="{FF2B5EF4-FFF2-40B4-BE49-F238E27FC236}">
              <a16:creationId xmlns:a16="http://schemas.microsoft.com/office/drawing/2014/main" id="{0BE81DE4-C3B6-4E16-B5C8-AD71186D32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952499</xdr:colOff>
      <xdr:row>129</xdr:row>
      <xdr:rowOff>1131094</xdr:rowOff>
    </xdr:from>
    <xdr:to>
      <xdr:col>17</xdr:col>
      <xdr:colOff>904874</xdr:colOff>
      <xdr:row>130</xdr:row>
      <xdr:rowOff>261938</xdr:rowOff>
    </xdr:to>
    <xdr:sp macro="" textlink="">
      <xdr:nvSpPr>
        <xdr:cNvPr id="7" name="Rectangle 6">
          <a:extLst>
            <a:ext uri="{FF2B5EF4-FFF2-40B4-BE49-F238E27FC236}">
              <a16:creationId xmlns:a16="http://schemas.microsoft.com/office/drawing/2014/main" id="{AD6DC2CE-C2EA-4672-AB1E-F5E65262E032}"/>
            </a:ext>
          </a:extLst>
        </xdr:cNvPr>
        <xdr:cNvSpPr/>
      </xdr:nvSpPr>
      <xdr:spPr>
        <a:xfrm>
          <a:off x="22014655" y="38885813"/>
          <a:ext cx="964407"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rgbClr val="0070C0"/>
              </a:solidFill>
            </a:rPr>
            <a:t>+5,473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741838</xdr:colOff>
      <xdr:row>236</xdr:row>
      <xdr:rowOff>42674</xdr:rowOff>
    </xdr:from>
    <xdr:to>
      <xdr:col>19</xdr:col>
      <xdr:colOff>311852</xdr:colOff>
      <xdr:row>250</xdr:row>
      <xdr:rowOff>14099</xdr:rowOff>
    </xdr:to>
    <xdr:graphicFrame macro="">
      <xdr:nvGraphicFramePr>
        <xdr:cNvPr id="10" name="Chart 9">
          <a:extLst>
            <a:ext uri="{FF2B5EF4-FFF2-40B4-BE49-F238E27FC236}">
              <a16:creationId xmlns:a16="http://schemas.microsoft.com/office/drawing/2014/main" id="{00000000-0008-0000-08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140338</xdr:colOff>
      <xdr:row>235</xdr:row>
      <xdr:rowOff>121722</xdr:rowOff>
    </xdr:from>
    <xdr:to>
      <xdr:col>28</xdr:col>
      <xdr:colOff>45089</xdr:colOff>
      <xdr:row>249</xdr:row>
      <xdr:rowOff>45522</xdr:rowOff>
    </xdr:to>
    <xdr:graphicFrame macro="">
      <xdr:nvGraphicFramePr>
        <xdr:cNvPr id="17" name="Chart 16">
          <a:extLst>
            <a:ext uri="{FF2B5EF4-FFF2-40B4-BE49-F238E27FC236}">
              <a16:creationId xmlns:a16="http://schemas.microsoft.com/office/drawing/2014/main" id="{00000000-0008-0000-08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387927</xdr:colOff>
      <xdr:row>162</xdr:row>
      <xdr:rowOff>7793</xdr:rowOff>
    </xdr:from>
    <xdr:to>
      <xdr:col>10</xdr:col>
      <xdr:colOff>654627</xdr:colOff>
      <xdr:row>174</xdr:row>
      <xdr:rowOff>7793</xdr:rowOff>
    </xdr:to>
    <xdr:graphicFrame macro="">
      <xdr:nvGraphicFramePr>
        <xdr:cNvPr id="31" name="Chart 30">
          <a:extLst>
            <a:ext uri="{FF2B5EF4-FFF2-40B4-BE49-F238E27FC236}">
              <a16:creationId xmlns:a16="http://schemas.microsoft.com/office/drawing/2014/main" id="{00000000-0008-0000-08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720437</xdr:colOff>
      <xdr:row>162</xdr:row>
      <xdr:rowOff>16452</xdr:rowOff>
    </xdr:from>
    <xdr:to>
      <xdr:col>14</xdr:col>
      <xdr:colOff>987137</xdr:colOff>
      <xdr:row>174</xdr:row>
      <xdr:rowOff>16452</xdr:rowOff>
    </xdr:to>
    <xdr:graphicFrame macro="">
      <xdr:nvGraphicFramePr>
        <xdr:cNvPr id="36" name="Chart 35">
          <a:extLst>
            <a:ext uri="{FF2B5EF4-FFF2-40B4-BE49-F238E27FC236}">
              <a16:creationId xmlns:a16="http://schemas.microsoft.com/office/drawing/2014/main" id="{00000000-0008-0000-08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28575</xdr:colOff>
      <xdr:row>161</xdr:row>
      <xdr:rowOff>180974</xdr:rowOff>
    </xdr:from>
    <xdr:to>
      <xdr:col>20</xdr:col>
      <xdr:colOff>398318</xdr:colOff>
      <xdr:row>173</xdr:row>
      <xdr:rowOff>180974</xdr:rowOff>
    </xdr:to>
    <xdr:graphicFrame macro="">
      <xdr:nvGraphicFramePr>
        <xdr:cNvPr id="37" name="Chart 36">
          <a:extLst>
            <a:ext uri="{FF2B5EF4-FFF2-40B4-BE49-F238E27FC236}">
              <a16:creationId xmlns:a16="http://schemas.microsoft.com/office/drawing/2014/main" id="{00000000-0008-0000-08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872837</xdr:colOff>
      <xdr:row>177</xdr:row>
      <xdr:rowOff>116033</xdr:rowOff>
    </xdr:from>
    <xdr:to>
      <xdr:col>9</xdr:col>
      <xdr:colOff>628651</xdr:colOff>
      <xdr:row>189</xdr:row>
      <xdr:rowOff>116033</xdr:rowOff>
    </xdr:to>
    <xdr:graphicFrame macro="">
      <xdr:nvGraphicFramePr>
        <xdr:cNvPr id="28" name="Chart 27">
          <a:extLst>
            <a:ext uri="{FF2B5EF4-FFF2-40B4-BE49-F238E27FC236}">
              <a16:creationId xmlns:a16="http://schemas.microsoft.com/office/drawing/2014/main" id="{00000000-0008-0000-08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419101</xdr:colOff>
      <xdr:row>178</xdr:row>
      <xdr:rowOff>47624</xdr:rowOff>
    </xdr:from>
    <xdr:to>
      <xdr:col>14</xdr:col>
      <xdr:colOff>685801</xdr:colOff>
      <xdr:row>190</xdr:row>
      <xdr:rowOff>47624</xdr:rowOff>
    </xdr:to>
    <xdr:graphicFrame macro="">
      <xdr:nvGraphicFramePr>
        <xdr:cNvPr id="35" name="Chart 34">
          <a:extLst>
            <a:ext uri="{FF2B5EF4-FFF2-40B4-BE49-F238E27FC236}">
              <a16:creationId xmlns:a16="http://schemas.microsoft.com/office/drawing/2014/main" id="{00000000-0008-0000-08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95250</xdr:colOff>
      <xdr:row>178</xdr:row>
      <xdr:rowOff>47625</xdr:rowOff>
    </xdr:from>
    <xdr:to>
      <xdr:col>19</xdr:col>
      <xdr:colOff>361950</xdr:colOff>
      <xdr:row>190</xdr:row>
      <xdr:rowOff>47625</xdr:rowOff>
    </xdr:to>
    <xdr:graphicFrame macro="">
      <xdr:nvGraphicFramePr>
        <xdr:cNvPr id="38" name="Chart 37">
          <a:extLst>
            <a:ext uri="{FF2B5EF4-FFF2-40B4-BE49-F238E27FC236}">
              <a16:creationId xmlns:a16="http://schemas.microsoft.com/office/drawing/2014/main" id="{00000000-0008-0000-08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210610</xdr:colOff>
      <xdr:row>42</xdr:row>
      <xdr:rowOff>69849</xdr:rowOff>
    </xdr:from>
    <xdr:to>
      <xdr:col>7</xdr:col>
      <xdr:colOff>724960</xdr:colOff>
      <xdr:row>55</xdr:row>
      <xdr:rowOff>60324</xdr:rowOff>
    </xdr:to>
    <xdr:graphicFrame macro="">
      <xdr:nvGraphicFramePr>
        <xdr:cNvPr id="29" name="Chart 28">
          <a:extLst>
            <a:ext uri="{FF2B5EF4-FFF2-40B4-BE49-F238E27FC236}">
              <a16:creationId xmlns:a16="http://schemas.microsoft.com/office/drawing/2014/main" id="{00000000-0008-0000-08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61912</xdr:colOff>
      <xdr:row>42</xdr:row>
      <xdr:rowOff>47625</xdr:rowOff>
    </xdr:from>
    <xdr:to>
      <xdr:col>14</xdr:col>
      <xdr:colOff>633412</xdr:colOff>
      <xdr:row>55</xdr:row>
      <xdr:rowOff>38100</xdr:rowOff>
    </xdr:to>
    <xdr:graphicFrame macro="">
      <xdr:nvGraphicFramePr>
        <xdr:cNvPr id="34" name="Chart 33">
          <a:extLst>
            <a:ext uri="{FF2B5EF4-FFF2-40B4-BE49-F238E27FC236}">
              <a16:creationId xmlns:a16="http://schemas.microsoft.com/office/drawing/2014/main" id="{00000000-0008-0000-08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119062</xdr:colOff>
      <xdr:row>42</xdr:row>
      <xdr:rowOff>1</xdr:rowOff>
    </xdr:from>
    <xdr:to>
      <xdr:col>22</xdr:col>
      <xdr:colOff>385762</xdr:colOff>
      <xdr:row>54</xdr:row>
      <xdr:rowOff>152401</xdr:rowOff>
    </xdr:to>
    <xdr:graphicFrame macro="">
      <xdr:nvGraphicFramePr>
        <xdr:cNvPr id="39" name="Chart 38">
          <a:extLst>
            <a:ext uri="{FF2B5EF4-FFF2-40B4-BE49-F238E27FC236}">
              <a16:creationId xmlns:a16="http://schemas.microsoft.com/office/drawing/2014/main" id="{00000000-0008-0000-08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152402</xdr:colOff>
      <xdr:row>236</xdr:row>
      <xdr:rowOff>72736</xdr:rowOff>
    </xdr:from>
    <xdr:to>
      <xdr:col>12</xdr:col>
      <xdr:colOff>595843</xdr:colOff>
      <xdr:row>250</xdr:row>
      <xdr:rowOff>66651</xdr:rowOff>
    </xdr:to>
    <xdr:graphicFrame macro="">
      <xdr:nvGraphicFramePr>
        <xdr:cNvPr id="40" name="Chart 39">
          <a:extLst>
            <a:ext uri="{FF2B5EF4-FFF2-40B4-BE49-F238E27FC236}">
              <a16:creationId xmlns:a16="http://schemas.microsoft.com/office/drawing/2014/main" id="{00000000-0008-0000-08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57149</xdr:colOff>
      <xdr:row>70</xdr:row>
      <xdr:rowOff>152398</xdr:rowOff>
    </xdr:from>
    <xdr:to>
      <xdr:col>7</xdr:col>
      <xdr:colOff>851959</xdr:colOff>
      <xdr:row>83</xdr:row>
      <xdr:rowOff>24341</xdr:rowOff>
    </xdr:to>
    <xdr:graphicFrame macro="">
      <xdr:nvGraphicFramePr>
        <xdr:cNvPr id="41" name="Chart 40">
          <a:extLst>
            <a:ext uri="{FF2B5EF4-FFF2-40B4-BE49-F238E27FC236}">
              <a16:creationId xmlns:a16="http://schemas.microsoft.com/office/drawing/2014/main" id="{00000000-0008-0000-0800-00002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947208</xdr:colOff>
      <xdr:row>70</xdr:row>
      <xdr:rowOff>140757</xdr:rowOff>
    </xdr:from>
    <xdr:to>
      <xdr:col>11</xdr:col>
      <xdr:colOff>178858</xdr:colOff>
      <xdr:row>83</xdr:row>
      <xdr:rowOff>16932</xdr:rowOff>
    </xdr:to>
    <xdr:graphicFrame macro="">
      <xdr:nvGraphicFramePr>
        <xdr:cNvPr id="42" name="Chart 41">
          <a:extLst>
            <a:ext uri="{FF2B5EF4-FFF2-40B4-BE49-F238E27FC236}">
              <a16:creationId xmlns:a16="http://schemas.microsoft.com/office/drawing/2014/main" id="{00000000-0008-0000-08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314324</xdr:colOff>
      <xdr:row>70</xdr:row>
      <xdr:rowOff>141816</xdr:rowOff>
    </xdr:from>
    <xdr:to>
      <xdr:col>14</xdr:col>
      <xdr:colOff>771524</xdr:colOff>
      <xdr:row>83</xdr:row>
      <xdr:rowOff>8466</xdr:rowOff>
    </xdr:to>
    <xdr:graphicFrame macro="">
      <xdr:nvGraphicFramePr>
        <xdr:cNvPr id="43" name="Chart 42">
          <a:extLst>
            <a:ext uri="{FF2B5EF4-FFF2-40B4-BE49-F238E27FC236}">
              <a16:creationId xmlns:a16="http://schemas.microsoft.com/office/drawing/2014/main" id="{00000000-0008-0000-08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12</xdr:col>
      <xdr:colOff>862012</xdr:colOff>
      <xdr:row>352</xdr:row>
      <xdr:rowOff>142875</xdr:rowOff>
    </xdr:from>
    <xdr:to>
      <xdr:col>14</xdr:col>
      <xdr:colOff>856103</xdr:colOff>
      <xdr:row>362</xdr:row>
      <xdr:rowOff>25977</xdr:rowOff>
    </xdr:to>
    <mc:AlternateContent xmlns:mc="http://schemas.openxmlformats.org/markup-compatibility/2006" xmlns:a14="http://schemas.microsoft.com/office/drawing/2010/main">
      <mc:Choice Requires="a14">
        <xdr:graphicFrame macro="">
          <xdr:nvGraphicFramePr>
            <xdr:cNvPr id="3" name="State">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mlns="">
        <xdr:sp macro="" textlink="">
          <xdr:nvSpPr>
            <xdr:cNvPr id="0" name=""/>
            <xdr:cNvSpPr>
              <a:spLocks noTextEdit="1"/>
            </xdr:cNvSpPr>
          </xdr:nvSpPr>
          <xdr:spPr>
            <a:xfrm>
              <a:off x="15411450" y="62793563"/>
              <a:ext cx="1830300" cy="15525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786834</xdr:colOff>
      <xdr:row>476</xdr:row>
      <xdr:rowOff>104774</xdr:rowOff>
    </xdr:from>
    <xdr:to>
      <xdr:col>20</xdr:col>
      <xdr:colOff>668791</xdr:colOff>
      <xdr:row>491</xdr:row>
      <xdr:rowOff>66674</xdr:rowOff>
    </xdr:to>
    <xdr:graphicFrame macro="">
      <xdr:nvGraphicFramePr>
        <xdr:cNvPr id="6" name="Chart 5">
          <a:extLst>
            <a:ext uri="{FF2B5EF4-FFF2-40B4-BE49-F238E27FC236}">
              <a16:creationId xmlns:a16="http://schemas.microsoft.com/office/drawing/2014/main"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673197</xdr:colOff>
      <xdr:row>139</xdr:row>
      <xdr:rowOff>180278</xdr:rowOff>
    </xdr:from>
    <xdr:to>
      <xdr:col>7</xdr:col>
      <xdr:colOff>721640</xdr:colOff>
      <xdr:row>155</xdr:row>
      <xdr:rowOff>8786</xdr:rowOff>
    </xdr:to>
    <xdr:grpSp>
      <xdr:nvGrpSpPr>
        <xdr:cNvPr id="4" name="Group 3">
          <a:extLst>
            <a:ext uri="{FF2B5EF4-FFF2-40B4-BE49-F238E27FC236}">
              <a16:creationId xmlns:a16="http://schemas.microsoft.com/office/drawing/2014/main" id="{00000000-0008-0000-0800-000004000000}"/>
            </a:ext>
          </a:extLst>
        </xdr:cNvPr>
        <xdr:cNvGrpSpPr/>
      </xdr:nvGrpSpPr>
      <xdr:grpSpPr>
        <a:xfrm>
          <a:off x="673197" y="28183778"/>
          <a:ext cx="7611293" cy="4048083"/>
          <a:chOff x="695325" y="15468602"/>
          <a:chExt cx="5871393" cy="4618717"/>
        </a:xfrm>
      </xdr:grpSpPr>
      <xdr:graphicFrame macro="">
        <xdr:nvGraphicFramePr>
          <xdr:cNvPr id="9" name="Chart 8">
            <a:extLst>
              <a:ext uri="{FF2B5EF4-FFF2-40B4-BE49-F238E27FC236}">
                <a16:creationId xmlns:a16="http://schemas.microsoft.com/office/drawing/2014/main" id="{00000000-0008-0000-0800-000009000000}"/>
              </a:ext>
            </a:extLst>
          </xdr:cNvPr>
          <xdr:cNvGraphicFramePr/>
        </xdr:nvGraphicFramePr>
        <xdr:xfrm>
          <a:off x="3638549" y="15468602"/>
          <a:ext cx="2926080" cy="2295376"/>
        </xdr:xfrm>
        <a:graphic>
          <a:graphicData uri="http://schemas.openxmlformats.org/drawingml/2006/chart">
            <c:chart xmlns:c="http://schemas.openxmlformats.org/drawingml/2006/chart" xmlns:r="http://schemas.openxmlformats.org/officeDocument/2006/relationships" r:id="rId17"/>
          </a:graphicData>
        </a:graphic>
      </xdr:graphicFrame>
      <xdr:graphicFrame macro="">
        <xdr:nvGraphicFramePr>
          <xdr:cNvPr id="11" name="Chart 10">
            <a:extLst>
              <a:ext uri="{FF2B5EF4-FFF2-40B4-BE49-F238E27FC236}">
                <a16:creationId xmlns:a16="http://schemas.microsoft.com/office/drawing/2014/main" id="{00000000-0008-0000-0800-00000B000000}"/>
              </a:ext>
            </a:extLst>
          </xdr:cNvPr>
          <xdr:cNvGraphicFramePr/>
        </xdr:nvGraphicFramePr>
        <xdr:xfrm>
          <a:off x="720676" y="17801319"/>
          <a:ext cx="2926080" cy="2286000"/>
        </xdr:xfrm>
        <a:graphic>
          <a:graphicData uri="http://schemas.openxmlformats.org/drawingml/2006/chart">
            <c:chart xmlns:c="http://schemas.openxmlformats.org/drawingml/2006/chart" xmlns:r="http://schemas.openxmlformats.org/officeDocument/2006/relationships" r:id="rId18"/>
          </a:graphicData>
        </a:graphic>
      </xdr:graphicFrame>
      <xdr:graphicFrame macro="">
        <xdr:nvGraphicFramePr>
          <xdr:cNvPr id="15" name="Chart 14">
            <a:extLst>
              <a:ext uri="{FF2B5EF4-FFF2-40B4-BE49-F238E27FC236}">
                <a16:creationId xmlns:a16="http://schemas.microsoft.com/office/drawing/2014/main" id="{00000000-0008-0000-0800-00000F000000}"/>
              </a:ext>
            </a:extLst>
          </xdr:cNvPr>
          <xdr:cNvGraphicFramePr/>
        </xdr:nvGraphicFramePr>
        <xdr:xfrm>
          <a:off x="3640638" y="17790007"/>
          <a:ext cx="2926080" cy="2286000"/>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14" name="Chart 13">
            <a:extLst>
              <a:ext uri="{FF2B5EF4-FFF2-40B4-BE49-F238E27FC236}">
                <a16:creationId xmlns:a16="http://schemas.microsoft.com/office/drawing/2014/main" id="{00000000-0008-0000-0800-00000E000000}"/>
              </a:ext>
            </a:extLst>
          </xdr:cNvPr>
          <xdr:cNvGraphicFramePr/>
        </xdr:nvGraphicFramePr>
        <xdr:xfrm>
          <a:off x="695325" y="15492411"/>
          <a:ext cx="2926080" cy="228599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9</xdr:col>
      <xdr:colOff>439905</xdr:colOff>
      <xdr:row>140</xdr:row>
      <xdr:rowOff>62439</xdr:rowOff>
    </xdr:from>
    <xdr:to>
      <xdr:col>16</xdr:col>
      <xdr:colOff>306555</xdr:colOff>
      <xdr:row>157</xdr:row>
      <xdr:rowOff>32998</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10422105" y="28265964"/>
          <a:ext cx="6657975" cy="4371109"/>
          <a:chOff x="6724651" y="15440025"/>
          <a:chExt cx="5878827" cy="4562475"/>
        </a:xfrm>
      </xdr:grpSpPr>
      <xdr:graphicFrame macro="">
        <xdr:nvGraphicFramePr>
          <xdr:cNvPr id="7" name="Chart 6">
            <a:extLst>
              <a:ext uri="{FF2B5EF4-FFF2-40B4-BE49-F238E27FC236}">
                <a16:creationId xmlns:a16="http://schemas.microsoft.com/office/drawing/2014/main" id="{00000000-0008-0000-0800-000007000000}"/>
              </a:ext>
            </a:extLst>
          </xdr:cNvPr>
          <xdr:cNvGraphicFramePr/>
        </xdr:nvGraphicFramePr>
        <xdr:xfrm>
          <a:off x="6734175" y="17706975"/>
          <a:ext cx="2926080" cy="2285999"/>
        </xdr:xfrm>
        <a:graphic>
          <a:graphicData uri="http://schemas.openxmlformats.org/drawingml/2006/chart">
            <c:chart xmlns:c="http://schemas.openxmlformats.org/drawingml/2006/chart" xmlns:r="http://schemas.openxmlformats.org/officeDocument/2006/relationships" r:id="rId21"/>
          </a:graphicData>
        </a:graphic>
      </xdr:graphicFrame>
      <xdr:graphicFrame macro="">
        <xdr:nvGraphicFramePr>
          <xdr:cNvPr id="8" name="Chart 7">
            <a:extLst>
              <a:ext uri="{FF2B5EF4-FFF2-40B4-BE49-F238E27FC236}">
                <a16:creationId xmlns:a16="http://schemas.microsoft.com/office/drawing/2014/main" id="{00000000-0008-0000-0800-000008000000}"/>
              </a:ext>
            </a:extLst>
          </xdr:cNvPr>
          <xdr:cNvGraphicFramePr/>
        </xdr:nvGraphicFramePr>
        <xdr:xfrm>
          <a:off x="9677398" y="15449545"/>
          <a:ext cx="2926080" cy="2286000"/>
        </xdr:xfrm>
        <a:graphic>
          <a:graphicData uri="http://schemas.openxmlformats.org/drawingml/2006/chart">
            <c:chart xmlns:c="http://schemas.openxmlformats.org/drawingml/2006/chart" xmlns:r="http://schemas.openxmlformats.org/officeDocument/2006/relationships" r:id="rId22"/>
          </a:graphicData>
        </a:graphic>
      </xdr:graphicFrame>
      <xdr:graphicFrame macro="">
        <xdr:nvGraphicFramePr>
          <xdr:cNvPr id="32" name="Chart 31">
            <a:extLst>
              <a:ext uri="{FF2B5EF4-FFF2-40B4-BE49-F238E27FC236}">
                <a16:creationId xmlns:a16="http://schemas.microsoft.com/office/drawing/2014/main" id="{00000000-0008-0000-0800-000020000000}"/>
              </a:ext>
            </a:extLst>
          </xdr:cNvPr>
          <xdr:cNvGraphicFramePr>
            <a:graphicFrameLocks/>
          </xdr:cNvGraphicFramePr>
        </xdr:nvGraphicFramePr>
        <xdr:xfrm>
          <a:off x="9667875" y="17716500"/>
          <a:ext cx="2926080" cy="2286000"/>
        </xdr:xfrm>
        <a:graphic>
          <a:graphicData uri="http://schemas.openxmlformats.org/drawingml/2006/chart">
            <c:chart xmlns:c="http://schemas.openxmlformats.org/drawingml/2006/chart" xmlns:r="http://schemas.openxmlformats.org/officeDocument/2006/relationships" r:id="rId23"/>
          </a:graphicData>
        </a:graphic>
      </xdr:graphicFrame>
      <xdr:graphicFrame macro="">
        <xdr:nvGraphicFramePr>
          <xdr:cNvPr id="16" name="Chart 15">
            <a:extLst>
              <a:ext uri="{FF2B5EF4-FFF2-40B4-BE49-F238E27FC236}">
                <a16:creationId xmlns:a16="http://schemas.microsoft.com/office/drawing/2014/main" id="{00000000-0008-0000-0800-000010000000}"/>
              </a:ext>
            </a:extLst>
          </xdr:cNvPr>
          <xdr:cNvGraphicFramePr/>
        </xdr:nvGraphicFramePr>
        <xdr:xfrm>
          <a:off x="6724651" y="15440025"/>
          <a:ext cx="2926080" cy="228600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17</xdr:col>
      <xdr:colOff>640412</xdr:colOff>
      <xdr:row>140</xdr:row>
      <xdr:rowOff>66963</xdr:rowOff>
    </xdr:from>
    <xdr:to>
      <xdr:col>26</xdr:col>
      <xdr:colOff>460982</xdr:colOff>
      <xdr:row>156</xdr:row>
      <xdr:rowOff>29608</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18147362" y="28270488"/>
          <a:ext cx="7764420" cy="4172695"/>
          <a:chOff x="12944475" y="15440025"/>
          <a:chExt cx="5869305" cy="4600575"/>
        </a:xfrm>
      </xdr:grpSpPr>
      <xdr:graphicFrame macro="">
        <xdr:nvGraphicFramePr>
          <xdr:cNvPr id="13" name="Chart 12">
            <a:extLst>
              <a:ext uri="{FF2B5EF4-FFF2-40B4-BE49-F238E27FC236}">
                <a16:creationId xmlns:a16="http://schemas.microsoft.com/office/drawing/2014/main" id="{00000000-0008-0000-0800-00000D000000}"/>
              </a:ext>
            </a:extLst>
          </xdr:cNvPr>
          <xdr:cNvGraphicFramePr/>
        </xdr:nvGraphicFramePr>
        <xdr:xfrm>
          <a:off x="15868651" y="15440025"/>
          <a:ext cx="2926080" cy="2286000"/>
        </xdr:xfrm>
        <a:graphic>
          <a:graphicData uri="http://schemas.openxmlformats.org/drawingml/2006/chart">
            <c:chart xmlns:c="http://schemas.openxmlformats.org/drawingml/2006/chart" xmlns:r="http://schemas.openxmlformats.org/officeDocument/2006/relationships" r:id="rId25"/>
          </a:graphicData>
        </a:graphic>
      </xdr:graphicFrame>
      <xdr:graphicFrame macro="">
        <xdr:nvGraphicFramePr>
          <xdr:cNvPr id="47" name="Chart 46">
            <a:extLst>
              <a:ext uri="{FF2B5EF4-FFF2-40B4-BE49-F238E27FC236}">
                <a16:creationId xmlns:a16="http://schemas.microsoft.com/office/drawing/2014/main" id="{00000000-0008-0000-0800-00002F000000}"/>
              </a:ext>
            </a:extLst>
          </xdr:cNvPr>
          <xdr:cNvGraphicFramePr>
            <a:graphicFrameLocks/>
          </xdr:cNvGraphicFramePr>
        </xdr:nvGraphicFramePr>
        <xdr:xfrm>
          <a:off x="12944475" y="17745075"/>
          <a:ext cx="2926080" cy="2286000"/>
        </xdr:xfrm>
        <a:graphic>
          <a:graphicData uri="http://schemas.openxmlformats.org/drawingml/2006/chart">
            <c:chart xmlns:c="http://schemas.openxmlformats.org/drawingml/2006/chart" xmlns:r="http://schemas.openxmlformats.org/officeDocument/2006/relationships" r:id="rId26"/>
          </a:graphicData>
        </a:graphic>
      </xdr:graphicFrame>
      <xdr:graphicFrame macro="">
        <xdr:nvGraphicFramePr>
          <xdr:cNvPr id="48" name="Chart 47">
            <a:extLst>
              <a:ext uri="{FF2B5EF4-FFF2-40B4-BE49-F238E27FC236}">
                <a16:creationId xmlns:a16="http://schemas.microsoft.com/office/drawing/2014/main" id="{00000000-0008-0000-0800-000030000000}"/>
              </a:ext>
            </a:extLst>
          </xdr:cNvPr>
          <xdr:cNvGraphicFramePr>
            <a:graphicFrameLocks/>
          </xdr:cNvGraphicFramePr>
        </xdr:nvGraphicFramePr>
        <xdr:xfrm>
          <a:off x="15887700" y="17754600"/>
          <a:ext cx="2926080" cy="2286000"/>
        </xdr:xfrm>
        <a:graphic>
          <a:graphicData uri="http://schemas.openxmlformats.org/drawingml/2006/chart">
            <c:chart xmlns:c="http://schemas.openxmlformats.org/drawingml/2006/chart" xmlns:r="http://schemas.openxmlformats.org/officeDocument/2006/relationships" r:id="rId27"/>
          </a:graphicData>
        </a:graphic>
      </xdr:graphicFrame>
      <xdr:graphicFrame macro="">
        <xdr:nvGraphicFramePr>
          <xdr:cNvPr id="18" name="Chart 17">
            <a:extLst>
              <a:ext uri="{FF2B5EF4-FFF2-40B4-BE49-F238E27FC236}">
                <a16:creationId xmlns:a16="http://schemas.microsoft.com/office/drawing/2014/main" id="{00000000-0008-0000-0800-000012000000}"/>
              </a:ext>
            </a:extLst>
          </xdr:cNvPr>
          <xdr:cNvGraphicFramePr/>
        </xdr:nvGraphicFramePr>
        <xdr:xfrm>
          <a:off x="12949236" y="15444787"/>
          <a:ext cx="2926080" cy="2286000"/>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1</xdr:col>
      <xdr:colOff>261937</xdr:colOff>
      <xdr:row>490</xdr:row>
      <xdr:rowOff>178593</xdr:rowOff>
    </xdr:from>
    <xdr:to>
      <xdr:col>6</xdr:col>
      <xdr:colOff>604837</xdr:colOff>
      <xdr:row>506</xdr:row>
      <xdr:rowOff>35718</xdr:rowOff>
    </xdr:to>
    <xdr:graphicFrame macro="">
      <xdr:nvGraphicFramePr>
        <xdr:cNvPr id="22" name="Chart 21">
          <a:extLst>
            <a:ext uri="{FF2B5EF4-FFF2-40B4-BE49-F238E27FC236}">
              <a16:creationId xmlns:a16="http://schemas.microsoft.com/office/drawing/2014/main" id="{00000000-0008-0000-08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13</xdr:col>
      <xdr:colOff>314325</xdr:colOff>
      <xdr:row>491</xdr:row>
      <xdr:rowOff>171450</xdr:rowOff>
    </xdr:from>
    <xdr:to>
      <xdr:col>19</xdr:col>
      <xdr:colOff>485775</xdr:colOff>
      <xdr:row>505</xdr:row>
      <xdr:rowOff>114300</xdr:rowOff>
    </xdr:to>
    <xdr:graphicFrame macro="">
      <xdr:nvGraphicFramePr>
        <xdr:cNvPr id="49" name="Chart 48">
          <a:extLst>
            <a:ext uri="{FF2B5EF4-FFF2-40B4-BE49-F238E27FC236}">
              <a16:creationId xmlns:a16="http://schemas.microsoft.com/office/drawing/2014/main" id="{00000000-0008-0000-08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685800</xdr:colOff>
      <xdr:row>491</xdr:row>
      <xdr:rowOff>180975</xdr:rowOff>
    </xdr:from>
    <xdr:to>
      <xdr:col>13</xdr:col>
      <xdr:colOff>123825</xdr:colOff>
      <xdr:row>505</xdr:row>
      <xdr:rowOff>123825</xdr:rowOff>
    </xdr:to>
    <xdr:graphicFrame macro="">
      <xdr:nvGraphicFramePr>
        <xdr:cNvPr id="50" name="Chart 49">
          <a:extLst>
            <a:ext uri="{FF2B5EF4-FFF2-40B4-BE49-F238E27FC236}">
              <a16:creationId xmlns:a16="http://schemas.microsoft.com/office/drawing/2014/main" id="{00000000-0008-0000-08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990</xdr:colOff>
      <xdr:row>325</xdr:row>
      <xdr:rowOff>41438</xdr:rowOff>
    </xdr:from>
    <xdr:to>
      <xdr:col>5</xdr:col>
      <xdr:colOff>651287</xdr:colOff>
      <xdr:row>342</xdr:row>
      <xdr:rowOff>78532</xdr:rowOff>
    </xdr:to>
    <xdr:graphicFrame macro="">
      <xdr:nvGraphicFramePr>
        <xdr:cNvPr id="52" name="Chart 51">
          <a:extLst>
            <a:ext uri="{FF2B5EF4-FFF2-40B4-BE49-F238E27FC236}">
              <a16:creationId xmlns:a16="http://schemas.microsoft.com/office/drawing/2014/main" id="{00000000-0008-0000-08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12246</xdr:colOff>
      <xdr:row>325</xdr:row>
      <xdr:rowOff>169717</xdr:rowOff>
    </xdr:from>
    <xdr:to>
      <xdr:col>12</xdr:col>
      <xdr:colOff>12246</xdr:colOff>
      <xdr:row>343</xdr:row>
      <xdr:rowOff>57149</xdr:rowOff>
    </xdr:to>
    <xdr:graphicFrame macro="">
      <xdr:nvGraphicFramePr>
        <xdr:cNvPr id="55" name="Chart 54">
          <a:extLst>
            <a:ext uri="{FF2B5EF4-FFF2-40B4-BE49-F238E27FC236}">
              <a16:creationId xmlns:a16="http://schemas.microsoft.com/office/drawing/2014/main" id="{00000000-0008-0000-08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12</xdr:col>
      <xdr:colOff>510020</xdr:colOff>
      <xdr:row>325</xdr:row>
      <xdr:rowOff>151534</xdr:rowOff>
    </xdr:from>
    <xdr:to>
      <xdr:col>19</xdr:col>
      <xdr:colOff>363682</xdr:colOff>
      <xdr:row>343</xdr:row>
      <xdr:rowOff>51493</xdr:rowOff>
    </xdr:to>
    <xdr:graphicFrame macro="">
      <xdr:nvGraphicFramePr>
        <xdr:cNvPr id="62" name="Chart 61">
          <a:extLst>
            <a:ext uri="{FF2B5EF4-FFF2-40B4-BE49-F238E27FC236}">
              <a16:creationId xmlns:a16="http://schemas.microsoft.com/office/drawing/2014/main" id="{00000000-0008-0000-08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xdr:col>
      <xdr:colOff>407533</xdr:colOff>
      <xdr:row>85</xdr:row>
      <xdr:rowOff>186417</xdr:rowOff>
    </xdr:from>
    <xdr:to>
      <xdr:col>11</xdr:col>
      <xdr:colOff>576262</xdr:colOff>
      <xdr:row>102</xdr:row>
      <xdr:rowOff>95250</xdr:rowOff>
    </xdr:to>
    <xdr:graphicFrame macro="">
      <xdr:nvGraphicFramePr>
        <xdr:cNvPr id="19" name="Chart 18">
          <a:extLst>
            <a:ext uri="{FF2B5EF4-FFF2-40B4-BE49-F238E27FC236}">
              <a16:creationId xmlns:a16="http://schemas.microsoft.com/office/drawing/2014/main" id="{00000000-0008-0000-08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xdr:col>
      <xdr:colOff>464567</xdr:colOff>
      <xdr:row>106</xdr:row>
      <xdr:rowOff>64016</xdr:rowOff>
    </xdr:from>
    <xdr:to>
      <xdr:col>9</xdr:col>
      <xdr:colOff>344702</xdr:colOff>
      <xdr:row>120</xdr:row>
      <xdr:rowOff>142357</xdr:rowOff>
    </xdr:to>
    <xdr:graphicFrame macro="">
      <xdr:nvGraphicFramePr>
        <xdr:cNvPr id="20" name="Chart 19">
          <a:extLst>
            <a:ext uri="{FF2B5EF4-FFF2-40B4-BE49-F238E27FC236}">
              <a16:creationId xmlns:a16="http://schemas.microsoft.com/office/drawing/2014/main" id="{00000000-0008-0000-08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24</xdr:col>
      <xdr:colOff>687560</xdr:colOff>
      <xdr:row>106</xdr:row>
      <xdr:rowOff>36221</xdr:rowOff>
    </xdr:from>
    <xdr:to>
      <xdr:col>31</xdr:col>
      <xdr:colOff>137584</xdr:colOff>
      <xdr:row>121</xdr:row>
      <xdr:rowOff>137584</xdr:rowOff>
    </xdr:to>
    <xdr:graphicFrame macro="">
      <xdr:nvGraphicFramePr>
        <xdr:cNvPr id="25" name="Chart 24">
          <a:extLst>
            <a:ext uri="{FF2B5EF4-FFF2-40B4-BE49-F238E27FC236}">
              <a16:creationId xmlns:a16="http://schemas.microsoft.com/office/drawing/2014/main" id="{00000000-0008-0000-08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13</xdr:col>
      <xdr:colOff>248767</xdr:colOff>
      <xdr:row>105</xdr:row>
      <xdr:rowOff>153231</xdr:rowOff>
    </xdr:from>
    <xdr:to>
      <xdr:col>20</xdr:col>
      <xdr:colOff>21167</xdr:colOff>
      <xdr:row>121</xdr:row>
      <xdr:rowOff>169334</xdr:rowOff>
    </xdr:to>
    <xdr:graphicFrame macro="">
      <xdr:nvGraphicFramePr>
        <xdr:cNvPr id="26" name="Chart 25">
          <a:extLst>
            <a:ext uri="{FF2B5EF4-FFF2-40B4-BE49-F238E27FC236}">
              <a16:creationId xmlns:a16="http://schemas.microsoft.com/office/drawing/2014/main" id="{00000000-0008-0000-08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xdr:col>
      <xdr:colOff>368155</xdr:colOff>
      <xdr:row>194</xdr:row>
      <xdr:rowOff>132066</xdr:rowOff>
    </xdr:from>
    <xdr:to>
      <xdr:col>10</xdr:col>
      <xdr:colOff>535112</xdr:colOff>
      <xdr:row>212</xdr:row>
      <xdr:rowOff>0</xdr:rowOff>
    </xdr:to>
    <xdr:graphicFrame macro="">
      <xdr:nvGraphicFramePr>
        <xdr:cNvPr id="27" name="Chart 26">
          <a:extLst>
            <a:ext uri="{FF2B5EF4-FFF2-40B4-BE49-F238E27FC236}">
              <a16:creationId xmlns:a16="http://schemas.microsoft.com/office/drawing/2014/main" id="{00000000-0008-0000-08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14</xdr:col>
      <xdr:colOff>250432</xdr:colOff>
      <xdr:row>194</xdr:row>
      <xdr:rowOff>46448</xdr:rowOff>
    </xdr:from>
    <xdr:to>
      <xdr:col>20</xdr:col>
      <xdr:colOff>391702</xdr:colOff>
      <xdr:row>208</xdr:row>
      <xdr:rowOff>60575</xdr:rowOff>
    </xdr:to>
    <xdr:graphicFrame macro="">
      <xdr:nvGraphicFramePr>
        <xdr:cNvPr id="30" name="Chart 29">
          <a:extLst>
            <a:ext uri="{FF2B5EF4-FFF2-40B4-BE49-F238E27FC236}">
              <a16:creationId xmlns:a16="http://schemas.microsoft.com/office/drawing/2014/main" id="{00000000-0008-0000-08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xdr:col>
      <xdr:colOff>89898</xdr:colOff>
      <xdr:row>215</xdr:row>
      <xdr:rowOff>174874</xdr:rowOff>
    </xdr:from>
    <xdr:to>
      <xdr:col>8</xdr:col>
      <xdr:colOff>659258</xdr:colOff>
      <xdr:row>229</xdr:row>
      <xdr:rowOff>71276</xdr:rowOff>
    </xdr:to>
    <xdr:graphicFrame macro="">
      <xdr:nvGraphicFramePr>
        <xdr:cNvPr id="33" name="Chart 32">
          <a:extLst>
            <a:ext uri="{FF2B5EF4-FFF2-40B4-BE49-F238E27FC236}">
              <a16:creationId xmlns:a16="http://schemas.microsoft.com/office/drawing/2014/main" id="{00000000-0008-0000-08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12</xdr:col>
      <xdr:colOff>354828</xdr:colOff>
      <xdr:row>215</xdr:row>
      <xdr:rowOff>166216</xdr:rowOff>
    </xdr:from>
    <xdr:to>
      <xdr:col>17</xdr:col>
      <xdr:colOff>378373</xdr:colOff>
      <xdr:row>229</xdr:row>
      <xdr:rowOff>62618</xdr:rowOff>
    </xdr:to>
    <xdr:graphicFrame macro="">
      <xdr:nvGraphicFramePr>
        <xdr:cNvPr id="53" name="Chart 52">
          <a:extLst>
            <a:ext uri="{FF2B5EF4-FFF2-40B4-BE49-F238E27FC236}">
              <a16:creationId xmlns:a16="http://schemas.microsoft.com/office/drawing/2014/main" id="{00000000-0008-0000-0800-00003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21</xdr:col>
      <xdr:colOff>218326</xdr:colOff>
      <xdr:row>214</xdr:row>
      <xdr:rowOff>196279</xdr:rowOff>
    </xdr:from>
    <xdr:to>
      <xdr:col>27</xdr:col>
      <xdr:colOff>199062</xdr:colOff>
      <xdr:row>228</xdr:row>
      <xdr:rowOff>92681</xdr:rowOff>
    </xdr:to>
    <xdr:graphicFrame macro="">
      <xdr:nvGraphicFramePr>
        <xdr:cNvPr id="54" name="Chart 53">
          <a:extLst>
            <a:ext uri="{FF2B5EF4-FFF2-40B4-BE49-F238E27FC236}">
              <a16:creationId xmlns:a16="http://schemas.microsoft.com/office/drawing/2014/main" id="{00000000-0008-0000-0800-00003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4</xdr:col>
      <xdr:colOff>65478</xdr:colOff>
      <xdr:row>279</xdr:row>
      <xdr:rowOff>195657</xdr:rowOff>
    </xdr:from>
    <xdr:to>
      <xdr:col>9</xdr:col>
      <xdr:colOff>640772</xdr:colOff>
      <xdr:row>297</xdr:row>
      <xdr:rowOff>121228</xdr:rowOff>
    </xdr:to>
    <xdr:graphicFrame macro="">
      <xdr:nvGraphicFramePr>
        <xdr:cNvPr id="56" name="Chart 55">
          <a:extLst>
            <a:ext uri="{FF2B5EF4-FFF2-40B4-BE49-F238E27FC236}">
              <a16:creationId xmlns:a16="http://schemas.microsoft.com/office/drawing/2014/main" id="{00000000-0008-0000-0800-00003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23</xdr:col>
      <xdr:colOff>66257</xdr:colOff>
      <xdr:row>279</xdr:row>
      <xdr:rowOff>1</xdr:rowOff>
    </xdr:from>
    <xdr:to>
      <xdr:col>29</xdr:col>
      <xdr:colOff>701386</xdr:colOff>
      <xdr:row>295</xdr:row>
      <xdr:rowOff>121227</xdr:rowOff>
    </xdr:to>
    <xdr:graphicFrame macro="">
      <xdr:nvGraphicFramePr>
        <xdr:cNvPr id="57" name="Chart 56">
          <a:extLst>
            <a:ext uri="{FF2B5EF4-FFF2-40B4-BE49-F238E27FC236}">
              <a16:creationId xmlns:a16="http://schemas.microsoft.com/office/drawing/2014/main" id="{00000000-0008-0000-0800-00003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4</xdr:col>
      <xdr:colOff>154112</xdr:colOff>
      <xdr:row>300</xdr:row>
      <xdr:rowOff>142767</xdr:rowOff>
    </xdr:from>
    <xdr:to>
      <xdr:col>9</xdr:col>
      <xdr:colOff>470899</xdr:colOff>
      <xdr:row>314</xdr:row>
      <xdr:rowOff>189001</xdr:rowOff>
    </xdr:to>
    <xdr:graphicFrame macro="">
      <xdr:nvGraphicFramePr>
        <xdr:cNvPr id="58" name="Chart 57">
          <a:extLst>
            <a:ext uri="{FF2B5EF4-FFF2-40B4-BE49-F238E27FC236}">
              <a16:creationId xmlns:a16="http://schemas.microsoft.com/office/drawing/2014/main" id="{00000000-0008-0000-0800-00003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13</xdr:col>
      <xdr:colOff>464174</xdr:colOff>
      <xdr:row>301</xdr:row>
      <xdr:rowOff>100376</xdr:rowOff>
    </xdr:from>
    <xdr:to>
      <xdr:col>21</xdr:col>
      <xdr:colOff>20781</xdr:colOff>
      <xdr:row>318</xdr:row>
      <xdr:rowOff>127286</xdr:rowOff>
    </xdr:to>
    <xdr:graphicFrame macro="">
      <xdr:nvGraphicFramePr>
        <xdr:cNvPr id="59" name="Chart 58">
          <a:extLst>
            <a:ext uri="{FF2B5EF4-FFF2-40B4-BE49-F238E27FC236}">
              <a16:creationId xmlns:a16="http://schemas.microsoft.com/office/drawing/2014/main" id="{00000000-0008-0000-0800-00003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13</xdr:col>
      <xdr:colOff>98071</xdr:colOff>
      <xdr:row>278</xdr:row>
      <xdr:rowOff>164523</xdr:rowOff>
    </xdr:from>
    <xdr:to>
      <xdr:col>19</xdr:col>
      <xdr:colOff>122102</xdr:colOff>
      <xdr:row>297</xdr:row>
      <xdr:rowOff>60615</xdr:rowOff>
    </xdr:to>
    <xdr:graphicFrame macro="">
      <xdr:nvGraphicFramePr>
        <xdr:cNvPr id="61" name="Chart 60">
          <a:extLst>
            <a:ext uri="{FF2B5EF4-FFF2-40B4-BE49-F238E27FC236}">
              <a16:creationId xmlns:a16="http://schemas.microsoft.com/office/drawing/2014/main" id="{00000000-0008-0000-0800-00003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15</xdr:col>
      <xdr:colOff>293327</xdr:colOff>
      <xdr:row>352</xdr:row>
      <xdr:rowOff>160627</xdr:rowOff>
    </xdr:from>
    <xdr:to>
      <xdr:col>17</xdr:col>
      <xdr:colOff>652245</xdr:colOff>
      <xdr:row>365</xdr:row>
      <xdr:rowOff>138545</xdr:rowOff>
    </xdr:to>
    <mc:AlternateContent xmlns:mc="http://schemas.openxmlformats.org/markup-compatibility/2006" xmlns:a14="http://schemas.microsoft.com/office/drawing/2010/main">
      <mc:Choice Requires="a14">
        <xdr:graphicFrame macro="">
          <xdr:nvGraphicFramePr>
            <xdr:cNvPr id="21" name="Type of accommodation">
              <a:extLst>
                <a:ext uri="{FF2B5EF4-FFF2-40B4-BE49-F238E27FC236}">
                  <a16:creationId xmlns:a16="http://schemas.microsoft.com/office/drawing/2014/main" id="{00000000-0008-0000-0800-000015000000}"/>
                </a:ext>
              </a:extLst>
            </xdr:cNvPr>
            <xdr:cNvGraphicFramePr/>
          </xdr:nvGraphicFramePr>
          <xdr:xfrm>
            <a:off x="0" y="0"/>
            <a:ext cx="0" cy="0"/>
          </xdr:xfrm>
          <a:graphic>
            <a:graphicData uri="http://schemas.microsoft.com/office/drawing/2010/slicer">
              <sle:slicer xmlns:sle="http://schemas.microsoft.com/office/drawing/2010/slicer" name="Type of accommodation"/>
            </a:graphicData>
          </a:graphic>
        </xdr:graphicFrame>
      </mc:Choice>
      <mc:Fallback xmlns="">
        <xdr:sp macro="" textlink="">
          <xdr:nvSpPr>
            <xdr:cNvPr id="0" name=""/>
            <xdr:cNvSpPr>
              <a:spLocks noTextEdit="1"/>
            </xdr:cNvSpPr>
          </xdr:nvSpPr>
          <xdr:spPr>
            <a:xfrm>
              <a:off x="16139463" y="66835627"/>
              <a:ext cx="1830964" cy="245441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935615</xdr:colOff>
      <xdr:row>363</xdr:row>
      <xdr:rowOff>117115</xdr:rowOff>
    </xdr:from>
    <xdr:to>
      <xdr:col>14</xdr:col>
      <xdr:colOff>924357</xdr:colOff>
      <xdr:row>371</xdr:row>
      <xdr:rowOff>171450</xdr:rowOff>
    </xdr:to>
    <mc:AlternateContent xmlns:mc="http://schemas.openxmlformats.org/markup-compatibility/2006" xmlns:a14="http://schemas.microsoft.com/office/drawing/2010/main">
      <mc:Choice Requires="a14">
        <xdr:graphicFrame macro="">
          <xdr:nvGraphicFramePr>
            <xdr:cNvPr id="24" name="Location Type 1 1">
              <a:extLst>
                <a:ext uri="{FF2B5EF4-FFF2-40B4-BE49-F238E27FC236}">
                  <a16:creationId xmlns:a16="http://schemas.microsoft.com/office/drawing/2014/main" id="{00000000-0008-0000-0800-000018000000}"/>
                </a:ext>
              </a:extLst>
            </xdr:cNvPr>
            <xdr:cNvGraphicFramePr/>
          </xdr:nvGraphicFramePr>
          <xdr:xfrm>
            <a:off x="0" y="0"/>
            <a:ext cx="0" cy="0"/>
          </xdr:xfrm>
          <a:graphic>
            <a:graphicData uri="http://schemas.microsoft.com/office/drawing/2010/slicer">
              <sle:slicer xmlns:sle="http://schemas.microsoft.com/office/drawing/2010/slicer" name="Location Type 1 1"/>
            </a:graphicData>
          </a:graphic>
        </xdr:graphicFrame>
      </mc:Choice>
      <mc:Fallback xmlns="">
        <xdr:sp macro="" textlink="">
          <xdr:nvSpPr>
            <xdr:cNvPr id="0" name=""/>
            <xdr:cNvSpPr>
              <a:spLocks noTextEdit="1"/>
            </xdr:cNvSpPr>
          </xdr:nvSpPr>
          <xdr:spPr>
            <a:xfrm>
              <a:off x="13924251" y="68887615"/>
              <a:ext cx="1824470" cy="131921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25</xdr:col>
      <xdr:colOff>47625</xdr:colOff>
      <xdr:row>193</xdr:row>
      <xdr:rowOff>83127</xdr:rowOff>
    </xdr:from>
    <xdr:to>
      <xdr:col>31</xdr:col>
      <xdr:colOff>623454</xdr:colOff>
      <xdr:row>207</xdr:row>
      <xdr:rowOff>150668</xdr:rowOff>
    </xdr:to>
    <xdr:graphicFrame macro="">
      <xdr:nvGraphicFramePr>
        <xdr:cNvPr id="5" name="Chart 4">
          <a:extLst>
            <a:ext uri="{FF2B5EF4-FFF2-40B4-BE49-F238E27FC236}">
              <a16:creationId xmlns:a16="http://schemas.microsoft.com/office/drawing/2014/main" id="{065F2B10-F250-4B28-8A2B-9B84F2F9BD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698787</xdr:colOff>
      <xdr:row>258</xdr:row>
      <xdr:rowOff>92655</xdr:rowOff>
    </xdr:from>
    <xdr:to>
      <xdr:col>14</xdr:col>
      <xdr:colOff>248513</xdr:colOff>
      <xdr:row>271</xdr:row>
      <xdr:rowOff>148071</xdr:rowOff>
    </xdr:to>
    <xdr:graphicFrame macro="">
      <xdr:nvGraphicFramePr>
        <xdr:cNvPr id="23" name="Chart 22">
          <a:extLst>
            <a:ext uri="{FF2B5EF4-FFF2-40B4-BE49-F238E27FC236}">
              <a16:creationId xmlns:a16="http://schemas.microsoft.com/office/drawing/2014/main" id="{5D4C94B5-5C29-4152-B21E-6F7026F3A8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14</xdr:col>
      <xdr:colOff>0</xdr:colOff>
      <xdr:row>250</xdr:row>
      <xdr:rowOff>74468</xdr:rowOff>
    </xdr:from>
    <xdr:to>
      <xdr:col>20</xdr:col>
      <xdr:colOff>649432</xdr:colOff>
      <xdr:row>263</xdr:row>
      <xdr:rowOff>129885</xdr:rowOff>
    </xdr:to>
    <xdr:graphicFrame macro="">
      <xdr:nvGraphicFramePr>
        <xdr:cNvPr id="51" name="Chart 50">
          <a:extLst>
            <a:ext uri="{FF2B5EF4-FFF2-40B4-BE49-F238E27FC236}">
              <a16:creationId xmlns:a16="http://schemas.microsoft.com/office/drawing/2014/main" id="{538F5077-75C0-4DDD-93B6-3C2D46550F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1062037</xdr:colOff>
      <xdr:row>510</xdr:row>
      <xdr:rowOff>38100</xdr:rowOff>
    </xdr:from>
    <xdr:to>
      <xdr:col>9</xdr:col>
      <xdr:colOff>381000</xdr:colOff>
      <xdr:row>523</xdr:row>
      <xdr:rowOff>171450</xdr:rowOff>
    </xdr:to>
    <xdr:graphicFrame macro="">
      <xdr:nvGraphicFramePr>
        <xdr:cNvPr id="64" name="Chart 63">
          <a:extLst>
            <a:ext uri="{FF2B5EF4-FFF2-40B4-BE49-F238E27FC236}">
              <a16:creationId xmlns:a16="http://schemas.microsoft.com/office/drawing/2014/main" id="{B68EEF98-6CBC-4D67-8311-F24A44B226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10</xdr:col>
      <xdr:colOff>0</xdr:colOff>
      <xdr:row>510</xdr:row>
      <xdr:rowOff>0</xdr:rowOff>
    </xdr:from>
    <xdr:to>
      <xdr:col>14</xdr:col>
      <xdr:colOff>109538</xdr:colOff>
      <xdr:row>523</xdr:row>
      <xdr:rowOff>133350</xdr:rowOff>
    </xdr:to>
    <xdr:graphicFrame macro="">
      <xdr:nvGraphicFramePr>
        <xdr:cNvPr id="65" name="Chart 64">
          <a:extLst>
            <a:ext uri="{FF2B5EF4-FFF2-40B4-BE49-F238E27FC236}">
              <a16:creationId xmlns:a16="http://schemas.microsoft.com/office/drawing/2014/main" id="{A65B861A-2F65-49FE-BCC4-94FD95CC2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14</xdr:col>
      <xdr:colOff>257175</xdr:colOff>
      <xdr:row>509</xdr:row>
      <xdr:rowOff>180975</xdr:rowOff>
    </xdr:from>
    <xdr:to>
      <xdr:col>19</xdr:col>
      <xdr:colOff>42863</xdr:colOff>
      <xdr:row>523</xdr:row>
      <xdr:rowOff>123825</xdr:rowOff>
    </xdr:to>
    <xdr:graphicFrame macro="">
      <xdr:nvGraphicFramePr>
        <xdr:cNvPr id="66" name="Chart 65">
          <a:extLst>
            <a:ext uri="{FF2B5EF4-FFF2-40B4-BE49-F238E27FC236}">
              <a16:creationId xmlns:a16="http://schemas.microsoft.com/office/drawing/2014/main" id="{E4A93FF0-1890-47B8-B779-05F70A7CA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0</xdr:col>
      <xdr:colOff>681037</xdr:colOff>
      <xdr:row>261</xdr:row>
      <xdr:rowOff>161925</xdr:rowOff>
    </xdr:from>
    <xdr:to>
      <xdr:col>4</xdr:col>
      <xdr:colOff>1004887</xdr:colOff>
      <xdr:row>275</xdr:row>
      <xdr:rowOff>104775</xdr:rowOff>
    </xdr:to>
    <xdr:graphicFrame macro="">
      <xdr:nvGraphicFramePr>
        <xdr:cNvPr id="60" name="Chart 59">
          <a:extLst>
            <a:ext uri="{FF2B5EF4-FFF2-40B4-BE49-F238E27FC236}">
              <a16:creationId xmlns:a16="http://schemas.microsoft.com/office/drawing/2014/main" id="{EF7E5B7C-7A67-49BE-A5F1-78DF4B7A70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25</xdr:col>
      <xdr:colOff>380999</xdr:colOff>
      <xdr:row>300</xdr:row>
      <xdr:rowOff>66675</xdr:rowOff>
    </xdr:from>
    <xdr:to>
      <xdr:col>32</xdr:col>
      <xdr:colOff>142874</xdr:colOff>
      <xdr:row>318</xdr:row>
      <xdr:rowOff>76200</xdr:rowOff>
    </xdr:to>
    <xdr:graphicFrame macro="">
      <xdr:nvGraphicFramePr>
        <xdr:cNvPr id="63" name="Chart 62">
          <a:extLst>
            <a:ext uri="{FF2B5EF4-FFF2-40B4-BE49-F238E27FC236}">
              <a16:creationId xmlns:a16="http://schemas.microsoft.com/office/drawing/2014/main" id="{21377F0D-9823-40F6-B675-0307B4ECA1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0</xdr:col>
      <xdr:colOff>142875</xdr:colOff>
      <xdr:row>57</xdr:row>
      <xdr:rowOff>171449</xdr:rowOff>
    </xdr:from>
    <xdr:to>
      <xdr:col>3</xdr:col>
      <xdr:colOff>638175</xdr:colOff>
      <xdr:row>68</xdr:row>
      <xdr:rowOff>28574</xdr:rowOff>
    </xdr:to>
    <xdr:graphicFrame macro="">
      <xdr:nvGraphicFramePr>
        <xdr:cNvPr id="67" name="Chart 66">
          <a:extLst>
            <a:ext uri="{FF2B5EF4-FFF2-40B4-BE49-F238E27FC236}">
              <a16:creationId xmlns:a16="http://schemas.microsoft.com/office/drawing/2014/main" id="{32CFD844-06B6-4777-885C-6E0A18DE21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3</xdr:col>
      <xdr:colOff>657226</xdr:colOff>
      <xdr:row>57</xdr:row>
      <xdr:rowOff>161925</xdr:rowOff>
    </xdr:from>
    <xdr:to>
      <xdr:col>6</xdr:col>
      <xdr:colOff>485775</xdr:colOff>
      <xdr:row>68</xdr:row>
      <xdr:rowOff>57150</xdr:rowOff>
    </xdr:to>
    <xdr:graphicFrame macro="">
      <xdr:nvGraphicFramePr>
        <xdr:cNvPr id="68" name="Chart 67">
          <a:extLst>
            <a:ext uri="{FF2B5EF4-FFF2-40B4-BE49-F238E27FC236}">
              <a16:creationId xmlns:a16="http://schemas.microsoft.com/office/drawing/2014/main" id="{CCC49B9A-D9A1-4E7C-9DC3-A6DF179375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6</xdr:col>
      <xdr:colOff>533400</xdr:colOff>
      <xdr:row>57</xdr:row>
      <xdr:rowOff>142875</xdr:rowOff>
    </xdr:from>
    <xdr:to>
      <xdr:col>9</xdr:col>
      <xdr:colOff>1057275</xdr:colOff>
      <xdr:row>68</xdr:row>
      <xdr:rowOff>38100</xdr:rowOff>
    </xdr:to>
    <xdr:graphicFrame macro="">
      <xdr:nvGraphicFramePr>
        <xdr:cNvPr id="69" name="Chart 68">
          <a:extLst>
            <a:ext uri="{FF2B5EF4-FFF2-40B4-BE49-F238E27FC236}">
              <a16:creationId xmlns:a16="http://schemas.microsoft.com/office/drawing/2014/main" id="{FB3E0A51-DF6D-4FF1-8ADA-7BC4600F42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9</xdr:col>
      <xdr:colOff>1095375</xdr:colOff>
      <xdr:row>57</xdr:row>
      <xdr:rowOff>133350</xdr:rowOff>
    </xdr:from>
    <xdr:to>
      <xdr:col>14</xdr:col>
      <xdr:colOff>500062</xdr:colOff>
      <xdr:row>69</xdr:row>
      <xdr:rowOff>171450</xdr:rowOff>
    </xdr:to>
    <xdr:graphicFrame macro="">
      <xdr:nvGraphicFramePr>
        <xdr:cNvPr id="70" name="Chart 69">
          <a:extLst>
            <a:ext uri="{FF2B5EF4-FFF2-40B4-BE49-F238E27FC236}">
              <a16:creationId xmlns:a16="http://schemas.microsoft.com/office/drawing/2014/main" id="{ADF21E24-8F0C-4353-A049-5033D07F8E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14</xdr:col>
      <xdr:colOff>900112</xdr:colOff>
      <xdr:row>57</xdr:row>
      <xdr:rowOff>95250</xdr:rowOff>
    </xdr:from>
    <xdr:to>
      <xdr:col>19</xdr:col>
      <xdr:colOff>542925</xdr:colOff>
      <xdr:row>69</xdr:row>
      <xdr:rowOff>95250</xdr:rowOff>
    </xdr:to>
    <xdr:graphicFrame macro="">
      <xdr:nvGraphicFramePr>
        <xdr:cNvPr id="72" name="Chart 71">
          <a:extLst>
            <a:ext uri="{FF2B5EF4-FFF2-40B4-BE49-F238E27FC236}">
              <a16:creationId xmlns:a16="http://schemas.microsoft.com/office/drawing/2014/main" id="{2B912F23-68C6-4629-B3B0-DDEB09B419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19</xdr:col>
      <xdr:colOff>590550</xdr:colOff>
      <xdr:row>57</xdr:row>
      <xdr:rowOff>104775</xdr:rowOff>
    </xdr:from>
    <xdr:to>
      <xdr:col>23</xdr:col>
      <xdr:colOff>790575</xdr:colOff>
      <xdr:row>69</xdr:row>
      <xdr:rowOff>123825</xdr:rowOff>
    </xdr:to>
    <xdr:graphicFrame macro="">
      <xdr:nvGraphicFramePr>
        <xdr:cNvPr id="73" name="Chart 72">
          <a:extLst>
            <a:ext uri="{FF2B5EF4-FFF2-40B4-BE49-F238E27FC236}">
              <a16:creationId xmlns:a16="http://schemas.microsoft.com/office/drawing/2014/main" id="{A9413C04-5881-4BCB-A6BC-5D235F4C6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23</xdr:col>
      <xdr:colOff>838200</xdr:colOff>
      <xdr:row>57</xdr:row>
      <xdr:rowOff>133350</xdr:rowOff>
    </xdr:from>
    <xdr:to>
      <xdr:col>29</xdr:col>
      <xdr:colOff>0</xdr:colOff>
      <xdr:row>69</xdr:row>
      <xdr:rowOff>152400</xdr:rowOff>
    </xdr:to>
    <xdr:graphicFrame macro="">
      <xdr:nvGraphicFramePr>
        <xdr:cNvPr id="74" name="Chart 73">
          <a:extLst>
            <a:ext uri="{FF2B5EF4-FFF2-40B4-BE49-F238E27FC236}">
              <a16:creationId xmlns:a16="http://schemas.microsoft.com/office/drawing/2014/main" id="{997EFAA4-E6E6-493F-80AB-87D2B1EE6A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29</xdr:col>
      <xdr:colOff>338137</xdr:colOff>
      <xdr:row>56</xdr:row>
      <xdr:rowOff>66675</xdr:rowOff>
    </xdr:from>
    <xdr:to>
      <xdr:col>35</xdr:col>
      <xdr:colOff>61912</xdr:colOff>
      <xdr:row>69</xdr:row>
      <xdr:rowOff>104775</xdr:rowOff>
    </xdr:to>
    <xdr:graphicFrame macro="">
      <xdr:nvGraphicFramePr>
        <xdr:cNvPr id="75" name="Chart 74">
          <a:extLst>
            <a:ext uri="{FF2B5EF4-FFF2-40B4-BE49-F238E27FC236}">
              <a16:creationId xmlns:a16="http://schemas.microsoft.com/office/drawing/2014/main" id="{2F00D466-C0FC-4748-BC56-3269E46D54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500062</xdr:colOff>
      <xdr:row>0</xdr:row>
      <xdr:rowOff>64820</xdr:rowOff>
    </xdr:from>
    <xdr:to>
      <xdr:col>24</xdr:col>
      <xdr:colOff>107156</xdr:colOff>
      <xdr:row>95</xdr:row>
      <xdr:rowOff>130969</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38100</xdr:rowOff>
    </xdr:from>
    <xdr:to>
      <xdr:col>0</xdr:col>
      <xdr:colOff>1828800</xdr:colOff>
      <xdr:row>9</xdr:row>
      <xdr:rowOff>10583</xdr:rowOff>
    </xdr:to>
    <mc:AlternateContent xmlns:mc="http://schemas.openxmlformats.org/markup-compatibility/2006" xmlns:a14="http://schemas.microsoft.com/office/drawing/2010/main">
      <mc:Choice Requires="a14">
        <xdr:graphicFrame macro="">
          <xdr:nvGraphicFramePr>
            <xdr:cNvPr id="4" name="State 1">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microsoft.com/office/drawing/2010/slicer">
              <sle:slicer xmlns:sle="http://schemas.microsoft.com/office/drawing/2010/slicer" name="State 1"/>
            </a:graphicData>
          </a:graphic>
        </xdr:graphicFrame>
      </mc:Choice>
      <mc:Fallback xmlns="">
        <xdr:sp macro="" textlink="">
          <xdr:nvSpPr>
            <xdr:cNvPr id="0" name=""/>
            <xdr:cNvSpPr>
              <a:spLocks noTextEdit="1"/>
            </xdr:cNvSpPr>
          </xdr:nvSpPr>
          <xdr:spPr>
            <a:xfrm>
              <a:off x="0" y="38100"/>
              <a:ext cx="1828800" cy="146473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1257300</xdr:colOff>
      <xdr:row>0</xdr:row>
      <xdr:rowOff>9525</xdr:rowOff>
    </xdr:from>
    <xdr:to>
      <xdr:col>8</xdr:col>
      <xdr:colOff>301625</xdr:colOff>
      <xdr:row>25</xdr:row>
      <xdr:rowOff>137583</xdr:rowOff>
    </xdr:to>
    <mc:AlternateContent xmlns:mc="http://schemas.openxmlformats.org/markup-compatibility/2006" xmlns:a14="http://schemas.microsoft.com/office/drawing/2010/main">
      <mc:Choice Requires="a14">
        <xdr:graphicFrame macro="">
          <xdr:nvGraphicFramePr>
            <xdr:cNvPr id="5" name="Township">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microsoft.com/office/drawing/2010/slicer">
              <sle:slicer xmlns:sle="http://schemas.microsoft.com/office/drawing/2010/slicer" name="Township"/>
            </a:graphicData>
          </a:graphic>
        </xdr:graphicFrame>
      </mc:Choice>
      <mc:Fallback xmlns="">
        <xdr:sp macro="" textlink="">
          <xdr:nvSpPr>
            <xdr:cNvPr id="0" name=""/>
            <xdr:cNvSpPr>
              <a:spLocks noTextEdit="1"/>
            </xdr:cNvSpPr>
          </xdr:nvSpPr>
          <xdr:spPr>
            <a:xfrm>
              <a:off x="4897967" y="9525"/>
              <a:ext cx="1822450" cy="515514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24</xdr:col>
      <xdr:colOff>397933</xdr:colOff>
      <xdr:row>0</xdr:row>
      <xdr:rowOff>114566</xdr:rowOff>
    </xdr:from>
    <xdr:to>
      <xdr:col>27</xdr:col>
      <xdr:colOff>160337</xdr:colOff>
      <xdr:row>9</xdr:row>
      <xdr:rowOff>54241</xdr:rowOff>
    </xdr:to>
    <mc:AlternateContent xmlns:mc="http://schemas.openxmlformats.org/markup-compatibility/2006" xmlns:a14="http://schemas.microsoft.com/office/drawing/2010/main">
      <mc:Choice Requires="a14">
        <xdr:graphicFrame macro="">
          <xdr:nvGraphicFramePr>
            <xdr:cNvPr id="7" name="Reporting Period">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microsoft.com/office/drawing/2010/slicer">
              <sle:slicer xmlns:sle="http://schemas.microsoft.com/office/drawing/2010/slicer" name="Reporting Period"/>
            </a:graphicData>
          </a:graphic>
        </xdr:graphicFrame>
      </mc:Choice>
      <mc:Fallback xmlns="">
        <xdr:sp macro="" textlink="">
          <xdr:nvSpPr>
            <xdr:cNvPr id="0" name=""/>
            <xdr:cNvSpPr>
              <a:spLocks noTextEdit="1"/>
            </xdr:cNvSpPr>
          </xdr:nvSpPr>
          <xdr:spPr>
            <a:xfrm>
              <a:off x="17650089" y="114566"/>
              <a:ext cx="1834092" cy="17613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9</xdr:row>
      <xdr:rowOff>105833</xdr:rowOff>
    </xdr:from>
    <xdr:to>
      <xdr:col>2</xdr:col>
      <xdr:colOff>653520</xdr:colOff>
      <xdr:row>24</xdr:row>
      <xdr:rowOff>127000</xdr:rowOff>
    </xdr:to>
    <mc:AlternateContent xmlns:mc="http://schemas.openxmlformats.org/markup-compatibility/2006" xmlns:a14="http://schemas.microsoft.com/office/drawing/2010/main">
      <mc:Choice Requires="a14">
        <xdr:graphicFrame macro="">
          <xdr:nvGraphicFramePr>
            <xdr:cNvPr id="3" name="WASH project agency">
              <a:extLst>
                <a:ext uri="{FF2B5EF4-FFF2-40B4-BE49-F238E27FC236}">
                  <a16:creationId xmlns:a16="http://schemas.microsoft.com/office/drawing/2014/main" id="{A0F92203-03F6-4917-8104-9294848FC898}"/>
                </a:ext>
              </a:extLst>
            </xdr:cNvPr>
            <xdr:cNvGraphicFramePr/>
          </xdr:nvGraphicFramePr>
          <xdr:xfrm>
            <a:off x="0" y="0"/>
            <a:ext cx="0" cy="0"/>
          </xdr:xfrm>
          <a:graphic>
            <a:graphicData uri="http://schemas.microsoft.com/office/drawing/2010/slicer">
              <sle:slicer xmlns:sle="http://schemas.microsoft.com/office/drawing/2010/slicer" name="WASH project agency"/>
            </a:graphicData>
          </a:graphic>
        </xdr:graphicFrame>
      </mc:Choice>
      <mc:Fallback xmlns="">
        <xdr:sp macro="" textlink="">
          <xdr:nvSpPr>
            <xdr:cNvPr id="0" name=""/>
            <xdr:cNvSpPr>
              <a:spLocks noTextEdit="1"/>
            </xdr:cNvSpPr>
          </xdr:nvSpPr>
          <xdr:spPr>
            <a:xfrm>
              <a:off x="0" y="1915583"/>
              <a:ext cx="4169832" cy="303741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1902884</xdr:colOff>
      <xdr:row>0</xdr:row>
      <xdr:rowOff>0</xdr:rowOff>
    </xdr:from>
    <xdr:to>
      <xdr:col>2</xdr:col>
      <xdr:colOff>611188</xdr:colOff>
      <xdr:row>9</xdr:row>
      <xdr:rowOff>0</xdr:rowOff>
    </xdr:to>
    <mc:AlternateContent xmlns:mc="http://schemas.openxmlformats.org/markup-compatibility/2006" xmlns:a14="http://schemas.microsoft.com/office/drawing/2010/main">
      <mc:Choice Requires="a14">
        <xdr:graphicFrame macro="">
          <xdr:nvGraphicFramePr>
            <xdr:cNvPr id="6" name="Location Type">
              <a:extLst>
                <a:ext uri="{FF2B5EF4-FFF2-40B4-BE49-F238E27FC236}">
                  <a16:creationId xmlns:a16="http://schemas.microsoft.com/office/drawing/2014/main" id="{CC18EE75-28CB-47C4-BE2D-19C566AC9B5F}"/>
                </a:ext>
              </a:extLst>
            </xdr:cNvPr>
            <xdr:cNvGraphicFramePr/>
          </xdr:nvGraphicFramePr>
          <xdr:xfrm>
            <a:off x="0" y="0"/>
            <a:ext cx="0" cy="0"/>
          </xdr:xfrm>
          <a:graphic>
            <a:graphicData uri="http://schemas.microsoft.com/office/drawing/2010/slicer">
              <sle:slicer xmlns:sle="http://schemas.microsoft.com/office/drawing/2010/slicer" name="Location Type"/>
            </a:graphicData>
          </a:graphic>
        </xdr:graphicFrame>
      </mc:Choice>
      <mc:Fallback xmlns="">
        <xdr:sp macro="" textlink="">
          <xdr:nvSpPr>
            <xdr:cNvPr id="0" name=""/>
            <xdr:cNvSpPr>
              <a:spLocks noTextEdit="1"/>
            </xdr:cNvSpPr>
          </xdr:nvSpPr>
          <xdr:spPr>
            <a:xfrm>
              <a:off x="1902884" y="0"/>
              <a:ext cx="2224616" cy="1809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c:userShapes xmlns:c="http://schemas.openxmlformats.org/drawingml/2006/chart">
  <cdr:relSizeAnchor xmlns:cdr="http://schemas.openxmlformats.org/drawingml/2006/chartDrawing">
    <cdr:from>
      <cdr:x>0.25535</cdr:x>
      <cdr:y>0.01003</cdr:y>
    </cdr:from>
    <cdr:to>
      <cdr:x>0.41195</cdr:x>
      <cdr:y>0.07103</cdr:y>
    </cdr:to>
    <cdr:sp macro="" textlink="'Quarterly Dashboard'!$B$27">
      <cdr:nvSpPr>
        <cdr:cNvPr id="2" name="Rectangle 1"/>
        <cdr:cNvSpPr/>
      </cdr:nvSpPr>
      <cdr:spPr>
        <a:xfrm xmlns:a="http://schemas.openxmlformats.org/drawingml/2006/main">
          <a:off x="2721062" y="57155"/>
          <a:ext cx="1668745" cy="34756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r"/>
          <a:fld id="{9251A8C9-7CE7-43F0-A181-4FA5540E608E}" type="TxLink">
            <a:rPr lang="en-US" sz="1800" b="1" i="0" u="none" strike="noStrike">
              <a:solidFill>
                <a:srgbClr val="44546A"/>
              </a:solidFill>
              <a:latin typeface="Calibri"/>
            </a:rPr>
            <a:pPr algn="r"/>
            <a:t>2019_Q1</a:t>
          </a:fld>
          <a:endParaRPr lang="en-US" sz="1600" b="1">
            <a:solidFill>
              <a:srgbClr val="44546A"/>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7</xdr:col>
      <xdr:colOff>107312</xdr:colOff>
      <xdr:row>83</xdr:row>
      <xdr:rowOff>176705</xdr:rowOff>
    </xdr:from>
    <xdr:to>
      <xdr:col>18</xdr:col>
      <xdr:colOff>323850</xdr:colOff>
      <xdr:row>96</xdr:row>
      <xdr:rowOff>76200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62397</xdr:colOff>
      <xdr:row>89</xdr:row>
      <xdr:rowOff>197769</xdr:rowOff>
    </xdr:from>
    <xdr:to>
      <xdr:col>7</xdr:col>
      <xdr:colOff>3438</xdr:colOff>
      <xdr:row>94</xdr:row>
      <xdr:rowOff>82092</xdr:rowOff>
    </xdr:to>
    <xdr:sp macro="" textlink="">
      <xdr:nvSpPr>
        <xdr:cNvPr id="8" name="Rectangle 7">
          <a:extLst>
            <a:ext uri="{FF2B5EF4-FFF2-40B4-BE49-F238E27FC236}">
              <a16:creationId xmlns:a16="http://schemas.microsoft.com/office/drawing/2014/main" id="{00000000-0008-0000-0A00-000008000000}"/>
            </a:ext>
          </a:extLst>
        </xdr:cNvPr>
        <xdr:cNvSpPr/>
      </xdr:nvSpPr>
      <xdr:spPr>
        <a:xfrm>
          <a:off x="176697" y="17923794"/>
          <a:ext cx="6218016" cy="884448"/>
        </a:xfrm>
        <a:prstGeom prst="rect">
          <a:avLst/>
        </a:prstGeom>
        <a:ln>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400" b="1" i="0" u="none" strike="noStrike">
            <a:solidFill>
              <a:schemeClr val="bg1">
                <a:lumMod val="50000"/>
              </a:schemeClr>
            </a:solidFill>
            <a:effectLst/>
            <a:latin typeface="+mn-lt"/>
            <a:ea typeface="+mn-ea"/>
            <a:cs typeface="+mn-cs"/>
          </a:endParaRPr>
        </a:p>
        <a:p>
          <a:pPr algn="l"/>
          <a:r>
            <a:rPr lang="en-US" sz="1400" b="1" i="0" u="none" strike="noStrike">
              <a:solidFill>
                <a:schemeClr val="bg1">
                  <a:lumMod val="50000"/>
                </a:schemeClr>
              </a:solidFill>
              <a:effectLst/>
              <a:latin typeface="+mn-lt"/>
              <a:ea typeface="+mn-ea"/>
              <a:cs typeface="+mn-cs"/>
            </a:rPr>
            <a:t>DONORS: </a:t>
          </a:r>
          <a:r>
            <a:rPr lang="en-US" sz="1400" b="0" i="0" u="none" strike="noStrike">
              <a:solidFill>
                <a:schemeClr val="bg1">
                  <a:lumMod val="50000"/>
                </a:schemeClr>
              </a:solidFill>
              <a:effectLst/>
              <a:latin typeface="+mn-lt"/>
              <a:ea typeface="+mn-ea"/>
              <a:cs typeface="+mn-cs"/>
            </a:rPr>
            <a:t>GFFO, HARP, OFDA, SANYA, MHF, FFO, AA (Caritas), ECHO, MoFA Lux </a:t>
          </a:r>
          <a:endParaRPr lang="en-US" sz="1400" b="0">
            <a:solidFill>
              <a:schemeClr val="bg1">
                <a:lumMod val="50000"/>
              </a:schemeClr>
            </a:solidFill>
          </a:endParaRPr>
        </a:p>
      </xdr:txBody>
    </xdr:sp>
    <xdr:clientData/>
  </xdr:twoCellAnchor>
  <xdr:twoCellAnchor>
    <xdr:from>
      <xdr:col>1</xdr:col>
      <xdr:colOff>55869</xdr:colOff>
      <xdr:row>95</xdr:row>
      <xdr:rowOff>10886</xdr:rowOff>
    </xdr:from>
    <xdr:to>
      <xdr:col>7</xdr:col>
      <xdr:colOff>6464</xdr:colOff>
      <xdr:row>107</xdr:row>
      <xdr:rowOff>133350</xdr:rowOff>
    </xdr:to>
    <xdr:grpSp>
      <xdr:nvGrpSpPr>
        <xdr:cNvPr id="9" name="Group 8">
          <a:extLst>
            <a:ext uri="{FF2B5EF4-FFF2-40B4-BE49-F238E27FC236}">
              <a16:creationId xmlns:a16="http://schemas.microsoft.com/office/drawing/2014/main" id="{00000000-0008-0000-0A00-000009000000}"/>
            </a:ext>
          </a:extLst>
        </xdr:cNvPr>
        <xdr:cNvGrpSpPr/>
      </xdr:nvGrpSpPr>
      <xdr:grpSpPr>
        <a:xfrm>
          <a:off x="170169" y="18794186"/>
          <a:ext cx="6227570" cy="2522764"/>
          <a:chOff x="-24494074" y="6972935"/>
          <a:chExt cx="9921636" cy="921154"/>
        </a:xfrm>
      </xdr:grpSpPr>
      <xdr:graphicFrame macro="">
        <xdr:nvGraphicFramePr>
          <xdr:cNvPr id="10" name="Chart 9">
            <a:extLst>
              <a:ext uri="{FF2B5EF4-FFF2-40B4-BE49-F238E27FC236}">
                <a16:creationId xmlns:a16="http://schemas.microsoft.com/office/drawing/2014/main" id="{00000000-0008-0000-0A00-00000A000000}"/>
              </a:ext>
            </a:extLst>
          </xdr:cNvPr>
          <xdr:cNvGraphicFramePr>
            <a:graphicFrameLocks/>
          </xdr:cNvGraphicFramePr>
        </xdr:nvGraphicFramePr>
        <xdr:xfrm>
          <a:off x="-24494074" y="6972935"/>
          <a:ext cx="9921636" cy="921154"/>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1" name="TextBox 10">
            <a:hlinkClick xmlns:r="http://schemas.openxmlformats.org/officeDocument/2006/relationships" r:id="rId3"/>
            <a:extLst>
              <a:ext uri="{FF2B5EF4-FFF2-40B4-BE49-F238E27FC236}">
                <a16:creationId xmlns:a16="http://schemas.microsoft.com/office/drawing/2014/main" id="{00000000-0008-0000-0A00-00000B000000}"/>
              </a:ext>
            </a:extLst>
          </xdr:cNvPr>
          <xdr:cNvSpPr txBox="1"/>
        </xdr:nvSpPr>
        <xdr:spPr>
          <a:xfrm>
            <a:off x="-17033444" y="6993275"/>
            <a:ext cx="2362965" cy="215317"/>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bg1"/>
                </a:solidFill>
              </a:rPr>
              <a:t>More</a:t>
            </a:r>
            <a:r>
              <a:rPr lang="en-US" sz="1400" b="1" baseline="0">
                <a:solidFill>
                  <a:schemeClr val="bg1"/>
                </a:solidFill>
              </a:rPr>
              <a:t> info on gaps </a:t>
            </a:r>
            <a:r>
              <a:rPr lang="en-US" sz="1000" b="1" baseline="0">
                <a:solidFill>
                  <a:schemeClr val="bg1"/>
                </a:solidFill>
              </a:rPr>
              <a:t>(click here)</a:t>
            </a:r>
            <a:endParaRPr lang="en-US" sz="1000" b="1">
              <a:solidFill>
                <a:schemeClr val="bg1"/>
              </a:solidFill>
            </a:endParaRPr>
          </a:p>
        </xdr:txBody>
      </xdr:sp>
    </xdr:grpSp>
    <xdr:clientData/>
  </xdr:twoCellAnchor>
  <xdr:twoCellAnchor>
    <xdr:from>
      <xdr:col>7</xdr:col>
      <xdr:colOff>57680</xdr:colOff>
      <xdr:row>21</xdr:row>
      <xdr:rowOff>66675</xdr:rowOff>
    </xdr:from>
    <xdr:to>
      <xdr:col>18</xdr:col>
      <xdr:colOff>276225</xdr:colOff>
      <xdr:row>38</xdr:row>
      <xdr:rowOff>19050</xdr:rowOff>
    </xdr:to>
    <xdr:graphicFrame macro="">
      <xdr:nvGraphicFramePr>
        <xdr:cNvPr id="15" name="Chart 14">
          <a:extLst>
            <a:ext uri="{FF2B5EF4-FFF2-40B4-BE49-F238E27FC236}">
              <a16:creationId xmlns:a16="http://schemas.microsoft.com/office/drawing/2014/main" id="{00000000-0008-0000-0A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81052</xdr:colOff>
      <xdr:row>57</xdr:row>
      <xdr:rowOff>79064</xdr:rowOff>
    </xdr:from>
    <xdr:to>
      <xdr:col>18</xdr:col>
      <xdr:colOff>333375</xdr:colOff>
      <xdr:row>80</xdr:row>
      <xdr:rowOff>166046</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6472327" y="11070914"/>
          <a:ext cx="9205823" cy="4878057"/>
          <a:chOff x="6650921" y="9530245"/>
          <a:chExt cx="8925736" cy="4902152"/>
        </a:xfrm>
      </xdr:grpSpPr>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9762365" y="12045872"/>
          <a:ext cx="2987157" cy="236324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6" name="Chart 5">
            <a:extLst>
              <a:ext uri="{FF2B5EF4-FFF2-40B4-BE49-F238E27FC236}">
                <a16:creationId xmlns:a16="http://schemas.microsoft.com/office/drawing/2014/main" id="{00000000-0008-0000-0A00-000006000000}"/>
              </a:ext>
            </a:extLst>
          </xdr:cNvPr>
          <xdr:cNvGraphicFramePr>
            <a:graphicFrameLocks/>
          </xdr:cNvGraphicFramePr>
        </xdr:nvGraphicFramePr>
        <xdr:xfrm>
          <a:off x="12812892" y="12027300"/>
          <a:ext cx="2763765" cy="2372239"/>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2" name="Chart 11">
            <a:extLst>
              <a:ext uri="{FF2B5EF4-FFF2-40B4-BE49-F238E27FC236}">
                <a16:creationId xmlns:a16="http://schemas.microsoft.com/office/drawing/2014/main" id="{00000000-0008-0000-0A00-00000C000000}"/>
              </a:ext>
            </a:extLst>
          </xdr:cNvPr>
          <xdr:cNvGraphicFramePr>
            <a:graphicFrameLocks/>
          </xdr:cNvGraphicFramePr>
        </xdr:nvGraphicFramePr>
        <xdr:xfrm>
          <a:off x="6650921" y="9548381"/>
          <a:ext cx="3014098" cy="2443184"/>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3" name="Chart 12">
            <a:extLst>
              <a:ext uri="{FF2B5EF4-FFF2-40B4-BE49-F238E27FC236}">
                <a16:creationId xmlns:a16="http://schemas.microsoft.com/office/drawing/2014/main" id="{00000000-0008-0000-0A00-00000D000000}"/>
              </a:ext>
            </a:extLst>
          </xdr:cNvPr>
          <xdr:cNvGraphicFramePr>
            <a:graphicFrameLocks/>
          </xdr:cNvGraphicFramePr>
        </xdr:nvGraphicFramePr>
        <xdr:xfrm>
          <a:off x="6660257" y="12043214"/>
          <a:ext cx="3014098" cy="2389183"/>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00000000-0008-0000-0A00-00000E000000}"/>
              </a:ext>
            </a:extLst>
          </xdr:cNvPr>
          <xdr:cNvGraphicFramePr>
            <a:graphicFrameLocks/>
          </xdr:cNvGraphicFramePr>
        </xdr:nvGraphicFramePr>
        <xdr:xfrm>
          <a:off x="9752097" y="9538983"/>
          <a:ext cx="3004519" cy="2452582"/>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7" name="Chart 16">
            <a:extLst>
              <a:ext uri="{FF2B5EF4-FFF2-40B4-BE49-F238E27FC236}">
                <a16:creationId xmlns:a16="http://schemas.microsoft.com/office/drawing/2014/main" id="{00000000-0008-0000-0A00-000011000000}"/>
              </a:ext>
            </a:extLst>
          </xdr:cNvPr>
          <xdr:cNvGraphicFramePr>
            <a:graphicFrameLocks/>
          </xdr:cNvGraphicFramePr>
        </xdr:nvGraphicFramePr>
        <xdr:xfrm>
          <a:off x="12809306" y="9530245"/>
          <a:ext cx="2763765" cy="24408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7</xdr:col>
      <xdr:colOff>59210</xdr:colOff>
      <xdr:row>55</xdr:row>
      <xdr:rowOff>21440</xdr:rowOff>
    </xdr:from>
    <xdr:to>
      <xdr:col>18</xdr:col>
      <xdr:colOff>341150</xdr:colOff>
      <xdr:row>57</xdr:row>
      <xdr:rowOff>4951</xdr:rowOff>
    </xdr:to>
    <xdr:sp macro="" textlink="">
      <xdr:nvSpPr>
        <xdr:cNvPr id="18" name="TextBox 17">
          <a:extLst>
            <a:ext uri="{FF2B5EF4-FFF2-40B4-BE49-F238E27FC236}">
              <a16:creationId xmlns:a16="http://schemas.microsoft.com/office/drawing/2014/main" id="{00000000-0008-0000-0A00-000012000000}"/>
            </a:ext>
          </a:extLst>
        </xdr:cNvPr>
        <xdr:cNvSpPr txBox="1"/>
      </xdr:nvSpPr>
      <xdr:spPr>
        <a:xfrm>
          <a:off x="6450485" y="10679915"/>
          <a:ext cx="9235440" cy="459761"/>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Sanitation Facilities 			                                                  Sanitation services</a:t>
          </a:r>
          <a:endParaRPr lang="en-US" sz="1400">
            <a:solidFill>
              <a:schemeClr val="bg1"/>
            </a:solidFill>
            <a:effectLst/>
          </a:endParaRPr>
        </a:p>
      </xdr:txBody>
    </xdr:sp>
    <xdr:clientData/>
  </xdr:twoCellAnchor>
  <xdr:twoCellAnchor>
    <xdr:from>
      <xdr:col>7</xdr:col>
      <xdr:colOff>81038</xdr:colOff>
      <xdr:row>81</xdr:row>
      <xdr:rowOff>42815</xdr:rowOff>
    </xdr:from>
    <xdr:to>
      <xdr:col>18</xdr:col>
      <xdr:colOff>362978</xdr:colOff>
      <xdr:row>83</xdr:row>
      <xdr:rowOff>90337</xdr:rowOff>
    </xdr:to>
    <xdr:sp macro="" textlink="">
      <xdr:nvSpPr>
        <xdr:cNvPr id="19" name="TextBox 45">
          <a:extLst>
            <a:ext uri="{FF2B5EF4-FFF2-40B4-BE49-F238E27FC236}">
              <a16:creationId xmlns:a16="http://schemas.microsoft.com/office/drawing/2014/main" id="{00000000-0008-0000-0A00-000013000000}"/>
            </a:ext>
          </a:extLst>
        </xdr:cNvPr>
        <xdr:cNvSpPr txBox="1"/>
      </xdr:nvSpPr>
      <xdr:spPr>
        <a:xfrm>
          <a:off x="6472313" y="16168640"/>
          <a:ext cx="9235440" cy="447572"/>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200" b="1" i="0" baseline="0">
              <a:solidFill>
                <a:schemeClr val="bg1"/>
              </a:solidFill>
              <a:effectLst/>
              <a:latin typeface="+mn-lt"/>
              <a:ea typeface="+mn-ea"/>
              <a:cs typeface="+mn-cs"/>
            </a:rPr>
            <a:t>Hygiene Items 			                                      </a:t>
          </a:r>
          <a:endParaRPr lang="en-US" sz="1200">
            <a:solidFill>
              <a:schemeClr val="bg1"/>
            </a:solidFill>
            <a:effectLst/>
          </a:endParaRPr>
        </a:p>
      </xdr:txBody>
    </xdr:sp>
    <xdr:clientData/>
  </xdr:twoCellAnchor>
  <xdr:twoCellAnchor>
    <xdr:from>
      <xdr:col>7</xdr:col>
      <xdr:colOff>74340</xdr:colOff>
      <xdr:row>39</xdr:row>
      <xdr:rowOff>12864</xdr:rowOff>
    </xdr:from>
    <xdr:to>
      <xdr:col>18</xdr:col>
      <xdr:colOff>356280</xdr:colOff>
      <xdr:row>41</xdr:row>
      <xdr:rowOff>143914</xdr:rowOff>
    </xdr:to>
    <xdr:sp macro="" textlink="">
      <xdr:nvSpPr>
        <xdr:cNvPr id="20" name="Rectangle 19">
          <a:extLst>
            <a:ext uri="{FF2B5EF4-FFF2-40B4-BE49-F238E27FC236}">
              <a16:creationId xmlns:a16="http://schemas.microsoft.com/office/drawing/2014/main" id="{00000000-0008-0000-0A00-000014000000}"/>
            </a:ext>
          </a:extLst>
        </xdr:cNvPr>
        <xdr:cNvSpPr/>
      </xdr:nvSpPr>
      <xdr:spPr>
        <a:xfrm>
          <a:off x="6465615" y="7118514"/>
          <a:ext cx="9235440" cy="45490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Water Quantity                                                                                                                               Water Quality</a:t>
          </a:r>
        </a:p>
      </xdr:txBody>
    </xdr:sp>
    <xdr:clientData/>
  </xdr:twoCellAnchor>
  <xdr:twoCellAnchor>
    <xdr:from>
      <xdr:col>1</xdr:col>
      <xdr:colOff>34881</xdr:colOff>
      <xdr:row>75</xdr:row>
      <xdr:rowOff>134576</xdr:rowOff>
    </xdr:from>
    <xdr:to>
      <xdr:col>6</xdr:col>
      <xdr:colOff>685799</xdr:colOff>
      <xdr:row>89</xdr:row>
      <xdr:rowOff>38100</xdr:rowOff>
    </xdr:to>
    <xdr:graphicFrame macro="">
      <xdr:nvGraphicFramePr>
        <xdr:cNvPr id="26" name="Chart 25">
          <a:extLst>
            <a:ext uri="{FF2B5EF4-FFF2-40B4-BE49-F238E27FC236}">
              <a16:creationId xmlns:a16="http://schemas.microsoft.com/office/drawing/2014/main" id="{0BA47DB9-2552-49B5-84A1-F19A3EF84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107226</xdr:colOff>
      <xdr:row>96</xdr:row>
      <xdr:rowOff>111579</xdr:rowOff>
    </xdr:from>
    <xdr:to>
      <xdr:col>18</xdr:col>
      <xdr:colOff>297726</xdr:colOff>
      <xdr:row>107</xdr:row>
      <xdr:rowOff>123825</xdr:rowOff>
    </xdr:to>
    <xdr:grpSp>
      <xdr:nvGrpSpPr>
        <xdr:cNvPr id="21" name="Group 20">
          <a:extLst>
            <a:ext uri="{FF2B5EF4-FFF2-40B4-BE49-F238E27FC236}">
              <a16:creationId xmlns:a16="http://schemas.microsoft.com/office/drawing/2014/main" id="{B2AA7536-8CAC-45C6-9254-4077F21DB26C}"/>
            </a:ext>
          </a:extLst>
        </xdr:cNvPr>
        <xdr:cNvGrpSpPr/>
      </xdr:nvGrpSpPr>
      <xdr:grpSpPr>
        <a:xfrm>
          <a:off x="6498501" y="19094904"/>
          <a:ext cx="9144000" cy="2212521"/>
          <a:chOff x="6584226" y="18580554"/>
          <a:chExt cx="9046300" cy="2758764"/>
        </a:xfrm>
      </xdr:grpSpPr>
      <xdr:graphicFrame macro="">
        <xdr:nvGraphicFramePr>
          <xdr:cNvPr id="23" name="Chart 22">
            <a:extLst>
              <a:ext uri="{FF2B5EF4-FFF2-40B4-BE49-F238E27FC236}">
                <a16:creationId xmlns:a16="http://schemas.microsoft.com/office/drawing/2014/main" id="{00000000-0008-0000-0A00-000017000000}"/>
              </a:ext>
            </a:extLst>
          </xdr:cNvPr>
          <xdr:cNvGraphicFramePr>
            <a:graphicFrameLocks/>
          </xdr:cNvGraphicFramePr>
        </xdr:nvGraphicFramePr>
        <xdr:xfrm>
          <a:off x="6584226" y="18591816"/>
          <a:ext cx="5372370" cy="27475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27" name="Chart 26">
            <a:extLst>
              <a:ext uri="{FF2B5EF4-FFF2-40B4-BE49-F238E27FC236}">
                <a16:creationId xmlns:a16="http://schemas.microsoft.com/office/drawing/2014/main" id="{AFD7BA30-4563-40EE-BC17-DE5013AFDC3D}"/>
              </a:ext>
            </a:extLst>
          </xdr:cNvPr>
          <xdr:cNvGraphicFramePr>
            <a:graphicFrameLocks/>
          </xdr:cNvGraphicFramePr>
        </xdr:nvGraphicFramePr>
        <xdr:xfrm>
          <a:off x="12051847" y="18580554"/>
          <a:ext cx="3578679" cy="2747502"/>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xdr:col>
      <xdr:colOff>34018</xdr:colOff>
      <xdr:row>61</xdr:row>
      <xdr:rowOff>118382</xdr:rowOff>
    </xdr:from>
    <xdr:to>
      <xdr:col>6</xdr:col>
      <xdr:colOff>660763</xdr:colOff>
      <xdr:row>75</xdr:row>
      <xdr:rowOff>23132</xdr:rowOff>
    </xdr:to>
    <xdr:graphicFrame macro="">
      <xdr:nvGraphicFramePr>
        <xdr:cNvPr id="28" name="Chart 27">
          <a:extLst>
            <a:ext uri="{FF2B5EF4-FFF2-40B4-BE49-F238E27FC236}">
              <a16:creationId xmlns:a16="http://schemas.microsoft.com/office/drawing/2014/main" id="{BC2893F2-4EA3-414A-B4B4-35CDB93B7E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38100</xdr:colOff>
      <xdr:row>1</xdr:row>
      <xdr:rowOff>19050</xdr:rowOff>
    </xdr:from>
    <xdr:to>
      <xdr:col>19</xdr:col>
      <xdr:colOff>19050</xdr:colOff>
      <xdr:row>2</xdr:row>
      <xdr:rowOff>115094</xdr:rowOff>
    </xdr:to>
    <xdr:sp macro="" textlink="">
      <xdr:nvSpPr>
        <xdr:cNvPr id="31" name="Rectangle 30">
          <a:extLst>
            <a:ext uri="{FF2B5EF4-FFF2-40B4-BE49-F238E27FC236}">
              <a16:creationId xmlns:a16="http://schemas.microsoft.com/office/drawing/2014/main" id="{49F75D67-E5CA-42D6-B9F9-84434472173C}"/>
            </a:ext>
          </a:extLst>
        </xdr:cNvPr>
        <xdr:cNvSpPr/>
      </xdr:nvSpPr>
      <xdr:spPr>
        <a:xfrm>
          <a:off x="6429375" y="571500"/>
          <a:ext cx="9315450" cy="257969"/>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t>AAP</a:t>
          </a:r>
        </a:p>
      </xdr:txBody>
    </xdr:sp>
    <xdr:clientData/>
  </xdr:twoCellAnchor>
  <xdr:twoCellAnchor>
    <xdr:from>
      <xdr:col>7</xdr:col>
      <xdr:colOff>57945</xdr:colOff>
      <xdr:row>2</xdr:row>
      <xdr:rowOff>144857</xdr:rowOff>
    </xdr:from>
    <xdr:to>
      <xdr:col>14</xdr:col>
      <xdr:colOff>885824</xdr:colOff>
      <xdr:row>21</xdr:row>
      <xdr:rowOff>19049</xdr:rowOff>
    </xdr:to>
    <xdr:sp macro="" textlink="">
      <xdr:nvSpPr>
        <xdr:cNvPr id="32" name="Rectangle 31">
          <a:extLst>
            <a:ext uri="{FF2B5EF4-FFF2-40B4-BE49-F238E27FC236}">
              <a16:creationId xmlns:a16="http://schemas.microsoft.com/office/drawing/2014/main" id="{A5B82973-1FAD-4B73-A08A-0C740E0C8D2B}"/>
            </a:ext>
          </a:extLst>
        </xdr:cNvPr>
        <xdr:cNvSpPr/>
      </xdr:nvSpPr>
      <xdr:spPr>
        <a:xfrm>
          <a:off x="6449220" y="716357"/>
          <a:ext cx="6066629" cy="2950767"/>
        </a:xfrm>
        <a:prstGeom prst="rect">
          <a:avLst/>
        </a:prstGeom>
        <a:solidFill>
          <a:schemeClr val="bg1">
            <a:lumMod val="6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US" sz="1300">
              <a:solidFill>
                <a:sysClr val="windowText" lastClr="000000"/>
              </a:solidFill>
            </a:rPr>
            <a:t>WATER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300" b="0" i="0">
              <a:solidFill>
                <a:sysClr val="windowText" lastClr="000000"/>
              </a:solidFill>
              <a:effectLst/>
              <a:latin typeface="+mn-lt"/>
              <a:ea typeface="+mn-ea"/>
              <a:cs typeface="+mn-cs"/>
            </a:rPr>
            <a:t>- IDPs requested HH water treatment filter.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300" b="0" i="0">
              <a:solidFill>
                <a:sysClr val="windowText" lastClr="000000"/>
              </a:solidFill>
              <a:effectLst/>
              <a:latin typeface="+mn-lt"/>
              <a:ea typeface="+mn-ea"/>
              <a:cs typeface="+mn-cs"/>
            </a:rPr>
            <a:t>- Need to improve water quality</a:t>
          </a:r>
          <a:endParaRPr lang="en-US" sz="1300">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300" b="0" i="0">
              <a:solidFill>
                <a:sysClr val="windowText" lastClr="000000"/>
              </a:solidFill>
              <a:effectLst/>
              <a:latin typeface="+mn-lt"/>
              <a:ea typeface="+mn-ea"/>
              <a:cs typeface="+mn-cs"/>
            </a:rPr>
            <a:t>- There have no water collection tank for drinking and treatment system.</a:t>
          </a:r>
          <a:endParaRPr lang="en-US" sz="1300">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300" b="0" i="0">
              <a:solidFill>
                <a:sysClr val="windowText" lastClr="000000"/>
              </a:solidFill>
              <a:effectLst/>
              <a:latin typeface="+mn-lt"/>
              <a:ea typeface="+mn-ea"/>
              <a:cs typeface="+mn-cs"/>
            </a:rPr>
            <a:t>- There have no water issues.</a:t>
          </a:r>
          <a:endParaRPr lang="en-US" sz="1300">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300" b="0" i="0">
              <a:solidFill>
                <a:sysClr val="windowText" lastClr="000000"/>
              </a:solidFill>
              <a:effectLst/>
              <a:latin typeface="+mn-lt"/>
              <a:ea typeface="+mn-ea"/>
              <a:cs typeface="+mn-cs"/>
            </a:rPr>
            <a:t>- Upgrade HH level water quality.</a:t>
          </a:r>
          <a:endParaRPr lang="en-US" sz="1300">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300" b="0" i="0">
              <a:solidFill>
                <a:sysClr val="windowText" lastClr="000000"/>
              </a:solidFill>
              <a:effectLst/>
              <a:latin typeface="+mn-lt"/>
              <a:ea typeface="+mn-ea"/>
              <a:cs typeface="+mn-cs"/>
            </a:rPr>
            <a:t>- Water shortage and inadequate drinking water in summer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300" b="0" i="0">
              <a:solidFill>
                <a:sysClr val="windowText" lastClr="000000"/>
              </a:solidFill>
              <a:effectLst/>
              <a:latin typeface="+mn-lt"/>
              <a:ea typeface="+mn-ea"/>
              <a:cs typeface="+mn-cs"/>
            </a:rPr>
            <a:t>SANITATION</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300" b="0" i="0">
              <a:solidFill>
                <a:sysClr val="windowText" lastClr="000000"/>
              </a:solidFill>
              <a:effectLst/>
              <a:latin typeface="+mn-lt"/>
              <a:ea typeface="+mn-ea"/>
              <a:cs typeface="+mn-cs"/>
            </a:rPr>
            <a:t>- IPDs requested to decommission emergency latrine 4 unit</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300" b="0" i="0">
              <a:solidFill>
                <a:sysClr val="windowText" lastClr="000000"/>
              </a:solidFill>
              <a:effectLst/>
              <a:latin typeface="+mn-lt"/>
              <a:ea typeface="+mn-ea"/>
              <a:cs typeface="+mn-cs"/>
            </a:rPr>
            <a:t>- Latrine upgrading or decommissioning is needed</a:t>
          </a:r>
          <a:endParaRPr lang="en-US" sz="1300">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300" b="0" i="0">
              <a:solidFill>
                <a:sysClr val="windowText" lastClr="000000"/>
              </a:solidFill>
              <a:effectLst/>
              <a:latin typeface="+mn-lt"/>
              <a:ea typeface="+mn-ea"/>
              <a:cs typeface="+mn-cs"/>
            </a:rPr>
            <a:t>- new latrines construction are needed</a:t>
          </a:r>
          <a:endParaRPr lang="en-US" sz="1300">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300" b="0" i="0">
              <a:solidFill>
                <a:sysClr val="windowText" lastClr="000000"/>
              </a:solidFill>
              <a:effectLst/>
              <a:latin typeface="+mn-lt"/>
              <a:ea typeface="+mn-ea"/>
              <a:cs typeface="+mn-cs"/>
            </a:rPr>
            <a:t>HYGIENE</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300" b="0" i="0">
              <a:solidFill>
                <a:sysClr val="windowText" lastClr="000000"/>
              </a:solidFill>
              <a:effectLst/>
              <a:latin typeface="+mn-lt"/>
              <a:ea typeface="+mn-ea"/>
              <a:cs typeface="+mn-cs"/>
            </a:rPr>
            <a:t>- Hygiene incentive items is not enough. IDP request hygiene kit distribution.</a:t>
          </a:r>
          <a:endParaRPr lang="en-US" sz="1300">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300">
              <a:solidFill>
                <a:sysClr val="windowText" lastClr="000000"/>
              </a:solidFill>
              <a:effectLst/>
            </a:rPr>
            <a:t>- </a:t>
          </a:r>
          <a:r>
            <a:rPr lang="en-US" sz="1300" b="0" i="0">
              <a:solidFill>
                <a:sysClr val="windowText" lastClr="000000"/>
              </a:solidFill>
              <a:effectLst/>
              <a:latin typeface="+mn-lt"/>
              <a:ea typeface="+mn-ea"/>
              <a:cs typeface="+mn-cs"/>
            </a:rPr>
            <a:t>Hygiene kit received three years ago, and IDP requested to distribute hygiene kit.</a:t>
          </a:r>
          <a:endParaRPr lang="en-US" sz="1300">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300">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300">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300">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300">
            <a:solidFill>
              <a:sysClr val="windowText" lastClr="000000"/>
            </a:solidFill>
            <a:effectLst/>
          </a:endParaRPr>
        </a:p>
        <a:p>
          <a:pPr algn="l"/>
          <a:endParaRPr lang="en-US" sz="1300">
            <a:solidFill>
              <a:sysClr val="windowText" lastClr="000000"/>
            </a:solidFill>
          </a:endParaRPr>
        </a:p>
      </xdr:txBody>
    </xdr:sp>
    <xdr:clientData/>
  </xdr:twoCellAnchor>
  <xdr:twoCellAnchor>
    <xdr:from>
      <xdr:col>14</xdr:col>
      <xdr:colOff>1238250</xdr:colOff>
      <xdr:row>2</xdr:row>
      <xdr:rowOff>123825</xdr:rowOff>
    </xdr:from>
    <xdr:to>
      <xdr:col>17</xdr:col>
      <xdr:colOff>342900</xdr:colOff>
      <xdr:row>17</xdr:row>
      <xdr:rowOff>114300</xdr:rowOff>
    </xdr:to>
    <xdr:graphicFrame macro="">
      <xdr:nvGraphicFramePr>
        <xdr:cNvPr id="34" name="Chart 33">
          <a:extLst>
            <a:ext uri="{FF2B5EF4-FFF2-40B4-BE49-F238E27FC236}">
              <a16:creationId xmlns:a16="http://schemas.microsoft.com/office/drawing/2014/main" id="{EB930F1D-C33C-477A-9BB0-A5D7FF79D1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19050</xdr:colOff>
      <xdr:row>1</xdr:row>
      <xdr:rowOff>28575</xdr:rowOff>
    </xdr:from>
    <xdr:to>
      <xdr:col>7</xdr:col>
      <xdr:colOff>9524</xdr:colOff>
      <xdr:row>46</xdr:row>
      <xdr:rowOff>157147</xdr:rowOff>
    </xdr:to>
    <xdr:pic>
      <xdr:nvPicPr>
        <xdr:cNvPr id="25" name="Picture 24">
          <a:extLst>
            <a:ext uri="{FF2B5EF4-FFF2-40B4-BE49-F238E27FC236}">
              <a16:creationId xmlns:a16="http://schemas.microsoft.com/office/drawing/2014/main" id="{EBB948C1-D5E1-4490-81B0-2DA9C2A67D4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33350" y="438150"/>
          <a:ext cx="6267449" cy="7920022"/>
        </a:xfrm>
        <a:prstGeom prst="rect">
          <a:avLst/>
        </a:prstGeom>
      </xdr:spPr>
    </xdr:pic>
    <xdr:clientData/>
  </xdr:twoCellAnchor>
  <xdr:twoCellAnchor>
    <xdr:from>
      <xdr:col>7</xdr:col>
      <xdr:colOff>105811</xdr:colOff>
      <xdr:row>42</xdr:row>
      <xdr:rowOff>82368</xdr:rowOff>
    </xdr:from>
    <xdr:to>
      <xdr:col>18</xdr:col>
      <xdr:colOff>361951</xdr:colOff>
      <xdr:row>54</xdr:row>
      <xdr:rowOff>190500</xdr:rowOff>
    </xdr:to>
    <xdr:grpSp>
      <xdr:nvGrpSpPr>
        <xdr:cNvPr id="7" name="Group 6">
          <a:extLst>
            <a:ext uri="{FF2B5EF4-FFF2-40B4-BE49-F238E27FC236}">
              <a16:creationId xmlns:a16="http://schemas.microsoft.com/office/drawing/2014/main" id="{01DE7422-3781-4C7E-8B92-742371B1228E}"/>
            </a:ext>
          </a:extLst>
        </xdr:cNvPr>
        <xdr:cNvGrpSpPr/>
      </xdr:nvGrpSpPr>
      <xdr:grpSpPr>
        <a:xfrm>
          <a:off x="6497086" y="7530918"/>
          <a:ext cx="9209640" cy="2937057"/>
          <a:chOff x="6497086" y="7530918"/>
          <a:chExt cx="9209640" cy="2937057"/>
        </a:xfrm>
      </xdr:grpSpPr>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6497086" y="7530918"/>
          <a:ext cx="3094589" cy="2908481"/>
        </xdr:xfrm>
        <a:graphic>
          <a:graphicData uri="http://schemas.openxmlformats.org/drawingml/2006/chart">
            <c:chart xmlns:c="http://schemas.openxmlformats.org/drawingml/2006/chart" xmlns:r="http://schemas.openxmlformats.org/officeDocument/2006/relationships" r:id="rId17"/>
          </a:graphicData>
        </a:graphic>
      </xdr:graphicFrame>
      <xdr:graphicFrame macro="">
        <xdr:nvGraphicFramePr>
          <xdr:cNvPr id="30" name="Chart 29">
            <a:extLst>
              <a:ext uri="{FF2B5EF4-FFF2-40B4-BE49-F238E27FC236}">
                <a16:creationId xmlns:a16="http://schemas.microsoft.com/office/drawing/2014/main" id="{EA70DAEA-4BF2-4F53-8F75-07E1894CD84D}"/>
              </a:ext>
            </a:extLst>
          </xdr:cNvPr>
          <xdr:cNvGraphicFramePr>
            <a:graphicFrameLocks/>
          </xdr:cNvGraphicFramePr>
        </xdr:nvGraphicFramePr>
        <xdr:xfrm>
          <a:off x="9629775" y="7543801"/>
          <a:ext cx="3200400" cy="2924174"/>
        </xdr:xfrm>
        <a:graphic>
          <a:graphicData uri="http://schemas.openxmlformats.org/drawingml/2006/chart">
            <c:chart xmlns:c="http://schemas.openxmlformats.org/drawingml/2006/chart" xmlns:r="http://schemas.openxmlformats.org/officeDocument/2006/relationships" r:id="rId18"/>
          </a:graphicData>
        </a:graphic>
      </xdr:graphicFrame>
      <xdr:graphicFrame macro="">
        <xdr:nvGraphicFramePr>
          <xdr:cNvPr id="33" name="Chart 32">
            <a:extLst>
              <a:ext uri="{FF2B5EF4-FFF2-40B4-BE49-F238E27FC236}">
                <a16:creationId xmlns:a16="http://schemas.microsoft.com/office/drawing/2014/main" id="{5A445EDE-918C-4841-8148-5AE675DCD57C}"/>
              </a:ext>
            </a:extLst>
          </xdr:cNvPr>
          <xdr:cNvGraphicFramePr>
            <a:graphicFrameLocks/>
          </xdr:cNvGraphicFramePr>
        </xdr:nvGraphicFramePr>
        <xdr:xfrm>
          <a:off x="11220449" y="8715374"/>
          <a:ext cx="1609725" cy="1733549"/>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35" name="Chart 34">
            <a:extLst>
              <a:ext uri="{FF2B5EF4-FFF2-40B4-BE49-F238E27FC236}">
                <a16:creationId xmlns:a16="http://schemas.microsoft.com/office/drawing/2014/main" id="{CC73EEEC-1C79-4041-8154-BF70D4EB104A}"/>
              </a:ext>
            </a:extLst>
          </xdr:cNvPr>
          <xdr:cNvGraphicFramePr>
            <a:graphicFrameLocks/>
          </xdr:cNvGraphicFramePr>
        </xdr:nvGraphicFramePr>
        <xdr:xfrm>
          <a:off x="12849225" y="7543799"/>
          <a:ext cx="2847975" cy="2924176"/>
        </xdr:xfrm>
        <a:graphic>
          <a:graphicData uri="http://schemas.openxmlformats.org/drawingml/2006/chart">
            <c:chart xmlns:c="http://schemas.openxmlformats.org/drawingml/2006/chart" xmlns:r="http://schemas.openxmlformats.org/officeDocument/2006/relationships" r:id="rId20"/>
          </a:graphicData>
        </a:graphic>
      </xdr:graphicFrame>
      <xdr:graphicFrame macro="">
        <xdr:nvGraphicFramePr>
          <xdr:cNvPr id="36" name="Chart 35">
            <a:extLst>
              <a:ext uri="{FF2B5EF4-FFF2-40B4-BE49-F238E27FC236}">
                <a16:creationId xmlns:a16="http://schemas.microsoft.com/office/drawing/2014/main" id="{24A396C6-098D-4733-8D11-D5B7EC9A7AAC}"/>
              </a:ext>
            </a:extLst>
          </xdr:cNvPr>
          <xdr:cNvGraphicFramePr>
            <a:graphicFrameLocks/>
          </xdr:cNvGraphicFramePr>
        </xdr:nvGraphicFramePr>
        <xdr:xfrm>
          <a:off x="14249400" y="8639175"/>
          <a:ext cx="1457326" cy="1781176"/>
        </xdr:xfrm>
        <a:graphic>
          <a:graphicData uri="http://schemas.openxmlformats.org/drawingml/2006/chart">
            <c:chart xmlns:c="http://schemas.openxmlformats.org/drawingml/2006/chart" xmlns:r="http://schemas.openxmlformats.org/officeDocument/2006/relationships" r:id="rId21"/>
          </a:graphicData>
        </a:graphic>
      </xdr:graphicFrame>
      <xdr:cxnSp macro="">
        <xdr:nvCxnSpPr>
          <xdr:cNvPr id="38" name="Connector: Elbow 37">
            <a:extLst>
              <a:ext uri="{FF2B5EF4-FFF2-40B4-BE49-F238E27FC236}">
                <a16:creationId xmlns:a16="http://schemas.microsoft.com/office/drawing/2014/main" id="{17DB4F2F-D2F2-4BF6-BC70-EA4BC7AC5A50}"/>
              </a:ext>
            </a:extLst>
          </xdr:cNvPr>
          <xdr:cNvCxnSpPr/>
        </xdr:nvCxnSpPr>
        <xdr:spPr>
          <a:xfrm>
            <a:off x="10582275" y="8410575"/>
            <a:ext cx="1443036" cy="35242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2" name="Connector: Elbow 41">
            <a:extLst>
              <a:ext uri="{FF2B5EF4-FFF2-40B4-BE49-F238E27FC236}">
                <a16:creationId xmlns:a16="http://schemas.microsoft.com/office/drawing/2014/main" id="{8FE1C2A3-5FE7-4ADE-B32D-0902A172058D}"/>
              </a:ext>
            </a:extLst>
          </xdr:cNvPr>
          <xdr:cNvCxnSpPr/>
        </xdr:nvCxnSpPr>
        <xdr:spPr>
          <a:xfrm>
            <a:off x="13754100" y="8410575"/>
            <a:ext cx="1262061" cy="371474"/>
          </a:xfrm>
          <a:prstGeom prst="bentConnector3">
            <a:avLst>
              <a:gd name="adj1" fmla="val 99057"/>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127377</xdr:colOff>
      <xdr:row>89</xdr:row>
      <xdr:rowOff>76877</xdr:rowOff>
    </xdr:from>
    <xdr:to>
      <xdr:col>14</xdr:col>
      <xdr:colOff>275166</xdr:colOff>
      <xdr:row>102</xdr:row>
      <xdr:rowOff>42334</xdr:rowOff>
    </xdr:to>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93925</xdr:colOff>
      <xdr:row>104</xdr:row>
      <xdr:rowOff>94878</xdr:rowOff>
    </xdr:from>
    <xdr:to>
      <xdr:col>7</xdr:col>
      <xdr:colOff>5872</xdr:colOff>
      <xdr:row>113</xdr:row>
      <xdr:rowOff>179916</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93925" y="20150295"/>
          <a:ext cx="6812280" cy="1894788"/>
          <a:chOff x="6910423" y="7259679"/>
          <a:chExt cx="6379546" cy="4171980"/>
        </a:xfrm>
      </xdr:grpSpPr>
      <xdr:graphicFrame macro="">
        <xdr:nvGraphicFramePr>
          <xdr:cNvPr id="13" name="Chart 12">
            <a:extLst>
              <a:ext uri="{FF2B5EF4-FFF2-40B4-BE49-F238E27FC236}">
                <a16:creationId xmlns:a16="http://schemas.microsoft.com/office/drawing/2014/main" id="{00000000-0008-0000-0B00-00000D000000}"/>
              </a:ext>
            </a:extLst>
          </xdr:cNvPr>
          <xdr:cNvGraphicFramePr>
            <a:graphicFrameLocks/>
          </xdr:cNvGraphicFramePr>
        </xdr:nvGraphicFramePr>
        <xdr:xfrm>
          <a:off x="6910423" y="7259679"/>
          <a:ext cx="6361075" cy="417198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4" name="TextBox 13">
            <a:hlinkClick xmlns:r="http://schemas.openxmlformats.org/officeDocument/2006/relationships" r:id="rId3"/>
            <a:extLst>
              <a:ext uri="{FF2B5EF4-FFF2-40B4-BE49-F238E27FC236}">
                <a16:creationId xmlns:a16="http://schemas.microsoft.com/office/drawing/2014/main" id="{00000000-0008-0000-0B00-00000E000000}"/>
              </a:ext>
            </a:extLst>
          </xdr:cNvPr>
          <xdr:cNvSpPr txBox="1"/>
        </xdr:nvSpPr>
        <xdr:spPr>
          <a:xfrm>
            <a:off x="11761185" y="7343334"/>
            <a:ext cx="1528784" cy="1208318"/>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bg1"/>
                </a:solidFill>
              </a:rPr>
              <a:t>More</a:t>
            </a:r>
            <a:r>
              <a:rPr lang="en-US" sz="1400" b="1" baseline="0">
                <a:solidFill>
                  <a:schemeClr val="bg1"/>
                </a:solidFill>
              </a:rPr>
              <a:t> info on gaps </a:t>
            </a:r>
            <a:r>
              <a:rPr lang="en-US" sz="1000" b="1" baseline="0">
                <a:solidFill>
                  <a:schemeClr val="bg1"/>
                </a:solidFill>
              </a:rPr>
              <a:t>(click here)</a:t>
            </a:r>
            <a:endParaRPr lang="en-US" sz="1000" b="1">
              <a:solidFill>
                <a:schemeClr val="bg1"/>
              </a:solidFill>
            </a:endParaRPr>
          </a:p>
        </xdr:txBody>
      </xdr:sp>
    </xdr:grpSp>
    <xdr:clientData/>
  </xdr:twoCellAnchor>
  <xdr:twoCellAnchor>
    <xdr:from>
      <xdr:col>7</xdr:col>
      <xdr:colOff>147380</xdr:colOff>
      <xdr:row>47</xdr:row>
      <xdr:rowOff>74344</xdr:rowOff>
    </xdr:from>
    <xdr:to>
      <xdr:col>20</xdr:col>
      <xdr:colOff>307241</xdr:colOff>
      <xdr:row>49</xdr:row>
      <xdr:rowOff>122604</xdr:rowOff>
    </xdr:to>
    <xdr:sp macro="" textlink="">
      <xdr:nvSpPr>
        <xdr:cNvPr id="15" name="Rectangle 14">
          <a:extLst>
            <a:ext uri="{FF2B5EF4-FFF2-40B4-BE49-F238E27FC236}">
              <a16:creationId xmlns:a16="http://schemas.microsoft.com/office/drawing/2014/main" id="{00000000-0008-0000-0B00-00000F000000}"/>
            </a:ext>
          </a:extLst>
        </xdr:cNvPr>
        <xdr:cNvSpPr/>
      </xdr:nvSpPr>
      <xdr:spPr>
        <a:xfrm>
          <a:off x="6884333" y="8041610"/>
          <a:ext cx="9784080" cy="36576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WATER Quantity                                                                                                                               WATER Quality</a:t>
          </a:r>
        </a:p>
      </xdr:txBody>
    </xdr:sp>
    <xdr:clientData/>
  </xdr:twoCellAnchor>
  <xdr:twoCellAnchor>
    <xdr:from>
      <xdr:col>7</xdr:col>
      <xdr:colOff>144917</xdr:colOff>
      <xdr:row>17</xdr:row>
      <xdr:rowOff>128984</xdr:rowOff>
    </xdr:from>
    <xdr:to>
      <xdr:col>13</xdr:col>
      <xdr:colOff>674744</xdr:colOff>
      <xdr:row>47</xdr:row>
      <xdr:rowOff>52166</xdr:rowOff>
    </xdr:to>
    <xdr:graphicFrame macro="">
      <xdr:nvGraphicFramePr>
        <xdr:cNvPr id="16" name="Chart 15">
          <a:extLst>
            <a:ext uri="{FF2B5EF4-FFF2-40B4-BE49-F238E27FC236}">
              <a16:creationId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151546</xdr:colOff>
      <xdr:row>62</xdr:row>
      <xdr:rowOff>83214</xdr:rowOff>
    </xdr:from>
    <xdr:to>
      <xdr:col>20</xdr:col>
      <xdr:colOff>244154</xdr:colOff>
      <xdr:row>86</xdr:row>
      <xdr:rowOff>183889</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7051879" y="11481464"/>
          <a:ext cx="9532942" cy="5138342"/>
          <a:chOff x="6927434" y="9761585"/>
          <a:chExt cx="9912322" cy="6017305"/>
        </a:xfrm>
      </xdr:grpSpPr>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13743282" y="9768878"/>
          <a:ext cx="3096474" cy="2972083"/>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6942881" y="12800243"/>
          <a:ext cx="3264790" cy="2972083"/>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7" name="Chart 6">
            <a:extLst>
              <a:ext uri="{FF2B5EF4-FFF2-40B4-BE49-F238E27FC236}">
                <a16:creationId xmlns:a16="http://schemas.microsoft.com/office/drawing/2014/main" id="{00000000-0008-0000-0B00-000007000000}"/>
              </a:ext>
            </a:extLst>
          </xdr:cNvPr>
          <xdr:cNvGraphicFramePr>
            <a:graphicFrameLocks/>
          </xdr:cNvGraphicFramePr>
        </xdr:nvGraphicFramePr>
        <xdr:xfrm>
          <a:off x="10265093" y="12799267"/>
          <a:ext cx="3455857" cy="2972083"/>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8" name="Chart 7">
            <a:extLst>
              <a:ext uri="{FF2B5EF4-FFF2-40B4-BE49-F238E27FC236}">
                <a16:creationId xmlns:a16="http://schemas.microsoft.com/office/drawing/2014/main" id="{00000000-0008-0000-0B00-000008000000}"/>
              </a:ext>
            </a:extLst>
          </xdr:cNvPr>
          <xdr:cNvGraphicFramePr>
            <a:graphicFrameLocks/>
          </xdr:cNvGraphicFramePr>
        </xdr:nvGraphicFramePr>
        <xdr:xfrm>
          <a:off x="13742755" y="12806807"/>
          <a:ext cx="3096474" cy="2972083"/>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7" name="Chart 16">
            <a:extLst>
              <a:ext uri="{FF2B5EF4-FFF2-40B4-BE49-F238E27FC236}">
                <a16:creationId xmlns:a16="http://schemas.microsoft.com/office/drawing/2014/main" id="{00000000-0008-0000-0B00-000011000000}"/>
              </a:ext>
            </a:extLst>
          </xdr:cNvPr>
          <xdr:cNvGraphicFramePr>
            <a:graphicFrameLocks/>
          </xdr:cNvGraphicFramePr>
        </xdr:nvGraphicFramePr>
        <xdr:xfrm>
          <a:off x="6927434" y="9768041"/>
          <a:ext cx="3264790" cy="2972083"/>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8" name="Chart 17">
            <a:extLst>
              <a:ext uri="{FF2B5EF4-FFF2-40B4-BE49-F238E27FC236}">
                <a16:creationId xmlns:a16="http://schemas.microsoft.com/office/drawing/2014/main" id="{00000000-0008-0000-0B00-000012000000}"/>
              </a:ext>
            </a:extLst>
          </xdr:cNvPr>
          <xdr:cNvGraphicFramePr>
            <a:graphicFrameLocks/>
          </xdr:cNvGraphicFramePr>
        </xdr:nvGraphicFramePr>
        <xdr:xfrm>
          <a:off x="10247764" y="9761585"/>
          <a:ext cx="3455857" cy="2972083"/>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7</xdr:col>
      <xdr:colOff>124705</xdr:colOff>
      <xdr:row>60</xdr:row>
      <xdr:rowOff>244608</xdr:rowOff>
    </xdr:from>
    <xdr:to>
      <xdr:col>20</xdr:col>
      <xdr:colOff>284566</xdr:colOff>
      <xdr:row>62</xdr:row>
      <xdr:rowOff>20348</xdr:rowOff>
    </xdr:to>
    <xdr:sp macro="" textlink="">
      <xdr:nvSpPr>
        <xdr:cNvPr id="19" name="TextBox 18">
          <a:extLst>
            <a:ext uri="{FF2B5EF4-FFF2-40B4-BE49-F238E27FC236}">
              <a16:creationId xmlns:a16="http://schemas.microsoft.com/office/drawing/2014/main" id="{00000000-0008-0000-0B00-000013000000}"/>
            </a:ext>
          </a:extLst>
        </xdr:cNvPr>
        <xdr:cNvSpPr txBox="1"/>
      </xdr:nvSpPr>
      <xdr:spPr>
        <a:xfrm>
          <a:off x="7025038" y="11388858"/>
          <a:ext cx="9600195" cy="378990"/>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Sanitation Facilities 			                                                         Sanitation services</a:t>
          </a:r>
          <a:endParaRPr lang="en-US" sz="1400">
            <a:solidFill>
              <a:schemeClr val="bg1"/>
            </a:solidFill>
            <a:effectLst/>
          </a:endParaRPr>
        </a:p>
      </xdr:txBody>
    </xdr:sp>
    <xdr:clientData/>
  </xdr:twoCellAnchor>
  <xdr:twoCellAnchor>
    <xdr:from>
      <xdr:col>7</xdr:col>
      <xdr:colOff>124715</xdr:colOff>
      <xdr:row>87</xdr:row>
      <xdr:rowOff>78450</xdr:rowOff>
    </xdr:from>
    <xdr:to>
      <xdr:col>20</xdr:col>
      <xdr:colOff>284576</xdr:colOff>
      <xdr:row>89</xdr:row>
      <xdr:rowOff>47335</xdr:rowOff>
    </xdr:to>
    <xdr:sp macro="" textlink="">
      <xdr:nvSpPr>
        <xdr:cNvPr id="20" name="TextBox 45">
          <a:extLst>
            <a:ext uri="{FF2B5EF4-FFF2-40B4-BE49-F238E27FC236}">
              <a16:creationId xmlns:a16="http://schemas.microsoft.com/office/drawing/2014/main" id="{00000000-0008-0000-0B00-000014000000}"/>
            </a:ext>
          </a:extLst>
        </xdr:cNvPr>
        <xdr:cNvSpPr txBox="1"/>
      </xdr:nvSpPr>
      <xdr:spPr>
        <a:xfrm>
          <a:off x="7025048" y="17276367"/>
          <a:ext cx="9600195" cy="371051"/>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Hygiene Items </a:t>
          </a:r>
          <a:r>
            <a:rPr lang="en-US" sz="1200" b="1" i="0" baseline="0">
              <a:solidFill>
                <a:schemeClr val="bg1"/>
              </a:solidFill>
              <a:effectLst/>
              <a:latin typeface="+mn-lt"/>
              <a:ea typeface="+mn-ea"/>
              <a:cs typeface="+mn-cs"/>
            </a:rPr>
            <a:t>			                                      </a:t>
          </a:r>
          <a:endParaRPr lang="en-US" sz="1200">
            <a:solidFill>
              <a:schemeClr val="bg1"/>
            </a:solidFill>
            <a:effectLst/>
          </a:endParaRPr>
        </a:p>
      </xdr:txBody>
    </xdr:sp>
    <xdr:clientData/>
  </xdr:twoCellAnchor>
  <xdr:twoCellAnchor>
    <xdr:from>
      <xdr:col>7</xdr:col>
      <xdr:colOff>95629</xdr:colOff>
      <xdr:row>102</xdr:row>
      <xdr:rowOff>94596</xdr:rowOff>
    </xdr:from>
    <xdr:to>
      <xdr:col>14</xdr:col>
      <xdr:colOff>242271</xdr:colOff>
      <xdr:row>113</xdr:row>
      <xdr:rowOff>190504</xdr:rowOff>
    </xdr:to>
    <xdr:graphicFrame macro="">
      <xdr:nvGraphicFramePr>
        <xdr:cNvPr id="22" name="Chart 21">
          <a:extLst>
            <a:ext uri="{FF2B5EF4-FFF2-40B4-BE49-F238E27FC236}">
              <a16:creationId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576601</xdr:colOff>
      <xdr:row>17</xdr:row>
      <xdr:rowOff>100637</xdr:rowOff>
    </xdr:from>
    <xdr:to>
      <xdr:col>20</xdr:col>
      <xdr:colOff>233303</xdr:colOff>
      <xdr:row>33</xdr:row>
      <xdr:rowOff>29517</xdr:rowOff>
    </xdr:to>
    <xdr:graphicFrame macro="">
      <xdr:nvGraphicFramePr>
        <xdr:cNvPr id="23" name="Chart 22">
          <a:extLst>
            <a:ext uri="{FF2B5EF4-FFF2-40B4-BE49-F238E27FC236}">
              <a16:creationId xmlns:a16="http://schemas.microsoft.com/office/drawing/2014/main" id="{00000000-0008-0000-0B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571501</xdr:colOff>
      <xdr:row>33</xdr:row>
      <xdr:rowOff>60160</xdr:rowOff>
    </xdr:from>
    <xdr:to>
      <xdr:col>20</xdr:col>
      <xdr:colOff>228203</xdr:colOff>
      <xdr:row>47</xdr:row>
      <xdr:rowOff>48571</xdr:rowOff>
    </xdr:to>
    <xdr:graphicFrame macro="">
      <xdr:nvGraphicFramePr>
        <xdr:cNvPr id="26" name="Chart 25">
          <a:extLst>
            <a:ext uri="{FF2B5EF4-FFF2-40B4-BE49-F238E27FC236}">
              <a16:creationId xmlns:a16="http://schemas.microsoft.com/office/drawing/2014/main" id="{9F4A8154-9F7E-400D-BCB3-ED89B0338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83344</xdr:colOff>
      <xdr:row>92</xdr:row>
      <xdr:rowOff>51796</xdr:rowOff>
    </xdr:from>
    <xdr:to>
      <xdr:col>6</xdr:col>
      <xdr:colOff>905457</xdr:colOff>
      <xdr:row>100</xdr:row>
      <xdr:rowOff>180490</xdr:rowOff>
    </xdr:to>
    <xdr:graphicFrame macro="">
      <xdr:nvGraphicFramePr>
        <xdr:cNvPr id="30" name="Chart 29">
          <a:extLst>
            <a:ext uri="{FF2B5EF4-FFF2-40B4-BE49-F238E27FC236}">
              <a16:creationId xmlns:a16="http://schemas.microsoft.com/office/drawing/2014/main" id="{BBE09ED4-ABD2-431B-A21A-0D3C01CFB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359833</xdr:colOff>
      <xdr:row>102</xdr:row>
      <xdr:rowOff>98343</xdr:rowOff>
    </xdr:from>
    <xdr:to>
      <xdr:col>20</xdr:col>
      <xdr:colOff>285750</xdr:colOff>
      <xdr:row>113</xdr:row>
      <xdr:rowOff>200760</xdr:rowOff>
    </xdr:to>
    <xdr:graphicFrame macro="">
      <xdr:nvGraphicFramePr>
        <xdr:cNvPr id="33" name="Chart 32">
          <a:extLst>
            <a:ext uri="{FF2B5EF4-FFF2-40B4-BE49-F238E27FC236}">
              <a16:creationId xmlns:a16="http://schemas.microsoft.com/office/drawing/2014/main" id="{B91C91C2-4F4D-4B12-9532-6EFD76AF70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79375</xdr:colOff>
      <xdr:row>1</xdr:row>
      <xdr:rowOff>29766</xdr:rowOff>
    </xdr:from>
    <xdr:to>
      <xdr:col>20</xdr:col>
      <xdr:colOff>287734</xdr:colOff>
      <xdr:row>2</xdr:row>
      <xdr:rowOff>128985</xdr:rowOff>
    </xdr:to>
    <xdr:sp macro="" textlink="">
      <xdr:nvSpPr>
        <xdr:cNvPr id="34" name="Rectangle 33">
          <a:extLst>
            <a:ext uri="{FF2B5EF4-FFF2-40B4-BE49-F238E27FC236}">
              <a16:creationId xmlns:a16="http://schemas.microsoft.com/office/drawing/2014/main" id="{F2514196-0B9B-416C-988E-BA525F05CCF8}"/>
            </a:ext>
          </a:extLst>
        </xdr:cNvPr>
        <xdr:cNvSpPr/>
      </xdr:nvSpPr>
      <xdr:spPr>
        <a:xfrm>
          <a:off x="6816328" y="476250"/>
          <a:ext cx="9832578" cy="257969"/>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t>AAP</a:t>
          </a:r>
        </a:p>
      </xdr:txBody>
    </xdr:sp>
    <xdr:clientData/>
  </xdr:twoCellAnchor>
  <xdr:twoCellAnchor>
    <xdr:from>
      <xdr:col>7</xdr:col>
      <xdr:colOff>99220</xdr:colOff>
      <xdr:row>3</xdr:row>
      <xdr:rowOff>0</xdr:rowOff>
    </xdr:from>
    <xdr:to>
      <xdr:col>17</xdr:col>
      <xdr:colOff>10584</xdr:colOff>
      <xdr:row>17</xdr:row>
      <xdr:rowOff>105833</xdr:rowOff>
    </xdr:to>
    <xdr:sp macro="" textlink="">
      <xdr:nvSpPr>
        <xdr:cNvPr id="28" name="Rectangle 27">
          <a:extLst>
            <a:ext uri="{FF2B5EF4-FFF2-40B4-BE49-F238E27FC236}">
              <a16:creationId xmlns:a16="http://schemas.microsoft.com/office/drawing/2014/main" id="{E3F5F1BE-1DC6-4AB4-9187-BF1C9A8F72BF}"/>
            </a:ext>
          </a:extLst>
        </xdr:cNvPr>
        <xdr:cNvSpPr/>
      </xdr:nvSpPr>
      <xdr:spPr>
        <a:xfrm>
          <a:off x="6999553" y="730250"/>
          <a:ext cx="7404364" cy="2328333"/>
        </a:xfrm>
        <a:prstGeom prst="rect">
          <a:avLst/>
        </a:prstGeom>
        <a:solidFill>
          <a:schemeClr val="bg1">
            <a:lumMod val="6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US" sz="1300">
              <a:solidFill>
                <a:sysClr val="windowText" lastClr="000000"/>
              </a:solidFill>
            </a:rPr>
            <a:t>The Rakhine WASH Cluster team conducted 13 field</a:t>
          </a:r>
          <a:r>
            <a:rPr lang="en-US" sz="1300" baseline="0">
              <a:solidFill>
                <a:sysClr val="windowText" lastClr="000000"/>
              </a:solidFill>
            </a:rPr>
            <a:t> visits to our targeted areas including technical monitoring and segmented community feedback sessions. 92% of affected people reported they feel informed of WASH services available to them and 85% reported they feel comfortable to make suggestions and ask questions about WASH to their service provider.</a:t>
          </a:r>
        </a:p>
        <a:p>
          <a:pPr algn="l"/>
          <a:endParaRPr lang="en-US" sz="1300" baseline="0">
            <a:solidFill>
              <a:sysClr val="windowText" lastClr="000000"/>
            </a:solidFill>
          </a:endParaRPr>
        </a:p>
        <a:p>
          <a:pPr algn="l"/>
          <a:r>
            <a:rPr lang="en-US" sz="1300" baseline="0">
              <a:solidFill>
                <a:sysClr val="windowText" lastClr="000000"/>
              </a:solidFill>
            </a:rPr>
            <a:t>Some of the key issues received through feedback on water includes that the flowrate of water has decreased in the summer so the communities asked whether that can be resolved with additional water points. In some sites, the community prioritized easy access followed by reducing distance from shelters to water points as their key priorities. Some sites report the latrine emptying to be insufficient. As for hygiene, women and girls report that the quantity of sanitary pads distributed is insuficcient and requested additional tools for environmental cleaning campaigns. </a:t>
          </a:r>
          <a:endParaRPr lang="en-US" sz="1300">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300">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300">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300">
            <a:solidFill>
              <a:sysClr val="windowText" lastClr="000000"/>
            </a:solidFill>
            <a:effectLst/>
          </a:endParaRPr>
        </a:p>
        <a:p>
          <a:pPr algn="l"/>
          <a:endParaRPr lang="en-US" sz="1300">
            <a:solidFill>
              <a:sysClr val="windowText" lastClr="000000"/>
            </a:solidFill>
          </a:endParaRPr>
        </a:p>
      </xdr:txBody>
    </xdr:sp>
    <xdr:clientData/>
  </xdr:twoCellAnchor>
  <xdr:twoCellAnchor>
    <xdr:from>
      <xdr:col>17</xdr:col>
      <xdr:colOff>128984</xdr:colOff>
      <xdr:row>2</xdr:row>
      <xdr:rowOff>148829</xdr:rowOff>
    </xdr:from>
    <xdr:to>
      <xdr:col>20</xdr:col>
      <xdr:colOff>297656</xdr:colOff>
      <xdr:row>15</xdr:row>
      <xdr:rowOff>109140</xdr:rowOff>
    </xdr:to>
    <xdr:graphicFrame macro="">
      <xdr:nvGraphicFramePr>
        <xdr:cNvPr id="36" name="Chart 35">
          <a:extLst>
            <a:ext uri="{FF2B5EF4-FFF2-40B4-BE49-F238E27FC236}">
              <a16:creationId xmlns:a16="http://schemas.microsoft.com/office/drawing/2014/main" id="{EB0C1A76-6997-40A1-B212-B133368BC6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93264</xdr:colOff>
      <xdr:row>101</xdr:row>
      <xdr:rowOff>62178</xdr:rowOff>
    </xdr:from>
    <xdr:to>
      <xdr:col>7</xdr:col>
      <xdr:colOff>5211</xdr:colOff>
      <xdr:row>104</xdr:row>
      <xdr:rowOff>7401</xdr:rowOff>
    </xdr:to>
    <xdr:sp macro="" textlink="">
      <xdr:nvSpPr>
        <xdr:cNvPr id="35" name="Rectangle 34">
          <a:extLst>
            <a:ext uri="{FF2B5EF4-FFF2-40B4-BE49-F238E27FC236}">
              <a16:creationId xmlns:a16="http://schemas.microsoft.com/office/drawing/2014/main" id="{EC76F521-A72D-48BC-A1A3-5C5B3E2806B0}"/>
            </a:ext>
          </a:extLst>
        </xdr:cNvPr>
        <xdr:cNvSpPr/>
      </xdr:nvSpPr>
      <xdr:spPr>
        <a:xfrm>
          <a:off x="93264" y="20022345"/>
          <a:ext cx="6812280" cy="548473"/>
        </a:xfrm>
        <a:prstGeom prst="rect">
          <a:avLst/>
        </a:prstGeom>
        <a:ln>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400" b="1" i="0" u="none" strike="noStrike">
              <a:solidFill>
                <a:schemeClr val="bg1">
                  <a:lumMod val="50000"/>
                </a:schemeClr>
              </a:solidFill>
              <a:effectLst/>
              <a:latin typeface="+mn-lt"/>
              <a:ea typeface="+mn-ea"/>
              <a:cs typeface="+mn-cs"/>
            </a:rPr>
            <a:t>DONORS: </a:t>
          </a:r>
          <a:r>
            <a:rPr lang="en-US" sz="1400" b="0" i="0" u="none" strike="noStrike">
              <a:solidFill>
                <a:schemeClr val="bg1">
                  <a:lumMod val="50000"/>
                </a:schemeClr>
              </a:solidFill>
              <a:effectLst/>
              <a:latin typeface="+mn-lt"/>
              <a:ea typeface="+mn-ea"/>
              <a:cs typeface="+mn-cs"/>
            </a:rPr>
            <a:t>HARP, UNICEF, MHF, OFDA, BMZ, IOM, FFO, ECHO, German Humanitarain Assistance (AA), GIZ    </a:t>
          </a:r>
          <a:r>
            <a:rPr lang="en-US" sz="1400">
              <a:solidFill>
                <a:schemeClr val="bg1">
                  <a:lumMod val="50000"/>
                </a:schemeClr>
              </a:solidFill>
            </a:rPr>
            <a:t> </a:t>
          </a:r>
        </a:p>
      </xdr:txBody>
    </xdr:sp>
    <xdr:clientData/>
  </xdr:twoCellAnchor>
  <xdr:twoCellAnchor>
    <xdr:from>
      <xdr:col>12</xdr:col>
      <xdr:colOff>496093</xdr:colOff>
      <xdr:row>39</xdr:row>
      <xdr:rowOff>9922</xdr:rowOff>
    </xdr:from>
    <xdr:to>
      <xdr:col>13</xdr:col>
      <xdr:colOff>855266</xdr:colOff>
      <xdr:row>40</xdr:row>
      <xdr:rowOff>184547</xdr:rowOff>
    </xdr:to>
    <xdr:sp macro="" textlink="">
      <xdr:nvSpPr>
        <xdr:cNvPr id="37" name="Rectangle 36">
          <a:extLst>
            <a:ext uri="{FF2B5EF4-FFF2-40B4-BE49-F238E27FC236}">
              <a16:creationId xmlns:a16="http://schemas.microsoft.com/office/drawing/2014/main" id="{8E6CEB00-9A13-40DE-AA14-0FC33D304CEE}"/>
            </a:ext>
          </a:extLst>
        </xdr:cNvPr>
        <xdr:cNvSpPr/>
      </xdr:nvSpPr>
      <xdr:spPr>
        <a:xfrm>
          <a:off x="11013281" y="6449219"/>
          <a:ext cx="964407"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rgbClr val="0070C0"/>
              </a:solidFill>
            </a:rPr>
            <a:t>+5,473</a:t>
          </a:r>
        </a:p>
      </xdr:txBody>
    </xdr:sp>
    <xdr:clientData/>
  </xdr:twoCellAnchor>
  <xdr:twoCellAnchor>
    <xdr:from>
      <xdr:col>14</xdr:col>
      <xdr:colOff>359833</xdr:colOff>
      <xdr:row>89</xdr:row>
      <xdr:rowOff>63502</xdr:rowOff>
    </xdr:from>
    <xdr:to>
      <xdr:col>20</xdr:col>
      <xdr:colOff>285750</xdr:colOff>
      <xdr:row>102</xdr:row>
      <xdr:rowOff>13123</xdr:rowOff>
    </xdr:to>
    <xdr:graphicFrame macro="">
      <xdr:nvGraphicFramePr>
        <xdr:cNvPr id="38" name="Chart 37">
          <a:extLst>
            <a:ext uri="{FF2B5EF4-FFF2-40B4-BE49-F238E27FC236}">
              <a16:creationId xmlns:a16="http://schemas.microsoft.com/office/drawing/2014/main" id="{C474ABDB-78BA-465B-99D8-615521B66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160276</xdr:colOff>
      <xdr:row>49</xdr:row>
      <xdr:rowOff>201083</xdr:rowOff>
    </xdr:from>
    <xdr:to>
      <xdr:col>21</xdr:col>
      <xdr:colOff>0</xdr:colOff>
      <xdr:row>60</xdr:row>
      <xdr:rowOff>179915</xdr:rowOff>
    </xdr:to>
    <xdr:grpSp>
      <xdr:nvGrpSpPr>
        <xdr:cNvPr id="2" name="Group 1">
          <a:extLst>
            <a:ext uri="{FF2B5EF4-FFF2-40B4-BE49-F238E27FC236}">
              <a16:creationId xmlns:a16="http://schemas.microsoft.com/office/drawing/2014/main" id="{E1D41DDC-7DCE-467E-AECE-A7E3BF7F1AA5}"/>
            </a:ext>
          </a:extLst>
        </xdr:cNvPr>
        <xdr:cNvGrpSpPr/>
      </xdr:nvGrpSpPr>
      <xdr:grpSpPr>
        <a:xfrm>
          <a:off x="7060609" y="8498416"/>
          <a:ext cx="9618724" cy="2476499"/>
          <a:chOff x="7060609" y="8498416"/>
          <a:chExt cx="9618724" cy="2984499"/>
        </a:xfrm>
      </xdr:grpSpPr>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7060609" y="8508343"/>
          <a:ext cx="2972391" cy="2974572"/>
        </xdr:xfrm>
        <a:graphic>
          <a:graphicData uri="http://schemas.openxmlformats.org/drawingml/2006/chart">
            <c:chart xmlns:c="http://schemas.openxmlformats.org/drawingml/2006/chart" xmlns:r="http://schemas.openxmlformats.org/officeDocument/2006/relationships" r:id="rId18"/>
          </a:graphicData>
        </a:graphic>
      </xdr:graphicFrame>
      <xdr:graphicFrame macro="">
        <xdr:nvGraphicFramePr>
          <xdr:cNvPr id="39" name="Chart 38">
            <a:extLst>
              <a:ext uri="{FF2B5EF4-FFF2-40B4-BE49-F238E27FC236}">
                <a16:creationId xmlns:a16="http://schemas.microsoft.com/office/drawing/2014/main" id="{5573FE29-E84C-4623-B5F8-0E943A0F0AC5}"/>
              </a:ext>
            </a:extLst>
          </xdr:cNvPr>
          <xdr:cNvGraphicFramePr>
            <a:graphicFrameLocks/>
          </xdr:cNvGraphicFramePr>
        </xdr:nvGraphicFramePr>
        <xdr:xfrm>
          <a:off x="10043583" y="8498416"/>
          <a:ext cx="3291840" cy="2977557"/>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40" name="Chart 39">
            <a:extLst>
              <a:ext uri="{FF2B5EF4-FFF2-40B4-BE49-F238E27FC236}">
                <a16:creationId xmlns:a16="http://schemas.microsoft.com/office/drawing/2014/main" id="{18AB4917-03DF-41E0-832B-B5C64EFBF74C}"/>
              </a:ext>
            </a:extLst>
          </xdr:cNvPr>
          <xdr:cNvGraphicFramePr>
            <a:graphicFrameLocks/>
          </xdr:cNvGraphicFramePr>
        </xdr:nvGraphicFramePr>
        <xdr:xfrm>
          <a:off x="11546416" y="9747250"/>
          <a:ext cx="1809751" cy="1703916"/>
        </xdr:xfrm>
        <a:graphic>
          <a:graphicData uri="http://schemas.openxmlformats.org/drawingml/2006/chart">
            <c:chart xmlns:c="http://schemas.openxmlformats.org/drawingml/2006/chart" xmlns:r="http://schemas.openxmlformats.org/officeDocument/2006/relationships" r:id="rId20"/>
          </a:graphicData>
        </a:graphic>
      </xdr:graphicFrame>
      <xdr:graphicFrame macro="">
        <xdr:nvGraphicFramePr>
          <xdr:cNvPr id="41" name="Chart 40">
            <a:extLst>
              <a:ext uri="{FF2B5EF4-FFF2-40B4-BE49-F238E27FC236}">
                <a16:creationId xmlns:a16="http://schemas.microsoft.com/office/drawing/2014/main" id="{32066DA3-7201-47E9-9D79-036BB43D17C6}"/>
              </a:ext>
            </a:extLst>
          </xdr:cNvPr>
          <xdr:cNvGraphicFramePr>
            <a:graphicFrameLocks/>
          </xdr:cNvGraphicFramePr>
        </xdr:nvGraphicFramePr>
        <xdr:xfrm>
          <a:off x="13366749" y="8498416"/>
          <a:ext cx="3291840" cy="2977557"/>
        </xdr:xfrm>
        <a:graphic>
          <a:graphicData uri="http://schemas.openxmlformats.org/drawingml/2006/chart">
            <c:chart xmlns:c="http://schemas.openxmlformats.org/drawingml/2006/chart" xmlns:r="http://schemas.openxmlformats.org/officeDocument/2006/relationships" r:id="rId21"/>
          </a:graphicData>
        </a:graphic>
      </xdr:graphicFrame>
      <xdr:graphicFrame macro="">
        <xdr:nvGraphicFramePr>
          <xdr:cNvPr id="42" name="Chart 41">
            <a:extLst>
              <a:ext uri="{FF2B5EF4-FFF2-40B4-BE49-F238E27FC236}">
                <a16:creationId xmlns:a16="http://schemas.microsoft.com/office/drawing/2014/main" id="{B6E772F4-72D1-4D1C-93DC-5832D03E5BC2}"/>
              </a:ext>
            </a:extLst>
          </xdr:cNvPr>
          <xdr:cNvGraphicFramePr>
            <a:graphicFrameLocks/>
          </xdr:cNvGraphicFramePr>
        </xdr:nvGraphicFramePr>
        <xdr:xfrm>
          <a:off x="14901333" y="9726083"/>
          <a:ext cx="1778000" cy="1746249"/>
        </xdr:xfrm>
        <a:graphic>
          <a:graphicData uri="http://schemas.openxmlformats.org/drawingml/2006/chart">
            <c:chart xmlns:c="http://schemas.openxmlformats.org/drawingml/2006/chart" xmlns:r="http://schemas.openxmlformats.org/officeDocument/2006/relationships" r:id="rId22"/>
          </a:graphicData>
        </a:graphic>
      </xdr:graphicFrame>
      <xdr:cxnSp macro="">
        <xdr:nvCxnSpPr>
          <xdr:cNvPr id="43" name="Connector: Elbow 42">
            <a:extLst>
              <a:ext uri="{FF2B5EF4-FFF2-40B4-BE49-F238E27FC236}">
                <a16:creationId xmlns:a16="http://schemas.microsoft.com/office/drawing/2014/main" id="{0A1B0AF1-FDEE-4B61-BF75-6B7CD18AA3F3}"/>
              </a:ext>
            </a:extLst>
          </xdr:cNvPr>
          <xdr:cNvCxnSpPr/>
        </xdr:nvCxnSpPr>
        <xdr:spPr>
          <a:xfrm>
            <a:off x="11038416" y="9477375"/>
            <a:ext cx="1443036" cy="241299"/>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nector: Elbow 43">
            <a:extLst>
              <a:ext uri="{FF2B5EF4-FFF2-40B4-BE49-F238E27FC236}">
                <a16:creationId xmlns:a16="http://schemas.microsoft.com/office/drawing/2014/main" id="{B7D7B9D2-3BF7-4609-9AD4-4A44BA779229}"/>
              </a:ext>
            </a:extLst>
          </xdr:cNvPr>
          <xdr:cNvCxnSpPr/>
        </xdr:nvCxnSpPr>
        <xdr:spPr>
          <a:xfrm>
            <a:off x="14351000" y="9472083"/>
            <a:ext cx="1443036" cy="19367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95249</xdr:colOff>
      <xdr:row>83</xdr:row>
      <xdr:rowOff>74093</xdr:rowOff>
    </xdr:from>
    <xdr:to>
      <xdr:col>7</xdr:col>
      <xdr:colOff>10583</xdr:colOff>
      <xdr:row>92</xdr:row>
      <xdr:rowOff>1703</xdr:rowOff>
    </xdr:to>
    <xdr:graphicFrame macro="">
      <xdr:nvGraphicFramePr>
        <xdr:cNvPr id="45" name="Chart 44">
          <a:extLst>
            <a:ext uri="{FF2B5EF4-FFF2-40B4-BE49-F238E27FC236}">
              <a16:creationId xmlns:a16="http://schemas.microsoft.com/office/drawing/2014/main" id="{D6D89838-4F67-4E65-BCEC-4074A99F6D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1</xdr:colOff>
      <xdr:row>1</xdr:row>
      <xdr:rowOff>52916</xdr:rowOff>
    </xdr:from>
    <xdr:to>
      <xdr:col>7</xdr:col>
      <xdr:colOff>31750</xdr:colOff>
      <xdr:row>55</xdr:row>
      <xdr:rowOff>10583</xdr:rowOff>
    </xdr:to>
    <xdr:pic>
      <xdr:nvPicPr>
        <xdr:cNvPr id="9" name="Picture 8">
          <a:extLst>
            <a:ext uri="{FF2B5EF4-FFF2-40B4-BE49-F238E27FC236}">
              <a16:creationId xmlns:a16="http://schemas.microsoft.com/office/drawing/2014/main" id="{8BE0C044-769B-4E5F-AD82-C2BF62E35D3E}"/>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05834" y="465666"/>
          <a:ext cx="6826249" cy="900641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13</xdr:col>
      <xdr:colOff>317500</xdr:colOff>
      <xdr:row>3</xdr:row>
      <xdr:rowOff>32845</xdr:rowOff>
    </xdr:from>
    <xdr:to>
      <xdr:col>18</xdr:col>
      <xdr:colOff>481724</xdr:colOff>
      <xdr:row>15</xdr:row>
      <xdr:rowOff>131378</xdr:rowOff>
    </xdr:to>
    <xdr:sp macro="" textlink="">
      <xdr:nvSpPr>
        <xdr:cNvPr id="28" name="Rectangle 27">
          <a:extLst>
            <a:ext uri="{FF2B5EF4-FFF2-40B4-BE49-F238E27FC236}">
              <a16:creationId xmlns:a16="http://schemas.microsoft.com/office/drawing/2014/main" id="{0E56EF32-7BE3-47B4-AB26-3D2F5EA3051C}"/>
            </a:ext>
          </a:extLst>
        </xdr:cNvPr>
        <xdr:cNvSpPr/>
      </xdr:nvSpPr>
      <xdr:spPr>
        <a:xfrm>
          <a:off x="11835086" y="963448"/>
          <a:ext cx="5222328" cy="222249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600">
              <a:solidFill>
                <a:schemeClr val="tx1"/>
              </a:solidFill>
            </a:rPr>
            <a:t>WASH Cluster</a:t>
          </a:r>
          <a:r>
            <a:rPr lang="en-US" sz="1600" baseline="0">
              <a:solidFill>
                <a:schemeClr val="tx1"/>
              </a:solidFill>
            </a:rPr>
            <a:t> conducted 13</a:t>
          </a:r>
        </a:p>
        <a:p>
          <a:pPr algn="l"/>
          <a:r>
            <a:rPr lang="en-US" sz="1600" baseline="0">
              <a:solidFill>
                <a:schemeClr val="tx1"/>
              </a:solidFill>
            </a:rPr>
            <a:t>emergency joint assessment </a:t>
          </a:r>
        </a:p>
        <a:p>
          <a:pPr algn="l"/>
          <a:r>
            <a:rPr lang="en-US" sz="1600" baseline="0">
              <a:solidFill>
                <a:schemeClr val="tx1"/>
              </a:solidFill>
            </a:rPr>
            <a:t>with OCHA and UNHCR.</a:t>
          </a:r>
          <a:endParaRPr lang="en-US" sz="1600">
            <a:solidFill>
              <a:schemeClr val="tx1"/>
            </a:solidFill>
          </a:endParaRPr>
        </a:p>
      </xdr:txBody>
    </xdr:sp>
    <xdr:clientData/>
  </xdr:twoCellAnchor>
  <xdr:twoCellAnchor>
    <xdr:from>
      <xdr:col>0</xdr:col>
      <xdr:colOff>79177</xdr:colOff>
      <xdr:row>87</xdr:row>
      <xdr:rowOff>181127</xdr:rowOff>
    </xdr:from>
    <xdr:to>
      <xdr:col>7</xdr:col>
      <xdr:colOff>17128</xdr:colOff>
      <xdr:row>91</xdr:row>
      <xdr:rowOff>32843</xdr:rowOff>
    </xdr:to>
    <xdr:sp macro="" textlink="">
      <xdr:nvSpPr>
        <xdr:cNvPr id="4" name="Rectangle 3">
          <a:extLst>
            <a:ext uri="{FF2B5EF4-FFF2-40B4-BE49-F238E27FC236}">
              <a16:creationId xmlns:a16="http://schemas.microsoft.com/office/drawing/2014/main" id="{00000000-0008-0000-0C00-000004000000}"/>
            </a:ext>
          </a:extLst>
        </xdr:cNvPr>
        <xdr:cNvSpPr/>
      </xdr:nvSpPr>
      <xdr:spPr>
        <a:xfrm>
          <a:off x="79177" y="19110696"/>
          <a:ext cx="7415623" cy="639992"/>
        </a:xfrm>
        <a:prstGeom prst="rect">
          <a:avLst/>
        </a:prstGeom>
        <a:ln>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a:solidFill>
                <a:schemeClr val="bg1">
                  <a:lumMod val="50000"/>
                </a:schemeClr>
              </a:solidFill>
              <a:effectLst/>
              <a:latin typeface="+mn-lt"/>
              <a:ea typeface="+mn-ea"/>
              <a:cs typeface="+mn-cs"/>
            </a:rPr>
            <a:t>DONORS: </a:t>
          </a:r>
          <a:r>
            <a:rPr kumimoji="0" lang="en-US" sz="1400" b="0" i="0" u="none" strike="noStrike" kern="0" cap="none" spc="0" normalizeH="0" baseline="0" noProof="0">
              <a:ln>
                <a:noFill/>
              </a:ln>
              <a:solidFill>
                <a:prstClr val="white">
                  <a:lumMod val="50000"/>
                </a:prstClr>
              </a:solidFill>
              <a:effectLst/>
              <a:uLnTx/>
              <a:uFillTx/>
              <a:latin typeface="+mn-lt"/>
              <a:ea typeface="+mn-ea"/>
              <a:cs typeface="+mn-cs"/>
            </a:rPr>
            <a:t>CIDA, DFID, ECHO, GFFO, HARP, Irish Aid, LDS , MHF, MoFA Lux, UNICEF, WHH-BMZ, AA (Caritas), SANYA, FFO, USAID, OFDA</a:t>
          </a:r>
        </a:p>
      </xdr:txBody>
    </xdr:sp>
    <xdr:clientData/>
  </xdr:twoCellAnchor>
  <xdr:twoCellAnchor>
    <xdr:from>
      <xdr:col>1</xdr:col>
      <xdr:colOff>7094</xdr:colOff>
      <xdr:row>91</xdr:row>
      <xdr:rowOff>116658</xdr:rowOff>
    </xdr:from>
    <xdr:to>
      <xdr:col>7</xdr:col>
      <xdr:colOff>26688</xdr:colOff>
      <xdr:row>104</xdr:row>
      <xdr:rowOff>120431</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91761" y="19875741"/>
          <a:ext cx="7406760" cy="2617857"/>
          <a:chOff x="9960463" y="4190884"/>
          <a:chExt cx="5602819" cy="1812925"/>
        </a:xfrm>
      </xdr:grpSpPr>
      <xdr:graphicFrame macro="">
        <xdr:nvGraphicFramePr>
          <xdr:cNvPr id="8" name="Chart 7">
            <a:extLst>
              <a:ext uri="{FF2B5EF4-FFF2-40B4-BE49-F238E27FC236}">
                <a16:creationId xmlns:a16="http://schemas.microsoft.com/office/drawing/2014/main" id="{00000000-0008-0000-0C00-000008000000}"/>
              </a:ext>
            </a:extLst>
          </xdr:cNvPr>
          <xdr:cNvGraphicFramePr>
            <a:graphicFrameLocks/>
          </xdr:cNvGraphicFramePr>
        </xdr:nvGraphicFramePr>
        <xdr:xfrm>
          <a:off x="9960463" y="4190884"/>
          <a:ext cx="5602819" cy="18129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9" name="TextBox 8">
            <a:hlinkClick xmlns:r="http://schemas.openxmlformats.org/officeDocument/2006/relationships" r:id="rId2"/>
            <a:extLst>
              <a:ext uri="{FF2B5EF4-FFF2-40B4-BE49-F238E27FC236}">
                <a16:creationId xmlns:a16="http://schemas.microsoft.com/office/drawing/2014/main" id="{00000000-0008-0000-0C00-000009000000}"/>
              </a:ext>
            </a:extLst>
          </xdr:cNvPr>
          <xdr:cNvSpPr txBox="1"/>
        </xdr:nvSpPr>
        <xdr:spPr>
          <a:xfrm>
            <a:off x="14706184" y="4239478"/>
            <a:ext cx="790019" cy="356008"/>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More</a:t>
            </a:r>
            <a:r>
              <a:rPr lang="en-US" sz="1100" b="1" baseline="0">
                <a:solidFill>
                  <a:schemeClr val="bg1"/>
                </a:solidFill>
              </a:rPr>
              <a:t> info on gaps </a:t>
            </a:r>
            <a:r>
              <a:rPr lang="en-US" sz="800" b="1" baseline="0">
                <a:solidFill>
                  <a:schemeClr val="bg1"/>
                </a:solidFill>
              </a:rPr>
              <a:t>(click here)</a:t>
            </a:r>
            <a:endParaRPr lang="en-US" sz="800" b="1">
              <a:solidFill>
                <a:schemeClr val="bg1"/>
              </a:solidFill>
            </a:endParaRPr>
          </a:p>
        </xdr:txBody>
      </xdr:sp>
    </xdr:grpSp>
    <xdr:clientData/>
  </xdr:twoCellAnchor>
  <xdr:twoCellAnchor>
    <xdr:from>
      <xdr:col>7</xdr:col>
      <xdr:colOff>143110</xdr:colOff>
      <xdr:row>16</xdr:row>
      <xdr:rowOff>100486</xdr:rowOff>
    </xdr:from>
    <xdr:to>
      <xdr:col>13</xdr:col>
      <xdr:colOff>766636</xdr:colOff>
      <xdr:row>33</xdr:row>
      <xdr:rowOff>152863</xdr:rowOff>
    </xdr:to>
    <xdr:graphicFrame macro="">
      <xdr:nvGraphicFramePr>
        <xdr:cNvPr id="10" name="Chart 9">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11573</xdr:colOff>
      <xdr:row>49</xdr:row>
      <xdr:rowOff>85290</xdr:rowOff>
    </xdr:from>
    <xdr:to>
      <xdr:col>18</xdr:col>
      <xdr:colOff>393711</xdr:colOff>
      <xdr:row>69</xdr:row>
      <xdr:rowOff>175173</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7631573" y="10954373"/>
          <a:ext cx="9335638" cy="4556050"/>
          <a:chOff x="7423557" y="10135656"/>
          <a:chExt cx="8830284" cy="4298234"/>
        </a:xfrm>
      </xdr:grpSpPr>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10203491" y="12289369"/>
          <a:ext cx="3034437" cy="2144521"/>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6" name="Chart 5">
            <a:extLst>
              <a:ext uri="{FF2B5EF4-FFF2-40B4-BE49-F238E27FC236}">
                <a16:creationId xmlns:a16="http://schemas.microsoft.com/office/drawing/2014/main" id="{00000000-0008-0000-0C00-000006000000}"/>
              </a:ext>
            </a:extLst>
          </xdr:cNvPr>
          <xdr:cNvGraphicFramePr>
            <a:graphicFrameLocks/>
          </xdr:cNvGraphicFramePr>
        </xdr:nvGraphicFramePr>
        <xdr:xfrm>
          <a:off x="13306218" y="12246509"/>
          <a:ext cx="2947623" cy="2140714"/>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1" name="Chart 10">
            <a:extLst>
              <a:ext uri="{FF2B5EF4-FFF2-40B4-BE49-F238E27FC236}">
                <a16:creationId xmlns:a16="http://schemas.microsoft.com/office/drawing/2014/main" id="{00000000-0008-0000-0C00-00000B000000}"/>
              </a:ext>
            </a:extLst>
          </xdr:cNvPr>
          <xdr:cNvGraphicFramePr>
            <a:graphicFrameLocks/>
          </xdr:cNvGraphicFramePr>
        </xdr:nvGraphicFramePr>
        <xdr:xfrm>
          <a:off x="7424569" y="10135656"/>
          <a:ext cx="2715991" cy="2011955"/>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2" name="Chart 11">
            <a:extLst>
              <a:ext uri="{FF2B5EF4-FFF2-40B4-BE49-F238E27FC236}">
                <a16:creationId xmlns:a16="http://schemas.microsoft.com/office/drawing/2014/main" id="{00000000-0008-0000-0C00-00000C000000}"/>
              </a:ext>
            </a:extLst>
          </xdr:cNvPr>
          <xdr:cNvGraphicFramePr>
            <a:graphicFrameLocks/>
          </xdr:cNvGraphicFramePr>
        </xdr:nvGraphicFramePr>
        <xdr:xfrm>
          <a:off x="7423557" y="12266919"/>
          <a:ext cx="2715991" cy="2140714"/>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3" name="Chart 12">
            <a:extLst>
              <a:ext uri="{FF2B5EF4-FFF2-40B4-BE49-F238E27FC236}">
                <a16:creationId xmlns:a16="http://schemas.microsoft.com/office/drawing/2014/main" id="{00000000-0008-0000-0C00-00000D000000}"/>
              </a:ext>
            </a:extLst>
          </xdr:cNvPr>
          <xdr:cNvGraphicFramePr>
            <a:graphicFrameLocks/>
          </xdr:cNvGraphicFramePr>
        </xdr:nvGraphicFramePr>
        <xdr:xfrm>
          <a:off x="10199278" y="10168458"/>
          <a:ext cx="3069745" cy="1979874"/>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8" name="Chart 17">
            <a:extLst>
              <a:ext uri="{FF2B5EF4-FFF2-40B4-BE49-F238E27FC236}">
                <a16:creationId xmlns:a16="http://schemas.microsoft.com/office/drawing/2014/main" id="{00000000-0008-0000-0C00-000012000000}"/>
              </a:ext>
            </a:extLst>
          </xdr:cNvPr>
          <xdr:cNvGraphicFramePr>
            <a:graphicFrameLocks/>
          </xdr:cNvGraphicFramePr>
        </xdr:nvGraphicFramePr>
        <xdr:xfrm>
          <a:off x="13295174" y="10148939"/>
          <a:ext cx="2949349" cy="1992349"/>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7</xdr:col>
      <xdr:colOff>130545</xdr:colOff>
      <xdr:row>34</xdr:row>
      <xdr:rowOff>80537</xdr:rowOff>
    </xdr:from>
    <xdr:to>
      <xdr:col>18</xdr:col>
      <xdr:colOff>450847</xdr:colOff>
      <xdr:row>35</xdr:row>
      <xdr:rowOff>300683</xdr:rowOff>
    </xdr:to>
    <xdr:sp macro="" textlink="">
      <xdr:nvSpPr>
        <xdr:cNvPr id="19" name="Rectangle 18">
          <a:extLst>
            <a:ext uri="{FF2B5EF4-FFF2-40B4-BE49-F238E27FC236}">
              <a16:creationId xmlns:a16="http://schemas.microsoft.com/office/drawing/2014/main" id="{00000000-0008-0000-0C00-000013000000}"/>
            </a:ext>
          </a:extLst>
        </xdr:cNvPr>
        <xdr:cNvSpPr/>
      </xdr:nvSpPr>
      <xdr:spPr>
        <a:xfrm>
          <a:off x="7608217" y="7196916"/>
          <a:ext cx="9418320" cy="461008"/>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Water Quantity                                                                                                                               Water Quality</a:t>
          </a:r>
        </a:p>
      </xdr:txBody>
    </xdr:sp>
    <xdr:clientData/>
  </xdr:twoCellAnchor>
  <xdr:twoCellAnchor>
    <xdr:from>
      <xdr:col>7</xdr:col>
      <xdr:colOff>150179</xdr:colOff>
      <xdr:row>48</xdr:row>
      <xdr:rowOff>39812</xdr:rowOff>
    </xdr:from>
    <xdr:to>
      <xdr:col>18</xdr:col>
      <xdr:colOff>379041</xdr:colOff>
      <xdr:row>49</xdr:row>
      <xdr:rowOff>54743</xdr:rowOff>
    </xdr:to>
    <xdr:sp macro="" textlink="">
      <xdr:nvSpPr>
        <xdr:cNvPr id="20" name="TextBox 19">
          <a:extLst>
            <a:ext uri="{FF2B5EF4-FFF2-40B4-BE49-F238E27FC236}">
              <a16:creationId xmlns:a16="http://schemas.microsoft.com/office/drawing/2014/main" id="{00000000-0008-0000-0C00-000014000000}"/>
            </a:ext>
          </a:extLst>
        </xdr:cNvPr>
        <xdr:cNvSpPr txBox="1"/>
      </xdr:nvSpPr>
      <xdr:spPr>
        <a:xfrm>
          <a:off x="7627851" y="10539209"/>
          <a:ext cx="9326880" cy="485706"/>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Sanitation Facilities 			                                               Sanitation services</a:t>
          </a:r>
          <a:endParaRPr lang="en-US" sz="1400">
            <a:solidFill>
              <a:schemeClr val="bg1"/>
            </a:solidFill>
            <a:effectLst/>
          </a:endParaRPr>
        </a:p>
      </xdr:txBody>
    </xdr:sp>
    <xdr:clientData/>
  </xdr:twoCellAnchor>
  <xdr:twoCellAnchor>
    <xdr:from>
      <xdr:col>7</xdr:col>
      <xdr:colOff>137331</xdr:colOff>
      <xdr:row>70</xdr:row>
      <xdr:rowOff>52688</xdr:rowOff>
    </xdr:from>
    <xdr:to>
      <xdr:col>18</xdr:col>
      <xdr:colOff>366193</xdr:colOff>
      <xdr:row>72</xdr:row>
      <xdr:rowOff>115750</xdr:rowOff>
    </xdr:to>
    <xdr:sp macro="" textlink="">
      <xdr:nvSpPr>
        <xdr:cNvPr id="21" name="TextBox 45">
          <a:extLst>
            <a:ext uri="{FF2B5EF4-FFF2-40B4-BE49-F238E27FC236}">
              <a16:creationId xmlns:a16="http://schemas.microsoft.com/office/drawing/2014/main" id="{00000000-0008-0000-0C00-000015000000}"/>
            </a:ext>
          </a:extLst>
        </xdr:cNvPr>
        <xdr:cNvSpPr txBox="1"/>
      </xdr:nvSpPr>
      <xdr:spPr>
        <a:xfrm>
          <a:off x="7615003" y="15632085"/>
          <a:ext cx="9326880" cy="457199"/>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Hygiene Items 			                                      </a:t>
          </a:r>
          <a:endParaRPr lang="en-US" sz="1400">
            <a:solidFill>
              <a:schemeClr val="bg1"/>
            </a:solidFill>
            <a:effectLst/>
          </a:endParaRPr>
        </a:p>
      </xdr:txBody>
    </xdr:sp>
    <xdr:clientData/>
  </xdr:twoCellAnchor>
  <xdr:twoCellAnchor>
    <xdr:from>
      <xdr:col>13</xdr:col>
      <xdr:colOff>832067</xdr:colOff>
      <xdr:row>16</xdr:row>
      <xdr:rowOff>109481</xdr:rowOff>
    </xdr:from>
    <xdr:to>
      <xdr:col>18</xdr:col>
      <xdr:colOff>437403</xdr:colOff>
      <xdr:row>33</xdr:row>
      <xdr:rowOff>164224</xdr:rowOff>
    </xdr:to>
    <xdr:graphicFrame macro="">
      <xdr:nvGraphicFramePr>
        <xdr:cNvPr id="27" name="Chart 26">
          <a:extLst>
            <a:ext uri="{FF2B5EF4-FFF2-40B4-BE49-F238E27FC236}">
              <a16:creationId xmlns:a16="http://schemas.microsoft.com/office/drawing/2014/main" id="{AFF0885A-0989-4A5E-9ED6-5239E71E02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86881</xdr:colOff>
      <xdr:row>74</xdr:row>
      <xdr:rowOff>185415</xdr:rowOff>
    </xdr:from>
    <xdr:to>
      <xdr:col>7</xdr:col>
      <xdr:colOff>32140</xdr:colOff>
      <xdr:row>87</xdr:row>
      <xdr:rowOff>112307</xdr:rowOff>
    </xdr:to>
    <xdr:graphicFrame macro="">
      <xdr:nvGraphicFramePr>
        <xdr:cNvPr id="31" name="Chart 30">
          <a:extLst>
            <a:ext uri="{FF2B5EF4-FFF2-40B4-BE49-F238E27FC236}">
              <a16:creationId xmlns:a16="http://schemas.microsoft.com/office/drawing/2014/main" id="{23FDA87D-7629-4889-A6FD-82581725EF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65690</xdr:colOff>
      <xdr:row>1</xdr:row>
      <xdr:rowOff>98535</xdr:rowOff>
    </xdr:from>
    <xdr:to>
      <xdr:col>7</xdr:col>
      <xdr:colOff>32845</xdr:colOff>
      <xdr:row>44</xdr:row>
      <xdr:rowOff>394137</xdr:rowOff>
    </xdr:to>
    <xdr:pic>
      <xdr:nvPicPr>
        <xdr:cNvPr id="23" name="Picture 22">
          <a:extLst>
            <a:ext uri="{FF2B5EF4-FFF2-40B4-BE49-F238E27FC236}">
              <a16:creationId xmlns:a16="http://schemas.microsoft.com/office/drawing/2014/main" id="{36255091-C6C2-435C-9F4C-1251C6689A8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3276" y="569311"/>
          <a:ext cx="7357241" cy="9722068"/>
        </a:xfrm>
        <a:prstGeom prst="rect">
          <a:avLst/>
        </a:prstGeom>
      </xdr:spPr>
    </xdr:pic>
    <xdr:clientData/>
  </xdr:twoCellAnchor>
  <xdr:twoCellAnchor>
    <xdr:from>
      <xdr:col>8</xdr:col>
      <xdr:colOff>9218</xdr:colOff>
      <xdr:row>73</xdr:row>
      <xdr:rowOff>0</xdr:rowOff>
    </xdr:from>
    <xdr:to>
      <xdr:col>18</xdr:col>
      <xdr:colOff>391356</xdr:colOff>
      <xdr:row>90</xdr:row>
      <xdr:rowOff>0</xdr:rowOff>
    </xdr:to>
    <xdr:grpSp>
      <xdr:nvGrpSpPr>
        <xdr:cNvPr id="17" name="Group 16">
          <a:extLst>
            <a:ext uri="{FF2B5EF4-FFF2-40B4-BE49-F238E27FC236}">
              <a16:creationId xmlns:a16="http://schemas.microsoft.com/office/drawing/2014/main" id="{4E4D848E-4EA4-42A8-8011-43D24E93F602}"/>
            </a:ext>
          </a:extLst>
        </xdr:cNvPr>
        <xdr:cNvGrpSpPr/>
      </xdr:nvGrpSpPr>
      <xdr:grpSpPr>
        <a:xfrm>
          <a:off x="7629218" y="16139583"/>
          <a:ext cx="9335638" cy="3418417"/>
          <a:chOff x="7629218" y="15042930"/>
          <a:chExt cx="8869834" cy="3536293"/>
        </a:xfrm>
      </xdr:grpSpPr>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7629218" y="15043325"/>
          <a:ext cx="4572000" cy="3518973"/>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32" name="Chart 31">
            <a:extLst>
              <a:ext uri="{FF2B5EF4-FFF2-40B4-BE49-F238E27FC236}">
                <a16:creationId xmlns:a16="http://schemas.microsoft.com/office/drawing/2014/main" id="{1DAA2609-C838-498E-9161-EBCE156192E7}"/>
              </a:ext>
            </a:extLst>
          </xdr:cNvPr>
          <xdr:cNvGraphicFramePr>
            <a:graphicFrameLocks/>
          </xdr:cNvGraphicFramePr>
        </xdr:nvGraphicFramePr>
        <xdr:xfrm>
          <a:off x="12262069" y="15042930"/>
          <a:ext cx="4236983" cy="3536293"/>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xdr:col>
      <xdr:colOff>21897</xdr:colOff>
      <xdr:row>61</xdr:row>
      <xdr:rowOff>109482</xdr:rowOff>
    </xdr:from>
    <xdr:to>
      <xdr:col>7</xdr:col>
      <xdr:colOff>21897</xdr:colOff>
      <xdr:row>73</xdr:row>
      <xdr:rowOff>175172</xdr:rowOff>
    </xdr:to>
    <xdr:graphicFrame macro="">
      <xdr:nvGraphicFramePr>
        <xdr:cNvPr id="33" name="Chart 32">
          <a:extLst>
            <a:ext uri="{FF2B5EF4-FFF2-40B4-BE49-F238E27FC236}">
              <a16:creationId xmlns:a16="http://schemas.microsoft.com/office/drawing/2014/main" id="{58BEAD0F-62B7-4F02-8E6C-0D844F252D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139911</xdr:colOff>
      <xdr:row>90</xdr:row>
      <xdr:rowOff>128988</xdr:rowOff>
    </xdr:from>
    <xdr:to>
      <xdr:col>18</xdr:col>
      <xdr:colOff>368773</xdr:colOff>
      <xdr:row>104</xdr:row>
      <xdr:rowOff>115614</xdr:rowOff>
    </xdr:to>
    <xdr:grpSp>
      <xdr:nvGrpSpPr>
        <xdr:cNvPr id="26" name="Group 25">
          <a:extLst>
            <a:ext uri="{FF2B5EF4-FFF2-40B4-BE49-F238E27FC236}">
              <a16:creationId xmlns:a16="http://schemas.microsoft.com/office/drawing/2014/main" id="{678CD6E5-C678-4EA4-89A4-5778ADA3B13D}"/>
            </a:ext>
          </a:extLst>
        </xdr:cNvPr>
        <xdr:cNvGrpSpPr/>
      </xdr:nvGrpSpPr>
      <xdr:grpSpPr>
        <a:xfrm>
          <a:off x="7611744" y="19686988"/>
          <a:ext cx="9330529" cy="2801793"/>
          <a:chOff x="7606635" y="20087695"/>
          <a:chExt cx="8914314" cy="2745591"/>
        </a:xfrm>
      </xdr:grpSpPr>
      <xdr:graphicFrame macro="">
        <xdr:nvGraphicFramePr>
          <xdr:cNvPr id="22" name="Chart 21">
            <a:extLst>
              <a:ext uri="{FF2B5EF4-FFF2-40B4-BE49-F238E27FC236}">
                <a16:creationId xmlns:a16="http://schemas.microsoft.com/office/drawing/2014/main" id="{00000000-0008-0000-0C00-000016000000}"/>
              </a:ext>
            </a:extLst>
          </xdr:cNvPr>
          <xdr:cNvGraphicFramePr>
            <a:graphicFrameLocks/>
          </xdr:cNvGraphicFramePr>
        </xdr:nvGraphicFramePr>
        <xdr:xfrm>
          <a:off x="7606635" y="20087695"/>
          <a:ext cx="5706468" cy="2743200"/>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34" name="Chart 33">
            <a:extLst>
              <a:ext uri="{FF2B5EF4-FFF2-40B4-BE49-F238E27FC236}">
                <a16:creationId xmlns:a16="http://schemas.microsoft.com/office/drawing/2014/main" id="{8350158C-810A-498E-BE94-7DCC5E567F8D}"/>
              </a:ext>
            </a:extLst>
          </xdr:cNvPr>
          <xdr:cNvGraphicFramePr>
            <a:graphicFrameLocks/>
          </xdr:cNvGraphicFramePr>
        </xdr:nvGraphicFramePr>
        <xdr:xfrm>
          <a:off x="13400689" y="20090086"/>
          <a:ext cx="3120260" cy="2743200"/>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7</xdr:col>
      <xdr:colOff>131380</xdr:colOff>
      <xdr:row>1</xdr:row>
      <xdr:rowOff>54742</xdr:rowOff>
    </xdr:from>
    <xdr:to>
      <xdr:col>18</xdr:col>
      <xdr:colOff>503620</xdr:colOff>
      <xdr:row>3</xdr:row>
      <xdr:rowOff>21897</xdr:rowOff>
    </xdr:to>
    <xdr:sp macro="" textlink="">
      <xdr:nvSpPr>
        <xdr:cNvPr id="35" name="Rectangle 34">
          <a:extLst>
            <a:ext uri="{FF2B5EF4-FFF2-40B4-BE49-F238E27FC236}">
              <a16:creationId xmlns:a16="http://schemas.microsoft.com/office/drawing/2014/main" id="{40985D3B-09EB-489A-89FA-BE4084D690BB}"/>
            </a:ext>
          </a:extLst>
        </xdr:cNvPr>
        <xdr:cNvSpPr/>
      </xdr:nvSpPr>
      <xdr:spPr>
        <a:xfrm>
          <a:off x="7609052" y="525518"/>
          <a:ext cx="9470258" cy="295603"/>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t>AAP</a:t>
          </a:r>
        </a:p>
      </xdr:txBody>
    </xdr:sp>
    <xdr:clientData/>
  </xdr:twoCellAnchor>
  <xdr:twoCellAnchor>
    <xdr:from>
      <xdr:col>7</xdr:col>
      <xdr:colOff>151225</xdr:colOff>
      <xdr:row>3</xdr:row>
      <xdr:rowOff>14028</xdr:rowOff>
    </xdr:from>
    <xdr:to>
      <xdr:col>13</xdr:col>
      <xdr:colOff>295604</xdr:colOff>
      <xdr:row>15</xdr:row>
      <xdr:rowOff>152890</xdr:rowOff>
    </xdr:to>
    <xdr:sp macro="" textlink="">
      <xdr:nvSpPr>
        <xdr:cNvPr id="36" name="Rectangle 35">
          <a:extLst>
            <a:ext uri="{FF2B5EF4-FFF2-40B4-BE49-F238E27FC236}">
              <a16:creationId xmlns:a16="http://schemas.microsoft.com/office/drawing/2014/main" id="{42FE63E0-2DB8-4AA4-BA33-CBD9424FB724}"/>
            </a:ext>
          </a:extLst>
        </xdr:cNvPr>
        <xdr:cNvSpPr/>
      </xdr:nvSpPr>
      <xdr:spPr>
        <a:xfrm>
          <a:off x="7628897" y="944631"/>
          <a:ext cx="4184293" cy="2262828"/>
        </a:xfrm>
        <a:prstGeom prst="rect">
          <a:avLst/>
        </a:prstGeom>
        <a:solidFill>
          <a:schemeClr val="bg1">
            <a:lumMod val="6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US" sz="1400">
              <a:solidFill>
                <a:sysClr val="windowText" lastClr="000000"/>
              </a:solidFill>
            </a:rPr>
            <a:t>WATER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effectLst/>
              <a:latin typeface="+mn-lt"/>
              <a:ea typeface="+mn-ea"/>
              <a:cs typeface="+mn-cs"/>
            </a:rPr>
            <a:t>- Water Shortage in dry season</a:t>
          </a:r>
          <a:endParaRPr lang="en-US" sz="1400">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400" b="0" i="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effectLst/>
              <a:latin typeface="+mn-lt"/>
              <a:ea typeface="+mn-ea"/>
              <a:cs typeface="+mn-cs"/>
            </a:rPr>
            <a:t>SANITATION</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effectLst/>
              <a:latin typeface="+mn-lt"/>
              <a:ea typeface="+mn-ea"/>
              <a:cs typeface="+mn-cs"/>
            </a:rPr>
            <a:t>- No Sanitation issue</a:t>
          </a:r>
          <a:endParaRPr lang="en-US" sz="1400">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400" b="0" i="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effectLst/>
              <a:latin typeface="+mn-lt"/>
              <a:ea typeface="+mn-ea"/>
              <a:cs typeface="+mn-cs"/>
            </a:rPr>
            <a:t>HYGIENE</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effectLst/>
              <a:latin typeface="+mn-lt"/>
              <a:ea typeface="+mn-ea"/>
              <a:cs typeface="+mn-cs"/>
            </a:rPr>
            <a:t>- No Hygiene issue</a:t>
          </a:r>
          <a:endParaRPr lang="en-US" sz="1400">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endParaRPr>
        </a:p>
        <a:p>
          <a:pPr algn="l"/>
          <a:endParaRPr lang="en-US" sz="1400">
            <a:solidFill>
              <a:sysClr val="windowText" lastClr="000000"/>
            </a:solidFill>
          </a:endParaRPr>
        </a:p>
      </xdr:txBody>
    </xdr:sp>
    <xdr:clientData/>
  </xdr:twoCellAnchor>
  <xdr:twoCellAnchor>
    <xdr:from>
      <xdr:col>15</xdr:col>
      <xdr:colOff>120431</xdr:colOff>
      <xdr:row>3</xdr:row>
      <xdr:rowOff>54742</xdr:rowOff>
    </xdr:from>
    <xdr:to>
      <xdr:col>18</xdr:col>
      <xdr:colOff>437931</xdr:colOff>
      <xdr:row>15</xdr:row>
      <xdr:rowOff>98534</xdr:rowOff>
    </xdr:to>
    <xdr:graphicFrame macro="">
      <xdr:nvGraphicFramePr>
        <xdr:cNvPr id="37" name="Chart 36">
          <a:extLst>
            <a:ext uri="{FF2B5EF4-FFF2-40B4-BE49-F238E27FC236}">
              <a16:creationId xmlns:a16="http://schemas.microsoft.com/office/drawing/2014/main" id="{E46605DD-3C2D-4D6A-B7C8-72923A52B3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117516</xdr:colOff>
      <xdr:row>35</xdr:row>
      <xdr:rowOff>333058</xdr:rowOff>
    </xdr:from>
    <xdr:to>
      <xdr:col>18</xdr:col>
      <xdr:colOff>388197</xdr:colOff>
      <xdr:row>48</xdr:row>
      <xdr:rowOff>21166</xdr:rowOff>
    </xdr:to>
    <xdr:grpSp>
      <xdr:nvGrpSpPr>
        <xdr:cNvPr id="14" name="Group 13">
          <a:extLst>
            <a:ext uri="{FF2B5EF4-FFF2-40B4-BE49-F238E27FC236}">
              <a16:creationId xmlns:a16="http://schemas.microsoft.com/office/drawing/2014/main" id="{46A647FB-01DD-4287-9A65-9331909672A1}"/>
            </a:ext>
          </a:extLst>
        </xdr:cNvPr>
        <xdr:cNvGrpSpPr/>
      </xdr:nvGrpSpPr>
      <xdr:grpSpPr>
        <a:xfrm>
          <a:off x="7589349" y="7572058"/>
          <a:ext cx="9372348" cy="2852525"/>
          <a:chOff x="7589349" y="7572058"/>
          <a:chExt cx="9372348" cy="2852525"/>
        </a:xfrm>
      </xdr:grpSpPr>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7589349" y="7572058"/>
          <a:ext cx="2761152" cy="282223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38" name="Chart 37">
            <a:extLst>
              <a:ext uri="{FF2B5EF4-FFF2-40B4-BE49-F238E27FC236}">
                <a16:creationId xmlns:a16="http://schemas.microsoft.com/office/drawing/2014/main" id="{FCDCF367-A1D9-4B70-8F52-CDF06233C6A7}"/>
              </a:ext>
            </a:extLst>
          </xdr:cNvPr>
          <xdr:cNvGraphicFramePr>
            <a:graphicFrameLocks/>
          </xdr:cNvGraphicFramePr>
        </xdr:nvGraphicFramePr>
        <xdr:xfrm>
          <a:off x="10369112" y="7588250"/>
          <a:ext cx="3200400" cy="2815167"/>
        </xdr:xfrm>
        <a:graphic>
          <a:graphicData uri="http://schemas.openxmlformats.org/drawingml/2006/chart">
            <c:chart xmlns:c="http://schemas.openxmlformats.org/drawingml/2006/chart" xmlns:r="http://schemas.openxmlformats.org/officeDocument/2006/relationships" r:id="rId20"/>
          </a:graphicData>
        </a:graphic>
      </xdr:graphicFrame>
      <xdr:graphicFrame macro="">
        <xdr:nvGraphicFramePr>
          <xdr:cNvPr id="39" name="Chart 38">
            <a:extLst>
              <a:ext uri="{FF2B5EF4-FFF2-40B4-BE49-F238E27FC236}">
                <a16:creationId xmlns:a16="http://schemas.microsoft.com/office/drawing/2014/main" id="{2DA03ED5-C389-4741-AE1F-9F970A55867F}"/>
              </a:ext>
            </a:extLst>
          </xdr:cNvPr>
          <xdr:cNvGraphicFramePr>
            <a:graphicFrameLocks/>
          </xdr:cNvGraphicFramePr>
        </xdr:nvGraphicFramePr>
        <xdr:xfrm>
          <a:off x="11895667" y="8796937"/>
          <a:ext cx="1663044" cy="1606480"/>
        </xdr:xfrm>
        <a:graphic>
          <a:graphicData uri="http://schemas.openxmlformats.org/drawingml/2006/chart">
            <c:chart xmlns:c="http://schemas.openxmlformats.org/drawingml/2006/chart" xmlns:r="http://schemas.openxmlformats.org/officeDocument/2006/relationships" r:id="rId21"/>
          </a:graphicData>
        </a:graphic>
      </xdr:graphicFrame>
      <xdr:graphicFrame macro="">
        <xdr:nvGraphicFramePr>
          <xdr:cNvPr id="40" name="Chart 39">
            <a:extLst>
              <a:ext uri="{FF2B5EF4-FFF2-40B4-BE49-F238E27FC236}">
                <a16:creationId xmlns:a16="http://schemas.microsoft.com/office/drawing/2014/main" id="{2314F41F-1A9F-470C-93F2-1C52AF6B5E3E}"/>
              </a:ext>
            </a:extLst>
          </xdr:cNvPr>
          <xdr:cNvGraphicFramePr>
            <a:graphicFrameLocks/>
          </xdr:cNvGraphicFramePr>
        </xdr:nvGraphicFramePr>
        <xdr:xfrm>
          <a:off x="13578417" y="7574312"/>
          <a:ext cx="3383280" cy="2829105"/>
        </xdr:xfrm>
        <a:graphic>
          <a:graphicData uri="http://schemas.openxmlformats.org/drawingml/2006/chart">
            <c:chart xmlns:c="http://schemas.openxmlformats.org/drawingml/2006/chart" xmlns:r="http://schemas.openxmlformats.org/officeDocument/2006/relationships" r:id="rId22"/>
          </a:graphicData>
        </a:graphic>
      </xdr:graphicFrame>
      <xdr:graphicFrame macro="">
        <xdr:nvGraphicFramePr>
          <xdr:cNvPr id="41" name="Chart 40">
            <a:extLst>
              <a:ext uri="{FF2B5EF4-FFF2-40B4-BE49-F238E27FC236}">
                <a16:creationId xmlns:a16="http://schemas.microsoft.com/office/drawing/2014/main" id="{85B8E870-FC86-4606-A83E-A7FD6DA3B1C9}"/>
              </a:ext>
            </a:extLst>
          </xdr:cNvPr>
          <xdr:cNvGraphicFramePr>
            <a:graphicFrameLocks/>
          </xdr:cNvGraphicFramePr>
        </xdr:nvGraphicFramePr>
        <xdr:xfrm>
          <a:off x="15165917" y="8540750"/>
          <a:ext cx="1778000" cy="1883833"/>
        </xdr:xfrm>
        <a:graphic>
          <a:graphicData uri="http://schemas.openxmlformats.org/drawingml/2006/chart">
            <c:chart xmlns:c="http://schemas.openxmlformats.org/drawingml/2006/chart" xmlns:r="http://schemas.openxmlformats.org/officeDocument/2006/relationships" r:id="rId23"/>
          </a:graphicData>
        </a:graphic>
      </xdr:graphicFrame>
      <xdr:cxnSp macro="">
        <xdr:nvCxnSpPr>
          <xdr:cNvPr id="42" name="Connector: Elbow 41">
            <a:extLst>
              <a:ext uri="{FF2B5EF4-FFF2-40B4-BE49-F238E27FC236}">
                <a16:creationId xmlns:a16="http://schemas.microsoft.com/office/drawing/2014/main" id="{9CEDF469-B592-42F6-8747-66EA32A8F1A2}"/>
              </a:ext>
            </a:extLst>
          </xdr:cNvPr>
          <xdr:cNvCxnSpPr/>
        </xdr:nvCxnSpPr>
        <xdr:spPr>
          <a:xfrm>
            <a:off x="11451166" y="8434916"/>
            <a:ext cx="1443036" cy="35242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Connector: Elbow 45">
            <a:extLst>
              <a:ext uri="{FF2B5EF4-FFF2-40B4-BE49-F238E27FC236}">
                <a16:creationId xmlns:a16="http://schemas.microsoft.com/office/drawing/2014/main" id="{6AB70086-53E1-4610-9777-8453EB310627}"/>
              </a:ext>
            </a:extLst>
          </xdr:cNvPr>
          <xdr:cNvCxnSpPr/>
        </xdr:nvCxnSpPr>
        <xdr:spPr>
          <a:xfrm>
            <a:off x="14509749" y="8318500"/>
            <a:ext cx="1443036" cy="35242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476250</xdr:colOff>
      <xdr:row>2</xdr:row>
      <xdr:rowOff>171979</xdr:rowOff>
    </xdr:from>
    <xdr:to>
      <xdr:col>20</xdr:col>
      <xdr:colOff>158750</xdr:colOff>
      <xdr:row>491</xdr:row>
      <xdr:rowOff>10583</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38099</xdr:rowOff>
    </xdr:from>
    <xdr:to>
      <xdr:col>0</xdr:col>
      <xdr:colOff>1828800</xdr:colOff>
      <xdr:row>13</xdr:row>
      <xdr:rowOff>42332</xdr:rowOff>
    </xdr:to>
    <mc:AlternateContent xmlns:mc="http://schemas.openxmlformats.org/markup-compatibility/2006" xmlns:a14="http://schemas.microsoft.com/office/drawing/2010/main">
      <mc:Choice Requires="a14">
        <xdr:graphicFrame macro="">
          <xdr:nvGraphicFramePr>
            <xdr:cNvPr id="4" name="State 2">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microsoft.com/office/drawing/2010/slicer">
              <sle:slicer xmlns:sle="http://schemas.microsoft.com/office/drawing/2010/slicer" name="State 2"/>
            </a:graphicData>
          </a:graphic>
        </xdr:graphicFrame>
      </mc:Choice>
      <mc:Fallback xmlns="">
        <xdr:sp macro="" textlink="">
          <xdr:nvSpPr>
            <xdr:cNvPr id="0" name=""/>
            <xdr:cNvSpPr>
              <a:spLocks noTextEdit="1"/>
            </xdr:cNvSpPr>
          </xdr:nvSpPr>
          <xdr:spPr>
            <a:xfrm>
              <a:off x="0" y="778933"/>
              <a:ext cx="1828800" cy="146473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243417</xdr:colOff>
      <xdr:row>2</xdr:row>
      <xdr:rowOff>189442</xdr:rowOff>
    </xdr:from>
    <xdr:to>
      <xdr:col>8</xdr:col>
      <xdr:colOff>256118</xdr:colOff>
      <xdr:row>28</xdr:row>
      <xdr:rowOff>116416</xdr:rowOff>
    </xdr:to>
    <mc:AlternateContent xmlns:mc="http://schemas.openxmlformats.org/markup-compatibility/2006" xmlns:a14="http://schemas.microsoft.com/office/drawing/2010/main">
      <mc:Choice Requires="a14">
        <xdr:graphicFrame macro="">
          <xdr:nvGraphicFramePr>
            <xdr:cNvPr id="5" name="Township 1">
              <a:extLst>
                <a:ext uri="{FF2B5EF4-FFF2-40B4-BE49-F238E27FC236}">
                  <a16:creationId xmlns:a16="http://schemas.microsoft.com/office/drawing/2014/main" id="{00000000-0008-0000-0D00-000005000000}"/>
                </a:ext>
              </a:extLst>
            </xdr:cNvPr>
            <xdr:cNvGraphicFramePr/>
          </xdr:nvGraphicFramePr>
          <xdr:xfrm>
            <a:off x="0" y="0"/>
            <a:ext cx="0" cy="0"/>
          </xdr:xfrm>
          <a:graphic>
            <a:graphicData uri="http://schemas.microsoft.com/office/drawing/2010/slicer">
              <sle:slicer xmlns:sle="http://schemas.microsoft.com/office/drawing/2010/slicer" name="Township 1"/>
            </a:graphicData>
          </a:graphic>
        </xdr:graphicFrame>
      </mc:Choice>
      <mc:Fallback xmlns="">
        <xdr:sp macro="" textlink="">
          <xdr:nvSpPr>
            <xdr:cNvPr id="0" name=""/>
            <xdr:cNvSpPr>
              <a:spLocks noTextEdit="1"/>
            </xdr:cNvSpPr>
          </xdr:nvSpPr>
          <xdr:spPr>
            <a:xfrm>
              <a:off x="3725334" y="729192"/>
              <a:ext cx="1822450" cy="515514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13</xdr:row>
      <xdr:rowOff>74084</xdr:rowOff>
    </xdr:from>
    <xdr:to>
      <xdr:col>1</xdr:col>
      <xdr:colOff>204609</xdr:colOff>
      <xdr:row>28</xdr:row>
      <xdr:rowOff>74084</xdr:rowOff>
    </xdr:to>
    <mc:AlternateContent xmlns:mc="http://schemas.openxmlformats.org/markup-compatibility/2006" xmlns:a14="http://schemas.microsoft.com/office/drawing/2010/main">
      <mc:Choice Requires="a14">
        <xdr:graphicFrame macro="">
          <xdr:nvGraphicFramePr>
            <xdr:cNvPr id="3" name="WASH implementing agency 1">
              <a:extLst>
                <a:ext uri="{FF2B5EF4-FFF2-40B4-BE49-F238E27FC236}">
                  <a16:creationId xmlns:a16="http://schemas.microsoft.com/office/drawing/2014/main" id="{0EE4C039-1958-4372-8494-54DA83926F1C}"/>
                </a:ext>
              </a:extLst>
            </xdr:cNvPr>
            <xdr:cNvGraphicFramePr/>
          </xdr:nvGraphicFramePr>
          <xdr:xfrm>
            <a:off x="0" y="0"/>
            <a:ext cx="0" cy="0"/>
          </xdr:xfrm>
          <a:graphic>
            <a:graphicData uri="http://schemas.microsoft.com/office/drawing/2010/slicer">
              <sle:slicer xmlns:sle="http://schemas.microsoft.com/office/drawing/2010/slicer" name="WASH implementing agency 1"/>
            </a:graphicData>
          </a:graphic>
        </xdr:graphicFrame>
      </mc:Choice>
      <mc:Fallback xmlns="">
        <xdr:sp macro="" textlink="">
          <xdr:nvSpPr>
            <xdr:cNvPr id="0" name=""/>
            <xdr:cNvSpPr>
              <a:spLocks noTextEdit="1"/>
            </xdr:cNvSpPr>
          </xdr:nvSpPr>
          <xdr:spPr>
            <a:xfrm>
              <a:off x="0" y="2825751"/>
              <a:ext cx="3693582" cy="30162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1843617</xdr:colOff>
      <xdr:row>2</xdr:row>
      <xdr:rowOff>190500</xdr:rowOff>
    </xdr:from>
    <xdr:to>
      <xdr:col>1</xdr:col>
      <xdr:colOff>183444</xdr:colOff>
      <xdr:row>13</xdr:row>
      <xdr:rowOff>52916</xdr:rowOff>
    </xdr:to>
    <mc:AlternateContent xmlns:mc="http://schemas.openxmlformats.org/markup-compatibility/2006" xmlns:a14="http://schemas.microsoft.com/office/drawing/2010/main">
      <mc:Choice Requires="a14">
        <xdr:graphicFrame macro="">
          <xdr:nvGraphicFramePr>
            <xdr:cNvPr id="6" name="Location Type 2">
              <a:extLst>
                <a:ext uri="{FF2B5EF4-FFF2-40B4-BE49-F238E27FC236}">
                  <a16:creationId xmlns:a16="http://schemas.microsoft.com/office/drawing/2014/main" id="{5931821A-DDAF-4FBF-8E6A-43CBDAF27F91}"/>
                </a:ext>
              </a:extLst>
            </xdr:cNvPr>
            <xdr:cNvGraphicFramePr/>
          </xdr:nvGraphicFramePr>
          <xdr:xfrm>
            <a:off x="0" y="0"/>
            <a:ext cx="0" cy="0"/>
          </xdr:xfrm>
          <a:graphic>
            <a:graphicData uri="http://schemas.microsoft.com/office/drawing/2010/slicer">
              <sle:slicer xmlns:sle="http://schemas.microsoft.com/office/drawing/2010/slicer" name="Location Type 2"/>
            </a:graphicData>
          </a:graphic>
        </xdr:graphicFrame>
      </mc:Choice>
      <mc:Fallback xmlns="">
        <xdr:sp macro="" textlink="">
          <xdr:nvSpPr>
            <xdr:cNvPr id="0" name=""/>
            <xdr:cNvSpPr>
              <a:spLocks noTextEdit="1"/>
            </xdr:cNvSpPr>
          </xdr:nvSpPr>
          <xdr:spPr>
            <a:xfrm>
              <a:off x="1843617" y="730250"/>
              <a:ext cx="1828800" cy="207433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190501</xdr:rowOff>
    </xdr:from>
    <xdr:to>
      <xdr:col>7</xdr:col>
      <xdr:colOff>1028701</xdr:colOff>
      <xdr:row>32</xdr:row>
      <xdr:rowOff>95251</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76200</xdr:colOff>
      <xdr:row>1</xdr:row>
      <xdr:rowOff>0</xdr:rowOff>
    </xdr:from>
    <xdr:to>
      <xdr:col>9</xdr:col>
      <xdr:colOff>180975</xdr:colOff>
      <xdr:row>11</xdr:row>
      <xdr:rowOff>123825</xdr:rowOff>
    </xdr:to>
    <mc:AlternateContent xmlns:mc="http://schemas.openxmlformats.org/markup-compatibility/2006" xmlns:a14="http://schemas.microsoft.com/office/drawing/2010/main">
      <mc:Choice Requires="a14">
        <xdr:graphicFrame macro="">
          <xdr:nvGraphicFramePr>
            <xdr:cNvPr id="4" name="State 3">
              <a:extLst>
                <a:ext uri="{FF2B5EF4-FFF2-40B4-BE49-F238E27FC236}">
                  <a16:creationId xmlns:a16="http://schemas.microsoft.com/office/drawing/2014/main" id="{00000000-0008-0000-0E00-000004000000}"/>
                </a:ext>
              </a:extLst>
            </xdr:cNvPr>
            <xdr:cNvGraphicFramePr/>
          </xdr:nvGraphicFramePr>
          <xdr:xfrm>
            <a:off x="0" y="0"/>
            <a:ext cx="0" cy="0"/>
          </xdr:xfrm>
          <a:graphic>
            <a:graphicData uri="http://schemas.microsoft.com/office/drawing/2010/slicer">
              <sle:slicer xmlns:sle="http://schemas.microsoft.com/office/drawing/2010/slicer" name="State 3"/>
            </a:graphicData>
          </a:graphic>
        </xdr:graphicFrame>
      </mc:Choice>
      <mc:Fallback xmlns="">
        <xdr:sp macro="" textlink="">
          <xdr:nvSpPr>
            <xdr:cNvPr id="0" name=""/>
            <xdr:cNvSpPr>
              <a:spLocks noTextEdit="1"/>
            </xdr:cNvSpPr>
          </xdr:nvSpPr>
          <xdr:spPr>
            <a:xfrm>
              <a:off x="8610600" y="200025"/>
              <a:ext cx="1828800" cy="2124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238125</xdr:colOff>
      <xdr:row>0</xdr:row>
      <xdr:rowOff>200024</xdr:rowOff>
    </xdr:from>
    <xdr:to>
      <xdr:col>10</xdr:col>
      <xdr:colOff>2066925</xdr:colOff>
      <xdr:row>26</xdr:row>
      <xdr:rowOff>38099</xdr:rowOff>
    </xdr:to>
    <mc:AlternateContent xmlns:mc="http://schemas.openxmlformats.org/markup-compatibility/2006" xmlns:a14="http://schemas.microsoft.com/office/drawing/2010/main">
      <mc:Choice Requires="a14">
        <xdr:graphicFrame macro="">
          <xdr:nvGraphicFramePr>
            <xdr:cNvPr id="5" name="Township 2">
              <a:extLst>
                <a:ext uri="{FF2B5EF4-FFF2-40B4-BE49-F238E27FC236}">
                  <a16:creationId xmlns:a16="http://schemas.microsoft.com/office/drawing/2014/main" id="{00000000-0008-0000-0E00-000005000000}"/>
                </a:ext>
              </a:extLst>
            </xdr:cNvPr>
            <xdr:cNvGraphicFramePr/>
          </xdr:nvGraphicFramePr>
          <xdr:xfrm>
            <a:off x="0" y="0"/>
            <a:ext cx="0" cy="0"/>
          </xdr:xfrm>
          <a:graphic>
            <a:graphicData uri="http://schemas.microsoft.com/office/drawing/2010/slicer">
              <sle:slicer xmlns:sle="http://schemas.microsoft.com/office/drawing/2010/slicer" name="Township 2"/>
            </a:graphicData>
          </a:graphic>
        </xdr:graphicFrame>
      </mc:Choice>
      <mc:Fallback xmlns="">
        <xdr:sp macro="" textlink="">
          <xdr:nvSpPr>
            <xdr:cNvPr id="0" name=""/>
            <xdr:cNvSpPr>
              <a:spLocks noTextEdit="1"/>
            </xdr:cNvSpPr>
          </xdr:nvSpPr>
          <xdr:spPr>
            <a:xfrm>
              <a:off x="12382500" y="200024"/>
              <a:ext cx="1828800" cy="5038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200025</xdr:colOff>
      <xdr:row>0</xdr:row>
      <xdr:rowOff>190500</xdr:rowOff>
    </xdr:from>
    <xdr:to>
      <xdr:col>10</xdr:col>
      <xdr:colOff>142875</xdr:colOff>
      <xdr:row>11</xdr:row>
      <xdr:rowOff>114300</xdr:rowOff>
    </xdr:to>
    <mc:AlternateContent xmlns:mc="http://schemas.openxmlformats.org/markup-compatibility/2006" xmlns:a14="http://schemas.microsoft.com/office/drawing/2010/main">
      <mc:Choice Requires="a14">
        <xdr:graphicFrame macro="">
          <xdr:nvGraphicFramePr>
            <xdr:cNvPr id="3" name="Location Type 1">
              <a:extLst>
                <a:ext uri="{FF2B5EF4-FFF2-40B4-BE49-F238E27FC236}">
                  <a16:creationId xmlns:a16="http://schemas.microsoft.com/office/drawing/2014/main" id="{598385C2-5E67-4F9F-992A-3E846D400C4E}"/>
                </a:ext>
              </a:extLst>
            </xdr:cNvPr>
            <xdr:cNvGraphicFramePr/>
          </xdr:nvGraphicFramePr>
          <xdr:xfrm>
            <a:off x="0" y="0"/>
            <a:ext cx="0" cy="0"/>
          </xdr:xfrm>
          <a:graphic>
            <a:graphicData uri="http://schemas.microsoft.com/office/drawing/2010/slicer">
              <sle:slicer xmlns:sle="http://schemas.microsoft.com/office/drawing/2010/slicer" name="Location Type 1"/>
            </a:graphicData>
          </a:graphic>
        </xdr:graphicFrame>
      </mc:Choice>
      <mc:Fallback xmlns="">
        <xdr:sp macro="" textlink="">
          <xdr:nvSpPr>
            <xdr:cNvPr id="0" name=""/>
            <xdr:cNvSpPr>
              <a:spLocks noTextEdit="1"/>
            </xdr:cNvSpPr>
          </xdr:nvSpPr>
          <xdr:spPr>
            <a:xfrm>
              <a:off x="10458450" y="190500"/>
              <a:ext cx="1828800" cy="2124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66675</xdr:colOff>
      <xdr:row>11</xdr:row>
      <xdr:rowOff>180976</xdr:rowOff>
    </xdr:from>
    <xdr:to>
      <xdr:col>10</xdr:col>
      <xdr:colOff>209550</xdr:colOff>
      <xdr:row>26</xdr:row>
      <xdr:rowOff>57150</xdr:rowOff>
    </xdr:to>
    <mc:AlternateContent xmlns:mc="http://schemas.openxmlformats.org/markup-compatibility/2006" xmlns:a14="http://schemas.microsoft.com/office/drawing/2010/main">
      <mc:Choice Requires="a14">
        <xdr:graphicFrame macro="">
          <xdr:nvGraphicFramePr>
            <xdr:cNvPr id="6" name="WASH implementing agency">
              <a:extLst>
                <a:ext uri="{FF2B5EF4-FFF2-40B4-BE49-F238E27FC236}">
                  <a16:creationId xmlns:a16="http://schemas.microsoft.com/office/drawing/2014/main" id="{7B7A573B-D2BE-4B3B-9E6B-BF31653DDBA1}"/>
                </a:ext>
              </a:extLst>
            </xdr:cNvPr>
            <xdr:cNvGraphicFramePr/>
          </xdr:nvGraphicFramePr>
          <xdr:xfrm>
            <a:off x="0" y="0"/>
            <a:ext cx="0" cy="0"/>
          </xdr:xfrm>
          <a:graphic>
            <a:graphicData uri="http://schemas.microsoft.com/office/drawing/2010/slicer">
              <sle:slicer xmlns:sle="http://schemas.microsoft.com/office/drawing/2010/slicer" name="WASH implementing agency"/>
            </a:graphicData>
          </a:graphic>
        </xdr:graphicFrame>
      </mc:Choice>
      <mc:Fallback xmlns="">
        <xdr:sp macro="" textlink="">
          <xdr:nvSpPr>
            <xdr:cNvPr id="0" name=""/>
            <xdr:cNvSpPr>
              <a:spLocks noTextEdit="1"/>
            </xdr:cNvSpPr>
          </xdr:nvSpPr>
          <xdr:spPr>
            <a:xfrm>
              <a:off x="8601075" y="2381251"/>
              <a:ext cx="3752850" cy="28765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666750</xdr:colOff>
      <xdr:row>2</xdr:row>
      <xdr:rowOff>95250</xdr:rowOff>
    </xdr:from>
    <xdr:to>
      <xdr:col>29</xdr:col>
      <xdr:colOff>9525</xdr:colOff>
      <xdr:row>2</xdr:row>
      <xdr:rowOff>866775</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9545300" y="447675"/>
          <a:ext cx="229552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=OFFSET(Statestart_1,MATCH(</a:t>
          </a:r>
          <a:r>
            <a:rPr lang="en-US" sz="1100">
              <a:solidFill>
                <a:srgbClr val="FF0000"/>
              </a:solidFill>
            </a:rPr>
            <a:t>C5</a:t>
          </a:r>
          <a:r>
            <a:rPr lang="en-US" sz="1100"/>
            <a:t>, State_list, 0), 1,COUNTIF(State_list,</a:t>
          </a:r>
          <a:r>
            <a:rPr lang="en-US" sz="1100">
              <a:solidFill>
                <a:srgbClr val="FF0000"/>
              </a:solidFill>
            </a:rPr>
            <a:t>C5</a:t>
          </a:r>
          <a:r>
            <a:rPr lang="en-US" sz="1100"/>
            <a:t>),1)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nance\Delegates\Delegate%20Per%20Diem%20She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mthaw\Mee%20Mee\2.%20Information%20Management\B_%204%20W\002.%204Ws%20matrix\004.Yangon\Final\2018\2018_Q4\2019_02_15_Myanmar_WASH_4W_2018_Q4_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thaw/Mee%20Mee/2.%20Information%20Management/C_Camp%20Info/2.%20CCCM%20Camp%20list/Kachin/2019/shelter-nfi-cccm_kachin_northern_shan_cluster_analysis_report_march_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thaw/Mee%20Mee/2.%20Information%20Management/J_Funding/2019/2019_Q1/2019-04-26_Funding%20Matrix_2019_Q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thaw/Mee%20Mee/2.%20Information%20Management/J_Funding/2019/2019_Q1/2019-05-10_Funding%20Matrix_2019_Q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ty Sheet"/>
      <sheetName val="PD Sheet"/>
      <sheetName val="Data"/>
      <sheetName val="Sheet5"/>
      <sheetName val="Fund_Analysis_Rakhine"/>
      <sheetName val="Lookup"/>
    </sheetNames>
    <sheetDataSet>
      <sheetData sheetId="0"/>
      <sheetData sheetId="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heet1"/>
      <sheetName val="DATABASE"/>
      <sheetName val="Site_DB"/>
      <sheetName val="Indicator Summary Eng"/>
      <sheetName val="Indicator Summary MM"/>
      <sheetName val="HRP Calculations"/>
      <sheetName val="HRP"/>
      <sheetName val="Analysis"/>
      <sheetName val="Quarterly Dashboard"/>
      <sheetName val="Kachin"/>
      <sheetName val="Rakhine"/>
      <sheetName val="Shan(n)"/>
      <sheetName val="By Camps"/>
      <sheetName val="Tracking Dashboard"/>
      <sheetName val="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P locations"/>
      <sheetName val="DistanceToCamp"/>
      <sheetName val="Definition"/>
      <sheetName val="Graphs"/>
      <sheetName val="IDP location Analysis"/>
      <sheetName val="CCCM Dashboard"/>
      <sheetName val="Map"/>
      <sheetName val="ForGIS"/>
      <sheetName val="Shelter Cross Check"/>
      <sheetName val="IDP locations (printable)"/>
      <sheetName val="Relocation"/>
      <sheetName val="Shelter Gap Analysis"/>
      <sheetName val="Define_TCL"/>
      <sheetName val="Shelter Coverage Camp"/>
      <sheetName val="Shelter Solution"/>
      <sheetName val="Shelter overview"/>
      <sheetName val="NFI Stock and Pipeline"/>
      <sheetName val="NFI Distributions"/>
      <sheetName val="Winter Item"/>
      <sheetName val="NFI Summary"/>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Rakhine_funding_matrix"/>
      <sheetName val="Kachin-shan_funding_matrix"/>
      <sheetName val="fund received by partners"/>
      <sheetName val="Funding Tracking"/>
      <sheetName val="Timelinebysite"/>
      <sheetName val="Sheet5"/>
      <sheetName val="National_Analysis by donor"/>
      <sheetName val="Sheet1"/>
      <sheetName val="National"/>
      <sheetName val="Fund_Analysis_Rakhine"/>
      <sheetName val="Fund_Analysis_Kachin-shan"/>
      <sheetName val="Rakhine Analysis 2"/>
      <sheetName val="Kachin Analysis 2"/>
    </sheetNames>
    <sheetDataSet>
      <sheetData sheetId="0" refreshError="1"/>
      <sheetData sheetId="1"/>
      <sheetData sheetId="2"/>
      <sheetData sheetId="3"/>
      <sheetData sheetId="4"/>
      <sheetData sheetId="5"/>
      <sheetData sheetId="6"/>
      <sheetData sheetId="7"/>
      <sheetData sheetId="8"/>
      <sheetData sheetId="9">
        <row r="3">
          <cell r="D3" t="str">
            <v>Cumulative Funding Received for 2019</v>
          </cell>
          <cell r="E3" t="str">
            <v>Gap</v>
          </cell>
        </row>
        <row r="4">
          <cell r="B4" t="str">
            <v>Kachin/Shan</v>
          </cell>
          <cell r="D4">
            <v>2087002.1262643435</v>
          </cell>
          <cell r="E4">
            <v>5412997.873735657</v>
          </cell>
        </row>
        <row r="5">
          <cell r="B5" t="str">
            <v>Rakhine</v>
          </cell>
          <cell r="D5">
            <v>7759517.9601530656</v>
          </cell>
          <cell r="E5">
            <v>11940482.039846934</v>
          </cell>
        </row>
        <row r="6">
          <cell r="B6" t="str">
            <v>National (Total)</v>
          </cell>
          <cell r="D6">
            <v>9846520.0864174087</v>
          </cell>
          <cell r="E6">
            <v>17353479.913582593</v>
          </cell>
        </row>
      </sheetData>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Rakhine_funding_matrix"/>
      <sheetName val="Kachin-shan_funding_matrix"/>
      <sheetName val="fund received by partners"/>
      <sheetName val="Funding Tracking"/>
      <sheetName val="Timelinebysite"/>
      <sheetName val="Sheet5"/>
      <sheetName val="National_Analysis by donor"/>
      <sheetName val="Sheet1"/>
      <sheetName val="National"/>
      <sheetName val="Fund_Analysis_Rakhine"/>
      <sheetName val="Fund_Analysis_Kachin-shan"/>
      <sheetName val="Rakhine Analysis 2"/>
      <sheetName val="Kachin Analysi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D3" t="str">
            <v>Cumulative Funding Received for 2019</v>
          </cell>
          <cell r="E3" t="str">
            <v>Gap</v>
          </cell>
        </row>
        <row r="4">
          <cell r="B4" t="str">
            <v>Kachin/Shan</v>
          </cell>
          <cell r="D4">
            <v>2087002.1262643435</v>
          </cell>
          <cell r="E4">
            <v>5412997.873735657</v>
          </cell>
        </row>
        <row r="5">
          <cell r="B5" t="str">
            <v>Rakhine</v>
          </cell>
          <cell r="D5">
            <v>8115101.0040127141</v>
          </cell>
          <cell r="E5">
            <v>11584898.995987285</v>
          </cell>
        </row>
        <row r="6">
          <cell r="B6" t="str">
            <v>National (Total)</v>
          </cell>
          <cell r="D6">
            <v>10202103.130277058</v>
          </cell>
          <cell r="E6">
            <v>16997896.86972294</v>
          </cell>
        </row>
      </sheetData>
      <sheetData sheetId="10" refreshError="1"/>
      <sheetData sheetId="11" refreshError="1"/>
      <sheetData sheetId="12" refreshError="1"/>
      <sheetData sheetId="1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3600.438578587964" createdVersion="6" refreshedVersion="6" minRefreshableVersion="3" recordCount="537" xr:uid="{00000000-000A-0000-FFFF-FFFF00000000}">
  <cacheSource type="worksheet">
    <worksheetSource name="WWWW"/>
  </cacheSource>
  <cacheFields count="131">
    <cacheField name="Reporting Period" numFmtId="167">
      <sharedItems containsBlank="1" count="11">
        <s v="2019_Q1"/>
        <m u="1"/>
        <s v="2018-Q1" u="1"/>
        <s v="2018  Q1" u="1"/>
        <s v="2018_Q1" u="1"/>
        <s v="2018_Q2" u="1"/>
        <s v="2018_Q3" u="1"/>
        <s v="2018_Q4" u="1"/>
        <s v="2017_Q3" u="1"/>
        <s v="2017_Q4" u="1"/>
        <s v="2018 -Q1" u="1"/>
      </sharedItems>
    </cacheField>
    <cacheField name="WASH project agency" numFmtId="0">
      <sharedItems containsBlank="1" count="43">
        <s v="SI"/>
        <s v="Metta"/>
        <s v="None"/>
        <s v="KMSS"/>
        <s v="KBC"/>
        <s v="Shalom"/>
        <s v="Metta, KMSS"/>
        <s v="WPN"/>
        <s v="KBC, KMSS"/>
        <s v="SCI"/>
        <s v="PIN"/>
        <s v="UNICEF"/>
        <s v="MA_UK"/>
        <s v="CDA"/>
        <s v="OXSI (SI)"/>
        <s v="GIZ"/>
        <s v="ACF"/>
        <s v="OXSI (Oxfam)"/>
        <s v="OXSI(Oxfam), MA_UK"/>
        <s v="DRC"/>
        <s v="RI"/>
        <s v="CDN"/>
        <s v="Malteser"/>
        <s v="Others"/>
        <s v="MRCS,others"/>
        <s v="MRCS, PLAN, RI,Others"/>
        <s v="MRCS, PLAN, RI"/>
        <s v="MRCS"/>
        <s v="MRCS,Others,UNICEF/ACF"/>
        <s v="MRCS,UNICEF"/>
        <s v="UNICEF,Others"/>
        <s v="MRCS, Others"/>
        <s v="CARE"/>
        <s v="CARE,Others"/>
        <s v="Others/ WVI"/>
        <s v="Others,MRCS"/>
        <s v="WVI"/>
        <s v="SCI, Metta"/>
        <m u="1"/>
        <s v="MRCS,Others/ WVI" u="1"/>
        <s v="OXSI (Oxfam),ACF" u="1"/>
        <s v="MRCS,Others,UNICEF" u="1"/>
        <s v="OXSI (SI), ACF" u="1"/>
      </sharedItems>
    </cacheField>
    <cacheField name="WASH implementing agency" numFmtId="0">
      <sharedItems containsBlank="1" count="42">
        <s v="SI"/>
        <s v="Metta"/>
        <s v="None"/>
        <s v="KMSS"/>
        <s v="KBC"/>
        <s v="Shalom"/>
        <s v="Metta, KMSS"/>
        <s v="WPN"/>
        <s v="KBC, KMSS"/>
        <s v="SCI"/>
        <s v="MHDO"/>
        <s v="UNICEF"/>
        <s v="MA_UK"/>
        <s v="WFP"/>
        <s v="CDA"/>
        <s v="OXSI (SI)"/>
        <s v="GIZ"/>
        <s v="ACF"/>
        <s v="OXSI (Oxfam)"/>
        <s v="OXSI(Oxfam), MA_UK"/>
        <s v="DRC"/>
        <s v="RI"/>
        <s v="CDN"/>
        <s v="Malteser"/>
        <s v="Others"/>
        <s v="MRCS,others"/>
        <s v="MRCS, PLAN, RI,Others"/>
        <s v="MRCS, PLAN, RI"/>
        <s v="MRCS"/>
        <s v="MRCS,Others,ACF"/>
        <s v="MRCS, ACF"/>
        <s v="UNICEF,Others"/>
        <s v="MRCS, Others"/>
        <s v="UNICEF/ UNHCR/UNFPA"/>
        <s v="CARE"/>
        <s v="CARE,Others"/>
        <s v="Others/ WVI"/>
        <s v="Others,MRCS"/>
        <s v="SCI, Metta"/>
        <m u="1"/>
        <s v="MRCS,Others/ WVI" u="1"/>
        <s v="MRCS,ACF" u="1"/>
      </sharedItems>
    </cacheField>
    <cacheField name="Primary Donor covering WASH activities at site " numFmtId="0">
      <sharedItems containsBlank="1"/>
    </cacheField>
    <cacheField name="State" numFmtId="0">
      <sharedItems containsBlank="1" count="6">
        <s v="Kachin"/>
        <s v="Central Rakhine"/>
        <s v="Northern Rakhine"/>
        <s v="Shan (North)"/>
        <m u="1"/>
        <s v="Rakhine" u="1"/>
      </sharedItems>
    </cacheField>
    <cacheField name="Township" numFmtId="0">
      <sharedItems containsBlank="1" count="41">
        <s v="Bhamo"/>
        <s v="Momauk"/>
        <s v="Waingmaw"/>
        <s v="Myitkyina"/>
        <s v="Shwegu"/>
        <s v="Chipwi"/>
        <s v="Hpakant"/>
        <s v="Mogaung"/>
        <s v="Mohnyin"/>
        <s v="Mansi"/>
        <s v="Puta-O"/>
        <s v="Sumprabum"/>
        <s v="Tanai"/>
        <s v="Pauktaw"/>
        <s v="Buthidaung"/>
        <s v="Maungdaw"/>
        <s v="Kyauktaw"/>
        <s v="Kyaukpyu"/>
        <s v="Sittwe"/>
        <s v="Minbya"/>
        <s v="Myebon"/>
        <s v="Rathedaung"/>
        <s v="Mrauk-U"/>
        <s v="Ponnagyun"/>
        <s v="Kutkai"/>
        <s v="Muse"/>
        <s v="Namtu"/>
        <s v="Hsipaw"/>
        <s v="Manton"/>
        <s v="Namhkan"/>
        <s v="Hseni"/>
        <m u="1"/>
        <s v="Mohyin" u="1"/>
        <s v="Nawnghkio" u="1"/>
        <s v="Pangsang" u="1"/>
        <s v="Lashio" u="1"/>
        <s v="Ann" u="1"/>
        <s v="Namatee" u="1"/>
        <s v="Buthidaung " u="1"/>
        <s v="Mai Ja Yang " u="1"/>
        <s v="Ramree" u="1"/>
      </sharedItems>
    </cacheField>
    <cacheField name="Location Type" numFmtId="0">
      <sharedItems count="10">
        <s v="Camp_not registered"/>
        <s v="Camp"/>
        <s v="Village"/>
        <s v="New Temporary Site"/>
        <s v="Village_Not HRP"/>
        <s v="Town_New_Displaced" u="1"/>
        <s v="Town" u="1"/>
        <e v="#N/A" u="1"/>
        <s v="Village_New_Displaced" u="1"/>
        <s v="New Site" u="1"/>
      </sharedItems>
    </cacheField>
    <cacheField name="Site Name" numFmtId="0">
      <sharedItems containsBlank="1" count="974">
        <s v="AD-2000 Extension camp"/>
        <s v="AD-2000 Tharthana Compound"/>
        <s v="Agritural Compound (KBC)"/>
        <s v="Bhamo_Host Families"/>
        <s v="Aung Thar Church"/>
        <s v="Border Post 8"/>
        <s v="Ban Dang"/>
        <s v="Htoi San Church"/>
        <s v="IDP Boarding School, A Len Bum"/>
        <s v="Dum Bung "/>
        <s v="Da Wei"/>
        <s v="Loi Je Baptist Church"/>
        <s v="Kachin Su Baptist Church (ECCD)"/>
        <s v="Chipwi KBC camp"/>
        <s v="Du Kahtawng Baptist"/>
        <s v="Lhaovao Baptist Church (LBC)"/>
        <s v="5 Ward RC Church(lon Khin)"/>
        <s v="Hpun Lum Yang "/>
        <s v="Jan Mai Kawng Catholic Church"/>
        <s v="AG Church, Hmaw Si Sa"/>
        <s v="AG Church, Maw Wan"/>
        <s v="Baptist Church, Hmaw Si Sar(Lon Khin)"/>
        <s v="Chin Church, Seik Mu"/>
        <s v="Dhama Rakhita, Nyein Chan Tar Yar Ward(Lon Khin)"/>
        <s v="Hkau Shau (BP 12)"/>
        <s v="Hmaw Wan, Anglican"/>
        <s v="Hpakant Baptist Church, Nam Ma Hpit"/>
        <s v="Hlaing Naung Baptist"/>
        <s v="Ka Bu Dam CoC"/>
        <s v="Lawng Hkang Shait Yang Camp​ ( Lel Pyin)​ "/>
        <s v="Lisu Baptist Church, Maw Shan Vil,. Seik Mu"/>
        <s v="Lisu Baptist Church, Maw Wan Ward"/>
        <s v="Emmanuel AG Church"/>
        <s v="Maw Wan, Mu-yin Baptist Church"/>
        <s v="Muyin church (Aung Yar pre-school compound)"/>
        <s v="Nam Ma Phyit, COC"/>
        <s v="Karmaing RC Church"/>
        <s v="Rawan Baptist Church, Maw Shan Vil., Seik Mu"/>
        <s v="Hpare Hkyer - BP6"/>
        <s v="Htai Ra Yang"/>
        <s v="Lan Gwa St.Paul RC Church"/>
        <s v="Ward 2 Sai Taung Baptist Church, Seik Mu "/>
        <s v="Yumar Baptist Church"/>
        <s v="Bum Tsit Pa"/>
        <s v="Lana Zup Ja"/>
        <s v="Jan Mai Kawng Baptist Church"/>
        <s v="Lawa RC Church"/>
        <s v="Man Wing Baptist Church"/>
        <s v="Man Wing Baptist Church Cultural Compound"/>
        <s v="Man Wing Catholic Church"/>
        <s v="Man Wing Catholic Church II"/>
        <s v="Man Wing Host Families"/>
        <s v="Khar Nan (1) Baptist Church"/>
        <s v="Mansi_Host Families"/>
        <s v="Lone Khin Catholic Church"/>
        <s v="Jaw Masat Camp"/>
        <s v="Je Yang Hka "/>
        <s v="Kyun Pin Thar Baptist Church"/>
        <s v="Maina Catholic Church (St. Joseph)"/>
        <s v="Maing Khaung Catholic Church"/>
        <s v="Kyun Taw Baptist Church "/>
        <s v="Laiza Je Yang School"/>
        <s v="Lawt Awng"/>
        <s v="Le Kone Bethlehem Church"/>
        <s v="Hopin Host Families"/>
        <s v="Le Kone Ziun Baptist Church "/>
        <s v="Moenyin Host Families"/>
        <s v="Lung Sut"/>
        <s v="Myo Oo St. Dominic RC Church"/>
        <s v="Lisu Boarding-House"/>
        <s v="Nan Kway St. John Catholic Church"/>
        <s v="Man Bung Catholic compound"/>
        <s v="Loi Je Catholic Church"/>
        <s v="Mandalay Monestry"/>
        <s v="Mansi Baptist Church"/>
        <s v="Khun Sint Village"/>
        <s v="Loi Je Lisu Camp"/>
        <s v="Lwegel High School"/>
        <s v="Man Bung Edin Baptist Church"/>
        <s v="Nyaung Na Pin "/>
        <s v="Phan Khar Kone"/>
        <s v="Momauk Baptist Church"/>
        <s v="Robert Church"/>
        <s v="Mu-yin Baptist Church"/>
        <s v="Nant Hlaing Church"/>
        <s v="Momauk_Host Families"/>
        <s v="Myo Thit "/>
        <s v="Nhkawng Pa "/>
        <s v="Robert -Middle school"/>
        <s v="Pa Kahtawng "/>
        <s v="Seng Ja "/>
        <s v="Ma Hawng Baptist Church"/>
        <s v="Mading Baptist Church"/>
        <s v="Maga Yang "/>
        <s v="Nant Ma Hpit Catholic Church"/>
        <s v="Maina KBC (Bawng Ring)"/>
        <s v="Pa Dauk Myaing(Pa La Na)"/>
        <s v="Maina Lawang Baptist Church"/>
        <s v="Lawk Awng Mare D. (Sinbo Area)"/>
        <s v="Maing Khaung"/>
        <s v="Maliyang Baptist Church"/>
        <s v="Man Hkring Baptist Church"/>
        <s v="Momauk IDP new Extension camp_x000a_(Alen Kawng Lawk)"/>
        <s v="Namatee AG"/>
        <s v="Maw Hpawng Hka Nan Baptist Church"/>
        <s v="Maw Hpawng Lhaovo Baptist Church"/>
        <s v="Pan Wa"/>
        <s v="Namti Labraw Yang KBC Camp"/>
        <s v="Post 6 Camp"/>
        <s v="Pa Dauk Myaing(Pa La Na)-II"/>
        <s v="Nat Gyi Kone Baptist Church "/>
        <s v="Shatapru Thida Aye Baptist Church"/>
        <s v="Nawng Ing (Indawgyi) Baptist Church "/>
        <s v="Ndup Yang"/>
        <s v="Tat Kone COC Baptist - Tat Kone Htoi San"/>
        <s v="Tat Kone Emanuel Church"/>
        <s v="Njang Dung Baptist Church "/>
        <s v="Pajau - Jan Mai"/>
        <s v="Pang Hkawn Yang"/>
        <s v="Qtr. 2 Myoma Baptist Church"/>
        <s v="Inn Lel Yan - Host Families"/>
        <s v="Salang Yang"/>
        <s v="Tote Tan Ward"/>
        <s v="Sar Hmaw - KBC"/>
        <s v="Sha-It Yang"/>
        <s v="Shwe Gu Baptist Church"/>
        <s v="Shwe Gu Catholic Church"/>
        <s v="Shar Du Zut KBC church "/>
        <s v="Shar Du Zut SanPya"/>
        <s v="Shatapru Sut Ngai Tawng"/>
        <s v="Hka Garan Yang "/>
        <s v="Sumprabum"/>
        <s v="Saw Zam"/>
        <s v="Shing Jai"/>
        <s v="St. Joseph Tanai RC camp "/>
        <s v="Sin Bo"/>
        <s v="Hka Shi"/>
        <s v="Hkat Cho "/>
        <s v="Shwe Zet Baptist Church"/>
        <s v="St. Patrick Catholic Church "/>
        <s v="Sut Chyai"/>
        <s v="Woi Chyai "/>
        <s v="Maina AG Church"/>
        <s v="Tanai CoC"/>
        <s v="Tat Kone Baptist Church"/>
        <s v="Tat Kone Galile Baptist Church"/>
        <s v="Nawng Hee Village"/>
        <s v="Tat Kone San Pya Baptist Church"/>
        <s v="Tanai KBC Camp"/>
        <s v="Qtr. 2 Lhaovo Baptist Church"/>
        <s v="Ti Yang Zup"/>
        <s v="Qtr. 3 Mu-yin  Baptist Church"/>
        <s v="Sadung"/>
        <s v="Trinity Camp"/>
        <s v="Waimaw Baptist Zonal Office 2"/>
        <s v="Thargaya Lisu Baptist Church"/>
        <s v="Zupra"/>
        <s v="Waingmaw AG Church"/>
        <s v="Woi Chyai (Mong Lai)"/>
        <s v="Woi Chyai host families"/>
        <s v="Yoe Kyi Monastery"/>
        <s v="Gyin Chaung"/>
        <s v="Ah Nauk Ywe"/>
        <s v="Ku Lar Te"/>
        <s v="Ku Lar Thein"/>
        <s v="Ah Twin Hnget Thay"/>
        <s v="Baw Li (Muslim)"/>
        <s v="Baw Li (Rakhine)"/>
        <s v="Gone Nar"/>
        <s v="Gwa Sone (Muslim)"/>
        <s v="Gwa Sone (Rakhine)"/>
        <s v="Htan Shauk Khan"/>
        <s v="Kin Chaung"/>
        <s v=" Zay Ywar "/>
        <s v="Kyauk Yit (Rakhine)"/>
        <s v="Na Nwin Ku"/>
        <s v="Pyar Pin Yin"/>
        <s v="Sha Kay Ywa"/>
        <s v="Shat Shar Taung"/>
        <s v="Tha Bauk Chaung"/>
        <s v="Tha Yet Pyin (Rakhine)"/>
        <s v="Than Chay (Rakhine)"/>
        <s v="Thay Kan (Muslim)"/>
        <s v="Thay Kan (Rakhine)"/>
        <s v="Ward (1)"/>
        <s v="Aung Thar Yar"/>
        <s v="Aung Zay Ya"/>
        <s v="Shwe Baho"/>
        <s v="Wai Thar Li"/>
        <s v="Shwe Yin Aye (NaTaLa)"/>
        <s v="Ar Kya"/>
        <s v="Ka Yin"/>
        <s v="Ka Nyin Taw"/>
        <s v="Nyaung Chaung"/>
        <s v="Paung Zar"/>
        <s v="Kyu Taw Chaing"/>
        <s v="Na Htoe Pyin"/>
        <s v="Sin Aing"/>
        <s v="Sin Tet Maw"/>
        <s v="Sin Tet Maw (Host)"/>
        <s v="Sin Tet Maw Rakhine(Baw Da Li)"/>
        <s v="Thit Pok Chaung"/>
        <s v="Wa  Lan"/>
        <s v="Wa Lan Kone"/>
        <s v="Yae Hnyin Chaung"/>
        <s v="NiDin"/>
        <s v="Hpa Yar Pyin Thein Tan"/>
        <s v="Ah Lel Chaung"/>
        <s v="Zay Di Taung"/>
        <s v="Hpon Nyo Leik"/>
        <s v="Kin Taung"/>
        <s v="Say Taung"/>
        <s v="Aung Tha Pyay"/>
        <s v="Yae Nauk Ngar Thar"/>
        <s v="Zaw Ma Tat"/>
        <s v="Kyauk Ta Lone"/>
        <s v="Pyin Hpyu Maw"/>
        <s v="Kar Hpi Chaung"/>
        <s v="U Gar Hton"/>
        <s v="Ma La Kyun"/>
        <s v="Dway Cha"/>
        <s v="Basare"/>
        <s v="Baw Du Pha 1"/>
        <s v="YinYeKan"/>
        <s v="OhnHnanChaung"/>
        <s v="ThonePetChaing"/>
        <s v="MiGyaungTet"/>
        <s v="KaLarChaung"/>
        <s v="PyunTo"/>
        <s v="Sar Pyin"/>
        <s v="Nga Khu Chaung"/>
        <s v="Tha Yet Cho"/>
        <s v="Tha Yet"/>
        <s v="NgweTwinDway"/>
        <s v="NgaWetSway"/>
        <s v="HlaKhaing"/>
        <s v="MinPauk"/>
        <s v="Pyein Chaung (ngwe Twin Dway tract)"/>
        <s v="Chaung New Min Gan"/>
        <s v="Kan Pyin Ywa Haung"/>
        <s v="Kan Pyin Ywar Thit"/>
        <s v="Thone Saung"/>
        <s v="Kyauk Tan Gyi"/>
        <s v="Kyauk Tan Chay"/>
        <s v="Kyar Ma Thauk"/>
        <s v="Thein Tan"/>
        <s v="Kyan Taw"/>
        <s v="Say Tha Mar Gyi village"/>
        <s v="Baw Du Pha Village"/>
        <s v="Zaw Pu Gyar"/>
        <s v="Done Pyin (North)"/>
        <s v="Done Pyin (South)"/>
        <s v="Maung Ni Pyin"/>
        <s v="Pyar Lay Chaung Ywar Haung"/>
        <s v="Thin Pone Tan"/>
        <s v="Yae Chan Pyin"/>
        <s v="Ohn Ye Paw"/>
        <s v="Kyet Taw Pyin"/>
        <s v="Kha Tin Paik"/>
        <s v="Pyin Shey Ku lar"/>
        <s v="Ywar Thar Yar"/>
        <s v="Ohn Taw Gyi"/>
        <s v="Bu May Ohn Daw Chay"/>
        <s v="Dar Paing Ywar Haung"/>
        <s v="Dar Paing Ywar Thit"/>
        <s v="Sa Ma Nya Village"/>
        <s v="San Htoe Tan"/>
        <s v="Koe Saung (1) village"/>
        <s v="Hla May Shwe"/>
        <s v="Thet Kay Pyin"/>
        <s v="Shwe Zin Khin (Ku Lar)"/>
        <s v="Kyan Taik"/>
        <s v="Sat Yon Maw (Rakhine)"/>
        <s v="Ann Thar"/>
        <s v="Naw Naw(Rakhine)"/>
        <s v="Naw Naw(Ku Lar)"/>
        <s v="Ah Pyin Done Chaung"/>
        <s v="Thin Ga Zar"/>
        <s v="Than Shin Ywar Thit"/>
        <s v="Tan Seik"/>
        <s v="Sat Kyar"/>
        <s v="Let Taw Ri"/>
        <s v="Har Ra Paing"/>
        <s v="Kan Hpay"/>
        <s v="Thin Khaung Maw"/>
        <s v="Beik Taung"/>
        <s v="Sa Par Htar"/>
        <s v="Aung Taing"/>
        <s v="Taw Tan"/>
        <s v="Sin Seik"/>
        <s v="Ta Khun Taing"/>
        <s v="Done Thar"/>
        <s v="War Taung"/>
        <s v="Athay Kar La"/>
        <s v="Myin Kan Seik"/>
        <s v="Chaik Taung"/>
        <s v="Thar Dar"/>
        <s v="Shwe Zin Khin (Rakhine)"/>
        <s v="Seik Ta Ra"/>
        <s v="Gwa Sone Chin"/>
        <s v="Taung Poke Kay"/>
        <s v="Shwe Zin Yaw"/>
        <s v="Pale Taung"/>
        <s v="Baw Du Pha 2"/>
        <s v="Dar Pai"/>
        <s v="Dar Pai (IDP in host families)"/>
        <s v="Baw Du Pha Village (IDP in host families)"/>
        <s v="Khaung Doke Khar 1"/>
        <s v="Khaung Doke Khar 2 (Hmanzi)"/>
        <s v="Maw Ti Ngar"/>
        <s v="Ohn Taw Chay"/>
        <s v="Ohn Taw Gyi (North)"/>
        <s v="Ohn Taw Gyi (South)"/>
        <s v="Thea Chaung Let Tha Mar Kone"/>
        <s v="Phwe Yar Kone (Say Tha Mar Gyi)"/>
        <s v="Sat Roe Kya 1"/>
        <s v="Sat Roe Kya 2"/>
        <s v="Say Tha Mar Gyi"/>
        <s v="Say Tha Mar Nge"/>
        <s v="Set Yone Su 1"/>
        <s v="Set Yone Su 3 (Mingan)"/>
        <s v="Thae Chaung"/>
        <s v="Thae Chaung(Rakhine)"/>
        <s v="Thea Chaung Ku Lar"/>
        <s v="Thin Ga Net"/>
        <s v="Thet Kae Pyin "/>
        <s v="Thet Kae Pyin Village (IDPs in host family)"/>
        <s v="Thet Kay Pyin Ywar Ma"/>
        <s v="Taung Paw"/>
        <s v="Kan Thar Htwat Wa"/>
        <s v="Kyein Ni Pyin"/>
        <s v="Ah Nauk Ye Ku Lar"/>
        <s v="Nget Chaung 1"/>
        <s v="Nget Chaung 2"/>
        <s v="Yar Taik"/>
        <s v="Thone Gwa"/>
        <s v="Taung Htaung Hayar_Wa Lar Kan (Ku Lar)"/>
        <s v="Pi Htu_Wa Lar Kan"/>
        <s v="Taung Htaung Ha Yar"/>
        <s v="Taung Htaung"/>
        <s v="Pyaing Chaung"/>
        <s v="Pin Zaing"/>
        <s v="Kyar Nyo Inn"/>
        <s v="Tha Yet Oke Ywar Haung"/>
        <s v="Tha Yet Oke Ywar Thit"/>
        <s v="Shauk Chaung"/>
        <s v="Palae' Kaine"/>
        <s v="Ngar Yauk Kaing"/>
        <s v="Kyauk Se"/>
        <s v="Hla Nyo Kan"/>
        <s v="Ah Htet Gar Pu"/>
        <s v="Gar Pu (Lower)"/>
        <s v="Pyaung Seik"/>
        <s v="Oke Taung Pyin"/>
        <s v="Nga Ta Paung"/>
        <s v="Nay Pu Khan"/>
        <s v="Min Thar Seik"/>
        <s v="In Bar Yi"/>
        <s v="Doke Kan Chaung"/>
        <s v="Kar Di Ha Yar"/>
        <s v="Kar Di (Middle)"/>
        <s v="Pyar"/>
        <s v="Yun Nyar"/>
        <s v="Ngar Saung Bet"/>
        <s v="San Thar Pyin"/>
        <s v="Sabei Hla"/>
        <s v="Pon Nar"/>
        <s v="Ah Pauk Wa"/>
        <s v="Goke Pi Htaunt"/>
        <s v="Khaung Htoke"/>
        <s v="Let Saung Kauk"/>
        <s v="Shwe Hlaing"/>
        <s v="Kyet Yoe Pyin (Ywa Ma)"/>
        <s v="Ta Man Thar (Thar Zay)_(Myo)"/>
        <s v="Thar Yar Kone (Rakhine)"/>
        <s v="Thin Baw Hla (Rakhine) (Thar Yar Gone)"/>
        <s v="Tha Dar"/>
        <s v="Ah Nauk Pyin"/>
        <s v="Nyaung Pin Gyi (Ku Lar)"/>
        <s v="Auk Thar Kan"/>
        <s v="Aung Tat Ward (Aung Mingalar Monastery)"/>
        <s v="Aung Tat Ward (Aung Zaydi Hpayar Thin)"/>
        <s v="Aung Tat Ward (Dein Kyi Monastery)"/>
        <s v="Aung Tat Ward (Myo Thit Monastery)"/>
        <s v="Aung Tat Ward (Naratsar Hpayar Thin)"/>
        <s v="Chaung Thit Monastery"/>
        <s v="Gwa Sone Rakhine"/>
        <s v="Htan Ma Rit (Kwet Thit)"/>
        <s v="Kyauk Reik Kay Monastery"/>
        <s v="Let Kauk Zay Monastery"/>
        <s v="Mya Ta Saung Monastery"/>
        <s v="Myet Yeik Kyun Monastery"/>
        <s v="Nyaung Bin Hla Village"/>
        <s v="Payar Por Thain Taw Gyi Monastery"/>
        <s v="Phayapaw Phayathein"/>
        <s v="Pi Pin Yin Monastery"/>
        <s v="Mra_Zay Di Taung"/>
        <s v="Shaw Me (primary school)"/>
        <s v="Shit Thaung Monastery"/>
        <s v="Shwe Taung Monastery"/>
        <s v="Sin Kae (High School)"/>
        <s v="Sin Khing Baw (Primary School)"/>
        <s v="Taung Myint"/>
        <s v="Tein Nyo"/>
        <s v="Thin Pan Kaing"/>
        <s v="Thu Yiya Yaung Chi Monastery"/>
        <s v="Tin Htein Kan Monastery"/>
        <s v="Tin Nyo (Primary school)"/>
        <s v="Tin Nyo Thit Monastery"/>
        <s v="Wet Hla Middle School"/>
        <s v="Ywar Thit Kay Monastery"/>
        <s v="Pan Myaung (Aung Mingalar Monastery)"/>
        <s v="Kyun Taw"/>
        <s v="Mya Yaike Kyun"/>
        <s v="Ywar Thit Monastery/Pan Myaung"/>
        <s v="Gye Kyaung"/>
        <s v="Win Zar"/>
        <s v="Ah Htet Myat Hle"/>
        <s v="Ah Htet Thin Pone Tan"/>
        <s v="Auk Myat Hle"/>
        <s v="Auk Thin Pone Than/ Phar Kywe"/>
        <s v="Ban Bwee"/>
        <s v="Be Kho"/>
        <s v="Hpar Kywe Wa"/>
        <s v="Kun Taung"/>
        <s v="Yoe Ta Yoke"/>
        <s v="Let Wea Myan"/>
        <s v="Nga/Pyauk Se"/>
        <s v="Sin Thi Pein Hne Taw"/>
        <s v="Taung Yin"/>
        <s v="Taung Yin School Compound"/>
        <s v="KAT_Nyaung Chaung"/>
        <s v="Nga Sin Rine Kine Primary School"/>
        <s v="Tha Lu Chaung"/>
        <s v="War Taung Camp"/>
        <s v="Kan Sauk"/>
        <s v="Taung Min Ku Lar"/>
        <s v="Hnget Pyaw Chaung"/>
        <s v="Doke Kan Chaung Monastery"/>
        <s v="Myo Thit Ward"/>
        <s v="Paik Thei Ward"/>
        <s v="Bo Min Monastery"/>
        <s v="Aung Zay Ya Monastery"/>
        <s v="Ba Ra War Monastery"/>
        <s v="Kyar Nin Kan Monastery"/>
        <s v="Zin Khar Chay Monastery"/>
        <s v="BUT_Sa Par Htar"/>
        <s v="Kyar Nyo Pyin"/>
        <s v="Kyauk Yant (Rakhine)"/>
        <s v="Min Hla Kaing"/>
        <s v="Nga Pha Yone"/>
        <s v="Say Oe Kya ( Host+ Displaced)"/>
        <s v="Shwe Thee "/>
        <s v="Thay Kan Gwa Sone ( Host)"/>
        <s v="Wah Net Yone "/>
        <s v="Zay Di Taung  ( Host + Displaced)"/>
        <s v="Oke Hpo (Oe Hpauk)"/>
        <s v="RAT_Zay Di Pyin"/>
        <s v="Yet Khone Taing"/>
        <s v="Zee Khaung"/>
        <s v="Yay Myet"/>
        <s v="Hpet Leik"/>
        <s v="Aung Zay Kone"/>
        <s v="Ah Shey (North) Ward"/>
        <s v="Pe Tha Du"/>
        <s v="Tha Mee Hla"/>
        <s v="Ray Zar Chaung"/>
        <s v="Sin Khone Taing"/>
        <s v="Gan Kya"/>
        <s v="Ba Wan Chaung Wa Su Ward / Monastery"/>
        <s v="Sin Baw Kaing (School)"/>
        <s v="Sin Baw Kaing (Monastery)"/>
        <s v="Bar Ri Zar"/>
        <s v="Done Thein"/>
        <s v="Kyar Nyo Pyin (Muslim)"/>
        <s v="Ywa Thit"/>
        <s v="Ywa Haung"/>
        <s v="Inn Hpauk"/>
        <s v="Ka Doe Seik"/>
        <s v="Nan Yah Gone Ahtet"/>
        <s v="Zay Di Taung (Rakhine)"/>
        <s v="Teik Tu Pauk"/>
        <s v="San Go Taung"/>
        <s v="Nwar Yone Taung"/>
        <s v="Thein Tan (Ku Lar)"/>
        <s v="Thein Tan (Rakhine)"/>
        <s v="Chan Pyin"/>
        <s v="Sa Bai Pin Yin"/>
        <s v="Kyauk Hlay Kar"/>
        <s v="Thar Zay Kone (Thar Zi Kone)"/>
        <s v="Ngwe Taung"/>
        <s v="Kan Thar Yar"/>
        <s v="Shwe Baho+Sein P M"/>
        <s v="Tat U Chaung (West)"/>
        <s v="Galeng (Palaung) &amp; Kone Khem"/>
        <s v="Hpai Kawng"/>
        <s v="Hpai Kawng Mare"/>
        <s v="Hu Hku &amp; Ho Hko"/>
        <s v="Kone Khem Camp"/>
        <s v="Kutkai downtown (KBC Church)"/>
        <s v="Kutkai downtown (KBC Church-2)"/>
        <s v="Kutkai downtown (RC Church)"/>
        <s v="Kyu Sot"/>
        <s v="Lisu Baptist Church"/>
        <s v="Lisu Church Namtu"/>
        <s v="Mai Yu Lay New (Ta'ang)"/>
        <s v="Man Kaung/Naung Ti Kyar Village"/>
        <s v="Man Loi"/>
        <s v="Mandung - Jinghpaw"/>
        <s v="Mandung - RC"/>
        <s v="Mine Yu Lay village ( Old)"/>
        <s v="Mong Wee Shan"/>
        <s v="Mung Hawm "/>
        <s v="Mungji Pa Dabang (Baptist Church)"/>
        <s v="Mungji Pa Dabang (Catholic Church)"/>
        <s v="Muse Baptist Church"/>
        <s v="Muse Catholic Church"/>
        <s v="Nam Hkam - Nay Win Ni (Palawng)"/>
        <s v="Nam Hkam (KBC Jaw Wang)"/>
        <s v="Nam Hkam (KBC Jaw Wang) II"/>
        <s v="Nam Hkam Catholic Church ( St. Thomas I)"/>
        <s v="Nam Hpak Ka Mare "/>
        <s v="Nam Hpak Ka Ta'ang ( Aung Tha Pyay)"/>
        <s v="Nam Sa Larp"/>
        <s v="Nam Tu Baptist"/>
        <s v="Namhkan - Pang Long KBC"/>
        <s v="New Pang Ku "/>
        <s v="Pan Law"/>
        <s v="Pan Ta Pyae"/>
        <s v="Tsan Lun - Namjarap"/>
        <s v="Zup Aung Camp"/>
        <s v="Sasana 2500 monastery"/>
        <s v="Boe Taw monastery"/>
        <s v="Man Li"/>
        <m u="1"/>
        <s v="Ramree Town" u="1"/>
        <s v="Tanai KBC Church " u="1"/>
        <s v="Gyit Chaung" u="1"/>
        <s v="Let Than Chi (Ywar Thit)" u="1"/>
        <s v="Taw Kan" u="1"/>
        <s v="Sa Pe Kong A Nauk Ywa" u="1"/>
        <s v="Dar Let (South)" u="1"/>
        <s v="Mang Hawng Baptist Church" u="1"/>
        <s v="Pyu Chaing" u="1"/>
        <s v="Hindu" u="1"/>
        <s v="Cheit Taung" u="1"/>
        <s v="Thein Taung pyin (Dine Net)" u="1"/>
        <s v="Mee Pho Kone" u="1"/>
        <s v="Tha Yet Taung" u="1"/>
        <s v="Ywa Gyi (Tha Yet Kin Ma Nu)" u="1"/>
        <s v="Hpaung Taw Pyin" u="1"/>
        <s v="Ba laung Chaung" u="1"/>
        <s v="Maw Htet" u="1"/>
        <s v="Lambraw Yang KBC, Namatee" u="1"/>
        <s v="Pyeing Chaung" u="1"/>
        <s v="Dar Shey" u="1"/>
        <s v="Chi Laing Hpin" u="1"/>
        <s v="Let Wea Det Pyin Shey" u="1"/>
        <s v="Dar Paing Village" u="1"/>
        <s v="Let Than Chi (Haung)" u="1"/>
        <s v="Godzilla (Hteik Tu Pauk Myauk)" u="1"/>
        <s v="Mingalar on" u="1"/>
        <s v="Zedi Pyin" u="1"/>
        <s v="Zin Kha Mar" u="1"/>
        <s v="Kyone Pyin" u="1"/>
        <s v="Mardilla" u="1"/>
        <s v="Thar Yar Kone (M)" u="1"/>
        <s v="Lu Fan Pyin" u="1"/>
        <s v="Taik Maw" u="1"/>
        <s v="Kha Tin Pike Gyi" u="1"/>
        <s v="Kyee Kan Pyin ( Temoprary Tent)" u="1"/>
        <s v="Muslim (Aley Ywa)" u="1"/>
        <s v="Kar Di" u="1"/>
        <s v="Ohn Chaung" u="1"/>
        <s v="Langui" u="1"/>
        <s v="Kat Pa Kaung" u="1"/>
        <s v="Inn Chaung (Muslim)" u="1"/>
        <s v="Nyaung Pin Gyi (Rakhine)" u="1"/>
        <s v="War Bo" u="1"/>
        <s v="Nant Yar Gaing (Nant Yar Gaing)" u="1"/>
        <s v="Set Yone Su 3" u="1"/>
        <s v="Qtr. 4 Monestry (Thargaya Thayett Taw)" u="1"/>
        <s v="Laung Don (Myo)" u="1"/>
        <s v="Koe Tan Kauk" u="1"/>
        <s v="Naw Wai" u="1"/>
        <s v="Trinity KBC Church" u="1"/>
        <s v="U Htoe Dan " u="1"/>
        <s v="Shwe Zar (Middle)" u="1"/>
        <s v="Kwayt Shey Ywar Thit_x000a_(Kwayt Shay)" u="1"/>
        <s v="Maw Staw Bis" u="1"/>
        <s v="Ywa thit Kay" u="1"/>
        <s v="Ah Htet Nan Yar" u="1"/>
        <s v="Ah Lel Mu" u="1"/>
        <s v="Wa Taung Camp" u="1"/>
        <s v="Lun Kyaw" u="1"/>
        <s v="Kun Thee Pin" u="1"/>
        <s v="Mei Za Li Kaing" u="1"/>
        <s v="Maw" u="1"/>
        <s v="Ah Nauk" u="1"/>
        <s v="Kyaung Taung" u="1"/>
        <s v="Mi Chaung Yae Thauk" u="1"/>
        <s v="Lone Tin" u="1"/>
        <s v="Tat Oo Anauk" u="1"/>
        <s v="Thit Tone Na Gwa Sone (Ywa Ma)" u="1"/>
        <s v="Ramree Ward 6" u="1"/>
        <s v="Wa Hmyaung" u="1"/>
        <s v="Kyauk Ka Lay" u="1"/>
        <s v="Mi Nyo Htaunt_Thar Si" u="1"/>
        <s v="Thit Ka Toe" u="1"/>
        <s v="Nga San Baw (Moke Soe Chaung) (Ywar Haung)" u="1"/>
        <s v="Ni Lin Paw" u="1"/>
        <s v="Rakhine Ywa" u="1"/>
        <s v="Hta Ma Rit (Kwet Thit)" u="1"/>
        <s v="Aung Pa" u="1"/>
        <s v="Faw Tay Ali " u="1"/>
        <s v="Ah Du" u="1"/>
        <s v="Kan Pyi Tha Zi" u="1"/>
        <s v="Ta Man Thar Ah Nauk (Rakhine)" u="1"/>
        <s v="Nur Ru Lar" u="1"/>
        <s v="Ma Ji Bum" u="1"/>
        <s v="Ngan Chaung_Gone Nar" u="1"/>
        <s v="Kyauk Yan (Rakhine)" u="1"/>
        <s v="Nga/ Pun Ywar Shey" u="1"/>
        <s v="Inn Din (Rakhine)" u="1"/>
        <s v="Chin Ywa(Pyaing Taung)" u="1"/>
        <s v="Ba Da Nar" u="1"/>
        <s v="Kon Tan (U Daung Ah Nauk)" u="1"/>
        <s v="Thein Taung pyin (Muslim)" u="1"/>
        <s v="Kyauk Pan Du (NTL)" u="1"/>
        <s v="Nat Maw (Upper)" u="1"/>
        <s v="Palay Taung Ywa Thit" u="1"/>
        <s v="Ahr Kar Taung" u="1"/>
        <s v="Min Gyi (Tu Lar Tu Li)" u="1"/>
        <s v="Dar Peit" u="1"/>
        <s v="Nam Hpak Ka Ta'ang" u="1"/>
        <s v="Phyar Pyin" u="1"/>
        <s v="La Mu Ta Pin" u="1"/>
        <s v="Kan Pyin" u="1"/>
        <s v="Thi Ho Kyun Tha Dar ( Myo/ Temporary)" u="1"/>
        <s v="Maung Ni" u="1"/>
        <s v="Kyauk Yit Muslim" u="1"/>
        <s v="Kan Ni" u="1"/>
        <s v="DPA" u="1"/>
        <s v="Shwe Zar (North)" u="1"/>
        <s v="Mai Yu Lay Ta'ang" u="1"/>
        <s v="Ywar Gyi (Middle)" u="1"/>
        <s v="Ywar Haung Ah Htet" u="1"/>
        <s v="Me la zi Kone" u="1"/>
        <s v="Bomu Ywa" u="1"/>
        <s v="Ngar Sar Kyu" u="1"/>
        <s v="Ashit Ywa_M" u="1"/>
        <s v="Bar Sa Yar Host" u="1"/>
        <s v="Thein Tan (Muslim)" u="1"/>
        <s v="Kha Yay Myaing (NaTaLa)" u="1"/>
        <s v="Nyaung Pin Hla" u="1"/>
        <s v="Wai Thar Le" u="1"/>
        <s v="Win Su" u="1"/>
        <s v="Thu U Lar" u="1"/>
        <s v="Aung Daing " u="1"/>
        <s v="Kauk Kyit" u="1"/>
        <s v="Ashit Ywa_R" u="1"/>
        <s v="Rakhine Ywa_R" u="1"/>
        <s v="Pa Da Kar Ywar Thit" u="1"/>
        <s v="Inn Chaung (Daing Net)" u="1"/>
        <s v="Kywi Te" u="1"/>
        <s v="Mee Taik" u="1"/>
        <s v="Chin Ywar Min Pyin" u="1"/>
        <s v="Zee kone Tan (or) Kon Tan Zay" u="1"/>
        <s v="Chin Pyin" u="1"/>
        <s v="Ohn Taw Shey" u="1"/>
        <s v="Zaw Pu Gyer" u="1"/>
        <s v="Sapar Seik (Shari)" u="1"/>
        <s v="Ah Bu Gyar" u="1"/>
        <s v="Shwe Zar (west)" u="1"/>
        <s v="Pyaing Taung" u="1"/>
        <s v="Myauk Ywa" u="1"/>
        <s v="Mi Nyo Htaunt" u="1"/>
        <s v="Kyauk Yit RK" u="1"/>
        <s v="Lambraw Yang Rc, Namatee" u="1"/>
        <s v="Sin Oe" u="1"/>
        <s v="Ah Lar Than" u="1"/>
        <s v="Honsara (Zaw Ma Tat)" u="1"/>
        <s v="Hpar Wut Chaung" u="1"/>
        <s v="Tanai RC Church - Kinsa Ra " u="1"/>
        <s v="Yai Mya" u="1"/>
        <s v="Let Wea Det Pyin Shey_Ywar Thit" u="1"/>
        <s v="Pyin  Hla Zay Ywa" u="1"/>
        <s v="Aung Thay Pyay (San Suri)" u="1"/>
        <s v="Myet Tauk" u="1"/>
        <s v="A Lei Ywar" u="1"/>
        <s v="Nga/Tauk Tet" u="1"/>
        <s v="Pan Taw Pyin" u="1"/>
        <s v="Thit Tone Nar Gwa Son" u="1"/>
        <s v="Myoma Myauk (Chitta Ywa)" u="1"/>
        <s v="Kha Maung Seik North" u="1"/>
        <s v="Koe Song (2) Village" u="1"/>
        <s v="Mee Chaung Zay_Ywar Thit" u="1"/>
        <s v="Khat Pa Kaung" u="1"/>
        <s v="Oe Pone" u="1"/>
        <s v="Kine Gyi (Rakhine)" u="1"/>
        <s v="Min Ga Lar Ahr Sheik Kyar" u="1"/>
        <s v="Shwe Hlaing Rakhine" u="1"/>
        <s v="Lin Bar Gone Nar" u="1"/>
        <s v="Ka Yin Taw" u="1"/>
        <s v="Pyin Hpyu" u="1"/>
        <s v="Pae Tha Du " u="1"/>
        <s v="Phas Kawri" u="1"/>
        <s v="Myo U" u="1"/>
        <s v="Hmanzi " u="1"/>
        <s v="Nga Pwint Gyi" u="1"/>
        <s v="Let Wea Det" u="1"/>
        <s v="Narte" u="1"/>
        <s v="Say Tha Ma" u="1"/>
        <s v="Auk Tha Kan" u="1"/>
        <s v="Phwe Yar Kone" u="1"/>
        <s v="Tha Yet Oke" u="1"/>
        <s v="Man Sa" u="1"/>
        <s v="Thaing Ta Poke" u="1"/>
        <s v="Kha Yu Chaung (Muslim)" u="1"/>
        <s v="Nga Khu Ya (Myauk Ywar)" u="1"/>
        <s v="Shwe Tee " u="1"/>
        <s v="Ka Nyin Chaung" u="1"/>
        <s v="Yin Chaung" u="1"/>
        <s v="Ah Htet Nan Yar (Muslim)" u="1"/>
        <s v="Yai Myet Taung Ywa Thit" u="1"/>
        <s v="Shwe Zar _Hindu" u="1"/>
        <s v="Phwe Yar Gone village" u="1"/>
        <s v="Sai Nai Baptish Church, Maw Shan Vil., Seki Mu" u="1"/>
        <s v="Lan Gwa KBC Church" u="1"/>
        <s v="Be Lar Mi" u="1"/>
        <s v="Sa Khan Maw" u="1"/>
        <s v="Zin Baw Gaing (school)" u="1"/>
        <s v="Doe Tan" u="1"/>
        <s v="Kyet Mauk Taung (Myauk Ywar)" u="1"/>
        <s v="Pyaung Chaung" u="1"/>
        <s v="Gaung Gyi" u="1"/>
        <s v="Pyein Chaung" u="1"/>
        <s v="Ah Hla Sin" u="1"/>
        <s v="Za Yat Kwin" u="1"/>
        <s v="Zaw Ma Tat ( Kyine Gyi)" u="1"/>
        <s v="Kutkhai KBC-2 (Block-6)" u="1"/>
        <s v="Ywar Gyi" u="1"/>
        <s v="Wa Lar Kan" u="1"/>
        <s v="Kha Yan Kyun" u="1"/>
        <s v="Thar Si" u="1"/>
        <s v="A Lei Ywar " u="1"/>
        <s v="Thet Kel Pyin Village" u="1"/>
        <s v="Kyu Yaw Chaing" u="1"/>
        <s v="Ywet Nyo Taung" u="1"/>
        <s v="Hla Tha Ma" u="1"/>
        <s v="Oe Hpauk Ywar Thit" u="1"/>
        <s v="Gaw Yaw Ma Ni" u="1"/>
        <s v="U Daung (NaTaLa)" u="1"/>
        <s v="Pyin Chay" u="1"/>
        <s v="Kan Sit" u="1"/>
        <s v="Kyauk Pyin Seik" u="1"/>
        <s v="Kywe Ta Ma" u="1"/>
        <s v="Nga/Pun Ywar Gyi" u="1"/>
        <s v="Thea Chaung Ywar Thit Kay" u="1"/>
        <s v="Shwe Yin Aye" u="1"/>
        <s v="Kan Kyar Myauk" u="1"/>
        <s v="Chut Pyin" u="1"/>
        <s v="Nawng Nan, Jaw Ma Sat KBC Church" u="1"/>
        <s v="Sin Kay ( High School)" u="1"/>
        <s v="Kan Chaung Wa" u="1"/>
        <s v="Zin Baw Gaing (Monastery)" u="1"/>
        <s v="Zon Mar" u="1"/>
        <s v="Myaung Nar" u="1"/>
        <s v="Hin Thar Ra" u="1"/>
        <s v="Sin U Taik" u="1"/>
        <s v="Pon Sar" u="1"/>
        <s v="Saw Kina Ma" u="1"/>
        <s v="Shar Du Zut RC church" u="1"/>
        <s v="Phwe Ra" u="1"/>
        <s v="Taung (Pale Taung)" u="1"/>
        <s v="Nga Let Kya" u="1"/>
        <s v="Nam Hkawng" u="1"/>
        <s v="Yae Nauk Ngar Thar (Daing Nat)" u="1"/>
        <s v="Jwan Jaw KBC" u="1"/>
        <s v="That Kaing Nyar (Thet)" u="1"/>
        <s v="Laung Chaung (Daing Net)" u="1"/>
        <s v="Zu Kaing" u="1"/>
        <s v="Ah Htet Nan Yar (Rakhine)" u="1"/>
        <s v="Nga Khu Ya" u="1"/>
        <s v="Kan Beit" u="1"/>
        <s v="Baw Du Pa" u="1"/>
        <s v="Play Taung Ywa Gyi North" u="1"/>
        <s v="Man wing gyi (host school)" u="1"/>
        <s v="Rakhine" u="1"/>
        <s v="Ah Htet See Maung" u="1"/>
        <s v="Tha Yet Oak" u="1"/>
        <s v="Kyun Pauk Ku Lar" u="1"/>
        <s v="Goke Pi Htaunt (Rakhine)" u="1"/>
        <s v="Thea Chaung Pyu Su" u="1"/>
        <s v="Zin Paing Nyar" u="1"/>
        <s v="Thin Pon Tan" u="1"/>
        <s v="Zay Teit Taung" u="1"/>
        <s v="Say Tha Ma Gyi" u="1"/>
        <s v="Aung Ba La" u="1"/>
        <s v="Let Wea Det Pyin Shey_Tha Pyay Taw" u="1"/>
        <s v="Pyin Shey" u="1"/>
        <s v="Yat Khone Taing" u="1"/>
        <s v="Bethela KBC church" u="1"/>
        <s v="Taung Chauk" u="1"/>
        <s v="Tauk Sone" u="1"/>
        <s v="Kan Za Li" u="1"/>
        <s v="Hpar Wut Chaung (Myauk Ywar)" u="1"/>
        <s v="Mine Yu Lay village" u="1"/>
        <s v="Chaung Pauk" u="1"/>
        <s v="Tanai AG Church" u="1"/>
        <s v="Ah Nauk Ka Maung Seik" u="1"/>
        <s v="Kin Taung (Taung + Myauk)" u="1"/>
        <s v="Taung Chaung" u="1"/>
        <s v="Dar Let Ah Lel Kyun" u="1"/>
        <s v="Kone Tan" u="1"/>
        <s v="Bu May" u="1"/>
        <s v="Aung Thay Pyay (NaTaLa)" u="1"/>
        <s v="Than Chay RK" u="1"/>
        <s v="Inn Din_new village" u="1"/>
        <s v="Tan Zwei" u="1"/>
        <s v="Thit Taw Ywa" u="1"/>
        <s v="Out Thar Kan Monastery" u="1"/>
        <s v="Dar Gyi Zar" u="1"/>
        <s v="Yae Myet" u="1"/>
        <s v="Gwa Sone Muslim" u="1"/>
        <s v="Yar Tan" u="1"/>
        <s v="Chein Khar Li" u="1"/>
        <s v="Nga Ku Ya (Ku Lar)" u="1"/>
        <s v="Kyauk Yan Thar Si" u="1"/>
        <s v="Raza Bil" u="1"/>
        <s v="Kan Tha Ya" u="1"/>
        <s v="Taung Pauk" u="1"/>
        <s v="War Net Chun" u="1"/>
        <s v="Auk Myat Lay" u="1"/>
        <s v="InjangYang  host families" u="1"/>
        <s v="Kan Paing Nar" u="1"/>
        <s v="Thit Poke Chaung" u="1"/>
        <s v="Say Ti Taung " u="1"/>
        <s v="Shwe Ta Mar" u="1"/>
        <s v="Pauk Pin Yin" u="1"/>
        <s v="Taung Ywa" u="1"/>
        <s v="Kyee Kan Pyin ( Surrounding)" u="1"/>
        <s v="Dar Let (North)" u="1"/>
        <s v="Ta Gun Taing Monastery (Shwe Kyi Na)" u="1"/>
        <s v="Pa Lat Kay" u="1"/>
        <s v="Zay Di Pyin" u="1"/>
        <s v="Ah Shae Myauk Quarter" u="1"/>
        <s v="Baw Li " u="1"/>
        <s v="Baw Ya Par" u="1"/>
        <s v="Wa Khote Chaung" u="1"/>
        <s v="Kyar Nyo Pyin (Rakhine)_x000a_+ Pyar Yae" u="1"/>
        <s v="Alay Mushee" u="1"/>
        <s v="Sin Khone Taing (Rakhine)" u="1"/>
        <s v="Du Than Dar" u="1"/>
        <s v="Pyaing Taung (Rakhine)" u="1"/>
        <s v="U Yin Thar" u="1"/>
        <s v="Ah Kyaw (Arisha Para)" u="1"/>
        <s v="Nga Kyi Tauk Daing Nat" u="1"/>
        <s v="Thet Kaing Ngyar" u="1"/>
        <s v="Sin Thay Pyin (Zay Di Pyin)" u="1"/>
        <s v="Shwe Zar Kat Pa Kaung" u="1"/>
        <s v="Sin Thi Pein Hne Taw (Sin Tae)" u="1"/>
        <s v="Wa Lar Kann" u="1"/>
        <s v="Tanai AG Church " u="1"/>
        <s v="Namtu RC" u="1"/>
        <s v="Taung Pyo ( 3Quarter)" u="1"/>
        <s v="Kyaung Swae Phyu" u="1"/>
        <s v="Ywa Haung_M" u="1"/>
        <s v="Muslim (Taung Ywa)" u="1"/>
        <s v="Din Gar" u="1"/>
        <s v="Baw Di Kone" u="1"/>
        <s v="Kan Kyar Taung " u="1"/>
        <s v="Nat Chaung (Garapyin)" u="1"/>
        <s v="Mingalar Nyunt (NaTaLa)" u="1"/>
        <s v="Nyaung Chaung_ann" u="1"/>
        <s v="Aung Si Kone" u="1"/>
        <s v="Ah Myet Taung" u="1"/>
        <s v="Sein Hnyin Pyar_Tha Pyay Taw" u="1"/>
        <s v="Ywa Haung_R" u="1"/>
        <s v="Ywa Ma" u="1"/>
        <s v="Let Thar Ywa" u="1"/>
        <s v="Ma Hawng RC " u="1"/>
        <s v="Wet Mee To" u="1"/>
        <s v="Girl Boarding house, A Len Bum" u="1"/>
        <s v="Ma Gyi Koung" u="1"/>
        <s v="Yan Aung Pyin" u="1"/>
        <s v="Kar Di (Kywe Cho Maw)" u="1"/>
        <s v="Zedi Taung (Muslim)" u="1"/>
        <s v="Swi Chaung" u="1"/>
        <s v="site A" u="1"/>
        <s v="Tan Khoe" u="1"/>
        <s v="Thar Yar Kone" u="1"/>
        <s v="Laung Sat" u="1"/>
        <s v="Kyauk Pan Du" u="1"/>
        <s v="Majee Ywa" u="1"/>
        <s v="Si Tar (Pa Zun Chaung)" u="1"/>
        <s v="Sin Khone Taing (Ku Lar)" u="1"/>
        <s v="Kywe Lan Chaung" u="1"/>
        <s v="Gudar Pyin" u="1"/>
        <s v="Ka Nyin Tan" u="1"/>
        <s v="Baw Du Pha (IDP in host families)" u="1"/>
        <s v="Lam Bar Gone Nah" u="1"/>
        <s v="Daung Pyauk Kay" u="1"/>
        <s v="Taungchay Ywa Muslim" u="1"/>
        <s v="Nga/ Pun Ywar Gyi" u="1"/>
        <s v="Kyeik Chaung" u="1"/>
        <s v="Chin Kone" u="1"/>
        <s v="Maung Hpyu (Da Pyu Chaung)" u="1"/>
        <s v="Kyet Mauk Taung (Taung Ywar)" u="1"/>
        <s v="Myat Yeik Kyun Monastery" u="1"/>
        <s v="Zaw Ma Tat ( Myo/ Relocation)" u="1"/>
        <s v="Gaung Nyar" u="1"/>
        <s v="Navy Seik" u="1"/>
        <s v="Ywet Nyo Taung ( Rakhine)" u="1"/>
        <s v="Yay Chan Pyin" u="1"/>
        <s v="Wet Ma Kya" u="1"/>
        <s v="Min Kha Maung (NaTaLa)" u="1"/>
        <s v="Ywa Thar Yar" u="1"/>
        <s v="Ahla Madi" u="1"/>
        <s v="Thit Tone Na Gwa Sone (Daung Ywa)" u="1"/>
        <s v="Ywar Thit Kay" u="1"/>
        <s v="Done Pyin Village" u="1"/>
        <s v="Oke Kan" u="1"/>
        <s v="Ah Lel Ywa" u="1"/>
        <s v="La Baw Zar" u="1"/>
        <s v="Kyein Chaung" u="1"/>
        <s v="Hpar Wut Chaung (Ywar Thit)" u="1"/>
        <s v="Tan Chaung" u="1"/>
        <s v="Fatar" u="1"/>
        <s v="San Pai Pin Yin" u="1"/>
        <s v="Ngan Chaung" u="1"/>
        <s v="Phat Lake" u="1"/>
        <s v="Myaunk Ywa_R" u="1"/>
        <s v="Than Pyin" u="1"/>
        <s v="Rakhine Min Pyin" u="1"/>
        <s v="Kyauk Yant" u="1"/>
        <s v="Bu Chaung" u="1"/>
        <s v="Thaung Paing Nyar" u="1"/>
        <s v="Pyin Hlyar Shey" u="1"/>
        <s v="Koun Tan" u="1"/>
        <s v="Gan Gaw Myaing ( Na Ta La )" u="1"/>
        <s v="Sar Kon Boke (Hindu Para)" u="1"/>
        <s v="Wet Kyein (Myo)" u="1"/>
        <s v="Tha Ray Kon Baung" u="1"/>
        <s v="Ward-6 (Lay Myaing)" u="1"/>
        <s v="Pann Phaw Pyin" u="1"/>
        <s v="Aung Zay Yar" u="1"/>
        <s v="Min Ga Lar Gyi" u="1"/>
        <s v="Taung Pyo ( 1 Quarter)" u="1"/>
        <s v="Taung Pyo ( 2 Quarter)" u="1"/>
        <s v="Taung Pyo ( 4 Quarter)" u="1"/>
        <s v="Taung Maw" u="1"/>
        <s v="Kha Tin Pike Chay" u="1"/>
        <s v="Tang Hpre RC Church" u="1"/>
        <s v="Kyauk Sar Dine" u="1"/>
        <s v="Pa Dauk Myaing (Pa La Na) II" u="1"/>
        <s v="Oak Pho" u="1"/>
        <s v="Pet Khwet Seik" u="1"/>
        <s v="Boys Boarding house, A Len Bum" u="1"/>
        <s v="Yoe Ngu" u="1"/>
        <s v="Aung Sit Pyin ( Done Pike)" u="1"/>
        <s v=" A Htet Myat Lay" u="1"/>
        <s v="Aung Mingalar (NaTaLa)" u="1"/>
        <s v="Aung Thar Yar (NaTaLa)" u="1"/>
        <s v="Thit Tone Nar Lay Myo" u="1"/>
        <s v="Khaung Doke Khar" u="1"/>
        <s v="Myauk Ywar" u="1"/>
        <s v="Kyauk Sar Taing" u="1"/>
        <s v="Tha Pyay Seik" u="1"/>
        <s v="Shan Kone" u="1"/>
        <s v="Aung Zay Ya (Su See)" u="1"/>
        <s v="Ka Nyin" u="1"/>
        <s v="Than Du" u="1"/>
        <s v="Yoe Ta Yote" u="1"/>
      </sharedItems>
    </cacheField>
    <cacheField name="Total HH" numFmtId="0">
      <sharedItems containsSemiMixedTypes="0" containsString="0" containsNumber="1" minValue="2" maxValue="3210"/>
    </cacheField>
    <cacheField name="Total PoP " numFmtId="0">
      <sharedItems containsSemiMixedTypes="0" containsString="0" containsNumber="1" containsInteger="1" minValue="13" maxValue="16050"/>
    </cacheField>
    <cacheField name="Project start date" numFmtId="0">
      <sharedItems containsDate="1" containsBlank="1" containsMixedTypes="1" minDate="2017-01-01T00:00:00" maxDate="2020-10-31T00:00:00"/>
    </cacheField>
    <cacheField name="Project end date" numFmtId="165">
      <sharedItems containsDate="1" containsBlank="1" containsMixedTypes="1" minDate="2018-06-30T00:00:00" maxDate="2021-12-22T00:00:00"/>
    </cacheField>
    <cacheField name="#_students at TLS_CFS" numFmtId="164">
      <sharedItems containsString="0" containsBlank="1" containsNumber="1" containsInteger="1" minValue="0" maxValue="3256"/>
    </cacheField>
    <cacheField name="#_ paid camp based WASH skilled labor" numFmtId="164">
      <sharedItems containsString="0" containsBlank="1" containsNumber="1" containsInteger="1" minValue="0" maxValue="13"/>
    </cacheField>
    <cacheField name="#_paid camp based unskilled WASH unskilled labor" numFmtId="164">
      <sharedItems containsString="0" containsBlank="1" containsNumber="1" containsInteger="1" minValue="0" maxValue="162"/>
    </cacheField>
    <cacheField name="# Work days (approx) lost in this site due to access restrictions" numFmtId="164">
      <sharedItems containsBlank="1" containsMixedTypes="1" containsNumber="1" containsInteger="1" minValue="0" maxValue="30"/>
    </cacheField>
    <cacheField name="WASH Focal in camp management structure?" numFmtId="0">
      <sharedItems containsBlank="1"/>
    </cacheField>
    <cacheField name="#_men on camp WASH team" numFmtId="164">
      <sharedItems containsString="0" containsBlank="1" containsNumber="1" containsInteger="1" minValue="0" maxValue="98"/>
    </cacheField>
    <cacheField name="#_women on camp WASH team" numFmtId="164">
      <sharedItems containsString="0" containsBlank="1" containsNumber="1" containsInteger="1" minValue="0" maxValue="76"/>
    </cacheField>
    <cacheField name="#_Constructed/existing protected hand dug well" numFmtId="164">
      <sharedItems containsString="0" containsBlank="1" containsNumber="1" containsInteger="1" minValue="0" maxValue="25"/>
    </cacheField>
    <cacheField name="#_Non-functional protected hand dug well" numFmtId="164">
      <sharedItems containsString="0" containsBlank="1" containsNumber="1" containsInteger="1" minValue="0" maxValue="4"/>
    </cacheField>
    <cacheField name="#_Operation &amp; Maintenance of hand dug well" numFmtId="164">
      <sharedItems containsString="0" containsBlank="1" containsNumber="1" containsInteger="1" minValue="0" maxValue="25"/>
    </cacheField>
    <cacheField name="#_Constructed/Existing tube wells/boreholes/handpumps_WASH_agency" numFmtId="164">
      <sharedItems containsString="0" containsBlank="1" containsNumber="1" containsInteger="1" minValue="0" maxValue="226"/>
    </cacheField>
    <cacheField name="#_Non-Cluster partner water tube-wells/boreholes/handpumps" numFmtId="164">
      <sharedItems containsString="0" containsBlank="1" containsNumber="1" containsInteger="1" minValue="0" maxValue="101"/>
    </cacheField>
    <cacheField name="#_Non-functional tube wells/boreholes/handpumps" numFmtId="164">
      <sharedItems containsString="0" containsBlank="1" containsNumber="1" containsInteger="1" minValue="0" maxValue="117"/>
    </cacheField>
    <cacheField name="#_Operation &amp; Maintenance of tube wells/boreholes/handpumps" numFmtId="164">
      <sharedItems containsBlank="1" containsMixedTypes="1" containsNumber="1" containsInteger="1" minValue="0" maxValue="135"/>
    </cacheField>
    <cacheField name="#_Constructed/Existingwater storage tank with gravity fed reticulation system" numFmtId="164">
      <sharedItems containsString="0" containsBlank="1" containsNumber="1" containsInteger="1" minValue="0" maxValue="436"/>
    </cacheField>
    <cacheField name="#_Non-functional storage tank gravity fed reticulation system" numFmtId="164">
      <sharedItems containsString="0" containsBlank="1" containsNumber="1" containsInteger="1" minValue="0" maxValue="73"/>
    </cacheField>
    <cacheField name="#_Operation &amp; maintenance of storage tank and reticulation system" numFmtId="164">
      <sharedItems containsString="0" containsBlank="1" containsNumber="1" containsInteger="1" minValue="0" maxValue="73"/>
    </cacheField>
    <cacheField name="#_Water boating or water trucking" numFmtId="164">
      <sharedItems containsString="0" containsBlank="1" containsNumber="1" containsInteger="1" minValue="0" maxValue="67160"/>
    </cacheField>
    <cacheField name="#_Constructed/Existing protected/fenced ponds" numFmtId="164">
      <sharedItems containsString="0" containsBlank="1" containsNumber="1" containsInteger="1" minValue="0" maxValue="23"/>
    </cacheField>
    <cacheField name="#_Constructed/Existing water distribution system from river or natural spring" numFmtId="164">
      <sharedItems containsString="0" containsBlank="1" containsNumber="1" containsInteger="1" minValue="0" maxValue="1"/>
    </cacheField>
    <cacheField name="#_committes/technicians trained and maintaining the water points" numFmtId="164">
      <sharedItems containsString="0" containsBlank="1" containsNumber="1" containsInteger="1" minValue="0" maxValue="2240"/>
    </cacheField>
    <cacheField name="#_Water points fully handed over" numFmtId="164">
      <sharedItems containsBlank="1" containsMixedTypes="1" containsNumber="1" containsInteger="1" minValue="0" maxValue="226"/>
    </cacheField>
    <cacheField name="#_Water sources tested for contamination" numFmtId="164">
      <sharedItems containsString="0" containsBlank="1" containsNumber="1" containsInteger="1" minValue="0" maxValue="149"/>
    </cacheField>
    <cacheField name="#_Water sources treated" numFmtId="164">
      <sharedItems containsString="0" containsBlank="1" containsNumber="1" containsInteger="1" minValue="0" maxValue="13"/>
    </cacheField>
    <cacheField name="#_Household water samples tested for contamination" numFmtId="164">
      <sharedItems containsString="0" containsBlank="1" containsNumber="1" containsInteger="1" minValue="0" maxValue="193"/>
    </cacheField>
    <cacheField name="#_Household received remediation action due to contamination" numFmtId="164">
      <sharedItems containsString="0" containsBlank="1" containsNumber="1" containsInteger="1" minValue="0" maxValue="45"/>
    </cacheField>
    <cacheField name="#_Constructed/Existing hand washing stations at TLS" numFmtId="164">
      <sharedItems containsBlank="1" containsMixedTypes="1" containsNumber="1" containsInteger="1" minValue="0" maxValue="75"/>
    </cacheField>
    <cacheField name="#_of water points in TLS and CFS " numFmtId="164">
      <sharedItems containsBlank="1" containsMixedTypes="1" containsNumber="1" containsInteger="1" minValue="0" maxValue="6"/>
    </cacheField>
    <cacheField name="WATER Comments" numFmtId="0">
      <sharedItems containsBlank="1" longText="1"/>
    </cacheField>
    <cacheField name="#_Constructed latrines_by_WASHAgencies" numFmtId="0">
      <sharedItems containsString="0" containsBlank="1" containsNumber="1" containsInteger="1" minValue="0" maxValue="778"/>
    </cacheField>
    <cacheField name="#_Non Cluster partner latrines" numFmtId="0">
      <sharedItems containsString="0" containsBlank="1" containsNumber="1" containsInteger="1" minValue="0" maxValue="240"/>
    </cacheField>
    <cacheField name="Name of Non-Cluster partner who constructed latrines" numFmtId="0">
      <sharedItems containsBlank="1" containsMixedTypes="1" containsNumber="1" containsInteger="1" minValue="0" maxValue="0"/>
    </cacheField>
    <cacheField name="#_Non-functional latrines" numFmtId="0">
      <sharedItems containsString="0" containsBlank="1" containsNumber="1" containsInteger="1" minValue="0" maxValue="431"/>
    </cacheField>
    <cacheField name="#_Operation &amp; maintenance of latrines" numFmtId="0">
      <sharedItems containsString="0" containsBlank="1" containsNumber="1" containsInteger="1" minValue="0" maxValue="428"/>
    </cacheField>
    <cacheField name="#_Latrines desludged during the past quarter" numFmtId="0">
      <sharedItems containsString="0" containsBlank="1" containsNumber="1" containsInteger="1" minValue="0" maxValue="476"/>
    </cacheField>
    <cacheField name="#_Cubic meters of desludging in past quarter" numFmtId="0">
      <sharedItems containsBlank="1" containsMixedTypes="1" containsNumber="1" containsInteger="1" minValue="0" maxValue="4349"/>
    </cacheField>
    <cacheField name="#_Latrines fully handed over" numFmtId="0">
      <sharedItems containsString="0" containsBlank="1" containsNumber="1" containsInteger="1" minValue="0" maxValue="778"/>
    </cacheField>
    <cacheField name="Is there provision of solid waste management equipment?" numFmtId="0">
      <sharedItems containsBlank="1" count="4">
        <s v="Yes"/>
        <m/>
        <s v="No"/>
        <s v="NA"/>
      </sharedItems>
    </cacheField>
    <cacheField name="Is there constructed surface water drainage system?_x000a_" numFmtId="0">
      <sharedItems containsBlank="1" count="5">
        <s v="Functional"/>
        <m/>
        <s v="NA"/>
        <s v="Not_Functional"/>
        <s v="No"/>
      </sharedItems>
    </cacheField>
    <cacheField name="#_Constructed/Existing child friendly latrines" numFmtId="0">
      <sharedItems containsString="0" containsBlank="1" containsNumber="1" containsInteger="1" minValue="0" maxValue="45"/>
    </cacheField>
    <cacheField name="#_Constructed/Existing disabled &amp; elderly friendly latrines " numFmtId="0">
      <sharedItems containsString="0" containsBlank="1" containsNumber="1" containsInteger="1" minValue="0" maxValue="26"/>
    </cacheField>
    <cacheField name="#_Constructed/Existing latrines in TLS" numFmtId="0">
      <sharedItems containsString="0" containsBlank="1" containsNumber="1" containsInteger="1" minValue="0" maxValue="52"/>
    </cacheField>
    <cacheField name="Sanitation Comments" numFmtId="0">
      <sharedItems containsBlank="1" containsMixedTypes="1" containsNumber="1" containsInteger="1" minValue="0" maxValue="0" longText="1"/>
    </cacheField>
    <cacheField name="#_Constructed/Existing hand washing stations" numFmtId="0">
      <sharedItems containsString="0" containsBlank="1" containsNumber="1" containsInteger="1" minValue="0" maxValue="77"/>
    </cacheField>
    <cacheField name="#_Non-Functional_hand_washing_stations" numFmtId="0">
      <sharedItems containsString="0" containsBlank="1" containsNumber="1" containsInteger="1" minValue="0" maxValue="10"/>
    </cacheField>
    <cacheField name="#_Constructed/Existing_individual_bathing_spaces " numFmtId="0">
      <sharedItems containsString="0" containsBlank="1" containsNumber="1" containsInteger="1" minValue="0" maxValue="660"/>
    </cacheField>
    <cacheField name="#_Constructed/Existing communal bathing spaces " numFmtId="0">
      <sharedItems containsString="0" containsBlank="1" containsNumber="1" containsInteger="1" minValue="0" maxValue="22"/>
    </cacheField>
    <cacheField name="#_Non-Functional communal_bathing spaces " numFmtId="0">
      <sharedItems containsString="0" containsBlank="1" containsNumber="1" containsInteger="1" minValue="0" maxValue="12"/>
    </cacheField>
    <cacheField name="#_male hygiene promoters" numFmtId="0">
      <sharedItems containsString="0" containsBlank="1" containsNumber="1" containsInteger="1" minValue="0" maxValue="376"/>
    </cacheField>
    <cacheField name="#_female hygiene promoters" numFmtId="0">
      <sharedItems containsString="0" containsBlank="1" containsNumber="1" containsInteger="1" minValue="0" maxValue="376"/>
    </cacheField>
    <cacheField name="#_households that received standard amount of soap for this quarter" numFmtId="0">
      <sharedItems containsString="0" containsBlank="1" containsNumber="1" minValue="0" maxValue="3210"/>
    </cacheField>
    <cacheField name="#_households that received standard amount of sanitary pads for this quarter" numFmtId="0">
      <sharedItems containsString="0" containsBlank="1" containsNumber="1" containsInteger="1" minValue="0" maxValue="2728"/>
    </cacheField>
    <cacheField name="Is sufficient soap available for TLS? (Yes/No)" numFmtId="0">
      <sharedItems containsBlank="1"/>
    </cacheField>
    <cacheField name="#_Hygiene Promotion activities (sessions) in TLS?" numFmtId="1">
      <sharedItems containsString="0" containsBlank="1" containsNumber="1" containsInteger="1" minValue="0" maxValue="76"/>
    </cacheField>
    <cacheField name="% of students reached by HP activities" numFmtId="9">
      <sharedItems containsString="0" containsBlank="1" containsNumber="1" minValue="0" maxValue="1"/>
    </cacheField>
    <cacheField name="Hygiene_x000a_Comments " numFmtId="0">
      <sharedItems containsBlank="1" longText="1"/>
    </cacheField>
    <cacheField name="% of water sources treated" numFmtId="9">
      <sharedItems containsMixedTypes="1" containsNumber="1" minValue="0" maxValue="1"/>
    </cacheField>
    <cacheField name="% Household received corrective actions" numFmtId="9">
      <sharedItems containsMixedTypes="1" containsNumber="1" minValue="0" maxValue="1"/>
    </cacheField>
    <cacheField name="Warter quality test done" numFmtId="1">
      <sharedItems containsBlank="1" count="3">
        <s v="Tested"/>
        <s v="No Test"/>
        <m u="1"/>
      </sharedItems>
    </cacheField>
    <cacheField name="Functional protected hand dug well" numFmtId="1">
      <sharedItems containsSemiMixedTypes="0" containsString="0" containsNumber="1" containsInteger="1" minValue="0" maxValue="25"/>
    </cacheField>
    <cacheField name="Functional tube wells/boreholes/handpumps (including non-cluster partners)" numFmtId="1">
      <sharedItems containsSemiMixedTypes="0" containsString="0" containsNumber="1" containsInteger="1" minValue="0" maxValue="210"/>
    </cacheField>
    <cacheField name="Functional storage tank with gravity fed reticulation system" numFmtId="1">
      <sharedItems containsSemiMixedTypes="0" containsString="0" containsNumber="1" containsInteger="1" minValue="-1" maxValue="436"/>
    </cacheField>
    <cacheField name="Water boating or water trucking" numFmtId="1">
      <sharedItems containsSemiMixedTypes="0" containsString="0" containsNumber="1" containsInteger="1" minValue="0" maxValue="67160"/>
    </cacheField>
    <cacheField name="Constructed water distribution system from river" numFmtId="1">
      <sharedItems containsSemiMixedTypes="0" containsString="0" containsNumber="1" containsInteger="1" minValue="0" maxValue="1"/>
    </cacheField>
    <cacheField name="Access to safe drinking water for Camp" numFmtId="9">
      <sharedItems containsSemiMixedTypes="0" containsString="0" containsNumber="1" minValue="0" maxValue="1"/>
    </cacheField>
    <cacheField name="Access to safe drinking water for Village" numFmtId="9">
      <sharedItems containsSemiMixedTypes="0" containsString="0" containsNumber="1" minValue="0" maxValue="1"/>
    </cacheField>
    <cacheField name="%Equitable and continuous access to sufficient quantity of safe drinking water" numFmtId="9">
      <sharedItems containsSemiMixedTypes="0" containsString="0" containsNumber="1" minValue="0" maxValue="1"/>
    </cacheField>
    <cacheField name="# people with equitable and continuous access to sufficient quantity of safe drinking water" numFmtId="1">
      <sharedItems containsSemiMixedTypes="0" containsString="0" containsNumber="1" minValue="0" maxValue="13302"/>
    </cacheField>
    <cacheField name="% Access to unimproved water points" numFmtId="9">
      <sharedItems containsSemiMixedTypes="0" containsString="0" containsNumber="1" minValue="0" maxValue="1"/>
    </cacheField>
    <cacheField name="#People access to unimproved water sources" numFmtId="1">
      <sharedItems containsSemiMixedTypes="0" containsString="0" containsNumber="1" minValue="0" maxValue="5750"/>
    </cacheField>
    <cacheField name="% Equitable and continuous access to sufficient quantity of domestic water" numFmtId="9">
      <sharedItems containsSemiMixedTypes="0" containsString="0" containsNumber="1" minValue="0" maxValue="1"/>
    </cacheField>
    <cacheField name="HRP1" numFmtId="1">
      <sharedItems containsSemiMixedTypes="0" containsString="0" containsNumber="1" minValue="0" maxValue="13302"/>
    </cacheField>
    <cacheField name="#Water points coverage" numFmtId="1">
      <sharedItems containsSemiMixedTypes="0" containsString="0" containsNumber="1" minValue="0" maxValue="26.603999999999999"/>
    </cacheField>
    <cacheField name="%equitable and continuous access to sufficient quantity of safe drinking and domestic water's GAP" numFmtId="9">
      <sharedItems containsSemiMixedTypes="0" containsString="0" containsNumber="1" minValue="0" maxValue="1"/>
    </cacheField>
    <cacheField name="# people needs equitable and continuous access to sufficient quantity of safe drinking and domestic water GAP" numFmtId="1">
      <sharedItems containsSemiMixedTypes="0" containsString="0" containsNumber="1" minValue="0" maxValue="16050"/>
    </cacheField>
    <cacheField name="#Potential required new water points" numFmtId="1">
      <sharedItems containsSemiMixedTypes="0" containsString="0" containsNumber="1" minValue="0" maxValue="32"/>
    </cacheField>
    <cacheField name="Total required water points" numFmtId="1">
      <sharedItems containsSemiMixedTypes="0" containsString="0" containsNumber="1" containsInteger="1" minValue="1" maxValue="32"/>
    </cacheField>
    <cacheField name="# of Functioning latrine" numFmtId="1">
      <sharedItems containsSemiMixedTypes="0" containsString="0" containsNumber="1" containsInteger="1" minValue="0" maxValue="606"/>
    </cacheField>
    <cacheField name="% people access to functioning Latrine" numFmtId="9">
      <sharedItems containsSemiMixedTypes="0" containsString="0" containsNumber="1" minValue="0" maxValue="1"/>
    </cacheField>
    <cacheField name="HRP2" numFmtId="1">
      <sharedItems containsSemiMixedTypes="0" containsString="0" containsNumber="1" containsInteger="1" minValue="0" maxValue="11375"/>
    </cacheField>
    <cacheField name="# people access to continuous sanitation services desluding" numFmtId="1">
      <sharedItems containsMixedTypes="1" containsNumber="1" containsInteger="1" minValue="0" maxValue="9520"/>
    </cacheField>
    <cacheField name="# students access to functioning school latrines" numFmtId="1">
      <sharedItems containsMixedTypes="1" containsNumber="1" containsInteger="1" minValue="0" maxValue="2350"/>
    </cacheField>
    <cacheField name="Total required Latrines" numFmtId="1">
      <sharedItems containsSemiMixedTypes="0" containsString="0" containsNumber="1" containsInteger="1" minValue="0" maxValue="2675"/>
    </cacheField>
    <cacheField name="# potential required new latrines" numFmtId="1">
      <sharedItems containsSemiMixedTypes="0" containsString="0" containsNumber="1" containsInteger="1" minValue="0" maxValue="2675"/>
    </cacheField>
    <cacheField name="% of Latrine Gap" numFmtId="9">
      <sharedItems containsSemiMixedTypes="0" containsString="0" containsNumber="1" minValue="0" maxValue="1"/>
    </cacheField>
    <cacheField name="% Latrines requiring  repairs" numFmtId="9">
      <sharedItems containsSemiMixedTypes="0" containsString="0" containsNumber="1" minValue="0" maxValue="0.83333333333333337"/>
    </cacheField>
    <cacheField name="# people reached by regular dedicated hygiene promotion_5" numFmtId="1">
      <sharedItems containsSemiMixedTypes="0" containsString="0" containsNumber="1" containsInteger="1" minValue="0" maxValue="13302"/>
    </cacheField>
    <cacheField name="# People with access to soap" numFmtId="1">
      <sharedItems containsSemiMixedTypes="0" containsString="0" containsNumber="1" containsInteger="1" minValue="0" maxValue="16050"/>
    </cacheField>
    <cacheField name="# People with access to Sanity Pads" numFmtId="1">
      <sharedItems containsSemiMixedTypes="0" containsString="0" containsNumber="1" containsInteger="1" minValue="0" maxValue="13302"/>
    </cacheField>
    <cacheField name="# People received regular supply of hygiene items_6" numFmtId="1">
      <sharedItems containsSemiMixedTypes="0" containsString="0" containsNumber="1" containsInteger="1" minValue="0" maxValue="16050"/>
    </cacheField>
    <cacheField name="HRP3" numFmtId="1">
      <sharedItems containsSemiMixedTypes="0" containsString="0" containsNumber="1" containsInteger="1" minValue="0" maxValue="16050"/>
    </cacheField>
    <cacheField name="Hygiene Coverage%" numFmtId="9">
      <sharedItems containsSemiMixedTypes="0" containsString="0" containsNumber="1" minValue="0" maxValue="1"/>
    </cacheField>
    <cacheField name="Hygiene Gap%" numFmtId="9">
      <sharedItems containsSemiMixedTypes="0" containsString="0" containsNumber="1" minValue="0" maxValue="1"/>
    </cacheField>
    <cacheField name="%people reached by regular dedicated hygiene promotion" numFmtId="9">
      <sharedItems containsSemiMixedTypes="0" containsString="0" containsNumber="1" minValue="0" maxValue="1"/>
    </cacheField>
    <cacheField name="%HH with access to soap" numFmtId="9">
      <sharedItems containsSemiMixedTypes="0" containsString="0" containsNumber="1" minValue="0" maxValue="1"/>
    </cacheField>
    <cacheField name="% of HH with access to Sanitary Pad" numFmtId="9">
      <sharedItems containsSemiMixedTypes="0" containsString="0" containsNumber="1" minValue="0" maxValue="1"/>
    </cacheField>
    <cacheField name="# Functional hand washing stations during reporting period" numFmtId="1">
      <sharedItems containsSemiMixedTypes="0" containsString="0" containsNumber="1" containsInteger="1" minValue="-2" maxValue="77"/>
    </cacheField>
    <cacheField name="#HH with access to Hand Washing Station" numFmtId="1">
      <sharedItems containsMixedTypes="1" containsNumber="1" containsInteger="1" minValue="-40" maxValue="1000"/>
    </cacheField>
    <cacheField name="# of hand washing stations with soap in TLS" numFmtId="1">
      <sharedItems containsSemiMixedTypes="0" containsString="0" containsNumber="1" containsInteger="1" minValue="0" maxValue="75"/>
    </cacheField>
    <cacheField name="# People access to Handwashing Station" numFmtId="1">
      <sharedItems containsSemiMixedTypes="0" containsString="0" containsNumber="1" containsInteger="1" minValue="-200" maxValue="5000"/>
    </cacheField>
    <cacheField name="Sites with TLS" numFmtId="1">
      <sharedItems count="2">
        <s v="No"/>
        <s v="Yes"/>
      </sharedItems>
    </cacheField>
    <cacheField name="CCCM Management" numFmtId="0">
      <sharedItems containsMixedTypes="1" containsNumber="1" containsInteger="1" minValue="0" maxValue="0"/>
    </cacheField>
    <cacheField name="CCCM Focal Agency" numFmtId="0">
      <sharedItems containsMixedTypes="1" containsNumber="1" containsInteger="1" minValue="0" maxValue="0"/>
    </cacheField>
    <cacheField name="Location Type 1" numFmtId="0">
      <sharedItems containsBlank="1" count="7">
        <s v="Camp"/>
        <s v="Village Type Camp"/>
        <s v="Village"/>
        <s v="Temporary location"/>
        <m u="1"/>
        <s v="Town" u="1"/>
        <e v="#N/A" u="1"/>
      </sharedItems>
    </cacheField>
    <cacheField name="Type of accommodation" numFmtId="0">
      <sharedItems containsMixedTypes="1" containsNumber="1" containsInteger="1" minValue="0" maxValue="0" count="16">
        <s v="camp"/>
        <s v="Host Families"/>
        <s v="Camp like setting"/>
        <s v="Boarding School"/>
        <s v="Closed Camp"/>
        <s v="School"/>
        <s v="Village"/>
        <s v="Planned Camp"/>
        <s v="Temporary location"/>
        <s v="Relocated"/>
        <s v="Self Settled Camp"/>
        <s v="Returned"/>
        <s v="Individual House"/>
        <s v="Village_Not HRP"/>
        <s v="Temporary location_Town"/>
        <n v="0" u="1"/>
      </sharedItems>
    </cacheField>
    <cacheField name="Ethnic or GCA/NGCA" numFmtId="0">
      <sharedItems containsMixedTypes="1" containsNumber="1" minValue="0" maxValue="97.49136" count="350">
        <s v="GCA"/>
        <s v="NGCA"/>
        <n v="0"/>
        <s v="Muslim"/>
        <s v="Rakhine"/>
        <s v="KhaMi"/>
        <s v="Mixed"/>
        <s v="Maramargyi"/>
        <s v="Dinet"/>
        <s v="Mro"/>
        <s v="Rakhine, Mro, Khami"/>
        <s v="Mro/ Kha Mee"/>
        <n v="20.181405999999999" u="1"/>
        <n v="20.8550128936768" u="1"/>
        <n v="20.201499999999999" u="1"/>
        <n v="20.645240783999999" u="1"/>
        <n v="23.682887999999998" u="1"/>
        <n v="25.371049444444399" u="1"/>
        <n v="26.569633" u="1"/>
        <n v="19.611209869384801" u="1"/>
        <n v="20.482030868999999" u="1"/>
        <n v="24.200367" u="1"/>
        <n v="24.263786" u="1"/>
        <n v="25.404752999999999" u="1"/>
        <n v="20.0641" u="1"/>
        <n v="20.713259999999998" u="1"/>
        <n v="23.400155999999999" u="1"/>
        <n v="23.4008" u="1"/>
        <n v="25.350809000000002" u="1"/>
        <n v="25.635300000000001" u="1"/>
        <n v="20.183790206909201" u="1"/>
        <n v="20.509660720999999" u="1"/>
        <n v="20.705930709838899" u="1"/>
        <n v="24.996279999999999" u="1"/>
        <n v="25.220278" u="1"/>
        <n v="25.321710740740698" u="1"/>
        <n v="19.424576999999999" u="1"/>
        <n v="20.191719055175799" u="1"/>
        <n v="24.222349999999999" u="1"/>
        <n v="97.49136" u="1"/>
        <n v="20.167421999999998" u="1"/>
        <n v="20.339799880981399" u="1"/>
        <n v="20.394809723000002" u="1"/>
        <n v="20.903770446777301" u="1"/>
        <n v="23.460349999999998" u="1"/>
        <n v="23.83013" u="1"/>
        <n v="19.421102000000001" u="1"/>
        <n v="21.000970840454102" u="1"/>
        <n v="25.493819999999999" u="1"/>
        <n v="20.494340897000001" u="1"/>
        <n v="20.711349487304702" u="1"/>
        <n v="23.591999999999999" u="1"/>
        <n v="27.337499999999999" u="1"/>
        <n v="20.398889541999999" u="1"/>
        <n v="20.569759368896499" u="1"/>
        <n v="23.829599000000002" u="1"/>
        <n v="24.08738" u="1"/>
        <n v="24.2631743589744" u="1"/>
        <n v="25.424529444444399" u="1"/>
        <n v="25.51352" u="1"/>
        <n v="20.731571197509801" u="1"/>
        <n v="22.677008000000001" u="1"/>
        <n v="19.7062797546387" u="1"/>
        <n v="20.179939999999998" u="1"/>
        <n v="20.272630691528299" u="1"/>
        <n v="23.250678000000001" u="1"/>
        <n v="23.828150000000001" u="1"/>
        <n v="24.056132999999999" u="1"/>
        <n v="24.24766" u="1"/>
        <n v="25.299679999999999" u="1"/>
        <n v="20.677059173583999" u="1"/>
        <n v="20.785770416259801" u="1"/>
        <n v="20.057860999999999" u="1"/>
        <n v="20.148584" u="1"/>
        <n v="20.151471999999998" u="1"/>
        <n v="20.16846" u="1"/>
        <n v="20.194370269775401" u="1"/>
        <n v="20.78332" u="1"/>
        <n v="23.099304" u="1"/>
        <n v="23.353999999999999" u="1"/>
        <n v="24.251860000000001" u="1"/>
        <n v="25.362420757575801" u="1"/>
        <n v="25.374343974359" u="1"/>
        <n v="26.548506" u="1"/>
        <n v="19.591590881347699" u="1"/>
        <n v="20.392137999999999" u="1"/>
        <n v="20.495670318603501" u="1"/>
        <n v="20.851089477539102" u="1"/>
        <n v="25.440928" u="1"/>
        <n v="25.656009999999998" u="1"/>
        <n v="19.721389770507798" u="1"/>
        <n v="20.786739349365199" u="1"/>
        <n v="20.806400299072301" u="1"/>
        <n v="24.245100000000001" u="1"/>
        <n v="25.265277999999999" u="1"/>
        <n v="25.415667500000001" u="1"/>
        <n v="19.725629806518601" u="1"/>
        <n v="20.18994" u="1"/>
        <n v="20.260789871215799" u="1"/>
        <n v="20.478969573974599" u="1"/>
        <n v="20.866529464721701" u="1"/>
        <n v="23.450914000000001" u="1"/>
        <n v="25.6145" u="1"/>
        <n v="20.564739227" u="1"/>
        <n v="23.694130000000001" u="1"/>
        <n v="24.200361000000001" u="1"/>
        <n v="24.404876999999999" u="1"/>
        <n v="25.423817" u="1"/>
        <n v="19.962713241577099" u="1"/>
        <n v="20.470119476318398" u="1"/>
        <n v="23.821380000000001" u="1"/>
        <n v="23.828520000000001" u="1"/>
        <n v="24.378167000000001" u="1"/>
        <n v="27.248964999999998" u="1"/>
        <n v="19.925739288330099" u="1"/>
        <n v="20.727589999999999" u="1"/>
        <n v="24.461033" u="1"/>
        <n v="25.403476999999999" u="1"/>
        <n v="25.404015000000001" u="1"/>
        <n v="25.613894999999999" u="1"/>
        <n v="25.920006000000001" u="1"/>
        <n v="20.463909149169901" u="1"/>
        <n v="20.910375595092798" u="1"/>
        <n v="24.260466999999998" u="1"/>
        <n v="25.305669999999999" u="1"/>
        <n v="25.360463124999999" u="1"/>
        <n v="20.037655000000001" u="1"/>
        <n v="24.260719999999999" u="1"/>
        <n v="24.764959999999999" u="1"/>
        <n v="25.418084" u="1"/>
        <n v="20.041981" u="1"/>
        <n v="20.497299194335898" u="1"/>
        <n v="20.8037109375" u="1"/>
        <n v="20.824777999999998" u="1"/>
        <n v="24.268292826086999" u="1"/>
        <n v="24.29138" u="1"/>
        <n v="25.305008999999998" u="1"/>
        <n v="25.401061110000001" u="1"/>
        <n v="25.4118005797101" u="1"/>
        <n v="20.212700000000002" u="1"/>
        <n v="20.596279144" u="1"/>
        <n v="20.946010589599599" u="1"/>
        <n v="24.129059999999999" u="1"/>
        <n v="97.431079999999994" u="1"/>
        <n v="19.991359710693398" u="1"/>
        <n v="20.180194" u="1"/>
        <n v="20.821479797363299" u="1"/>
        <n v="25.647649999999999" u="1"/>
        <n v="19.484790802001999" u="1"/>
        <n v="19.627199172973601" u="1"/>
        <n v="19.639009475708001" u="1"/>
        <n v="20.235199999999999" u="1"/>
        <n v="20.803529739379901" u="1"/>
        <n v="20.886997999999998" u="1"/>
        <n v="25.200333000000001" u="1"/>
        <n v="25.889410000000002" u="1"/>
        <n v="20.0087699890137" u="1"/>
        <n v="20.245159149169901" u="1"/>
        <n v="20.697889328002901" u="1"/>
        <n v="20.723630905151399" u="1"/>
        <n v="20.8490600585938" u="1"/>
        <n v="20.865687000000001" u="1"/>
        <n v="20.8950595855713" u="1"/>
        <n v="23.372409999999999" u="1"/>
        <n v="24.253067000000001" u="1"/>
        <n v="20.4625244140625" u="1"/>
        <n v="23.611999999999998" u="1"/>
        <n v="20.473930358886701" u="1"/>
        <n v="20.831729888916001" u="1"/>
        <n v="20.859569549560501" u="1"/>
        <n v="25.351250396825399" u="1"/>
        <n v="25.423209" u="1"/>
        <n v="20.155805999999998" u="1"/>
        <n v="20.632720946999999" u="1"/>
        <n v="24.002433" u="1"/>
        <n v="19.646549224853501" u="1"/>
        <n v="20.1573600769043" u="1"/>
        <n v="24.752471" u="1"/>
        <n v="25.333683333333301" u="1"/>
        <n v="25.3510167948718" u="1"/>
        <n v="25.3959740909091" u="1"/>
        <n v="20.1438598632813" u="1"/>
        <n v="20.1585" u="1"/>
        <n v="20.179417000000001" u="1"/>
        <n v="20.182987000000001" u="1"/>
        <n v="20.202525000000001" u="1"/>
        <n v="20.5047302246094" u="1"/>
        <n v="23.38503" u="1"/>
        <n v="24.32638" u="1"/>
        <n v="24.755253" u="1"/>
        <n v="25.351724999999998" u="1"/>
        <n v="23.588920000000002" u="1"/>
        <n v="25.415482000000001" u="1"/>
        <n v="20.709970473999999" u="1"/>
        <n v="23.463000000000001" u="1"/>
        <n v="23.976571" u="1"/>
        <n v="24.207332999999998" u="1"/>
        <n v="20.185917" u="1"/>
        <n v="20.218299999999999" u="1"/>
        <n v="20.453830718994102" u="1"/>
        <n v="23.24661" u="1"/>
        <n v="20.807970046997099" u="1"/>
        <n v="20.926780700683601" u="1"/>
        <n v="23.841646999999998" u="1"/>
        <n v="25.410569299999999" u="1"/>
        <n v="25.412313000000001" u="1"/>
        <n v="19.989589691162099" u="1"/>
        <n v="20.181742" u="1"/>
        <n v="20.396680832000001" u="1"/>
        <n v="20.872400283813501" u="1"/>
        <n v="24.006319999999999" u="1"/>
        <n v="24.998349999999999" u="1"/>
        <n v="25.599250000000001" u="1"/>
        <n v="25.616509000000001" u="1"/>
        <n v="97.010629910000006" u="1"/>
        <n v="19.610979080200199" u="1"/>
        <n v="20.361530303999999" u="1"/>
        <n v="20.630609511999999" u="1"/>
        <n v="24.661905999999998" u="1"/>
        <n v="24.980250000000002" u="1"/>
        <n v="25.428910999999999" u="1"/>
        <n v="25.582065" u="1"/>
        <n v="25.754110000000001" u="1"/>
        <n v="20.0839" u="1"/>
        <n v="20.108101999999999" u="1"/>
        <n v="20.1975498199463" u="1"/>
        <n v="25.356632000000001" u="1"/>
        <n v="26.541930000000001" u="1"/>
        <n v="97.104997409999996" u="1"/>
        <n v="20.162599563598601" u="1"/>
        <n v="19.955690383911101" u="1"/>
        <n v="20.1934604644775" u="1"/>
        <n v="20.987419128418001" u="1"/>
        <n v="25.637309999999999" u="1"/>
        <n v="20.480100631713899" u="1"/>
        <n v="20.785699844360401" u="1"/>
        <n v="24.250689999999999" u="1"/>
        <n v="20.206778" u="1"/>
        <n v="20.486930847168001" u="1"/>
        <n v="20.716699600219702" u="1"/>
        <n v="20.864519119262699" u="1"/>
        <n v="20.651939392089801" u="1"/>
        <n v="19.985679626464801" u="1"/>
        <n v="20.608819961999998" u="1"/>
        <n v="23.354268999999999" u="1"/>
        <n v="25.225000000000001" u="1"/>
        <n v="25.409612685185198" u="1"/>
        <n v="19.988689422607401" u="1"/>
        <n v="20.286720275878899" u="1"/>
        <n v="20.581470489501999" u="1"/>
        <n v="20.681715011596701" u="1"/>
        <n v="20.703550338745099" u="1"/>
        <n v="25.577559999999998" u="1"/>
        <n v="25.611160000000002" u="1"/>
        <n v="97.013800000000003" u="1"/>
        <n v="25.351965" u="1"/>
        <n v="20.099340438842798" u="1"/>
        <n v="20.335864000000001" u="1"/>
        <n v="25.60867" u="1"/>
        <n v="20.181778000000001" u="1"/>
        <n v="23.835319999999999" u="1"/>
        <n v="23.838190000000001" u="1"/>
        <n v="23.972453000000002" u="1"/>
        <n v="24.2744" u="1"/>
        <n v="20.204370498657202" u="1"/>
        <n v="20.399269" u="1"/>
        <n v="20.502599716186499" u="1"/>
        <n v="23.094290000000001" u="1"/>
        <n v="23.850999999999999" u="1"/>
        <n v="25.56551" u="1"/>
        <n v="19.434253692626999" u="1"/>
        <n v="19.726810455322301" u="1"/>
        <n v="25.615960999999999" u="1"/>
        <n v="20.229290008544901" u="1"/>
        <n v="20.627639770507798" u="1"/>
        <n v="21.025630950927699" u="1"/>
        <n v="23.933098999999999" u="1"/>
        <n v="20.148910522460898" u="1"/>
        <n v="20.587142" u="1"/>
        <n v="20.809240341186499" u="1"/>
        <n v="20.894269943237301" u="1"/>
        <n v="24.688338999999999" u="1"/>
        <n v="25.61842" u="1"/>
        <n v="24.118618999999999" u="1"/>
        <n v="24.251232000000002" u="1"/>
        <n v="24.764800000000001" u="1"/>
        <n v="25.422194000000001" u="1"/>
        <n v="20.207284999999999" u="1"/>
        <n v="20.805580139160199" u="1"/>
        <n v="20.903369903564499" u="1"/>
        <n v="21.0094203948975" u="1"/>
        <n v="19.615800857543899" u="1"/>
        <n v="19.930080413818398" u="1"/>
        <n v="20.218471527099599" u="1"/>
        <n v="20.46994972229" u="1"/>
        <n v="24.24953" u="1"/>
        <n v="25.3540362037037" u="1"/>
        <n v="20.5199794769287" u="1"/>
        <n v="23.827870999999998" u="1"/>
        <n v="24.205417000000001" u="1"/>
        <n v="25.417733999999999" u="1"/>
        <n v="19.738719940185501" u="1"/>
        <n v="20.506580353" u="1"/>
        <n v="24.200433" u="1"/>
        <n v="25.617998" u="1"/>
        <n v="27.311699999999998" u="1"/>
        <n v="20.2302" u="1"/>
        <n v="20.696819999999999" u="1"/>
        <n v="20.697229385376001" u="1"/>
        <n v="20.720213000000001" u="1"/>
        <n v="20.805734000000001" u="1"/>
        <n v="24.006789000000001" u="1"/>
        <n v="24.377054000000001" u="1"/>
        <n v="20.489089965820298" u="1"/>
        <n v="21.007270812988299" u="1"/>
        <n v="24.831944" u="1"/>
        <n v="25.887339999999998" u="1"/>
        <n v="19.988599777221701" u="1"/>
        <n v="20.090183" u="1"/>
        <n v="20.39902" u="1"/>
        <n v="25.668399999999998" u="1"/>
        <n v="20.128488999999998" u="1"/>
        <n v="20.202400000000001" u="1"/>
        <n v="20.424389999999999" u="1"/>
        <n v="20.644098281860401" u="1"/>
        <n v="20.782770156860401" u="1"/>
        <n v="20.936040878295898" u="1"/>
        <n v="23.833477999999999" u="1"/>
        <n v="25.345918166666699" u="1"/>
        <n v="25.645959999999999" u="1"/>
        <n v="20.064226000000001" u="1"/>
        <n v="20.292100000000001" u="1"/>
        <n v="25.296579999999999" u="1"/>
        <n v="25.3660036111111" u="1"/>
        <n v="19.619289398193398" u="1"/>
        <n v="20.127127999999999" u="1"/>
        <n v="25.30442" u="1"/>
        <n v="19.686580657958999" u="1"/>
        <n v="20.185092000000001" u="1"/>
        <n v="22.765999999999998" u="1"/>
        <n v="20.555610656738299" u="1"/>
        <n v="23.447111" u="1"/>
        <n v="19.9947109222412" u="1"/>
        <n v="20.073437999999999" u="1"/>
        <n v="20.464775085449201" u="1"/>
        <n v="20.6080207824707" u="1"/>
        <n v="25.566510000000001" u="1"/>
        <n v="19.9044303894043" u="1"/>
        <n v="20.268000000000001" u="1"/>
        <n v="24.200972" u="1"/>
      </sharedItems>
    </cacheField>
    <cacheField name="Lat" numFmtId="0">
      <sharedItems containsMixedTypes="1" containsNumber="1" minValue="0" maxValue="97.104997409999996"/>
    </cacheField>
    <cacheField name="Long" numFmtId="0">
      <sharedItems containsSemiMixedTypes="0" containsString="0" containsNumber="1" minValue="0" maxValue="98.475719999999995"/>
    </cacheField>
    <cacheField name="Pcode" numFmtId="0">
      <sharedItems containsMixedTypes="1" containsNumber="1" containsInteger="1" minValue="0" maxValue="220977"/>
    </cacheField>
    <cacheField name="Covered" numFmtId="0">
      <sharedItems containsBlank="1" count="4">
        <s v="Covered"/>
        <s v="Notcovered"/>
        <m u="1"/>
        <e v="#REF!" u="1"/>
      </sharedItems>
    </cacheField>
    <cacheField name="Remark" numFmtId="0">
      <sharedItems containsNonDate="0" containsString="0" containsBlank="1"/>
    </cacheField>
    <cacheField name="Total Latrines" numFmtId="0" formula="'#_Constructed latrines_by_WASHAgencies'+'#_Non Cluster partner latrines'" databaseField="0"/>
    <cacheField name="% Water source Treated" numFmtId="0" formula="'#_Water sources treated'/'#_Water sources tested for contamination'" databaseField="0"/>
    <cacheField name="% Hygiene Gap" numFmtId="0" formula=" 1-'% Hygiene Coverage'" databaseField="0"/>
    <cacheField name="% Hygiene Coverage" numFmtId="0" formula="HRP3/'Total PoP '" databaseField="0"/>
    <cacheField name="% Water Coverage" numFmtId="0" formula="HRP1/'Total PoP '" databaseField="0"/>
    <cacheField name="% Water GAP" numFmtId="0" formula=" 1-'% Water Coverage'" databaseField="0"/>
    <cacheField name="% Sanitation Coverage" numFmtId="0" formula="HRP2/'Total PoP '" databaseField="0"/>
    <cacheField name="% Sanitation GAP" numFmtId="0" formula=" 1-'% Sanitation Coverage'"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7">
  <r>
    <x v="0"/>
    <x v="0"/>
    <x v="0"/>
    <s v="ECHO, OFDA"/>
    <x v="0"/>
    <x v="0"/>
    <x v="0"/>
    <x v="0"/>
    <n v="70"/>
    <n v="356"/>
    <s v="01/01/2018, 01/07/2018"/>
    <s v="28-02-2019, 30/06/2019"/>
    <m/>
    <n v="0"/>
    <n v="0"/>
    <n v="0"/>
    <s v="Yes"/>
    <n v="0"/>
    <n v="0"/>
    <n v="0"/>
    <m/>
    <m/>
    <n v="1"/>
    <n v="0"/>
    <m/>
    <m/>
    <m/>
    <m/>
    <m/>
    <m/>
    <m/>
    <m/>
    <m/>
    <m/>
    <n v="1"/>
    <n v="1"/>
    <n v="8"/>
    <n v="0"/>
    <m/>
    <m/>
    <m/>
    <n v="13"/>
    <m/>
    <m/>
    <m/>
    <m/>
    <m/>
    <m/>
    <m/>
    <x v="0"/>
    <x v="0"/>
    <n v="0"/>
    <n v="1"/>
    <m/>
    <m/>
    <n v="3"/>
    <n v="0"/>
    <m/>
    <n v="2"/>
    <m/>
    <n v="0"/>
    <n v="1"/>
    <m/>
    <m/>
    <m/>
    <m/>
    <m/>
    <m/>
    <n v="1"/>
    <n v="0"/>
    <x v="0"/>
    <n v="0"/>
    <n v="1"/>
    <n v="0"/>
    <n v="0"/>
    <n v="0"/>
    <n v="1"/>
    <n v="0.702247191011236"/>
    <n v="1"/>
    <n v="356"/>
    <n v="0"/>
    <n v="0"/>
    <n v="1"/>
    <n v="356"/>
    <n v="0.71199999999999997"/>
    <n v="0"/>
    <n v="0"/>
    <n v="0.28800000000000003"/>
    <n v="1"/>
    <n v="13"/>
    <n v="0.7303370786516854"/>
    <n v="260"/>
    <n v="0"/>
    <n v="0"/>
    <n v="18"/>
    <n v="5"/>
    <n v="0.2696629213483146"/>
    <n v="0"/>
    <n v="356"/>
    <n v="0"/>
    <n v="0"/>
    <n v="0"/>
    <n v="356"/>
    <n v="1"/>
    <n v="0"/>
    <n v="1"/>
    <n v="0"/>
    <n v="0"/>
    <n v="3"/>
    <n v="60"/>
    <n v="0"/>
    <n v="300"/>
    <x v="0"/>
    <n v="0"/>
    <n v="0"/>
    <x v="0"/>
    <x v="0"/>
    <x v="0"/>
    <n v="0"/>
    <n v="0"/>
    <n v="0"/>
    <x v="0"/>
    <m/>
  </r>
  <r>
    <x v="0"/>
    <x v="0"/>
    <x v="0"/>
    <s v="ECHO, OFDA"/>
    <x v="0"/>
    <x v="0"/>
    <x v="1"/>
    <x v="1"/>
    <n v="166"/>
    <n v="815"/>
    <s v="01/01/2018, 01/07/2018"/>
    <s v="28-02-2019, 30/06/2019"/>
    <m/>
    <n v="0"/>
    <n v="0"/>
    <n v="0"/>
    <s v="Yes"/>
    <n v="11"/>
    <n v="9"/>
    <n v="2"/>
    <n v="0"/>
    <m/>
    <n v="8"/>
    <n v="0"/>
    <m/>
    <m/>
    <m/>
    <m/>
    <m/>
    <n v="0"/>
    <m/>
    <m/>
    <m/>
    <m/>
    <n v="3"/>
    <n v="3"/>
    <n v="10"/>
    <n v="1"/>
    <m/>
    <m/>
    <m/>
    <n v="38"/>
    <m/>
    <m/>
    <m/>
    <m/>
    <n v="50"/>
    <m/>
    <m/>
    <x v="0"/>
    <x v="0"/>
    <n v="0"/>
    <n v="0"/>
    <m/>
    <s v="we put combine data information for AD 2000 &amp; AD ext"/>
    <n v="6"/>
    <n v="3"/>
    <m/>
    <n v="3"/>
    <m/>
    <n v="0"/>
    <n v="2"/>
    <n v="80"/>
    <n v="213"/>
    <m/>
    <m/>
    <m/>
    <s v="we put combine data information for AD 2000 &amp; AD ext"/>
    <n v="1"/>
    <n v="0.1"/>
    <x v="0"/>
    <n v="2"/>
    <n v="8"/>
    <n v="0"/>
    <n v="0"/>
    <n v="0"/>
    <n v="1"/>
    <n v="1"/>
    <n v="1"/>
    <n v="815"/>
    <n v="0"/>
    <n v="0"/>
    <n v="1"/>
    <n v="815"/>
    <n v="1.63"/>
    <n v="0"/>
    <n v="0"/>
    <n v="0.37000000000000011"/>
    <n v="2"/>
    <n v="38"/>
    <n v="0.93251533742331283"/>
    <n v="760"/>
    <n v="815"/>
    <n v="0"/>
    <n v="41"/>
    <n v="3"/>
    <n v="6.7484662576687171E-2"/>
    <n v="0"/>
    <n v="815"/>
    <n v="400"/>
    <n v="815"/>
    <n v="815"/>
    <n v="815"/>
    <n v="1"/>
    <n v="0"/>
    <n v="1"/>
    <n v="0.48192771084337349"/>
    <n v="1"/>
    <n v="3"/>
    <n v="60"/>
    <n v="0"/>
    <n v="300"/>
    <x v="0"/>
    <s v="Yes"/>
    <s v="KMSS-BMO"/>
    <x v="0"/>
    <x v="0"/>
    <x v="0"/>
    <n v="24.260719999999999"/>
    <n v="97.238829999999993"/>
    <s v="MMR001CMP050"/>
    <x v="0"/>
    <m/>
  </r>
  <r>
    <x v="0"/>
    <x v="1"/>
    <x v="1"/>
    <s v="WHH-AA / USAID"/>
    <x v="0"/>
    <x v="1"/>
    <x v="0"/>
    <x v="2"/>
    <n v="141"/>
    <n v="665"/>
    <d v="2019-01-01T00:00:00"/>
    <d v="2019-12-31T00:00:00"/>
    <m/>
    <m/>
    <m/>
    <m/>
    <s v="Yes"/>
    <n v="2"/>
    <n v="3"/>
    <n v="1"/>
    <m/>
    <m/>
    <n v="1"/>
    <n v="1"/>
    <m/>
    <m/>
    <m/>
    <m/>
    <m/>
    <m/>
    <m/>
    <m/>
    <m/>
    <m/>
    <m/>
    <m/>
    <m/>
    <m/>
    <m/>
    <m/>
    <m/>
    <n v="28"/>
    <m/>
    <m/>
    <m/>
    <m/>
    <m/>
    <m/>
    <m/>
    <x v="0"/>
    <x v="0"/>
    <m/>
    <m/>
    <m/>
    <m/>
    <n v="10"/>
    <m/>
    <m/>
    <n v="3"/>
    <m/>
    <m/>
    <m/>
    <m/>
    <m/>
    <m/>
    <m/>
    <m/>
    <m/>
    <s v="no test"/>
    <s v="no test"/>
    <x v="1"/>
    <n v="1"/>
    <n v="2"/>
    <n v="0"/>
    <n v="0"/>
    <n v="0"/>
    <n v="1"/>
    <n v="1"/>
    <n v="1"/>
    <n v="665"/>
    <n v="0"/>
    <n v="0"/>
    <n v="1"/>
    <n v="665"/>
    <n v="1.33"/>
    <n v="0"/>
    <n v="0"/>
    <n v="0"/>
    <n v="1"/>
    <n v="28"/>
    <n v="0.84210526315789469"/>
    <n v="560"/>
    <n v="0"/>
    <n v="0"/>
    <n v="33"/>
    <n v="5"/>
    <n v="0.15789473684210531"/>
    <n v="0"/>
    <n v="0"/>
    <n v="0"/>
    <n v="0"/>
    <n v="0"/>
    <n v="0"/>
    <n v="0"/>
    <n v="1"/>
    <n v="0"/>
    <n v="0"/>
    <n v="0"/>
    <n v="10"/>
    <n v="141"/>
    <n v="0"/>
    <n v="665"/>
    <x v="0"/>
    <n v="0"/>
    <n v="0"/>
    <x v="0"/>
    <x v="0"/>
    <x v="0"/>
    <n v="0"/>
    <n v="0"/>
    <n v="0"/>
    <x v="0"/>
    <m/>
  </r>
  <r>
    <x v="0"/>
    <x v="2"/>
    <x v="2"/>
    <m/>
    <x v="0"/>
    <x v="0"/>
    <x v="1"/>
    <x v="3"/>
    <n v="190"/>
    <n v="928"/>
    <m/>
    <m/>
    <m/>
    <m/>
    <m/>
    <m/>
    <m/>
    <m/>
    <m/>
    <m/>
    <m/>
    <m/>
    <m/>
    <m/>
    <m/>
    <m/>
    <m/>
    <m/>
    <m/>
    <m/>
    <m/>
    <m/>
    <m/>
    <m/>
    <m/>
    <m/>
    <m/>
    <m/>
    <m/>
    <m/>
    <m/>
    <m/>
    <m/>
    <m/>
    <m/>
    <m/>
    <m/>
    <m/>
    <m/>
    <x v="1"/>
    <x v="1"/>
    <m/>
    <m/>
    <m/>
    <m/>
    <m/>
    <m/>
    <m/>
    <m/>
    <m/>
    <m/>
    <m/>
    <m/>
    <m/>
    <m/>
    <m/>
    <m/>
    <m/>
    <s v="no test"/>
    <s v="no test"/>
    <x v="1"/>
    <n v="0"/>
    <n v="0"/>
    <n v="0"/>
    <n v="0"/>
    <n v="0"/>
    <n v="0"/>
    <n v="0"/>
    <n v="0"/>
    <n v="0"/>
    <n v="0"/>
    <n v="0"/>
    <n v="0"/>
    <n v="0"/>
    <n v="0"/>
    <n v="1"/>
    <n v="928"/>
    <n v="2"/>
    <n v="2"/>
    <n v="0"/>
    <n v="0"/>
    <n v="0"/>
    <n v="0"/>
    <n v="0"/>
    <n v="46"/>
    <n v="46"/>
    <n v="1"/>
    <n v="0"/>
    <n v="0"/>
    <n v="0"/>
    <n v="0"/>
    <n v="0"/>
    <n v="0"/>
    <n v="0"/>
    <n v="1"/>
    <n v="0"/>
    <n v="0"/>
    <n v="0"/>
    <n v="0"/>
    <n v="0"/>
    <n v="0"/>
    <n v="0"/>
    <x v="0"/>
    <n v="0"/>
    <s v="uncovered"/>
    <x v="0"/>
    <x v="1"/>
    <x v="0"/>
    <n v="24.263786"/>
    <n v="97.228835000000004"/>
    <s v="MMR001CMP163"/>
    <x v="1"/>
    <m/>
  </r>
  <r>
    <x v="0"/>
    <x v="1"/>
    <x v="1"/>
    <s v="WHH-AA / USAID"/>
    <x v="0"/>
    <x v="0"/>
    <x v="1"/>
    <x v="4"/>
    <n v="11"/>
    <n v="52"/>
    <d v="2019-01-01T00:00:00"/>
    <d v="2019-12-31T00:00:00"/>
    <m/>
    <m/>
    <m/>
    <m/>
    <s v="No"/>
    <m/>
    <m/>
    <m/>
    <m/>
    <m/>
    <m/>
    <n v="1"/>
    <m/>
    <m/>
    <m/>
    <m/>
    <m/>
    <m/>
    <m/>
    <m/>
    <m/>
    <m/>
    <m/>
    <m/>
    <m/>
    <m/>
    <m/>
    <m/>
    <m/>
    <n v="2"/>
    <m/>
    <m/>
    <m/>
    <m/>
    <m/>
    <m/>
    <m/>
    <x v="0"/>
    <x v="2"/>
    <m/>
    <m/>
    <m/>
    <m/>
    <n v="1"/>
    <m/>
    <m/>
    <n v="1"/>
    <m/>
    <m/>
    <m/>
    <n v="11"/>
    <n v="2"/>
    <m/>
    <m/>
    <m/>
    <m/>
    <s v="no test"/>
    <s v="no test"/>
    <x v="1"/>
    <n v="0"/>
    <n v="1"/>
    <n v="0"/>
    <n v="0"/>
    <n v="0"/>
    <n v="1"/>
    <n v="1"/>
    <n v="1"/>
    <n v="52"/>
    <n v="0"/>
    <n v="0"/>
    <n v="1"/>
    <n v="52"/>
    <n v="0.104"/>
    <n v="0"/>
    <n v="0"/>
    <n v="0.89600000000000002"/>
    <n v="1"/>
    <n v="2"/>
    <n v="0.76923076923076927"/>
    <n v="40"/>
    <n v="0"/>
    <n v="0"/>
    <n v="3"/>
    <n v="1"/>
    <n v="0.23076923076923073"/>
    <n v="0"/>
    <n v="0"/>
    <n v="52"/>
    <n v="10"/>
    <n v="52"/>
    <n v="52"/>
    <n v="1"/>
    <n v="0"/>
    <n v="0"/>
    <n v="1"/>
    <n v="0.18181818181818182"/>
    <n v="1"/>
    <n v="11"/>
    <n v="0"/>
    <n v="52"/>
    <x v="0"/>
    <s v="Yes"/>
    <s v="KBC"/>
    <x v="0"/>
    <x v="0"/>
    <x v="0"/>
    <n v="24.260466999999998"/>
    <n v="97.252650000000003"/>
    <s v="MMR001CMP194"/>
    <x v="0"/>
    <m/>
  </r>
  <r>
    <x v="0"/>
    <x v="3"/>
    <x v="3"/>
    <s v="DFID(HARP)/UNICEF"/>
    <x v="0"/>
    <x v="2"/>
    <x v="1"/>
    <x v="5"/>
    <n v="101"/>
    <n v="458"/>
    <s v="1-Jan-2019 / 1-Dec-2018"/>
    <s v="31-3-2019 / 30-Nov-2019"/>
    <n v="132"/>
    <m/>
    <m/>
    <m/>
    <s v="Yes"/>
    <m/>
    <m/>
    <m/>
    <m/>
    <m/>
    <m/>
    <m/>
    <m/>
    <m/>
    <n v="1"/>
    <m/>
    <m/>
    <m/>
    <m/>
    <m/>
    <m/>
    <m/>
    <m/>
    <m/>
    <m/>
    <m/>
    <m/>
    <m/>
    <m/>
    <n v="90"/>
    <m/>
    <m/>
    <m/>
    <m/>
    <m/>
    <m/>
    <m/>
    <x v="0"/>
    <x v="0"/>
    <n v="3"/>
    <m/>
    <m/>
    <m/>
    <n v="2"/>
    <m/>
    <m/>
    <n v="3"/>
    <m/>
    <m/>
    <n v="2"/>
    <n v="40"/>
    <m/>
    <s v="No"/>
    <m/>
    <m/>
    <m/>
    <s v="no test"/>
    <s v="no test"/>
    <x v="1"/>
    <n v="0"/>
    <n v="0"/>
    <n v="1"/>
    <n v="0"/>
    <n v="0"/>
    <n v="0.14556040756914121"/>
    <n v="0.14556040756914121"/>
    <n v="0.14556040756914121"/>
    <n v="66.666666666666671"/>
    <n v="0"/>
    <n v="0"/>
    <n v="0.14556040756914121"/>
    <n v="66.666666666666671"/>
    <n v="0.13333333333333333"/>
    <n v="0.85443959243085876"/>
    <n v="391.33333333333331"/>
    <n v="0.8666666666666667"/>
    <n v="1"/>
    <n v="90"/>
    <n v="1"/>
    <n v="458"/>
    <n v="0"/>
    <n v="0"/>
    <n v="23"/>
    <n v="0"/>
    <n v="0"/>
    <n v="0"/>
    <n v="458"/>
    <n v="200"/>
    <n v="0"/>
    <n v="200"/>
    <n v="458"/>
    <n v="1"/>
    <n v="0"/>
    <n v="1"/>
    <n v="0.39603960396039606"/>
    <n v="0"/>
    <n v="2"/>
    <n v="40"/>
    <n v="0"/>
    <n v="200"/>
    <x v="1"/>
    <s v="Yes"/>
    <s v="KMSS-MYT"/>
    <x v="0"/>
    <x v="0"/>
    <x v="1"/>
    <n v="25.220278"/>
    <n v="97.915833000000006"/>
    <s v="MMR001CMP113"/>
    <x v="0"/>
    <m/>
  </r>
  <r>
    <x v="0"/>
    <x v="4"/>
    <x v="4"/>
    <m/>
    <x v="0"/>
    <x v="3"/>
    <x v="0"/>
    <x v="6"/>
    <n v="24"/>
    <n v="103"/>
    <m/>
    <m/>
    <m/>
    <m/>
    <m/>
    <m/>
    <m/>
    <m/>
    <m/>
    <n v="0"/>
    <m/>
    <m/>
    <n v="0"/>
    <m/>
    <m/>
    <m/>
    <m/>
    <m/>
    <m/>
    <m/>
    <m/>
    <m/>
    <m/>
    <n v="0"/>
    <m/>
    <m/>
    <m/>
    <m/>
    <m/>
    <m/>
    <m/>
    <n v="0"/>
    <m/>
    <m/>
    <m/>
    <m/>
    <n v="0"/>
    <m/>
    <n v="0"/>
    <x v="2"/>
    <x v="2"/>
    <m/>
    <m/>
    <m/>
    <m/>
    <m/>
    <m/>
    <m/>
    <m/>
    <m/>
    <m/>
    <m/>
    <m/>
    <m/>
    <m/>
    <m/>
    <m/>
    <m/>
    <s v="no test"/>
    <s v="no test"/>
    <x v="1"/>
    <n v="0"/>
    <n v="0"/>
    <n v="0"/>
    <n v="0"/>
    <n v="0"/>
    <n v="0"/>
    <n v="0"/>
    <n v="0"/>
    <n v="0"/>
    <n v="0"/>
    <n v="0"/>
    <n v="0"/>
    <n v="0"/>
    <n v="0"/>
    <n v="1"/>
    <n v="103"/>
    <n v="1"/>
    <n v="1"/>
    <n v="0"/>
    <n v="0"/>
    <n v="0"/>
    <n v="0"/>
    <n v="0"/>
    <n v="5"/>
    <n v="5"/>
    <n v="1"/>
    <n v="0"/>
    <n v="0"/>
    <n v="0"/>
    <n v="0"/>
    <n v="0"/>
    <n v="0"/>
    <n v="0"/>
    <n v="1"/>
    <n v="0"/>
    <n v="0"/>
    <n v="0"/>
    <n v="0"/>
    <n v="0"/>
    <n v="0"/>
    <n v="0"/>
    <x v="0"/>
    <n v="0"/>
    <n v="0"/>
    <x v="0"/>
    <x v="2"/>
    <x v="1"/>
    <n v="0"/>
    <n v="0"/>
    <n v="0"/>
    <x v="0"/>
    <m/>
  </r>
  <r>
    <x v="0"/>
    <x v="1"/>
    <x v="1"/>
    <s v="WHH-AA / USAID"/>
    <x v="0"/>
    <x v="0"/>
    <x v="1"/>
    <x v="7"/>
    <n v="40"/>
    <n v="235"/>
    <d v="2019-01-01T00:00:00"/>
    <d v="2019-12-31T00:00:00"/>
    <m/>
    <m/>
    <m/>
    <m/>
    <s v="Yes"/>
    <n v="1"/>
    <n v="2"/>
    <n v="1"/>
    <m/>
    <m/>
    <m/>
    <n v="2"/>
    <m/>
    <m/>
    <m/>
    <m/>
    <m/>
    <m/>
    <m/>
    <m/>
    <m/>
    <m/>
    <m/>
    <m/>
    <m/>
    <m/>
    <m/>
    <m/>
    <m/>
    <n v="7"/>
    <m/>
    <m/>
    <m/>
    <m/>
    <m/>
    <m/>
    <m/>
    <x v="0"/>
    <x v="0"/>
    <m/>
    <m/>
    <m/>
    <m/>
    <n v="3"/>
    <m/>
    <m/>
    <n v="2"/>
    <m/>
    <m/>
    <m/>
    <n v="40"/>
    <n v="5"/>
    <m/>
    <m/>
    <m/>
    <m/>
    <s v="no test"/>
    <s v="no test"/>
    <x v="1"/>
    <n v="1"/>
    <n v="2"/>
    <n v="0"/>
    <n v="0"/>
    <n v="0"/>
    <n v="1"/>
    <n v="1"/>
    <n v="1"/>
    <n v="235"/>
    <n v="0"/>
    <n v="0"/>
    <n v="1"/>
    <n v="235"/>
    <n v="0.47"/>
    <n v="0"/>
    <n v="0"/>
    <n v="0.53"/>
    <n v="1"/>
    <n v="7"/>
    <n v="0.5957446808510638"/>
    <n v="140"/>
    <n v="0"/>
    <n v="0"/>
    <n v="12"/>
    <n v="5"/>
    <n v="0.4042553191489362"/>
    <n v="0"/>
    <n v="0"/>
    <n v="235"/>
    <n v="25"/>
    <n v="235"/>
    <n v="235"/>
    <n v="1"/>
    <n v="0"/>
    <n v="0"/>
    <n v="1"/>
    <n v="0.125"/>
    <n v="3"/>
    <n v="40"/>
    <n v="0"/>
    <n v="235"/>
    <x v="0"/>
    <s v="Yes"/>
    <s v="KBC"/>
    <x v="0"/>
    <x v="0"/>
    <x v="0"/>
    <n v="24.24766"/>
    <n v="97.236919999999998"/>
    <s v="MMR001CMP052"/>
    <x v="0"/>
    <m/>
  </r>
  <r>
    <x v="0"/>
    <x v="1"/>
    <x v="1"/>
    <s v="WHH-BMZ,WHH-AA"/>
    <x v="0"/>
    <x v="2"/>
    <x v="1"/>
    <x v="8"/>
    <n v="144"/>
    <n v="862"/>
    <m/>
    <d v="2018-12-31T00:00:00"/>
    <m/>
    <m/>
    <m/>
    <m/>
    <m/>
    <m/>
    <m/>
    <m/>
    <m/>
    <m/>
    <m/>
    <m/>
    <m/>
    <m/>
    <m/>
    <m/>
    <m/>
    <m/>
    <m/>
    <m/>
    <m/>
    <m/>
    <m/>
    <m/>
    <m/>
    <m/>
    <m/>
    <m/>
    <m/>
    <m/>
    <m/>
    <m/>
    <m/>
    <m/>
    <m/>
    <m/>
    <m/>
    <x v="0"/>
    <x v="0"/>
    <m/>
    <m/>
    <m/>
    <m/>
    <m/>
    <m/>
    <m/>
    <m/>
    <m/>
    <m/>
    <m/>
    <m/>
    <m/>
    <m/>
    <m/>
    <m/>
    <m/>
    <s v="no test"/>
    <s v="no test"/>
    <x v="1"/>
    <n v="0"/>
    <n v="0"/>
    <n v="0"/>
    <n v="0"/>
    <n v="0"/>
    <n v="0"/>
    <n v="0"/>
    <n v="0"/>
    <n v="0"/>
    <n v="0"/>
    <n v="0"/>
    <n v="0"/>
    <n v="0"/>
    <n v="0"/>
    <n v="1"/>
    <n v="862"/>
    <n v="2"/>
    <n v="2"/>
    <n v="0"/>
    <n v="0"/>
    <n v="0"/>
    <n v="0"/>
    <n v="0"/>
    <n v="43"/>
    <n v="43"/>
    <n v="1"/>
    <n v="0"/>
    <n v="0"/>
    <n v="0"/>
    <n v="0"/>
    <n v="0"/>
    <n v="0"/>
    <n v="0"/>
    <n v="1"/>
    <n v="0"/>
    <n v="0"/>
    <n v="0"/>
    <n v="0"/>
    <n v="0"/>
    <n v="0"/>
    <n v="0"/>
    <x v="0"/>
    <n v="0"/>
    <s v="uncovered"/>
    <x v="0"/>
    <x v="3"/>
    <x v="1"/>
    <n v="24.752471"/>
    <n v="97.541793999999996"/>
    <s v="MMR001CMP208"/>
    <x v="0"/>
    <m/>
  </r>
  <r>
    <x v="0"/>
    <x v="3"/>
    <x v="3"/>
    <s v="DFID(HARP)/UNICEF"/>
    <x v="0"/>
    <x v="1"/>
    <x v="1"/>
    <x v="9"/>
    <n v="101"/>
    <n v="458"/>
    <s v="1-Jan-2019 / 1-Dec-2018"/>
    <s v="31-3-2019 / 30-Nov-2019"/>
    <n v="260"/>
    <m/>
    <m/>
    <m/>
    <s v="Yes"/>
    <m/>
    <m/>
    <m/>
    <m/>
    <m/>
    <m/>
    <m/>
    <m/>
    <m/>
    <n v="1"/>
    <m/>
    <m/>
    <m/>
    <m/>
    <m/>
    <m/>
    <m/>
    <m/>
    <m/>
    <m/>
    <m/>
    <m/>
    <m/>
    <m/>
    <n v="86"/>
    <m/>
    <m/>
    <m/>
    <m/>
    <m/>
    <m/>
    <m/>
    <x v="0"/>
    <x v="0"/>
    <n v="3"/>
    <m/>
    <m/>
    <m/>
    <m/>
    <m/>
    <m/>
    <n v="3"/>
    <m/>
    <m/>
    <n v="2"/>
    <n v="40"/>
    <m/>
    <s v="No"/>
    <m/>
    <m/>
    <m/>
    <s v="no test"/>
    <s v="no test"/>
    <x v="1"/>
    <n v="0"/>
    <n v="0"/>
    <n v="1"/>
    <n v="0"/>
    <n v="0"/>
    <n v="0.14556040756914121"/>
    <n v="0.14556040756914121"/>
    <n v="0.14556040756914121"/>
    <n v="66.666666666666671"/>
    <n v="0"/>
    <n v="0"/>
    <n v="0.14556040756914121"/>
    <n v="66.666666666666671"/>
    <n v="0.13333333333333333"/>
    <n v="0.85443959243085876"/>
    <n v="391.33333333333331"/>
    <n v="0.8666666666666667"/>
    <n v="1"/>
    <n v="86"/>
    <n v="1"/>
    <n v="458"/>
    <n v="0"/>
    <n v="0"/>
    <n v="23"/>
    <n v="0"/>
    <n v="0"/>
    <n v="0"/>
    <n v="458"/>
    <n v="200"/>
    <n v="0"/>
    <n v="200"/>
    <n v="458"/>
    <n v="1"/>
    <n v="0"/>
    <n v="1"/>
    <n v="0.39603960396039606"/>
    <n v="0"/>
    <n v="0"/>
    <n v="0"/>
    <n v="0"/>
    <n v="0"/>
    <x v="1"/>
    <s v="Yes"/>
    <s v="KMSS-MYT"/>
    <x v="0"/>
    <x v="0"/>
    <x v="1"/>
    <n v="24.461033"/>
    <n v="97.537099999999995"/>
    <s v="MMR001CMP123"/>
    <x v="0"/>
    <m/>
  </r>
  <r>
    <x v="0"/>
    <x v="4"/>
    <x v="4"/>
    <m/>
    <x v="0"/>
    <x v="4"/>
    <x v="0"/>
    <x v="10"/>
    <n v="86"/>
    <n v="381"/>
    <m/>
    <m/>
    <m/>
    <m/>
    <m/>
    <m/>
    <m/>
    <m/>
    <m/>
    <n v="0"/>
    <m/>
    <m/>
    <n v="0"/>
    <m/>
    <m/>
    <m/>
    <m/>
    <m/>
    <m/>
    <m/>
    <m/>
    <m/>
    <m/>
    <n v="0"/>
    <m/>
    <m/>
    <m/>
    <m/>
    <m/>
    <m/>
    <m/>
    <n v="0"/>
    <m/>
    <m/>
    <m/>
    <m/>
    <m/>
    <m/>
    <n v="0"/>
    <x v="2"/>
    <x v="2"/>
    <m/>
    <m/>
    <m/>
    <m/>
    <m/>
    <m/>
    <m/>
    <m/>
    <m/>
    <m/>
    <m/>
    <m/>
    <m/>
    <m/>
    <m/>
    <m/>
    <m/>
    <s v="no test"/>
    <s v="no test"/>
    <x v="1"/>
    <n v="0"/>
    <n v="0"/>
    <n v="0"/>
    <n v="0"/>
    <n v="0"/>
    <n v="0"/>
    <n v="0"/>
    <n v="0"/>
    <n v="0"/>
    <n v="0"/>
    <n v="0"/>
    <n v="0"/>
    <n v="0"/>
    <n v="0"/>
    <n v="1"/>
    <n v="381"/>
    <n v="1"/>
    <n v="1"/>
    <n v="0"/>
    <n v="0"/>
    <n v="0"/>
    <n v="0"/>
    <n v="0"/>
    <n v="19"/>
    <n v="19"/>
    <n v="1"/>
    <n v="0"/>
    <n v="0"/>
    <n v="0"/>
    <n v="0"/>
    <n v="0"/>
    <n v="0"/>
    <n v="0"/>
    <n v="1"/>
    <n v="0"/>
    <n v="0"/>
    <n v="0"/>
    <n v="0"/>
    <n v="0"/>
    <n v="0"/>
    <n v="0"/>
    <x v="0"/>
    <n v="0"/>
    <n v="0"/>
    <x v="0"/>
    <x v="2"/>
    <x v="1"/>
    <n v="0"/>
    <n v="0"/>
    <n v="0"/>
    <x v="0"/>
    <m/>
  </r>
  <r>
    <x v="0"/>
    <x v="0"/>
    <x v="0"/>
    <s v="ECHO, OFDA"/>
    <x v="0"/>
    <x v="1"/>
    <x v="1"/>
    <x v="11"/>
    <n v="40"/>
    <n v="240"/>
    <s v="01/01/2018, 01/07/2018"/>
    <s v="28-02-2019, 30/06/2019"/>
    <m/>
    <n v="0"/>
    <n v="0"/>
    <n v="0"/>
    <s v="Yes"/>
    <n v="4"/>
    <n v="7"/>
    <n v="1"/>
    <n v="0"/>
    <m/>
    <n v="0"/>
    <n v="0"/>
    <m/>
    <m/>
    <m/>
    <m/>
    <m/>
    <m/>
    <m/>
    <m/>
    <m/>
    <m/>
    <n v="1"/>
    <n v="1"/>
    <n v="4"/>
    <n v="0"/>
    <m/>
    <m/>
    <m/>
    <n v="9"/>
    <m/>
    <m/>
    <m/>
    <m/>
    <n v="9"/>
    <m/>
    <m/>
    <x v="0"/>
    <x v="0"/>
    <n v="0"/>
    <n v="0"/>
    <m/>
    <m/>
    <n v="4"/>
    <n v="2"/>
    <m/>
    <n v="1"/>
    <m/>
    <n v="0"/>
    <n v="1"/>
    <n v="3"/>
    <n v="38"/>
    <m/>
    <m/>
    <m/>
    <m/>
    <n v="1"/>
    <n v="0"/>
    <x v="0"/>
    <n v="1"/>
    <n v="0"/>
    <n v="0"/>
    <n v="0"/>
    <n v="0"/>
    <n v="1"/>
    <n v="1"/>
    <n v="1"/>
    <n v="240"/>
    <n v="0"/>
    <n v="0"/>
    <n v="1"/>
    <n v="240"/>
    <n v="0.48"/>
    <n v="0"/>
    <n v="0"/>
    <n v="0.52"/>
    <n v="1"/>
    <n v="9"/>
    <n v="0.75"/>
    <n v="180"/>
    <n v="180"/>
    <n v="0"/>
    <n v="12"/>
    <n v="3"/>
    <n v="0.25"/>
    <n v="0"/>
    <n v="240"/>
    <n v="15"/>
    <n v="190"/>
    <n v="190"/>
    <n v="240"/>
    <n v="1"/>
    <n v="0"/>
    <n v="1"/>
    <n v="7.4999999999999997E-2"/>
    <n v="0.95"/>
    <n v="2"/>
    <n v="40"/>
    <n v="0"/>
    <n v="200"/>
    <x v="0"/>
    <s v="Yes"/>
    <s v="KBC"/>
    <x v="0"/>
    <x v="0"/>
    <x v="0"/>
    <n v="24.200972"/>
    <n v="97.718582999999995"/>
    <s v="MMR001CMP071"/>
    <x v="0"/>
    <m/>
  </r>
  <r>
    <x v="0"/>
    <x v="1"/>
    <x v="1"/>
    <s v="WHH-AA / USAID"/>
    <x v="0"/>
    <x v="1"/>
    <x v="0"/>
    <x v="12"/>
    <n v="17"/>
    <n v="106"/>
    <d v="2019-01-01T00:00:00"/>
    <d v="2019-12-31T00:00:00"/>
    <m/>
    <m/>
    <m/>
    <m/>
    <s v="No"/>
    <m/>
    <m/>
    <n v="1"/>
    <m/>
    <m/>
    <m/>
    <m/>
    <m/>
    <m/>
    <m/>
    <m/>
    <m/>
    <m/>
    <m/>
    <m/>
    <m/>
    <m/>
    <m/>
    <m/>
    <m/>
    <m/>
    <m/>
    <m/>
    <m/>
    <n v="4"/>
    <m/>
    <m/>
    <n v="1"/>
    <m/>
    <m/>
    <m/>
    <m/>
    <x v="0"/>
    <x v="0"/>
    <m/>
    <m/>
    <m/>
    <m/>
    <n v="2"/>
    <m/>
    <m/>
    <n v="2"/>
    <m/>
    <m/>
    <m/>
    <m/>
    <m/>
    <m/>
    <m/>
    <m/>
    <m/>
    <s v="no test"/>
    <s v="no test"/>
    <x v="1"/>
    <n v="1"/>
    <n v="0"/>
    <n v="0"/>
    <n v="0"/>
    <n v="0"/>
    <n v="1"/>
    <n v="1"/>
    <n v="1"/>
    <n v="106"/>
    <n v="0"/>
    <n v="0"/>
    <n v="1"/>
    <n v="106"/>
    <n v="0.21199999999999999"/>
    <n v="0"/>
    <n v="0"/>
    <n v="0.78800000000000003"/>
    <n v="1"/>
    <n v="3"/>
    <n v="0.56603773584905659"/>
    <n v="60"/>
    <n v="0"/>
    <n v="0"/>
    <n v="5"/>
    <n v="1"/>
    <n v="0.43396226415094341"/>
    <n v="0.25"/>
    <n v="0"/>
    <n v="0"/>
    <n v="0"/>
    <n v="0"/>
    <n v="0"/>
    <n v="0"/>
    <n v="1"/>
    <n v="0"/>
    <n v="0"/>
    <n v="0"/>
    <n v="2"/>
    <n v="17"/>
    <n v="0"/>
    <n v="106"/>
    <x v="0"/>
    <n v="0"/>
    <n v="0"/>
    <x v="0"/>
    <x v="0"/>
    <x v="0"/>
    <n v="0"/>
    <n v="0"/>
    <n v="0"/>
    <x v="0"/>
    <m/>
  </r>
  <r>
    <x v="0"/>
    <x v="5"/>
    <x v="5"/>
    <s v="DFID"/>
    <x v="0"/>
    <x v="5"/>
    <x v="1"/>
    <x v="13"/>
    <n v="162"/>
    <n v="830"/>
    <d v="2018-08-01T00:00:00"/>
    <d v="2020-07-31T00:00:00"/>
    <m/>
    <n v="1"/>
    <m/>
    <m/>
    <s v="Yes"/>
    <n v="2"/>
    <n v="3"/>
    <n v="0"/>
    <m/>
    <m/>
    <n v="0"/>
    <m/>
    <m/>
    <m/>
    <n v="1"/>
    <m/>
    <m/>
    <m/>
    <m/>
    <m/>
    <m/>
    <n v="1"/>
    <m/>
    <m/>
    <m/>
    <m/>
    <m/>
    <m/>
    <m/>
    <n v="40"/>
    <n v="12"/>
    <s v="ICRC"/>
    <n v="0"/>
    <n v="0"/>
    <n v="0"/>
    <n v="0"/>
    <n v="0"/>
    <x v="2"/>
    <x v="3"/>
    <n v="0"/>
    <n v="0"/>
    <n v="0"/>
    <m/>
    <n v="5"/>
    <n v="5"/>
    <n v="0"/>
    <n v="8"/>
    <n v="8"/>
    <n v="2"/>
    <n v="3"/>
    <n v="0"/>
    <n v="0"/>
    <s v="No"/>
    <n v="0"/>
    <n v="0.2"/>
    <m/>
    <s v="no test"/>
    <s v="no test"/>
    <x v="1"/>
    <n v="0"/>
    <n v="0"/>
    <n v="1"/>
    <n v="0"/>
    <n v="0"/>
    <n v="8.0321285140562249E-2"/>
    <n v="8.0321285140562249E-2"/>
    <n v="8.0321285140562249E-2"/>
    <n v="66.666666666666671"/>
    <n v="0"/>
    <n v="0"/>
    <n v="8.0321285140562249E-2"/>
    <n v="66.666666666666671"/>
    <n v="0.13333333333333333"/>
    <n v="0.91967871485943775"/>
    <n v="763.33333333333337"/>
    <n v="1.8666666666666667"/>
    <n v="2"/>
    <n v="52"/>
    <n v="1"/>
    <n v="830"/>
    <n v="0"/>
    <n v="0"/>
    <n v="42"/>
    <n v="0"/>
    <n v="0"/>
    <n v="0"/>
    <n v="830"/>
    <n v="0"/>
    <n v="0"/>
    <n v="0"/>
    <n v="830"/>
    <n v="1"/>
    <n v="0"/>
    <n v="1"/>
    <n v="0"/>
    <n v="0"/>
    <n v="0"/>
    <n v="0"/>
    <n v="0"/>
    <n v="0"/>
    <x v="0"/>
    <s v="Yes"/>
    <s v="Shalom"/>
    <x v="0"/>
    <x v="0"/>
    <x v="0"/>
    <n v="25.889410000000002"/>
    <n v="98.131550000000004"/>
    <s v="MMR001CMP042"/>
    <x v="0"/>
    <m/>
  </r>
  <r>
    <x v="0"/>
    <x v="4"/>
    <x v="4"/>
    <s v="Plan/GFFO,ADRA/CANADA  "/>
    <x v="0"/>
    <x v="3"/>
    <x v="1"/>
    <x v="14"/>
    <n v="43"/>
    <n v="197"/>
    <d v="2019-04-01T00:00:00"/>
    <d v="2019-07-31T00:00:00"/>
    <m/>
    <m/>
    <m/>
    <m/>
    <s v="Yes"/>
    <m/>
    <m/>
    <n v="0"/>
    <m/>
    <m/>
    <n v="3"/>
    <m/>
    <m/>
    <m/>
    <m/>
    <m/>
    <m/>
    <m/>
    <m/>
    <m/>
    <m/>
    <n v="3"/>
    <m/>
    <m/>
    <m/>
    <m/>
    <m/>
    <m/>
    <m/>
    <n v="7"/>
    <m/>
    <m/>
    <m/>
    <m/>
    <n v="9"/>
    <m/>
    <n v="7"/>
    <x v="0"/>
    <x v="0"/>
    <m/>
    <m/>
    <m/>
    <m/>
    <m/>
    <m/>
    <m/>
    <n v="3"/>
    <m/>
    <m/>
    <n v="2"/>
    <m/>
    <m/>
    <m/>
    <m/>
    <m/>
    <m/>
    <s v="no test"/>
    <s v="no test"/>
    <x v="1"/>
    <n v="0"/>
    <n v="3"/>
    <n v="0"/>
    <n v="0"/>
    <n v="0"/>
    <n v="1"/>
    <n v="1"/>
    <n v="1"/>
    <n v="197"/>
    <n v="0"/>
    <n v="0"/>
    <n v="1"/>
    <n v="197"/>
    <n v="0.39400000000000002"/>
    <n v="0"/>
    <n v="0"/>
    <n v="0.60599999999999998"/>
    <n v="1"/>
    <n v="7"/>
    <n v="0.71065989847715738"/>
    <n v="140"/>
    <n v="180"/>
    <n v="0"/>
    <n v="10"/>
    <n v="3"/>
    <n v="0.28934010152284262"/>
    <n v="0"/>
    <n v="197"/>
    <n v="0"/>
    <n v="0"/>
    <n v="0"/>
    <n v="197"/>
    <n v="1"/>
    <n v="0"/>
    <n v="1"/>
    <n v="0"/>
    <n v="0"/>
    <n v="0"/>
    <n v="0"/>
    <n v="0"/>
    <n v="0"/>
    <x v="0"/>
    <s v="Yes"/>
    <s v="KBC"/>
    <x v="0"/>
    <x v="0"/>
    <x v="0"/>
    <n v="25.395974089999999"/>
    <n v="97.382997579999994"/>
    <s v="MMR001CMP010"/>
    <x v="0"/>
    <m/>
  </r>
  <r>
    <x v="0"/>
    <x v="5"/>
    <x v="5"/>
    <s v="DFID"/>
    <x v="0"/>
    <x v="5"/>
    <x v="1"/>
    <x v="15"/>
    <n v="205"/>
    <n v="856"/>
    <d v="2018-08-01T00:00:00"/>
    <d v="2020-07-31T00:00:00"/>
    <m/>
    <n v="1"/>
    <m/>
    <m/>
    <s v="Yes"/>
    <n v="4"/>
    <n v="2"/>
    <n v="0"/>
    <m/>
    <m/>
    <n v="0"/>
    <m/>
    <m/>
    <m/>
    <n v="0"/>
    <m/>
    <m/>
    <m/>
    <m/>
    <m/>
    <m/>
    <n v="2"/>
    <m/>
    <m/>
    <m/>
    <m/>
    <m/>
    <m/>
    <m/>
    <n v="47"/>
    <n v="14"/>
    <s v="Oxfam/ ICRC"/>
    <n v="0"/>
    <n v="0"/>
    <n v="0"/>
    <n v="0"/>
    <n v="0"/>
    <x v="2"/>
    <x v="3"/>
    <n v="0"/>
    <n v="0"/>
    <n v="0"/>
    <m/>
    <n v="3"/>
    <n v="3"/>
    <n v="0"/>
    <n v="12"/>
    <n v="12"/>
    <n v="4"/>
    <n v="2"/>
    <n v="0"/>
    <n v="0"/>
    <s v="No"/>
    <n v="0"/>
    <n v="0.2"/>
    <m/>
    <s v="no test"/>
    <s v="no test"/>
    <x v="1"/>
    <n v="0"/>
    <n v="0"/>
    <n v="0"/>
    <n v="0"/>
    <n v="0"/>
    <n v="0"/>
    <n v="0"/>
    <n v="0"/>
    <n v="0"/>
    <n v="0"/>
    <n v="0"/>
    <n v="0"/>
    <n v="0"/>
    <n v="0"/>
    <n v="1"/>
    <n v="856"/>
    <n v="2"/>
    <n v="2"/>
    <n v="61"/>
    <n v="1"/>
    <n v="856"/>
    <n v="0"/>
    <n v="0"/>
    <n v="43"/>
    <n v="0"/>
    <n v="0"/>
    <n v="0"/>
    <n v="856"/>
    <n v="0"/>
    <n v="0"/>
    <n v="0"/>
    <n v="856"/>
    <n v="1"/>
    <n v="0"/>
    <n v="1"/>
    <n v="0"/>
    <n v="0"/>
    <n v="0"/>
    <n v="0"/>
    <n v="0"/>
    <n v="0"/>
    <x v="0"/>
    <s v="Yes"/>
    <s v="Shalom"/>
    <x v="0"/>
    <x v="0"/>
    <x v="0"/>
    <n v="25.887339999999998"/>
    <n v="98.129990000000006"/>
    <s v="MMR001CMP195"/>
    <x v="0"/>
    <m/>
  </r>
  <r>
    <x v="0"/>
    <x v="2"/>
    <x v="2"/>
    <m/>
    <x v="0"/>
    <x v="6"/>
    <x v="1"/>
    <x v="16"/>
    <n v="70"/>
    <n v="350"/>
    <m/>
    <m/>
    <m/>
    <m/>
    <m/>
    <m/>
    <m/>
    <m/>
    <m/>
    <m/>
    <m/>
    <m/>
    <m/>
    <m/>
    <m/>
    <m/>
    <m/>
    <m/>
    <m/>
    <m/>
    <m/>
    <m/>
    <m/>
    <m/>
    <m/>
    <m/>
    <m/>
    <m/>
    <m/>
    <m/>
    <m/>
    <m/>
    <m/>
    <m/>
    <m/>
    <m/>
    <m/>
    <m/>
    <m/>
    <x v="1"/>
    <x v="1"/>
    <m/>
    <m/>
    <m/>
    <m/>
    <m/>
    <m/>
    <m/>
    <m/>
    <m/>
    <m/>
    <m/>
    <m/>
    <m/>
    <m/>
    <m/>
    <m/>
    <m/>
    <s v="no test"/>
    <s v="no test"/>
    <x v="1"/>
    <n v="0"/>
    <n v="0"/>
    <n v="0"/>
    <n v="0"/>
    <n v="0"/>
    <n v="0"/>
    <n v="0"/>
    <n v="0"/>
    <n v="0"/>
    <n v="0"/>
    <n v="0"/>
    <n v="0"/>
    <n v="0"/>
    <n v="0"/>
    <n v="1"/>
    <n v="350"/>
    <n v="1"/>
    <n v="1"/>
    <n v="0"/>
    <n v="0"/>
    <n v="0"/>
    <n v="0"/>
    <n v="0"/>
    <n v="18"/>
    <n v="18"/>
    <n v="1"/>
    <n v="0"/>
    <n v="0"/>
    <n v="0"/>
    <n v="0"/>
    <n v="0"/>
    <n v="0"/>
    <n v="0"/>
    <n v="1"/>
    <n v="0"/>
    <n v="0"/>
    <n v="0"/>
    <n v="0"/>
    <n v="0"/>
    <n v="0"/>
    <n v="0"/>
    <x v="0"/>
    <s v="Yes"/>
    <s v="KMSS-MYT"/>
    <x v="0"/>
    <x v="0"/>
    <x v="0"/>
    <n v="25.656009999999998"/>
    <n v="96.361609999999999"/>
    <s v="MMR001CMP168"/>
    <x v="1"/>
    <m/>
  </r>
  <r>
    <x v="0"/>
    <x v="6"/>
    <x v="6"/>
    <s v="WHH-AA, UNIUCEF"/>
    <x v="0"/>
    <x v="1"/>
    <x v="1"/>
    <x v="17"/>
    <n v="718"/>
    <n v="3652"/>
    <s v="12/1/2018,10/1/2018"/>
    <s v="11.30/2019,9/30/2020"/>
    <n v="772"/>
    <n v="0"/>
    <n v="0"/>
    <n v="0"/>
    <s v="Yes"/>
    <n v="0"/>
    <n v="0"/>
    <n v="3"/>
    <m/>
    <m/>
    <m/>
    <m/>
    <m/>
    <m/>
    <n v="2"/>
    <m/>
    <m/>
    <m/>
    <m/>
    <m/>
    <m/>
    <n v="1"/>
    <n v="1"/>
    <n v="0"/>
    <n v="1"/>
    <n v="0"/>
    <m/>
    <m/>
    <m/>
    <n v="300"/>
    <m/>
    <m/>
    <m/>
    <n v="2"/>
    <m/>
    <m/>
    <m/>
    <x v="0"/>
    <x v="0"/>
    <n v="6"/>
    <m/>
    <m/>
    <m/>
    <n v="50"/>
    <m/>
    <m/>
    <n v="22"/>
    <m/>
    <m/>
    <n v="3"/>
    <n v="0"/>
    <n v="0"/>
    <s v="No"/>
    <m/>
    <m/>
    <m/>
    <n v="0"/>
    <n v="0"/>
    <x v="0"/>
    <n v="3"/>
    <n v="0"/>
    <n v="2"/>
    <n v="0"/>
    <n v="0"/>
    <n v="0.36509675063891928"/>
    <n v="0.24187659729828406"/>
    <n v="0.36509675063891928"/>
    <n v="1333.3333333333333"/>
    <n v="0"/>
    <n v="0"/>
    <n v="0.36509675063891928"/>
    <n v="1333.3333333333333"/>
    <n v="2.6666666666666665"/>
    <n v="0.63490324936108067"/>
    <n v="2318.6666666666665"/>
    <n v="4.3333333333333339"/>
    <n v="7"/>
    <n v="300"/>
    <n v="1"/>
    <n v="3652"/>
    <n v="0"/>
    <n v="0"/>
    <n v="183"/>
    <n v="0"/>
    <n v="0"/>
    <n v="0"/>
    <n v="1500"/>
    <n v="0"/>
    <n v="0"/>
    <n v="0"/>
    <n v="1500"/>
    <n v="0.41073384446878425"/>
    <n v="0.58926615553121575"/>
    <n v="0.41073384446878425"/>
    <n v="0"/>
    <n v="0"/>
    <n v="50"/>
    <n v="718"/>
    <n v="0"/>
    <n v="3652"/>
    <x v="1"/>
    <s v="Yes"/>
    <s v="KMSS-MYT"/>
    <x v="0"/>
    <x v="0"/>
    <x v="1"/>
    <n v="24.661905999999998"/>
    <n v="97.573126000000002"/>
    <s v="MMR001CMP122"/>
    <x v="0"/>
    <m/>
  </r>
  <r>
    <x v="0"/>
    <x v="3"/>
    <x v="3"/>
    <s v="DFID(HARP)"/>
    <x v="0"/>
    <x v="3"/>
    <x v="1"/>
    <x v="18"/>
    <n v="90"/>
    <n v="430"/>
    <d v="2019-01-01T00:00:00"/>
    <s v="31-3-2019"/>
    <m/>
    <m/>
    <m/>
    <m/>
    <s v="Yes"/>
    <m/>
    <m/>
    <n v="1"/>
    <m/>
    <m/>
    <m/>
    <m/>
    <m/>
    <m/>
    <m/>
    <m/>
    <m/>
    <m/>
    <m/>
    <m/>
    <m/>
    <m/>
    <m/>
    <m/>
    <m/>
    <m/>
    <m/>
    <m/>
    <m/>
    <n v="22"/>
    <m/>
    <m/>
    <m/>
    <m/>
    <m/>
    <m/>
    <m/>
    <x v="0"/>
    <x v="0"/>
    <m/>
    <m/>
    <m/>
    <m/>
    <m/>
    <m/>
    <m/>
    <n v="3"/>
    <m/>
    <m/>
    <n v="2"/>
    <n v="40"/>
    <m/>
    <m/>
    <m/>
    <m/>
    <m/>
    <s v="no test"/>
    <s v="no test"/>
    <x v="1"/>
    <n v="1"/>
    <n v="0"/>
    <n v="0"/>
    <n v="0"/>
    <n v="0"/>
    <n v="0.93023255813953487"/>
    <n v="0.58139534883720934"/>
    <n v="0.93023255813953487"/>
    <n v="400"/>
    <n v="0"/>
    <n v="0"/>
    <n v="0.93023255813953487"/>
    <n v="400"/>
    <n v="0.8"/>
    <n v="6.9767441860465129E-2"/>
    <n v="30.000000000000007"/>
    <n v="0.19999999999999996"/>
    <n v="1"/>
    <n v="22"/>
    <n v="1"/>
    <n v="430"/>
    <n v="0"/>
    <n v="0"/>
    <n v="22"/>
    <n v="0"/>
    <n v="0"/>
    <n v="0"/>
    <n v="430"/>
    <n v="200"/>
    <n v="0"/>
    <n v="200"/>
    <n v="430"/>
    <n v="1"/>
    <n v="0"/>
    <n v="1"/>
    <n v="0.44444444444444442"/>
    <n v="0"/>
    <n v="0"/>
    <n v="0"/>
    <n v="0"/>
    <n v="0"/>
    <x v="0"/>
    <s v="Yes"/>
    <s v="KMSS-MYT"/>
    <x v="0"/>
    <x v="0"/>
    <x v="0"/>
    <n v="25.401061110000001"/>
    <n v="97.379594999999995"/>
    <s v="MMR001CMP019"/>
    <x v="0"/>
    <m/>
  </r>
  <r>
    <x v="0"/>
    <x v="5"/>
    <x v="5"/>
    <s v="DFID"/>
    <x v="0"/>
    <x v="6"/>
    <x v="1"/>
    <x v="19"/>
    <n v="70"/>
    <n v="371"/>
    <d v="2018-08-01T00:00:00"/>
    <d v="2020-07-31T00:00:00"/>
    <n v="0"/>
    <n v="1"/>
    <n v="0"/>
    <n v="0"/>
    <s v="Yes"/>
    <n v="10"/>
    <n v="3"/>
    <n v="0"/>
    <n v="0"/>
    <n v="0"/>
    <n v="0"/>
    <n v="0"/>
    <n v="0"/>
    <n v="0"/>
    <n v="0"/>
    <n v="0"/>
    <n v="0"/>
    <n v="0"/>
    <n v="0"/>
    <n v="0"/>
    <n v="0"/>
    <n v="1"/>
    <m/>
    <m/>
    <m/>
    <m/>
    <n v="0"/>
    <n v="0"/>
    <m/>
    <n v="15"/>
    <n v="7"/>
    <s v="Chruch"/>
    <n v="0"/>
    <n v="2"/>
    <n v="0"/>
    <m/>
    <n v="0"/>
    <x v="0"/>
    <x v="0"/>
    <n v="0"/>
    <n v="0"/>
    <n v="0"/>
    <m/>
    <n v="0"/>
    <n v="0"/>
    <n v="0"/>
    <n v="2"/>
    <n v="0"/>
    <n v="8"/>
    <n v="5"/>
    <n v="0"/>
    <n v="0"/>
    <s v="No"/>
    <n v="0"/>
    <n v="0.1"/>
    <m/>
    <s v="no test"/>
    <s v="no test"/>
    <x v="1"/>
    <n v="0"/>
    <n v="0"/>
    <n v="0"/>
    <n v="0"/>
    <n v="0"/>
    <n v="0"/>
    <n v="0"/>
    <n v="0"/>
    <n v="0"/>
    <n v="0"/>
    <n v="0"/>
    <n v="0"/>
    <n v="0"/>
    <n v="0"/>
    <n v="1"/>
    <n v="371"/>
    <n v="1"/>
    <n v="1"/>
    <n v="22"/>
    <n v="1"/>
    <n v="371"/>
    <n v="0"/>
    <n v="0"/>
    <n v="19"/>
    <n v="0"/>
    <n v="0"/>
    <n v="0"/>
    <n v="371"/>
    <n v="0"/>
    <n v="0"/>
    <n v="0"/>
    <n v="371"/>
    <n v="1"/>
    <n v="0"/>
    <n v="1"/>
    <n v="0"/>
    <n v="0"/>
    <n v="0"/>
    <n v="0"/>
    <n v="0"/>
    <n v="0"/>
    <x v="1"/>
    <s v="Yes"/>
    <s v="Shalom"/>
    <x v="0"/>
    <x v="0"/>
    <x v="0"/>
    <n v="25.635300000000001"/>
    <n v="96.345569999999995"/>
    <s v="MMR001CMP176"/>
    <x v="0"/>
    <m/>
  </r>
  <r>
    <x v="0"/>
    <x v="5"/>
    <x v="5"/>
    <s v="DFID"/>
    <x v="0"/>
    <x v="6"/>
    <x v="1"/>
    <x v="20"/>
    <n v="13"/>
    <n v="83"/>
    <d v="2018-08-01T00:00:00"/>
    <d v="2020-07-31T00:00:00"/>
    <n v="0"/>
    <n v="1"/>
    <n v="0"/>
    <n v="0"/>
    <s v="Yes"/>
    <n v="0"/>
    <n v="1"/>
    <n v="2"/>
    <n v="1"/>
    <n v="1"/>
    <n v="0"/>
    <n v="0"/>
    <n v="0"/>
    <n v="0"/>
    <n v="0"/>
    <n v="0"/>
    <n v="0"/>
    <n v="0"/>
    <n v="0"/>
    <n v="0"/>
    <n v="0"/>
    <n v="0"/>
    <m/>
    <m/>
    <m/>
    <m/>
    <n v="0"/>
    <n v="0"/>
    <m/>
    <n v="4"/>
    <n v="1"/>
    <s v="Shalom"/>
    <n v="0"/>
    <n v="4"/>
    <n v="0"/>
    <m/>
    <n v="0"/>
    <x v="0"/>
    <x v="4"/>
    <n v="0"/>
    <n v="0"/>
    <n v="0"/>
    <m/>
    <n v="3"/>
    <n v="2"/>
    <n v="0"/>
    <n v="1"/>
    <n v="0"/>
    <n v="1"/>
    <n v="2"/>
    <n v="0"/>
    <n v="0"/>
    <s v="No"/>
    <n v="0"/>
    <n v="0.3"/>
    <m/>
    <s v="no test"/>
    <s v="no test"/>
    <x v="1"/>
    <n v="1"/>
    <n v="0"/>
    <n v="0"/>
    <n v="0"/>
    <n v="0"/>
    <n v="1"/>
    <n v="1"/>
    <n v="1"/>
    <n v="83"/>
    <n v="0"/>
    <n v="0"/>
    <n v="1"/>
    <n v="83"/>
    <n v="0.16600000000000001"/>
    <n v="0"/>
    <n v="0"/>
    <n v="0.83399999999999996"/>
    <n v="1"/>
    <n v="5"/>
    <n v="1"/>
    <n v="83"/>
    <n v="0"/>
    <n v="0"/>
    <n v="4"/>
    <n v="0"/>
    <n v="0"/>
    <n v="0"/>
    <n v="83"/>
    <n v="0"/>
    <n v="0"/>
    <n v="0"/>
    <n v="83"/>
    <n v="1"/>
    <n v="0"/>
    <n v="1"/>
    <n v="0"/>
    <n v="0"/>
    <n v="1"/>
    <n v="13"/>
    <n v="0"/>
    <n v="83"/>
    <x v="1"/>
    <s v="Yes"/>
    <s v="Shalom"/>
    <x v="0"/>
    <x v="0"/>
    <x v="0"/>
    <n v="25.616509000000001"/>
    <n v="96.317350000000005"/>
    <s v="MMR001CMP190"/>
    <x v="0"/>
    <m/>
  </r>
  <r>
    <x v="0"/>
    <x v="5"/>
    <x v="5"/>
    <s v="DFID"/>
    <x v="0"/>
    <x v="6"/>
    <x v="1"/>
    <x v="21"/>
    <n v="36"/>
    <n v="228"/>
    <d v="2018-08-01T00:00:00"/>
    <d v="2020-07-31T00:00:00"/>
    <n v="0"/>
    <n v="1"/>
    <n v="0"/>
    <n v="0"/>
    <s v="Yes"/>
    <n v="2"/>
    <n v="2"/>
    <n v="1"/>
    <n v="0"/>
    <n v="0"/>
    <n v="0"/>
    <n v="0"/>
    <n v="0"/>
    <n v="0"/>
    <n v="0"/>
    <n v="0"/>
    <n v="0"/>
    <n v="0"/>
    <n v="0"/>
    <n v="0"/>
    <n v="0"/>
    <n v="1"/>
    <m/>
    <m/>
    <m/>
    <m/>
    <n v="0"/>
    <n v="0"/>
    <m/>
    <n v="10"/>
    <n v="0"/>
    <s v="Shalom"/>
    <n v="0"/>
    <n v="0"/>
    <n v="0"/>
    <m/>
    <n v="0"/>
    <x v="0"/>
    <x v="0"/>
    <n v="0"/>
    <n v="0"/>
    <n v="0"/>
    <m/>
    <n v="0"/>
    <n v="0"/>
    <n v="0"/>
    <n v="3"/>
    <n v="0"/>
    <n v="2"/>
    <n v="2"/>
    <n v="0"/>
    <n v="0"/>
    <s v="No"/>
    <n v="0"/>
    <n v="0.9"/>
    <m/>
    <s v="no test"/>
    <s v="no test"/>
    <x v="1"/>
    <n v="1"/>
    <n v="0"/>
    <n v="0"/>
    <n v="0"/>
    <n v="0"/>
    <n v="1"/>
    <n v="1"/>
    <n v="1"/>
    <n v="228"/>
    <n v="0"/>
    <n v="0"/>
    <n v="1"/>
    <n v="228"/>
    <n v="0.45600000000000002"/>
    <n v="0"/>
    <n v="0"/>
    <n v="0.54400000000000004"/>
    <n v="1"/>
    <n v="10"/>
    <n v="0.8771929824561403"/>
    <n v="200"/>
    <n v="0"/>
    <n v="0"/>
    <n v="11"/>
    <n v="1"/>
    <n v="0.1228070175438597"/>
    <n v="0"/>
    <n v="228"/>
    <n v="0"/>
    <n v="0"/>
    <n v="0"/>
    <n v="228"/>
    <n v="1"/>
    <n v="0"/>
    <n v="1"/>
    <n v="0"/>
    <n v="0"/>
    <n v="0"/>
    <n v="0"/>
    <n v="0"/>
    <n v="0"/>
    <x v="1"/>
    <s v="Yes"/>
    <s v="KBC"/>
    <x v="0"/>
    <x v="0"/>
    <x v="0"/>
    <n v="25.647649999999999"/>
    <n v="96.346469999999997"/>
    <s v="MMR001CMP169"/>
    <x v="0"/>
    <m/>
  </r>
  <r>
    <x v="0"/>
    <x v="5"/>
    <x v="5"/>
    <s v="DFID"/>
    <x v="0"/>
    <x v="6"/>
    <x v="1"/>
    <x v="22"/>
    <n v="6"/>
    <n v="31"/>
    <d v="2018-08-01T00:00:00"/>
    <d v="2020-07-31T00:00:00"/>
    <n v="0"/>
    <n v="1"/>
    <n v="0"/>
    <n v="0"/>
    <s v="Yes"/>
    <n v="1"/>
    <n v="2"/>
    <n v="0"/>
    <n v="0"/>
    <n v="0"/>
    <n v="0"/>
    <n v="0"/>
    <n v="0"/>
    <n v="0"/>
    <n v="0"/>
    <n v="0"/>
    <n v="0"/>
    <n v="0"/>
    <n v="0"/>
    <n v="0"/>
    <n v="0"/>
    <n v="0"/>
    <m/>
    <m/>
    <m/>
    <m/>
    <n v="0"/>
    <n v="0"/>
    <m/>
    <n v="2"/>
    <n v="0"/>
    <s v="Shalom"/>
    <n v="0"/>
    <n v="0"/>
    <n v="0"/>
    <m/>
    <n v="0"/>
    <x v="0"/>
    <x v="4"/>
    <n v="0"/>
    <n v="0"/>
    <n v="0"/>
    <m/>
    <n v="0"/>
    <n v="0"/>
    <n v="0"/>
    <n v="1"/>
    <n v="0"/>
    <n v="1"/>
    <n v="2"/>
    <n v="0"/>
    <n v="0"/>
    <s v="No"/>
    <n v="0"/>
    <n v="0.3"/>
    <m/>
    <s v="no test"/>
    <s v="no test"/>
    <x v="1"/>
    <n v="0"/>
    <n v="0"/>
    <n v="0"/>
    <n v="0"/>
    <n v="0"/>
    <n v="0"/>
    <n v="0"/>
    <n v="0"/>
    <n v="0"/>
    <n v="0"/>
    <n v="0"/>
    <n v="0"/>
    <n v="0"/>
    <n v="0"/>
    <n v="1"/>
    <n v="31"/>
    <n v="1"/>
    <n v="1"/>
    <n v="2"/>
    <n v="1"/>
    <n v="31"/>
    <n v="0"/>
    <n v="0"/>
    <n v="2"/>
    <n v="0"/>
    <n v="0"/>
    <n v="0"/>
    <n v="31"/>
    <n v="0"/>
    <n v="0"/>
    <n v="0"/>
    <n v="31"/>
    <n v="1"/>
    <n v="0"/>
    <n v="1"/>
    <n v="0"/>
    <n v="0"/>
    <n v="0"/>
    <n v="0"/>
    <n v="0"/>
    <n v="0"/>
    <x v="1"/>
    <s v="Yes"/>
    <s v="uncovered"/>
    <x v="0"/>
    <x v="2"/>
    <x v="0"/>
    <n v="25.582065"/>
    <n v="96.283377000000002"/>
    <s v="MMR001CMP109"/>
    <x v="0"/>
    <m/>
  </r>
  <r>
    <x v="0"/>
    <x v="5"/>
    <x v="5"/>
    <s v="DFID"/>
    <x v="0"/>
    <x v="6"/>
    <x v="1"/>
    <x v="23"/>
    <n v="70"/>
    <n v="377"/>
    <d v="2018-08-01T00:00:00"/>
    <d v="2020-07-31T00:00:00"/>
    <n v="0"/>
    <n v="1"/>
    <n v="0"/>
    <n v="0"/>
    <s v="Yes"/>
    <n v="4"/>
    <n v="4"/>
    <n v="0"/>
    <n v="0"/>
    <n v="0"/>
    <n v="0"/>
    <n v="0"/>
    <n v="0"/>
    <n v="0"/>
    <n v="0"/>
    <n v="0"/>
    <n v="0"/>
    <n v="0"/>
    <n v="0"/>
    <n v="0"/>
    <n v="0"/>
    <n v="0"/>
    <m/>
    <m/>
    <m/>
    <m/>
    <n v="0"/>
    <n v="0"/>
    <m/>
    <n v="24"/>
    <n v="0"/>
    <s v="Shalom"/>
    <n v="0"/>
    <n v="4"/>
    <n v="0"/>
    <m/>
    <n v="0"/>
    <x v="0"/>
    <x v="0"/>
    <n v="0"/>
    <n v="1"/>
    <n v="0"/>
    <m/>
    <n v="3"/>
    <n v="0"/>
    <n v="0"/>
    <n v="3"/>
    <n v="0"/>
    <n v="2"/>
    <n v="3"/>
    <n v="0"/>
    <n v="0"/>
    <s v="No"/>
    <n v="0"/>
    <n v="0.25"/>
    <m/>
    <s v="no test"/>
    <s v="no test"/>
    <x v="1"/>
    <n v="0"/>
    <n v="0"/>
    <n v="0"/>
    <n v="0"/>
    <n v="0"/>
    <n v="0"/>
    <n v="0"/>
    <n v="0"/>
    <n v="0"/>
    <n v="0"/>
    <n v="0"/>
    <n v="0"/>
    <n v="0"/>
    <n v="0"/>
    <n v="1"/>
    <n v="377"/>
    <n v="1"/>
    <n v="1"/>
    <n v="24"/>
    <n v="1"/>
    <n v="377"/>
    <n v="0"/>
    <n v="0"/>
    <n v="19"/>
    <n v="0"/>
    <n v="0"/>
    <n v="0"/>
    <n v="377"/>
    <n v="0"/>
    <n v="0"/>
    <n v="0"/>
    <n v="377"/>
    <n v="1"/>
    <n v="0"/>
    <n v="1"/>
    <n v="0"/>
    <n v="0"/>
    <n v="3"/>
    <n v="60"/>
    <n v="0"/>
    <n v="300"/>
    <x v="1"/>
    <s v="Yes"/>
    <s v="Shalom"/>
    <x v="0"/>
    <x v="0"/>
    <x v="0"/>
    <n v="25.637309999999999"/>
    <n v="96.35257"/>
    <s v="MMR001CMP174"/>
    <x v="0"/>
    <m/>
  </r>
  <r>
    <x v="0"/>
    <x v="4"/>
    <x v="4"/>
    <s v="ADRA/CANADA"/>
    <x v="0"/>
    <x v="2"/>
    <x v="1"/>
    <x v="24"/>
    <n v="140"/>
    <n v="875"/>
    <d v="2019-04-01T00:00:00"/>
    <d v="2019-07-31T00:00:00"/>
    <m/>
    <m/>
    <m/>
    <m/>
    <s v="Yes"/>
    <m/>
    <m/>
    <n v="0"/>
    <m/>
    <m/>
    <n v="0"/>
    <m/>
    <m/>
    <m/>
    <n v="1"/>
    <m/>
    <m/>
    <m/>
    <m/>
    <m/>
    <m/>
    <n v="0"/>
    <m/>
    <m/>
    <m/>
    <m/>
    <m/>
    <m/>
    <m/>
    <n v="50"/>
    <m/>
    <m/>
    <m/>
    <m/>
    <m/>
    <m/>
    <n v="50"/>
    <x v="0"/>
    <x v="0"/>
    <m/>
    <m/>
    <m/>
    <m/>
    <m/>
    <m/>
    <m/>
    <n v="4"/>
    <m/>
    <m/>
    <n v="3"/>
    <m/>
    <m/>
    <m/>
    <m/>
    <m/>
    <m/>
    <s v="no test"/>
    <s v="no test"/>
    <x v="1"/>
    <n v="0"/>
    <n v="0"/>
    <n v="1"/>
    <n v="0"/>
    <n v="0"/>
    <n v="7.6190476190476197E-2"/>
    <n v="7.6190476190476197E-2"/>
    <n v="7.6190476190476197E-2"/>
    <n v="66.666666666666671"/>
    <n v="0"/>
    <n v="0"/>
    <n v="7.6190476190476197E-2"/>
    <n v="66.666666666666671"/>
    <n v="0.13333333333333333"/>
    <n v="0.92380952380952386"/>
    <n v="808.33333333333337"/>
    <n v="1.8666666666666667"/>
    <n v="2"/>
    <n v="50"/>
    <n v="1"/>
    <n v="875"/>
    <n v="0"/>
    <n v="0"/>
    <n v="44"/>
    <n v="0"/>
    <n v="0"/>
    <n v="0"/>
    <n v="875"/>
    <n v="0"/>
    <n v="0"/>
    <n v="0"/>
    <n v="875"/>
    <n v="1"/>
    <n v="0"/>
    <n v="1"/>
    <n v="0"/>
    <n v="0"/>
    <n v="0"/>
    <n v="0"/>
    <n v="0"/>
    <n v="0"/>
    <x v="0"/>
    <s v="Yes"/>
    <s v="KBC-MYT"/>
    <x v="0"/>
    <x v="0"/>
    <x v="1"/>
    <n v="25.200333000000001"/>
    <n v="97.807182999999995"/>
    <s v="MMR001CMP115"/>
    <x v="0"/>
    <m/>
  </r>
  <r>
    <x v="0"/>
    <x v="5"/>
    <x v="5"/>
    <s v="DFID"/>
    <x v="0"/>
    <x v="6"/>
    <x v="1"/>
    <x v="25"/>
    <n v="2"/>
    <n v="14"/>
    <d v="2018-08-01T00:00:00"/>
    <d v="2020-07-31T00:00:00"/>
    <m/>
    <n v="0"/>
    <m/>
    <m/>
    <m/>
    <m/>
    <m/>
    <m/>
    <m/>
    <m/>
    <n v="0"/>
    <m/>
    <m/>
    <m/>
    <m/>
    <m/>
    <m/>
    <m/>
    <m/>
    <m/>
    <m/>
    <m/>
    <m/>
    <m/>
    <m/>
    <m/>
    <m/>
    <m/>
    <m/>
    <n v="0"/>
    <m/>
    <m/>
    <m/>
    <m/>
    <m/>
    <m/>
    <n v="0"/>
    <x v="1"/>
    <x v="1"/>
    <m/>
    <m/>
    <m/>
    <m/>
    <m/>
    <m/>
    <n v="0"/>
    <m/>
    <m/>
    <m/>
    <m/>
    <m/>
    <m/>
    <m/>
    <m/>
    <m/>
    <m/>
    <s v="no test"/>
    <s v="no test"/>
    <x v="1"/>
    <n v="0"/>
    <n v="0"/>
    <n v="0"/>
    <n v="0"/>
    <n v="0"/>
    <n v="0"/>
    <n v="0"/>
    <n v="0"/>
    <n v="0"/>
    <n v="0"/>
    <n v="0"/>
    <n v="0"/>
    <n v="0"/>
    <n v="0"/>
    <n v="1"/>
    <n v="14"/>
    <n v="1"/>
    <n v="1"/>
    <n v="0"/>
    <n v="0"/>
    <n v="0"/>
    <n v="0"/>
    <n v="0"/>
    <n v="1"/>
    <n v="1"/>
    <n v="1"/>
    <n v="0"/>
    <n v="0"/>
    <n v="0"/>
    <n v="0"/>
    <n v="0"/>
    <n v="0"/>
    <n v="0"/>
    <n v="1"/>
    <n v="0"/>
    <n v="0"/>
    <n v="0"/>
    <n v="0"/>
    <n v="0"/>
    <n v="0"/>
    <n v="0"/>
    <x v="0"/>
    <s v="Yes"/>
    <s v="uncovered"/>
    <x v="0"/>
    <x v="2"/>
    <x v="0"/>
    <n v="25.615960999999999"/>
    <n v="96.316564"/>
    <s v="MMR001CMP191"/>
    <x v="0"/>
    <m/>
  </r>
  <r>
    <x v="0"/>
    <x v="5"/>
    <x v="5"/>
    <s v="DFID"/>
    <x v="0"/>
    <x v="6"/>
    <x v="1"/>
    <x v="26"/>
    <n v="107"/>
    <n v="519"/>
    <d v="2018-08-01T00:00:00"/>
    <d v="2020-07-31T00:00:00"/>
    <n v="28"/>
    <n v="1"/>
    <n v="0"/>
    <n v="0"/>
    <s v="Yes"/>
    <n v="4"/>
    <n v="1"/>
    <n v="0"/>
    <n v="0"/>
    <n v="0"/>
    <n v="0"/>
    <n v="0"/>
    <n v="0"/>
    <n v="0"/>
    <n v="1"/>
    <n v="0"/>
    <n v="1"/>
    <n v="0"/>
    <n v="4"/>
    <n v="1"/>
    <n v="0"/>
    <n v="1"/>
    <m/>
    <m/>
    <m/>
    <m/>
    <n v="0"/>
    <n v="0"/>
    <m/>
    <n v="34"/>
    <n v="0"/>
    <s v="Shalom"/>
    <n v="2"/>
    <n v="16"/>
    <n v="14"/>
    <m/>
    <n v="0"/>
    <x v="0"/>
    <x v="0"/>
    <n v="0"/>
    <n v="0"/>
    <n v="2"/>
    <m/>
    <n v="5"/>
    <n v="0"/>
    <n v="0"/>
    <n v="5"/>
    <n v="0"/>
    <n v="4"/>
    <n v="4"/>
    <n v="0"/>
    <n v="0"/>
    <s v="No"/>
    <n v="0"/>
    <n v="0.3"/>
    <m/>
    <s v="no test"/>
    <s v="no test"/>
    <x v="1"/>
    <n v="0"/>
    <n v="0"/>
    <n v="1"/>
    <n v="0"/>
    <n v="1"/>
    <n v="0.1285806037251124"/>
    <n v="0.1285806037251124"/>
    <n v="0.1285806037251124"/>
    <n v="66.733333333333334"/>
    <n v="1"/>
    <n v="519"/>
    <n v="1"/>
    <n v="519"/>
    <n v="1.038"/>
    <n v="0"/>
    <n v="0"/>
    <n v="0"/>
    <n v="1"/>
    <n v="32"/>
    <n v="1"/>
    <n v="519"/>
    <n v="280"/>
    <n v="28"/>
    <n v="26"/>
    <n v="0"/>
    <n v="0"/>
    <n v="5.8823529411764705E-2"/>
    <n v="519"/>
    <n v="0"/>
    <n v="0"/>
    <n v="0"/>
    <n v="519"/>
    <n v="1"/>
    <n v="0"/>
    <n v="1"/>
    <n v="0"/>
    <n v="0"/>
    <n v="5"/>
    <n v="100"/>
    <n v="0"/>
    <n v="500"/>
    <x v="1"/>
    <s v="Yes"/>
    <s v="KBC"/>
    <x v="0"/>
    <x v="0"/>
    <x v="0"/>
    <n v="25.611160000000002"/>
    <n v="96.312790000000007"/>
    <s v="MMR001CMP229"/>
    <x v="0"/>
    <m/>
  </r>
  <r>
    <x v="0"/>
    <x v="4"/>
    <x v="4"/>
    <s v="ADRA/CANADA"/>
    <x v="0"/>
    <x v="6"/>
    <x v="1"/>
    <x v="27"/>
    <n v="31"/>
    <n v="132"/>
    <d v="2019-04-01T00:00:00"/>
    <d v="2019-07-31T00:00:00"/>
    <m/>
    <m/>
    <m/>
    <m/>
    <s v="Yes"/>
    <m/>
    <m/>
    <n v="0"/>
    <m/>
    <m/>
    <n v="1"/>
    <m/>
    <m/>
    <m/>
    <m/>
    <m/>
    <m/>
    <m/>
    <m/>
    <m/>
    <m/>
    <n v="0"/>
    <m/>
    <m/>
    <m/>
    <m/>
    <m/>
    <m/>
    <m/>
    <n v="9"/>
    <m/>
    <m/>
    <m/>
    <m/>
    <m/>
    <m/>
    <n v="9"/>
    <x v="0"/>
    <x v="0"/>
    <m/>
    <m/>
    <m/>
    <m/>
    <m/>
    <m/>
    <m/>
    <n v="2"/>
    <m/>
    <m/>
    <n v="1"/>
    <m/>
    <m/>
    <m/>
    <m/>
    <m/>
    <m/>
    <s v="no test"/>
    <s v="no test"/>
    <x v="1"/>
    <n v="0"/>
    <n v="1"/>
    <n v="0"/>
    <n v="0"/>
    <n v="0"/>
    <n v="1"/>
    <n v="1"/>
    <n v="1"/>
    <n v="132"/>
    <n v="0"/>
    <n v="0"/>
    <n v="1"/>
    <n v="132"/>
    <n v="0.26400000000000001"/>
    <n v="0"/>
    <n v="0"/>
    <n v="0.73599999999999999"/>
    <n v="1"/>
    <n v="9"/>
    <n v="1"/>
    <n v="132"/>
    <n v="0"/>
    <n v="0"/>
    <n v="7"/>
    <n v="0"/>
    <n v="0"/>
    <n v="0"/>
    <n v="132"/>
    <n v="0"/>
    <n v="0"/>
    <n v="0"/>
    <n v="132"/>
    <n v="1"/>
    <n v="0"/>
    <n v="1"/>
    <n v="0"/>
    <n v="0"/>
    <n v="0"/>
    <n v="0"/>
    <n v="0"/>
    <n v="0"/>
    <x v="0"/>
    <s v="Yes"/>
    <s v="KBC"/>
    <x v="0"/>
    <x v="0"/>
    <x v="0"/>
    <n v="25.51352"/>
    <n v="96.705960000000005"/>
    <s v="MMR001CMP148"/>
    <x v="0"/>
    <m/>
  </r>
  <r>
    <x v="0"/>
    <x v="3"/>
    <x v="3"/>
    <s v="AA"/>
    <x v="0"/>
    <x v="3"/>
    <x v="1"/>
    <x v="28"/>
    <n v="14"/>
    <n v="39"/>
    <d v="2018-10-01T00:00:00"/>
    <d v="2019-12-31T00:00:00"/>
    <m/>
    <m/>
    <m/>
    <m/>
    <m/>
    <m/>
    <m/>
    <m/>
    <m/>
    <m/>
    <n v="1"/>
    <m/>
    <m/>
    <m/>
    <m/>
    <m/>
    <m/>
    <m/>
    <m/>
    <m/>
    <m/>
    <m/>
    <m/>
    <m/>
    <m/>
    <m/>
    <m/>
    <m/>
    <m/>
    <n v="4"/>
    <m/>
    <m/>
    <m/>
    <m/>
    <m/>
    <m/>
    <m/>
    <x v="2"/>
    <x v="4"/>
    <m/>
    <m/>
    <m/>
    <m/>
    <m/>
    <m/>
    <m/>
    <n v="2"/>
    <m/>
    <m/>
    <n v="1"/>
    <n v="14"/>
    <n v="9"/>
    <m/>
    <m/>
    <m/>
    <m/>
    <s v="no test"/>
    <s v="no test"/>
    <x v="1"/>
    <n v="0"/>
    <n v="1"/>
    <n v="0"/>
    <n v="0"/>
    <n v="0"/>
    <n v="1"/>
    <n v="1"/>
    <n v="1"/>
    <n v="39"/>
    <n v="0"/>
    <n v="0"/>
    <n v="1"/>
    <n v="39"/>
    <n v="7.8E-2"/>
    <n v="0"/>
    <n v="0"/>
    <n v="0.92200000000000004"/>
    <n v="1"/>
    <n v="4"/>
    <n v="1"/>
    <n v="39"/>
    <n v="0"/>
    <n v="0"/>
    <n v="2"/>
    <n v="0"/>
    <n v="0"/>
    <n v="0"/>
    <n v="39"/>
    <n v="39"/>
    <n v="39"/>
    <n v="39"/>
    <n v="39"/>
    <n v="1"/>
    <n v="0"/>
    <n v="1"/>
    <n v="1"/>
    <n v="0.6428571428571429"/>
    <n v="0"/>
    <n v="0"/>
    <n v="0"/>
    <n v="0"/>
    <x v="0"/>
    <n v="0"/>
    <s v="KMSS-MYT"/>
    <x v="0"/>
    <x v="0"/>
    <x v="0"/>
    <n v="0"/>
    <n v="0"/>
    <s v="MMR001CMP256"/>
    <x v="0"/>
    <m/>
  </r>
  <r>
    <x v="0"/>
    <x v="5"/>
    <x v="5"/>
    <s v="DFID"/>
    <x v="0"/>
    <x v="6"/>
    <x v="1"/>
    <x v="29"/>
    <n v="123"/>
    <n v="672"/>
    <d v="2018-08-01T00:00:00"/>
    <d v="2020-07-31T00:00:00"/>
    <n v="23"/>
    <n v="2"/>
    <n v="0"/>
    <n v="0"/>
    <s v="Yes"/>
    <n v="1"/>
    <n v="2"/>
    <n v="0"/>
    <n v="0"/>
    <n v="0"/>
    <n v="0"/>
    <n v="0"/>
    <n v="0"/>
    <n v="0"/>
    <n v="1"/>
    <n v="0"/>
    <n v="1"/>
    <n v="0"/>
    <n v="1"/>
    <n v="1"/>
    <n v="0"/>
    <n v="0"/>
    <m/>
    <m/>
    <m/>
    <m/>
    <n v="0"/>
    <n v="0"/>
    <m/>
    <n v="18"/>
    <n v="1"/>
    <s v="Chruch"/>
    <n v="1"/>
    <n v="0"/>
    <n v="0"/>
    <m/>
    <n v="0"/>
    <x v="0"/>
    <x v="0"/>
    <n v="0"/>
    <n v="0"/>
    <n v="0"/>
    <m/>
    <n v="3"/>
    <n v="5"/>
    <n v="0"/>
    <n v="4"/>
    <m/>
    <n v="1"/>
    <n v="2"/>
    <n v="0"/>
    <n v="0"/>
    <s v="No"/>
    <n v="0"/>
    <n v="0.05"/>
    <m/>
    <s v="no test"/>
    <s v="no test"/>
    <x v="1"/>
    <n v="0"/>
    <n v="0"/>
    <n v="1"/>
    <n v="0"/>
    <n v="1"/>
    <n v="9.9305555555555564E-2"/>
    <n v="9.9305555555555564E-2"/>
    <n v="9.9305555555555564E-2"/>
    <n v="66.733333333333334"/>
    <n v="0.37202380952380953"/>
    <n v="250"/>
    <n v="0.47132936507936507"/>
    <n v="316.73333333333335"/>
    <n v="0.63346666666666673"/>
    <n v="0.52867063492063493"/>
    <n v="355.26666666666665"/>
    <n v="0.36653333333333327"/>
    <n v="1"/>
    <n v="18"/>
    <n v="0.5357142857142857"/>
    <n v="360"/>
    <n v="0"/>
    <n v="0"/>
    <n v="34"/>
    <n v="15"/>
    <n v="0.4642857142857143"/>
    <n v="5.2631578947368418E-2"/>
    <n v="672"/>
    <n v="0"/>
    <n v="0"/>
    <n v="0"/>
    <n v="672"/>
    <n v="1"/>
    <n v="0"/>
    <n v="1"/>
    <n v="0"/>
    <n v="0"/>
    <n v="-2"/>
    <n v="-40"/>
    <n v="0"/>
    <n v="-200"/>
    <x v="1"/>
    <s v="Yes"/>
    <s v="KBC"/>
    <x v="0"/>
    <x v="0"/>
    <x v="0"/>
    <n v="0"/>
    <n v="0"/>
    <s v="MMR001CMP250"/>
    <x v="0"/>
    <m/>
  </r>
  <r>
    <x v="0"/>
    <x v="5"/>
    <x v="5"/>
    <s v="DFID"/>
    <x v="0"/>
    <x v="6"/>
    <x v="1"/>
    <x v="30"/>
    <n v="18"/>
    <n v="103"/>
    <d v="2018-08-01T00:00:00"/>
    <d v="2020-07-31T00:00:00"/>
    <n v="0"/>
    <n v="1"/>
    <n v="0"/>
    <n v="0"/>
    <s v="Yes"/>
    <n v="1"/>
    <n v="2"/>
    <n v="0"/>
    <n v="0"/>
    <n v="0"/>
    <n v="0"/>
    <n v="0"/>
    <n v="0"/>
    <n v="0"/>
    <n v="2"/>
    <n v="0"/>
    <n v="1"/>
    <n v="0"/>
    <n v="2"/>
    <n v="1"/>
    <n v="1"/>
    <n v="0"/>
    <m/>
    <m/>
    <m/>
    <m/>
    <n v="0"/>
    <n v="0"/>
    <m/>
    <n v="4"/>
    <n v="0"/>
    <s v="Shalom"/>
    <n v="0"/>
    <n v="0"/>
    <n v="0"/>
    <m/>
    <n v="0"/>
    <x v="0"/>
    <x v="4"/>
    <n v="0"/>
    <n v="0"/>
    <n v="0"/>
    <m/>
    <n v="2"/>
    <n v="0"/>
    <n v="0"/>
    <n v="2"/>
    <n v="0"/>
    <n v="1"/>
    <n v="2"/>
    <n v="0"/>
    <n v="0"/>
    <s v="No"/>
    <n v="0"/>
    <n v="0.3"/>
    <m/>
    <s v="no test"/>
    <s v="no test"/>
    <x v="1"/>
    <n v="0"/>
    <n v="0"/>
    <n v="2"/>
    <n v="0"/>
    <n v="1"/>
    <n v="1"/>
    <n v="1"/>
    <n v="1"/>
    <n v="103"/>
    <n v="1"/>
    <n v="103"/>
    <n v="1"/>
    <n v="103"/>
    <n v="0.20599999999999999"/>
    <n v="0"/>
    <n v="0"/>
    <n v="0.79400000000000004"/>
    <n v="1"/>
    <n v="4"/>
    <n v="0.77669902912621358"/>
    <n v="80"/>
    <n v="0"/>
    <n v="0"/>
    <n v="5"/>
    <n v="1"/>
    <n v="0.22330097087378642"/>
    <n v="0"/>
    <n v="103"/>
    <n v="0"/>
    <n v="0"/>
    <n v="0"/>
    <n v="103"/>
    <n v="1"/>
    <n v="0"/>
    <n v="1"/>
    <n v="0"/>
    <n v="0"/>
    <n v="2"/>
    <n v="18"/>
    <n v="0"/>
    <n v="103"/>
    <x v="1"/>
    <s v="Yes"/>
    <s v="Shalom"/>
    <x v="0"/>
    <x v="0"/>
    <x v="0"/>
    <n v="25.566510000000001"/>
    <n v="96.269199999999998"/>
    <s v="MMR001CMP181"/>
    <x v="0"/>
    <m/>
  </r>
  <r>
    <x v="0"/>
    <x v="5"/>
    <x v="5"/>
    <s v="DFID"/>
    <x v="0"/>
    <x v="6"/>
    <x v="1"/>
    <x v="31"/>
    <n v="12"/>
    <n v="60"/>
    <d v="2018-08-01T00:00:00"/>
    <d v="2020-07-31T00:00:00"/>
    <n v="0"/>
    <n v="1"/>
    <n v="0"/>
    <n v="0"/>
    <s v="Yes"/>
    <n v="3"/>
    <n v="4"/>
    <n v="0"/>
    <n v="0"/>
    <n v="0"/>
    <n v="0"/>
    <n v="0"/>
    <n v="0"/>
    <n v="0"/>
    <n v="0"/>
    <n v="0"/>
    <n v="0"/>
    <n v="0"/>
    <n v="0"/>
    <n v="1"/>
    <n v="0"/>
    <n v="1"/>
    <m/>
    <m/>
    <m/>
    <m/>
    <n v="0"/>
    <n v="0"/>
    <m/>
    <n v="2"/>
    <n v="0"/>
    <s v="Shalom"/>
    <n v="0"/>
    <n v="0"/>
    <n v="0"/>
    <m/>
    <n v="0"/>
    <x v="0"/>
    <x v="4"/>
    <n v="0"/>
    <n v="0"/>
    <n v="0"/>
    <m/>
    <n v="1"/>
    <n v="0"/>
    <n v="0"/>
    <n v="2"/>
    <n v="0"/>
    <n v="3"/>
    <n v="4"/>
    <n v="0"/>
    <n v="0"/>
    <s v="No"/>
    <n v="0"/>
    <n v="0.4"/>
    <m/>
    <s v="no test"/>
    <s v="no test"/>
    <x v="1"/>
    <n v="0"/>
    <n v="0"/>
    <n v="0"/>
    <n v="0"/>
    <n v="1"/>
    <n v="1.1111111111111111E-3"/>
    <n v="1.1111111111111111E-3"/>
    <n v="1.1111111111111111E-3"/>
    <n v="6.6666666666666666E-2"/>
    <n v="0"/>
    <n v="0"/>
    <n v="1.1111111111111111E-3"/>
    <n v="6.6666666666666666E-2"/>
    <n v="1.3333333333333334E-4"/>
    <n v="0.99888888888888894"/>
    <n v="59.933333333333337"/>
    <n v="0.99986666666666668"/>
    <n v="1"/>
    <n v="2"/>
    <n v="0.66666666666666663"/>
    <n v="40"/>
    <n v="0"/>
    <n v="0"/>
    <n v="3"/>
    <n v="1"/>
    <n v="0.33333333333333337"/>
    <n v="0"/>
    <n v="60"/>
    <n v="0"/>
    <n v="0"/>
    <n v="0"/>
    <n v="60"/>
    <n v="1"/>
    <n v="0"/>
    <n v="1"/>
    <n v="0"/>
    <n v="0"/>
    <n v="1"/>
    <n v="12"/>
    <n v="0"/>
    <n v="60"/>
    <x v="1"/>
    <s v="Yes"/>
    <s v="Shalom"/>
    <x v="0"/>
    <x v="0"/>
    <x v="0"/>
    <n v="25.61842"/>
    <n v="96.316400000000002"/>
    <s v="MMR001CMP167"/>
    <x v="0"/>
    <m/>
  </r>
  <r>
    <x v="0"/>
    <x v="2"/>
    <x v="2"/>
    <m/>
    <x v="0"/>
    <x v="7"/>
    <x v="1"/>
    <x v="32"/>
    <n v="6"/>
    <n v="32"/>
    <m/>
    <m/>
    <m/>
    <m/>
    <m/>
    <m/>
    <m/>
    <m/>
    <m/>
    <m/>
    <m/>
    <m/>
    <m/>
    <m/>
    <m/>
    <m/>
    <m/>
    <m/>
    <m/>
    <m/>
    <m/>
    <m/>
    <m/>
    <m/>
    <m/>
    <m/>
    <m/>
    <m/>
    <m/>
    <m/>
    <m/>
    <m/>
    <m/>
    <m/>
    <m/>
    <m/>
    <m/>
    <m/>
    <m/>
    <x v="1"/>
    <x v="1"/>
    <m/>
    <m/>
    <m/>
    <m/>
    <m/>
    <m/>
    <m/>
    <m/>
    <m/>
    <m/>
    <m/>
    <m/>
    <m/>
    <m/>
    <m/>
    <m/>
    <m/>
    <s v="no test"/>
    <s v="no test"/>
    <x v="1"/>
    <n v="0"/>
    <n v="0"/>
    <n v="0"/>
    <n v="0"/>
    <n v="0"/>
    <n v="0"/>
    <n v="0"/>
    <n v="0"/>
    <n v="0"/>
    <n v="0"/>
    <n v="0"/>
    <n v="0"/>
    <n v="0"/>
    <n v="0"/>
    <n v="1"/>
    <n v="32"/>
    <n v="1"/>
    <n v="1"/>
    <n v="0"/>
    <n v="0"/>
    <n v="0"/>
    <n v="0"/>
    <n v="0"/>
    <n v="2"/>
    <n v="2"/>
    <n v="1"/>
    <n v="0"/>
    <n v="0"/>
    <n v="0"/>
    <n v="0"/>
    <n v="0"/>
    <n v="0"/>
    <n v="0"/>
    <n v="1"/>
    <n v="0"/>
    <n v="0"/>
    <n v="0"/>
    <n v="0"/>
    <n v="0"/>
    <n v="0"/>
    <n v="0"/>
    <x v="0"/>
    <n v="0"/>
    <s v="uncovered"/>
    <x v="0"/>
    <x v="2"/>
    <x v="0"/>
    <n v="0"/>
    <n v="0"/>
    <s v="MMR001CMP262"/>
    <x v="1"/>
    <m/>
  </r>
  <r>
    <x v="0"/>
    <x v="2"/>
    <x v="2"/>
    <m/>
    <x v="0"/>
    <x v="6"/>
    <x v="1"/>
    <x v="33"/>
    <n v="3"/>
    <n v="15"/>
    <m/>
    <d v="2020-07-31T00:00:00"/>
    <m/>
    <n v="0"/>
    <m/>
    <m/>
    <s v="Yes"/>
    <m/>
    <m/>
    <n v="1"/>
    <m/>
    <m/>
    <n v="1"/>
    <m/>
    <m/>
    <m/>
    <n v="0"/>
    <m/>
    <m/>
    <m/>
    <m/>
    <m/>
    <m/>
    <n v="1"/>
    <m/>
    <m/>
    <m/>
    <m/>
    <m/>
    <m/>
    <m/>
    <n v="0"/>
    <m/>
    <m/>
    <m/>
    <m/>
    <m/>
    <m/>
    <n v="0"/>
    <x v="0"/>
    <x v="3"/>
    <m/>
    <m/>
    <m/>
    <m/>
    <m/>
    <m/>
    <n v="0"/>
    <m/>
    <m/>
    <m/>
    <m/>
    <m/>
    <m/>
    <m/>
    <m/>
    <m/>
    <m/>
    <s v="no test"/>
    <s v="no test"/>
    <x v="1"/>
    <n v="1"/>
    <n v="1"/>
    <n v="0"/>
    <n v="0"/>
    <n v="0"/>
    <n v="1"/>
    <n v="1"/>
    <n v="1"/>
    <n v="15"/>
    <n v="0"/>
    <n v="0"/>
    <n v="1"/>
    <n v="15"/>
    <n v="0.03"/>
    <n v="0"/>
    <n v="0"/>
    <n v="0.97"/>
    <n v="1"/>
    <n v="0"/>
    <n v="0"/>
    <n v="0"/>
    <n v="0"/>
    <n v="0"/>
    <n v="1"/>
    <n v="1"/>
    <n v="1"/>
    <n v="0"/>
    <n v="0"/>
    <n v="0"/>
    <n v="0"/>
    <n v="0"/>
    <n v="0"/>
    <n v="0"/>
    <n v="1"/>
    <n v="0"/>
    <n v="0"/>
    <n v="0"/>
    <n v="0"/>
    <n v="0"/>
    <n v="0"/>
    <n v="0"/>
    <x v="0"/>
    <s v="Yes"/>
    <s v="uncovered"/>
    <x v="0"/>
    <x v="2"/>
    <x v="0"/>
    <n v="25.6145"/>
    <n v="96.319829999999996"/>
    <s v="MMR001CMP091"/>
    <x v="1"/>
    <m/>
  </r>
  <r>
    <x v="0"/>
    <x v="2"/>
    <x v="2"/>
    <s v="ADRA/CANADA"/>
    <x v="0"/>
    <x v="6"/>
    <x v="1"/>
    <x v="34"/>
    <n v="10"/>
    <n v="18"/>
    <m/>
    <d v="2018-12-31T00:00:00"/>
    <m/>
    <m/>
    <m/>
    <m/>
    <m/>
    <m/>
    <m/>
    <m/>
    <m/>
    <m/>
    <m/>
    <m/>
    <m/>
    <m/>
    <m/>
    <m/>
    <m/>
    <m/>
    <m/>
    <m/>
    <m/>
    <m/>
    <m/>
    <m/>
    <m/>
    <m/>
    <m/>
    <m/>
    <m/>
    <m/>
    <m/>
    <m/>
    <m/>
    <m/>
    <m/>
    <m/>
    <m/>
    <x v="1"/>
    <x v="1"/>
    <m/>
    <m/>
    <m/>
    <m/>
    <m/>
    <m/>
    <m/>
    <m/>
    <m/>
    <m/>
    <m/>
    <m/>
    <m/>
    <m/>
    <m/>
    <m/>
    <m/>
    <s v="no test"/>
    <s v="no test"/>
    <x v="1"/>
    <n v="0"/>
    <n v="0"/>
    <n v="0"/>
    <n v="0"/>
    <n v="0"/>
    <n v="0"/>
    <n v="0"/>
    <n v="0"/>
    <n v="0"/>
    <n v="0"/>
    <n v="0"/>
    <n v="0"/>
    <n v="0"/>
    <n v="0"/>
    <n v="1"/>
    <n v="18"/>
    <n v="1"/>
    <n v="1"/>
    <n v="0"/>
    <n v="0"/>
    <n v="0"/>
    <n v="0"/>
    <n v="0"/>
    <n v="1"/>
    <n v="1"/>
    <n v="1"/>
    <n v="0"/>
    <n v="0"/>
    <n v="0"/>
    <n v="0"/>
    <n v="0"/>
    <n v="0"/>
    <n v="0"/>
    <n v="1"/>
    <n v="0"/>
    <n v="0"/>
    <n v="0"/>
    <n v="0"/>
    <n v="0"/>
    <n v="0"/>
    <n v="0"/>
    <x v="0"/>
    <s v="Yes"/>
    <s v="KMSS-MYT"/>
    <x v="0"/>
    <x v="0"/>
    <x v="0"/>
    <n v="25.920006000000001"/>
    <n v="96.662092000000001"/>
    <s v="MMR001CMP247"/>
    <x v="1"/>
    <m/>
  </r>
  <r>
    <x v="0"/>
    <x v="5"/>
    <x v="5"/>
    <s v="DFID"/>
    <x v="0"/>
    <x v="6"/>
    <x v="1"/>
    <x v="35"/>
    <n v="11"/>
    <n v="42"/>
    <d v="2018-08-01T00:00:00"/>
    <d v="2020-07-31T00:00:00"/>
    <n v="0"/>
    <n v="1"/>
    <n v="0"/>
    <n v="0"/>
    <s v="Yes"/>
    <n v="4"/>
    <n v="2"/>
    <n v="1"/>
    <n v="0"/>
    <n v="0"/>
    <n v="0"/>
    <n v="0"/>
    <n v="0"/>
    <n v="0"/>
    <n v="2"/>
    <n v="0"/>
    <n v="0"/>
    <n v="0"/>
    <n v="0"/>
    <n v="1"/>
    <n v="0"/>
    <n v="1"/>
    <m/>
    <m/>
    <m/>
    <m/>
    <n v="0"/>
    <n v="0"/>
    <m/>
    <n v="4"/>
    <n v="0"/>
    <s v="Shalom"/>
    <n v="0"/>
    <n v="3"/>
    <n v="0"/>
    <n v="0"/>
    <n v="0"/>
    <x v="0"/>
    <x v="4"/>
    <n v="0"/>
    <n v="0"/>
    <n v="0"/>
    <n v="0"/>
    <n v="0"/>
    <n v="0"/>
    <n v="0"/>
    <n v="2"/>
    <n v="0"/>
    <n v="4"/>
    <n v="2"/>
    <n v="0"/>
    <n v="0"/>
    <s v="No"/>
    <n v="0"/>
    <n v="0.4"/>
    <m/>
    <s v="no test"/>
    <s v="no test"/>
    <x v="1"/>
    <n v="1"/>
    <n v="0"/>
    <n v="2"/>
    <n v="0"/>
    <n v="1"/>
    <n v="1"/>
    <n v="1"/>
    <n v="1"/>
    <n v="42"/>
    <n v="0"/>
    <n v="0"/>
    <n v="1"/>
    <n v="42"/>
    <n v="8.4000000000000005E-2"/>
    <n v="0"/>
    <n v="0"/>
    <n v="0.91600000000000004"/>
    <n v="1"/>
    <n v="4"/>
    <n v="1"/>
    <n v="42"/>
    <n v="0"/>
    <n v="0"/>
    <n v="2"/>
    <n v="0"/>
    <n v="0"/>
    <n v="0"/>
    <n v="42"/>
    <n v="0"/>
    <n v="0"/>
    <n v="0"/>
    <n v="42"/>
    <n v="1"/>
    <n v="0"/>
    <n v="1"/>
    <n v="0"/>
    <n v="0"/>
    <n v="0"/>
    <n v="0"/>
    <n v="0"/>
    <n v="0"/>
    <x v="1"/>
    <s v="Yes"/>
    <s v="uncovered"/>
    <x v="0"/>
    <x v="2"/>
    <x v="0"/>
    <n v="25.617998"/>
    <n v="96.339590000000001"/>
    <s v="MMR001CMP192"/>
    <x v="0"/>
    <m/>
  </r>
  <r>
    <x v="0"/>
    <x v="3"/>
    <x v="3"/>
    <s v="AA"/>
    <x v="0"/>
    <x v="6"/>
    <x v="1"/>
    <x v="36"/>
    <n v="16"/>
    <n v="63"/>
    <d v="2018-10-01T00:00:00"/>
    <d v="2019-12-31T00:00:00"/>
    <m/>
    <m/>
    <m/>
    <m/>
    <m/>
    <m/>
    <m/>
    <m/>
    <m/>
    <m/>
    <m/>
    <n v="1"/>
    <m/>
    <m/>
    <m/>
    <m/>
    <m/>
    <m/>
    <m/>
    <m/>
    <m/>
    <m/>
    <m/>
    <m/>
    <m/>
    <m/>
    <m/>
    <m/>
    <m/>
    <n v="2"/>
    <m/>
    <m/>
    <m/>
    <n v="2"/>
    <m/>
    <m/>
    <m/>
    <x v="2"/>
    <x v="4"/>
    <m/>
    <m/>
    <m/>
    <m/>
    <m/>
    <m/>
    <m/>
    <n v="2"/>
    <m/>
    <m/>
    <n v="1"/>
    <n v="16"/>
    <n v="24"/>
    <m/>
    <m/>
    <m/>
    <m/>
    <s v="no test"/>
    <s v="no test"/>
    <x v="1"/>
    <n v="0"/>
    <n v="1"/>
    <n v="0"/>
    <n v="0"/>
    <n v="0"/>
    <n v="1"/>
    <n v="1"/>
    <n v="1"/>
    <n v="63"/>
    <n v="0"/>
    <n v="0"/>
    <n v="1"/>
    <n v="63"/>
    <n v="0.126"/>
    <n v="0"/>
    <n v="0"/>
    <n v="0.874"/>
    <n v="1"/>
    <n v="2"/>
    <n v="0.63492063492063489"/>
    <n v="40"/>
    <n v="0"/>
    <n v="0"/>
    <n v="3"/>
    <n v="1"/>
    <n v="0.36507936507936511"/>
    <n v="0"/>
    <n v="63"/>
    <n v="63"/>
    <n v="63"/>
    <n v="63"/>
    <n v="63"/>
    <n v="1"/>
    <n v="0"/>
    <n v="1"/>
    <n v="1"/>
    <n v="1"/>
    <n v="0"/>
    <n v="0"/>
    <n v="0"/>
    <n v="0"/>
    <x v="0"/>
    <n v="0"/>
    <s v="KMSS-MYT"/>
    <x v="0"/>
    <x v="0"/>
    <x v="0"/>
    <n v="0"/>
    <n v="0"/>
    <s v="MMR001CMP270"/>
    <x v="0"/>
    <m/>
  </r>
  <r>
    <x v="0"/>
    <x v="5"/>
    <x v="5"/>
    <s v="DFID"/>
    <x v="0"/>
    <x v="6"/>
    <x v="1"/>
    <x v="37"/>
    <n v="10"/>
    <n v="38"/>
    <d v="2018-08-01T00:00:00"/>
    <d v="2020-07-31T00:00:00"/>
    <n v="0"/>
    <n v="1"/>
    <n v="0"/>
    <n v="0"/>
    <s v="Yes"/>
    <n v="2"/>
    <n v="2"/>
    <n v="1"/>
    <n v="0"/>
    <n v="0"/>
    <n v="0"/>
    <n v="0"/>
    <n v="0"/>
    <n v="0"/>
    <n v="2"/>
    <n v="0"/>
    <n v="1"/>
    <n v="0"/>
    <n v="1"/>
    <n v="1"/>
    <n v="0"/>
    <n v="1"/>
    <m/>
    <m/>
    <m/>
    <m/>
    <n v="0"/>
    <n v="0"/>
    <m/>
    <n v="2"/>
    <n v="0"/>
    <s v="Shalom"/>
    <n v="0"/>
    <n v="0"/>
    <n v="0"/>
    <m/>
    <n v="0"/>
    <x v="0"/>
    <x v="0"/>
    <n v="0"/>
    <n v="0"/>
    <n v="0"/>
    <m/>
    <n v="1"/>
    <n v="0"/>
    <n v="0"/>
    <n v="1"/>
    <n v="0"/>
    <n v="2"/>
    <n v="2"/>
    <n v="0"/>
    <n v="0"/>
    <s v="No"/>
    <n v="0"/>
    <n v="0.4"/>
    <m/>
    <s v="no test"/>
    <s v="no test"/>
    <x v="1"/>
    <n v="1"/>
    <n v="0"/>
    <n v="2"/>
    <n v="0"/>
    <n v="1"/>
    <n v="1"/>
    <n v="1"/>
    <n v="1"/>
    <n v="38"/>
    <n v="1"/>
    <n v="38"/>
    <n v="1"/>
    <n v="38"/>
    <n v="7.5999999999999998E-2"/>
    <n v="0"/>
    <n v="0"/>
    <n v="0.92400000000000004"/>
    <n v="1"/>
    <n v="2"/>
    <n v="1"/>
    <n v="38"/>
    <n v="0"/>
    <n v="0"/>
    <n v="2"/>
    <n v="0"/>
    <n v="0"/>
    <n v="0"/>
    <n v="38"/>
    <n v="0"/>
    <n v="0"/>
    <n v="0"/>
    <n v="38"/>
    <n v="1"/>
    <n v="0"/>
    <n v="1"/>
    <n v="0"/>
    <n v="0"/>
    <n v="1"/>
    <n v="10"/>
    <n v="0"/>
    <n v="38"/>
    <x v="1"/>
    <s v="Yes"/>
    <s v="uncovered"/>
    <x v="0"/>
    <x v="2"/>
    <x v="0"/>
    <n v="25.56551"/>
    <n v="96.279200000000003"/>
    <s v="MMR001CMP182"/>
    <x v="0"/>
    <m/>
  </r>
  <r>
    <x v="0"/>
    <x v="4"/>
    <x v="4"/>
    <s v="Plan/GFFO,ADRA/CANADA  "/>
    <x v="0"/>
    <x v="5"/>
    <x v="1"/>
    <x v="38"/>
    <n v="169"/>
    <n v="837"/>
    <d v="2019-04-01T00:00:00"/>
    <d v="2019-07-31T00:00:00"/>
    <m/>
    <m/>
    <m/>
    <m/>
    <s v="Yes"/>
    <m/>
    <m/>
    <n v="0"/>
    <m/>
    <m/>
    <n v="0"/>
    <m/>
    <m/>
    <m/>
    <n v="1"/>
    <m/>
    <m/>
    <m/>
    <m/>
    <m/>
    <m/>
    <n v="0"/>
    <m/>
    <m/>
    <m/>
    <m/>
    <m/>
    <m/>
    <m/>
    <n v="32"/>
    <m/>
    <m/>
    <m/>
    <m/>
    <m/>
    <m/>
    <n v="32"/>
    <x v="0"/>
    <x v="0"/>
    <m/>
    <m/>
    <n v="5"/>
    <m/>
    <m/>
    <m/>
    <m/>
    <n v="4"/>
    <m/>
    <m/>
    <n v="3"/>
    <m/>
    <m/>
    <m/>
    <m/>
    <m/>
    <m/>
    <s v="no test"/>
    <s v="no test"/>
    <x v="1"/>
    <n v="0"/>
    <n v="0"/>
    <n v="1"/>
    <n v="0"/>
    <n v="0"/>
    <n v="7.9649542015133412E-2"/>
    <n v="7.9649542015133412E-2"/>
    <n v="7.9649542015133412E-2"/>
    <n v="66.666666666666671"/>
    <n v="0"/>
    <n v="0"/>
    <n v="7.9649542015133412E-2"/>
    <n v="66.666666666666671"/>
    <n v="0.13333333333333333"/>
    <n v="0.92035045798486659"/>
    <n v="770.33333333333337"/>
    <n v="1.8666666666666667"/>
    <n v="2"/>
    <n v="32"/>
    <n v="0.7646356033452808"/>
    <n v="640"/>
    <n v="0"/>
    <n v="0"/>
    <n v="42"/>
    <n v="10"/>
    <n v="0.2353643966547192"/>
    <n v="0"/>
    <n v="837"/>
    <n v="0"/>
    <n v="0"/>
    <n v="0"/>
    <n v="837"/>
    <n v="1"/>
    <n v="0"/>
    <n v="1"/>
    <n v="0"/>
    <n v="0"/>
    <n v="0"/>
    <n v="0"/>
    <n v="0"/>
    <n v="0"/>
    <x v="0"/>
    <s v="Yes"/>
    <s v="KBC"/>
    <x v="0"/>
    <x v="0"/>
    <x v="1"/>
    <n v="25.754110000000001"/>
    <n v="98.475719999999995"/>
    <s v="MMR001CMP043"/>
    <x v="0"/>
    <m/>
  </r>
  <r>
    <x v="0"/>
    <x v="4"/>
    <x v="4"/>
    <m/>
    <x v="0"/>
    <x v="8"/>
    <x v="0"/>
    <x v="39"/>
    <n v="39"/>
    <n v="121"/>
    <m/>
    <m/>
    <m/>
    <m/>
    <m/>
    <m/>
    <m/>
    <m/>
    <m/>
    <n v="0"/>
    <m/>
    <m/>
    <n v="0"/>
    <m/>
    <m/>
    <m/>
    <m/>
    <m/>
    <m/>
    <m/>
    <m/>
    <m/>
    <m/>
    <n v="0"/>
    <m/>
    <m/>
    <m/>
    <m/>
    <m/>
    <m/>
    <m/>
    <n v="0"/>
    <m/>
    <m/>
    <m/>
    <m/>
    <m/>
    <m/>
    <n v="0"/>
    <x v="2"/>
    <x v="2"/>
    <m/>
    <m/>
    <m/>
    <m/>
    <m/>
    <m/>
    <m/>
    <m/>
    <m/>
    <m/>
    <m/>
    <m/>
    <m/>
    <m/>
    <m/>
    <m/>
    <m/>
    <s v="no test"/>
    <s v="no test"/>
    <x v="1"/>
    <n v="0"/>
    <n v="0"/>
    <n v="0"/>
    <n v="0"/>
    <n v="0"/>
    <n v="0"/>
    <n v="0"/>
    <n v="0"/>
    <n v="0"/>
    <n v="0"/>
    <n v="0"/>
    <n v="0"/>
    <n v="0"/>
    <n v="0"/>
    <n v="1"/>
    <n v="121"/>
    <n v="1"/>
    <n v="1"/>
    <n v="0"/>
    <n v="0"/>
    <n v="0"/>
    <n v="0"/>
    <n v="0"/>
    <n v="6"/>
    <n v="6"/>
    <n v="1"/>
    <n v="0"/>
    <n v="0"/>
    <n v="0"/>
    <n v="0"/>
    <n v="0"/>
    <n v="0"/>
    <n v="0"/>
    <n v="1"/>
    <n v="0"/>
    <n v="0"/>
    <n v="0"/>
    <n v="0"/>
    <n v="0"/>
    <n v="0"/>
    <n v="0"/>
    <x v="0"/>
    <n v="0"/>
    <n v="0"/>
    <x v="0"/>
    <x v="2"/>
    <x v="1"/>
    <n v="0"/>
    <n v="0"/>
    <n v="0"/>
    <x v="0"/>
    <m/>
  </r>
  <r>
    <x v="0"/>
    <x v="3"/>
    <x v="3"/>
    <s v="AA"/>
    <x v="0"/>
    <x v="7"/>
    <x v="1"/>
    <x v="40"/>
    <n v="79"/>
    <n v="396"/>
    <d v="2018-10-01T00:00:00"/>
    <d v="2019-12-31T00:00:00"/>
    <m/>
    <m/>
    <m/>
    <m/>
    <m/>
    <m/>
    <m/>
    <m/>
    <m/>
    <m/>
    <m/>
    <n v="1"/>
    <m/>
    <m/>
    <m/>
    <m/>
    <m/>
    <m/>
    <m/>
    <m/>
    <m/>
    <m/>
    <m/>
    <m/>
    <m/>
    <m/>
    <m/>
    <m/>
    <m/>
    <n v="6"/>
    <m/>
    <m/>
    <n v="4"/>
    <m/>
    <m/>
    <m/>
    <m/>
    <x v="0"/>
    <x v="3"/>
    <m/>
    <m/>
    <m/>
    <m/>
    <m/>
    <m/>
    <m/>
    <n v="2"/>
    <m/>
    <m/>
    <n v="1"/>
    <n v="79"/>
    <n v="94"/>
    <m/>
    <m/>
    <m/>
    <m/>
    <s v="no test"/>
    <s v="no test"/>
    <x v="1"/>
    <n v="0"/>
    <n v="1"/>
    <n v="0"/>
    <n v="0"/>
    <n v="0"/>
    <n v="1"/>
    <n v="0.63131313131313127"/>
    <n v="1"/>
    <n v="396"/>
    <n v="0"/>
    <n v="0"/>
    <n v="1"/>
    <n v="396"/>
    <n v="0.79200000000000004"/>
    <n v="0"/>
    <n v="0"/>
    <n v="0.20799999999999996"/>
    <n v="1"/>
    <n v="2"/>
    <n v="0.10101010101010101"/>
    <n v="40"/>
    <n v="0"/>
    <n v="0"/>
    <n v="20"/>
    <n v="14"/>
    <n v="0.89898989898989901"/>
    <n v="0.66666666666666663"/>
    <n v="396"/>
    <n v="396"/>
    <n v="396"/>
    <n v="396"/>
    <n v="396"/>
    <n v="1"/>
    <n v="0"/>
    <n v="1"/>
    <n v="1"/>
    <n v="1"/>
    <n v="0"/>
    <n v="0"/>
    <n v="0"/>
    <n v="0"/>
    <x v="0"/>
    <n v="0"/>
    <s v="KMSS-MYT"/>
    <x v="0"/>
    <x v="0"/>
    <x v="0"/>
    <n v="97.013800000000003"/>
    <n v="25.383465999999999"/>
    <s v="MMR001CMP260"/>
    <x v="0"/>
    <m/>
  </r>
  <r>
    <x v="0"/>
    <x v="5"/>
    <x v="5"/>
    <s v="DFID"/>
    <x v="0"/>
    <x v="6"/>
    <x v="1"/>
    <x v="41"/>
    <n v="32"/>
    <n v="172"/>
    <d v="2018-08-01T00:00:00"/>
    <d v="2020-07-31T00:00:00"/>
    <n v="0"/>
    <n v="1"/>
    <n v="0"/>
    <n v="0"/>
    <s v="Yes"/>
    <n v="4"/>
    <n v="1"/>
    <n v="0"/>
    <n v="0"/>
    <n v="0"/>
    <n v="0"/>
    <n v="0"/>
    <n v="0"/>
    <n v="0"/>
    <n v="1"/>
    <n v="0"/>
    <n v="1"/>
    <n v="0"/>
    <n v="1"/>
    <n v="1"/>
    <n v="0"/>
    <n v="1"/>
    <m/>
    <m/>
    <m/>
    <m/>
    <n v="0"/>
    <n v="0"/>
    <m/>
    <n v="10"/>
    <n v="1"/>
    <s v="Shalom"/>
    <n v="0"/>
    <n v="4"/>
    <n v="0"/>
    <m/>
    <n v="0"/>
    <x v="0"/>
    <x v="4"/>
    <n v="0"/>
    <n v="0"/>
    <n v="0"/>
    <m/>
    <n v="2"/>
    <n v="0"/>
    <n v="2"/>
    <n v="0"/>
    <n v="1"/>
    <n v="1"/>
    <n v="0"/>
    <n v="0"/>
    <n v="0"/>
    <s v="No"/>
    <n v="0"/>
    <n v="0.05"/>
    <m/>
    <s v="no test"/>
    <s v="no test"/>
    <x v="1"/>
    <n v="0"/>
    <n v="0"/>
    <n v="1"/>
    <n v="0"/>
    <n v="1"/>
    <n v="0.38798449612403102"/>
    <n v="0.38798449612403102"/>
    <n v="0.38798449612403102"/>
    <n v="66.733333333333334"/>
    <n v="1"/>
    <n v="172"/>
    <n v="1"/>
    <n v="172"/>
    <n v="0.34399999999999997"/>
    <n v="0"/>
    <n v="0"/>
    <n v="0.65600000000000003"/>
    <n v="1"/>
    <n v="11"/>
    <n v="1"/>
    <n v="172"/>
    <n v="0"/>
    <n v="0"/>
    <n v="9"/>
    <n v="0"/>
    <n v="0"/>
    <n v="0"/>
    <n v="172"/>
    <n v="0"/>
    <n v="0"/>
    <n v="0"/>
    <n v="172"/>
    <n v="1"/>
    <n v="0"/>
    <n v="1"/>
    <n v="0"/>
    <n v="0"/>
    <n v="2"/>
    <n v="32"/>
    <n v="0"/>
    <n v="172"/>
    <x v="1"/>
    <s v="Yes"/>
    <s v="KBC"/>
    <x v="0"/>
    <x v="0"/>
    <x v="0"/>
    <n v="25.577559999999998"/>
    <n v="96.286680000000004"/>
    <s v="MMR001CMP184"/>
    <x v="0"/>
    <m/>
  </r>
  <r>
    <x v="0"/>
    <x v="5"/>
    <x v="5"/>
    <s v="DFID"/>
    <x v="0"/>
    <x v="6"/>
    <x v="1"/>
    <x v="42"/>
    <n v="15"/>
    <n v="67"/>
    <d v="2018-08-01T00:00:00"/>
    <d v="2020-07-31T00:00:00"/>
    <n v="0"/>
    <n v="1"/>
    <n v="0"/>
    <n v="0"/>
    <s v="Yes"/>
    <n v="2"/>
    <n v="2"/>
    <n v="0"/>
    <n v="0"/>
    <n v="0"/>
    <n v="0"/>
    <n v="0"/>
    <n v="0"/>
    <n v="0"/>
    <n v="0"/>
    <n v="0"/>
    <n v="0"/>
    <n v="0"/>
    <n v="0"/>
    <n v="0"/>
    <n v="0"/>
    <n v="0"/>
    <m/>
    <m/>
    <m/>
    <m/>
    <n v="0"/>
    <n v="0"/>
    <m/>
    <n v="4"/>
    <n v="1"/>
    <s v="Shalom &amp; Chruch"/>
    <n v="0"/>
    <n v="0"/>
    <n v="0"/>
    <m/>
    <n v="0"/>
    <x v="0"/>
    <x v="4"/>
    <n v="0"/>
    <n v="0"/>
    <n v="0"/>
    <m/>
    <n v="0"/>
    <n v="0"/>
    <n v="0"/>
    <n v="2"/>
    <n v="0"/>
    <n v="2"/>
    <n v="0"/>
    <n v="0"/>
    <n v="0"/>
    <s v="No"/>
    <n v="0"/>
    <n v="0.65"/>
    <m/>
    <s v="no test"/>
    <s v="no test"/>
    <x v="1"/>
    <n v="0"/>
    <n v="0"/>
    <n v="0"/>
    <n v="0"/>
    <n v="0"/>
    <n v="0"/>
    <n v="0"/>
    <n v="0"/>
    <n v="0"/>
    <n v="0"/>
    <n v="0"/>
    <n v="0"/>
    <n v="0"/>
    <n v="0"/>
    <n v="1"/>
    <n v="67"/>
    <n v="1"/>
    <n v="1"/>
    <n v="5"/>
    <n v="1"/>
    <n v="67"/>
    <n v="0"/>
    <n v="0"/>
    <n v="3"/>
    <n v="0"/>
    <n v="0"/>
    <n v="0"/>
    <n v="67"/>
    <n v="0"/>
    <n v="0"/>
    <n v="0"/>
    <n v="67"/>
    <n v="1"/>
    <n v="0"/>
    <n v="1"/>
    <n v="0"/>
    <n v="0"/>
    <n v="0"/>
    <n v="0"/>
    <n v="0"/>
    <n v="0"/>
    <x v="1"/>
    <s v="Yes"/>
    <s v="KBC"/>
    <x v="0"/>
    <x v="0"/>
    <x v="0"/>
    <n v="25.599250000000001"/>
    <n v="96.306910999999999"/>
    <s v="MMR001CMP105"/>
    <x v="0"/>
    <m/>
  </r>
  <r>
    <x v="0"/>
    <x v="7"/>
    <x v="7"/>
    <s v="SCI/FFO"/>
    <x v="0"/>
    <x v="9"/>
    <x v="1"/>
    <x v="43"/>
    <n v="358"/>
    <n v="1661"/>
    <m/>
    <d v="2019-11-30T00:00:00"/>
    <m/>
    <n v="7"/>
    <n v="15"/>
    <m/>
    <s v="Yes"/>
    <m/>
    <m/>
    <n v="4"/>
    <m/>
    <m/>
    <m/>
    <m/>
    <m/>
    <m/>
    <m/>
    <m/>
    <m/>
    <m/>
    <n v="5"/>
    <m/>
    <m/>
    <n v="5"/>
    <m/>
    <m/>
    <n v="47"/>
    <n v="10"/>
    <n v="0"/>
    <n v="5"/>
    <m/>
    <n v="186"/>
    <m/>
    <m/>
    <n v="56"/>
    <m/>
    <n v="0"/>
    <m/>
    <m/>
    <x v="2"/>
    <x v="3"/>
    <m/>
    <m/>
    <m/>
    <m/>
    <m/>
    <m/>
    <m/>
    <n v="14"/>
    <m/>
    <m/>
    <n v="1"/>
    <n v="352"/>
    <m/>
    <m/>
    <n v="7"/>
    <m/>
    <m/>
    <s v="no test"/>
    <n v="0.21276595744680851"/>
    <x v="0"/>
    <n v="4"/>
    <n v="0"/>
    <n v="0"/>
    <n v="0"/>
    <n v="0"/>
    <n v="0.96327513546056598"/>
    <n v="0.60204695966285371"/>
    <n v="0.96327513546056598"/>
    <n v="1600"/>
    <n v="0.75255869957856714"/>
    <n v="1250"/>
    <n v="1"/>
    <n v="1661"/>
    <n v="3.3220000000000001"/>
    <n v="0"/>
    <n v="0"/>
    <n v="0"/>
    <n v="3"/>
    <n v="130"/>
    <n v="1"/>
    <n v="1661"/>
    <n v="0"/>
    <n v="0"/>
    <n v="83"/>
    <n v="0"/>
    <n v="0"/>
    <n v="0.30107526881720431"/>
    <n v="500"/>
    <n v="1661"/>
    <n v="0"/>
    <n v="1661"/>
    <n v="1661"/>
    <n v="1"/>
    <n v="0"/>
    <n v="0.30102347983142685"/>
    <n v="0.98324022346368711"/>
    <n v="0"/>
    <n v="0"/>
    <n v="0"/>
    <n v="0"/>
    <n v="0"/>
    <x v="0"/>
    <s v="Yes"/>
    <s v="KMSS-BMO"/>
    <x v="0"/>
    <x v="0"/>
    <x v="1"/>
    <n v="24.002433"/>
    <n v="97.609832999999995"/>
    <s v="MMR001CMP129"/>
    <x v="0"/>
    <m/>
  </r>
  <r>
    <x v="0"/>
    <x v="7"/>
    <x v="7"/>
    <s v="SCI/FFO"/>
    <x v="0"/>
    <x v="9"/>
    <x v="1"/>
    <x v="44"/>
    <n v="491"/>
    <n v="2581"/>
    <m/>
    <d v="2019-11-30T00:00:00"/>
    <m/>
    <n v="13"/>
    <n v="20"/>
    <m/>
    <s v="Yes"/>
    <m/>
    <m/>
    <n v="3"/>
    <m/>
    <m/>
    <m/>
    <m/>
    <m/>
    <m/>
    <m/>
    <m/>
    <m/>
    <m/>
    <n v="1"/>
    <m/>
    <m/>
    <n v="1"/>
    <m/>
    <m/>
    <n v="32"/>
    <n v="5"/>
    <n v="5"/>
    <n v="2"/>
    <m/>
    <n v="136"/>
    <m/>
    <m/>
    <n v="32"/>
    <m/>
    <n v="2"/>
    <m/>
    <m/>
    <x v="2"/>
    <x v="3"/>
    <m/>
    <m/>
    <m/>
    <m/>
    <m/>
    <m/>
    <m/>
    <n v="6"/>
    <m/>
    <m/>
    <m/>
    <n v="476"/>
    <m/>
    <m/>
    <n v="13"/>
    <m/>
    <m/>
    <s v="no test"/>
    <n v="0.15625"/>
    <x v="0"/>
    <n v="3"/>
    <n v="0"/>
    <n v="0"/>
    <n v="0"/>
    <n v="0"/>
    <n v="0.46493607129019759"/>
    <n v="0.29058504455637352"/>
    <n v="0.46493607129019759"/>
    <n v="1200"/>
    <n v="9.6861681518791168E-2"/>
    <n v="250"/>
    <n v="0.5617977528089888"/>
    <n v="1450"/>
    <n v="2.9"/>
    <n v="0.4382022471910112"/>
    <n v="1131"/>
    <n v="2.1"/>
    <n v="5"/>
    <n v="104"/>
    <n v="0.80588919023634253"/>
    <n v="2080"/>
    <n v="40"/>
    <n v="0"/>
    <n v="129"/>
    <n v="0"/>
    <n v="0.19411080976365747"/>
    <n v="0.23529411764705882"/>
    <n v="0"/>
    <n v="2380"/>
    <n v="0"/>
    <n v="2380"/>
    <n v="2380"/>
    <n v="0.92212320805889192"/>
    <n v="7.7876791941108081E-2"/>
    <n v="0"/>
    <n v="0.96945010183299385"/>
    <n v="0"/>
    <n v="0"/>
    <n v="0"/>
    <n v="0"/>
    <n v="0"/>
    <x v="0"/>
    <s v="Yes"/>
    <s v="KMSS-BMO"/>
    <x v="0"/>
    <x v="0"/>
    <x v="1"/>
    <n v="24.056132999999999"/>
    <n v="97.625617000000005"/>
    <s v="MMR001CMP128"/>
    <x v="0"/>
    <m/>
  </r>
  <r>
    <x v="0"/>
    <x v="4"/>
    <x v="4"/>
    <s v="Plan/GFFO,ADRA/CANADA  "/>
    <x v="0"/>
    <x v="3"/>
    <x v="1"/>
    <x v="45"/>
    <n v="197"/>
    <n v="1050"/>
    <d v="2019-04-01T00:00:00"/>
    <d v="2019-07-31T00:00:00"/>
    <m/>
    <m/>
    <m/>
    <m/>
    <s v="Yes"/>
    <m/>
    <m/>
    <n v="1"/>
    <m/>
    <m/>
    <n v="4"/>
    <m/>
    <m/>
    <m/>
    <m/>
    <m/>
    <m/>
    <m/>
    <m/>
    <m/>
    <m/>
    <n v="5"/>
    <m/>
    <m/>
    <m/>
    <m/>
    <m/>
    <m/>
    <m/>
    <n v="43"/>
    <m/>
    <m/>
    <m/>
    <m/>
    <n v="41"/>
    <m/>
    <n v="43"/>
    <x v="0"/>
    <x v="0"/>
    <m/>
    <m/>
    <m/>
    <m/>
    <m/>
    <m/>
    <m/>
    <n v="3"/>
    <m/>
    <m/>
    <n v="5"/>
    <m/>
    <m/>
    <m/>
    <m/>
    <m/>
    <m/>
    <s v="no test"/>
    <s v="no test"/>
    <x v="1"/>
    <n v="1"/>
    <n v="4"/>
    <n v="0"/>
    <n v="0"/>
    <n v="0"/>
    <n v="1"/>
    <n v="1"/>
    <n v="1"/>
    <n v="1050"/>
    <n v="0"/>
    <n v="0"/>
    <n v="1"/>
    <n v="1050"/>
    <n v="2.1"/>
    <n v="0"/>
    <n v="0"/>
    <n v="0"/>
    <n v="2"/>
    <n v="43"/>
    <n v="0.81904761904761902"/>
    <n v="860"/>
    <n v="820"/>
    <n v="0"/>
    <n v="53"/>
    <n v="10"/>
    <n v="0.18095238095238098"/>
    <n v="0"/>
    <n v="1050"/>
    <n v="0"/>
    <n v="0"/>
    <n v="0"/>
    <n v="1050"/>
    <n v="1"/>
    <n v="0"/>
    <n v="1"/>
    <n v="0"/>
    <n v="0"/>
    <n v="0"/>
    <n v="0"/>
    <n v="0"/>
    <n v="0"/>
    <x v="0"/>
    <s v="Yes"/>
    <s v="KBC"/>
    <x v="0"/>
    <x v="0"/>
    <x v="0"/>
    <n v="25.403476999999999"/>
    <n v="97.373361000000003"/>
    <s v="MMR001CMP018"/>
    <x v="0"/>
    <m/>
  </r>
  <r>
    <x v="0"/>
    <x v="3"/>
    <x v="3"/>
    <s v="AA"/>
    <x v="0"/>
    <x v="6"/>
    <x v="1"/>
    <x v="46"/>
    <n v="48"/>
    <n v="218"/>
    <d v="2018-10-01T00:00:00"/>
    <d v="2019-12-31T00:00:00"/>
    <m/>
    <m/>
    <m/>
    <m/>
    <m/>
    <m/>
    <m/>
    <m/>
    <m/>
    <m/>
    <m/>
    <m/>
    <m/>
    <m/>
    <n v="1"/>
    <m/>
    <m/>
    <m/>
    <m/>
    <m/>
    <m/>
    <m/>
    <m/>
    <m/>
    <m/>
    <m/>
    <m/>
    <m/>
    <m/>
    <n v="8"/>
    <n v="4"/>
    <m/>
    <n v="4"/>
    <m/>
    <m/>
    <m/>
    <m/>
    <x v="2"/>
    <x v="4"/>
    <m/>
    <m/>
    <m/>
    <m/>
    <m/>
    <m/>
    <m/>
    <n v="2"/>
    <m/>
    <m/>
    <n v="1"/>
    <n v="42"/>
    <n v="42"/>
    <m/>
    <m/>
    <m/>
    <m/>
    <s v="no test"/>
    <s v="no test"/>
    <x v="1"/>
    <n v="0"/>
    <n v="0"/>
    <n v="1"/>
    <n v="0"/>
    <n v="0"/>
    <n v="0.30581039755351686"/>
    <n v="0.30581039755351686"/>
    <n v="0.30581039755351686"/>
    <n v="66.666666666666671"/>
    <n v="0"/>
    <n v="0"/>
    <n v="0.30581039755351686"/>
    <n v="66.666666666666671"/>
    <n v="0.13333333333333333"/>
    <n v="0.69418960244648309"/>
    <n v="151.33333333333331"/>
    <n v="0.8666666666666667"/>
    <n v="1"/>
    <n v="8"/>
    <n v="0.73394495412844041"/>
    <n v="160"/>
    <n v="0"/>
    <n v="0"/>
    <n v="11"/>
    <n v="0"/>
    <n v="0.26605504587155959"/>
    <n v="0.33333333333333331"/>
    <n v="218"/>
    <n v="210"/>
    <n v="210"/>
    <n v="210"/>
    <n v="218"/>
    <n v="1"/>
    <n v="0"/>
    <n v="1"/>
    <n v="0.875"/>
    <n v="0.875"/>
    <n v="0"/>
    <n v="0"/>
    <n v="0"/>
    <n v="0"/>
    <x v="0"/>
    <n v="0"/>
    <s v="KMSS-MYT"/>
    <x v="0"/>
    <x v="0"/>
    <x v="0"/>
    <n v="0"/>
    <n v="0"/>
    <s v="MMR001CMP268"/>
    <x v="0"/>
    <m/>
  </r>
  <r>
    <x v="0"/>
    <x v="2"/>
    <x v="2"/>
    <m/>
    <x v="0"/>
    <x v="9"/>
    <x v="1"/>
    <x v="47"/>
    <n v="127"/>
    <n v="647"/>
    <m/>
    <m/>
    <m/>
    <m/>
    <m/>
    <m/>
    <m/>
    <m/>
    <m/>
    <m/>
    <m/>
    <m/>
    <m/>
    <m/>
    <m/>
    <m/>
    <m/>
    <m/>
    <m/>
    <m/>
    <m/>
    <m/>
    <m/>
    <m/>
    <m/>
    <m/>
    <m/>
    <m/>
    <m/>
    <m/>
    <m/>
    <m/>
    <m/>
    <m/>
    <m/>
    <m/>
    <m/>
    <m/>
    <m/>
    <x v="1"/>
    <x v="1"/>
    <m/>
    <m/>
    <m/>
    <m/>
    <m/>
    <m/>
    <m/>
    <m/>
    <m/>
    <m/>
    <m/>
    <m/>
    <m/>
    <m/>
    <m/>
    <m/>
    <m/>
    <s v="no test"/>
    <s v="no test"/>
    <x v="1"/>
    <n v="0"/>
    <n v="0"/>
    <n v="0"/>
    <n v="0"/>
    <n v="0"/>
    <n v="0"/>
    <n v="0"/>
    <n v="0"/>
    <n v="0"/>
    <n v="0"/>
    <n v="0"/>
    <n v="0"/>
    <n v="0"/>
    <n v="0"/>
    <n v="1"/>
    <n v="647"/>
    <n v="1"/>
    <n v="1"/>
    <n v="0"/>
    <n v="0"/>
    <n v="0"/>
    <n v="0"/>
    <n v="0"/>
    <n v="32"/>
    <n v="32"/>
    <n v="1"/>
    <n v="0"/>
    <n v="0"/>
    <n v="0"/>
    <n v="0"/>
    <n v="0"/>
    <n v="0"/>
    <n v="0"/>
    <n v="1"/>
    <n v="0"/>
    <n v="0"/>
    <n v="0"/>
    <n v="0"/>
    <n v="0"/>
    <n v="0"/>
    <n v="0"/>
    <x v="0"/>
    <s v="Yes"/>
    <s v="KBC"/>
    <x v="0"/>
    <x v="0"/>
    <x v="0"/>
    <n v="23.83013"/>
    <n v="97.589979999999997"/>
    <s v="MMR001CMP133"/>
    <x v="1"/>
    <m/>
  </r>
  <r>
    <x v="0"/>
    <x v="2"/>
    <x v="2"/>
    <m/>
    <x v="0"/>
    <x v="9"/>
    <x v="1"/>
    <x v="48"/>
    <n v="117"/>
    <n v="524"/>
    <m/>
    <m/>
    <m/>
    <m/>
    <m/>
    <m/>
    <m/>
    <m/>
    <m/>
    <m/>
    <m/>
    <m/>
    <m/>
    <m/>
    <m/>
    <m/>
    <m/>
    <m/>
    <m/>
    <m/>
    <m/>
    <m/>
    <m/>
    <m/>
    <m/>
    <m/>
    <m/>
    <m/>
    <m/>
    <m/>
    <m/>
    <m/>
    <m/>
    <m/>
    <m/>
    <m/>
    <m/>
    <m/>
    <m/>
    <x v="1"/>
    <x v="1"/>
    <m/>
    <m/>
    <m/>
    <m/>
    <m/>
    <m/>
    <m/>
    <m/>
    <m/>
    <m/>
    <m/>
    <m/>
    <m/>
    <m/>
    <m/>
    <m/>
    <m/>
    <s v="no test"/>
    <s v="no test"/>
    <x v="1"/>
    <n v="0"/>
    <n v="0"/>
    <n v="0"/>
    <n v="0"/>
    <n v="0"/>
    <n v="0"/>
    <n v="0"/>
    <n v="0"/>
    <n v="0"/>
    <n v="0"/>
    <n v="0"/>
    <n v="0"/>
    <n v="0"/>
    <n v="0"/>
    <n v="1"/>
    <n v="524"/>
    <n v="1"/>
    <n v="1"/>
    <n v="0"/>
    <n v="0"/>
    <n v="0"/>
    <n v="0"/>
    <n v="0"/>
    <n v="26"/>
    <n v="26"/>
    <n v="1"/>
    <n v="0"/>
    <n v="0"/>
    <n v="0"/>
    <n v="0"/>
    <n v="0"/>
    <n v="0"/>
    <n v="0"/>
    <n v="1"/>
    <n v="0"/>
    <n v="0"/>
    <n v="0"/>
    <n v="0"/>
    <n v="0"/>
    <n v="0"/>
    <n v="0"/>
    <x v="0"/>
    <s v="Yes"/>
    <s v="KBC"/>
    <x v="0"/>
    <x v="0"/>
    <x v="0"/>
    <n v="23.829599000000002"/>
    <n v="97.590767"/>
    <s v="MMR001CMP230"/>
    <x v="1"/>
    <m/>
  </r>
  <r>
    <x v="0"/>
    <x v="2"/>
    <x v="2"/>
    <m/>
    <x v="0"/>
    <x v="9"/>
    <x v="1"/>
    <x v="49"/>
    <n v="443"/>
    <n v="2338"/>
    <m/>
    <m/>
    <m/>
    <m/>
    <m/>
    <m/>
    <m/>
    <m/>
    <m/>
    <m/>
    <m/>
    <m/>
    <m/>
    <m/>
    <m/>
    <m/>
    <m/>
    <m/>
    <m/>
    <m/>
    <m/>
    <m/>
    <m/>
    <m/>
    <m/>
    <m/>
    <m/>
    <m/>
    <m/>
    <m/>
    <m/>
    <m/>
    <m/>
    <m/>
    <m/>
    <m/>
    <m/>
    <m/>
    <m/>
    <x v="1"/>
    <x v="1"/>
    <m/>
    <m/>
    <m/>
    <m/>
    <m/>
    <m/>
    <m/>
    <m/>
    <m/>
    <m/>
    <m/>
    <m/>
    <m/>
    <m/>
    <m/>
    <m/>
    <m/>
    <s v="no test"/>
    <s v="no test"/>
    <x v="1"/>
    <n v="0"/>
    <n v="0"/>
    <n v="0"/>
    <n v="0"/>
    <n v="0"/>
    <n v="0"/>
    <n v="0"/>
    <n v="0"/>
    <n v="0"/>
    <n v="0"/>
    <n v="0"/>
    <n v="0"/>
    <n v="0"/>
    <n v="0"/>
    <n v="1"/>
    <n v="2338"/>
    <n v="5"/>
    <n v="5"/>
    <n v="0"/>
    <n v="0"/>
    <n v="0"/>
    <n v="0"/>
    <n v="0"/>
    <n v="117"/>
    <n v="117"/>
    <n v="1"/>
    <n v="0"/>
    <n v="0"/>
    <n v="0"/>
    <n v="0"/>
    <n v="0"/>
    <n v="0"/>
    <n v="0"/>
    <n v="1"/>
    <n v="0"/>
    <n v="0"/>
    <n v="0"/>
    <n v="0"/>
    <n v="0"/>
    <n v="0"/>
    <n v="0"/>
    <x v="0"/>
    <s v="Yes"/>
    <s v="KMSS-BMO"/>
    <x v="0"/>
    <x v="0"/>
    <x v="0"/>
    <n v="23.835319999999999"/>
    <n v="97.578490000000002"/>
    <s v="MMR001CMP132"/>
    <x v="1"/>
    <m/>
  </r>
  <r>
    <x v="0"/>
    <x v="2"/>
    <x v="2"/>
    <m/>
    <x v="0"/>
    <x v="9"/>
    <x v="1"/>
    <x v="50"/>
    <n v="119"/>
    <n v="637"/>
    <m/>
    <m/>
    <m/>
    <m/>
    <m/>
    <m/>
    <m/>
    <m/>
    <m/>
    <m/>
    <m/>
    <m/>
    <m/>
    <m/>
    <m/>
    <m/>
    <m/>
    <m/>
    <m/>
    <m/>
    <m/>
    <m/>
    <m/>
    <m/>
    <m/>
    <m/>
    <m/>
    <m/>
    <m/>
    <m/>
    <m/>
    <m/>
    <m/>
    <m/>
    <m/>
    <m/>
    <m/>
    <m/>
    <m/>
    <x v="1"/>
    <x v="1"/>
    <m/>
    <m/>
    <m/>
    <m/>
    <m/>
    <m/>
    <m/>
    <m/>
    <m/>
    <m/>
    <m/>
    <m/>
    <m/>
    <m/>
    <m/>
    <m/>
    <m/>
    <s v="no test"/>
    <s v="no test"/>
    <x v="1"/>
    <n v="0"/>
    <n v="0"/>
    <n v="0"/>
    <n v="0"/>
    <n v="0"/>
    <n v="0"/>
    <n v="0"/>
    <n v="0"/>
    <n v="0"/>
    <n v="0"/>
    <n v="0"/>
    <n v="0"/>
    <n v="0"/>
    <n v="0"/>
    <n v="1"/>
    <n v="637"/>
    <n v="1"/>
    <n v="1"/>
    <n v="0"/>
    <n v="0"/>
    <n v="0"/>
    <n v="0"/>
    <n v="0"/>
    <n v="32"/>
    <n v="32"/>
    <n v="1"/>
    <n v="0"/>
    <n v="0"/>
    <n v="0"/>
    <n v="0"/>
    <n v="0"/>
    <n v="0"/>
    <n v="0"/>
    <n v="1"/>
    <n v="0"/>
    <n v="0"/>
    <n v="0"/>
    <n v="0"/>
    <n v="0"/>
    <n v="0"/>
    <n v="0"/>
    <x v="0"/>
    <s v="Yes"/>
    <s v="KMSS-BMO"/>
    <x v="0"/>
    <x v="0"/>
    <x v="0"/>
    <n v="23.833477999999999"/>
    <n v="97.578367"/>
    <s v="MMR001CMP228"/>
    <x v="1"/>
    <m/>
  </r>
  <r>
    <x v="0"/>
    <x v="2"/>
    <x v="2"/>
    <m/>
    <x v="0"/>
    <x v="9"/>
    <x v="1"/>
    <x v="51"/>
    <n v="175"/>
    <n v="834"/>
    <m/>
    <m/>
    <m/>
    <m/>
    <m/>
    <m/>
    <m/>
    <m/>
    <m/>
    <m/>
    <m/>
    <m/>
    <m/>
    <m/>
    <m/>
    <m/>
    <m/>
    <m/>
    <m/>
    <m/>
    <m/>
    <m/>
    <m/>
    <m/>
    <m/>
    <m/>
    <m/>
    <m/>
    <m/>
    <m/>
    <m/>
    <m/>
    <m/>
    <m/>
    <m/>
    <m/>
    <m/>
    <m/>
    <m/>
    <x v="1"/>
    <x v="1"/>
    <m/>
    <m/>
    <m/>
    <m/>
    <m/>
    <m/>
    <m/>
    <m/>
    <m/>
    <m/>
    <m/>
    <m/>
    <m/>
    <m/>
    <m/>
    <m/>
    <m/>
    <s v="no test"/>
    <s v="no test"/>
    <x v="1"/>
    <n v="0"/>
    <n v="0"/>
    <n v="0"/>
    <n v="0"/>
    <n v="0"/>
    <n v="0"/>
    <n v="0"/>
    <n v="0"/>
    <n v="0"/>
    <n v="0"/>
    <n v="0"/>
    <n v="0"/>
    <n v="0"/>
    <n v="0"/>
    <n v="1"/>
    <n v="834"/>
    <n v="2"/>
    <n v="2"/>
    <n v="0"/>
    <n v="0"/>
    <n v="0"/>
    <n v="0"/>
    <n v="0"/>
    <n v="42"/>
    <n v="42"/>
    <n v="1"/>
    <n v="0"/>
    <n v="0"/>
    <n v="0"/>
    <n v="0"/>
    <n v="0"/>
    <n v="0"/>
    <n v="0"/>
    <n v="1"/>
    <n v="0"/>
    <n v="0"/>
    <n v="0"/>
    <n v="0"/>
    <n v="0"/>
    <n v="0"/>
    <n v="0"/>
    <x v="0"/>
    <n v="0"/>
    <s v="uncovered"/>
    <x v="0"/>
    <x v="1"/>
    <x v="0"/>
    <n v="23.827870999999998"/>
    <n v="97.588291999999996"/>
    <s v="MMR001CMP134"/>
    <x v="1"/>
    <m/>
  </r>
  <r>
    <x v="0"/>
    <x v="1"/>
    <x v="1"/>
    <s v="WHH-AA / USAID"/>
    <x v="0"/>
    <x v="1"/>
    <x v="0"/>
    <x v="52"/>
    <n v="19"/>
    <n v="94"/>
    <d v="2019-01-01T00:00:00"/>
    <d v="2019-12-31T00:00:00"/>
    <m/>
    <m/>
    <m/>
    <m/>
    <s v="No"/>
    <m/>
    <m/>
    <m/>
    <m/>
    <m/>
    <m/>
    <n v="1"/>
    <m/>
    <m/>
    <m/>
    <m/>
    <m/>
    <m/>
    <m/>
    <m/>
    <m/>
    <m/>
    <m/>
    <m/>
    <m/>
    <m/>
    <m/>
    <m/>
    <m/>
    <n v="5"/>
    <m/>
    <m/>
    <m/>
    <m/>
    <m/>
    <m/>
    <m/>
    <x v="0"/>
    <x v="0"/>
    <m/>
    <m/>
    <m/>
    <m/>
    <n v="2"/>
    <m/>
    <m/>
    <n v="1"/>
    <m/>
    <m/>
    <m/>
    <m/>
    <m/>
    <m/>
    <m/>
    <m/>
    <m/>
    <s v="no test"/>
    <s v="no test"/>
    <x v="1"/>
    <n v="0"/>
    <n v="1"/>
    <n v="0"/>
    <n v="0"/>
    <n v="0"/>
    <n v="1"/>
    <n v="1"/>
    <n v="1"/>
    <n v="94"/>
    <n v="0"/>
    <n v="0"/>
    <n v="1"/>
    <n v="94"/>
    <n v="0.188"/>
    <n v="0"/>
    <n v="0"/>
    <n v="0.81200000000000006"/>
    <n v="1"/>
    <n v="5"/>
    <n v="1"/>
    <n v="94"/>
    <n v="0"/>
    <n v="0"/>
    <n v="5"/>
    <n v="0"/>
    <n v="0"/>
    <n v="0"/>
    <n v="0"/>
    <n v="0"/>
    <n v="0"/>
    <n v="0"/>
    <n v="0"/>
    <n v="0"/>
    <n v="1"/>
    <n v="0"/>
    <n v="0"/>
    <n v="0"/>
    <n v="2"/>
    <n v="19"/>
    <n v="0"/>
    <n v="94"/>
    <x v="0"/>
    <n v="0"/>
    <n v="0"/>
    <x v="0"/>
    <x v="0"/>
    <x v="0"/>
    <n v="0"/>
    <n v="0"/>
    <n v="0"/>
    <x v="0"/>
    <m/>
  </r>
  <r>
    <x v="0"/>
    <x v="2"/>
    <x v="2"/>
    <m/>
    <x v="0"/>
    <x v="9"/>
    <x v="1"/>
    <x v="53"/>
    <n v="80"/>
    <n v="290"/>
    <m/>
    <m/>
    <m/>
    <m/>
    <m/>
    <m/>
    <m/>
    <m/>
    <m/>
    <m/>
    <m/>
    <m/>
    <m/>
    <m/>
    <m/>
    <m/>
    <m/>
    <m/>
    <m/>
    <m/>
    <m/>
    <m/>
    <m/>
    <m/>
    <m/>
    <m/>
    <m/>
    <m/>
    <m/>
    <m/>
    <m/>
    <m/>
    <m/>
    <m/>
    <m/>
    <m/>
    <m/>
    <m/>
    <m/>
    <x v="1"/>
    <x v="1"/>
    <m/>
    <m/>
    <m/>
    <m/>
    <m/>
    <m/>
    <m/>
    <m/>
    <m/>
    <m/>
    <m/>
    <m/>
    <m/>
    <m/>
    <m/>
    <m/>
    <m/>
    <s v="no test"/>
    <s v="no test"/>
    <x v="1"/>
    <n v="0"/>
    <n v="0"/>
    <n v="0"/>
    <n v="0"/>
    <n v="0"/>
    <n v="0"/>
    <n v="0"/>
    <n v="0"/>
    <n v="0"/>
    <n v="0"/>
    <n v="0"/>
    <n v="0"/>
    <n v="0"/>
    <n v="0"/>
    <n v="1"/>
    <n v="290"/>
    <n v="1"/>
    <n v="1"/>
    <n v="0"/>
    <n v="0"/>
    <n v="0"/>
    <n v="0"/>
    <n v="0"/>
    <n v="15"/>
    <n v="15"/>
    <n v="1"/>
    <n v="0"/>
    <n v="0"/>
    <n v="0"/>
    <n v="0"/>
    <n v="0"/>
    <n v="0"/>
    <n v="0"/>
    <n v="1"/>
    <n v="0"/>
    <n v="0"/>
    <n v="0"/>
    <n v="0"/>
    <n v="0"/>
    <n v="0"/>
    <n v="0"/>
    <x v="0"/>
    <n v="0"/>
    <s v="uncovered"/>
    <x v="0"/>
    <x v="1"/>
    <x v="0"/>
    <n v="24.118618999999999"/>
    <n v="97.298055000000005"/>
    <s v="MMR001CMP196"/>
    <x v="1"/>
    <m/>
  </r>
  <r>
    <x v="0"/>
    <x v="3"/>
    <x v="3"/>
    <s v="DFID(HARP)"/>
    <x v="0"/>
    <x v="6"/>
    <x v="0"/>
    <x v="54"/>
    <n v="72"/>
    <n v="329"/>
    <d v="2019-01-01T00:00:00"/>
    <s v="31-3-2019"/>
    <m/>
    <m/>
    <m/>
    <m/>
    <s v="Yes"/>
    <m/>
    <m/>
    <n v="2"/>
    <m/>
    <m/>
    <m/>
    <m/>
    <m/>
    <m/>
    <n v="1"/>
    <m/>
    <m/>
    <m/>
    <m/>
    <m/>
    <m/>
    <m/>
    <m/>
    <m/>
    <m/>
    <m/>
    <m/>
    <m/>
    <m/>
    <n v="12"/>
    <m/>
    <m/>
    <m/>
    <m/>
    <m/>
    <m/>
    <m/>
    <x v="0"/>
    <x v="0"/>
    <m/>
    <m/>
    <m/>
    <m/>
    <m/>
    <m/>
    <m/>
    <n v="2"/>
    <m/>
    <n v="1"/>
    <n v="1"/>
    <n v="40"/>
    <m/>
    <m/>
    <m/>
    <m/>
    <m/>
    <s v="no test"/>
    <s v="no test"/>
    <x v="1"/>
    <n v="2"/>
    <n v="0"/>
    <n v="1"/>
    <n v="0"/>
    <n v="0"/>
    <n v="1"/>
    <n v="1"/>
    <n v="1"/>
    <n v="329"/>
    <n v="0"/>
    <n v="0"/>
    <n v="1"/>
    <n v="329"/>
    <n v="0.65800000000000003"/>
    <n v="0"/>
    <n v="0"/>
    <n v="0.34199999999999997"/>
    <n v="1"/>
    <n v="12"/>
    <n v="0.72948328267477203"/>
    <n v="240"/>
    <n v="0"/>
    <n v="0"/>
    <n v="16"/>
    <n v="4"/>
    <n v="0.27051671732522797"/>
    <n v="0"/>
    <n v="329"/>
    <n v="200"/>
    <n v="0"/>
    <n v="200"/>
    <n v="329"/>
    <n v="1"/>
    <n v="0"/>
    <n v="1"/>
    <n v="0.55555555555555558"/>
    <n v="0"/>
    <n v="0"/>
    <n v="0"/>
    <n v="0"/>
    <n v="0"/>
    <x v="0"/>
    <n v="0"/>
    <n v="0"/>
    <x v="0"/>
    <x v="2"/>
    <x v="0"/>
    <n v="0"/>
    <n v="0"/>
    <n v="0"/>
    <x v="0"/>
    <m/>
  </r>
  <r>
    <x v="0"/>
    <x v="4"/>
    <x v="4"/>
    <s v="ADRA/CANADA"/>
    <x v="0"/>
    <x v="3"/>
    <x v="1"/>
    <x v="55"/>
    <n v="118"/>
    <n v="489"/>
    <d v="2019-04-01T00:00:00"/>
    <d v="2019-07-31T00:00:00"/>
    <m/>
    <m/>
    <m/>
    <m/>
    <s v="Yes"/>
    <m/>
    <m/>
    <n v="1"/>
    <m/>
    <m/>
    <n v="7"/>
    <m/>
    <n v="4"/>
    <m/>
    <m/>
    <m/>
    <m/>
    <m/>
    <m/>
    <m/>
    <m/>
    <n v="6"/>
    <m/>
    <m/>
    <m/>
    <m/>
    <m/>
    <m/>
    <m/>
    <n v="16"/>
    <m/>
    <m/>
    <m/>
    <m/>
    <m/>
    <m/>
    <n v="16"/>
    <x v="0"/>
    <x v="0"/>
    <m/>
    <m/>
    <m/>
    <m/>
    <m/>
    <m/>
    <m/>
    <n v="0"/>
    <m/>
    <m/>
    <n v="2"/>
    <m/>
    <m/>
    <m/>
    <m/>
    <m/>
    <m/>
    <s v="no test"/>
    <s v="no test"/>
    <x v="1"/>
    <n v="1"/>
    <n v="3"/>
    <n v="0"/>
    <n v="0"/>
    <n v="0"/>
    <n v="1"/>
    <n v="1"/>
    <n v="1"/>
    <n v="489"/>
    <n v="0"/>
    <n v="0"/>
    <n v="1"/>
    <n v="489"/>
    <n v="0.97799999999999998"/>
    <n v="0"/>
    <n v="0"/>
    <n v="2.200000000000002E-2"/>
    <n v="1"/>
    <n v="16"/>
    <n v="0.65439672801635995"/>
    <n v="320"/>
    <n v="0"/>
    <n v="0"/>
    <n v="24"/>
    <n v="8"/>
    <n v="0.34560327198364005"/>
    <n v="0"/>
    <n v="489"/>
    <n v="0"/>
    <n v="0"/>
    <n v="0"/>
    <n v="489"/>
    <n v="1"/>
    <n v="0"/>
    <n v="1"/>
    <n v="0"/>
    <n v="0"/>
    <n v="0"/>
    <n v="0"/>
    <n v="0"/>
    <n v="0"/>
    <x v="0"/>
    <n v="0"/>
    <s v="KBC"/>
    <x v="0"/>
    <x v="0"/>
    <x v="0"/>
    <n v="0"/>
    <n v="0"/>
    <s v="MMR001CMP265"/>
    <x v="0"/>
    <m/>
  </r>
  <r>
    <x v="0"/>
    <x v="3"/>
    <x v="3"/>
    <s v="UNICEF"/>
    <x v="0"/>
    <x v="1"/>
    <x v="1"/>
    <x v="56"/>
    <n v="1490"/>
    <n v="8486"/>
    <d v="2018-12-01T00:00:00"/>
    <d v="2019-11-30T00:00:00"/>
    <n v="1140"/>
    <m/>
    <m/>
    <m/>
    <s v="Yes"/>
    <m/>
    <m/>
    <n v="1"/>
    <m/>
    <m/>
    <m/>
    <m/>
    <m/>
    <m/>
    <m/>
    <m/>
    <m/>
    <m/>
    <m/>
    <m/>
    <m/>
    <m/>
    <m/>
    <m/>
    <m/>
    <m/>
    <m/>
    <m/>
    <m/>
    <n v="22"/>
    <m/>
    <m/>
    <m/>
    <m/>
    <m/>
    <m/>
    <m/>
    <x v="0"/>
    <x v="0"/>
    <n v="6"/>
    <m/>
    <m/>
    <m/>
    <m/>
    <m/>
    <m/>
    <n v="3"/>
    <m/>
    <m/>
    <n v="2"/>
    <n v="40"/>
    <m/>
    <s v="No"/>
    <m/>
    <m/>
    <m/>
    <s v="no test"/>
    <s v="no test"/>
    <x v="1"/>
    <n v="1"/>
    <n v="0"/>
    <n v="0"/>
    <n v="0"/>
    <n v="0"/>
    <n v="4.7136460051850106E-2"/>
    <n v="2.9460287532406315E-2"/>
    <n v="4.7136460051850106E-2"/>
    <n v="400"/>
    <n v="0"/>
    <n v="0"/>
    <n v="4.7136460051850106E-2"/>
    <n v="400"/>
    <n v="0.8"/>
    <n v="0.95286353994814987"/>
    <n v="8086"/>
    <n v="16.2"/>
    <n v="17"/>
    <n v="22"/>
    <n v="5.185010605703512E-2"/>
    <n v="440"/>
    <n v="0"/>
    <n v="0"/>
    <n v="424"/>
    <n v="402"/>
    <n v="0.94814989394296489"/>
    <n v="0"/>
    <n v="1000"/>
    <n v="200"/>
    <n v="0"/>
    <n v="200"/>
    <n v="1000"/>
    <n v="0.11784115012962526"/>
    <n v="0.88215884987037474"/>
    <n v="0.11784115012962526"/>
    <n v="2.6845637583892617E-2"/>
    <n v="0"/>
    <n v="0"/>
    <n v="0"/>
    <n v="0"/>
    <n v="0"/>
    <x v="1"/>
    <s v="Yes"/>
    <s v="KMSS-MYT"/>
    <x v="0"/>
    <x v="0"/>
    <x v="1"/>
    <n v="24.688338999999999"/>
    <n v="97.568331999999998"/>
    <s v="MMR001CMP121"/>
    <x v="0"/>
    <m/>
  </r>
  <r>
    <x v="0"/>
    <x v="4"/>
    <x v="4"/>
    <s v="Plan/GFFO,ADRA/CANADA  "/>
    <x v="0"/>
    <x v="3"/>
    <x v="1"/>
    <x v="57"/>
    <n v="43"/>
    <n v="194"/>
    <d v="2019-04-01T00:00:00"/>
    <d v="2019-07-31T00:00:00"/>
    <m/>
    <m/>
    <m/>
    <m/>
    <s v="Yes"/>
    <m/>
    <m/>
    <n v="0"/>
    <m/>
    <m/>
    <n v="1"/>
    <m/>
    <m/>
    <m/>
    <m/>
    <m/>
    <m/>
    <m/>
    <m/>
    <m/>
    <m/>
    <n v="2"/>
    <m/>
    <m/>
    <m/>
    <m/>
    <m/>
    <m/>
    <m/>
    <n v="4"/>
    <m/>
    <m/>
    <m/>
    <m/>
    <m/>
    <m/>
    <n v="8"/>
    <x v="0"/>
    <x v="0"/>
    <m/>
    <m/>
    <m/>
    <m/>
    <m/>
    <m/>
    <m/>
    <n v="1"/>
    <m/>
    <m/>
    <n v="1"/>
    <m/>
    <m/>
    <m/>
    <m/>
    <m/>
    <m/>
    <s v="no test"/>
    <s v="no test"/>
    <x v="1"/>
    <n v="0"/>
    <n v="1"/>
    <n v="0"/>
    <n v="0"/>
    <n v="0"/>
    <n v="1"/>
    <n v="1"/>
    <n v="1"/>
    <n v="194"/>
    <n v="0"/>
    <n v="0"/>
    <n v="1"/>
    <n v="194"/>
    <n v="0.38800000000000001"/>
    <n v="0"/>
    <n v="0"/>
    <n v="0.61199999999999999"/>
    <n v="1"/>
    <n v="4"/>
    <n v="0.41237113402061853"/>
    <n v="80"/>
    <n v="0"/>
    <n v="0"/>
    <n v="10"/>
    <n v="6"/>
    <n v="0.58762886597938147"/>
    <n v="0"/>
    <n v="194"/>
    <n v="0"/>
    <n v="0"/>
    <n v="0"/>
    <n v="194"/>
    <n v="1"/>
    <n v="0"/>
    <n v="1"/>
    <n v="0"/>
    <n v="0"/>
    <n v="0"/>
    <n v="0"/>
    <n v="0"/>
    <n v="0"/>
    <x v="0"/>
    <s v="Yes"/>
    <s v="KBC"/>
    <x v="0"/>
    <x v="4"/>
    <x v="0"/>
    <n v="25.36600361"/>
    <n v="97.405202779999996"/>
    <s v="MMR001CMP013"/>
    <x v="0"/>
    <m/>
  </r>
  <r>
    <x v="0"/>
    <x v="3"/>
    <x v="3"/>
    <s v="DFID(HARP)/UNICEF"/>
    <x v="0"/>
    <x v="2"/>
    <x v="1"/>
    <x v="58"/>
    <n v="283"/>
    <n v="1481"/>
    <s v="1-Jan-2019 / 1-Dec-2018"/>
    <s v="31-3-2019 / 30-Nov-2019"/>
    <n v="85"/>
    <m/>
    <m/>
    <m/>
    <s v="Yes"/>
    <m/>
    <m/>
    <n v="10"/>
    <m/>
    <n v="1"/>
    <m/>
    <m/>
    <m/>
    <m/>
    <m/>
    <m/>
    <m/>
    <m/>
    <m/>
    <m/>
    <m/>
    <m/>
    <m/>
    <m/>
    <m/>
    <m/>
    <m/>
    <m/>
    <m/>
    <n v="97"/>
    <m/>
    <m/>
    <m/>
    <m/>
    <m/>
    <m/>
    <m/>
    <x v="0"/>
    <x v="0"/>
    <n v="4"/>
    <m/>
    <m/>
    <m/>
    <m/>
    <m/>
    <m/>
    <n v="6"/>
    <m/>
    <m/>
    <n v="4"/>
    <n v="40"/>
    <m/>
    <s v="No"/>
    <m/>
    <m/>
    <m/>
    <s v="no test"/>
    <s v="no test"/>
    <x v="1"/>
    <n v="10"/>
    <n v="0"/>
    <n v="0"/>
    <n v="0"/>
    <n v="0"/>
    <n v="1"/>
    <n v="1"/>
    <n v="1"/>
    <n v="1481"/>
    <n v="0"/>
    <n v="0"/>
    <n v="1"/>
    <n v="1481"/>
    <n v="2.9620000000000002"/>
    <n v="0"/>
    <n v="0"/>
    <n v="3.7999999999999812E-2"/>
    <n v="3"/>
    <n v="97"/>
    <n v="1"/>
    <n v="1481"/>
    <n v="0"/>
    <n v="0"/>
    <n v="74"/>
    <n v="0"/>
    <n v="0"/>
    <n v="0"/>
    <n v="1481"/>
    <n v="200"/>
    <n v="0"/>
    <n v="200"/>
    <n v="1481"/>
    <n v="1"/>
    <n v="0"/>
    <n v="1"/>
    <n v="0.14134275618374559"/>
    <n v="0"/>
    <n v="0"/>
    <n v="0"/>
    <n v="0"/>
    <n v="0"/>
    <x v="1"/>
    <s v="Yes"/>
    <s v="KMSS-MYT"/>
    <x v="0"/>
    <x v="0"/>
    <x v="0"/>
    <n v="25.415667500000001"/>
    <n v="97.437782499999997"/>
    <s v="MMR001CMP029"/>
    <x v="0"/>
    <m/>
  </r>
  <r>
    <x v="0"/>
    <x v="3"/>
    <x v="3"/>
    <s v="DFID/HARP"/>
    <x v="0"/>
    <x v="9"/>
    <x v="1"/>
    <x v="59"/>
    <n v="154"/>
    <n v="694"/>
    <m/>
    <d v="2020-12-31T00:00:00"/>
    <m/>
    <m/>
    <m/>
    <m/>
    <m/>
    <m/>
    <m/>
    <n v="1"/>
    <m/>
    <m/>
    <n v="3"/>
    <n v="2"/>
    <m/>
    <m/>
    <m/>
    <m/>
    <m/>
    <m/>
    <m/>
    <m/>
    <m/>
    <m/>
    <m/>
    <m/>
    <m/>
    <m/>
    <m/>
    <m/>
    <m/>
    <n v="61"/>
    <m/>
    <m/>
    <n v="13"/>
    <n v="10"/>
    <m/>
    <m/>
    <m/>
    <x v="0"/>
    <x v="0"/>
    <m/>
    <m/>
    <m/>
    <m/>
    <n v="10"/>
    <m/>
    <m/>
    <n v="7"/>
    <n v="0"/>
    <m/>
    <n v="2"/>
    <n v="694"/>
    <m/>
    <m/>
    <m/>
    <m/>
    <s v="IDP received hygiene icentive items; body soap 6 pcs, laundry soap 30 pcs and detergant powder 15 pcs from HE Session, its about 3 months covered. "/>
    <s v="no test"/>
    <s v="no test"/>
    <x v="1"/>
    <n v="1"/>
    <n v="5"/>
    <n v="0"/>
    <n v="0"/>
    <n v="0"/>
    <n v="1"/>
    <n v="1"/>
    <n v="1"/>
    <n v="694"/>
    <n v="0"/>
    <n v="0"/>
    <n v="1"/>
    <n v="694"/>
    <n v="1.3879999999999999"/>
    <n v="0"/>
    <n v="0"/>
    <n v="0"/>
    <n v="1"/>
    <n v="48"/>
    <n v="1"/>
    <n v="694"/>
    <n v="0"/>
    <n v="0"/>
    <n v="35"/>
    <n v="0"/>
    <n v="0"/>
    <n v="0.21311475409836064"/>
    <n v="694"/>
    <n v="694"/>
    <n v="0"/>
    <n v="694"/>
    <n v="694"/>
    <n v="1"/>
    <n v="0"/>
    <n v="1"/>
    <n v="1"/>
    <n v="0"/>
    <n v="10"/>
    <n v="154"/>
    <n v="0"/>
    <n v="694"/>
    <x v="0"/>
    <s v="Yes"/>
    <s v="KMSS-BMO"/>
    <x v="0"/>
    <x v="0"/>
    <x v="0"/>
    <n v="23.976571"/>
    <n v="97.227057000000002"/>
    <s v="MMR001CMP223"/>
    <x v="0"/>
    <m/>
  </r>
  <r>
    <x v="0"/>
    <x v="4"/>
    <x v="4"/>
    <s v="ADRA/CANADA"/>
    <x v="0"/>
    <x v="7"/>
    <x v="1"/>
    <x v="60"/>
    <n v="13"/>
    <n v="66"/>
    <d v="2019-04-01T00:00:00"/>
    <d v="2019-07-31T00:00:00"/>
    <m/>
    <m/>
    <m/>
    <m/>
    <s v="Yes"/>
    <m/>
    <m/>
    <n v="0"/>
    <m/>
    <m/>
    <n v="1"/>
    <m/>
    <m/>
    <m/>
    <m/>
    <m/>
    <m/>
    <m/>
    <m/>
    <m/>
    <m/>
    <n v="2"/>
    <m/>
    <m/>
    <m/>
    <m/>
    <m/>
    <m/>
    <m/>
    <n v="6"/>
    <m/>
    <m/>
    <m/>
    <m/>
    <m/>
    <m/>
    <n v="6"/>
    <x v="0"/>
    <x v="3"/>
    <m/>
    <m/>
    <m/>
    <m/>
    <m/>
    <m/>
    <m/>
    <n v="2"/>
    <m/>
    <m/>
    <n v="1"/>
    <m/>
    <m/>
    <m/>
    <m/>
    <m/>
    <m/>
    <s v="no test"/>
    <s v="no test"/>
    <x v="1"/>
    <n v="0"/>
    <n v="1"/>
    <n v="0"/>
    <n v="0"/>
    <n v="0"/>
    <n v="1"/>
    <n v="1"/>
    <n v="1"/>
    <n v="66"/>
    <n v="0"/>
    <n v="0"/>
    <n v="1"/>
    <n v="66"/>
    <n v="0.13200000000000001"/>
    <n v="0"/>
    <n v="0"/>
    <n v="0.86799999999999999"/>
    <n v="1"/>
    <n v="6"/>
    <n v="1"/>
    <n v="66"/>
    <n v="0"/>
    <n v="0"/>
    <n v="3"/>
    <n v="0"/>
    <n v="0"/>
    <n v="0"/>
    <n v="66"/>
    <n v="0"/>
    <n v="0"/>
    <n v="0"/>
    <n v="66"/>
    <n v="1"/>
    <n v="0"/>
    <n v="1"/>
    <n v="0"/>
    <n v="0"/>
    <n v="0"/>
    <n v="0"/>
    <n v="0"/>
    <n v="0"/>
    <x v="0"/>
    <s v="Yes"/>
    <s v="KBC"/>
    <x v="0"/>
    <x v="0"/>
    <x v="0"/>
    <n v="25.305669999999999"/>
    <n v="96.922619999999995"/>
    <s v="MMR001CMP078"/>
    <x v="0"/>
    <m/>
  </r>
  <r>
    <x v="0"/>
    <x v="4"/>
    <x v="4"/>
    <s v="OFDA"/>
    <x v="0"/>
    <x v="1"/>
    <x v="0"/>
    <x v="61"/>
    <n v="440"/>
    <n v="2199"/>
    <m/>
    <s v="30/06/2019"/>
    <m/>
    <m/>
    <m/>
    <m/>
    <m/>
    <m/>
    <m/>
    <n v="0"/>
    <m/>
    <m/>
    <n v="1"/>
    <m/>
    <m/>
    <m/>
    <m/>
    <m/>
    <m/>
    <m/>
    <m/>
    <m/>
    <m/>
    <n v="0"/>
    <m/>
    <m/>
    <m/>
    <m/>
    <m/>
    <m/>
    <m/>
    <n v="16"/>
    <m/>
    <m/>
    <m/>
    <m/>
    <m/>
    <m/>
    <n v="0"/>
    <x v="0"/>
    <x v="2"/>
    <m/>
    <m/>
    <m/>
    <m/>
    <m/>
    <m/>
    <m/>
    <n v="0"/>
    <m/>
    <m/>
    <m/>
    <m/>
    <m/>
    <m/>
    <m/>
    <m/>
    <m/>
    <s v="no test"/>
    <s v="no test"/>
    <x v="1"/>
    <n v="0"/>
    <n v="1"/>
    <n v="0"/>
    <n v="0"/>
    <n v="0"/>
    <n v="0.22737608003638018"/>
    <n v="0.11368804001819009"/>
    <n v="0.22737608003638018"/>
    <n v="500"/>
    <n v="0"/>
    <n v="0"/>
    <n v="0.22737608003638018"/>
    <n v="500"/>
    <n v="1"/>
    <n v="0.77262391996361979"/>
    <n v="1699"/>
    <n v="3"/>
    <n v="4"/>
    <n v="16"/>
    <n v="0.14552069122328332"/>
    <n v="320"/>
    <n v="0"/>
    <n v="0"/>
    <n v="110"/>
    <n v="94"/>
    <n v="0.85447930877671663"/>
    <n v="0"/>
    <n v="0"/>
    <n v="0"/>
    <n v="0"/>
    <n v="0"/>
    <n v="0"/>
    <n v="0"/>
    <n v="1"/>
    <n v="0"/>
    <n v="0"/>
    <n v="0"/>
    <n v="0"/>
    <n v="0"/>
    <n v="0"/>
    <n v="0"/>
    <x v="0"/>
    <n v="0"/>
    <n v="0"/>
    <x v="0"/>
    <x v="5"/>
    <x v="1"/>
    <n v="0"/>
    <n v="0"/>
    <n v="0"/>
    <x v="0"/>
    <m/>
  </r>
  <r>
    <x v="0"/>
    <x v="4"/>
    <x v="4"/>
    <m/>
    <x v="0"/>
    <x v="3"/>
    <x v="0"/>
    <x v="62"/>
    <n v="51"/>
    <n v="252"/>
    <m/>
    <m/>
    <m/>
    <m/>
    <m/>
    <m/>
    <m/>
    <m/>
    <m/>
    <n v="0"/>
    <m/>
    <m/>
    <n v="0"/>
    <m/>
    <m/>
    <m/>
    <m/>
    <m/>
    <m/>
    <m/>
    <m/>
    <m/>
    <m/>
    <n v="0"/>
    <m/>
    <m/>
    <m/>
    <m/>
    <m/>
    <m/>
    <m/>
    <n v="0"/>
    <m/>
    <m/>
    <m/>
    <m/>
    <m/>
    <m/>
    <n v="0"/>
    <x v="2"/>
    <x v="2"/>
    <m/>
    <m/>
    <m/>
    <m/>
    <m/>
    <m/>
    <m/>
    <n v="0"/>
    <m/>
    <m/>
    <m/>
    <m/>
    <m/>
    <m/>
    <m/>
    <m/>
    <m/>
    <s v="no test"/>
    <s v="no test"/>
    <x v="1"/>
    <n v="0"/>
    <n v="0"/>
    <n v="0"/>
    <n v="0"/>
    <n v="0"/>
    <n v="0"/>
    <n v="0"/>
    <n v="0"/>
    <n v="0"/>
    <n v="0"/>
    <n v="0"/>
    <n v="0"/>
    <n v="0"/>
    <n v="0"/>
    <n v="1"/>
    <n v="252"/>
    <n v="1"/>
    <n v="1"/>
    <n v="0"/>
    <n v="0"/>
    <n v="0"/>
    <n v="0"/>
    <n v="0"/>
    <n v="13"/>
    <n v="13"/>
    <n v="1"/>
    <n v="0"/>
    <n v="0"/>
    <n v="0"/>
    <n v="0"/>
    <n v="0"/>
    <n v="0"/>
    <n v="0"/>
    <n v="1"/>
    <n v="0"/>
    <n v="0"/>
    <n v="0"/>
    <n v="0"/>
    <n v="0"/>
    <n v="0"/>
    <n v="0"/>
    <x v="0"/>
    <n v="0"/>
    <n v="0"/>
    <x v="0"/>
    <x v="2"/>
    <x v="1"/>
    <n v="0"/>
    <n v="0"/>
    <n v="0"/>
    <x v="0"/>
    <m/>
  </r>
  <r>
    <x v="0"/>
    <x v="4"/>
    <x v="4"/>
    <s v="Plan/GFFO,ADRA/CANADA  "/>
    <x v="0"/>
    <x v="3"/>
    <x v="1"/>
    <x v="63"/>
    <n v="99"/>
    <n v="547"/>
    <d v="2019-04-01T00:00:00"/>
    <d v="2019-07-31T00:00:00"/>
    <m/>
    <m/>
    <m/>
    <m/>
    <s v="Yes"/>
    <m/>
    <m/>
    <n v="1"/>
    <m/>
    <m/>
    <n v="0"/>
    <m/>
    <m/>
    <m/>
    <m/>
    <m/>
    <m/>
    <m/>
    <m/>
    <m/>
    <m/>
    <n v="2"/>
    <m/>
    <m/>
    <m/>
    <m/>
    <m/>
    <m/>
    <m/>
    <n v="8"/>
    <m/>
    <m/>
    <m/>
    <m/>
    <m/>
    <m/>
    <n v="8"/>
    <x v="0"/>
    <x v="3"/>
    <m/>
    <m/>
    <m/>
    <m/>
    <m/>
    <m/>
    <m/>
    <n v="2"/>
    <m/>
    <m/>
    <n v="1"/>
    <m/>
    <m/>
    <m/>
    <m/>
    <m/>
    <m/>
    <s v="no test"/>
    <s v="no test"/>
    <x v="1"/>
    <n v="1"/>
    <n v="0"/>
    <n v="0"/>
    <n v="0"/>
    <n v="0"/>
    <n v="0.73126142595978061"/>
    <n v="0.45703839122486289"/>
    <n v="0.73126142595978061"/>
    <n v="400"/>
    <n v="0"/>
    <n v="0"/>
    <n v="0.73126142595978061"/>
    <n v="400"/>
    <n v="0.8"/>
    <n v="0.26873857404021939"/>
    <n v="147"/>
    <n v="0.19999999999999996"/>
    <n v="1"/>
    <n v="8"/>
    <n v="0.29250457038391225"/>
    <n v="160"/>
    <n v="0"/>
    <n v="0"/>
    <n v="27"/>
    <n v="19"/>
    <n v="0.7074954296160878"/>
    <n v="0"/>
    <n v="500"/>
    <n v="0"/>
    <n v="0"/>
    <n v="0"/>
    <n v="500"/>
    <n v="0.91407678244972579"/>
    <n v="8.5923217550274211E-2"/>
    <n v="0.91407678244972579"/>
    <n v="0"/>
    <n v="0"/>
    <n v="0"/>
    <n v="0"/>
    <n v="0"/>
    <n v="0"/>
    <x v="0"/>
    <s v="Yes"/>
    <s v="KBC-MYT"/>
    <x v="0"/>
    <x v="0"/>
    <x v="0"/>
    <n v="25.362420757575801"/>
    <n v="97.409035000000003"/>
    <s v="MMR001CMP015"/>
    <x v="0"/>
    <m/>
  </r>
  <r>
    <x v="0"/>
    <x v="2"/>
    <x v="2"/>
    <m/>
    <x v="0"/>
    <x v="8"/>
    <x v="1"/>
    <x v="64"/>
    <n v="27"/>
    <n v="121"/>
    <m/>
    <m/>
    <m/>
    <m/>
    <m/>
    <m/>
    <m/>
    <m/>
    <m/>
    <m/>
    <m/>
    <m/>
    <m/>
    <m/>
    <m/>
    <m/>
    <m/>
    <m/>
    <m/>
    <m/>
    <m/>
    <m/>
    <m/>
    <m/>
    <m/>
    <m/>
    <m/>
    <m/>
    <m/>
    <m/>
    <m/>
    <m/>
    <m/>
    <m/>
    <m/>
    <m/>
    <m/>
    <m/>
    <m/>
    <x v="1"/>
    <x v="1"/>
    <m/>
    <m/>
    <m/>
    <m/>
    <m/>
    <m/>
    <m/>
    <m/>
    <m/>
    <m/>
    <m/>
    <m/>
    <m/>
    <m/>
    <m/>
    <m/>
    <m/>
    <s v="no test"/>
    <s v="no test"/>
    <x v="1"/>
    <n v="0"/>
    <n v="0"/>
    <n v="0"/>
    <n v="0"/>
    <n v="0"/>
    <n v="0"/>
    <n v="0"/>
    <n v="0"/>
    <n v="0"/>
    <n v="0"/>
    <n v="0"/>
    <n v="0"/>
    <n v="0"/>
    <n v="0"/>
    <n v="1"/>
    <n v="121"/>
    <n v="1"/>
    <n v="1"/>
    <n v="0"/>
    <n v="0"/>
    <n v="0"/>
    <n v="0"/>
    <n v="0"/>
    <n v="6"/>
    <n v="6"/>
    <n v="1"/>
    <n v="0"/>
    <n v="0"/>
    <n v="0"/>
    <n v="0"/>
    <n v="0"/>
    <n v="0"/>
    <n v="0"/>
    <n v="1"/>
    <n v="0"/>
    <n v="0"/>
    <n v="0"/>
    <n v="0"/>
    <n v="0"/>
    <n v="0"/>
    <n v="0"/>
    <x v="0"/>
    <n v="0"/>
    <s v="uncovered"/>
    <x v="0"/>
    <x v="1"/>
    <x v="0"/>
    <n v="24.996279999999999"/>
    <n v="96.52534"/>
    <s v="MMR001CMP232"/>
    <x v="1"/>
    <m/>
  </r>
  <r>
    <x v="0"/>
    <x v="4"/>
    <x v="4"/>
    <s v="Plan/GFFO,ADRA/CANADA  "/>
    <x v="0"/>
    <x v="3"/>
    <x v="1"/>
    <x v="65"/>
    <n v="132"/>
    <n v="676"/>
    <d v="2019-04-01T00:00:00"/>
    <d v="2019-07-31T00:00:00"/>
    <m/>
    <m/>
    <m/>
    <m/>
    <s v="Yes"/>
    <m/>
    <m/>
    <n v="0"/>
    <m/>
    <m/>
    <n v="3"/>
    <m/>
    <m/>
    <m/>
    <m/>
    <m/>
    <m/>
    <m/>
    <m/>
    <m/>
    <m/>
    <n v="2"/>
    <m/>
    <m/>
    <m/>
    <m/>
    <m/>
    <m/>
    <m/>
    <n v="32"/>
    <m/>
    <m/>
    <m/>
    <m/>
    <n v="18"/>
    <m/>
    <n v="32"/>
    <x v="0"/>
    <x v="0"/>
    <m/>
    <m/>
    <m/>
    <m/>
    <m/>
    <m/>
    <m/>
    <n v="2"/>
    <m/>
    <m/>
    <n v="1"/>
    <m/>
    <m/>
    <m/>
    <m/>
    <m/>
    <m/>
    <s v="no test"/>
    <s v="no test"/>
    <x v="1"/>
    <n v="0"/>
    <n v="3"/>
    <n v="0"/>
    <n v="0"/>
    <n v="0"/>
    <n v="1"/>
    <n v="1"/>
    <n v="1"/>
    <n v="676"/>
    <n v="0"/>
    <n v="0"/>
    <n v="1"/>
    <n v="676"/>
    <n v="1.3520000000000001"/>
    <n v="0"/>
    <n v="0"/>
    <n v="0"/>
    <n v="1"/>
    <n v="32"/>
    <n v="0.94674556213017746"/>
    <n v="640"/>
    <n v="360"/>
    <n v="0"/>
    <n v="34"/>
    <n v="2"/>
    <n v="5.3254437869822535E-2"/>
    <n v="0"/>
    <n v="500"/>
    <n v="0"/>
    <n v="0"/>
    <n v="0"/>
    <n v="500"/>
    <n v="0.73964497041420119"/>
    <n v="0.26035502958579881"/>
    <n v="0.73964497041420119"/>
    <n v="0"/>
    <n v="0"/>
    <n v="0"/>
    <n v="0"/>
    <n v="0"/>
    <n v="0"/>
    <x v="0"/>
    <s v="Yes"/>
    <s v="KBC-MYT"/>
    <x v="0"/>
    <x v="0"/>
    <x v="0"/>
    <n v="25.3510167948718"/>
    <n v="97.403402307692303"/>
    <s v="MMR001CMP014"/>
    <x v="0"/>
    <m/>
  </r>
  <r>
    <x v="0"/>
    <x v="2"/>
    <x v="2"/>
    <m/>
    <x v="0"/>
    <x v="8"/>
    <x v="1"/>
    <x v="66"/>
    <n v="14"/>
    <n v="63"/>
    <m/>
    <m/>
    <m/>
    <m/>
    <m/>
    <m/>
    <m/>
    <m/>
    <m/>
    <m/>
    <m/>
    <m/>
    <m/>
    <m/>
    <m/>
    <m/>
    <m/>
    <m/>
    <m/>
    <m/>
    <m/>
    <m/>
    <m/>
    <m/>
    <m/>
    <m/>
    <m/>
    <m/>
    <m/>
    <m/>
    <m/>
    <m/>
    <m/>
    <m/>
    <m/>
    <m/>
    <m/>
    <m/>
    <m/>
    <x v="1"/>
    <x v="1"/>
    <m/>
    <m/>
    <m/>
    <m/>
    <m/>
    <m/>
    <m/>
    <m/>
    <m/>
    <m/>
    <m/>
    <m/>
    <m/>
    <m/>
    <m/>
    <m/>
    <m/>
    <s v="no test"/>
    <s v="no test"/>
    <x v="1"/>
    <n v="0"/>
    <n v="0"/>
    <n v="0"/>
    <n v="0"/>
    <n v="0"/>
    <n v="0"/>
    <n v="0"/>
    <n v="0"/>
    <n v="0"/>
    <n v="0"/>
    <n v="0"/>
    <n v="0"/>
    <n v="0"/>
    <n v="0"/>
    <n v="1"/>
    <n v="63"/>
    <n v="1"/>
    <n v="1"/>
    <n v="0"/>
    <n v="0"/>
    <n v="0"/>
    <n v="0"/>
    <n v="0"/>
    <n v="3"/>
    <n v="3"/>
    <n v="1"/>
    <n v="0"/>
    <n v="0"/>
    <n v="0"/>
    <n v="0"/>
    <n v="0"/>
    <n v="0"/>
    <n v="0"/>
    <n v="1"/>
    <n v="0"/>
    <n v="0"/>
    <n v="0"/>
    <n v="0"/>
    <n v="0"/>
    <n v="0"/>
    <n v="0"/>
    <x v="0"/>
    <n v="0"/>
    <s v="uncovered"/>
    <x v="0"/>
    <x v="1"/>
    <x v="0"/>
    <n v="24.764959999999999"/>
    <n v="96.366919999999993"/>
    <s v="MMR001CMP233"/>
    <x v="1"/>
    <m/>
  </r>
  <r>
    <x v="0"/>
    <x v="4"/>
    <x v="4"/>
    <s v="ADRA/CANADA"/>
    <x v="0"/>
    <x v="10"/>
    <x v="1"/>
    <x v="67"/>
    <n v="60"/>
    <n v="289"/>
    <d v="2019-04-01T00:00:00"/>
    <d v="2019-07-31T00:00:00"/>
    <m/>
    <m/>
    <m/>
    <m/>
    <s v="Yes"/>
    <m/>
    <m/>
    <n v="1"/>
    <m/>
    <m/>
    <n v="1"/>
    <m/>
    <m/>
    <m/>
    <m/>
    <m/>
    <m/>
    <m/>
    <m/>
    <m/>
    <m/>
    <n v="1"/>
    <m/>
    <m/>
    <m/>
    <m/>
    <m/>
    <m/>
    <m/>
    <n v="12"/>
    <m/>
    <m/>
    <n v="10"/>
    <n v="30"/>
    <m/>
    <m/>
    <n v="12"/>
    <x v="0"/>
    <x v="0"/>
    <m/>
    <m/>
    <m/>
    <m/>
    <m/>
    <m/>
    <m/>
    <n v="2"/>
    <m/>
    <m/>
    <n v="2"/>
    <m/>
    <m/>
    <m/>
    <m/>
    <m/>
    <m/>
    <s v="no test"/>
    <s v="no test"/>
    <x v="1"/>
    <n v="1"/>
    <n v="1"/>
    <n v="0"/>
    <n v="0"/>
    <n v="0"/>
    <n v="1"/>
    <n v="1"/>
    <n v="1"/>
    <n v="289"/>
    <n v="0"/>
    <n v="0"/>
    <n v="1"/>
    <n v="289"/>
    <n v="0.57799999999999996"/>
    <n v="0"/>
    <n v="0"/>
    <n v="0.42200000000000004"/>
    <n v="1"/>
    <n v="2"/>
    <n v="0.13840830449826991"/>
    <n v="40"/>
    <n v="0"/>
    <n v="0"/>
    <n v="14"/>
    <n v="2"/>
    <n v="0.86159169550173009"/>
    <n v="0.83333333333333337"/>
    <n v="289"/>
    <n v="0"/>
    <n v="0"/>
    <n v="0"/>
    <n v="289"/>
    <n v="1"/>
    <n v="0"/>
    <n v="1"/>
    <n v="0"/>
    <n v="0"/>
    <n v="0"/>
    <n v="0"/>
    <n v="0"/>
    <n v="0"/>
    <x v="0"/>
    <s v="Yes"/>
    <s v="KBC-MYT"/>
    <x v="0"/>
    <x v="0"/>
    <x v="0"/>
    <n v="27.337499999999999"/>
    <n v="97.416121000000004"/>
    <s v="MMR001CMP234"/>
    <x v="0"/>
    <m/>
  </r>
  <r>
    <x v="0"/>
    <x v="3"/>
    <x v="3"/>
    <s v="AA"/>
    <x v="0"/>
    <x v="7"/>
    <x v="1"/>
    <x v="68"/>
    <n v="45"/>
    <n v="235"/>
    <d v="2018-10-01T00:00:00"/>
    <d v="2019-12-31T00:00:00"/>
    <m/>
    <m/>
    <m/>
    <m/>
    <m/>
    <m/>
    <m/>
    <m/>
    <m/>
    <m/>
    <m/>
    <n v="2"/>
    <m/>
    <n v="1"/>
    <m/>
    <m/>
    <m/>
    <m/>
    <m/>
    <m/>
    <m/>
    <m/>
    <m/>
    <m/>
    <m/>
    <m/>
    <m/>
    <m/>
    <m/>
    <n v="8"/>
    <m/>
    <m/>
    <m/>
    <m/>
    <m/>
    <m/>
    <m/>
    <x v="0"/>
    <x v="3"/>
    <m/>
    <m/>
    <m/>
    <m/>
    <m/>
    <m/>
    <m/>
    <n v="2"/>
    <m/>
    <m/>
    <n v="1"/>
    <n v="45"/>
    <n v="59"/>
    <m/>
    <m/>
    <m/>
    <m/>
    <s v="no test"/>
    <s v="no test"/>
    <x v="1"/>
    <n v="0"/>
    <n v="2"/>
    <n v="0"/>
    <n v="0"/>
    <n v="0"/>
    <n v="1"/>
    <n v="1"/>
    <n v="1"/>
    <n v="235"/>
    <n v="0"/>
    <n v="0"/>
    <n v="1"/>
    <n v="235"/>
    <n v="0.47"/>
    <n v="0"/>
    <n v="0"/>
    <n v="0.53"/>
    <n v="1"/>
    <n v="8"/>
    <n v="0.68085106382978722"/>
    <n v="160"/>
    <n v="0"/>
    <n v="0"/>
    <n v="12"/>
    <n v="4"/>
    <n v="0.31914893617021278"/>
    <n v="0"/>
    <n v="235"/>
    <n v="235"/>
    <n v="235"/>
    <n v="235"/>
    <n v="235"/>
    <n v="1"/>
    <n v="0"/>
    <n v="1"/>
    <n v="1"/>
    <n v="1"/>
    <n v="0"/>
    <n v="0"/>
    <n v="0"/>
    <n v="0"/>
    <x v="0"/>
    <n v="0"/>
    <s v="KMSS-MYT"/>
    <x v="0"/>
    <x v="0"/>
    <x v="0"/>
    <n v="97.010629910000006"/>
    <n v="25.37033053"/>
    <s v="MMR001CMP259"/>
    <x v="0"/>
    <m/>
  </r>
  <r>
    <x v="0"/>
    <x v="1"/>
    <x v="1"/>
    <s v="WHH-AA / USAID"/>
    <x v="0"/>
    <x v="0"/>
    <x v="1"/>
    <x v="69"/>
    <n v="141"/>
    <n v="800"/>
    <d v="2019-01-01T00:00:00"/>
    <d v="2019-12-31T00:00:00"/>
    <m/>
    <m/>
    <m/>
    <m/>
    <s v="Yes"/>
    <n v="2"/>
    <n v="2"/>
    <n v="1"/>
    <m/>
    <m/>
    <m/>
    <n v="1"/>
    <m/>
    <m/>
    <m/>
    <m/>
    <m/>
    <m/>
    <m/>
    <m/>
    <m/>
    <m/>
    <m/>
    <m/>
    <m/>
    <m/>
    <m/>
    <m/>
    <m/>
    <n v="21"/>
    <m/>
    <m/>
    <n v="2"/>
    <m/>
    <m/>
    <m/>
    <m/>
    <x v="0"/>
    <x v="0"/>
    <m/>
    <m/>
    <m/>
    <m/>
    <n v="9"/>
    <m/>
    <m/>
    <n v="5"/>
    <m/>
    <m/>
    <m/>
    <n v="141"/>
    <n v="16"/>
    <m/>
    <m/>
    <m/>
    <m/>
    <s v="no test"/>
    <s v="no test"/>
    <x v="1"/>
    <n v="1"/>
    <n v="1"/>
    <n v="0"/>
    <n v="0"/>
    <n v="0"/>
    <n v="1"/>
    <n v="0.625"/>
    <n v="1"/>
    <n v="800"/>
    <n v="0"/>
    <n v="0"/>
    <n v="1"/>
    <n v="800"/>
    <n v="1.6"/>
    <n v="0"/>
    <n v="0"/>
    <n v="0.39999999999999991"/>
    <n v="2"/>
    <n v="19"/>
    <n v="0.47499999999999998"/>
    <n v="380"/>
    <n v="0"/>
    <n v="0"/>
    <n v="40"/>
    <n v="19"/>
    <n v="0.52500000000000002"/>
    <n v="9.5238095238095233E-2"/>
    <n v="0"/>
    <n v="800"/>
    <n v="80"/>
    <n v="800"/>
    <n v="800"/>
    <n v="1"/>
    <n v="0"/>
    <n v="0"/>
    <n v="1"/>
    <n v="0.11347517730496454"/>
    <n v="9"/>
    <n v="141"/>
    <n v="0"/>
    <n v="800"/>
    <x v="0"/>
    <s v="Yes"/>
    <s v="Shalom"/>
    <x v="0"/>
    <x v="0"/>
    <x v="0"/>
    <n v="24.263174360000001"/>
    <n v="97.240183459999997"/>
    <s v="MMR001CMP049"/>
    <x v="0"/>
    <m/>
  </r>
  <r>
    <x v="0"/>
    <x v="3"/>
    <x v="3"/>
    <s v="DFID(HARP)"/>
    <x v="0"/>
    <x v="3"/>
    <x v="1"/>
    <x v="70"/>
    <n v="63"/>
    <n v="309"/>
    <d v="2019-01-01T00:00:00"/>
    <s v="31-3-2019"/>
    <m/>
    <m/>
    <m/>
    <m/>
    <s v="Yes"/>
    <m/>
    <m/>
    <m/>
    <m/>
    <m/>
    <n v="4"/>
    <m/>
    <m/>
    <m/>
    <m/>
    <m/>
    <m/>
    <m/>
    <m/>
    <m/>
    <m/>
    <m/>
    <m/>
    <m/>
    <m/>
    <m/>
    <m/>
    <m/>
    <m/>
    <n v="20"/>
    <m/>
    <m/>
    <m/>
    <m/>
    <m/>
    <m/>
    <m/>
    <x v="0"/>
    <x v="0"/>
    <m/>
    <m/>
    <m/>
    <m/>
    <m/>
    <m/>
    <m/>
    <n v="2"/>
    <m/>
    <n v="1"/>
    <n v="1"/>
    <n v="30"/>
    <m/>
    <m/>
    <m/>
    <m/>
    <m/>
    <s v="no test"/>
    <s v="no test"/>
    <x v="1"/>
    <n v="0"/>
    <n v="4"/>
    <n v="0"/>
    <n v="0"/>
    <n v="0"/>
    <n v="1"/>
    <n v="1"/>
    <n v="1"/>
    <n v="309"/>
    <n v="0"/>
    <n v="0"/>
    <n v="1"/>
    <n v="309"/>
    <n v="0.61799999999999999"/>
    <n v="0"/>
    <n v="0"/>
    <n v="0.38200000000000001"/>
    <n v="1"/>
    <n v="20"/>
    <n v="1"/>
    <n v="309"/>
    <n v="0"/>
    <n v="0"/>
    <n v="15"/>
    <n v="0"/>
    <n v="0"/>
    <n v="0"/>
    <n v="309"/>
    <n v="150"/>
    <n v="0"/>
    <n v="150"/>
    <n v="309"/>
    <n v="1"/>
    <n v="0"/>
    <n v="1"/>
    <n v="0.47619047619047616"/>
    <n v="0"/>
    <n v="0"/>
    <n v="0"/>
    <n v="0"/>
    <n v="0"/>
    <x v="0"/>
    <s v="Yes"/>
    <s v="KMSS-MYT"/>
    <x v="0"/>
    <x v="0"/>
    <x v="0"/>
    <n v="25.410569299999999"/>
    <n v="97.359320179999997"/>
    <s v="MMR001CMP024"/>
    <x v="0"/>
    <m/>
  </r>
  <r>
    <x v="0"/>
    <x v="1"/>
    <x v="1"/>
    <s v="WHH-AA / USAID"/>
    <x v="0"/>
    <x v="1"/>
    <x v="1"/>
    <x v="71"/>
    <n v="242"/>
    <n v="1258"/>
    <d v="2019-01-01T00:00:00"/>
    <d v="2019-12-31T00:00:00"/>
    <m/>
    <m/>
    <m/>
    <m/>
    <s v="No"/>
    <m/>
    <m/>
    <m/>
    <m/>
    <m/>
    <n v="2"/>
    <n v="1"/>
    <m/>
    <m/>
    <m/>
    <m/>
    <m/>
    <m/>
    <m/>
    <m/>
    <m/>
    <m/>
    <m/>
    <m/>
    <m/>
    <m/>
    <m/>
    <m/>
    <m/>
    <n v="40"/>
    <m/>
    <m/>
    <n v="2"/>
    <m/>
    <m/>
    <m/>
    <m/>
    <x v="0"/>
    <x v="0"/>
    <m/>
    <m/>
    <m/>
    <m/>
    <n v="17"/>
    <m/>
    <m/>
    <n v="5"/>
    <m/>
    <m/>
    <m/>
    <n v="242"/>
    <n v="38"/>
    <m/>
    <m/>
    <m/>
    <m/>
    <s v="no test"/>
    <s v="no test"/>
    <x v="1"/>
    <n v="0"/>
    <n v="3"/>
    <n v="0"/>
    <n v="0"/>
    <n v="0"/>
    <n v="1"/>
    <n v="0.59618441971383151"/>
    <n v="1"/>
    <n v="1258"/>
    <n v="0"/>
    <n v="0"/>
    <n v="1"/>
    <n v="1258"/>
    <n v="2.516"/>
    <n v="0"/>
    <n v="0"/>
    <n v="0.48399999999999999"/>
    <n v="3"/>
    <n v="38"/>
    <n v="0.60413354531001595"/>
    <n v="760"/>
    <n v="0"/>
    <n v="0"/>
    <n v="63"/>
    <n v="23"/>
    <n v="0.39586645468998405"/>
    <n v="0.05"/>
    <n v="0"/>
    <n v="1258"/>
    <n v="190"/>
    <n v="1258"/>
    <n v="1258"/>
    <n v="1"/>
    <n v="0"/>
    <n v="0"/>
    <n v="1"/>
    <n v="0.15702479338842976"/>
    <n v="17"/>
    <n v="242"/>
    <n v="0"/>
    <n v="1258"/>
    <x v="0"/>
    <s v="Yes"/>
    <s v="KMSS-BMO"/>
    <x v="0"/>
    <x v="0"/>
    <x v="0"/>
    <n v="24.245100000000001"/>
    <n v="97.325019999999995"/>
    <s v="MMR001CMP062"/>
    <x v="0"/>
    <m/>
  </r>
  <r>
    <x v="0"/>
    <x v="0"/>
    <x v="0"/>
    <s v="ECHO, OFDA"/>
    <x v="0"/>
    <x v="1"/>
    <x v="1"/>
    <x v="72"/>
    <n v="70"/>
    <n v="405"/>
    <s v="01/01/2018, 01/07/2018"/>
    <s v="28-02-2019, 30/06/2019"/>
    <m/>
    <m/>
    <m/>
    <n v="0"/>
    <s v="Yes"/>
    <n v="10"/>
    <n v="12"/>
    <n v="0"/>
    <n v="0"/>
    <m/>
    <n v="1"/>
    <n v="0"/>
    <m/>
    <n v="1"/>
    <m/>
    <m/>
    <m/>
    <m/>
    <m/>
    <m/>
    <m/>
    <m/>
    <n v="2"/>
    <n v="2"/>
    <n v="8"/>
    <n v="0"/>
    <m/>
    <m/>
    <m/>
    <n v="18"/>
    <m/>
    <m/>
    <m/>
    <m/>
    <n v="4"/>
    <m/>
    <m/>
    <x v="0"/>
    <x v="0"/>
    <n v="0"/>
    <n v="0"/>
    <m/>
    <m/>
    <n v="5"/>
    <n v="0"/>
    <m/>
    <n v="3"/>
    <m/>
    <n v="0"/>
    <n v="2"/>
    <n v="15"/>
    <n v="64"/>
    <m/>
    <m/>
    <m/>
    <m/>
    <n v="1"/>
    <n v="0"/>
    <x v="0"/>
    <n v="0"/>
    <n v="1"/>
    <n v="0"/>
    <n v="0"/>
    <n v="0"/>
    <n v="1"/>
    <n v="0.61728395061728392"/>
    <n v="1"/>
    <n v="405"/>
    <n v="0"/>
    <n v="0"/>
    <n v="1"/>
    <n v="405"/>
    <n v="0.81"/>
    <n v="0"/>
    <n v="0"/>
    <n v="0.18999999999999995"/>
    <n v="1"/>
    <n v="18"/>
    <n v="0.88888888888888884"/>
    <n v="360"/>
    <n v="80"/>
    <n v="0"/>
    <n v="20"/>
    <n v="2"/>
    <n v="0.11111111111111116"/>
    <n v="0"/>
    <n v="405"/>
    <n v="75"/>
    <n v="320"/>
    <n v="320"/>
    <n v="405"/>
    <n v="1"/>
    <n v="0"/>
    <n v="1"/>
    <n v="0.21428571428571427"/>
    <n v="0.91428571428571426"/>
    <n v="5"/>
    <n v="70"/>
    <n v="0"/>
    <n v="405"/>
    <x v="0"/>
    <s v="Yes"/>
    <s v="KMSS-BMO"/>
    <x v="0"/>
    <x v="0"/>
    <x v="0"/>
    <n v="24.205417000000001"/>
    <n v="97.724566999999993"/>
    <s v="MMR001CMP069"/>
    <x v="0"/>
    <m/>
  </r>
  <r>
    <x v="0"/>
    <x v="1"/>
    <x v="1"/>
    <s v="WHH-AA / USAID"/>
    <x v="0"/>
    <x v="1"/>
    <x v="1"/>
    <x v="73"/>
    <n v="3"/>
    <n v="13"/>
    <d v="2019-01-01T00:00:00"/>
    <d v="2019-12-31T00:00:00"/>
    <m/>
    <m/>
    <m/>
    <m/>
    <s v="No"/>
    <m/>
    <m/>
    <m/>
    <m/>
    <m/>
    <m/>
    <n v="1"/>
    <m/>
    <m/>
    <m/>
    <m/>
    <m/>
    <m/>
    <m/>
    <m/>
    <m/>
    <m/>
    <m/>
    <m/>
    <m/>
    <m/>
    <m/>
    <m/>
    <m/>
    <n v="1"/>
    <m/>
    <m/>
    <m/>
    <m/>
    <m/>
    <m/>
    <m/>
    <x v="0"/>
    <x v="0"/>
    <m/>
    <m/>
    <m/>
    <m/>
    <n v="0"/>
    <m/>
    <m/>
    <n v="1"/>
    <m/>
    <m/>
    <m/>
    <m/>
    <m/>
    <m/>
    <m/>
    <m/>
    <m/>
    <s v="no test"/>
    <s v="no test"/>
    <x v="1"/>
    <n v="0"/>
    <n v="1"/>
    <n v="0"/>
    <n v="0"/>
    <n v="0"/>
    <n v="1"/>
    <n v="1"/>
    <n v="1"/>
    <n v="13"/>
    <n v="0"/>
    <n v="0"/>
    <n v="1"/>
    <n v="13"/>
    <n v="2.5999999999999999E-2"/>
    <n v="0"/>
    <n v="0"/>
    <n v="0.97399999999999998"/>
    <n v="1"/>
    <n v="1"/>
    <n v="1"/>
    <n v="13"/>
    <n v="0"/>
    <n v="0"/>
    <n v="1"/>
    <n v="0"/>
    <n v="0"/>
    <n v="0"/>
    <n v="0"/>
    <n v="0"/>
    <n v="0"/>
    <n v="0"/>
    <n v="0"/>
    <n v="0"/>
    <n v="1"/>
    <n v="0"/>
    <n v="0"/>
    <n v="0"/>
    <n v="0"/>
    <n v="0"/>
    <n v="0"/>
    <n v="0"/>
    <x v="0"/>
    <n v="0"/>
    <n v="0"/>
    <x v="0"/>
    <x v="4"/>
    <x v="0"/>
    <n v="24.251860000000001"/>
    <n v="97.346940000000004"/>
    <s v="MMR001CMP058"/>
    <x v="0"/>
    <m/>
  </r>
  <r>
    <x v="0"/>
    <x v="1"/>
    <x v="1"/>
    <s v="WHH-AA / USAID"/>
    <x v="0"/>
    <x v="9"/>
    <x v="1"/>
    <x v="74"/>
    <n v="175"/>
    <n v="807"/>
    <d v="2019-01-01T00:00:00"/>
    <d v="2019-12-31T00:00:00"/>
    <m/>
    <m/>
    <m/>
    <m/>
    <s v="Yes"/>
    <n v="2"/>
    <n v="3"/>
    <n v="2"/>
    <m/>
    <m/>
    <n v="2"/>
    <n v="3"/>
    <m/>
    <m/>
    <m/>
    <m/>
    <m/>
    <m/>
    <m/>
    <m/>
    <m/>
    <m/>
    <m/>
    <m/>
    <m/>
    <m/>
    <m/>
    <m/>
    <m/>
    <n v="40"/>
    <m/>
    <m/>
    <m/>
    <m/>
    <m/>
    <m/>
    <m/>
    <x v="0"/>
    <x v="0"/>
    <m/>
    <n v="1"/>
    <m/>
    <m/>
    <n v="16"/>
    <m/>
    <m/>
    <n v="7"/>
    <m/>
    <m/>
    <m/>
    <n v="175"/>
    <n v="50"/>
    <m/>
    <m/>
    <m/>
    <m/>
    <s v="no test"/>
    <s v="no test"/>
    <x v="1"/>
    <n v="2"/>
    <n v="5"/>
    <n v="0"/>
    <n v="0"/>
    <n v="0"/>
    <n v="1"/>
    <n v="1"/>
    <n v="1"/>
    <n v="807"/>
    <n v="0"/>
    <n v="0"/>
    <n v="1"/>
    <n v="807"/>
    <n v="1.6140000000000001"/>
    <n v="0"/>
    <n v="0"/>
    <n v="0.3859999999999999"/>
    <n v="2"/>
    <n v="40"/>
    <n v="0.99132589838909546"/>
    <n v="800"/>
    <n v="0"/>
    <n v="0"/>
    <n v="40"/>
    <n v="0"/>
    <n v="8.6741016109045388E-3"/>
    <n v="0"/>
    <n v="0"/>
    <n v="807"/>
    <n v="250"/>
    <n v="807"/>
    <n v="807"/>
    <n v="1"/>
    <n v="0"/>
    <n v="0"/>
    <n v="1"/>
    <n v="0.2857142857142857"/>
    <n v="16"/>
    <n v="175"/>
    <n v="0"/>
    <n v="807"/>
    <x v="0"/>
    <s v="Yes"/>
    <s v="KBC"/>
    <x v="0"/>
    <x v="0"/>
    <x v="0"/>
    <n v="24.129059999999999"/>
    <n v="97.291820000000001"/>
    <s v="MMR001CMP066"/>
    <x v="0"/>
    <m/>
  </r>
  <r>
    <x v="0"/>
    <x v="2"/>
    <x v="2"/>
    <m/>
    <x v="0"/>
    <x v="1"/>
    <x v="1"/>
    <x v="75"/>
    <n v="3"/>
    <n v="18"/>
    <m/>
    <m/>
    <m/>
    <m/>
    <m/>
    <m/>
    <m/>
    <m/>
    <m/>
    <m/>
    <m/>
    <m/>
    <m/>
    <m/>
    <m/>
    <m/>
    <m/>
    <m/>
    <m/>
    <m/>
    <m/>
    <m/>
    <m/>
    <m/>
    <m/>
    <m/>
    <m/>
    <m/>
    <m/>
    <m/>
    <m/>
    <m/>
    <m/>
    <m/>
    <m/>
    <m/>
    <m/>
    <m/>
    <m/>
    <x v="1"/>
    <x v="1"/>
    <m/>
    <m/>
    <m/>
    <m/>
    <m/>
    <m/>
    <m/>
    <m/>
    <m/>
    <m/>
    <m/>
    <m/>
    <m/>
    <m/>
    <m/>
    <m/>
    <m/>
    <s v="no test"/>
    <s v="no test"/>
    <x v="1"/>
    <n v="0"/>
    <n v="0"/>
    <n v="0"/>
    <n v="0"/>
    <n v="0"/>
    <n v="0"/>
    <n v="0"/>
    <n v="0"/>
    <n v="0"/>
    <n v="0"/>
    <n v="0"/>
    <n v="0"/>
    <n v="0"/>
    <n v="0"/>
    <n v="1"/>
    <n v="18"/>
    <n v="1"/>
    <n v="1"/>
    <n v="0"/>
    <n v="0"/>
    <n v="0"/>
    <n v="0"/>
    <n v="0"/>
    <n v="1"/>
    <n v="1"/>
    <n v="1"/>
    <n v="0"/>
    <n v="0"/>
    <n v="0"/>
    <n v="0"/>
    <n v="0"/>
    <n v="0"/>
    <n v="0"/>
    <n v="1"/>
    <n v="0"/>
    <n v="0"/>
    <n v="0"/>
    <n v="0"/>
    <n v="0"/>
    <n v="0"/>
    <n v="0"/>
    <x v="0"/>
    <n v="0"/>
    <s v="uncovered"/>
    <x v="0"/>
    <x v="1"/>
    <x v="0"/>
    <n v="24.377054000000001"/>
    <n v="97.343406999999999"/>
    <s v="MMR001CMP200"/>
    <x v="1"/>
    <m/>
  </r>
  <r>
    <x v="0"/>
    <x v="0"/>
    <x v="0"/>
    <s v="ECHO, OFDA"/>
    <x v="0"/>
    <x v="1"/>
    <x v="1"/>
    <x v="76"/>
    <n v="203"/>
    <n v="1138"/>
    <s v="01/01/2018, 01/07/2018"/>
    <s v="28-02-2019, 30/06/2019"/>
    <m/>
    <n v="0"/>
    <n v="0"/>
    <n v="0"/>
    <s v="Yes"/>
    <n v="6"/>
    <n v="9"/>
    <n v="5"/>
    <n v="0"/>
    <n v="0"/>
    <n v="1"/>
    <n v="0"/>
    <n v="0"/>
    <m/>
    <m/>
    <m/>
    <m/>
    <m/>
    <m/>
    <m/>
    <m/>
    <m/>
    <n v="4"/>
    <n v="4"/>
    <n v="22"/>
    <n v="0"/>
    <m/>
    <m/>
    <m/>
    <n v="38"/>
    <n v="0"/>
    <n v="0"/>
    <m/>
    <m/>
    <n v="32"/>
    <m/>
    <m/>
    <x v="0"/>
    <x v="0"/>
    <m/>
    <m/>
    <m/>
    <s v="we put combine data information for all lisu camps."/>
    <n v="12"/>
    <n v="1"/>
    <m/>
    <n v="5"/>
    <m/>
    <m/>
    <n v="4"/>
    <n v="71"/>
    <n v="218"/>
    <m/>
    <m/>
    <m/>
    <s v="we put combine data information for AD 2000 &amp; AD ext"/>
    <n v="1"/>
    <n v="0"/>
    <x v="0"/>
    <n v="5"/>
    <n v="1"/>
    <n v="0"/>
    <n v="0"/>
    <n v="0"/>
    <n v="1"/>
    <n v="1"/>
    <n v="1"/>
    <n v="1138"/>
    <n v="0"/>
    <n v="0"/>
    <n v="1"/>
    <n v="1138"/>
    <n v="2.2759999999999998"/>
    <n v="0"/>
    <n v="0"/>
    <n v="0"/>
    <n v="2"/>
    <n v="38"/>
    <n v="0.66783831282952544"/>
    <n v="760"/>
    <n v="640"/>
    <n v="0"/>
    <n v="57"/>
    <n v="19"/>
    <n v="0.33216168717047456"/>
    <n v="0"/>
    <n v="1138"/>
    <n v="355"/>
    <n v="1090"/>
    <n v="1090"/>
    <n v="1138"/>
    <n v="1"/>
    <n v="0"/>
    <n v="1"/>
    <n v="0.34975369458128081"/>
    <n v="1"/>
    <n v="11"/>
    <n v="203"/>
    <n v="0"/>
    <n v="1100"/>
    <x v="0"/>
    <s v="Yes"/>
    <s v="KBC"/>
    <x v="0"/>
    <x v="0"/>
    <x v="0"/>
    <n v="24.200433"/>
    <n v="97.717133000000004"/>
    <s v="MMR001CMP070"/>
    <x v="0"/>
    <m/>
  </r>
  <r>
    <x v="0"/>
    <x v="0"/>
    <x v="0"/>
    <s v="OFDA"/>
    <x v="0"/>
    <x v="1"/>
    <x v="0"/>
    <x v="77"/>
    <n v="470"/>
    <n v="2350"/>
    <d v="2018-07-01T00:00:00"/>
    <d v="2019-06-30T00:00:00"/>
    <n v="2350"/>
    <n v="0"/>
    <n v="0"/>
    <n v="0"/>
    <m/>
    <m/>
    <m/>
    <n v="0"/>
    <n v="0"/>
    <m/>
    <m/>
    <n v="0"/>
    <m/>
    <m/>
    <m/>
    <m/>
    <m/>
    <m/>
    <m/>
    <m/>
    <m/>
    <m/>
    <m/>
    <m/>
    <m/>
    <m/>
    <m/>
    <n v="1"/>
    <m/>
    <m/>
    <m/>
    <m/>
    <m/>
    <m/>
    <m/>
    <m/>
    <m/>
    <x v="0"/>
    <x v="0"/>
    <n v="0"/>
    <n v="0"/>
    <n v="52"/>
    <m/>
    <m/>
    <m/>
    <m/>
    <n v="0"/>
    <m/>
    <n v="0"/>
    <n v="0"/>
    <n v="0"/>
    <m/>
    <s v="Yes"/>
    <n v="0"/>
    <n v="0"/>
    <m/>
    <s v="no test"/>
    <s v="no test"/>
    <x v="1"/>
    <n v="0"/>
    <n v="0"/>
    <n v="0"/>
    <n v="0"/>
    <n v="0"/>
    <n v="0"/>
    <n v="0"/>
    <n v="0"/>
    <n v="0"/>
    <n v="0"/>
    <n v="0"/>
    <n v="0"/>
    <n v="0"/>
    <n v="0"/>
    <n v="1"/>
    <n v="2350"/>
    <n v="5"/>
    <n v="5"/>
    <n v="0"/>
    <n v="0"/>
    <n v="0"/>
    <n v="0"/>
    <n v="2350"/>
    <n v="118"/>
    <n v="118"/>
    <n v="1"/>
    <n v="0"/>
    <n v="0"/>
    <n v="0"/>
    <n v="0"/>
    <n v="0"/>
    <n v="0"/>
    <n v="0"/>
    <n v="1"/>
    <n v="0"/>
    <n v="0"/>
    <n v="0"/>
    <n v="0"/>
    <n v="0"/>
    <n v="0"/>
    <n v="0"/>
    <x v="1"/>
    <n v="0"/>
    <n v="0"/>
    <x v="0"/>
    <x v="5"/>
    <x v="0"/>
    <n v="0"/>
    <n v="0"/>
    <n v="0"/>
    <x v="0"/>
    <m/>
  </r>
  <r>
    <x v="0"/>
    <x v="0"/>
    <x v="0"/>
    <s v="ECHO, OFDA"/>
    <x v="0"/>
    <x v="1"/>
    <x v="0"/>
    <x v="78"/>
    <n v="117"/>
    <n v="650"/>
    <s v="01/01/2018, 01/07/2018"/>
    <s v="28-02-2019, 30/06/2019"/>
    <m/>
    <n v="0"/>
    <n v="0"/>
    <n v="0"/>
    <s v="Yes"/>
    <n v="5"/>
    <n v="10"/>
    <n v="1"/>
    <n v="0"/>
    <m/>
    <n v="1"/>
    <n v="0"/>
    <m/>
    <m/>
    <m/>
    <m/>
    <m/>
    <m/>
    <m/>
    <m/>
    <m/>
    <m/>
    <n v="1"/>
    <n v="1"/>
    <n v="8"/>
    <n v="0"/>
    <m/>
    <m/>
    <m/>
    <n v="28"/>
    <m/>
    <m/>
    <m/>
    <m/>
    <n v="31"/>
    <m/>
    <m/>
    <x v="0"/>
    <x v="0"/>
    <n v="0"/>
    <n v="0"/>
    <m/>
    <m/>
    <n v="9"/>
    <n v="0"/>
    <m/>
    <n v="4"/>
    <m/>
    <n v="0"/>
    <n v="2"/>
    <n v="45"/>
    <n v="135"/>
    <m/>
    <m/>
    <m/>
    <m/>
    <n v="1"/>
    <n v="0"/>
    <x v="0"/>
    <n v="1"/>
    <n v="1"/>
    <n v="0"/>
    <n v="0"/>
    <n v="0"/>
    <n v="1"/>
    <n v="0.76923076923076927"/>
    <n v="1"/>
    <n v="650"/>
    <n v="0"/>
    <n v="0"/>
    <n v="1"/>
    <n v="650"/>
    <n v="1.3"/>
    <n v="0"/>
    <n v="0"/>
    <n v="0"/>
    <n v="1"/>
    <n v="28"/>
    <n v="0.86153846153846159"/>
    <n v="560"/>
    <n v="620"/>
    <n v="0"/>
    <n v="33"/>
    <n v="5"/>
    <n v="0.13846153846153841"/>
    <n v="0"/>
    <n v="650"/>
    <n v="225"/>
    <n v="650"/>
    <n v="650"/>
    <n v="650"/>
    <n v="1"/>
    <n v="0"/>
    <n v="1"/>
    <n v="0.38461538461538464"/>
    <n v="1"/>
    <n v="9"/>
    <n v="117"/>
    <n v="0"/>
    <n v="650"/>
    <x v="0"/>
    <n v="0"/>
    <n v="0"/>
    <x v="0"/>
    <x v="0"/>
    <x v="0"/>
    <n v="0"/>
    <n v="0"/>
    <n v="0"/>
    <x v="0"/>
    <m/>
  </r>
  <r>
    <x v="0"/>
    <x v="0"/>
    <x v="0"/>
    <s v="ECHO, OFDA"/>
    <x v="0"/>
    <x v="1"/>
    <x v="1"/>
    <x v="79"/>
    <n v="49"/>
    <n v="300"/>
    <s v="01/01/2018, 01/07/2018"/>
    <s v="28-02-2019, 30/06/2019"/>
    <m/>
    <n v="0"/>
    <n v="0"/>
    <n v="0"/>
    <s v="Yes"/>
    <n v="4"/>
    <n v="7"/>
    <n v="3"/>
    <n v="0"/>
    <m/>
    <n v="0"/>
    <n v="0"/>
    <m/>
    <m/>
    <m/>
    <m/>
    <m/>
    <m/>
    <m/>
    <m/>
    <m/>
    <m/>
    <n v="1"/>
    <n v="1"/>
    <n v="6"/>
    <n v="0"/>
    <m/>
    <m/>
    <m/>
    <n v="18"/>
    <m/>
    <m/>
    <m/>
    <m/>
    <n v="16"/>
    <m/>
    <m/>
    <x v="0"/>
    <x v="0"/>
    <n v="0"/>
    <n v="0"/>
    <m/>
    <m/>
    <n v="5"/>
    <n v="1"/>
    <m/>
    <n v="3"/>
    <m/>
    <n v="0"/>
    <n v="1"/>
    <n v="14"/>
    <n v="41"/>
    <m/>
    <m/>
    <m/>
    <m/>
    <n v="1"/>
    <n v="0"/>
    <x v="0"/>
    <n v="3"/>
    <n v="0"/>
    <n v="0"/>
    <n v="0"/>
    <n v="0"/>
    <n v="1"/>
    <n v="1"/>
    <n v="1"/>
    <n v="300"/>
    <n v="0"/>
    <n v="0"/>
    <n v="1"/>
    <n v="300"/>
    <n v="0.6"/>
    <n v="0"/>
    <n v="0"/>
    <n v="0.4"/>
    <n v="1"/>
    <n v="18"/>
    <n v="1"/>
    <n v="300"/>
    <n v="300"/>
    <n v="0"/>
    <n v="15"/>
    <n v="0"/>
    <n v="0"/>
    <n v="0"/>
    <n v="300"/>
    <n v="70"/>
    <n v="205"/>
    <n v="205"/>
    <n v="300"/>
    <n v="1"/>
    <n v="0"/>
    <n v="1"/>
    <n v="0.2857142857142857"/>
    <n v="0.83673469387755106"/>
    <n v="4"/>
    <n v="49"/>
    <n v="0"/>
    <n v="300"/>
    <x v="0"/>
    <s v="Yes"/>
    <s v="KBC"/>
    <x v="0"/>
    <x v="0"/>
    <x v="0"/>
    <n v="24.205417000000001"/>
    <n v="97.724483000000006"/>
    <s v="MMR001CMP072"/>
    <x v="0"/>
    <m/>
  </r>
  <r>
    <x v="0"/>
    <x v="0"/>
    <x v="0"/>
    <s v="ECHO, OFDA"/>
    <x v="0"/>
    <x v="0"/>
    <x v="1"/>
    <x v="80"/>
    <n v="148"/>
    <n v="778"/>
    <s v="01/01/2018, 01/07/2018"/>
    <s v="28-02-2019, 30/06/2019"/>
    <m/>
    <n v="0"/>
    <n v="0"/>
    <n v="0"/>
    <s v="Yes"/>
    <n v="7"/>
    <n v="15"/>
    <n v="1"/>
    <n v="0"/>
    <m/>
    <n v="3"/>
    <n v="0"/>
    <m/>
    <m/>
    <m/>
    <m/>
    <m/>
    <m/>
    <m/>
    <m/>
    <m/>
    <m/>
    <n v="3"/>
    <n v="3"/>
    <n v="10"/>
    <n v="0"/>
    <m/>
    <m/>
    <m/>
    <n v="48"/>
    <m/>
    <m/>
    <m/>
    <m/>
    <n v="34"/>
    <m/>
    <m/>
    <x v="0"/>
    <x v="0"/>
    <n v="0"/>
    <n v="0"/>
    <m/>
    <m/>
    <n v="18"/>
    <n v="5"/>
    <m/>
    <n v="10"/>
    <m/>
    <n v="0"/>
    <n v="3"/>
    <n v="63"/>
    <n v="200"/>
    <m/>
    <m/>
    <m/>
    <m/>
    <n v="1"/>
    <n v="0"/>
    <x v="0"/>
    <n v="1"/>
    <n v="3"/>
    <n v="0"/>
    <n v="0"/>
    <n v="0"/>
    <n v="1"/>
    <n v="1"/>
    <n v="1"/>
    <n v="778"/>
    <n v="0"/>
    <n v="0"/>
    <n v="1"/>
    <n v="778"/>
    <n v="1.556"/>
    <n v="0"/>
    <n v="0"/>
    <n v="0.44399999999999995"/>
    <n v="2"/>
    <n v="48"/>
    <n v="1"/>
    <n v="778"/>
    <n v="680"/>
    <n v="0"/>
    <n v="39"/>
    <n v="0"/>
    <n v="0"/>
    <n v="0"/>
    <n v="778"/>
    <n v="315"/>
    <n v="778"/>
    <n v="778"/>
    <n v="778"/>
    <n v="1"/>
    <n v="0"/>
    <n v="1"/>
    <n v="0.42567567567567566"/>
    <n v="1"/>
    <n v="13"/>
    <n v="148"/>
    <n v="0"/>
    <n v="778"/>
    <x v="0"/>
    <s v="Yes"/>
    <s v="KBC"/>
    <x v="0"/>
    <x v="0"/>
    <x v="0"/>
    <n v="24.222349999999999"/>
    <n v="97.252650000000003"/>
    <s v="MMR001CMP193"/>
    <x v="0"/>
    <m/>
  </r>
  <r>
    <x v="0"/>
    <x v="1"/>
    <x v="1"/>
    <s v="WHH-AA / USAID"/>
    <x v="0"/>
    <x v="1"/>
    <x v="1"/>
    <x v="81"/>
    <n v="109"/>
    <n v="453"/>
    <d v="2019-01-01T00:00:00"/>
    <d v="2019-12-31T00:00:00"/>
    <m/>
    <m/>
    <m/>
    <m/>
    <s v="Yes"/>
    <n v="1"/>
    <n v="1"/>
    <n v="2"/>
    <m/>
    <m/>
    <n v="1"/>
    <n v="1"/>
    <m/>
    <m/>
    <m/>
    <m/>
    <m/>
    <m/>
    <m/>
    <m/>
    <m/>
    <m/>
    <m/>
    <m/>
    <m/>
    <m/>
    <m/>
    <m/>
    <m/>
    <n v="14"/>
    <m/>
    <m/>
    <n v="6"/>
    <m/>
    <m/>
    <m/>
    <m/>
    <x v="0"/>
    <x v="0"/>
    <m/>
    <m/>
    <m/>
    <m/>
    <n v="6"/>
    <m/>
    <m/>
    <n v="4"/>
    <m/>
    <m/>
    <m/>
    <m/>
    <m/>
    <m/>
    <m/>
    <m/>
    <m/>
    <s v="no test"/>
    <s v="no test"/>
    <x v="1"/>
    <n v="2"/>
    <n v="2"/>
    <n v="0"/>
    <n v="0"/>
    <n v="0"/>
    <n v="1"/>
    <n v="1"/>
    <n v="1"/>
    <n v="453"/>
    <n v="0"/>
    <n v="0"/>
    <n v="1"/>
    <n v="453"/>
    <n v="0.90600000000000003"/>
    <n v="0"/>
    <n v="0"/>
    <n v="9.3999999999999972E-2"/>
    <n v="1"/>
    <n v="8"/>
    <n v="0.35320088300220753"/>
    <n v="160"/>
    <n v="0"/>
    <n v="0"/>
    <n v="23"/>
    <n v="9"/>
    <n v="0.64679911699779247"/>
    <n v="0.42857142857142855"/>
    <n v="0"/>
    <n v="0"/>
    <n v="0"/>
    <n v="0"/>
    <n v="0"/>
    <n v="0"/>
    <n v="1"/>
    <n v="0"/>
    <n v="0"/>
    <n v="0"/>
    <n v="6"/>
    <n v="109"/>
    <n v="0"/>
    <n v="453"/>
    <x v="0"/>
    <s v="Yes"/>
    <s v="KBC"/>
    <x v="0"/>
    <x v="0"/>
    <x v="0"/>
    <n v="24.250689999999999"/>
    <n v="97.344359999999995"/>
    <s v="MMR001CMP056"/>
    <x v="0"/>
    <m/>
  </r>
  <r>
    <x v="0"/>
    <x v="0"/>
    <x v="0"/>
    <s v="ECHO, OFDA"/>
    <x v="0"/>
    <x v="0"/>
    <x v="1"/>
    <x v="82"/>
    <n v="638"/>
    <n v="4010"/>
    <s v="01/01/2018, 01/07/2018"/>
    <s v="28-02-2019, 30/06/2019"/>
    <m/>
    <n v="0"/>
    <n v="0"/>
    <n v="0"/>
    <s v="Yes"/>
    <n v="13"/>
    <n v="10"/>
    <n v="2"/>
    <n v="0"/>
    <m/>
    <n v="20"/>
    <n v="0"/>
    <m/>
    <m/>
    <m/>
    <m/>
    <m/>
    <m/>
    <m/>
    <m/>
    <m/>
    <m/>
    <n v="13"/>
    <n v="13"/>
    <n v="14"/>
    <n v="1"/>
    <m/>
    <m/>
    <m/>
    <n v="150"/>
    <m/>
    <m/>
    <m/>
    <m/>
    <n v="110"/>
    <m/>
    <m/>
    <x v="0"/>
    <x v="0"/>
    <n v="0"/>
    <n v="0"/>
    <m/>
    <m/>
    <n v="20"/>
    <n v="10"/>
    <m/>
    <n v="13"/>
    <m/>
    <n v="0"/>
    <n v="5"/>
    <n v="226"/>
    <n v="695"/>
    <m/>
    <m/>
    <m/>
    <m/>
    <n v="1"/>
    <n v="7.1428571428571425E-2"/>
    <x v="0"/>
    <n v="2"/>
    <n v="20"/>
    <n v="0"/>
    <n v="0"/>
    <n v="0"/>
    <n v="1"/>
    <n v="1"/>
    <n v="1"/>
    <n v="4010"/>
    <n v="0"/>
    <n v="0"/>
    <n v="1"/>
    <n v="4010"/>
    <n v="8.02"/>
    <n v="0"/>
    <n v="0"/>
    <n v="0"/>
    <n v="8"/>
    <n v="150"/>
    <n v="0.74812967581047385"/>
    <n v="3000"/>
    <n v="2200"/>
    <n v="0"/>
    <n v="201"/>
    <n v="51"/>
    <n v="0.25187032418952615"/>
    <n v="0"/>
    <n v="2500"/>
    <n v="1130"/>
    <n v="3475"/>
    <n v="3475"/>
    <n v="3475"/>
    <n v="0.86658354114713221"/>
    <n v="0.13341645885286779"/>
    <n v="0.62344139650872821"/>
    <n v="0.35423197492163011"/>
    <n v="1"/>
    <n v="10"/>
    <n v="200"/>
    <n v="0"/>
    <n v="1000"/>
    <x v="0"/>
    <s v="Yes"/>
    <s v="KBC"/>
    <x v="0"/>
    <x v="0"/>
    <x v="0"/>
    <n v="24.26829283"/>
    <n v="97.229116809999994"/>
    <s v="MMR001CMP047"/>
    <x v="0"/>
    <m/>
  </r>
  <r>
    <x v="0"/>
    <x v="1"/>
    <x v="1"/>
    <s v="WHH-AA / USAID"/>
    <x v="0"/>
    <x v="0"/>
    <x v="1"/>
    <x v="83"/>
    <n v="11"/>
    <n v="49"/>
    <d v="2019-01-01T00:00:00"/>
    <d v="2019-12-31T00:00:00"/>
    <m/>
    <m/>
    <m/>
    <m/>
    <s v="No"/>
    <m/>
    <m/>
    <m/>
    <m/>
    <m/>
    <n v="1"/>
    <n v="1"/>
    <m/>
    <m/>
    <m/>
    <m/>
    <m/>
    <m/>
    <m/>
    <m/>
    <m/>
    <m/>
    <m/>
    <m/>
    <m/>
    <m/>
    <m/>
    <m/>
    <m/>
    <n v="4"/>
    <m/>
    <m/>
    <n v="2"/>
    <m/>
    <m/>
    <m/>
    <m/>
    <x v="0"/>
    <x v="0"/>
    <m/>
    <m/>
    <m/>
    <m/>
    <n v="2"/>
    <m/>
    <m/>
    <n v="2"/>
    <m/>
    <m/>
    <m/>
    <n v="11"/>
    <n v="5"/>
    <m/>
    <m/>
    <m/>
    <m/>
    <s v="no test"/>
    <s v="no test"/>
    <x v="1"/>
    <n v="0"/>
    <n v="2"/>
    <n v="0"/>
    <n v="0"/>
    <n v="0"/>
    <n v="1"/>
    <n v="1"/>
    <n v="1"/>
    <n v="49"/>
    <n v="0"/>
    <n v="0"/>
    <n v="1"/>
    <n v="49"/>
    <n v="9.8000000000000004E-2"/>
    <n v="0"/>
    <n v="0"/>
    <n v="0.90200000000000002"/>
    <n v="1"/>
    <n v="2"/>
    <n v="0.81632653061224492"/>
    <n v="40"/>
    <n v="0"/>
    <n v="0"/>
    <n v="2"/>
    <n v="0"/>
    <n v="0.18367346938775508"/>
    <n v="0.5"/>
    <n v="0"/>
    <n v="49"/>
    <n v="25"/>
    <n v="49"/>
    <n v="49"/>
    <n v="1"/>
    <n v="0"/>
    <n v="0"/>
    <n v="1"/>
    <n v="0.45454545454545453"/>
    <n v="2"/>
    <n v="11"/>
    <n v="0"/>
    <n v="49"/>
    <x v="0"/>
    <s v="Yes"/>
    <s v="Shalom"/>
    <x v="0"/>
    <x v="0"/>
    <x v="0"/>
    <n v="24.253067000000001"/>
    <n v="97.234200000000001"/>
    <s v="MMR001CMP051"/>
    <x v="0"/>
    <m/>
  </r>
  <r>
    <x v="0"/>
    <x v="1"/>
    <x v="1"/>
    <s v="WHH-AA / USAID"/>
    <x v="0"/>
    <x v="0"/>
    <x v="1"/>
    <x v="84"/>
    <n v="17"/>
    <n v="76"/>
    <d v="2019-01-01T00:00:00"/>
    <d v="2019-12-31T00:00:00"/>
    <m/>
    <m/>
    <m/>
    <m/>
    <s v="No"/>
    <m/>
    <m/>
    <m/>
    <m/>
    <m/>
    <m/>
    <n v="1"/>
    <m/>
    <m/>
    <m/>
    <m/>
    <m/>
    <m/>
    <m/>
    <m/>
    <m/>
    <m/>
    <m/>
    <m/>
    <m/>
    <m/>
    <m/>
    <m/>
    <m/>
    <n v="4"/>
    <m/>
    <m/>
    <m/>
    <m/>
    <m/>
    <m/>
    <m/>
    <x v="0"/>
    <x v="0"/>
    <m/>
    <m/>
    <m/>
    <m/>
    <n v="2"/>
    <m/>
    <m/>
    <n v="2"/>
    <m/>
    <m/>
    <m/>
    <n v="17"/>
    <n v="2"/>
    <m/>
    <m/>
    <m/>
    <m/>
    <s v="no test"/>
    <s v="no test"/>
    <x v="1"/>
    <n v="0"/>
    <n v="1"/>
    <n v="0"/>
    <n v="0"/>
    <n v="0"/>
    <n v="1"/>
    <n v="1"/>
    <n v="1"/>
    <n v="76"/>
    <n v="0"/>
    <n v="0"/>
    <n v="1"/>
    <n v="76"/>
    <n v="0.152"/>
    <n v="0"/>
    <n v="0"/>
    <n v="0.84799999999999998"/>
    <n v="1"/>
    <n v="4"/>
    <n v="1"/>
    <n v="76"/>
    <n v="0"/>
    <n v="0"/>
    <n v="4"/>
    <n v="0"/>
    <n v="0"/>
    <n v="0"/>
    <n v="0"/>
    <n v="76"/>
    <n v="10"/>
    <n v="76"/>
    <n v="76"/>
    <n v="1"/>
    <n v="0"/>
    <n v="0"/>
    <n v="1"/>
    <n v="0.11764705882352941"/>
    <n v="2"/>
    <n v="17"/>
    <n v="0"/>
    <n v="76"/>
    <x v="0"/>
    <s v="Yes"/>
    <s v="KMSS-BMO"/>
    <x v="0"/>
    <x v="0"/>
    <x v="0"/>
    <n v="24.32638"/>
    <n v="97.315860000000001"/>
    <s v="MMR001CMP054"/>
    <x v="0"/>
    <m/>
  </r>
  <r>
    <x v="0"/>
    <x v="2"/>
    <x v="2"/>
    <m/>
    <x v="0"/>
    <x v="1"/>
    <x v="1"/>
    <x v="85"/>
    <n v="223"/>
    <n v="1067"/>
    <m/>
    <m/>
    <m/>
    <m/>
    <m/>
    <m/>
    <m/>
    <m/>
    <m/>
    <m/>
    <m/>
    <m/>
    <m/>
    <m/>
    <m/>
    <m/>
    <m/>
    <m/>
    <m/>
    <m/>
    <m/>
    <m/>
    <m/>
    <m/>
    <m/>
    <m/>
    <m/>
    <m/>
    <m/>
    <m/>
    <m/>
    <m/>
    <m/>
    <m/>
    <m/>
    <m/>
    <m/>
    <m/>
    <m/>
    <x v="1"/>
    <x v="1"/>
    <m/>
    <m/>
    <m/>
    <m/>
    <m/>
    <m/>
    <m/>
    <m/>
    <m/>
    <m/>
    <m/>
    <m/>
    <m/>
    <m/>
    <m/>
    <m/>
    <m/>
    <s v="no test"/>
    <s v="no test"/>
    <x v="1"/>
    <n v="0"/>
    <n v="0"/>
    <n v="0"/>
    <n v="0"/>
    <n v="0"/>
    <n v="0"/>
    <n v="0"/>
    <n v="0"/>
    <n v="0"/>
    <n v="0"/>
    <n v="0"/>
    <n v="0"/>
    <n v="0"/>
    <n v="0"/>
    <n v="1"/>
    <n v="1067"/>
    <n v="2"/>
    <n v="2"/>
    <n v="0"/>
    <n v="0"/>
    <n v="0"/>
    <n v="0"/>
    <n v="0"/>
    <n v="53"/>
    <n v="53"/>
    <n v="1"/>
    <n v="0"/>
    <n v="0"/>
    <n v="0"/>
    <n v="0"/>
    <n v="0"/>
    <n v="0"/>
    <n v="0"/>
    <n v="1"/>
    <n v="0"/>
    <n v="0"/>
    <n v="0"/>
    <n v="0"/>
    <n v="0"/>
    <n v="0"/>
    <n v="0"/>
    <x v="0"/>
    <n v="0"/>
    <s v="uncovered"/>
    <x v="0"/>
    <x v="1"/>
    <x v="0"/>
    <n v="24.251232000000002"/>
    <n v="97.348405"/>
    <s v="MMR001CMP197"/>
    <x v="1"/>
    <m/>
  </r>
  <r>
    <x v="0"/>
    <x v="2"/>
    <x v="2"/>
    <m/>
    <x v="0"/>
    <x v="1"/>
    <x v="1"/>
    <x v="86"/>
    <n v="47"/>
    <n v="153"/>
    <m/>
    <m/>
    <m/>
    <m/>
    <m/>
    <m/>
    <m/>
    <m/>
    <m/>
    <m/>
    <m/>
    <m/>
    <m/>
    <m/>
    <m/>
    <m/>
    <m/>
    <m/>
    <m/>
    <m/>
    <m/>
    <m/>
    <m/>
    <m/>
    <m/>
    <m/>
    <m/>
    <m/>
    <m/>
    <m/>
    <m/>
    <m/>
    <m/>
    <m/>
    <m/>
    <m/>
    <m/>
    <m/>
    <m/>
    <x v="1"/>
    <x v="1"/>
    <m/>
    <m/>
    <m/>
    <m/>
    <m/>
    <m/>
    <m/>
    <m/>
    <m/>
    <m/>
    <m/>
    <m/>
    <m/>
    <m/>
    <m/>
    <m/>
    <m/>
    <s v="no test"/>
    <s v="no test"/>
    <x v="1"/>
    <n v="0"/>
    <n v="0"/>
    <n v="0"/>
    <n v="0"/>
    <n v="0"/>
    <n v="0"/>
    <n v="0"/>
    <n v="0"/>
    <n v="0"/>
    <n v="0"/>
    <n v="0"/>
    <n v="0"/>
    <n v="0"/>
    <n v="0"/>
    <n v="1"/>
    <n v="153"/>
    <n v="1"/>
    <n v="1"/>
    <n v="0"/>
    <n v="0"/>
    <n v="0"/>
    <n v="0"/>
    <n v="0"/>
    <n v="8"/>
    <n v="8"/>
    <n v="1"/>
    <n v="0"/>
    <n v="0"/>
    <n v="0"/>
    <n v="0"/>
    <n v="0"/>
    <n v="0"/>
    <n v="0"/>
    <n v="1"/>
    <n v="0"/>
    <n v="0"/>
    <n v="0"/>
    <n v="0"/>
    <n v="0"/>
    <n v="0"/>
    <n v="0"/>
    <x v="0"/>
    <n v="0"/>
    <s v="uncovered"/>
    <x v="0"/>
    <x v="1"/>
    <x v="0"/>
    <n v="24.404876999999999"/>
    <n v="97.407787999999996"/>
    <s v="MMR001CMP061"/>
    <x v="1"/>
    <m/>
  </r>
  <r>
    <x v="0"/>
    <x v="7"/>
    <x v="7"/>
    <s v="SCI/FFO"/>
    <x v="0"/>
    <x v="1"/>
    <x v="1"/>
    <x v="87"/>
    <n v="336"/>
    <n v="1722"/>
    <m/>
    <d v="2019-11-30T00:00:00"/>
    <m/>
    <n v="9"/>
    <n v="10"/>
    <m/>
    <s v="Yes"/>
    <m/>
    <m/>
    <n v="2"/>
    <m/>
    <m/>
    <m/>
    <m/>
    <m/>
    <m/>
    <m/>
    <m/>
    <m/>
    <m/>
    <n v="6"/>
    <m/>
    <m/>
    <n v="6"/>
    <m/>
    <m/>
    <n v="60"/>
    <n v="8"/>
    <n v="4"/>
    <n v="2"/>
    <m/>
    <n v="123"/>
    <m/>
    <m/>
    <n v="25"/>
    <m/>
    <n v="2"/>
    <m/>
    <m/>
    <x v="2"/>
    <x v="3"/>
    <m/>
    <m/>
    <m/>
    <m/>
    <m/>
    <m/>
    <m/>
    <n v="16"/>
    <m/>
    <m/>
    <m/>
    <n v="276"/>
    <m/>
    <m/>
    <n v="9"/>
    <m/>
    <m/>
    <s v="no test"/>
    <n v="0.13333333333333333"/>
    <x v="0"/>
    <n v="2"/>
    <n v="0"/>
    <n v="0"/>
    <n v="0"/>
    <n v="0"/>
    <n v="0.46457607433217191"/>
    <n v="0.29036004645760743"/>
    <n v="0.46457607433217191"/>
    <n v="800"/>
    <n v="0.87108013937282225"/>
    <n v="1500"/>
    <n v="1"/>
    <n v="1722"/>
    <n v="3.444"/>
    <n v="0"/>
    <n v="0"/>
    <n v="0"/>
    <n v="3"/>
    <n v="98"/>
    <n v="1"/>
    <n v="1722"/>
    <n v="40"/>
    <n v="0"/>
    <n v="86"/>
    <n v="0"/>
    <n v="0"/>
    <n v="0.2032520325203252"/>
    <n v="0"/>
    <n v="1380"/>
    <n v="0"/>
    <n v="1380"/>
    <n v="1380"/>
    <n v="0.80139372822299648"/>
    <n v="0.19860627177700352"/>
    <n v="0"/>
    <n v="0.8214285714285714"/>
    <n v="0"/>
    <n v="0"/>
    <n v="0"/>
    <n v="0"/>
    <n v="0"/>
    <x v="0"/>
    <s v="Yes"/>
    <s v="KMSS-BMO"/>
    <x v="0"/>
    <x v="0"/>
    <x v="1"/>
    <n v="24.378167000000001"/>
    <n v="97.669366999999994"/>
    <s v="MMR001CMP131"/>
    <x v="0"/>
    <m/>
  </r>
  <r>
    <x v="0"/>
    <x v="0"/>
    <x v="0"/>
    <s v="OFDA"/>
    <x v="0"/>
    <x v="0"/>
    <x v="0"/>
    <x v="88"/>
    <n v="281"/>
    <n v="1409"/>
    <d v="2018-07-01T00:00:00"/>
    <d v="2019-06-30T00:00:00"/>
    <n v="1409"/>
    <n v="0"/>
    <n v="0"/>
    <n v="0"/>
    <m/>
    <m/>
    <m/>
    <n v="0"/>
    <n v="0"/>
    <m/>
    <m/>
    <n v="0"/>
    <m/>
    <m/>
    <m/>
    <m/>
    <m/>
    <m/>
    <m/>
    <m/>
    <m/>
    <m/>
    <m/>
    <m/>
    <m/>
    <m/>
    <m/>
    <n v="2"/>
    <m/>
    <m/>
    <m/>
    <m/>
    <m/>
    <m/>
    <m/>
    <m/>
    <m/>
    <x v="0"/>
    <x v="0"/>
    <n v="0"/>
    <n v="0"/>
    <n v="22"/>
    <m/>
    <m/>
    <m/>
    <m/>
    <n v="0"/>
    <m/>
    <n v="0"/>
    <n v="0"/>
    <n v="0"/>
    <m/>
    <s v="Yes"/>
    <n v="0"/>
    <n v="0"/>
    <m/>
    <s v="no test"/>
    <s v="no test"/>
    <x v="1"/>
    <n v="0"/>
    <n v="0"/>
    <n v="0"/>
    <n v="0"/>
    <n v="0"/>
    <n v="0"/>
    <n v="0"/>
    <n v="0"/>
    <n v="0"/>
    <n v="0"/>
    <n v="0"/>
    <n v="0"/>
    <n v="0"/>
    <n v="0"/>
    <n v="1"/>
    <n v="1409"/>
    <n v="3"/>
    <n v="3"/>
    <n v="0"/>
    <n v="0"/>
    <n v="0"/>
    <n v="0"/>
    <n v="1100"/>
    <n v="70"/>
    <n v="70"/>
    <n v="1"/>
    <n v="0"/>
    <n v="0"/>
    <n v="0"/>
    <n v="0"/>
    <n v="0"/>
    <n v="0"/>
    <n v="0"/>
    <n v="1"/>
    <n v="0"/>
    <n v="0"/>
    <n v="0"/>
    <n v="0"/>
    <n v="0"/>
    <n v="0"/>
    <n v="0"/>
    <x v="1"/>
    <s v="No"/>
    <n v="0"/>
    <x v="0"/>
    <x v="0"/>
    <x v="0"/>
    <n v="0"/>
    <n v="0"/>
    <n v="0"/>
    <x v="0"/>
    <m/>
  </r>
  <r>
    <x v="0"/>
    <x v="7"/>
    <x v="7"/>
    <s v="SCI/FFO"/>
    <x v="0"/>
    <x v="1"/>
    <x v="1"/>
    <x v="89"/>
    <n v="669"/>
    <n v="3316"/>
    <m/>
    <d v="2019-11-30T00:00:00"/>
    <m/>
    <n v="9"/>
    <n v="10"/>
    <m/>
    <s v="Yes"/>
    <m/>
    <m/>
    <n v="0"/>
    <m/>
    <m/>
    <n v="2"/>
    <m/>
    <m/>
    <m/>
    <m/>
    <m/>
    <m/>
    <m/>
    <n v="1"/>
    <m/>
    <m/>
    <n v="1"/>
    <m/>
    <m/>
    <n v="16"/>
    <n v="5"/>
    <n v="21"/>
    <n v="6"/>
    <m/>
    <n v="257"/>
    <m/>
    <m/>
    <n v="37"/>
    <m/>
    <n v="3"/>
    <m/>
    <m/>
    <x v="2"/>
    <x v="0"/>
    <m/>
    <m/>
    <m/>
    <m/>
    <m/>
    <m/>
    <m/>
    <n v="7"/>
    <m/>
    <m/>
    <m/>
    <n v="449"/>
    <m/>
    <m/>
    <n v="9"/>
    <m/>
    <m/>
    <s v="no test"/>
    <n v="0.3125"/>
    <x v="0"/>
    <n v="0"/>
    <n v="2"/>
    <n v="0"/>
    <n v="0"/>
    <n v="0"/>
    <n v="0.30156815440289503"/>
    <n v="0.15078407720144751"/>
    <n v="0.30156815440289503"/>
    <n v="999.99999999999989"/>
    <n v="7.5392038600723757E-2"/>
    <n v="249.99999999999997"/>
    <n v="0.37696019300361877"/>
    <n v="1249.9999999999998"/>
    <n v="2.4999999999999996"/>
    <n v="0.62303980699638117"/>
    <n v="2066"/>
    <n v="4.5"/>
    <n v="7"/>
    <n v="220"/>
    <n v="1"/>
    <n v="3316"/>
    <n v="60"/>
    <n v="0"/>
    <n v="166"/>
    <n v="0"/>
    <n v="0"/>
    <n v="0.14396887159533073"/>
    <n v="0"/>
    <n v="2245"/>
    <n v="0"/>
    <n v="2245"/>
    <n v="2245"/>
    <n v="0.67702050663449942"/>
    <n v="0.32297949336550058"/>
    <n v="0"/>
    <n v="0.67115097159940207"/>
    <n v="0"/>
    <n v="0"/>
    <n v="0"/>
    <n v="0"/>
    <n v="0"/>
    <x v="0"/>
    <s v="Yes"/>
    <s v="KMSS-BMO"/>
    <x v="0"/>
    <x v="0"/>
    <x v="1"/>
    <n v="24.2744"/>
    <n v="97.752667000000002"/>
    <s v="MMR001CMP126"/>
    <x v="0"/>
    <m/>
  </r>
  <r>
    <x v="0"/>
    <x v="0"/>
    <x v="0"/>
    <s v="ECHO, OFDA"/>
    <x v="0"/>
    <x v="1"/>
    <x v="1"/>
    <x v="90"/>
    <n v="41"/>
    <n v="253"/>
    <s v="01/01/2018, 01/07/2018"/>
    <s v="28-02-2019, 30/06/2019"/>
    <m/>
    <n v="0"/>
    <n v="0"/>
    <n v="0"/>
    <s v="Yes"/>
    <n v="4"/>
    <n v="6"/>
    <n v="2"/>
    <n v="0"/>
    <m/>
    <n v="0"/>
    <n v="0"/>
    <m/>
    <m/>
    <m/>
    <m/>
    <m/>
    <m/>
    <m/>
    <m/>
    <m/>
    <m/>
    <n v="1"/>
    <n v="1"/>
    <n v="4"/>
    <n v="0"/>
    <m/>
    <m/>
    <m/>
    <n v="16"/>
    <m/>
    <m/>
    <m/>
    <m/>
    <n v="15"/>
    <m/>
    <m/>
    <x v="0"/>
    <x v="0"/>
    <n v="0"/>
    <n v="0"/>
    <m/>
    <m/>
    <n v="7"/>
    <n v="0"/>
    <m/>
    <n v="1"/>
    <m/>
    <n v="0"/>
    <n v="1"/>
    <n v="13"/>
    <n v="52"/>
    <m/>
    <m/>
    <m/>
    <m/>
    <n v="1"/>
    <n v="0"/>
    <x v="0"/>
    <n v="2"/>
    <n v="0"/>
    <n v="0"/>
    <n v="0"/>
    <n v="0"/>
    <n v="1"/>
    <n v="1"/>
    <n v="1"/>
    <n v="253"/>
    <n v="0"/>
    <n v="0"/>
    <n v="1"/>
    <n v="253"/>
    <n v="0.50600000000000001"/>
    <n v="0"/>
    <n v="0"/>
    <n v="0.49399999999999999"/>
    <n v="1"/>
    <n v="16"/>
    <n v="1"/>
    <n v="253"/>
    <n v="253"/>
    <n v="0"/>
    <n v="13"/>
    <n v="0"/>
    <n v="0"/>
    <n v="0"/>
    <n v="253"/>
    <n v="65"/>
    <n v="253"/>
    <n v="253"/>
    <n v="253"/>
    <n v="1"/>
    <n v="0"/>
    <n v="1"/>
    <n v="0.31707317073170732"/>
    <n v="1"/>
    <n v="7"/>
    <n v="41"/>
    <n v="0"/>
    <n v="253"/>
    <x v="0"/>
    <s v="Yes"/>
    <s v="KBC"/>
    <x v="0"/>
    <x v="0"/>
    <x v="0"/>
    <n v="24.207332999999998"/>
    <n v="97.710864000000001"/>
    <s v="MMR001CMP073"/>
    <x v="0"/>
    <m/>
  </r>
  <r>
    <x v="0"/>
    <x v="4"/>
    <x v="4"/>
    <s v="ADRA/CANADA"/>
    <x v="0"/>
    <x v="7"/>
    <x v="1"/>
    <x v="91"/>
    <n v="16"/>
    <n v="78"/>
    <d v="2019-04-01T00:00:00"/>
    <d v="2019-07-31T00:00:00"/>
    <m/>
    <m/>
    <m/>
    <m/>
    <s v="Yes"/>
    <m/>
    <m/>
    <n v="0"/>
    <m/>
    <m/>
    <n v="1"/>
    <m/>
    <m/>
    <m/>
    <m/>
    <m/>
    <m/>
    <m/>
    <m/>
    <m/>
    <m/>
    <n v="2"/>
    <m/>
    <m/>
    <m/>
    <m/>
    <m/>
    <m/>
    <m/>
    <n v="2"/>
    <m/>
    <m/>
    <m/>
    <m/>
    <m/>
    <m/>
    <n v="2"/>
    <x v="0"/>
    <x v="0"/>
    <m/>
    <m/>
    <m/>
    <m/>
    <m/>
    <m/>
    <m/>
    <n v="2"/>
    <m/>
    <m/>
    <n v="1"/>
    <m/>
    <m/>
    <m/>
    <m/>
    <m/>
    <m/>
    <s v="no test"/>
    <s v="no test"/>
    <x v="1"/>
    <n v="0"/>
    <n v="1"/>
    <n v="0"/>
    <n v="0"/>
    <n v="0"/>
    <n v="1"/>
    <n v="1"/>
    <n v="1"/>
    <n v="78"/>
    <n v="0"/>
    <n v="0"/>
    <n v="1"/>
    <n v="78"/>
    <n v="0.156"/>
    <n v="0"/>
    <n v="0"/>
    <n v="0.84399999999999997"/>
    <n v="1"/>
    <n v="2"/>
    <n v="0.51282051282051277"/>
    <n v="40"/>
    <n v="0"/>
    <n v="0"/>
    <n v="4"/>
    <n v="2"/>
    <n v="0.48717948717948723"/>
    <n v="0"/>
    <n v="78"/>
    <n v="0"/>
    <n v="0"/>
    <n v="0"/>
    <n v="78"/>
    <n v="1"/>
    <n v="0"/>
    <n v="1"/>
    <n v="0"/>
    <n v="0"/>
    <n v="0"/>
    <n v="0"/>
    <n v="0"/>
    <n v="0"/>
    <x v="0"/>
    <s v="Yes"/>
    <s v="KBC"/>
    <x v="0"/>
    <x v="0"/>
    <x v="0"/>
    <n v="25.296579999999999"/>
    <n v="96.942279999999997"/>
    <s v="MMR001CMP077"/>
    <x v="0"/>
    <m/>
  </r>
  <r>
    <x v="0"/>
    <x v="4"/>
    <x v="4"/>
    <s v="Plan/GFFO,ADRA/CANADA  "/>
    <x v="0"/>
    <x v="2"/>
    <x v="1"/>
    <x v="92"/>
    <n v="28"/>
    <n v="159"/>
    <d v="2019-04-01T00:00:00"/>
    <d v="2019-07-31T00:00:00"/>
    <m/>
    <m/>
    <m/>
    <m/>
    <s v="Yes"/>
    <m/>
    <m/>
    <n v="2"/>
    <m/>
    <m/>
    <n v="1"/>
    <m/>
    <m/>
    <m/>
    <n v="0"/>
    <m/>
    <m/>
    <m/>
    <m/>
    <m/>
    <m/>
    <n v="3"/>
    <m/>
    <m/>
    <m/>
    <m/>
    <m/>
    <m/>
    <m/>
    <n v="6"/>
    <m/>
    <m/>
    <m/>
    <m/>
    <m/>
    <m/>
    <n v="6"/>
    <x v="0"/>
    <x v="0"/>
    <m/>
    <m/>
    <m/>
    <m/>
    <m/>
    <m/>
    <m/>
    <n v="3"/>
    <m/>
    <m/>
    <n v="1"/>
    <m/>
    <m/>
    <m/>
    <m/>
    <m/>
    <m/>
    <s v="no test"/>
    <s v="no test"/>
    <x v="1"/>
    <n v="2"/>
    <n v="1"/>
    <n v="0"/>
    <n v="0"/>
    <n v="0"/>
    <n v="1"/>
    <n v="1"/>
    <n v="1"/>
    <n v="159"/>
    <n v="0"/>
    <n v="0"/>
    <n v="1"/>
    <n v="159"/>
    <n v="0.318"/>
    <n v="0"/>
    <n v="0"/>
    <n v="0.68199999999999994"/>
    <n v="1"/>
    <n v="6"/>
    <n v="0.75471698113207553"/>
    <n v="120"/>
    <n v="0"/>
    <n v="0"/>
    <n v="8"/>
    <n v="2"/>
    <n v="0.24528301886792447"/>
    <n v="0"/>
    <n v="159"/>
    <n v="0"/>
    <n v="0"/>
    <n v="0"/>
    <n v="159"/>
    <n v="1"/>
    <n v="0"/>
    <n v="1"/>
    <n v="0"/>
    <n v="0"/>
    <n v="0"/>
    <n v="0"/>
    <n v="0"/>
    <n v="0"/>
    <x v="0"/>
    <s v="Yes"/>
    <s v="KBC-MYT"/>
    <x v="0"/>
    <x v="0"/>
    <x v="0"/>
    <n v="25.356632000000001"/>
    <n v="97.451965000000001"/>
    <s v="MMR001CMP027"/>
    <x v="0"/>
    <m/>
  </r>
  <r>
    <x v="0"/>
    <x v="8"/>
    <x v="8"/>
    <s v="Plan/GFFO,ADRA/CANADA ,UNICEF"/>
    <x v="0"/>
    <x v="2"/>
    <x v="1"/>
    <x v="93"/>
    <n v="407"/>
    <n v="1801"/>
    <s v="1/4/19,12/1/2018"/>
    <s v="7/31/19,31/3/2019"/>
    <n v="218"/>
    <m/>
    <m/>
    <m/>
    <s v="Yes"/>
    <m/>
    <m/>
    <m/>
    <m/>
    <m/>
    <m/>
    <m/>
    <m/>
    <m/>
    <n v="6"/>
    <m/>
    <m/>
    <m/>
    <m/>
    <m/>
    <m/>
    <m/>
    <m/>
    <m/>
    <m/>
    <m/>
    <m/>
    <m/>
    <m/>
    <n v="407"/>
    <m/>
    <m/>
    <n v="195"/>
    <n v="30"/>
    <m/>
    <m/>
    <m/>
    <x v="0"/>
    <x v="0"/>
    <n v="3"/>
    <m/>
    <m/>
    <m/>
    <m/>
    <m/>
    <m/>
    <m/>
    <m/>
    <m/>
    <m/>
    <m/>
    <m/>
    <s v="No"/>
    <m/>
    <m/>
    <m/>
    <s v="no test"/>
    <s v="no test"/>
    <x v="1"/>
    <n v="0"/>
    <n v="0"/>
    <n v="6"/>
    <n v="0"/>
    <n v="0"/>
    <n v="0.2220988339811216"/>
    <n v="0.2220988339811216"/>
    <n v="0.2220988339811216"/>
    <n v="400"/>
    <n v="0"/>
    <n v="0"/>
    <n v="0.2220988339811216"/>
    <n v="400"/>
    <n v="0.8"/>
    <n v="0.77790116601887838"/>
    <n v="1401"/>
    <n v="3.2"/>
    <n v="4"/>
    <n v="212"/>
    <n v="0.70627429205996672"/>
    <n v="1272"/>
    <n v="0"/>
    <n v="0"/>
    <n v="300"/>
    <n v="0"/>
    <n v="0.29372570794003328"/>
    <n v="0.47911547911547914"/>
    <n v="0"/>
    <n v="0"/>
    <n v="0"/>
    <n v="0"/>
    <n v="0"/>
    <n v="0"/>
    <n v="1"/>
    <n v="0"/>
    <n v="0"/>
    <n v="0"/>
    <n v="0"/>
    <n v="0"/>
    <n v="0"/>
    <n v="0"/>
    <x v="1"/>
    <s v="Yes"/>
    <s v="KMSS-MYT"/>
    <x v="1"/>
    <x v="0"/>
    <x v="1"/>
    <n v="24.980250000000002"/>
    <n v="97.715230000000005"/>
    <s v="MMR001CMP119"/>
    <x v="0"/>
    <m/>
  </r>
  <r>
    <x v="0"/>
    <x v="3"/>
    <x v="3"/>
    <s v="DFID(HARP)"/>
    <x v="0"/>
    <x v="6"/>
    <x v="1"/>
    <x v="94"/>
    <n v="50"/>
    <n v="218"/>
    <d v="2019-01-01T00:00:00"/>
    <s v="31-3-2019"/>
    <m/>
    <m/>
    <m/>
    <m/>
    <s v="Yes"/>
    <m/>
    <m/>
    <n v="1"/>
    <m/>
    <m/>
    <m/>
    <m/>
    <m/>
    <m/>
    <m/>
    <m/>
    <m/>
    <m/>
    <m/>
    <m/>
    <m/>
    <m/>
    <m/>
    <m/>
    <m/>
    <m/>
    <m/>
    <m/>
    <m/>
    <n v="16"/>
    <m/>
    <m/>
    <m/>
    <m/>
    <m/>
    <m/>
    <m/>
    <x v="0"/>
    <x v="0"/>
    <m/>
    <m/>
    <m/>
    <m/>
    <m/>
    <m/>
    <m/>
    <n v="2"/>
    <m/>
    <m/>
    <n v="2"/>
    <n v="30"/>
    <m/>
    <m/>
    <m/>
    <m/>
    <m/>
    <s v="no test"/>
    <s v="no test"/>
    <x v="1"/>
    <n v="1"/>
    <n v="0"/>
    <n v="0"/>
    <n v="0"/>
    <n v="0"/>
    <n v="1"/>
    <n v="1"/>
    <n v="1"/>
    <n v="218"/>
    <n v="0"/>
    <n v="0"/>
    <n v="1"/>
    <n v="218"/>
    <n v="0.436"/>
    <n v="0"/>
    <n v="0"/>
    <n v="0.56400000000000006"/>
    <n v="1"/>
    <n v="16"/>
    <n v="1"/>
    <n v="218"/>
    <n v="0"/>
    <n v="0"/>
    <n v="11"/>
    <n v="0"/>
    <n v="0"/>
    <n v="0"/>
    <n v="218"/>
    <n v="150"/>
    <n v="0"/>
    <n v="150"/>
    <n v="218"/>
    <n v="1"/>
    <n v="0"/>
    <n v="1"/>
    <n v="0.6"/>
    <n v="0"/>
    <n v="0"/>
    <n v="0"/>
    <n v="0"/>
    <n v="0"/>
    <x v="0"/>
    <s v="Yes"/>
    <s v="KMSS-MYT"/>
    <x v="0"/>
    <x v="0"/>
    <x v="0"/>
    <n v="25.613894999999999"/>
    <n v="96.341352999999998"/>
    <s v="MMR001CMP103"/>
    <x v="0"/>
    <m/>
  </r>
  <r>
    <x v="0"/>
    <x v="4"/>
    <x v="4"/>
    <s v="Plan/GFFO,ADRA/CANADA  "/>
    <x v="0"/>
    <x v="2"/>
    <x v="1"/>
    <x v="95"/>
    <n v="494"/>
    <n v="2500"/>
    <d v="2019-04-01T00:00:00"/>
    <d v="2019-07-31T00:00:00"/>
    <m/>
    <m/>
    <m/>
    <m/>
    <s v="Yes"/>
    <m/>
    <m/>
    <n v="9"/>
    <m/>
    <m/>
    <n v="2"/>
    <m/>
    <m/>
    <m/>
    <m/>
    <m/>
    <m/>
    <m/>
    <m/>
    <m/>
    <m/>
    <n v="9"/>
    <m/>
    <m/>
    <m/>
    <m/>
    <m/>
    <m/>
    <m/>
    <n v="130"/>
    <m/>
    <m/>
    <n v="104"/>
    <n v="30"/>
    <n v="32"/>
    <m/>
    <n v="130"/>
    <x v="0"/>
    <x v="0"/>
    <m/>
    <m/>
    <m/>
    <m/>
    <m/>
    <m/>
    <m/>
    <n v="6"/>
    <m/>
    <m/>
    <n v="5"/>
    <m/>
    <m/>
    <m/>
    <m/>
    <m/>
    <m/>
    <s v="no test"/>
    <s v="no test"/>
    <x v="1"/>
    <n v="9"/>
    <n v="2"/>
    <n v="0"/>
    <n v="0"/>
    <n v="0"/>
    <n v="1"/>
    <n v="1"/>
    <n v="1"/>
    <n v="2500"/>
    <n v="0"/>
    <n v="0"/>
    <n v="1"/>
    <n v="2500"/>
    <n v="5"/>
    <n v="0"/>
    <n v="0"/>
    <n v="0"/>
    <n v="5"/>
    <n v="26"/>
    <n v="0.20799999999999999"/>
    <n v="520"/>
    <n v="640"/>
    <n v="0"/>
    <n v="125"/>
    <n v="0"/>
    <n v="0.79200000000000004"/>
    <n v="0.8"/>
    <n v="2500"/>
    <n v="0"/>
    <n v="0"/>
    <n v="0"/>
    <n v="2500"/>
    <n v="1"/>
    <n v="0"/>
    <n v="1"/>
    <n v="0"/>
    <n v="0"/>
    <n v="0"/>
    <n v="0"/>
    <n v="0"/>
    <n v="0"/>
    <x v="0"/>
    <s v="Yes"/>
    <s v="KBC-MYT"/>
    <x v="0"/>
    <x v="0"/>
    <x v="0"/>
    <n v="25.4118005797101"/>
    <n v="97.434855869565197"/>
    <s v="MMR001CMP040"/>
    <x v="0"/>
    <m/>
  </r>
  <r>
    <x v="0"/>
    <x v="3"/>
    <x v="3"/>
    <s v="DFID(HARP)"/>
    <x v="0"/>
    <x v="3"/>
    <x v="1"/>
    <x v="96"/>
    <n v="147"/>
    <n v="882"/>
    <d v="2019-01-01T00:00:00"/>
    <s v="31-3-2019"/>
    <m/>
    <m/>
    <m/>
    <m/>
    <s v="Yes"/>
    <m/>
    <m/>
    <n v="8"/>
    <m/>
    <n v="1"/>
    <n v="2"/>
    <m/>
    <m/>
    <m/>
    <m/>
    <m/>
    <m/>
    <m/>
    <m/>
    <m/>
    <m/>
    <m/>
    <m/>
    <m/>
    <m/>
    <m/>
    <m/>
    <m/>
    <m/>
    <n v="74"/>
    <m/>
    <m/>
    <m/>
    <m/>
    <m/>
    <m/>
    <m/>
    <x v="0"/>
    <x v="0"/>
    <m/>
    <m/>
    <m/>
    <m/>
    <m/>
    <m/>
    <m/>
    <n v="13"/>
    <m/>
    <m/>
    <n v="4"/>
    <n v="30"/>
    <m/>
    <m/>
    <m/>
    <m/>
    <m/>
    <s v="no test"/>
    <s v="no test"/>
    <x v="1"/>
    <n v="8"/>
    <n v="2"/>
    <n v="0"/>
    <n v="0"/>
    <n v="0"/>
    <n v="1"/>
    <n v="1"/>
    <n v="1"/>
    <n v="882"/>
    <n v="0"/>
    <n v="0"/>
    <n v="1"/>
    <n v="882"/>
    <n v="1.764"/>
    <n v="0"/>
    <n v="0"/>
    <n v="0.23599999999999999"/>
    <n v="2"/>
    <n v="74"/>
    <n v="1"/>
    <n v="882"/>
    <n v="0"/>
    <n v="0"/>
    <n v="44"/>
    <n v="0"/>
    <n v="0"/>
    <n v="0"/>
    <n v="882"/>
    <n v="150"/>
    <n v="0"/>
    <n v="150"/>
    <n v="882"/>
    <n v="1"/>
    <n v="0"/>
    <n v="1"/>
    <n v="0.20408163265306123"/>
    <n v="0"/>
    <n v="0"/>
    <n v="0"/>
    <n v="0"/>
    <n v="0"/>
    <x v="0"/>
    <s v="Yes"/>
    <s v="KMSS-MYT"/>
    <x v="0"/>
    <x v="0"/>
    <x v="0"/>
    <n v="25.493819999999999"/>
    <n v="97.4345"/>
    <s v="MMR001CMP162"/>
    <x v="0"/>
    <m/>
  </r>
  <r>
    <x v="0"/>
    <x v="4"/>
    <x v="4"/>
    <s v="Plan/GFFO,ADRA/CANADA  "/>
    <x v="0"/>
    <x v="2"/>
    <x v="1"/>
    <x v="97"/>
    <n v="43"/>
    <n v="191"/>
    <d v="2019-04-01T00:00:00"/>
    <d v="2019-07-31T00:00:00"/>
    <m/>
    <m/>
    <m/>
    <m/>
    <s v="Yes"/>
    <m/>
    <m/>
    <n v="1"/>
    <m/>
    <m/>
    <n v="0"/>
    <m/>
    <m/>
    <m/>
    <m/>
    <m/>
    <m/>
    <m/>
    <m/>
    <m/>
    <m/>
    <n v="2"/>
    <m/>
    <m/>
    <m/>
    <m/>
    <m/>
    <m/>
    <m/>
    <n v="10"/>
    <m/>
    <m/>
    <m/>
    <m/>
    <n v="3"/>
    <m/>
    <n v="10"/>
    <x v="0"/>
    <x v="0"/>
    <m/>
    <m/>
    <m/>
    <m/>
    <m/>
    <m/>
    <m/>
    <n v="2"/>
    <m/>
    <m/>
    <n v="1"/>
    <m/>
    <m/>
    <m/>
    <m/>
    <m/>
    <m/>
    <s v="no test"/>
    <s v="no test"/>
    <x v="1"/>
    <n v="1"/>
    <n v="0"/>
    <n v="0"/>
    <n v="0"/>
    <n v="0"/>
    <n v="1"/>
    <n v="1"/>
    <n v="1"/>
    <n v="191"/>
    <n v="0"/>
    <n v="0"/>
    <n v="1"/>
    <n v="191"/>
    <n v="0.38200000000000001"/>
    <n v="0"/>
    <n v="0"/>
    <n v="0.61799999999999999"/>
    <n v="1"/>
    <n v="10"/>
    <n v="1"/>
    <n v="191"/>
    <n v="60"/>
    <n v="0"/>
    <n v="10"/>
    <n v="0"/>
    <n v="0"/>
    <n v="0"/>
    <n v="191"/>
    <n v="0"/>
    <n v="0"/>
    <n v="0"/>
    <n v="191"/>
    <n v="1"/>
    <n v="0"/>
    <n v="1"/>
    <n v="0"/>
    <n v="0"/>
    <n v="0"/>
    <n v="0"/>
    <n v="0"/>
    <n v="0"/>
    <x v="0"/>
    <s v="Yes"/>
    <s v="KBC-MYT"/>
    <x v="0"/>
    <x v="0"/>
    <x v="0"/>
    <n v="25.409612685185198"/>
    <n v="97.426536944444507"/>
    <s v="MMR001CMP039"/>
    <x v="0"/>
    <m/>
  </r>
  <r>
    <x v="0"/>
    <x v="2"/>
    <x v="2"/>
    <m/>
    <x v="0"/>
    <x v="3"/>
    <x v="1"/>
    <x v="98"/>
    <n v="375"/>
    <n v="1691"/>
    <m/>
    <m/>
    <m/>
    <m/>
    <m/>
    <m/>
    <m/>
    <m/>
    <m/>
    <m/>
    <m/>
    <m/>
    <m/>
    <m/>
    <m/>
    <m/>
    <m/>
    <m/>
    <m/>
    <m/>
    <m/>
    <m/>
    <m/>
    <m/>
    <m/>
    <m/>
    <m/>
    <m/>
    <m/>
    <m/>
    <m/>
    <m/>
    <m/>
    <m/>
    <m/>
    <m/>
    <m/>
    <m/>
    <m/>
    <x v="1"/>
    <x v="1"/>
    <m/>
    <m/>
    <m/>
    <m/>
    <m/>
    <m/>
    <m/>
    <m/>
    <m/>
    <m/>
    <m/>
    <m/>
    <m/>
    <m/>
    <m/>
    <m/>
    <m/>
    <s v="no test"/>
    <s v="no test"/>
    <x v="1"/>
    <n v="0"/>
    <n v="0"/>
    <n v="0"/>
    <n v="0"/>
    <n v="0"/>
    <n v="0"/>
    <n v="0"/>
    <n v="0"/>
    <n v="0"/>
    <n v="0"/>
    <n v="0"/>
    <n v="0"/>
    <n v="0"/>
    <n v="0"/>
    <n v="1"/>
    <n v="1691"/>
    <n v="3"/>
    <n v="3"/>
    <n v="0"/>
    <n v="0"/>
    <n v="0"/>
    <n v="0"/>
    <n v="0"/>
    <n v="85"/>
    <n v="85"/>
    <n v="1"/>
    <n v="0"/>
    <n v="0"/>
    <n v="0"/>
    <n v="0"/>
    <n v="0"/>
    <n v="0"/>
    <n v="0"/>
    <n v="1"/>
    <n v="0"/>
    <n v="0"/>
    <n v="0"/>
    <n v="0"/>
    <n v="0"/>
    <n v="0"/>
    <n v="0"/>
    <x v="0"/>
    <n v="0"/>
    <s v="uncovered"/>
    <x v="0"/>
    <x v="1"/>
    <x v="0"/>
    <n v="0"/>
    <n v="0"/>
    <s v="MMR001CMP147"/>
    <x v="1"/>
    <m/>
  </r>
  <r>
    <x v="0"/>
    <x v="4"/>
    <x v="4"/>
    <s v="Plan/GFFO"/>
    <x v="0"/>
    <x v="9"/>
    <x v="1"/>
    <x v="99"/>
    <n v="432"/>
    <n v="1855"/>
    <m/>
    <d v="2019-03-31T00:00:00"/>
    <m/>
    <m/>
    <m/>
    <m/>
    <s v="Yes"/>
    <m/>
    <m/>
    <n v="0"/>
    <m/>
    <m/>
    <n v="4"/>
    <m/>
    <m/>
    <m/>
    <m/>
    <m/>
    <m/>
    <m/>
    <m/>
    <m/>
    <m/>
    <n v="4"/>
    <m/>
    <m/>
    <m/>
    <m/>
    <m/>
    <m/>
    <m/>
    <n v="110"/>
    <m/>
    <m/>
    <m/>
    <m/>
    <m/>
    <m/>
    <n v="110"/>
    <x v="0"/>
    <x v="0"/>
    <m/>
    <m/>
    <m/>
    <m/>
    <m/>
    <m/>
    <m/>
    <n v="10"/>
    <m/>
    <m/>
    <n v="3"/>
    <m/>
    <m/>
    <m/>
    <m/>
    <m/>
    <m/>
    <s v="no test"/>
    <s v="no test"/>
    <x v="1"/>
    <n v="0"/>
    <n v="4"/>
    <n v="0"/>
    <n v="0"/>
    <n v="0"/>
    <n v="1"/>
    <n v="0.53908355795148244"/>
    <n v="1"/>
    <n v="1855"/>
    <n v="0"/>
    <n v="0"/>
    <n v="1"/>
    <n v="1855"/>
    <n v="3.71"/>
    <n v="0"/>
    <n v="0"/>
    <n v="0.29000000000000004"/>
    <n v="4"/>
    <n v="110"/>
    <n v="1"/>
    <n v="1855"/>
    <n v="0"/>
    <n v="0"/>
    <n v="93"/>
    <n v="0"/>
    <n v="0"/>
    <n v="0"/>
    <n v="1500"/>
    <n v="0"/>
    <n v="0"/>
    <n v="0"/>
    <n v="1500"/>
    <n v="0.80862533692722371"/>
    <n v="0.19137466307277629"/>
    <n v="0.80862533692722371"/>
    <n v="0"/>
    <n v="0"/>
    <n v="0"/>
    <n v="0"/>
    <n v="0"/>
    <n v="0"/>
    <x v="0"/>
    <s v="Yes"/>
    <s v="KBC"/>
    <x v="0"/>
    <x v="0"/>
    <x v="0"/>
    <n v="23.972453000000002"/>
    <n v="97.225881000000001"/>
    <s v="MMR001CMP218"/>
    <x v="0"/>
    <m/>
  </r>
  <r>
    <x v="0"/>
    <x v="4"/>
    <x v="4"/>
    <s v="Plan/GFFO,ADRA/CANADA  "/>
    <x v="0"/>
    <x v="3"/>
    <x v="1"/>
    <x v="100"/>
    <n v="61"/>
    <n v="290"/>
    <d v="2019-04-01T00:00:00"/>
    <d v="2019-07-31T00:00:00"/>
    <m/>
    <m/>
    <m/>
    <m/>
    <s v="Yes"/>
    <m/>
    <m/>
    <n v="1"/>
    <m/>
    <m/>
    <n v="1"/>
    <m/>
    <m/>
    <m/>
    <m/>
    <m/>
    <m/>
    <m/>
    <m/>
    <m/>
    <m/>
    <n v="2"/>
    <m/>
    <m/>
    <m/>
    <m/>
    <m/>
    <m/>
    <m/>
    <n v="7"/>
    <m/>
    <m/>
    <m/>
    <m/>
    <n v="0"/>
    <m/>
    <n v="7"/>
    <x v="0"/>
    <x v="0"/>
    <m/>
    <m/>
    <m/>
    <m/>
    <m/>
    <m/>
    <m/>
    <n v="3"/>
    <m/>
    <m/>
    <n v="1"/>
    <m/>
    <m/>
    <m/>
    <m/>
    <m/>
    <m/>
    <s v="no test"/>
    <s v="no test"/>
    <x v="1"/>
    <n v="1"/>
    <n v="1"/>
    <n v="0"/>
    <n v="0"/>
    <n v="0"/>
    <n v="1"/>
    <n v="1"/>
    <n v="1"/>
    <n v="290"/>
    <n v="0"/>
    <n v="0"/>
    <n v="1"/>
    <n v="290"/>
    <n v="0.57999999999999996"/>
    <n v="0"/>
    <n v="0"/>
    <n v="0.42000000000000004"/>
    <n v="1"/>
    <n v="7"/>
    <n v="0.48275862068965519"/>
    <n v="140"/>
    <n v="0"/>
    <n v="0"/>
    <n v="15"/>
    <n v="8"/>
    <n v="0.51724137931034475"/>
    <n v="0"/>
    <n v="290"/>
    <n v="0"/>
    <n v="0"/>
    <n v="0"/>
    <n v="290"/>
    <n v="1"/>
    <n v="0"/>
    <n v="1"/>
    <n v="0"/>
    <n v="0"/>
    <n v="0"/>
    <n v="0"/>
    <n v="0"/>
    <n v="0"/>
    <x v="0"/>
    <s v="Yes"/>
    <s v="KBC-MYT"/>
    <x v="0"/>
    <x v="0"/>
    <x v="0"/>
    <n v="25.360463124999999"/>
    <n v="97.4113064583333"/>
    <s v="MMR001CMP016"/>
    <x v="0"/>
    <m/>
  </r>
  <r>
    <x v="0"/>
    <x v="4"/>
    <x v="4"/>
    <s v="Plan/GFFO,ADRA/CANADA  "/>
    <x v="0"/>
    <x v="3"/>
    <x v="1"/>
    <x v="101"/>
    <n v="101"/>
    <n v="547"/>
    <d v="2019-04-01T00:00:00"/>
    <d v="2019-07-31T00:00:00"/>
    <m/>
    <m/>
    <m/>
    <m/>
    <s v="Yes"/>
    <m/>
    <m/>
    <n v="0"/>
    <m/>
    <m/>
    <n v="2"/>
    <m/>
    <m/>
    <m/>
    <m/>
    <m/>
    <m/>
    <m/>
    <m/>
    <m/>
    <m/>
    <n v="3"/>
    <m/>
    <m/>
    <m/>
    <m/>
    <m/>
    <m/>
    <m/>
    <n v="34"/>
    <m/>
    <m/>
    <m/>
    <m/>
    <n v="8"/>
    <m/>
    <n v="34"/>
    <x v="0"/>
    <x v="3"/>
    <m/>
    <m/>
    <m/>
    <m/>
    <m/>
    <m/>
    <m/>
    <n v="2"/>
    <m/>
    <m/>
    <n v="2"/>
    <m/>
    <m/>
    <m/>
    <m/>
    <m/>
    <m/>
    <s v="no test"/>
    <s v="no test"/>
    <x v="1"/>
    <n v="0"/>
    <n v="2"/>
    <n v="0"/>
    <n v="0"/>
    <n v="0"/>
    <n v="1"/>
    <n v="0.91407678244972579"/>
    <n v="1"/>
    <n v="547"/>
    <n v="0"/>
    <n v="0"/>
    <n v="1"/>
    <n v="547"/>
    <n v="1.0940000000000001"/>
    <n v="0"/>
    <n v="0"/>
    <n v="0"/>
    <n v="1"/>
    <n v="34"/>
    <n v="1"/>
    <n v="547"/>
    <n v="160"/>
    <n v="0"/>
    <n v="27"/>
    <n v="0"/>
    <n v="0"/>
    <n v="0"/>
    <n v="547"/>
    <n v="0"/>
    <n v="0"/>
    <n v="0"/>
    <n v="547"/>
    <n v="1"/>
    <n v="0"/>
    <n v="1"/>
    <n v="0"/>
    <n v="0"/>
    <n v="0"/>
    <n v="0"/>
    <n v="0"/>
    <n v="0"/>
    <x v="0"/>
    <s v="Yes"/>
    <s v="KBC-MYT"/>
    <x v="0"/>
    <x v="0"/>
    <x v="0"/>
    <n v="25.428910999999999"/>
    <n v="97.418694000000002"/>
    <s v="MMR001CMP008"/>
    <x v="0"/>
    <m/>
  </r>
  <r>
    <x v="0"/>
    <x v="4"/>
    <x v="4"/>
    <s v="OFDA"/>
    <x v="0"/>
    <x v="0"/>
    <x v="0"/>
    <x v="102"/>
    <n v="37"/>
    <n v="161"/>
    <m/>
    <d v="2019-02-15T00:00:00"/>
    <m/>
    <m/>
    <m/>
    <m/>
    <s v="Yes"/>
    <m/>
    <m/>
    <n v="0"/>
    <m/>
    <m/>
    <n v="2"/>
    <m/>
    <m/>
    <m/>
    <m/>
    <m/>
    <m/>
    <m/>
    <m/>
    <m/>
    <m/>
    <n v="2"/>
    <m/>
    <m/>
    <m/>
    <m/>
    <m/>
    <m/>
    <m/>
    <n v="6"/>
    <m/>
    <m/>
    <m/>
    <m/>
    <m/>
    <m/>
    <n v="6"/>
    <x v="0"/>
    <x v="0"/>
    <m/>
    <m/>
    <m/>
    <m/>
    <m/>
    <m/>
    <m/>
    <n v="0"/>
    <m/>
    <m/>
    <n v="1"/>
    <m/>
    <m/>
    <m/>
    <m/>
    <m/>
    <m/>
    <s v="no test"/>
    <s v="no test"/>
    <x v="1"/>
    <n v="0"/>
    <n v="2"/>
    <n v="0"/>
    <n v="0"/>
    <n v="0"/>
    <n v="1"/>
    <n v="1"/>
    <n v="1"/>
    <n v="161"/>
    <n v="0"/>
    <n v="0"/>
    <n v="1"/>
    <n v="161"/>
    <n v="0.32200000000000001"/>
    <n v="0"/>
    <n v="0"/>
    <n v="0.67799999999999994"/>
    <n v="1"/>
    <n v="6"/>
    <n v="0.74534161490683226"/>
    <n v="120"/>
    <n v="0"/>
    <n v="0"/>
    <n v="8"/>
    <n v="2"/>
    <n v="0.25465838509316774"/>
    <n v="0"/>
    <n v="161"/>
    <n v="0"/>
    <n v="0"/>
    <n v="0"/>
    <n v="161"/>
    <n v="1"/>
    <n v="0"/>
    <n v="1"/>
    <n v="0"/>
    <n v="0"/>
    <n v="0"/>
    <n v="0"/>
    <n v="0"/>
    <n v="0"/>
    <x v="0"/>
    <n v="0"/>
    <n v="0"/>
    <x v="0"/>
    <x v="0"/>
    <x v="0"/>
    <n v="0"/>
    <n v="0"/>
    <n v="0"/>
    <x v="0"/>
    <m/>
  </r>
  <r>
    <x v="0"/>
    <x v="4"/>
    <x v="4"/>
    <s v="ADRA/CANADA"/>
    <x v="0"/>
    <x v="7"/>
    <x v="0"/>
    <x v="103"/>
    <n v="6"/>
    <n v="36"/>
    <d v="2019-04-01T00:00:00"/>
    <d v="2019-07-31T00:00:00"/>
    <m/>
    <m/>
    <m/>
    <m/>
    <s v="Yes"/>
    <m/>
    <m/>
    <n v="0"/>
    <m/>
    <m/>
    <n v="1"/>
    <m/>
    <m/>
    <m/>
    <m/>
    <m/>
    <m/>
    <m/>
    <m/>
    <m/>
    <m/>
    <n v="3"/>
    <m/>
    <m/>
    <m/>
    <m/>
    <m/>
    <m/>
    <m/>
    <n v="2"/>
    <m/>
    <m/>
    <m/>
    <m/>
    <m/>
    <m/>
    <n v="2"/>
    <x v="0"/>
    <x v="0"/>
    <m/>
    <m/>
    <m/>
    <m/>
    <m/>
    <m/>
    <m/>
    <n v="0"/>
    <m/>
    <m/>
    <n v="1"/>
    <m/>
    <m/>
    <m/>
    <m/>
    <m/>
    <m/>
    <s v="no test"/>
    <s v="no test"/>
    <x v="1"/>
    <n v="0"/>
    <n v="1"/>
    <n v="0"/>
    <n v="0"/>
    <n v="0"/>
    <n v="1"/>
    <n v="1"/>
    <n v="1"/>
    <n v="36"/>
    <n v="0"/>
    <n v="0"/>
    <n v="1"/>
    <n v="36"/>
    <n v="7.1999999999999995E-2"/>
    <n v="0"/>
    <n v="0"/>
    <n v="0.92800000000000005"/>
    <n v="1"/>
    <n v="2"/>
    <n v="1"/>
    <n v="36"/>
    <n v="0"/>
    <n v="0"/>
    <n v="2"/>
    <n v="0"/>
    <n v="0"/>
    <n v="0"/>
    <n v="36"/>
    <n v="0"/>
    <n v="0"/>
    <n v="0"/>
    <n v="36"/>
    <n v="1"/>
    <n v="0"/>
    <n v="1"/>
    <n v="0"/>
    <n v="0"/>
    <n v="0"/>
    <n v="0"/>
    <n v="0"/>
    <n v="0"/>
    <x v="0"/>
    <n v="0"/>
    <n v="0"/>
    <x v="0"/>
    <x v="2"/>
    <x v="0"/>
    <n v="0"/>
    <n v="0"/>
    <n v="0"/>
    <x v="0"/>
    <m/>
  </r>
  <r>
    <x v="0"/>
    <x v="5"/>
    <x v="5"/>
    <s v="DFID"/>
    <x v="0"/>
    <x v="3"/>
    <x v="1"/>
    <x v="104"/>
    <n v="22"/>
    <n v="92"/>
    <d v="2018-08-01T00:00:00"/>
    <d v="2020-07-31T00:00:00"/>
    <m/>
    <n v="1"/>
    <m/>
    <m/>
    <s v="Yes"/>
    <n v="3"/>
    <n v="7"/>
    <n v="1"/>
    <n v="1"/>
    <m/>
    <n v="1"/>
    <n v="1"/>
    <n v="0"/>
    <m/>
    <m/>
    <m/>
    <m/>
    <m/>
    <m/>
    <m/>
    <m/>
    <m/>
    <m/>
    <m/>
    <m/>
    <m/>
    <m/>
    <m/>
    <m/>
    <n v="5"/>
    <n v="5"/>
    <m/>
    <n v="0"/>
    <n v="0"/>
    <n v="2"/>
    <m/>
    <m/>
    <x v="0"/>
    <x v="3"/>
    <m/>
    <m/>
    <m/>
    <m/>
    <n v="2"/>
    <n v="1"/>
    <n v="0"/>
    <n v="0"/>
    <n v="0"/>
    <n v="0"/>
    <n v="0"/>
    <n v="0"/>
    <n v="0"/>
    <s v="No"/>
    <n v="0"/>
    <n v="0"/>
    <m/>
    <s v="no test"/>
    <s v="no test"/>
    <x v="1"/>
    <n v="0"/>
    <n v="2"/>
    <n v="0"/>
    <n v="0"/>
    <n v="0"/>
    <n v="1"/>
    <n v="1"/>
    <n v="1"/>
    <n v="92"/>
    <n v="0"/>
    <n v="0"/>
    <n v="1"/>
    <n v="92"/>
    <n v="0.184"/>
    <n v="0"/>
    <n v="0"/>
    <n v="0.81600000000000006"/>
    <n v="1"/>
    <n v="10"/>
    <n v="1"/>
    <n v="92"/>
    <n v="40"/>
    <n v="0"/>
    <n v="5"/>
    <n v="0"/>
    <n v="0"/>
    <n v="0"/>
    <n v="0"/>
    <n v="0"/>
    <n v="0"/>
    <n v="0"/>
    <n v="0"/>
    <n v="0"/>
    <n v="1"/>
    <n v="0"/>
    <n v="0"/>
    <n v="0"/>
    <n v="1"/>
    <n v="20"/>
    <n v="0"/>
    <n v="92"/>
    <x v="0"/>
    <s v="Yes"/>
    <s v="Shalom"/>
    <x v="0"/>
    <x v="0"/>
    <x v="0"/>
    <n v="25.374343974359"/>
    <n v="97.2843958974359"/>
    <s v="MMR001CMP020"/>
    <x v="0"/>
    <m/>
  </r>
  <r>
    <x v="0"/>
    <x v="5"/>
    <x v="5"/>
    <s v="DFID"/>
    <x v="0"/>
    <x v="3"/>
    <x v="1"/>
    <x v="105"/>
    <n v="21"/>
    <n v="123"/>
    <d v="2018-08-01T00:00:00"/>
    <d v="2020-07-31T00:00:00"/>
    <m/>
    <n v="1"/>
    <m/>
    <m/>
    <s v="Yes"/>
    <n v="1"/>
    <n v="4"/>
    <n v="0"/>
    <m/>
    <m/>
    <n v="1"/>
    <n v="1"/>
    <n v="1"/>
    <m/>
    <m/>
    <m/>
    <m/>
    <m/>
    <m/>
    <m/>
    <n v="1"/>
    <n v="1"/>
    <m/>
    <m/>
    <m/>
    <m/>
    <m/>
    <m/>
    <m/>
    <n v="3"/>
    <n v="3"/>
    <s v="Oxfam"/>
    <n v="1"/>
    <n v="1"/>
    <n v="2"/>
    <m/>
    <m/>
    <x v="0"/>
    <x v="3"/>
    <m/>
    <m/>
    <m/>
    <m/>
    <n v="1"/>
    <n v="0"/>
    <n v="0"/>
    <n v="2"/>
    <n v="0"/>
    <n v="1"/>
    <n v="0"/>
    <n v="0"/>
    <n v="0"/>
    <s v="No"/>
    <n v="0"/>
    <n v="0"/>
    <m/>
    <s v="no test"/>
    <s v="no test"/>
    <x v="1"/>
    <n v="0"/>
    <n v="1"/>
    <n v="0"/>
    <n v="0"/>
    <n v="0"/>
    <n v="1"/>
    <n v="1"/>
    <n v="1"/>
    <n v="123"/>
    <n v="0"/>
    <n v="0"/>
    <n v="1"/>
    <n v="123"/>
    <n v="0.246"/>
    <n v="0"/>
    <n v="0"/>
    <n v="0.754"/>
    <n v="1"/>
    <n v="5"/>
    <n v="0.81300813008130079"/>
    <n v="100"/>
    <n v="40"/>
    <n v="0"/>
    <n v="6"/>
    <n v="0"/>
    <n v="0.18699186991869921"/>
    <n v="0.16666666666666666"/>
    <n v="123"/>
    <n v="0"/>
    <n v="0"/>
    <n v="0"/>
    <n v="123"/>
    <n v="1"/>
    <n v="0"/>
    <n v="1"/>
    <n v="0"/>
    <n v="0"/>
    <n v="1"/>
    <n v="20"/>
    <n v="0"/>
    <n v="100"/>
    <x v="0"/>
    <s v="Yes"/>
    <s v="Shalom"/>
    <x v="0"/>
    <x v="0"/>
    <x v="0"/>
    <n v="25.371049444444399"/>
    <n v="97.290952037037002"/>
    <s v="MMR001CMP021"/>
    <x v="0"/>
    <m/>
  </r>
  <r>
    <x v="0"/>
    <x v="3"/>
    <x v="3"/>
    <s v="DFID(HARP)/UNICEF"/>
    <x v="0"/>
    <x v="5"/>
    <x v="1"/>
    <x v="106"/>
    <n v="57"/>
    <n v="264"/>
    <s v="1-Jan-2019 / 1-Dec-2018"/>
    <s v="31-3-2019 / 30-Nov-2019"/>
    <n v="148"/>
    <m/>
    <m/>
    <m/>
    <s v="Yes"/>
    <m/>
    <m/>
    <m/>
    <m/>
    <m/>
    <m/>
    <m/>
    <m/>
    <m/>
    <n v="1"/>
    <m/>
    <m/>
    <m/>
    <m/>
    <m/>
    <m/>
    <m/>
    <m/>
    <m/>
    <m/>
    <m/>
    <m/>
    <m/>
    <m/>
    <n v="28"/>
    <m/>
    <m/>
    <m/>
    <m/>
    <m/>
    <m/>
    <m/>
    <x v="0"/>
    <x v="0"/>
    <n v="2"/>
    <m/>
    <m/>
    <m/>
    <m/>
    <m/>
    <m/>
    <n v="2"/>
    <m/>
    <n v="1"/>
    <m/>
    <n v="30"/>
    <m/>
    <s v="No"/>
    <m/>
    <m/>
    <m/>
    <s v="no test"/>
    <s v="no test"/>
    <x v="1"/>
    <n v="0"/>
    <n v="0"/>
    <n v="1"/>
    <n v="0"/>
    <n v="0"/>
    <n v="0.25252525252525254"/>
    <n v="0.25252525252525254"/>
    <n v="0.25252525252525254"/>
    <n v="66.666666666666671"/>
    <n v="0"/>
    <n v="0"/>
    <n v="0.25252525252525254"/>
    <n v="66.666666666666671"/>
    <n v="0.13333333333333333"/>
    <n v="0.7474747474747474"/>
    <n v="197.33333333333331"/>
    <n v="0.8666666666666667"/>
    <n v="1"/>
    <n v="28"/>
    <n v="1"/>
    <n v="264"/>
    <n v="0"/>
    <n v="0"/>
    <n v="13"/>
    <n v="0"/>
    <n v="0"/>
    <n v="0"/>
    <n v="264"/>
    <n v="150"/>
    <n v="0"/>
    <n v="150"/>
    <n v="264"/>
    <n v="1"/>
    <n v="0"/>
    <n v="1"/>
    <n v="0.52631578947368418"/>
    <n v="0"/>
    <n v="0"/>
    <n v="0"/>
    <n v="0"/>
    <n v="0"/>
    <x v="1"/>
    <s v="Yes"/>
    <s v="KMSS-MYT"/>
    <x v="0"/>
    <x v="0"/>
    <x v="0"/>
    <n v="25.60867"/>
    <n v="98.377780000000001"/>
    <s v="MMR001CMP210"/>
    <x v="0"/>
    <m/>
  </r>
  <r>
    <x v="0"/>
    <x v="4"/>
    <x v="4"/>
    <s v="ADRA/CANADA"/>
    <x v="0"/>
    <x v="7"/>
    <x v="1"/>
    <x v="107"/>
    <n v="105"/>
    <n v="474"/>
    <d v="2019-04-01T00:00:00"/>
    <d v="2019-07-31T00:00:00"/>
    <m/>
    <m/>
    <m/>
    <m/>
    <s v="Yes"/>
    <m/>
    <m/>
    <n v="1"/>
    <m/>
    <m/>
    <n v="0"/>
    <m/>
    <m/>
    <m/>
    <m/>
    <m/>
    <m/>
    <m/>
    <m/>
    <m/>
    <m/>
    <n v="2"/>
    <m/>
    <m/>
    <m/>
    <m/>
    <m/>
    <m/>
    <m/>
    <n v="12"/>
    <m/>
    <m/>
    <m/>
    <m/>
    <m/>
    <m/>
    <n v="12"/>
    <x v="0"/>
    <x v="0"/>
    <m/>
    <m/>
    <m/>
    <m/>
    <m/>
    <m/>
    <m/>
    <n v="3"/>
    <m/>
    <m/>
    <n v="2"/>
    <m/>
    <m/>
    <m/>
    <m/>
    <m/>
    <m/>
    <s v="no test"/>
    <s v="no test"/>
    <x v="1"/>
    <n v="1"/>
    <n v="0"/>
    <n v="0"/>
    <n v="0"/>
    <n v="0"/>
    <n v="0.84388185654008441"/>
    <n v="0.52742616033755274"/>
    <n v="0.84388185654008441"/>
    <n v="400"/>
    <n v="0"/>
    <n v="0"/>
    <n v="0.84388185654008441"/>
    <n v="400"/>
    <n v="0.8"/>
    <n v="0.15611814345991559"/>
    <n v="73.999999999999986"/>
    <n v="0.19999999999999996"/>
    <n v="1"/>
    <n v="12"/>
    <n v="0.50632911392405067"/>
    <n v="240"/>
    <n v="0"/>
    <n v="0"/>
    <n v="24"/>
    <n v="12"/>
    <n v="0.49367088607594933"/>
    <n v="0"/>
    <n v="474"/>
    <n v="0"/>
    <n v="0"/>
    <n v="0"/>
    <n v="474"/>
    <n v="1"/>
    <n v="0"/>
    <n v="1"/>
    <n v="0"/>
    <n v="0"/>
    <n v="0"/>
    <n v="0"/>
    <n v="0"/>
    <n v="0"/>
    <x v="0"/>
    <n v="0"/>
    <s v="KBC"/>
    <x v="0"/>
    <x v="0"/>
    <x v="0"/>
    <n v="97.104997409999996"/>
    <n v="25.379014999999999"/>
    <s v="MMR001CMP261"/>
    <x v="0"/>
    <m/>
  </r>
  <r>
    <x v="0"/>
    <x v="3"/>
    <x v="3"/>
    <s v="DFID(HARP)/UNICEF"/>
    <x v="0"/>
    <x v="2"/>
    <x v="1"/>
    <x v="108"/>
    <n v="100"/>
    <n v="612"/>
    <s v="1-Jan-2019 / 1-Dec-2018"/>
    <s v="31-3-2019 / 30-Nov-2019"/>
    <n v="133"/>
    <m/>
    <m/>
    <m/>
    <s v="Yes"/>
    <m/>
    <m/>
    <m/>
    <m/>
    <m/>
    <m/>
    <m/>
    <m/>
    <m/>
    <n v="1"/>
    <m/>
    <m/>
    <m/>
    <m/>
    <m/>
    <m/>
    <m/>
    <m/>
    <m/>
    <m/>
    <m/>
    <m/>
    <m/>
    <m/>
    <n v="98"/>
    <m/>
    <m/>
    <m/>
    <m/>
    <m/>
    <m/>
    <m/>
    <x v="0"/>
    <x v="0"/>
    <n v="3"/>
    <m/>
    <m/>
    <m/>
    <m/>
    <m/>
    <m/>
    <n v="4"/>
    <m/>
    <n v="1"/>
    <n v="1"/>
    <n v="50"/>
    <m/>
    <s v="No"/>
    <m/>
    <m/>
    <m/>
    <s v="no test"/>
    <s v="no test"/>
    <x v="1"/>
    <n v="0"/>
    <n v="0"/>
    <n v="1"/>
    <n v="0"/>
    <n v="0"/>
    <n v="0.10893246187363835"/>
    <n v="0.10893246187363835"/>
    <n v="0.10893246187363835"/>
    <n v="66.666666666666671"/>
    <n v="0"/>
    <n v="0"/>
    <n v="0.10893246187363835"/>
    <n v="66.666666666666671"/>
    <n v="0.13333333333333333"/>
    <n v="0.89106753812636164"/>
    <n v="545.33333333333337"/>
    <n v="0.8666666666666667"/>
    <n v="1"/>
    <n v="98"/>
    <n v="1"/>
    <n v="612"/>
    <n v="0"/>
    <n v="0"/>
    <n v="31"/>
    <n v="0"/>
    <n v="0"/>
    <n v="0"/>
    <n v="612"/>
    <n v="250"/>
    <n v="0"/>
    <n v="250"/>
    <n v="612"/>
    <n v="1"/>
    <n v="0"/>
    <n v="1"/>
    <n v="0.5"/>
    <n v="0"/>
    <n v="0"/>
    <n v="0"/>
    <n v="0"/>
    <n v="0"/>
    <x v="1"/>
    <s v="Yes"/>
    <s v="KMSS-MYT"/>
    <x v="0"/>
    <x v="0"/>
    <x v="1"/>
    <n v="25.265277999999999"/>
    <n v="97.990555999999998"/>
    <s v="MMR001CMP160"/>
    <x v="0"/>
    <m/>
  </r>
  <r>
    <x v="0"/>
    <x v="2"/>
    <x v="2"/>
    <m/>
    <x v="0"/>
    <x v="3"/>
    <x v="1"/>
    <x v="109"/>
    <n v="255"/>
    <n v="1374"/>
    <m/>
    <m/>
    <m/>
    <m/>
    <m/>
    <m/>
    <m/>
    <m/>
    <m/>
    <m/>
    <m/>
    <m/>
    <m/>
    <m/>
    <m/>
    <m/>
    <m/>
    <m/>
    <m/>
    <m/>
    <m/>
    <m/>
    <m/>
    <m/>
    <m/>
    <m/>
    <m/>
    <m/>
    <m/>
    <m/>
    <m/>
    <m/>
    <m/>
    <m/>
    <m/>
    <m/>
    <m/>
    <m/>
    <m/>
    <x v="1"/>
    <x v="1"/>
    <m/>
    <m/>
    <m/>
    <m/>
    <m/>
    <m/>
    <m/>
    <m/>
    <m/>
    <m/>
    <m/>
    <m/>
    <m/>
    <m/>
    <m/>
    <m/>
    <m/>
    <s v="no test"/>
    <s v="no test"/>
    <x v="1"/>
    <n v="0"/>
    <n v="0"/>
    <n v="0"/>
    <n v="0"/>
    <n v="0"/>
    <n v="0"/>
    <n v="0"/>
    <n v="0"/>
    <n v="0"/>
    <n v="0"/>
    <n v="0"/>
    <n v="0"/>
    <n v="0"/>
    <n v="0"/>
    <n v="1"/>
    <n v="1374"/>
    <n v="3"/>
    <n v="3"/>
    <n v="0"/>
    <n v="0"/>
    <n v="0"/>
    <n v="0"/>
    <n v="0"/>
    <n v="69"/>
    <n v="69"/>
    <n v="1"/>
    <n v="0"/>
    <n v="0"/>
    <n v="0"/>
    <n v="0"/>
    <n v="0"/>
    <n v="0"/>
    <n v="0"/>
    <n v="1"/>
    <n v="0"/>
    <n v="0"/>
    <n v="0"/>
    <n v="0"/>
    <n v="0"/>
    <n v="0"/>
    <n v="0"/>
    <x v="0"/>
    <s v="Yes"/>
    <s v="KMSS-MYT"/>
    <x v="0"/>
    <x v="0"/>
    <x v="0"/>
    <n v="25.493819999999999"/>
    <n v="97.4345"/>
    <s v="MMR001CMP271"/>
    <x v="1"/>
    <m/>
  </r>
  <r>
    <x v="0"/>
    <x v="4"/>
    <x v="4"/>
    <s v="ADRA/CANADA"/>
    <x v="0"/>
    <x v="7"/>
    <x v="1"/>
    <x v="110"/>
    <n v="10"/>
    <n v="41"/>
    <d v="2019-04-01T00:00:00"/>
    <d v="2019-07-31T00:00:00"/>
    <m/>
    <m/>
    <m/>
    <m/>
    <s v="Yes"/>
    <m/>
    <m/>
    <n v="1"/>
    <m/>
    <m/>
    <n v="0"/>
    <m/>
    <m/>
    <m/>
    <m/>
    <m/>
    <m/>
    <m/>
    <m/>
    <m/>
    <m/>
    <n v="3"/>
    <m/>
    <m/>
    <m/>
    <m/>
    <m/>
    <m/>
    <m/>
    <n v="3"/>
    <m/>
    <m/>
    <m/>
    <m/>
    <m/>
    <m/>
    <n v="3"/>
    <x v="0"/>
    <x v="0"/>
    <m/>
    <m/>
    <m/>
    <m/>
    <m/>
    <m/>
    <m/>
    <n v="2"/>
    <m/>
    <m/>
    <n v="1"/>
    <m/>
    <m/>
    <m/>
    <m/>
    <m/>
    <m/>
    <s v="no test"/>
    <s v="no test"/>
    <x v="1"/>
    <n v="1"/>
    <n v="0"/>
    <n v="0"/>
    <n v="0"/>
    <n v="0"/>
    <n v="1"/>
    <n v="1"/>
    <n v="1"/>
    <n v="41"/>
    <n v="0"/>
    <n v="0"/>
    <n v="1"/>
    <n v="41"/>
    <n v="8.2000000000000003E-2"/>
    <n v="0"/>
    <n v="0"/>
    <n v="0.91800000000000004"/>
    <n v="1"/>
    <n v="3"/>
    <n v="1"/>
    <n v="41"/>
    <n v="0"/>
    <n v="0"/>
    <n v="2"/>
    <n v="0"/>
    <n v="0"/>
    <n v="0"/>
    <n v="41"/>
    <n v="0"/>
    <n v="0"/>
    <n v="0"/>
    <n v="41"/>
    <n v="1"/>
    <n v="0"/>
    <n v="1"/>
    <n v="0"/>
    <n v="0"/>
    <n v="0"/>
    <n v="0"/>
    <n v="0"/>
    <n v="0"/>
    <x v="0"/>
    <s v="Yes"/>
    <s v="KBC"/>
    <x v="0"/>
    <x v="0"/>
    <x v="0"/>
    <n v="25.30442"/>
    <n v="96.948740000000001"/>
    <s v="MMR001CMP079"/>
    <x v="0"/>
    <m/>
  </r>
  <r>
    <x v="0"/>
    <x v="5"/>
    <x v="5"/>
    <s v="DFID"/>
    <x v="0"/>
    <x v="3"/>
    <x v="1"/>
    <x v="111"/>
    <n v="24"/>
    <n v="111"/>
    <d v="2018-08-01T00:00:00"/>
    <d v="2020-07-31T00:00:00"/>
    <m/>
    <n v="1"/>
    <m/>
    <m/>
    <s v="Yes"/>
    <n v="1"/>
    <n v="3"/>
    <n v="1"/>
    <m/>
    <m/>
    <n v="0"/>
    <n v="0"/>
    <n v="0"/>
    <m/>
    <m/>
    <m/>
    <m/>
    <m/>
    <m/>
    <m/>
    <m/>
    <m/>
    <m/>
    <m/>
    <m/>
    <m/>
    <m/>
    <m/>
    <m/>
    <n v="2"/>
    <n v="5"/>
    <s v="Chruch"/>
    <n v="1"/>
    <n v="1"/>
    <n v="2"/>
    <m/>
    <m/>
    <x v="0"/>
    <x v="3"/>
    <m/>
    <m/>
    <m/>
    <m/>
    <n v="2"/>
    <n v="0"/>
    <n v="0"/>
    <n v="0"/>
    <n v="0"/>
    <n v="0"/>
    <n v="0"/>
    <n v="0"/>
    <n v="0"/>
    <s v="No"/>
    <n v="0"/>
    <n v="0"/>
    <m/>
    <s v="no test"/>
    <s v="no test"/>
    <x v="1"/>
    <n v="1"/>
    <n v="0"/>
    <n v="0"/>
    <n v="0"/>
    <n v="0"/>
    <n v="1"/>
    <n v="1"/>
    <n v="1"/>
    <n v="111"/>
    <n v="0"/>
    <n v="0"/>
    <n v="1"/>
    <n v="111"/>
    <n v="0.222"/>
    <n v="0"/>
    <n v="0"/>
    <n v="0.77800000000000002"/>
    <n v="1"/>
    <n v="6"/>
    <n v="1"/>
    <n v="111"/>
    <n v="40"/>
    <n v="0"/>
    <n v="6"/>
    <n v="0"/>
    <n v="0"/>
    <n v="0.14285714285714285"/>
    <n v="0"/>
    <n v="0"/>
    <n v="0"/>
    <n v="0"/>
    <n v="0"/>
    <n v="0"/>
    <n v="1"/>
    <n v="0"/>
    <n v="0"/>
    <n v="0"/>
    <n v="2"/>
    <n v="24"/>
    <n v="0"/>
    <n v="111"/>
    <x v="0"/>
    <s v="Yes"/>
    <s v="Shalom"/>
    <x v="0"/>
    <x v="0"/>
    <x v="0"/>
    <n v="25.423817"/>
    <n v="97.418004999999994"/>
    <s v="MMR001CMP007"/>
    <x v="0"/>
    <m/>
  </r>
  <r>
    <x v="0"/>
    <x v="4"/>
    <x v="4"/>
    <s v="ADRA/CANADA"/>
    <x v="0"/>
    <x v="8"/>
    <x v="1"/>
    <x v="112"/>
    <n v="22"/>
    <n v="113"/>
    <d v="2019-04-01T00:00:00"/>
    <d v="2019-07-31T00:00:00"/>
    <m/>
    <m/>
    <m/>
    <m/>
    <s v="Yes"/>
    <m/>
    <m/>
    <n v="0"/>
    <m/>
    <m/>
    <n v="3"/>
    <m/>
    <m/>
    <m/>
    <m/>
    <m/>
    <m/>
    <m/>
    <m/>
    <m/>
    <m/>
    <n v="0"/>
    <m/>
    <m/>
    <m/>
    <m/>
    <m/>
    <m/>
    <m/>
    <n v="5"/>
    <m/>
    <m/>
    <m/>
    <m/>
    <m/>
    <m/>
    <m/>
    <x v="0"/>
    <x v="3"/>
    <m/>
    <m/>
    <m/>
    <m/>
    <m/>
    <m/>
    <m/>
    <n v="2"/>
    <m/>
    <m/>
    <n v="1"/>
    <m/>
    <m/>
    <m/>
    <m/>
    <m/>
    <m/>
    <s v="no test"/>
    <s v="no test"/>
    <x v="1"/>
    <n v="0"/>
    <n v="3"/>
    <n v="0"/>
    <n v="0"/>
    <n v="0"/>
    <n v="1"/>
    <n v="1"/>
    <n v="1"/>
    <n v="113"/>
    <n v="0"/>
    <n v="0"/>
    <n v="1"/>
    <n v="113"/>
    <n v="0.22600000000000001"/>
    <n v="0"/>
    <n v="0"/>
    <n v="0.77400000000000002"/>
    <n v="1"/>
    <n v="5"/>
    <n v="0.88495575221238942"/>
    <n v="100"/>
    <n v="0"/>
    <n v="0"/>
    <n v="6"/>
    <n v="1"/>
    <n v="0.11504424778761058"/>
    <n v="0"/>
    <n v="113"/>
    <n v="0"/>
    <n v="0"/>
    <n v="0"/>
    <n v="113"/>
    <n v="1"/>
    <n v="0"/>
    <n v="1"/>
    <n v="0"/>
    <n v="0"/>
    <n v="0"/>
    <n v="0"/>
    <n v="0"/>
    <n v="0"/>
    <x v="0"/>
    <s v="Yes"/>
    <s v="KBC"/>
    <x v="0"/>
    <x v="0"/>
    <x v="0"/>
    <n v="24.998349999999999"/>
    <n v="96.364949999999993"/>
    <s v="MMR001CMP152"/>
    <x v="0"/>
    <m/>
  </r>
  <r>
    <x v="0"/>
    <x v="4"/>
    <x v="4"/>
    <s v="ADRA/CANADA"/>
    <x v="0"/>
    <x v="11"/>
    <x v="1"/>
    <x v="113"/>
    <n v="127"/>
    <n v="547"/>
    <d v="2019-04-01T00:00:00"/>
    <d v="2019-07-31T00:00:00"/>
    <m/>
    <m/>
    <m/>
    <n v="30"/>
    <s v="Yes"/>
    <m/>
    <m/>
    <n v="0"/>
    <m/>
    <m/>
    <n v="0"/>
    <m/>
    <m/>
    <m/>
    <n v="1"/>
    <n v="1"/>
    <m/>
    <m/>
    <m/>
    <m/>
    <m/>
    <n v="0"/>
    <m/>
    <m/>
    <m/>
    <m/>
    <m/>
    <m/>
    <m/>
    <n v="74"/>
    <m/>
    <m/>
    <m/>
    <m/>
    <m/>
    <m/>
    <n v="74"/>
    <x v="0"/>
    <x v="0"/>
    <m/>
    <m/>
    <m/>
    <m/>
    <m/>
    <m/>
    <m/>
    <n v="0"/>
    <m/>
    <m/>
    <n v="2"/>
    <m/>
    <m/>
    <m/>
    <m/>
    <m/>
    <m/>
    <s v="no test"/>
    <s v="no test"/>
    <x v="1"/>
    <n v="0"/>
    <n v="0"/>
    <n v="0"/>
    <n v="0"/>
    <n v="0"/>
    <n v="0"/>
    <n v="0"/>
    <n v="0"/>
    <n v="0"/>
    <n v="0"/>
    <n v="0"/>
    <n v="0"/>
    <n v="0"/>
    <n v="0"/>
    <n v="1"/>
    <n v="547"/>
    <n v="1"/>
    <n v="1"/>
    <n v="74"/>
    <n v="1"/>
    <n v="547"/>
    <n v="0"/>
    <n v="0"/>
    <n v="27"/>
    <n v="0"/>
    <n v="0"/>
    <n v="0"/>
    <n v="547"/>
    <n v="0"/>
    <n v="0"/>
    <n v="0"/>
    <n v="547"/>
    <n v="1"/>
    <n v="0"/>
    <n v="1"/>
    <n v="0"/>
    <n v="0"/>
    <n v="0"/>
    <n v="0"/>
    <n v="0"/>
    <n v="0"/>
    <x v="0"/>
    <s v="Yes"/>
    <s v="KBC-MYT"/>
    <x v="0"/>
    <x v="0"/>
    <x v="1"/>
    <n v="26.569633"/>
    <n v="97.745480999999998"/>
    <s v="MMR001CMP238"/>
    <x v="0"/>
    <m/>
  </r>
  <r>
    <x v="0"/>
    <x v="5"/>
    <x v="5"/>
    <s v="DFID"/>
    <x v="0"/>
    <x v="3"/>
    <x v="1"/>
    <x v="114"/>
    <n v="54"/>
    <n v="253"/>
    <d v="2018-08-01T00:00:00"/>
    <d v="2020-07-31T00:00:00"/>
    <m/>
    <n v="1"/>
    <m/>
    <m/>
    <s v="Yes"/>
    <n v="2"/>
    <n v="3"/>
    <n v="1"/>
    <m/>
    <m/>
    <n v="4"/>
    <n v="0"/>
    <n v="0"/>
    <m/>
    <m/>
    <m/>
    <m/>
    <m/>
    <m/>
    <m/>
    <m/>
    <m/>
    <m/>
    <m/>
    <m/>
    <m/>
    <m/>
    <m/>
    <m/>
    <n v="18"/>
    <n v="0"/>
    <m/>
    <n v="0"/>
    <n v="0"/>
    <n v="10"/>
    <m/>
    <m/>
    <x v="0"/>
    <x v="0"/>
    <m/>
    <n v="1"/>
    <m/>
    <m/>
    <n v="3"/>
    <n v="0"/>
    <m/>
    <n v="4"/>
    <n v="0"/>
    <n v="2"/>
    <n v="3"/>
    <n v="0"/>
    <n v="0"/>
    <s v="No"/>
    <n v="0"/>
    <n v="0"/>
    <m/>
    <s v="no test"/>
    <s v="no test"/>
    <x v="1"/>
    <n v="1"/>
    <n v="4"/>
    <n v="0"/>
    <n v="0"/>
    <n v="0"/>
    <n v="1"/>
    <n v="1"/>
    <n v="1"/>
    <n v="253"/>
    <n v="0"/>
    <n v="0"/>
    <n v="1"/>
    <n v="253"/>
    <n v="0.50600000000000001"/>
    <n v="0"/>
    <n v="0"/>
    <n v="0.49399999999999999"/>
    <n v="1"/>
    <n v="18"/>
    <n v="1"/>
    <n v="253"/>
    <n v="200"/>
    <n v="0"/>
    <n v="13"/>
    <n v="0"/>
    <n v="0"/>
    <n v="0"/>
    <n v="253"/>
    <n v="0"/>
    <n v="0"/>
    <n v="0"/>
    <n v="253"/>
    <n v="1"/>
    <n v="0"/>
    <n v="1"/>
    <n v="0"/>
    <n v="0"/>
    <n v="3"/>
    <n v="54"/>
    <n v="0"/>
    <n v="253"/>
    <x v="0"/>
    <s v="Yes"/>
    <s v="Shalom"/>
    <x v="0"/>
    <x v="0"/>
    <x v="0"/>
    <n v="25.423209"/>
    <n v="97.379987"/>
    <s v="MMR001CMP023"/>
    <x v="0"/>
    <m/>
  </r>
  <r>
    <x v="0"/>
    <x v="5"/>
    <x v="5"/>
    <s v="DFID"/>
    <x v="0"/>
    <x v="3"/>
    <x v="1"/>
    <x v="115"/>
    <n v="16"/>
    <n v="77"/>
    <d v="2018-08-01T00:00:00"/>
    <d v="2020-07-31T00:00:00"/>
    <m/>
    <n v="1"/>
    <m/>
    <m/>
    <s v="Yes"/>
    <n v="0"/>
    <n v="3"/>
    <n v="1"/>
    <m/>
    <m/>
    <n v="3"/>
    <n v="3"/>
    <n v="1"/>
    <m/>
    <m/>
    <m/>
    <m/>
    <m/>
    <m/>
    <m/>
    <m/>
    <n v="0"/>
    <m/>
    <m/>
    <m/>
    <m/>
    <m/>
    <m/>
    <m/>
    <n v="7"/>
    <n v="4"/>
    <s v="Chruch"/>
    <n v="1"/>
    <n v="1"/>
    <n v="2"/>
    <m/>
    <m/>
    <x v="0"/>
    <x v="3"/>
    <m/>
    <m/>
    <m/>
    <m/>
    <n v="2"/>
    <n v="0"/>
    <n v="0"/>
    <n v="2"/>
    <n v="0"/>
    <n v="0"/>
    <n v="0"/>
    <n v="0"/>
    <n v="0"/>
    <s v="No"/>
    <n v="0"/>
    <n v="0"/>
    <m/>
    <s v="no test"/>
    <s v="no test"/>
    <x v="1"/>
    <n v="1"/>
    <n v="5"/>
    <n v="0"/>
    <n v="0"/>
    <n v="0"/>
    <n v="1"/>
    <n v="1"/>
    <n v="1"/>
    <n v="77"/>
    <n v="0"/>
    <n v="0"/>
    <n v="1"/>
    <n v="77"/>
    <n v="0.154"/>
    <n v="0"/>
    <n v="0"/>
    <n v="0.84599999999999997"/>
    <n v="1"/>
    <n v="10"/>
    <n v="1"/>
    <n v="77"/>
    <n v="40"/>
    <n v="0"/>
    <n v="4"/>
    <n v="0"/>
    <n v="0"/>
    <n v="9.0909090909090912E-2"/>
    <n v="0"/>
    <n v="0"/>
    <n v="0"/>
    <n v="0"/>
    <n v="0"/>
    <n v="0"/>
    <n v="1"/>
    <n v="0"/>
    <n v="0"/>
    <n v="0"/>
    <n v="2"/>
    <n v="16"/>
    <n v="0"/>
    <n v="77"/>
    <x v="0"/>
    <s v="Yes"/>
    <s v="Shalom"/>
    <x v="0"/>
    <x v="0"/>
    <x v="0"/>
    <n v="25.417733999999999"/>
    <n v="97.389778000000007"/>
    <s v="MMR001CMP004"/>
    <x v="0"/>
    <m/>
  </r>
  <r>
    <x v="0"/>
    <x v="4"/>
    <x v="4"/>
    <s v="Plan/GFFO,ADRA/CANADA  "/>
    <x v="0"/>
    <x v="3"/>
    <x v="1"/>
    <x v="116"/>
    <n v="67"/>
    <n v="281"/>
    <d v="2019-04-01T00:00:00"/>
    <d v="2019-07-31T00:00:00"/>
    <m/>
    <m/>
    <m/>
    <m/>
    <s v="Yes"/>
    <m/>
    <m/>
    <n v="1"/>
    <m/>
    <m/>
    <n v="2"/>
    <m/>
    <m/>
    <m/>
    <m/>
    <m/>
    <m/>
    <m/>
    <m/>
    <m/>
    <m/>
    <n v="3"/>
    <m/>
    <m/>
    <m/>
    <m/>
    <m/>
    <m/>
    <m/>
    <n v="15"/>
    <m/>
    <m/>
    <m/>
    <m/>
    <n v="0"/>
    <m/>
    <n v="15"/>
    <x v="0"/>
    <x v="0"/>
    <m/>
    <m/>
    <m/>
    <m/>
    <m/>
    <m/>
    <m/>
    <n v="2"/>
    <m/>
    <m/>
    <n v="1"/>
    <m/>
    <m/>
    <m/>
    <m/>
    <m/>
    <m/>
    <s v="no test"/>
    <s v="no test"/>
    <x v="1"/>
    <n v="1"/>
    <n v="2"/>
    <n v="0"/>
    <n v="0"/>
    <n v="0"/>
    <n v="1"/>
    <n v="1"/>
    <n v="1"/>
    <n v="281"/>
    <n v="0"/>
    <n v="0"/>
    <n v="1"/>
    <n v="281"/>
    <n v="0.56200000000000006"/>
    <n v="0"/>
    <n v="0"/>
    <n v="0.43799999999999994"/>
    <n v="1"/>
    <n v="15"/>
    <n v="1"/>
    <n v="281"/>
    <n v="0"/>
    <n v="0"/>
    <n v="14"/>
    <n v="0"/>
    <n v="0"/>
    <n v="0"/>
    <n v="281"/>
    <n v="0"/>
    <n v="0"/>
    <n v="0"/>
    <n v="281"/>
    <n v="1"/>
    <n v="0"/>
    <n v="1"/>
    <n v="0"/>
    <n v="0"/>
    <n v="0"/>
    <n v="0"/>
    <n v="0"/>
    <n v="0"/>
    <x v="0"/>
    <s v="Yes"/>
    <s v="KBC-MYT"/>
    <x v="0"/>
    <x v="0"/>
    <x v="0"/>
    <n v="25.422194000000001"/>
    <n v="97.394547000000003"/>
    <s v="MMR001CMP002"/>
    <x v="0"/>
    <m/>
  </r>
  <r>
    <x v="0"/>
    <x v="4"/>
    <x v="4"/>
    <s v="ADRA/CANADA"/>
    <x v="0"/>
    <x v="2"/>
    <x v="1"/>
    <x v="117"/>
    <n v="178"/>
    <n v="846"/>
    <d v="2019-04-01T00:00:00"/>
    <d v="2019-07-31T00:00:00"/>
    <m/>
    <m/>
    <m/>
    <m/>
    <s v="Yes"/>
    <m/>
    <m/>
    <n v="0"/>
    <m/>
    <m/>
    <n v="0"/>
    <m/>
    <m/>
    <m/>
    <n v="3"/>
    <m/>
    <m/>
    <m/>
    <m/>
    <m/>
    <m/>
    <n v="0"/>
    <m/>
    <m/>
    <m/>
    <m/>
    <m/>
    <m/>
    <m/>
    <n v="150"/>
    <m/>
    <m/>
    <m/>
    <m/>
    <m/>
    <m/>
    <n v="150"/>
    <x v="0"/>
    <x v="0"/>
    <m/>
    <m/>
    <m/>
    <m/>
    <m/>
    <m/>
    <m/>
    <n v="4"/>
    <m/>
    <m/>
    <n v="3"/>
    <m/>
    <m/>
    <m/>
    <m/>
    <m/>
    <m/>
    <s v="no test"/>
    <s v="no test"/>
    <x v="1"/>
    <n v="0"/>
    <n v="0"/>
    <n v="3"/>
    <n v="0"/>
    <n v="0"/>
    <n v="0.2364066193853428"/>
    <n v="0.2364066193853428"/>
    <n v="0.2364066193853428"/>
    <n v="200"/>
    <n v="0"/>
    <n v="0"/>
    <n v="0.2364066193853428"/>
    <n v="200"/>
    <n v="0.4"/>
    <n v="0.7635933806146572"/>
    <n v="646"/>
    <n v="1.6"/>
    <n v="2"/>
    <n v="150"/>
    <n v="1"/>
    <n v="846"/>
    <n v="0"/>
    <n v="0"/>
    <n v="141"/>
    <n v="0"/>
    <n v="0"/>
    <n v="0"/>
    <n v="846"/>
    <n v="0"/>
    <n v="0"/>
    <n v="0"/>
    <n v="846"/>
    <n v="1"/>
    <n v="0"/>
    <n v="1"/>
    <n v="0"/>
    <n v="0"/>
    <n v="0"/>
    <n v="0"/>
    <n v="0"/>
    <n v="0"/>
    <x v="0"/>
    <s v="Yes"/>
    <s v="KBC-MYT"/>
    <x v="1"/>
    <x v="0"/>
    <x v="1"/>
    <n v="24.831944"/>
    <n v="97.751389000000003"/>
    <s v="MMR001CMP120"/>
    <x v="0"/>
    <m/>
  </r>
  <r>
    <x v="0"/>
    <x v="4"/>
    <x v="4"/>
    <s v="MHF"/>
    <x v="0"/>
    <x v="4"/>
    <x v="0"/>
    <x v="118"/>
    <n v="228"/>
    <n v="1015"/>
    <m/>
    <d v="2019-10-30T00:00:00"/>
    <m/>
    <m/>
    <m/>
    <m/>
    <m/>
    <m/>
    <m/>
    <n v="13"/>
    <m/>
    <m/>
    <n v="1"/>
    <m/>
    <m/>
    <m/>
    <m/>
    <m/>
    <m/>
    <m/>
    <m/>
    <m/>
    <m/>
    <n v="0"/>
    <m/>
    <m/>
    <m/>
    <m/>
    <m/>
    <m/>
    <m/>
    <n v="16"/>
    <m/>
    <m/>
    <m/>
    <m/>
    <m/>
    <m/>
    <n v="16"/>
    <x v="0"/>
    <x v="4"/>
    <m/>
    <m/>
    <m/>
    <m/>
    <m/>
    <m/>
    <m/>
    <n v="0"/>
    <m/>
    <m/>
    <n v="0"/>
    <m/>
    <m/>
    <m/>
    <m/>
    <m/>
    <m/>
    <s v="no test"/>
    <s v="no test"/>
    <x v="1"/>
    <n v="13"/>
    <n v="1"/>
    <n v="0"/>
    <n v="0"/>
    <n v="0"/>
    <n v="1"/>
    <n v="1"/>
    <n v="1"/>
    <n v="1015"/>
    <n v="0"/>
    <n v="0"/>
    <n v="1"/>
    <n v="1015"/>
    <n v="2.0299999999999998"/>
    <n v="0"/>
    <n v="0"/>
    <n v="0"/>
    <n v="2"/>
    <n v="16"/>
    <n v="0.31527093596059114"/>
    <n v="320"/>
    <n v="0"/>
    <n v="0"/>
    <n v="51"/>
    <n v="35"/>
    <n v="0.68472906403940881"/>
    <n v="0"/>
    <n v="0"/>
    <n v="0"/>
    <n v="0"/>
    <n v="0"/>
    <n v="0"/>
    <n v="0"/>
    <n v="1"/>
    <n v="0"/>
    <n v="0"/>
    <n v="0"/>
    <n v="0"/>
    <n v="0"/>
    <n v="0"/>
    <n v="0"/>
    <x v="0"/>
    <n v="0"/>
    <n v="0"/>
    <x v="0"/>
    <x v="2"/>
    <x v="1"/>
    <n v="0"/>
    <n v="0"/>
    <n v="0"/>
    <x v="0"/>
    <m/>
  </r>
  <r>
    <x v="0"/>
    <x v="4"/>
    <x v="4"/>
    <s v="Plan/GFFO,ADRA/CANADA  "/>
    <x v="0"/>
    <x v="2"/>
    <x v="1"/>
    <x v="119"/>
    <n v="60"/>
    <n v="307"/>
    <d v="2019-04-01T00:00:00"/>
    <d v="2019-07-31T00:00:00"/>
    <m/>
    <m/>
    <m/>
    <m/>
    <s v="Yes"/>
    <m/>
    <m/>
    <n v="1"/>
    <m/>
    <m/>
    <n v="0"/>
    <m/>
    <m/>
    <m/>
    <m/>
    <m/>
    <m/>
    <m/>
    <m/>
    <m/>
    <m/>
    <n v="1"/>
    <m/>
    <m/>
    <m/>
    <m/>
    <m/>
    <m/>
    <m/>
    <n v="10"/>
    <m/>
    <m/>
    <m/>
    <m/>
    <m/>
    <m/>
    <n v="10"/>
    <x v="0"/>
    <x v="0"/>
    <m/>
    <m/>
    <m/>
    <m/>
    <m/>
    <m/>
    <m/>
    <n v="2"/>
    <m/>
    <m/>
    <n v="1"/>
    <m/>
    <m/>
    <m/>
    <m/>
    <m/>
    <m/>
    <s v="no test"/>
    <s v="no test"/>
    <x v="1"/>
    <n v="1"/>
    <n v="0"/>
    <n v="0"/>
    <n v="0"/>
    <n v="0"/>
    <n v="1"/>
    <n v="0.81433224755700329"/>
    <n v="1"/>
    <n v="307"/>
    <n v="0"/>
    <n v="0"/>
    <n v="1"/>
    <n v="307"/>
    <n v="0.61399999999999999"/>
    <n v="0"/>
    <n v="0"/>
    <n v="0.38600000000000001"/>
    <n v="1"/>
    <n v="10"/>
    <n v="0.65146579804560256"/>
    <n v="200"/>
    <n v="0"/>
    <n v="0"/>
    <n v="15"/>
    <n v="5"/>
    <n v="0.34853420195439744"/>
    <n v="0"/>
    <n v="307"/>
    <n v="0"/>
    <n v="0"/>
    <n v="0"/>
    <n v="307"/>
    <n v="1"/>
    <n v="0"/>
    <n v="1"/>
    <n v="0"/>
    <n v="0"/>
    <n v="0"/>
    <n v="0"/>
    <n v="0"/>
    <n v="0"/>
    <x v="0"/>
    <s v="Yes"/>
    <s v="KBC-MYT"/>
    <x v="0"/>
    <x v="0"/>
    <x v="0"/>
    <n v="25.351724999999998"/>
    <n v="97.438432380952406"/>
    <s v="MMR001CMP025"/>
    <x v="0"/>
    <m/>
  </r>
  <r>
    <x v="0"/>
    <x v="2"/>
    <x v="2"/>
    <m/>
    <x v="0"/>
    <x v="10"/>
    <x v="1"/>
    <x v="120"/>
    <n v="10"/>
    <n v="56"/>
    <m/>
    <m/>
    <m/>
    <m/>
    <m/>
    <m/>
    <m/>
    <m/>
    <m/>
    <m/>
    <m/>
    <m/>
    <m/>
    <m/>
    <m/>
    <m/>
    <m/>
    <m/>
    <m/>
    <m/>
    <m/>
    <m/>
    <m/>
    <m/>
    <m/>
    <m/>
    <m/>
    <m/>
    <m/>
    <m/>
    <m/>
    <m/>
    <m/>
    <m/>
    <m/>
    <m/>
    <m/>
    <m/>
    <m/>
    <x v="1"/>
    <x v="1"/>
    <m/>
    <m/>
    <m/>
    <m/>
    <m/>
    <m/>
    <m/>
    <m/>
    <m/>
    <m/>
    <m/>
    <m/>
    <m/>
    <m/>
    <m/>
    <m/>
    <m/>
    <s v="no test"/>
    <s v="no test"/>
    <x v="1"/>
    <n v="0"/>
    <n v="0"/>
    <n v="0"/>
    <n v="0"/>
    <n v="0"/>
    <n v="0"/>
    <n v="0"/>
    <n v="0"/>
    <n v="0"/>
    <n v="0"/>
    <n v="0"/>
    <n v="0"/>
    <n v="0"/>
    <n v="0"/>
    <n v="1"/>
    <n v="56"/>
    <n v="1"/>
    <n v="1"/>
    <n v="0"/>
    <n v="0"/>
    <n v="0"/>
    <n v="0"/>
    <n v="0"/>
    <n v="3"/>
    <n v="3"/>
    <n v="1"/>
    <n v="0"/>
    <n v="0"/>
    <n v="0"/>
    <n v="0"/>
    <n v="0"/>
    <n v="0"/>
    <n v="0"/>
    <n v="1"/>
    <n v="0"/>
    <n v="0"/>
    <n v="0"/>
    <n v="0"/>
    <n v="0"/>
    <n v="0"/>
    <n v="0"/>
    <x v="0"/>
    <n v="0"/>
    <s v="uncovered"/>
    <x v="0"/>
    <x v="1"/>
    <x v="0"/>
    <n v="27.248964999999998"/>
    <n v="97.561105999999995"/>
    <s v="MMR001CMP227"/>
    <x v="1"/>
    <m/>
  </r>
  <r>
    <x v="0"/>
    <x v="4"/>
    <x v="4"/>
    <s v="ADRA/CANADA"/>
    <x v="0"/>
    <x v="11"/>
    <x v="1"/>
    <x v="121"/>
    <n v="63"/>
    <n v="325"/>
    <d v="2019-04-01T00:00:00"/>
    <d v="2019-07-31T00:00:00"/>
    <m/>
    <m/>
    <m/>
    <n v="30"/>
    <s v="Yes"/>
    <m/>
    <m/>
    <n v="0"/>
    <m/>
    <m/>
    <n v="0"/>
    <m/>
    <m/>
    <m/>
    <n v="1"/>
    <n v="1"/>
    <m/>
    <m/>
    <m/>
    <m/>
    <m/>
    <n v="0"/>
    <m/>
    <m/>
    <m/>
    <m/>
    <m/>
    <m/>
    <m/>
    <n v="65"/>
    <m/>
    <m/>
    <m/>
    <m/>
    <m/>
    <m/>
    <n v="65"/>
    <x v="0"/>
    <x v="0"/>
    <m/>
    <m/>
    <m/>
    <m/>
    <m/>
    <m/>
    <m/>
    <n v="0"/>
    <m/>
    <m/>
    <n v="2"/>
    <m/>
    <m/>
    <m/>
    <m/>
    <m/>
    <m/>
    <s v="no test"/>
    <s v="no test"/>
    <x v="1"/>
    <n v="0"/>
    <n v="0"/>
    <n v="0"/>
    <n v="0"/>
    <n v="0"/>
    <n v="0"/>
    <n v="0"/>
    <n v="0"/>
    <n v="0"/>
    <n v="0"/>
    <n v="0"/>
    <n v="0"/>
    <n v="0"/>
    <n v="0"/>
    <n v="1"/>
    <n v="325"/>
    <n v="1"/>
    <n v="1"/>
    <n v="65"/>
    <n v="1"/>
    <n v="325"/>
    <n v="0"/>
    <n v="0"/>
    <n v="16"/>
    <n v="0"/>
    <n v="0"/>
    <n v="0"/>
    <n v="325"/>
    <n v="0"/>
    <n v="0"/>
    <n v="0"/>
    <n v="325"/>
    <n v="1"/>
    <n v="0"/>
    <n v="1"/>
    <n v="0"/>
    <n v="0"/>
    <n v="0"/>
    <n v="0"/>
    <n v="0"/>
    <n v="0"/>
    <x v="0"/>
    <s v="Yes"/>
    <s v="KBC-MYT"/>
    <x v="0"/>
    <x v="0"/>
    <x v="1"/>
    <n v="26.548506"/>
    <n v="97.75609"/>
    <s v="MMR001CMP239"/>
    <x v="0"/>
    <m/>
  </r>
  <r>
    <x v="0"/>
    <x v="2"/>
    <x v="2"/>
    <m/>
    <x v="0"/>
    <x v="10"/>
    <x v="1"/>
    <x v="122"/>
    <n v="14"/>
    <n v="75"/>
    <m/>
    <m/>
    <m/>
    <m/>
    <m/>
    <m/>
    <m/>
    <m/>
    <m/>
    <m/>
    <m/>
    <m/>
    <m/>
    <m/>
    <m/>
    <m/>
    <m/>
    <m/>
    <m/>
    <m/>
    <m/>
    <m/>
    <m/>
    <m/>
    <m/>
    <m/>
    <m/>
    <m/>
    <m/>
    <m/>
    <m/>
    <m/>
    <m/>
    <m/>
    <m/>
    <m/>
    <m/>
    <m/>
    <m/>
    <x v="1"/>
    <x v="1"/>
    <m/>
    <m/>
    <m/>
    <m/>
    <m/>
    <m/>
    <m/>
    <m/>
    <m/>
    <m/>
    <m/>
    <m/>
    <m/>
    <m/>
    <m/>
    <m/>
    <m/>
    <s v="no test"/>
    <s v="no test"/>
    <x v="1"/>
    <n v="0"/>
    <n v="0"/>
    <n v="0"/>
    <n v="0"/>
    <n v="0"/>
    <n v="0"/>
    <n v="0"/>
    <n v="0"/>
    <n v="0"/>
    <n v="0"/>
    <n v="0"/>
    <n v="0"/>
    <n v="0"/>
    <n v="0"/>
    <n v="1"/>
    <n v="75"/>
    <n v="1"/>
    <n v="1"/>
    <n v="0"/>
    <n v="0"/>
    <n v="0"/>
    <n v="0"/>
    <n v="0"/>
    <n v="4"/>
    <n v="4"/>
    <n v="1"/>
    <n v="0"/>
    <n v="0"/>
    <n v="0"/>
    <n v="0"/>
    <n v="0"/>
    <n v="0"/>
    <n v="0"/>
    <n v="1"/>
    <n v="0"/>
    <n v="0"/>
    <n v="0"/>
    <n v="0"/>
    <n v="0"/>
    <n v="0"/>
    <n v="0"/>
    <x v="0"/>
    <n v="0"/>
    <s v="uncovered"/>
    <x v="0"/>
    <x v="1"/>
    <x v="0"/>
    <n v="27.311699999999998"/>
    <n v="97.415289999999999"/>
    <s v="MMR001CMP075"/>
    <x v="1"/>
    <m/>
  </r>
  <r>
    <x v="0"/>
    <x v="4"/>
    <x v="4"/>
    <s v="ADRA/CANADA"/>
    <x v="0"/>
    <x v="7"/>
    <x v="1"/>
    <x v="123"/>
    <n v="28"/>
    <n v="136"/>
    <d v="2019-04-01T00:00:00"/>
    <d v="2019-07-31T00:00:00"/>
    <m/>
    <m/>
    <m/>
    <m/>
    <s v="Yes"/>
    <m/>
    <m/>
    <n v="1"/>
    <m/>
    <m/>
    <n v="1"/>
    <m/>
    <m/>
    <m/>
    <m/>
    <m/>
    <m/>
    <m/>
    <m/>
    <m/>
    <m/>
    <n v="3"/>
    <m/>
    <m/>
    <m/>
    <m/>
    <m/>
    <m/>
    <m/>
    <n v="12"/>
    <m/>
    <m/>
    <m/>
    <m/>
    <m/>
    <m/>
    <n v="12"/>
    <x v="0"/>
    <x v="3"/>
    <m/>
    <m/>
    <m/>
    <m/>
    <m/>
    <m/>
    <m/>
    <n v="2"/>
    <m/>
    <m/>
    <n v="1"/>
    <m/>
    <m/>
    <m/>
    <m/>
    <m/>
    <m/>
    <s v="no test"/>
    <s v="no test"/>
    <x v="1"/>
    <n v="1"/>
    <n v="1"/>
    <n v="0"/>
    <n v="0"/>
    <n v="0"/>
    <n v="1"/>
    <n v="1"/>
    <n v="1"/>
    <n v="136"/>
    <n v="0"/>
    <n v="0"/>
    <n v="1"/>
    <n v="136"/>
    <n v="0.27200000000000002"/>
    <n v="0"/>
    <n v="0"/>
    <n v="0.72799999999999998"/>
    <n v="1"/>
    <n v="12"/>
    <n v="1"/>
    <n v="136"/>
    <n v="0"/>
    <n v="0"/>
    <n v="7"/>
    <n v="0"/>
    <n v="0"/>
    <n v="0"/>
    <n v="136"/>
    <n v="0"/>
    <n v="0"/>
    <n v="0"/>
    <n v="136"/>
    <n v="1"/>
    <n v="0"/>
    <n v="1"/>
    <n v="0"/>
    <n v="0"/>
    <n v="0"/>
    <n v="0"/>
    <n v="0"/>
    <n v="0"/>
    <x v="0"/>
    <s v="Yes"/>
    <s v="KBC"/>
    <x v="0"/>
    <x v="0"/>
    <x v="0"/>
    <n v="25.225000000000001"/>
    <n v="96.793999999999997"/>
    <s v="MMR001CMP236"/>
    <x v="0"/>
    <m/>
  </r>
  <r>
    <x v="0"/>
    <x v="4"/>
    <x v="4"/>
    <s v="Plan/GFFO,ADRA/CANADA  "/>
    <x v="0"/>
    <x v="2"/>
    <x v="1"/>
    <x v="124"/>
    <n v="391"/>
    <n v="1775"/>
    <d v="2019-04-01T00:00:00"/>
    <d v="2019-07-31T00:00:00"/>
    <m/>
    <m/>
    <m/>
    <m/>
    <s v="Yes"/>
    <m/>
    <m/>
    <n v="0"/>
    <m/>
    <m/>
    <n v="0"/>
    <m/>
    <m/>
    <m/>
    <n v="4"/>
    <m/>
    <m/>
    <m/>
    <m/>
    <m/>
    <m/>
    <n v="0"/>
    <m/>
    <m/>
    <m/>
    <m/>
    <m/>
    <m/>
    <m/>
    <n v="391"/>
    <m/>
    <m/>
    <m/>
    <m/>
    <m/>
    <m/>
    <n v="413"/>
    <x v="0"/>
    <x v="0"/>
    <m/>
    <m/>
    <m/>
    <m/>
    <m/>
    <m/>
    <m/>
    <n v="9"/>
    <m/>
    <m/>
    <n v="5"/>
    <m/>
    <m/>
    <m/>
    <m/>
    <m/>
    <m/>
    <s v="no test"/>
    <s v="no test"/>
    <x v="1"/>
    <n v="0"/>
    <n v="0"/>
    <n v="4"/>
    <n v="0"/>
    <n v="0"/>
    <n v="0.15023474178403756"/>
    <n v="0.15023474178403756"/>
    <n v="0.15023474178403756"/>
    <n v="266.66666666666669"/>
    <n v="0"/>
    <n v="0"/>
    <n v="0.15023474178403756"/>
    <n v="266.66666666666669"/>
    <n v="0.53333333333333333"/>
    <n v="0.84976525821596249"/>
    <n v="1508.3333333333335"/>
    <n v="3.4666666666666668"/>
    <n v="4"/>
    <n v="391"/>
    <n v="1"/>
    <n v="1775"/>
    <n v="0"/>
    <n v="0"/>
    <n v="89"/>
    <n v="0"/>
    <n v="0"/>
    <n v="0"/>
    <n v="1775"/>
    <n v="0"/>
    <n v="0"/>
    <n v="0"/>
    <n v="1775"/>
    <n v="1"/>
    <n v="0"/>
    <n v="1"/>
    <n v="0"/>
    <n v="0"/>
    <n v="0"/>
    <n v="0"/>
    <n v="0"/>
    <n v="0"/>
    <x v="0"/>
    <s v="Yes"/>
    <s v="KBC-MYT"/>
    <x v="0"/>
    <x v="0"/>
    <x v="1"/>
    <n v="0"/>
    <n v="0"/>
    <s v="MMR001CMP249"/>
    <x v="0"/>
    <m/>
  </r>
  <r>
    <x v="0"/>
    <x v="1"/>
    <x v="1"/>
    <s v="WHH-AA / USAID"/>
    <x v="0"/>
    <x v="4"/>
    <x v="1"/>
    <x v="125"/>
    <n v="45"/>
    <n v="259"/>
    <d v="2019-01-01T00:00:00"/>
    <d v="2019-12-31T00:00:00"/>
    <m/>
    <m/>
    <m/>
    <m/>
    <s v="Yes"/>
    <n v="1"/>
    <n v="2"/>
    <m/>
    <m/>
    <m/>
    <m/>
    <n v="2"/>
    <m/>
    <m/>
    <m/>
    <m/>
    <m/>
    <m/>
    <m/>
    <m/>
    <m/>
    <m/>
    <m/>
    <m/>
    <m/>
    <m/>
    <m/>
    <m/>
    <m/>
    <n v="13"/>
    <m/>
    <m/>
    <n v="4"/>
    <m/>
    <m/>
    <m/>
    <m/>
    <x v="0"/>
    <x v="0"/>
    <m/>
    <m/>
    <m/>
    <m/>
    <n v="4"/>
    <m/>
    <m/>
    <n v="3"/>
    <m/>
    <m/>
    <m/>
    <m/>
    <m/>
    <m/>
    <m/>
    <m/>
    <m/>
    <s v="no test"/>
    <s v="no test"/>
    <x v="1"/>
    <n v="0"/>
    <n v="2"/>
    <n v="0"/>
    <n v="0"/>
    <n v="0"/>
    <n v="1"/>
    <n v="1"/>
    <n v="1"/>
    <n v="259"/>
    <n v="0"/>
    <n v="0"/>
    <n v="1"/>
    <n v="259"/>
    <n v="0.51800000000000002"/>
    <n v="0"/>
    <n v="0"/>
    <n v="0.48199999999999998"/>
    <n v="1"/>
    <n v="9"/>
    <n v="0.69498069498069504"/>
    <n v="180"/>
    <n v="0"/>
    <n v="0"/>
    <n v="13"/>
    <n v="0"/>
    <n v="0.30501930501930496"/>
    <n v="0.30769230769230771"/>
    <n v="0"/>
    <n v="0"/>
    <n v="0"/>
    <n v="0"/>
    <n v="0"/>
    <n v="0"/>
    <n v="1"/>
    <n v="0"/>
    <n v="0"/>
    <n v="0"/>
    <n v="4"/>
    <n v="45"/>
    <n v="0"/>
    <n v="259"/>
    <x v="0"/>
    <s v="Yes"/>
    <s v="KBC-BMO"/>
    <x v="0"/>
    <x v="0"/>
    <x v="0"/>
    <n v="24.200361000000001"/>
    <n v="96.807353000000006"/>
    <s v="MMR001CMP067"/>
    <x v="0"/>
    <m/>
  </r>
  <r>
    <x v="0"/>
    <x v="1"/>
    <x v="1"/>
    <s v="WHH-AA / USAID"/>
    <x v="0"/>
    <x v="4"/>
    <x v="1"/>
    <x v="126"/>
    <n v="33"/>
    <n v="169"/>
    <d v="2019-01-01T00:00:00"/>
    <d v="2019-12-31T00:00:00"/>
    <m/>
    <m/>
    <m/>
    <m/>
    <s v="Yes"/>
    <n v="1"/>
    <n v="1"/>
    <m/>
    <m/>
    <m/>
    <m/>
    <n v="1"/>
    <m/>
    <m/>
    <m/>
    <m/>
    <m/>
    <m/>
    <m/>
    <m/>
    <m/>
    <m/>
    <m/>
    <m/>
    <m/>
    <m/>
    <m/>
    <m/>
    <m/>
    <n v="9"/>
    <m/>
    <m/>
    <m/>
    <m/>
    <m/>
    <m/>
    <m/>
    <x v="0"/>
    <x v="0"/>
    <m/>
    <m/>
    <m/>
    <m/>
    <n v="0"/>
    <m/>
    <m/>
    <n v="2"/>
    <m/>
    <m/>
    <m/>
    <m/>
    <m/>
    <m/>
    <m/>
    <m/>
    <m/>
    <s v="no test"/>
    <s v="no test"/>
    <x v="1"/>
    <n v="0"/>
    <n v="1"/>
    <n v="0"/>
    <n v="0"/>
    <n v="0"/>
    <n v="1"/>
    <n v="1"/>
    <n v="1"/>
    <n v="169"/>
    <n v="0"/>
    <n v="0"/>
    <n v="1"/>
    <n v="169"/>
    <n v="0.33800000000000002"/>
    <n v="0"/>
    <n v="0"/>
    <n v="0.66199999999999992"/>
    <n v="1"/>
    <n v="9"/>
    <n v="1"/>
    <n v="169"/>
    <n v="0"/>
    <n v="0"/>
    <n v="8"/>
    <n v="0"/>
    <n v="0"/>
    <n v="0"/>
    <n v="0"/>
    <n v="0"/>
    <n v="0"/>
    <n v="0"/>
    <n v="0"/>
    <n v="0"/>
    <n v="1"/>
    <n v="0"/>
    <n v="0"/>
    <n v="0"/>
    <n v="0"/>
    <n v="0"/>
    <n v="0"/>
    <n v="0"/>
    <x v="0"/>
    <s v="Yes"/>
    <s v="KMSS-BMO"/>
    <x v="0"/>
    <x v="0"/>
    <x v="0"/>
    <n v="24.200367"/>
    <n v="96.807353000000006"/>
    <s v="MMR001CMP068"/>
    <x v="0"/>
    <m/>
  </r>
  <r>
    <x v="0"/>
    <x v="4"/>
    <x v="4"/>
    <s v="ADRA/CANADA"/>
    <x v="0"/>
    <x v="6"/>
    <x v="1"/>
    <x v="127"/>
    <n v="28"/>
    <n v="103"/>
    <d v="2019-04-01T00:00:00"/>
    <d v="2019-07-31T00:00:00"/>
    <m/>
    <m/>
    <m/>
    <m/>
    <s v="Yes"/>
    <m/>
    <m/>
    <n v="1"/>
    <m/>
    <m/>
    <n v="1"/>
    <m/>
    <m/>
    <m/>
    <m/>
    <m/>
    <m/>
    <m/>
    <m/>
    <m/>
    <m/>
    <n v="0"/>
    <m/>
    <m/>
    <m/>
    <m/>
    <m/>
    <m/>
    <m/>
    <n v="8"/>
    <m/>
    <m/>
    <m/>
    <m/>
    <m/>
    <m/>
    <n v="8"/>
    <x v="0"/>
    <x v="3"/>
    <m/>
    <m/>
    <m/>
    <m/>
    <m/>
    <m/>
    <m/>
    <n v="2"/>
    <m/>
    <m/>
    <n v="1"/>
    <m/>
    <m/>
    <m/>
    <m/>
    <m/>
    <m/>
    <s v="no test"/>
    <s v="no test"/>
    <x v="1"/>
    <n v="1"/>
    <n v="1"/>
    <n v="0"/>
    <n v="0"/>
    <n v="0"/>
    <n v="1"/>
    <n v="1"/>
    <n v="1"/>
    <n v="103"/>
    <n v="0"/>
    <n v="0"/>
    <n v="1"/>
    <n v="103"/>
    <n v="0.20599999999999999"/>
    <n v="0"/>
    <n v="0"/>
    <n v="0.79400000000000004"/>
    <n v="1"/>
    <n v="8"/>
    <n v="1"/>
    <n v="103"/>
    <n v="0"/>
    <n v="0"/>
    <n v="5"/>
    <n v="0"/>
    <n v="0"/>
    <n v="0"/>
    <n v="103"/>
    <n v="0"/>
    <n v="0"/>
    <n v="0"/>
    <n v="103"/>
    <n v="1"/>
    <n v="0"/>
    <n v="1"/>
    <n v="0"/>
    <n v="0"/>
    <n v="0"/>
    <n v="0"/>
    <n v="0"/>
    <n v="0"/>
    <x v="0"/>
    <s v="Yes"/>
    <s v="KBC"/>
    <x v="0"/>
    <x v="0"/>
    <x v="0"/>
    <n v="25.920006000000001"/>
    <n v="96.662092000000001"/>
    <s v="MMR001CMP244"/>
    <x v="0"/>
    <m/>
  </r>
  <r>
    <x v="0"/>
    <x v="4"/>
    <x v="4"/>
    <s v="ADRA/CANADA"/>
    <x v="0"/>
    <x v="6"/>
    <x v="0"/>
    <x v="128"/>
    <n v="18"/>
    <n v="80"/>
    <d v="2019-04-01T00:00:00"/>
    <d v="2019-07-31T00:00:00"/>
    <m/>
    <m/>
    <m/>
    <m/>
    <s v="Yes"/>
    <m/>
    <m/>
    <n v="2"/>
    <m/>
    <m/>
    <m/>
    <m/>
    <m/>
    <m/>
    <m/>
    <m/>
    <m/>
    <m/>
    <m/>
    <m/>
    <m/>
    <n v="0"/>
    <m/>
    <m/>
    <m/>
    <m/>
    <m/>
    <m/>
    <m/>
    <n v="4"/>
    <m/>
    <m/>
    <m/>
    <m/>
    <m/>
    <m/>
    <n v="4"/>
    <x v="0"/>
    <x v="0"/>
    <m/>
    <m/>
    <m/>
    <m/>
    <m/>
    <m/>
    <m/>
    <n v="1"/>
    <m/>
    <m/>
    <n v="1"/>
    <m/>
    <m/>
    <m/>
    <m/>
    <m/>
    <m/>
    <s v="no test"/>
    <s v="no test"/>
    <x v="1"/>
    <n v="2"/>
    <n v="0"/>
    <n v="0"/>
    <n v="0"/>
    <n v="0"/>
    <n v="1"/>
    <n v="1"/>
    <n v="1"/>
    <n v="80"/>
    <n v="0"/>
    <n v="0"/>
    <n v="1"/>
    <n v="80"/>
    <n v="0.16"/>
    <n v="0"/>
    <n v="0"/>
    <n v="0.84"/>
    <n v="1"/>
    <n v="4"/>
    <n v="1"/>
    <n v="80"/>
    <n v="0"/>
    <n v="0"/>
    <n v="4"/>
    <n v="0"/>
    <n v="0"/>
    <n v="0"/>
    <n v="80"/>
    <n v="0"/>
    <n v="0"/>
    <n v="0"/>
    <n v="80"/>
    <n v="1"/>
    <n v="0"/>
    <n v="1"/>
    <n v="0"/>
    <n v="0"/>
    <n v="0"/>
    <n v="0"/>
    <n v="0"/>
    <n v="0"/>
    <x v="0"/>
    <n v="0"/>
    <n v="0"/>
    <x v="0"/>
    <x v="0"/>
    <x v="0"/>
    <n v="0"/>
    <n v="0"/>
    <n v="0"/>
    <x v="0"/>
    <m/>
  </r>
  <r>
    <x v="0"/>
    <x v="4"/>
    <x v="4"/>
    <s v="Plan/GFFO,ADRA/CANADA  "/>
    <x v="0"/>
    <x v="3"/>
    <x v="1"/>
    <x v="129"/>
    <n v="107"/>
    <n v="534"/>
    <d v="2019-04-01T00:00:00"/>
    <d v="2019-07-31T00:00:00"/>
    <m/>
    <m/>
    <m/>
    <m/>
    <s v="Yes"/>
    <m/>
    <m/>
    <n v="1"/>
    <m/>
    <m/>
    <n v="1"/>
    <m/>
    <m/>
    <m/>
    <m/>
    <m/>
    <m/>
    <m/>
    <m/>
    <m/>
    <m/>
    <n v="2"/>
    <m/>
    <m/>
    <m/>
    <m/>
    <m/>
    <m/>
    <m/>
    <n v="13"/>
    <m/>
    <m/>
    <m/>
    <m/>
    <n v="14"/>
    <m/>
    <n v="13"/>
    <x v="0"/>
    <x v="0"/>
    <m/>
    <m/>
    <m/>
    <m/>
    <m/>
    <m/>
    <m/>
    <n v="2"/>
    <m/>
    <m/>
    <n v="2"/>
    <m/>
    <m/>
    <m/>
    <m/>
    <m/>
    <m/>
    <s v="no test"/>
    <s v="no test"/>
    <x v="1"/>
    <n v="1"/>
    <n v="1"/>
    <n v="0"/>
    <n v="0"/>
    <n v="0"/>
    <n v="1"/>
    <n v="0.93632958801498123"/>
    <n v="1"/>
    <n v="534"/>
    <n v="0"/>
    <n v="0"/>
    <n v="1"/>
    <n v="534"/>
    <n v="1.0680000000000001"/>
    <n v="0"/>
    <n v="0"/>
    <n v="0"/>
    <n v="1"/>
    <n v="13"/>
    <n v="0.48689138576779029"/>
    <n v="260"/>
    <n v="280"/>
    <n v="0"/>
    <n v="27"/>
    <n v="14"/>
    <n v="0.51310861423220966"/>
    <n v="0"/>
    <n v="534"/>
    <n v="0"/>
    <n v="0"/>
    <n v="0"/>
    <n v="534"/>
    <n v="1"/>
    <n v="0"/>
    <n v="1"/>
    <n v="0"/>
    <n v="0"/>
    <n v="0"/>
    <n v="0"/>
    <n v="0"/>
    <n v="0"/>
    <x v="0"/>
    <s v="Yes"/>
    <s v="KBC-MYT"/>
    <x v="0"/>
    <x v="0"/>
    <x v="0"/>
    <n v="25.412313000000001"/>
    <n v="97.399628000000007"/>
    <s v="MMR001CMP006"/>
    <x v="0"/>
    <m/>
  </r>
  <r>
    <x v="0"/>
    <x v="2"/>
    <x v="2"/>
    <m/>
    <x v="0"/>
    <x v="11"/>
    <x v="1"/>
    <x v="130"/>
    <n v="29"/>
    <n v="140"/>
    <m/>
    <m/>
    <m/>
    <m/>
    <m/>
    <m/>
    <m/>
    <m/>
    <m/>
    <m/>
    <m/>
    <m/>
    <m/>
    <m/>
    <m/>
    <m/>
    <m/>
    <m/>
    <m/>
    <m/>
    <m/>
    <m/>
    <m/>
    <m/>
    <m/>
    <m/>
    <m/>
    <m/>
    <m/>
    <m/>
    <m/>
    <m/>
    <m/>
    <m/>
    <m/>
    <m/>
    <m/>
    <m/>
    <m/>
    <x v="1"/>
    <x v="1"/>
    <m/>
    <m/>
    <m/>
    <m/>
    <m/>
    <m/>
    <m/>
    <m/>
    <m/>
    <m/>
    <m/>
    <m/>
    <m/>
    <m/>
    <m/>
    <m/>
    <m/>
    <s v="no test"/>
    <s v="no test"/>
    <x v="1"/>
    <n v="0"/>
    <n v="0"/>
    <n v="0"/>
    <n v="0"/>
    <n v="0"/>
    <n v="0"/>
    <n v="0"/>
    <n v="0"/>
    <n v="0"/>
    <n v="0"/>
    <n v="0"/>
    <n v="0"/>
    <n v="0"/>
    <n v="0"/>
    <n v="1"/>
    <n v="140"/>
    <n v="1"/>
    <n v="1"/>
    <n v="0"/>
    <n v="0"/>
    <n v="0"/>
    <n v="0"/>
    <n v="0"/>
    <n v="7"/>
    <n v="7"/>
    <n v="1"/>
    <n v="0"/>
    <n v="0"/>
    <n v="0"/>
    <n v="0"/>
    <n v="0"/>
    <n v="0"/>
    <n v="0"/>
    <n v="1"/>
    <n v="0"/>
    <n v="0"/>
    <n v="0"/>
    <n v="0"/>
    <n v="0"/>
    <n v="0"/>
    <n v="0"/>
    <x v="0"/>
    <n v="0"/>
    <s v="uncovered"/>
    <x v="0"/>
    <x v="2"/>
    <x v="0"/>
    <n v="25.415667500000001"/>
    <n v="97.437782499999997"/>
    <s v="MMR001CMP272"/>
    <x v="1"/>
    <m/>
  </r>
  <r>
    <x v="0"/>
    <x v="2"/>
    <x v="2"/>
    <m/>
    <x v="0"/>
    <x v="11"/>
    <x v="1"/>
    <x v="131"/>
    <n v="5"/>
    <n v="32"/>
    <m/>
    <m/>
    <m/>
    <m/>
    <m/>
    <m/>
    <m/>
    <m/>
    <m/>
    <m/>
    <m/>
    <m/>
    <m/>
    <m/>
    <m/>
    <m/>
    <m/>
    <m/>
    <m/>
    <m/>
    <m/>
    <m/>
    <m/>
    <m/>
    <m/>
    <m/>
    <m/>
    <m/>
    <m/>
    <m/>
    <m/>
    <m/>
    <m/>
    <m/>
    <m/>
    <m/>
    <m/>
    <m/>
    <m/>
    <x v="1"/>
    <x v="1"/>
    <m/>
    <m/>
    <m/>
    <m/>
    <m/>
    <m/>
    <m/>
    <m/>
    <m/>
    <m/>
    <m/>
    <m/>
    <m/>
    <m/>
    <m/>
    <m/>
    <m/>
    <s v="no test"/>
    <s v="no test"/>
    <x v="1"/>
    <n v="0"/>
    <n v="0"/>
    <n v="0"/>
    <n v="0"/>
    <n v="0"/>
    <n v="0"/>
    <n v="0"/>
    <n v="0"/>
    <n v="0"/>
    <n v="0"/>
    <n v="0"/>
    <n v="0"/>
    <n v="0"/>
    <n v="0"/>
    <n v="1"/>
    <n v="32"/>
    <n v="1"/>
    <n v="1"/>
    <n v="0"/>
    <n v="0"/>
    <n v="0"/>
    <n v="0"/>
    <n v="0"/>
    <n v="2"/>
    <n v="2"/>
    <n v="1"/>
    <n v="0"/>
    <n v="0"/>
    <n v="0"/>
    <n v="0"/>
    <n v="0"/>
    <n v="0"/>
    <n v="0"/>
    <n v="1"/>
    <n v="0"/>
    <n v="0"/>
    <n v="0"/>
    <n v="0"/>
    <n v="0"/>
    <n v="0"/>
    <n v="0"/>
    <x v="0"/>
    <n v="0"/>
    <s v="uncovered"/>
    <x v="0"/>
    <x v="2"/>
    <x v="0"/>
    <n v="26.541930000000001"/>
    <n v="97.568836000000005"/>
    <s v="MMR001CMP206"/>
    <x v="1"/>
    <m/>
  </r>
  <r>
    <x v="0"/>
    <x v="3"/>
    <x v="3"/>
    <s v="DFID(HARP)/UNICEF"/>
    <x v="0"/>
    <x v="5"/>
    <x v="1"/>
    <x v="132"/>
    <n v="31"/>
    <n v="173"/>
    <s v="1-Jan-2019 / 1-Dec-2018"/>
    <s v="31-3-2019 / 30-Nov-2019"/>
    <n v="66"/>
    <m/>
    <m/>
    <m/>
    <s v="Yes"/>
    <m/>
    <m/>
    <m/>
    <m/>
    <m/>
    <m/>
    <m/>
    <m/>
    <m/>
    <m/>
    <m/>
    <m/>
    <m/>
    <m/>
    <m/>
    <m/>
    <m/>
    <m/>
    <m/>
    <m/>
    <m/>
    <m/>
    <m/>
    <m/>
    <n v="10"/>
    <m/>
    <m/>
    <m/>
    <m/>
    <m/>
    <m/>
    <m/>
    <x v="0"/>
    <x v="0"/>
    <n v="2"/>
    <m/>
    <m/>
    <m/>
    <m/>
    <m/>
    <m/>
    <m/>
    <m/>
    <m/>
    <n v="1"/>
    <n v="25"/>
    <m/>
    <s v="No"/>
    <m/>
    <m/>
    <m/>
    <s v="no test"/>
    <s v="no test"/>
    <x v="1"/>
    <n v="0"/>
    <n v="0"/>
    <n v="0"/>
    <n v="0"/>
    <n v="0"/>
    <n v="0"/>
    <n v="0"/>
    <n v="0"/>
    <n v="0"/>
    <n v="0"/>
    <n v="0"/>
    <n v="0"/>
    <n v="0"/>
    <n v="0"/>
    <n v="1"/>
    <n v="173"/>
    <n v="1"/>
    <n v="1"/>
    <n v="10"/>
    <n v="1"/>
    <n v="173"/>
    <n v="0"/>
    <n v="0"/>
    <n v="9"/>
    <n v="0"/>
    <n v="0"/>
    <n v="0"/>
    <n v="173"/>
    <n v="125"/>
    <n v="0"/>
    <n v="125"/>
    <n v="173"/>
    <n v="1"/>
    <n v="0"/>
    <n v="1"/>
    <n v="0.80645161290322576"/>
    <n v="0"/>
    <n v="0"/>
    <n v="0"/>
    <n v="0"/>
    <n v="0"/>
    <x v="1"/>
    <s v="Yes"/>
    <s v="KMSS-MYT"/>
    <x v="0"/>
    <x v="0"/>
    <x v="0"/>
    <n v="25.645959999999999"/>
    <n v="98.356260000000006"/>
    <s v="MMR001CMP225"/>
    <x v="0"/>
    <m/>
  </r>
  <r>
    <x v="0"/>
    <x v="4"/>
    <x v="4"/>
    <s v="ADRA/CANADA"/>
    <x v="0"/>
    <x v="2"/>
    <x v="1"/>
    <x v="133"/>
    <n v="179"/>
    <n v="958"/>
    <d v="2019-04-01T00:00:00"/>
    <d v="2019-07-31T00:00:00"/>
    <m/>
    <m/>
    <m/>
    <m/>
    <s v="Yes"/>
    <m/>
    <m/>
    <n v="0"/>
    <m/>
    <m/>
    <n v="0"/>
    <m/>
    <m/>
    <m/>
    <n v="1"/>
    <n v="1"/>
    <m/>
    <m/>
    <m/>
    <m/>
    <m/>
    <n v="0"/>
    <m/>
    <m/>
    <m/>
    <m/>
    <m/>
    <m/>
    <m/>
    <n v="158"/>
    <m/>
    <m/>
    <m/>
    <m/>
    <m/>
    <m/>
    <n v="158"/>
    <x v="0"/>
    <x v="0"/>
    <m/>
    <m/>
    <m/>
    <m/>
    <m/>
    <m/>
    <m/>
    <n v="4"/>
    <m/>
    <m/>
    <n v="2"/>
    <m/>
    <m/>
    <m/>
    <m/>
    <m/>
    <m/>
    <s v="no test"/>
    <s v="no test"/>
    <x v="1"/>
    <n v="0"/>
    <n v="0"/>
    <n v="0"/>
    <n v="0"/>
    <n v="0"/>
    <n v="0"/>
    <n v="0"/>
    <n v="0"/>
    <n v="0"/>
    <n v="0"/>
    <n v="0"/>
    <n v="0"/>
    <n v="0"/>
    <n v="0"/>
    <n v="1"/>
    <n v="958"/>
    <n v="2"/>
    <n v="2"/>
    <n v="158"/>
    <n v="1"/>
    <n v="958"/>
    <n v="0"/>
    <n v="0"/>
    <n v="48"/>
    <n v="0"/>
    <n v="0"/>
    <n v="0"/>
    <n v="958"/>
    <n v="0"/>
    <n v="0"/>
    <n v="0"/>
    <n v="958"/>
    <n v="1"/>
    <n v="0"/>
    <n v="1"/>
    <n v="0"/>
    <n v="0"/>
    <n v="0"/>
    <n v="0"/>
    <n v="0"/>
    <n v="0"/>
    <x v="0"/>
    <s v="Yes"/>
    <s v="KBC-MYT"/>
    <x v="0"/>
    <x v="0"/>
    <x v="0"/>
    <n v="25.418084"/>
    <n v="98.025662999999994"/>
    <s v="MMR001CMP041"/>
    <x v="0"/>
    <m/>
  </r>
  <r>
    <x v="0"/>
    <x v="2"/>
    <x v="2"/>
    <m/>
    <x v="0"/>
    <x v="12"/>
    <x v="1"/>
    <x v="134"/>
    <n v="31"/>
    <n v="129"/>
    <m/>
    <m/>
    <m/>
    <m/>
    <m/>
    <m/>
    <m/>
    <m/>
    <m/>
    <m/>
    <m/>
    <m/>
    <m/>
    <m/>
    <m/>
    <m/>
    <m/>
    <m/>
    <m/>
    <m/>
    <m/>
    <m/>
    <m/>
    <m/>
    <m/>
    <m/>
    <m/>
    <m/>
    <m/>
    <m/>
    <m/>
    <m/>
    <m/>
    <m/>
    <m/>
    <m/>
    <m/>
    <m/>
    <m/>
    <x v="1"/>
    <x v="1"/>
    <m/>
    <m/>
    <m/>
    <m/>
    <m/>
    <m/>
    <m/>
    <m/>
    <m/>
    <m/>
    <m/>
    <m/>
    <m/>
    <m/>
    <m/>
    <m/>
    <m/>
    <s v="no test"/>
    <s v="no test"/>
    <x v="1"/>
    <n v="0"/>
    <n v="0"/>
    <n v="0"/>
    <n v="0"/>
    <n v="0"/>
    <n v="0"/>
    <n v="0"/>
    <n v="0"/>
    <n v="0"/>
    <n v="0"/>
    <n v="0"/>
    <n v="0"/>
    <n v="0"/>
    <n v="0"/>
    <n v="1"/>
    <n v="129"/>
    <n v="1"/>
    <n v="1"/>
    <n v="0"/>
    <n v="0"/>
    <n v="0"/>
    <n v="0"/>
    <n v="0"/>
    <n v="6"/>
    <n v="6"/>
    <n v="1"/>
    <n v="0"/>
    <n v="0"/>
    <n v="0"/>
    <n v="0"/>
    <n v="0"/>
    <n v="0"/>
    <n v="0"/>
    <n v="1"/>
    <n v="0"/>
    <n v="0"/>
    <n v="0"/>
    <n v="0"/>
    <n v="0"/>
    <n v="0"/>
    <n v="0"/>
    <x v="0"/>
    <s v="Yes"/>
    <s v="KMSS-MYT"/>
    <x v="0"/>
    <x v="0"/>
    <x v="0"/>
    <n v="0"/>
    <n v="0"/>
    <s v="MMR001CMP251"/>
    <x v="1"/>
    <m/>
  </r>
  <r>
    <x v="0"/>
    <x v="3"/>
    <x v="3"/>
    <s v="DFID/HARP"/>
    <x v="0"/>
    <x v="9"/>
    <x v="0"/>
    <x v="135"/>
    <n v="22"/>
    <n v="122"/>
    <m/>
    <d v="2019-04-30T00:00:00"/>
    <m/>
    <m/>
    <m/>
    <m/>
    <m/>
    <m/>
    <m/>
    <m/>
    <m/>
    <m/>
    <m/>
    <n v="1"/>
    <m/>
    <m/>
    <m/>
    <m/>
    <m/>
    <m/>
    <m/>
    <m/>
    <m/>
    <m/>
    <m/>
    <m/>
    <m/>
    <m/>
    <m/>
    <m/>
    <s v="Water shortage in summer and inadequate water "/>
    <n v="6"/>
    <m/>
    <m/>
    <m/>
    <m/>
    <m/>
    <m/>
    <m/>
    <x v="0"/>
    <x v="0"/>
    <m/>
    <m/>
    <m/>
    <m/>
    <n v="2"/>
    <m/>
    <m/>
    <n v="2"/>
    <n v="1"/>
    <m/>
    <n v="1"/>
    <n v="122"/>
    <m/>
    <m/>
    <m/>
    <m/>
    <s v="IDP received hygiene icentive items; body soap 6 pcs, laundry soap 30 pcs and detergant powder 15 pcs from HE Session, its about 3 months covered. "/>
    <s v="no test"/>
    <s v="no test"/>
    <x v="1"/>
    <n v="0"/>
    <n v="1"/>
    <n v="0"/>
    <n v="0"/>
    <n v="0"/>
    <n v="1"/>
    <n v="1"/>
    <n v="1"/>
    <n v="122"/>
    <n v="0"/>
    <n v="0"/>
    <n v="1"/>
    <n v="122"/>
    <n v="0.24399999999999999"/>
    <n v="0"/>
    <n v="0"/>
    <n v="0.75600000000000001"/>
    <n v="1"/>
    <n v="6"/>
    <n v="0.98360655737704916"/>
    <n v="120"/>
    <n v="0"/>
    <n v="0"/>
    <n v="6"/>
    <n v="0"/>
    <n v="1.6393442622950838E-2"/>
    <n v="0"/>
    <n v="122"/>
    <n v="122"/>
    <n v="0"/>
    <n v="122"/>
    <n v="122"/>
    <n v="1"/>
    <n v="0"/>
    <n v="1"/>
    <n v="1"/>
    <n v="0"/>
    <n v="2"/>
    <n v="22"/>
    <n v="0"/>
    <n v="122"/>
    <x v="0"/>
    <n v="0"/>
    <n v="0"/>
    <x v="0"/>
    <x v="0"/>
    <x v="0"/>
    <n v="0"/>
    <n v="0"/>
    <n v="0"/>
    <x v="0"/>
    <m/>
  </r>
  <r>
    <x v="0"/>
    <x v="2"/>
    <x v="2"/>
    <m/>
    <x v="0"/>
    <x v="2"/>
    <x v="1"/>
    <x v="136"/>
    <n v="62"/>
    <n v="410"/>
    <m/>
    <m/>
    <m/>
    <m/>
    <m/>
    <m/>
    <m/>
    <m/>
    <m/>
    <m/>
    <m/>
    <m/>
    <m/>
    <m/>
    <m/>
    <m/>
    <m/>
    <m/>
    <m/>
    <m/>
    <m/>
    <m/>
    <m/>
    <m/>
    <m/>
    <m/>
    <m/>
    <m/>
    <m/>
    <m/>
    <m/>
    <m/>
    <m/>
    <m/>
    <m/>
    <m/>
    <m/>
    <m/>
    <m/>
    <x v="1"/>
    <x v="1"/>
    <m/>
    <m/>
    <m/>
    <m/>
    <m/>
    <m/>
    <m/>
    <m/>
    <m/>
    <m/>
    <m/>
    <m/>
    <m/>
    <m/>
    <m/>
    <m/>
    <m/>
    <s v="no test"/>
    <s v="no test"/>
    <x v="1"/>
    <n v="0"/>
    <n v="0"/>
    <n v="0"/>
    <n v="0"/>
    <n v="0"/>
    <n v="0"/>
    <n v="0"/>
    <n v="0"/>
    <n v="0"/>
    <n v="0"/>
    <n v="0"/>
    <n v="0"/>
    <n v="0"/>
    <n v="0"/>
    <n v="1"/>
    <n v="410"/>
    <n v="1"/>
    <n v="1"/>
    <n v="0"/>
    <n v="0"/>
    <n v="0"/>
    <n v="0"/>
    <n v="0"/>
    <n v="21"/>
    <n v="21"/>
    <n v="1"/>
    <n v="0"/>
    <n v="0"/>
    <n v="0"/>
    <n v="0"/>
    <n v="0"/>
    <n v="0"/>
    <n v="0"/>
    <n v="1"/>
    <n v="0"/>
    <n v="0"/>
    <n v="0"/>
    <n v="0"/>
    <n v="0"/>
    <n v="0"/>
    <n v="0"/>
    <x v="0"/>
    <n v="0"/>
    <s v="uncovered"/>
    <x v="0"/>
    <x v="2"/>
    <x v="0"/>
    <n v="25.305008999999998"/>
    <n v="97.430321000000006"/>
    <s v="MMR001CMP248"/>
    <x v="1"/>
    <m/>
  </r>
  <r>
    <x v="0"/>
    <x v="5"/>
    <x v="5"/>
    <s v="DFID"/>
    <x v="0"/>
    <x v="2"/>
    <x v="1"/>
    <x v="137"/>
    <n v="92"/>
    <n v="448"/>
    <d v="2018-08-01T00:00:00"/>
    <d v="2020-07-31T00:00:00"/>
    <n v="0"/>
    <n v="1"/>
    <n v="0"/>
    <n v="0"/>
    <s v="Yes"/>
    <n v="4"/>
    <n v="4"/>
    <n v="2"/>
    <n v="0"/>
    <n v="0"/>
    <n v="3"/>
    <n v="3"/>
    <n v="1"/>
    <n v="1"/>
    <n v="0"/>
    <n v="0"/>
    <n v="0"/>
    <n v="0"/>
    <n v="0"/>
    <n v="0"/>
    <n v="0"/>
    <n v="2"/>
    <m/>
    <m/>
    <m/>
    <m/>
    <n v="0"/>
    <n v="0"/>
    <m/>
    <n v="16"/>
    <n v="6"/>
    <s v="Unicef &amp; World vision"/>
    <n v="2"/>
    <n v="0"/>
    <n v="7"/>
    <m/>
    <n v="0"/>
    <x v="0"/>
    <x v="0"/>
    <n v="2"/>
    <n v="2"/>
    <n v="0"/>
    <m/>
    <n v="0"/>
    <n v="0"/>
    <n v="0"/>
    <n v="0"/>
    <n v="0"/>
    <n v="0"/>
    <n v="0"/>
    <n v="0"/>
    <n v="0"/>
    <s v="No"/>
    <n v="0"/>
    <n v="0"/>
    <m/>
    <s v="no test"/>
    <s v="no test"/>
    <x v="1"/>
    <n v="2"/>
    <n v="5"/>
    <n v="0"/>
    <n v="0"/>
    <n v="0"/>
    <n v="1"/>
    <n v="1"/>
    <n v="1"/>
    <n v="448"/>
    <n v="0"/>
    <n v="0"/>
    <n v="1"/>
    <n v="448"/>
    <n v="0.89600000000000002"/>
    <n v="0"/>
    <n v="0"/>
    <n v="0.10399999999999998"/>
    <n v="1"/>
    <n v="20"/>
    <n v="0.8928571428571429"/>
    <n v="400"/>
    <n v="140"/>
    <n v="0"/>
    <n v="22"/>
    <n v="0"/>
    <n v="0.1071428571428571"/>
    <n v="9.0909090909090912E-2"/>
    <n v="0"/>
    <n v="0"/>
    <n v="0"/>
    <n v="0"/>
    <n v="0"/>
    <n v="0"/>
    <n v="1"/>
    <n v="0"/>
    <n v="0"/>
    <n v="0"/>
    <n v="0"/>
    <n v="0"/>
    <n v="0"/>
    <n v="0"/>
    <x v="1"/>
    <s v="Yes"/>
    <s v="Shalom"/>
    <x v="0"/>
    <x v="0"/>
    <x v="0"/>
    <n v="25.321710740740698"/>
    <n v="97.404195925926004"/>
    <s v="MMR001CMP028"/>
    <x v="0"/>
    <m/>
  </r>
  <r>
    <x v="0"/>
    <x v="4"/>
    <x v="4"/>
    <s v="Plan/GFFO,ADRA/CANADA  "/>
    <x v="0"/>
    <x v="3"/>
    <x v="1"/>
    <x v="138"/>
    <n v="93"/>
    <n v="499"/>
    <d v="2019-04-01T00:00:00"/>
    <d v="2019-07-31T00:00:00"/>
    <m/>
    <m/>
    <m/>
    <m/>
    <s v="Yes"/>
    <m/>
    <m/>
    <n v="2"/>
    <m/>
    <m/>
    <n v="2"/>
    <m/>
    <m/>
    <m/>
    <m/>
    <m/>
    <m/>
    <m/>
    <m/>
    <m/>
    <m/>
    <n v="2"/>
    <m/>
    <m/>
    <m/>
    <m/>
    <m/>
    <m/>
    <m/>
    <n v="17"/>
    <m/>
    <m/>
    <m/>
    <m/>
    <n v="0"/>
    <m/>
    <n v="17"/>
    <x v="0"/>
    <x v="0"/>
    <m/>
    <m/>
    <m/>
    <m/>
    <m/>
    <m/>
    <m/>
    <n v="2"/>
    <m/>
    <m/>
    <n v="2"/>
    <m/>
    <m/>
    <m/>
    <m/>
    <m/>
    <m/>
    <s v="no test"/>
    <s v="no test"/>
    <x v="1"/>
    <n v="2"/>
    <n v="2"/>
    <n v="0"/>
    <n v="0"/>
    <n v="0"/>
    <n v="1"/>
    <n v="1"/>
    <n v="1"/>
    <n v="499"/>
    <n v="0"/>
    <n v="0"/>
    <n v="1"/>
    <n v="499"/>
    <n v="0.998"/>
    <n v="0"/>
    <n v="0"/>
    <n v="2.0000000000000018E-3"/>
    <n v="1"/>
    <n v="17"/>
    <n v="0.68136272545090182"/>
    <n v="340"/>
    <n v="0"/>
    <n v="0"/>
    <n v="25"/>
    <n v="8"/>
    <n v="0.31863727454909818"/>
    <n v="0"/>
    <n v="499"/>
    <n v="0"/>
    <n v="0"/>
    <n v="0"/>
    <n v="499"/>
    <n v="1"/>
    <n v="0"/>
    <n v="1"/>
    <n v="0"/>
    <n v="0"/>
    <n v="0"/>
    <n v="0"/>
    <n v="0"/>
    <n v="0"/>
    <x v="0"/>
    <s v="Yes"/>
    <s v="KBC-MYT"/>
    <x v="0"/>
    <x v="0"/>
    <x v="0"/>
    <n v="25.440928"/>
    <n v="97.419403000000003"/>
    <s v="MMR001CMP009"/>
    <x v="0"/>
    <m/>
  </r>
  <r>
    <x v="0"/>
    <x v="3"/>
    <x v="3"/>
    <s v="DFID(HARP)"/>
    <x v="0"/>
    <x v="8"/>
    <x v="1"/>
    <x v="139"/>
    <n v="11"/>
    <n v="52"/>
    <d v="2019-01-01T00:00:00"/>
    <s v="31-3-2019"/>
    <m/>
    <m/>
    <m/>
    <m/>
    <s v="Yes"/>
    <m/>
    <m/>
    <n v="1"/>
    <m/>
    <m/>
    <m/>
    <m/>
    <m/>
    <m/>
    <m/>
    <m/>
    <m/>
    <m/>
    <m/>
    <m/>
    <m/>
    <m/>
    <m/>
    <m/>
    <m/>
    <m/>
    <m/>
    <m/>
    <m/>
    <n v="7"/>
    <m/>
    <m/>
    <m/>
    <m/>
    <m/>
    <m/>
    <m/>
    <x v="0"/>
    <x v="0"/>
    <m/>
    <m/>
    <m/>
    <m/>
    <m/>
    <m/>
    <m/>
    <n v="2"/>
    <m/>
    <m/>
    <n v="1"/>
    <n v="11"/>
    <m/>
    <m/>
    <m/>
    <m/>
    <m/>
    <s v="no test"/>
    <s v="no test"/>
    <x v="1"/>
    <n v="1"/>
    <n v="0"/>
    <n v="0"/>
    <n v="0"/>
    <n v="0"/>
    <n v="1"/>
    <n v="1"/>
    <n v="1"/>
    <n v="52"/>
    <n v="0"/>
    <n v="0"/>
    <n v="1"/>
    <n v="52"/>
    <n v="0.104"/>
    <n v="0"/>
    <n v="0"/>
    <n v="0.89600000000000002"/>
    <n v="1"/>
    <n v="7"/>
    <n v="1"/>
    <n v="52"/>
    <n v="0"/>
    <n v="0"/>
    <n v="3"/>
    <n v="0"/>
    <n v="0"/>
    <n v="0"/>
    <n v="52"/>
    <n v="52"/>
    <n v="0"/>
    <n v="52"/>
    <n v="52"/>
    <n v="1"/>
    <n v="0"/>
    <n v="1"/>
    <n v="1"/>
    <n v="0"/>
    <n v="0"/>
    <n v="0"/>
    <n v="0"/>
    <n v="0"/>
    <x v="0"/>
    <s v="Yes"/>
    <s v="KMSS-MYT"/>
    <x v="0"/>
    <x v="0"/>
    <x v="0"/>
    <n v="24.764800000000001"/>
    <n v="96.367059999999995"/>
    <s v="MMR001CMP080"/>
    <x v="0"/>
    <m/>
  </r>
  <r>
    <x v="0"/>
    <x v="4"/>
    <x v="4"/>
    <m/>
    <x v="0"/>
    <x v="4"/>
    <x v="0"/>
    <x v="140"/>
    <n v="63"/>
    <n v="270"/>
    <m/>
    <m/>
    <m/>
    <m/>
    <m/>
    <m/>
    <m/>
    <m/>
    <m/>
    <n v="0"/>
    <m/>
    <m/>
    <n v="0"/>
    <m/>
    <m/>
    <m/>
    <m/>
    <m/>
    <m/>
    <m/>
    <m/>
    <m/>
    <m/>
    <n v="0"/>
    <m/>
    <m/>
    <m/>
    <m/>
    <m/>
    <m/>
    <m/>
    <n v="0"/>
    <m/>
    <m/>
    <m/>
    <m/>
    <m/>
    <m/>
    <n v="0"/>
    <x v="2"/>
    <x v="2"/>
    <m/>
    <m/>
    <m/>
    <m/>
    <m/>
    <m/>
    <m/>
    <n v="0"/>
    <m/>
    <m/>
    <m/>
    <m/>
    <m/>
    <m/>
    <m/>
    <m/>
    <m/>
    <s v="no test"/>
    <s v="no test"/>
    <x v="1"/>
    <n v="0"/>
    <n v="0"/>
    <n v="0"/>
    <n v="0"/>
    <n v="0"/>
    <n v="0"/>
    <n v="0"/>
    <n v="0"/>
    <n v="0"/>
    <n v="0"/>
    <n v="0"/>
    <n v="0"/>
    <n v="0"/>
    <n v="0"/>
    <n v="1"/>
    <n v="270"/>
    <n v="1"/>
    <n v="1"/>
    <n v="0"/>
    <n v="0"/>
    <n v="0"/>
    <n v="0"/>
    <n v="0"/>
    <n v="14"/>
    <n v="14"/>
    <n v="1"/>
    <n v="0"/>
    <n v="0"/>
    <n v="0"/>
    <n v="0"/>
    <n v="0"/>
    <n v="0"/>
    <n v="0"/>
    <n v="1"/>
    <n v="0"/>
    <n v="0"/>
    <n v="0"/>
    <n v="0"/>
    <n v="0"/>
    <n v="0"/>
    <n v="0"/>
    <x v="0"/>
    <n v="0"/>
    <n v="0"/>
    <x v="0"/>
    <x v="2"/>
    <x v="1"/>
    <n v="0"/>
    <n v="0"/>
    <n v="0"/>
    <x v="0"/>
    <m/>
  </r>
  <r>
    <x v="0"/>
    <x v="6"/>
    <x v="6"/>
    <s v="WHH-AA, UNICEF"/>
    <x v="0"/>
    <x v="2"/>
    <x v="1"/>
    <x v="141"/>
    <n v="1467"/>
    <n v="6992"/>
    <s v="10/1/2018, 12/1/2018"/>
    <s v="9/30/2020, 11/30/2019"/>
    <n v="313"/>
    <m/>
    <m/>
    <n v="0"/>
    <s v="Yes"/>
    <n v="5"/>
    <n v="2"/>
    <n v="5"/>
    <m/>
    <m/>
    <m/>
    <m/>
    <m/>
    <m/>
    <n v="3"/>
    <m/>
    <m/>
    <m/>
    <n v="2"/>
    <m/>
    <m/>
    <n v="3"/>
    <n v="1"/>
    <n v="0"/>
    <n v="1"/>
    <n v="0"/>
    <m/>
    <m/>
    <m/>
    <n v="225"/>
    <m/>
    <m/>
    <m/>
    <n v="20"/>
    <m/>
    <m/>
    <m/>
    <x v="0"/>
    <x v="0"/>
    <n v="6"/>
    <n v="2"/>
    <m/>
    <m/>
    <n v="50"/>
    <m/>
    <m/>
    <n v="22"/>
    <m/>
    <m/>
    <n v="7"/>
    <n v="0"/>
    <n v="0"/>
    <s v="No"/>
    <m/>
    <m/>
    <m/>
    <n v="0"/>
    <n v="0"/>
    <x v="0"/>
    <n v="5"/>
    <n v="0"/>
    <n v="3"/>
    <n v="0"/>
    <n v="0"/>
    <n v="0.31464530892448511"/>
    <n v="0.20737986270022885"/>
    <n v="0.31464530892448511"/>
    <n v="2200"/>
    <n v="7.1510297482837534E-2"/>
    <n v="500.00000000000006"/>
    <n v="0.38615560640732266"/>
    <n v="2700"/>
    <n v="5.4"/>
    <n v="0.6138443935926774"/>
    <n v="4292"/>
    <n v="8.6"/>
    <n v="14"/>
    <n v="225"/>
    <n v="0.64359267734553771"/>
    <n v="4500"/>
    <n v="0"/>
    <n v="0"/>
    <n v="350"/>
    <n v="125"/>
    <n v="0.35640732265446229"/>
    <n v="0"/>
    <n v="3500"/>
    <n v="0"/>
    <n v="0"/>
    <n v="0"/>
    <n v="3500"/>
    <n v="0.50057208237986273"/>
    <n v="0.49942791762013727"/>
    <n v="0.50057208237986273"/>
    <n v="0"/>
    <n v="0"/>
    <n v="50"/>
    <n v="1000"/>
    <n v="0"/>
    <n v="5000"/>
    <x v="1"/>
    <s v="Yes"/>
    <s v="KMSS-MYT"/>
    <x v="0"/>
    <x v="0"/>
    <x v="1"/>
    <n v="24.755253"/>
    <n v="97.546893999999995"/>
    <s v="MMR001CMP116"/>
    <x v="0"/>
    <m/>
  </r>
  <r>
    <x v="0"/>
    <x v="5"/>
    <x v="5"/>
    <s v="DFID"/>
    <x v="0"/>
    <x v="2"/>
    <x v="1"/>
    <x v="142"/>
    <n v="347"/>
    <n v="2065"/>
    <d v="2018-08-01T00:00:00"/>
    <d v="2020-07-31T00:00:00"/>
    <n v="80"/>
    <n v="1"/>
    <n v="0"/>
    <n v="0"/>
    <s v="Yes"/>
    <n v="1"/>
    <n v="3"/>
    <n v="4"/>
    <n v="0"/>
    <n v="4"/>
    <n v="0"/>
    <n v="7"/>
    <n v="0"/>
    <n v="0"/>
    <n v="0"/>
    <n v="0"/>
    <n v="0"/>
    <n v="0"/>
    <n v="0"/>
    <n v="0"/>
    <n v="0"/>
    <n v="0"/>
    <m/>
    <m/>
    <m/>
    <m/>
    <n v="0"/>
    <n v="0"/>
    <m/>
    <n v="13"/>
    <n v="28"/>
    <s v="KBC &amp; World vision"/>
    <n v="0"/>
    <n v="0"/>
    <n v="15"/>
    <m/>
    <n v="0"/>
    <x v="0"/>
    <x v="0"/>
    <n v="0"/>
    <n v="0"/>
    <n v="0"/>
    <m/>
    <n v="5"/>
    <n v="0"/>
    <n v="0"/>
    <n v="4"/>
    <n v="0"/>
    <n v="0"/>
    <n v="0"/>
    <n v="0"/>
    <n v="0"/>
    <s v="No"/>
    <n v="4"/>
    <n v="0"/>
    <m/>
    <s v="no test"/>
    <s v="no test"/>
    <x v="1"/>
    <n v="4"/>
    <n v="7"/>
    <n v="0"/>
    <n v="0"/>
    <n v="0"/>
    <n v="1"/>
    <n v="1"/>
    <n v="1"/>
    <n v="2065"/>
    <n v="0"/>
    <n v="0"/>
    <n v="1"/>
    <n v="2065"/>
    <n v="4.13"/>
    <n v="0"/>
    <n v="0"/>
    <n v="0"/>
    <n v="4"/>
    <n v="41"/>
    <n v="0.39709443099273606"/>
    <n v="820"/>
    <n v="300"/>
    <n v="0"/>
    <n v="103"/>
    <n v="62"/>
    <n v="0.602905569007264"/>
    <n v="0"/>
    <n v="0"/>
    <n v="0"/>
    <n v="0"/>
    <n v="0"/>
    <n v="0"/>
    <n v="0"/>
    <n v="1"/>
    <n v="0"/>
    <n v="0"/>
    <n v="0"/>
    <n v="5"/>
    <n v="100"/>
    <n v="0"/>
    <n v="500"/>
    <x v="1"/>
    <s v="Yes"/>
    <s v="Shalom"/>
    <x v="0"/>
    <x v="0"/>
    <x v="0"/>
    <n v="25.424529444444399"/>
    <n v="97.433419259259296"/>
    <s v="MMR001CMP031"/>
    <x v="0"/>
    <m/>
  </r>
  <r>
    <x v="0"/>
    <x v="2"/>
    <x v="2"/>
    <m/>
    <x v="0"/>
    <x v="12"/>
    <x v="1"/>
    <x v="143"/>
    <n v="36"/>
    <n v="152"/>
    <m/>
    <m/>
    <m/>
    <m/>
    <m/>
    <m/>
    <m/>
    <m/>
    <m/>
    <m/>
    <m/>
    <m/>
    <m/>
    <m/>
    <m/>
    <m/>
    <m/>
    <m/>
    <m/>
    <m/>
    <m/>
    <m/>
    <m/>
    <m/>
    <m/>
    <m/>
    <m/>
    <m/>
    <m/>
    <m/>
    <m/>
    <m/>
    <m/>
    <m/>
    <m/>
    <m/>
    <m/>
    <m/>
    <m/>
    <x v="1"/>
    <x v="1"/>
    <m/>
    <m/>
    <m/>
    <m/>
    <m/>
    <m/>
    <m/>
    <m/>
    <m/>
    <m/>
    <m/>
    <m/>
    <m/>
    <m/>
    <m/>
    <m/>
    <m/>
    <s v="no test"/>
    <s v="no test"/>
    <x v="1"/>
    <n v="0"/>
    <n v="0"/>
    <n v="0"/>
    <n v="0"/>
    <n v="0"/>
    <n v="0"/>
    <n v="0"/>
    <n v="0"/>
    <n v="0"/>
    <n v="0"/>
    <n v="0"/>
    <n v="0"/>
    <n v="0"/>
    <n v="0"/>
    <n v="1"/>
    <n v="152"/>
    <n v="1"/>
    <n v="1"/>
    <n v="0"/>
    <n v="0"/>
    <n v="0"/>
    <n v="0"/>
    <n v="0"/>
    <n v="8"/>
    <n v="8"/>
    <n v="1"/>
    <n v="0"/>
    <n v="0"/>
    <n v="0"/>
    <n v="0"/>
    <n v="0"/>
    <n v="0"/>
    <n v="0"/>
    <n v="1"/>
    <n v="0"/>
    <n v="0"/>
    <n v="0"/>
    <n v="0"/>
    <n v="0"/>
    <n v="0"/>
    <n v="0"/>
    <x v="0"/>
    <s v="Yes"/>
    <s v="KMSS-MYT"/>
    <x v="0"/>
    <x v="0"/>
    <x v="0"/>
    <n v="0"/>
    <n v="0"/>
    <s v="MMR001CMP254"/>
    <x v="1"/>
    <m/>
  </r>
  <r>
    <x v="0"/>
    <x v="4"/>
    <x v="4"/>
    <s v="Plan/GFFO,ADRA/CANADA  "/>
    <x v="0"/>
    <x v="3"/>
    <x v="1"/>
    <x v="144"/>
    <n v="69"/>
    <n v="351"/>
    <d v="2019-04-01T00:00:00"/>
    <d v="2019-07-31T00:00:00"/>
    <m/>
    <m/>
    <m/>
    <m/>
    <s v="Yes"/>
    <m/>
    <m/>
    <n v="0"/>
    <m/>
    <m/>
    <n v="2"/>
    <m/>
    <m/>
    <m/>
    <m/>
    <m/>
    <m/>
    <m/>
    <m/>
    <m/>
    <m/>
    <n v="2"/>
    <m/>
    <m/>
    <m/>
    <m/>
    <m/>
    <m/>
    <m/>
    <n v="11"/>
    <m/>
    <m/>
    <m/>
    <m/>
    <n v="60"/>
    <m/>
    <n v="11"/>
    <x v="0"/>
    <x v="0"/>
    <m/>
    <m/>
    <m/>
    <m/>
    <m/>
    <m/>
    <m/>
    <n v="2"/>
    <m/>
    <m/>
    <n v="1"/>
    <m/>
    <m/>
    <m/>
    <m/>
    <m/>
    <m/>
    <s v="no test"/>
    <s v="no test"/>
    <x v="1"/>
    <n v="0"/>
    <n v="2"/>
    <n v="0"/>
    <n v="0"/>
    <n v="0"/>
    <n v="1"/>
    <n v="1"/>
    <n v="1"/>
    <n v="351"/>
    <n v="0"/>
    <n v="0"/>
    <n v="1"/>
    <n v="351"/>
    <n v="0.70199999999999996"/>
    <n v="0"/>
    <n v="0"/>
    <n v="0.29800000000000004"/>
    <n v="1"/>
    <n v="11"/>
    <n v="0.62678062678062674"/>
    <n v="220"/>
    <n v="351"/>
    <n v="0"/>
    <n v="18"/>
    <n v="7"/>
    <n v="0.37321937321937326"/>
    <n v="0"/>
    <n v="351"/>
    <n v="0"/>
    <n v="0"/>
    <n v="0"/>
    <n v="351"/>
    <n v="1"/>
    <n v="0"/>
    <n v="1"/>
    <n v="0"/>
    <n v="0"/>
    <n v="0"/>
    <n v="0"/>
    <n v="0"/>
    <n v="0"/>
    <x v="0"/>
    <s v="Yes"/>
    <s v="KBC-MYT"/>
    <x v="0"/>
    <x v="0"/>
    <x v="0"/>
    <n v="25.415482000000001"/>
    <n v="97.386718999999999"/>
    <s v="MMR001CMP001"/>
    <x v="0"/>
    <m/>
  </r>
  <r>
    <x v="0"/>
    <x v="4"/>
    <x v="4"/>
    <s v="Plan/GFFO,ADRA/CANADA  "/>
    <x v="0"/>
    <x v="3"/>
    <x v="1"/>
    <x v="145"/>
    <n v="30"/>
    <n v="165"/>
    <d v="2019-04-01T00:00:00"/>
    <d v="2019-07-31T00:00:00"/>
    <m/>
    <m/>
    <m/>
    <m/>
    <s v="Yes"/>
    <m/>
    <m/>
    <n v="0"/>
    <m/>
    <m/>
    <n v="2"/>
    <m/>
    <m/>
    <m/>
    <m/>
    <m/>
    <m/>
    <m/>
    <m/>
    <m/>
    <m/>
    <n v="3"/>
    <m/>
    <m/>
    <m/>
    <m/>
    <m/>
    <m/>
    <m/>
    <n v="5"/>
    <m/>
    <m/>
    <m/>
    <m/>
    <n v="24"/>
    <m/>
    <n v="5"/>
    <x v="0"/>
    <x v="0"/>
    <m/>
    <m/>
    <m/>
    <m/>
    <m/>
    <m/>
    <m/>
    <n v="2"/>
    <m/>
    <m/>
    <n v="1"/>
    <m/>
    <m/>
    <m/>
    <m/>
    <m/>
    <m/>
    <s v="no test"/>
    <s v="no test"/>
    <x v="1"/>
    <n v="0"/>
    <n v="2"/>
    <n v="0"/>
    <n v="0"/>
    <n v="0"/>
    <n v="1"/>
    <n v="1"/>
    <n v="1"/>
    <n v="165"/>
    <n v="0"/>
    <n v="0"/>
    <n v="1"/>
    <n v="165"/>
    <n v="0.33"/>
    <n v="0"/>
    <n v="0"/>
    <n v="0.66999999999999993"/>
    <n v="1"/>
    <n v="5"/>
    <n v="0.60606060606060608"/>
    <n v="100"/>
    <n v="165"/>
    <n v="0"/>
    <n v="8"/>
    <n v="3"/>
    <n v="0.39393939393939392"/>
    <n v="0"/>
    <n v="165"/>
    <n v="0"/>
    <n v="0"/>
    <n v="0"/>
    <n v="165"/>
    <n v="1"/>
    <n v="0"/>
    <n v="1"/>
    <n v="0"/>
    <n v="0"/>
    <n v="0"/>
    <n v="0"/>
    <n v="0"/>
    <n v="0"/>
    <x v="0"/>
    <s v="Yes"/>
    <s v="KBC-MYT"/>
    <x v="0"/>
    <x v="0"/>
    <x v="0"/>
    <n v="25.404752999999999"/>
    <n v="97.377662999999998"/>
    <s v="MMR001CMP003"/>
    <x v="0"/>
    <m/>
  </r>
  <r>
    <x v="0"/>
    <x v="5"/>
    <x v="5"/>
    <s v="DFID"/>
    <x v="0"/>
    <x v="2"/>
    <x v="1"/>
    <x v="146"/>
    <n v="19"/>
    <n v="82"/>
    <d v="2018-08-01T00:00:00"/>
    <d v="2020-07-31T00:00:00"/>
    <n v="0"/>
    <n v="1"/>
    <n v="0"/>
    <n v="0"/>
    <s v="Yes"/>
    <n v="0"/>
    <n v="4"/>
    <n v="1"/>
    <n v="0"/>
    <n v="0"/>
    <n v="2"/>
    <n v="0"/>
    <n v="0"/>
    <n v="0"/>
    <n v="0"/>
    <n v="0"/>
    <n v="0"/>
    <n v="0"/>
    <n v="0"/>
    <n v="0"/>
    <n v="0"/>
    <n v="0"/>
    <m/>
    <m/>
    <m/>
    <m/>
    <n v="0"/>
    <m/>
    <m/>
    <n v="6"/>
    <n v="0"/>
    <m/>
    <n v="0"/>
    <n v="0"/>
    <n v="0"/>
    <m/>
    <n v="0"/>
    <x v="0"/>
    <x v="0"/>
    <n v="0"/>
    <n v="0"/>
    <n v="0"/>
    <m/>
    <n v="1"/>
    <n v="0"/>
    <n v="0"/>
    <n v="2"/>
    <n v="0"/>
    <n v="0"/>
    <n v="0"/>
    <n v="0"/>
    <n v="0"/>
    <s v="No"/>
    <n v="0"/>
    <n v="0"/>
    <m/>
    <s v="no test"/>
    <s v="no test"/>
    <x v="1"/>
    <n v="1"/>
    <n v="2"/>
    <n v="0"/>
    <n v="0"/>
    <n v="0"/>
    <n v="1"/>
    <n v="1"/>
    <n v="1"/>
    <n v="82"/>
    <n v="0"/>
    <n v="0"/>
    <n v="1"/>
    <n v="82"/>
    <n v="0.16400000000000001"/>
    <n v="0"/>
    <n v="0"/>
    <n v="0.83599999999999997"/>
    <n v="1"/>
    <n v="6"/>
    <n v="1"/>
    <n v="82"/>
    <n v="0"/>
    <n v="0"/>
    <n v="4"/>
    <n v="0"/>
    <n v="0"/>
    <n v="0"/>
    <n v="0"/>
    <n v="0"/>
    <n v="0"/>
    <n v="0"/>
    <n v="0"/>
    <n v="0"/>
    <n v="1"/>
    <n v="0"/>
    <n v="0"/>
    <n v="0"/>
    <n v="1"/>
    <n v="19"/>
    <n v="0"/>
    <n v="82"/>
    <x v="1"/>
    <s v="Yes"/>
    <s v="Shalom"/>
    <x v="0"/>
    <x v="0"/>
    <x v="0"/>
    <n v="25.351965"/>
    <n v="97.345039"/>
    <s v="MMR001CMP033"/>
    <x v="0"/>
    <m/>
  </r>
  <r>
    <x v="0"/>
    <x v="4"/>
    <x v="4"/>
    <s v="Plan/GFFO,ADRA/CANADA  "/>
    <x v="0"/>
    <x v="3"/>
    <x v="1"/>
    <x v="147"/>
    <n v="43"/>
    <n v="219"/>
    <d v="2019-04-01T00:00:00"/>
    <d v="2019-07-31T00:00:00"/>
    <m/>
    <m/>
    <m/>
    <m/>
    <s v="Yes"/>
    <m/>
    <m/>
    <n v="0"/>
    <m/>
    <m/>
    <n v="2"/>
    <m/>
    <m/>
    <m/>
    <m/>
    <m/>
    <m/>
    <m/>
    <m/>
    <m/>
    <m/>
    <n v="3"/>
    <m/>
    <m/>
    <m/>
    <m/>
    <m/>
    <m/>
    <m/>
    <n v="13"/>
    <m/>
    <m/>
    <m/>
    <m/>
    <n v="7"/>
    <m/>
    <n v="13"/>
    <x v="0"/>
    <x v="0"/>
    <m/>
    <m/>
    <m/>
    <m/>
    <m/>
    <m/>
    <m/>
    <n v="3"/>
    <m/>
    <m/>
    <n v="1"/>
    <m/>
    <m/>
    <m/>
    <m/>
    <m/>
    <m/>
    <s v="no test"/>
    <s v="no test"/>
    <x v="1"/>
    <n v="0"/>
    <n v="2"/>
    <n v="0"/>
    <n v="0"/>
    <n v="0"/>
    <n v="1"/>
    <n v="1"/>
    <n v="1"/>
    <n v="219"/>
    <n v="0"/>
    <n v="0"/>
    <n v="1"/>
    <n v="219"/>
    <n v="0.438"/>
    <n v="0"/>
    <n v="0"/>
    <n v="0.56200000000000006"/>
    <n v="1"/>
    <n v="13"/>
    <n v="1"/>
    <n v="219"/>
    <n v="140"/>
    <n v="0"/>
    <n v="11"/>
    <n v="0"/>
    <n v="0"/>
    <n v="0"/>
    <n v="219"/>
    <n v="0"/>
    <n v="0"/>
    <n v="0"/>
    <n v="219"/>
    <n v="1"/>
    <n v="0"/>
    <n v="1"/>
    <n v="0"/>
    <n v="0"/>
    <n v="0"/>
    <n v="0"/>
    <n v="0"/>
    <n v="0"/>
    <x v="0"/>
    <s v="Yes"/>
    <s v="KBC-MYT"/>
    <x v="0"/>
    <x v="0"/>
    <x v="0"/>
    <n v="25.404015000000001"/>
    <n v="97.382192000000003"/>
    <s v="MMR001CMP005"/>
    <x v="0"/>
    <m/>
  </r>
  <r>
    <x v="0"/>
    <x v="2"/>
    <x v="2"/>
    <m/>
    <x v="0"/>
    <x v="12"/>
    <x v="1"/>
    <x v="148"/>
    <n v="127"/>
    <n v="450"/>
    <m/>
    <m/>
    <m/>
    <m/>
    <m/>
    <m/>
    <m/>
    <m/>
    <m/>
    <m/>
    <m/>
    <m/>
    <m/>
    <m/>
    <m/>
    <m/>
    <m/>
    <m/>
    <m/>
    <m/>
    <m/>
    <m/>
    <m/>
    <m/>
    <m/>
    <m/>
    <m/>
    <m/>
    <m/>
    <m/>
    <m/>
    <m/>
    <m/>
    <m/>
    <m/>
    <m/>
    <m/>
    <m/>
    <m/>
    <x v="1"/>
    <x v="1"/>
    <m/>
    <m/>
    <m/>
    <m/>
    <m/>
    <m/>
    <m/>
    <m/>
    <m/>
    <m/>
    <m/>
    <m/>
    <m/>
    <m/>
    <m/>
    <m/>
    <m/>
    <s v="no test"/>
    <s v="no test"/>
    <x v="1"/>
    <n v="0"/>
    <n v="0"/>
    <n v="0"/>
    <n v="0"/>
    <n v="0"/>
    <n v="0"/>
    <n v="0"/>
    <n v="0"/>
    <n v="0"/>
    <n v="0"/>
    <n v="0"/>
    <n v="0"/>
    <n v="0"/>
    <n v="0"/>
    <n v="1"/>
    <n v="450"/>
    <n v="1"/>
    <n v="1"/>
    <n v="0"/>
    <n v="0"/>
    <n v="0"/>
    <n v="0"/>
    <n v="0"/>
    <n v="23"/>
    <n v="23"/>
    <n v="1"/>
    <n v="0"/>
    <n v="0"/>
    <n v="0"/>
    <n v="0"/>
    <n v="0"/>
    <n v="0"/>
    <n v="0"/>
    <n v="1"/>
    <n v="0"/>
    <n v="0"/>
    <n v="0"/>
    <n v="0"/>
    <n v="0"/>
    <n v="0"/>
    <n v="0"/>
    <x v="0"/>
    <s v="Yes"/>
    <s v="KBC-MYT"/>
    <x v="0"/>
    <x v="0"/>
    <x v="0"/>
    <n v="0"/>
    <n v="0"/>
    <s v="MMR001CMP253"/>
    <x v="1"/>
    <m/>
  </r>
  <r>
    <x v="0"/>
    <x v="5"/>
    <x v="5"/>
    <s v="DFID"/>
    <x v="0"/>
    <x v="2"/>
    <x v="1"/>
    <x v="149"/>
    <n v="115"/>
    <n v="493"/>
    <d v="2018-08-01T00:00:00"/>
    <d v="2020-07-31T00:00:00"/>
    <n v="134"/>
    <n v="1"/>
    <n v="0"/>
    <n v="0"/>
    <s v="Yes"/>
    <n v="3"/>
    <n v="4"/>
    <n v="1"/>
    <n v="1"/>
    <n v="0"/>
    <n v="1"/>
    <n v="4"/>
    <n v="1"/>
    <n v="4"/>
    <n v="0"/>
    <n v="0"/>
    <n v="0"/>
    <n v="0"/>
    <n v="0"/>
    <n v="0"/>
    <n v="0"/>
    <n v="0"/>
    <m/>
    <m/>
    <m/>
    <m/>
    <n v="0"/>
    <n v="0"/>
    <m/>
    <n v="0"/>
    <n v="10"/>
    <s v="ICRC"/>
    <n v="0"/>
    <n v="0"/>
    <n v="4"/>
    <m/>
    <n v="0"/>
    <x v="0"/>
    <x v="0"/>
    <n v="0"/>
    <n v="0"/>
    <n v="0"/>
    <m/>
    <n v="5"/>
    <n v="0"/>
    <n v="0"/>
    <n v="2"/>
    <n v="0"/>
    <n v="0"/>
    <n v="0"/>
    <n v="0"/>
    <n v="0"/>
    <s v="Yes"/>
    <n v="20"/>
    <n v="0.2"/>
    <m/>
    <s v="no test"/>
    <s v="no test"/>
    <x v="1"/>
    <n v="0"/>
    <n v="4"/>
    <n v="0"/>
    <n v="0"/>
    <n v="0"/>
    <n v="1"/>
    <n v="1"/>
    <n v="1"/>
    <n v="493"/>
    <n v="0"/>
    <n v="0"/>
    <n v="1"/>
    <n v="493"/>
    <n v="0.98599999999999999"/>
    <n v="0"/>
    <n v="0"/>
    <n v="1.4000000000000012E-2"/>
    <n v="1"/>
    <n v="10"/>
    <n v="0.40567951318458417"/>
    <n v="200"/>
    <n v="80"/>
    <n v="0"/>
    <n v="25"/>
    <n v="15"/>
    <n v="0.59432048681541583"/>
    <n v="0"/>
    <n v="0"/>
    <n v="0"/>
    <n v="0"/>
    <n v="0"/>
    <n v="0"/>
    <n v="0"/>
    <n v="1"/>
    <n v="0"/>
    <n v="0"/>
    <n v="0"/>
    <n v="5"/>
    <n v="100"/>
    <n v="0"/>
    <n v="493"/>
    <x v="1"/>
    <s v="Yes"/>
    <s v="Shalom"/>
    <x v="0"/>
    <x v="0"/>
    <x v="0"/>
    <n v="25.3540362037037"/>
    <n v="97.441166388888902"/>
    <s v="MMR001CMP032"/>
    <x v="0"/>
    <m/>
  </r>
  <r>
    <x v="0"/>
    <x v="4"/>
    <x v="4"/>
    <s v="ADRA/CANADA"/>
    <x v="0"/>
    <x v="3"/>
    <x v="1"/>
    <x v="150"/>
    <n v="18"/>
    <n v="87"/>
    <d v="2019-04-01T00:00:00"/>
    <d v="2019-07-31T00:00:00"/>
    <m/>
    <m/>
    <m/>
    <m/>
    <s v="Yes"/>
    <m/>
    <m/>
    <n v="0"/>
    <m/>
    <m/>
    <n v="0"/>
    <m/>
    <m/>
    <m/>
    <n v="1"/>
    <m/>
    <m/>
    <m/>
    <m/>
    <m/>
    <m/>
    <n v="0"/>
    <m/>
    <m/>
    <m/>
    <m/>
    <m/>
    <m/>
    <m/>
    <n v="10"/>
    <m/>
    <m/>
    <m/>
    <m/>
    <m/>
    <m/>
    <n v="10"/>
    <x v="0"/>
    <x v="0"/>
    <m/>
    <m/>
    <m/>
    <m/>
    <m/>
    <m/>
    <m/>
    <n v="0"/>
    <m/>
    <m/>
    <n v="1"/>
    <m/>
    <m/>
    <m/>
    <m/>
    <m/>
    <m/>
    <s v="no test"/>
    <s v="no test"/>
    <x v="1"/>
    <n v="0"/>
    <n v="0"/>
    <n v="1"/>
    <n v="0"/>
    <n v="0"/>
    <n v="0.76628352490421459"/>
    <n v="0.76628352490421459"/>
    <n v="0.76628352490421459"/>
    <n v="66.666666666666671"/>
    <n v="0"/>
    <n v="0"/>
    <n v="0.76628352490421459"/>
    <n v="66.666666666666671"/>
    <n v="0.13333333333333333"/>
    <n v="0.23371647509578541"/>
    <n v="20.333333333333332"/>
    <n v="0.8666666666666667"/>
    <n v="1"/>
    <n v="10"/>
    <n v="1"/>
    <n v="87"/>
    <n v="0"/>
    <n v="0"/>
    <n v="4"/>
    <n v="0"/>
    <n v="0"/>
    <n v="0"/>
    <n v="87"/>
    <n v="0"/>
    <n v="0"/>
    <n v="0"/>
    <n v="87"/>
    <n v="1"/>
    <n v="0"/>
    <n v="1"/>
    <n v="0"/>
    <n v="0"/>
    <n v="0"/>
    <n v="0"/>
    <n v="0"/>
    <n v="0"/>
    <x v="0"/>
    <n v="0"/>
    <s v="uncovered"/>
    <x v="0"/>
    <x v="2"/>
    <x v="0"/>
    <n v="0"/>
    <n v="0"/>
    <s v="MMR001CMP267"/>
    <x v="0"/>
    <m/>
  </r>
  <r>
    <x v="0"/>
    <x v="5"/>
    <x v="5"/>
    <s v="DFID"/>
    <x v="0"/>
    <x v="2"/>
    <x v="1"/>
    <x v="151"/>
    <n v="36"/>
    <n v="189"/>
    <d v="2018-08-01T00:00:00"/>
    <d v="2020-07-31T00:00:00"/>
    <n v="0"/>
    <n v="1"/>
    <n v="0"/>
    <n v="0"/>
    <s v="Yes"/>
    <n v="2"/>
    <n v="2"/>
    <n v="2"/>
    <n v="0"/>
    <n v="0"/>
    <n v="0"/>
    <n v="2"/>
    <n v="0"/>
    <n v="0"/>
    <n v="0"/>
    <n v="0"/>
    <n v="0"/>
    <n v="0"/>
    <n v="0"/>
    <n v="0"/>
    <n v="0"/>
    <n v="0"/>
    <m/>
    <m/>
    <m/>
    <m/>
    <n v="0"/>
    <n v="0"/>
    <m/>
    <n v="8"/>
    <n v="0"/>
    <n v="0"/>
    <n v="0"/>
    <n v="0"/>
    <n v="8"/>
    <m/>
    <n v="0"/>
    <x v="0"/>
    <x v="0"/>
    <n v="0"/>
    <n v="0"/>
    <n v="0"/>
    <m/>
    <n v="3"/>
    <n v="1"/>
    <n v="4"/>
    <n v="4"/>
    <n v="0"/>
    <n v="0"/>
    <n v="0"/>
    <n v="0"/>
    <n v="0"/>
    <s v="No"/>
    <n v="0"/>
    <n v="0"/>
    <m/>
    <s v="no test"/>
    <s v="no test"/>
    <x v="1"/>
    <n v="2"/>
    <n v="2"/>
    <n v="0"/>
    <n v="0"/>
    <n v="0"/>
    <n v="1"/>
    <n v="1"/>
    <n v="1"/>
    <n v="189"/>
    <n v="0"/>
    <n v="0"/>
    <n v="1"/>
    <n v="189"/>
    <n v="0.378"/>
    <n v="0"/>
    <n v="0"/>
    <n v="0.622"/>
    <n v="1"/>
    <n v="8"/>
    <n v="0.84656084656084651"/>
    <n v="160"/>
    <n v="160"/>
    <n v="0"/>
    <n v="9"/>
    <n v="1"/>
    <n v="0.15343915343915349"/>
    <n v="0"/>
    <n v="0"/>
    <n v="0"/>
    <n v="0"/>
    <n v="0"/>
    <n v="0"/>
    <n v="0"/>
    <n v="1"/>
    <n v="0"/>
    <n v="0"/>
    <n v="0"/>
    <n v="2"/>
    <n v="36"/>
    <n v="0"/>
    <n v="189"/>
    <x v="1"/>
    <s v="Yes"/>
    <s v="Shalom"/>
    <x v="0"/>
    <x v="0"/>
    <x v="0"/>
    <n v="25.345918166666699"/>
    <n v="97.437472666666693"/>
    <s v="MMR001CMP030"/>
    <x v="0"/>
    <m/>
  </r>
  <r>
    <x v="0"/>
    <x v="2"/>
    <x v="2"/>
    <m/>
    <x v="0"/>
    <x v="2"/>
    <x v="1"/>
    <x v="152"/>
    <n v="80"/>
    <n v="449"/>
    <m/>
    <m/>
    <m/>
    <m/>
    <m/>
    <m/>
    <m/>
    <m/>
    <m/>
    <m/>
    <m/>
    <m/>
    <m/>
    <m/>
    <m/>
    <m/>
    <m/>
    <m/>
    <m/>
    <m/>
    <m/>
    <m/>
    <m/>
    <m/>
    <m/>
    <m/>
    <m/>
    <m/>
    <m/>
    <m/>
    <m/>
    <m/>
    <m/>
    <m/>
    <m/>
    <m/>
    <m/>
    <m/>
    <m/>
    <x v="1"/>
    <x v="1"/>
    <m/>
    <m/>
    <m/>
    <m/>
    <m/>
    <m/>
    <m/>
    <m/>
    <m/>
    <m/>
    <m/>
    <m/>
    <m/>
    <m/>
    <m/>
    <m/>
    <m/>
    <s v="no test"/>
    <s v="no test"/>
    <x v="1"/>
    <n v="0"/>
    <n v="0"/>
    <n v="0"/>
    <n v="0"/>
    <n v="0"/>
    <n v="0"/>
    <n v="0"/>
    <n v="0"/>
    <n v="0"/>
    <n v="0"/>
    <n v="0"/>
    <n v="0"/>
    <n v="0"/>
    <n v="0"/>
    <n v="1"/>
    <n v="449"/>
    <n v="1"/>
    <n v="1"/>
    <n v="0"/>
    <n v="0"/>
    <n v="0"/>
    <n v="0"/>
    <n v="0"/>
    <n v="22"/>
    <n v="22"/>
    <n v="1"/>
    <n v="0"/>
    <n v="0"/>
    <n v="0"/>
    <n v="0"/>
    <n v="0"/>
    <n v="0"/>
    <n v="0"/>
    <n v="1"/>
    <n v="0"/>
    <n v="0"/>
    <n v="0"/>
    <n v="0"/>
    <n v="0"/>
    <n v="0"/>
    <n v="0"/>
    <x v="0"/>
    <n v="0"/>
    <s v="uncovered"/>
    <x v="0"/>
    <x v="2"/>
    <x v="0"/>
    <n v="0"/>
    <n v="0"/>
    <s v="MMR001CMP258"/>
    <x v="1"/>
    <m/>
  </r>
  <r>
    <x v="0"/>
    <x v="4"/>
    <x v="4"/>
    <s v="ADRA/CANADA"/>
    <x v="0"/>
    <x v="3"/>
    <x v="1"/>
    <x v="153"/>
    <n v="169"/>
    <n v="724"/>
    <d v="2019-04-01T00:00:00"/>
    <d v="2019-07-31T00:00:00"/>
    <m/>
    <m/>
    <m/>
    <m/>
    <s v="Yes"/>
    <m/>
    <m/>
    <n v="1"/>
    <m/>
    <m/>
    <n v="3"/>
    <m/>
    <m/>
    <m/>
    <m/>
    <m/>
    <m/>
    <n v="900"/>
    <m/>
    <m/>
    <m/>
    <n v="4"/>
    <m/>
    <m/>
    <m/>
    <m/>
    <m/>
    <m/>
    <m/>
    <n v="28"/>
    <m/>
    <m/>
    <m/>
    <m/>
    <n v="7"/>
    <m/>
    <n v="10"/>
    <x v="0"/>
    <x v="0"/>
    <m/>
    <m/>
    <m/>
    <m/>
    <m/>
    <m/>
    <m/>
    <n v="0"/>
    <m/>
    <m/>
    <n v="2"/>
    <m/>
    <m/>
    <m/>
    <m/>
    <m/>
    <m/>
    <s v="no test"/>
    <s v="no test"/>
    <x v="1"/>
    <n v="1"/>
    <n v="3"/>
    <n v="0"/>
    <n v="900"/>
    <n v="0"/>
    <n v="1"/>
    <n v="1"/>
    <n v="1"/>
    <n v="724"/>
    <n v="0"/>
    <n v="0"/>
    <n v="1"/>
    <n v="724"/>
    <n v="1.448"/>
    <n v="0"/>
    <n v="0"/>
    <n v="0"/>
    <n v="1"/>
    <n v="28"/>
    <n v="0.77348066298342544"/>
    <n v="560"/>
    <n v="140"/>
    <n v="0"/>
    <n v="36"/>
    <n v="8"/>
    <n v="0.22651933701657456"/>
    <n v="0"/>
    <n v="724"/>
    <n v="0"/>
    <n v="0"/>
    <n v="0"/>
    <n v="724"/>
    <n v="1"/>
    <n v="0"/>
    <n v="1"/>
    <n v="0"/>
    <n v="0"/>
    <n v="0"/>
    <n v="0"/>
    <n v="0"/>
    <n v="0"/>
    <x v="0"/>
    <s v="Yes"/>
    <s v="KBC-MYT"/>
    <x v="0"/>
    <x v="0"/>
    <x v="0"/>
    <n v="25.480989999999998"/>
    <n v="97.431079999999994"/>
    <s v="MMR001CMP263"/>
    <x v="0"/>
    <m/>
  </r>
  <r>
    <x v="0"/>
    <x v="4"/>
    <x v="4"/>
    <s v="ADRA/CANADA"/>
    <x v="0"/>
    <x v="2"/>
    <x v="1"/>
    <x v="154"/>
    <n v="79"/>
    <n v="356"/>
    <d v="2019-04-01T00:00:00"/>
    <d v="2019-07-31T00:00:00"/>
    <m/>
    <m/>
    <m/>
    <m/>
    <s v="Yes"/>
    <m/>
    <m/>
    <n v="0"/>
    <m/>
    <m/>
    <n v="1"/>
    <m/>
    <m/>
    <m/>
    <m/>
    <m/>
    <m/>
    <m/>
    <m/>
    <m/>
    <m/>
    <n v="3"/>
    <m/>
    <m/>
    <m/>
    <m/>
    <m/>
    <m/>
    <m/>
    <n v="6"/>
    <m/>
    <m/>
    <m/>
    <m/>
    <n v="2"/>
    <m/>
    <n v="6"/>
    <x v="0"/>
    <x v="0"/>
    <m/>
    <m/>
    <m/>
    <m/>
    <m/>
    <m/>
    <m/>
    <n v="0"/>
    <m/>
    <m/>
    <n v="1"/>
    <m/>
    <m/>
    <m/>
    <m/>
    <m/>
    <m/>
    <s v="no test"/>
    <s v="no test"/>
    <x v="1"/>
    <n v="0"/>
    <n v="1"/>
    <n v="0"/>
    <n v="0"/>
    <n v="0"/>
    <n v="1"/>
    <n v="0.702247191011236"/>
    <n v="1"/>
    <n v="356"/>
    <n v="0"/>
    <n v="0"/>
    <n v="1"/>
    <n v="356"/>
    <n v="0.71199999999999997"/>
    <n v="0"/>
    <n v="0"/>
    <n v="0.28800000000000003"/>
    <n v="1"/>
    <n v="6"/>
    <n v="0.33707865168539325"/>
    <n v="120"/>
    <n v="40"/>
    <n v="0"/>
    <n v="18"/>
    <n v="12"/>
    <n v="0.66292134831460681"/>
    <n v="0"/>
    <n v="356"/>
    <n v="0"/>
    <n v="0"/>
    <n v="0"/>
    <n v="356"/>
    <n v="1"/>
    <n v="0"/>
    <n v="1"/>
    <n v="0"/>
    <n v="0"/>
    <n v="0"/>
    <n v="0"/>
    <n v="0"/>
    <n v="0"/>
    <x v="0"/>
    <s v="Yes"/>
    <s v="KBC-MYT"/>
    <x v="0"/>
    <x v="0"/>
    <x v="0"/>
    <n v="0"/>
    <n v="0"/>
    <s v="MMR001CMP269"/>
    <x v="0"/>
    <m/>
  </r>
  <r>
    <x v="0"/>
    <x v="5"/>
    <x v="5"/>
    <s v="DFID"/>
    <x v="0"/>
    <x v="2"/>
    <x v="1"/>
    <x v="155"/>
    <n v="45"/>
    <n v="186"/>
    <d v="2018-08-01T00:00:00"/>
    <d v="2020-07-31T00:00:00"/>
    <n v="0"/>
    <n v="1"/>
    <n v="0"/>
    <n v="0"/>
    <s v="Yes"/>
    <n v="0"/>
    <n v="5"/>
    <n v="1"/>
    <n v="1"/>
    <n v="0"/>
    <n v="0"/>
    <n v="1"/>
    <n v="1"/>
    <n v="0"/>
    <n v="0"/>
    <n v="0"/>
    <n v="0"/>
    <n v="0"/>
    <n v="0"/>
    <n v="0"/>
    <n v="0"/>
    <n v="0"/>
    <m/>
    <m/>
    <m/>
    <m/>
    <n v="0"/>
    <n v="0"/>
    <m/>
    <n v="0"/>
    <n v="7"/>
    <s v="UNHCR &amp; World vision"/>
    <n v="0"/>
    <n v="0"/>
    <n v="0"/>
    <m/>
    <n v="0"/>
    <x v="0"/>
    <x v="0"/>
    <n v="0"/>
    <n v="0"/>
    <n v="0"/>
    <m/>
    <n v="2"/>
    <n v="0"/>
    <n v="0"/>
    <n v="2"/>
    <n v="2"/>
    <n v="0"/>
    <n v="0"/>
    <n v="0"/>
    <n v="0"/>
    <s v="No"/>
    <n v="0"/>
    <n v="0"/>
    <m/>
    <s v="no test"/>
    <s v="no test"/>
    <x v="1"/>
    <n v="0"/>
    <n v="0"/>
    <n v="0"/>
    <n v="0"/>
    <n v="0"/>
    <n v="0"/>
    <n v="0"/>
    <n v="0"/>
    <n v="0"/>
    <n v="0"/>
    <n v="0"/>
    <n v="0"/>
    <n v="0"/>
    <n v="0"/>
    <n v="1"/>
    <n v="186"/>
    <n v="1"/>
    <n v="1"/>
    <n v="7"/>
    <n v="0.75268817204301075"/>
    <n v="140"/>
    <n v="0"/>
    <n v="0"/>
    <n v="9"/>
    <n v="2"/>
    <n v="0.24731182795698925"/>
    <n v="0"/>
    <n v="0"/>
    <n v="0"/>
    <n v="0"/>
    <n v="0"/>
    <n v="0"/>
    <n v="0"/>
    <n v="1"/>
    <n v="0"/>
    <n v="0"/>
    <n v="0"/>
    <n v="2"/>
    <n v="40"/>
    <n v="0"/>
    <n v="186"/>
    <x v="1"/>
    <s v="Yes"/>
    <s v="Shalom"/>
    <x v="0"/>
    <x v="0"/>
    <x v="0"/>
    <n v="25.333683333333301"/>
    <n v="97.428251153846105"/>
    <s v="MMR001CMP037"/>
    <x v="0"/>
    <m/>
  </r>
  <r>
    <x v="0"/>
    <x v="4"/>
    <x v="4"/>
    <m/>
    <x v="0"/>
    <x v="4"/>
    <x v="0"/>
    <x v="156"/>
    <n v="78"/>
    <n v="324"/>
    <m/>
    <m/>
    <m/>
    <m/>
    <m/>
    <m/>
    <m/>
    <m/>
    <m/>
    <n v="0"/>
    <m/>
    <m/>
    <n v="0"/>
    <m/>
    <m/>
    <m/>
    <m/>
    <m/>
    <m/>
    <m/>
    <m/>
    <m/>
    <m/>
    <n v="0"/>
    <m/>
    <m/>
    <m/>
    <m/>
    <m/>
    <m/>
    <m/>
    <n v="0"/>
    <m/>
    <m/>
    <m/>
    <m/>
    <m/>
    <m/>
    <n v="0"/>
    <x v="2"/>
    <x v="2"/>
    <m/>
    <m/>
    <m/>
    <m/>
    <m/>
    <m/>
    <m/>
    <m/>
    <m/>
    <m/>
    <m/>
    <m/>
    <m/>
    <m/>
    <m/>
    <m/>
    <m/>
    <s v="no test"/>
    <s v="no test"/>
    <x v="1"/>
    <n v="0"/>
    <n v="0"/>
    <n v="0"/>
    <n v="0"/>
    <n v="0"/>
    <n v="0"/>
    <n v="0"/>
    <n v="0"/>
    <n v="0"/>
    <n v="0"/>
    <n v="0"/>
    <n v="0"/>
    <n v="0"/>
    <n v="0"/>
    <n v="1"/>
    <n v="324"/>
    <n v="1"/>
    <n v="1"/>
    <n v="0"/>
    <n v="0"/>
    <n v="0"/>
    <n v="0"/>
    <n v="0"/>
    <n v="16"/>
    <n v="16"/>
    <n v="1"/>
    <n v="0"/>
    <n v="0"/>
    <n v="0"/>
    <n v="0"/>
    <n v="0"/>
    <n v="0"/>
    <n v="0"/>
    <n v="1"/>
    <n v="0"/>
    <n v="0"/>
    <n v="0"/>
    <n v="0"/>
    <n v="0"/>
    <n v="0"/>
    <n v="0"/>
    <x v="0"/>
    <n v="0"/>
    <n v="0"/>
    <x v="0"/>
    <x v="2"/>
    <x v="1"/>
    <n v="0"/>
    <n v="0"/>
    <n v="0"/>
    <x v="0"/>
    <m/>
  </r>
  <r>
    <x v="0"/>
    <x v="5"/>
    <x v="5"/>
    <s v="DFID"/>
    <x v="0"/>
    <x v="2"/>
    <x v="1"/>
    <x v="157"/>
    <n v="66"/>
    <n v="263"/>
    <d v="2018-08-01T00:00:00"/>
    <d v="2020-07-31T00:00:00"/>
    <n v="0"/>
    <n v="1"/>
    <n v="0"/>
    <n v="0"/>
    <s v="Yes"/>
    <n v="3"/>
    <n v="2"/>
    <n v="3"/>
    <n v="0"/>
    <n v="2"/>
    <n v="1"/>
    <n v="3"/>
    <n v="0"/>
    <n v="2"/>
    <n v="0"/>
    <n v="0"/>
    <n v="0"/>
    <n v="0"/>
    <n v="0"/>
    <n v="0"/>
    <n v="0"/>
    <n v="0"/>
    <m/>
    <m/>
    <m/>
    <m/>
    <n v="0"/>
    <n v="0"/>
    <m/>
    <n v="0"/>
    <n v="7"/>
    <n v="0"/>
    <n v="2"/>
    <n v="0"/>
    <n v="2"/>
    <m/>
    <n v="0"/>
    <x v="0"/>
    <x v="0"/>
    <n v="0"/>
    <n v="0"/>
    <n v="0"/>
    <m/>
    <n v="2"/>
    <n v="0"/>
    <n v="0"/>
    <n v="4"/>
    <n v="0"/>
    <n v="0"/>
    <n v="0"/>
    <n v="0"/>
    <n v="0"/>
    <s v="No"/>
    <n v="0"/>
    <n v="0"/>
    <m/>
    <s v="no test"/>
    <s v="no test"/>
    <x v="1"/>
    <n v="3"/>
    <n v="4"/>
    <n v="0"/>
    <n v="0"/>
    <n v="0"/>
    <n v="1"/>
    <n v="1"/>
    <n v="1"/>
    <n v="263"/>
    <n v="0"/>
    <n v="0"/>
    <n v="1"/>
    <n v="263"/>
    <n v="0.52600000000000002"/>
    <n v="0"/>
    <n v="0"/>
    <n v="0.47399999999999998"/>
    <n v="1"/>
    <n v="5"/>
    <n v="0.38022813688212925"/>
    <n v="100"/>
    <n v="40"/>
    <n v="0"/>
    <n v="13"/>
    <n v="6"/>
    <n v="0.6197718631178708"/>
    <n v="0.2857142857142857"/>
    <n v="0"/>
    <n v="0"/>
    <n v="0"/>
    <n v="0"/>
    <n v="0"/>
    <n v="0"/>
    <n v="1"/>
    <n v="0"/>
    <n v="0"/>
    <n v="0"/>
    <n v="2"/>
    <n v="40"/>
    <n v="0"/>
    <n v="200"/>
    <x v="1"/>
    <s v="Yes"/>
    <s v="Shalom"/>
    <x v="0"/>
    <x v="0"/>
    <x v="0"/>
    <n v="25.351250396825399"/>
    <n v="97.444283730158702"/>
    <s v="MMR001CMP038"/>
    <x v="0"/>
    <m/>
  </r>
  <r>
    <x v="0"/>
    <x v="1"/>
    <x v="1"/>
    <s v="WHH-BMZ,WHH-AA"/>
    <x v="0"/>
    <x v="2"/>
    <x v="0"/>
    <x v="158"/>
    <n v="134"/>
    <n v="709"/>
    <m/>
    <d v="2018-06-30T00:00:00"/>
    <m/>
    <m/>
    <m/>
    <m/>
    <m/>
    <m/>
    <m/>
    <m/>
    <m/>
    <m/>
    <m/>
    <m/>
    <m/>
    <m/>
    <m/>
    <m/>
    <m/>
    <m/>
    <m/>
    <m/>
    <m/>
    <m/>
    <m/>
    <m/>
    <m/>
    <m/>
    <m/>
    <m/>
    <m/>
    <m/>
    <m/>
    <m/>
    <m/>
    <m/>
    <m/>
    <m/>
    <m/>
    <x v="0"/>
    <x v="3"/>
    <m/>
    <m/>
    <m/>
    <m/>
    <m/>
    <m/>
    <m/>
    <m/>
    <m/>
    <m/>
    <m/>
    <m/>
    <m/>
    <m/>
    <m/>
    <m/>
    <m/>
    <s v="no test"/>
    <s v="no test"/>
    <x v="1"/>
    <n v="0"/>
    <n v="0"/>
    <n v="0"/>
    <n v="0"/>
    <n v="0"/>
    <n v="0"/>
    <n v="0"/>
    <n v="0"/>
    <n v="0"/>
    <n v="0"/>
    <n v="0"/>
    <n v="0"/>
    <n v="0"/>
    <n v="0"/>
    <n v="1"/>
    <n v="709"/>
    <n v="1"/>
    <n v="1"/>
    <n v="0"/>
    <n v="0"/>
    <n v="0"/>
    <n v="0"/>
    <n v="0"/>
    <n v="35"/>
    <n v="35"/>
    <n v="1"/>
    <n v="0"/>
    <n v="0"/>
    <n v="0"/>
    <n v="0"/>
    <n v="0"/>
    <n v="0"/>
    <n v="0"/>
    <n v="1"/>
    <n v="0"/>
    <n v="0"/>
    <n v="0"/>
    <n v="0"/>
    <n v="0"/>
    <n v="0"/>
    <n v="0"/>
    <x v="0"/>
    <n v="0"/>
    <n v="0"/>
    <x v="0"/>
    <x v="0"/>
    <x v="1"/>
    <n v="0"/>
    <n v="0"/>
    <n v="0"/>
    <x v="0"/>
    <m/>
  </r>
  <r>
    <x v="0"/>
    <x v="1"/>
    <x v="1"/>
    <s v="WHH-BMZ,WHH-AA"/>
    <x v="0"/>
    <x v="2"/>
    <x v="0"/>
    <x v="159"/>
    <n v="546"/>
    <n v="2550"/>
    <m/>
    <d v="2018-06-30T00:00:00"/>
    <m/>
    <m/>
    <m/>
    <m/>
    <m/>
    <m/>
    <m/>
    <m/>
    <m/>
    <m/>
    <m/>
    <m/>
    <m/>
    <m/>
    <m/>
    <m/>
    <m/>
    <m/>
    <m/>
    <m/>
    <m/>
    <m/>
    <m/>
    <m/>
    <m/>
    <m/>
    <m/>
    <m/>
    <m/>
    <m/>
    <m/>
    <m/>
    <m/>
    <m/>
    <m/>
    <m/>
    <m/>
    <x v="2"/>
    <x v="4"/>
    <m/>
    <m/>
    <m/>
    <m/>
    <m/>
    <m/>
    <m/>
    <m/>
    <m/>
    <m/>
    <m/>
    <m/>
    <m/>
    <m/>
    <m/>
    <m/>
    <m/>
    <s v="no test"/>
    <s v="no test"/>
    <x v="1"/>
    <n v="0"/>
    <n v="0"/>
    <n v="0"/>
    <n v="0"/>
    <n v="0"/>
    <n v="0"/>
    <n v="0"/>
    <n v="0"/>
    <n v="0"/>
    <n v="0"/>
    <n v="0"/>
    <n v="0"/>
    <n v="0"/>
    <n v="0"/>
    <n v="1"/>
    <n v="2550"/>
    <n v="5"/>
    <n v="5"/>
    <n v="0"/>
    <n v="0"/>
    <n v="0"/>
    <n v="0"/>
    <n v="0"/>
    <n v="128"/>
    <n v="128"/>
    <n v="1"/>
    <n v="0"/>
    <n v="0"/>
    <n v="0"/>
    <n v="0"/>
    <n v="0"/>
    <n v="0"/>
    <n v="0"/>
    <n v="1"/>
    <n v="0"/>
    <n v="0"/>
    <n v="0"/>
    <n v="0"/>
    <n v="0"/>
    <n v="0"/>
    <n v="0"/>
    <x v="0"/>
    <n v="0"/>
    <n v="0"/>
    <x v="0"/>
    <x v="1"/>
    <x v="1"/>
    <n v="0"/>
    <n v="0"/>
    <n v="0"/>
    <x v="0"/>
    <m/>
  </r>
  <r>
    <x v="0"/>
    <x v="1"/>
    <x v="1"/>
    <s v="WHH-AA / USAID"/>
    <x v="0"/>
    <x v="0"/>
    <x v="1"/>
    <x v="160"/>
    <n v="10"/>
    <n v="59"/>
    <d v="2019-01-01T00:00:00"/>
    <d v="2019-12-31T00:00:00"/>
    <m/>
    <m/>
    <m/>
    <m/>
    <s v="No"/>
    <m/>
    <m/>
    <m/>
    <m/>
    <m/>
    <m/>
    <n v="1"/>
    <m/>
    <m/>
    <m/>
    <m/>
    <m/>
    <m/>
    <m/>
    <m/>
    <m/>
    <m/>
    <m/>
    <m/>
    <m/>
    <m/>
    <m/>
    <m/>
    <m/>
    <n v="10"/>
    <m/>
    <m/>
    <m/>
    <m/>
    <m/>
    <m/>
    <m/>
    <x v="0"/>
    <x v="0"/>
    <m/>
    <m/>
    <m/>
    <m/>
    <n v="1"/>
    <m/>
    <m/>
    <n v="2"/>
    <m/>
    <m/>
    <m/>
    <n v="10"/>
    <n v="2"/>
    <m/>
    <m/>
    <m/>
    <m/>
    <s v="no test"/>
    <s v="no test"/>
    <x v="1"/>
    <n v="0"/>
    <n v="1"/>
    <n v="0"/>
    <n v="0"/>
    <n v="0"/>
    <n v="1"/>
    <n v="1"/>
    <n v="1"/>
    <n v="59"/>
    <n v="0"/>
    <n v="0"/>
    <n v="1"/>
    <n v="59"/>
    <n v="0.11799999999999999"/>
    <n v="0"/>
    <n v="0"/>
    <n v="0.88200000000000001"/>
    <n v="1"/>
    <n v="10"/>
    <n v="1"/>
    <n v="59"/>
    <n v="0"/>
    <n v="0"/>
    <n v="3"/>
    <n v="0"/>
    <n v="0"/>
    <n v="0"/>
    <n v="0"/>
    <n v="59"/>
    <n v="10"/>
    <n v="59"/>
    <n v="59"/>
    <n v="1"/>
    <n v="0"/>
    <n v="0"/>
    <n v="1"/>
    <n v="0.2"/>
    <n v="1"/>
    <n v="10"/>
    <n v="0"/>
    <n v="59"/>
    <x v="0"/>
    <s v="Yes"/>
    <s v="Shalom"/>
    <x v="0"/>
    <x v="4"/>
    <x v="0"/>
    <n v="24.24953"/>
    <n v="97.240639999999999"/>
    <s v="MMR001CMP053"/>
    <x v="0"/>
    <m/>
  </r>
  <r>
    <x v="0"/>
    <x v="9"/>
    <x v="9"/>
    <s v="BMZ"/>
    <x v="1"/>
    <x v="13"/>
    <x v="2"/>
    <x v="161"/>
    <n v="217"/>
    <n v="663"/>
    <d v="2018-09-16T00:00:00"/>
    <d v="2019-12-31T00:00:00"/>
    <m/>
    <m/>
    <m/>
    <m/>
    <m/>
    <m/>
    <m/>
    <m/>
    <m/>
    <m/>
    <m/>
    <m/>
    <m/>
    <m/>
    <m/>
    <m/>
    <m/>
    <m/>
    <m/>
    <m/>
    <m/>
    <m/>
    <m/>
    <m/>
    <m/>
    <m/>
    <m/>
    <m/>
    <m/>
    <m/>
    <m/>
    <m/>
    <m/>
    <m/>
    <m/>
    <m/>
    <m/>
    <x v="1"/>
    <x v="1"/>
    <m/>
    <m/>
    <m/>
    <m/>
    <m/>
    <m/>
    <m/>
    <m/>
    <m/>
    <m/>
    <m/>
    <m/>
    <m/>
    <m/>
    <m/>
    <m/>
    <m/>
    <s v="no test"/>
    <s v="no test"/>
    <x v="1"/>
    <n v="0"/>
    <n v="0"/>
    <n v="0"/>
    <n v="0"/>
    <n v="0"/>
    <n v="0"/>
    <n v="0"/>
    <n v="0"/>
    <n v="0"/>
    <n v="0"/>
    <n v="0"/>
    <n v="0"/>
    <n v="0"/>
    <n v="0"/>
    <n v="1"/>
    <n v="663"/>
    <n v="1"/>
    <n v="1"/>
    <n v="0"/>
    <n v="0"/>
    <n v="0"/>
    <s v="N/A"/>
    <s v="NA"/>
    <n v="111"/>
    <n v="111"/>
    <n v="1"/>
    <n v="0"/>
    <n v="0"/>
    <n v="0"/>
    <n v="0"/>
    <n v="0"/>
    <n v="0"/>
    <n v="0"/>
    <n v="1"/>
    <n v="0"/>
    <n v="0"/>
    <n v="0"/>
    <n v="0"/>
    <n v="0"/>
    <n v="0"/>
    <n v="0"/>
    <x v="0"/>
    <n v="0"/>
    <n v="0"/>
    <x v="2"/>
    <x v="6"/>
    <x v="2"/>
    <n v="20.072999954223601"/>
    <n v="92.924957275390597"/>
    <n v="197561"/>
    <x v="0"/>
    <m/>
  </r>
  <r>
    <x v="0"/>
    <x v="0"/>
    <x v="0"/>
    <s v="ECHO, OFDA, MHF"/>
    <x v="1"/>
    <x v="13"/>
    <x v="1"/>
    <x v="162"/>
    <n v="1249"/>
    <n v="4717"/>
    <s v="28/02/2018 and 28/02/2019, 01/07/2018, 01/10/2018"/>
    <s v="28/02/2019 and 28/02/2020, 30/06/2019, 30/09/2019"/>
    <m/>
    <m/>
    <m/>
    <s v=" -   "/>
    <s v="Yes"/>
    <n v="13"/>
    <n v="2"/>
    <n v="0"/>
    <n v="0"/>
    <n v="0"/>
    <n v="0"/>
    <n v="0"/>
    <n v="0"/>
    <n v="0"/>
    <n v="73"/>
    <m/>
    <n v="73"/>
    <m/>
    <n v="5"/>
    <n v="0"/>
    <m/>
    <n v="0"/>
    <n v="1"/>
    <n v="1"/>
    <n v="27"/>
    <n v="9"/>
    <s v=" -   "/>
    <s v=" -   "/>
    <m/>
    <n v="178"/>
    <n v="0"/>
    <m/>
    <n v="10"/>
    <n v="178"/>
    <m/>
    <m/>
    <m/>
    <x v="0"/>
    <x v="0"/>
    <n v="45"/>
    <n v="0"/>
    <m/>
    <m/>
    <n v="0"/>
    <n v="0"/>
    <n v="0"/>
    <n v="0"/>
    <n v="0"/>
    <n v="8"/>
    <n v="3"/>
    <n v="1245"/>
    <n v="1245"/>
    <s v="No"/>
    <n v="28"/>
    <m/>
    <s v="the HHs use to have bathing place inside the shelter or as shelter extension"/>
    <n v="1"/>
    <n v="0.33333333333333331"/>
    <x v="0"/>
    <n v="0"/>
    <n v="0"/>
    <n v="73"/>
    <n v="0"/>
    <n v="0"/>
    <n v="1"/>
    <n v="1"/>
    <n v="1"/>
    <n v="4717"/>
    <n v="0.26499894000423996"/>
    <n v="1249.9999999999998"/>
    <n v="1"/>
    <n v="4717"/>
    <n v="9.4339999999999993"/>
    <n v="0"/>
    <n v="0"/>
    <n v="0"/>
    <n v="9"/>
    <n v="168"/>
    <n v="0.71231715073139712"/>
    <n v="3360"/>
    <n v="0"/>
    <n v="0"/>
    <n v="236"/>
    <n v="58"/>
    <n v="0.28768284926860288"/>
    <n v="5.6179775280898875E-2"/>
    <n v="4717"/>
    <n v="4717"/>
    <n v="4717"/>
    <n v="4717"/>
    <n v="4717"/>
    <n v="1"/>
    <n v="0"/>
    <n v="1"/>
    <n v="0.99679743795036024"/>
    <n v="0.99679743795036024"/>
    <n v="0"/>
    <n v="0"/>
    <n v="0"/>
    <n v="0"/>
    <x v="0"/>
    <s v="Yes"/>
    <n v="0"/>
    <x v="0"/>
    <x v="7"/>
    <x v="3"/>
    <n v="20.108101999999999"/>
    <n v="92.985095000000001"/>
    <s v="MMR012CMP016"/>
    <x v="0"/>
    <m/>
  </r>
  <r>
    <x v="0"/>
    <x v="9"/>
    <x v="9"/>
    <s v="BMZ"/>
    <x v="1"/>
    <x v="13"/>
    <x v="2"/>
    <x v="163"/>
    <n v="90"/>
    <n v="393"/>
    <d v="2018-09-16T00:00:00"/>
    <d v="2019-12-31T00:00:00"/>
    <m/>
    <m/>
    <m/>
    <m/>
    <m/>
    <m/>
    <m/>
    <m/>
    <m/>
    <m/>
    <m/>
    <m/>
    <m/>
    <m/>
    <m/>
    <m/>
    <m/>
    <m/>
    <m/>
    <m/>
    <m/>
    <m/>
    <m/>
    <m/>
    <m/>
    <m/>
    <m/>
    <m/>
    <m/>
    <m/>
    <m/>
    <m/>
    <m/>
    <m/>
    <m/>
    <m/>
    <m/>
    <x v="1"/>
    <x v="1"/>
    <m/>
    <m/>
    <m/>
    <m/>
    <m/>
    <m/>
    <m/>
    <m/>
    <m/>
    <m/>
    <m/>
    <m/>
    <m/>
    <m/>
    <m/>
    <m/>
    <m/>
    <s v="no test"/>
    <s v="no test"/>
    <x v="1"/>
    <n v="0"/>
    <n v="0"/>
    <n v="0"/>
    <n v="0"/>
    <n v="0"/>
    <n v="0"/>
    <n v="0"/>
    <n v="0"/>
    <n v="0"/>
    <n v="0"/>
    <n v="0"/>
    <n v="0"/>
    <n v="0"/>
    <n v="0"/>
    <n v="1"/>
    <n v="393"/>
    <n v="1"/>
    <n v="1"/>
    <n v="0"/>
    <n v="0"/>
    <n v="0"/>
    <s v="N/A"/>
    <s v="NA"/>
    <n v="66"/>
    <n v="66"/>
    <n v="1"/>
    <n v="0"/>
    <n v="0"/>
    <n v="0"/>
    <n v="0"/>
    <n v="0"/>
    <n v="0"/>
    <n v="0"/>
    <n v="1"/>
    <n v="0"/>
    <n v="0"/>
    <n v="0"/>
    <n v="0"/>
    <n v="0"/>
    <n v="0"/>
    <n v="0"/>
    <x v="0"/>
    <n v="0"/>
    <n v="0"/>
    <x v="2"/>
    <x v="6"/>
    <x v="2"/>
    <n v="19.986650466918899"/>
    <n v="92.986160278320298"/>
    <n v="197546"/>
    <x v="0"/>
    <m/>
  </r>
  <r>
    <x v="0"/>
    <x v="9"/>
    <x v="9"/>
    <s v="BMZ"/>
    <x v="1"/>
    <x v="13"/>
    <x v="2"/>
    <x v="164"/>
    <n v="53"/>
    <n v="248"/>
    <d v="2018-09-16T00:00:00"/>
    <d v="2019-12-31T00:00:00"/>
    <m/>
    <m/>
    <m/>
    <m/>
    <m/>
    <m/>
    <m/>
    <m/>
    <m/>
    <m/>
    <m/>
    <m/>
    <m/>
    <m/>
    <m/>
    <m/>
    <m/>
    <m/>
    <m/>
    <m/>
    <m/>
    <m/>
    <m/>
    <m/>
    <m/>
    <m/>
    <m/>
    <m/>
    <m/>
    <m/>
    <m/>
    <m/>
    <m/>
    <m/>
    <m/>
    <m/>
    <m/>
    <x v="1"/>
    <x v="1"/>
    <m/>
    <m/>
    <m/>
    <m/>
    <m/>
    <m/>
    <m/>
    <m/>
    <m/>
    <m/>
    <m/>
    <m/>
    <m/>
    <m/>
    <m/>
    <m/>
    <m/>
    <s v="no test"/>
    <s v="no test"/>
    <x v="1"/>
    <n v="0"/>
    <n v="0"/>
    <n v="0"/>
    <n v="0"/>
    <n v="0"/>
    <n v="0"/>
    <n v="0"/>
    <n v="0"/>
    <n v="0"/>
    <n v="0"/>
    <n v="0"/>
    <n v="0"/>
    <n v="0"/>
    <n v="0"/>
    <n v="1"/>
    <n v="248"/>
    <n v="1"/>
    <n v="1"/>
    <n v="0"/>
    <n v="0"/>
    <n v="0"/>
    <s v="N/A"/>
    <s v="NA"/>
    <n v="41"/>
    <n v="41"/>
    <n v="1"/>
    <n v="0"/>
    <n v="0"/>
    <n v="0"/>
    <n v="0"/>
    <n v="0"/>
    <n v="0"/>
    <n v="0"/>
    <n v="1"/>
    <n v="0"/>
    <n v="0"/>
    <n v="0"/>
    <n v="0"/>
    <n v="0"/>
    <n v="0"/>
    <n v="0"/>
    <x v="0"/>
    <n v="0"/>
    <n v="0"/>
    <x v="2"/>
    <x v="6"/>
    <x v="2"/>
    <n v="0"/>
    <n v="0"/>
    <n v="0"/>
    <x v="0"/>
    <m/>
  </r>
  <r>
    <x v="0"/>
    <x v="10"/>
    <x v="10"/>
    <s v="IOM"/>
    <x v="2"/>
    <x v="14"/>
    <x v="2"/>
    <x v="165"/>
    <n v="153"/>
    <n v="838"/>
    <d v="2019-01-15T00:00:00"/>
    <d v="2019-09-15T00:00:00"/>
    <m/>
    <m/>
    <m/>
    <m/>
    <m/>
    <m/>
    <m/>
    <m/>
    <m/>
    <m/>
    <m/>
    <m/>
    <m/>
    <m/>
    <m/>
    <m/>
    <m/>
    <m/>
    <m/>
    <m/>
    <m/>
    <m/>
    <m/>
    <m/>
    <m/>
    <m/>
    <m/>
    <m/>
    <m/>
    <m/>
    <m/>
    <m/>
    <m/>
    <m/>
    <m/>
    <m/>
    <m/>
    <x v="1"/>
    <x v="1"/>
    <m/>
    <m/>
    <m/>
    <m/>
    <m/>
    <m/>
    <m/>
    <m/>
    <m/>
    <n v="153"/>
    <n v="153"/>
    <m/>
    <m/>
    <m/>
    <m/>
    <m/>
    <m/>
    <s v="no test"/>
    <s v="no test"/>
    <x v="1"/>
    <n v="0"/>
    <n v="0"/>
    <n v="0"/>
    <n v="0"/>
    <n v="0"/>
    <n v="0"/>
    <n v="0"/>
    <n v="0"/>
    <n v="0"/>
    <n v="0"/>
    <n v="0"/>
    <n v="0"/>
    <n v="0"/>
    <n v="0"/>
    <n v="1"/>
    <n v="838"/>
    <n v="2"/>
    <n v="2"/>
    <n v="0"/>
    <n v="0"/>
    <n v="0"/>
    <s v="N/A"/>
    <s v="NA"/>
    <n v="140"/>
    <n v="140"/>
    <n v="1"/>
    <n v="0"/>
    <n v="838"/>
    <n v="0"/>
    <n v="0"/>
    <n v="0"/>
    <n v="838"/>
    <n v="1"/>
    <n v="0"/>
    <n v="1"/>
    <n v="0"/>
    <n v="0"/>
    <n v="0"/>
    <n v="0"/>
    <n v="0"/>
    <n v="0"/>
    <x v="0"/>
    <n v="0"/>
    <n v="0"/>
    <x v="2"/>
    <x v="6"/>
    <x v="3"/>
    <n v="20.819919586181602"/>
    <n v="92.589729309082003"/>
    <n v="198349"/>
    <x v="0"/>
    <m/>
  </r>
  <r>
    <x v="0"/>
    <x v="10"/>
    <x v="10"/>
    <s v="IOM"/>
    <x v="2"/>
    <x v="14"/>
    <x v="2"/>
    <x v="166"/>
    <n v="95"/>
    <n v="570"/>
    <d v="2019-01-15T00:00:00"/>
    <d v="2019-09-15T00:00:00"/>
    <m/>
    <m/>
    <m/>
    <m/>
    <m/>
    <m/>
    <m/>
    <m/>
    <m/>
    <m/>
    <m/>
    <m/>
    <m/>
    <m/>
    <m/>
    <m/>
    <m/>
    <m/>
    <m/>
    <m/>
    <m/>
    <m/>
    <m/>
    <m/>
    <m/>
    <m/>
    <m/>
    <m/>
    <m/>
    <m/>
    <m/>
    <m/>
    <m/>
    <m/>
    <m/>
    <m/>
    <m/>
    <x v="1"/>
    <x v="1"/>
    <m/>
    <m/>
    <m/>
    <m/>
    <m/>
    <m/>
    <m/>
    <m/>
    <m/>
    <n v="95"/>
    <n v="95"/>
    <m/>
    <m/>
    <m/>
    <m/>
    <m/>
    <m/>
    <s v="no test"/>
    <s v="no test"/>
    <x v="1"/>
    <n v="0"/>
    <n v="0"/>
    <n v="0"/>
    <n v="0"/>
    <n v="0"/>
    <n v="0"/>
    <n v="0"/>
    <n v="0"/>
    <n v="0"/>
    <n v="0"/>
    <n v="0"/>
    <n v="0"/>
    <n v="0"/>
    <n v="0"/>
    <n v="1"/>
    <n v="570"/>
    <n v="1"/>
    <n v="1"/>
    <n v="0"/>
    <n v="0"/>
    <n v="0"/>
    <s v="N/A"/>
    <s v="NA"/>
    <n v="95"/>
    <n v="95"/>
    <n v="1"/>
    <n v="0"/>
    <n v="570"/>
    <n v="0"/>
    <n v="0"/>
    <n v="0"/>
    <n v="570"/>
    <n v="1"/>
    <n v="0"/>
    <n v="1"/>
    <n v="0"/>
    <n v="0"/>
    <n v="0"/>
    <n v="0"/>
    <n v="0"/>
    <n v="0"/>
    <x v="0"/>
    <n v="0"/>
    <n v="0"/>
    <x v="2"/>
    <x v="6"/>
    <x v="3"/>
    <n v="0"/>
    <n v="0"/>
    <n v="198427"/>
    <x v="0"/>
    <m/>
  </r>
  <r>
    <x v="0"/>
    <x v="10"/>
    <x v="10"/>
    <s v="IOM"/>
    <x v="2"/>
    <x v="14"/>
    <x v="2"/>
    <x v="167"/>
    <n v="8"/>
    <n v="42"/>
    <d v="2019-01-15T00:00:00"/>
    <d v="2019-09-15T00:00:00"/>
    <m/>
    <m/>
    <m/>
    <m/>
    <m/>
    <m/>
    <m/>
    <m/>
    <m/>
    <m/>
    <m/>
    <m/>
    <m/>
    <m/>
    <m/>
    <m/>
    <m/>
    <m/>
    <m/>
    <m/>
    <m/>
    <m/>
    <m/>
    <m/>
    <m/>
    <m/>
    <m/>
    <m/>
    <m/>
    <m/>
    <m/>
    <m/>
    <m/>
    <m/>
    <m/>
    <m/>
    <m/>
    <x v="1"/>
    <x v="1"/>
    <m/>
    <m/>
    <m/>
    <m/>
    <m/>
    <m/>
    <m/>
    <m/>
    <m/>
    <n v="8"/>
    <n v="8"/>
    <m/>
    <m/>
    <m/>
    <m/>
    <m/>
    <m/>
    <s v="no test"/>
    <s v="no test"/>
    <x v="1"/>
    <n v="0"/>
    <n v="0"/>
    <n v="0"/>
    <n v="0"/>
    <n v="0"/>
    <n v="0"/>
    <n v="0"/>
    <n v="0"/>
    <n v="0"/>
    <n v="0"/>
    <n v="0"/>
    <n v="0"/>
    <n v="0"/>
    <n v="0"/>
    <n v="1"/>
    <n v="42"/>
    <n v="1"/>
    <n v="1"/>
    <n v="0"/>
    <n v="0"/>
    <n v="0"/>
    <s v="N/A"/>
    <s v="NA"/>
    <n v="7"/>
    <n v="7"/>
    <n v="1"/>
    <n v="0"/>
    <n v="42"/>
    <n v="0"/>
    <n v="0"/>
    <n v="0"/>
    <n v="42"/>
    <n v="1"/>
    <n v="0"/>
    <n v="1"/>
    <n v="0"/>
    <n v="0"/>
    <n v="0"/>
    <n v="0"/>
    <n v="0"/>
    <n v="0"/>
    <x v="0"/>
    <n v="0"/>
    <n v="0"/>
    <x v="2"/>
    <x v="6"/>
    <x v="4"/>
    <n v="0"/>
    <n v="0"/>
    <n v="198426"/>
    <x v="0"/>
    <m/>
  </r>
  <r>
    <x v="0"/>
    <x v="10"/>
    <x v="10"/>
    <s v="IOM"/>
    <x v="2"/>
    <x v="14"/>
    <x v="2"/>
    <x v="168"/>
    <n v="96"/>
    <n v="533"/>
    <d v="2019-01-15T00:00:00"/>
    <d v="2019-09-15T00:00:00"/>
    <m/>
    <m/>
    <m/>
    <m/>
    <m/>
    <m/>
    <m/>
    <m/>
    <m/>
    <m/>
    <m/>
    <m/>
    <m/>
    <m/>
    <m/>
    <m/>
    <m/>
    <m/>
    <m/>
    <m/>
    <m/>
    <m/>
    <m/>
    <m/>
    <m/>
    <m/>
    <m/>
    <m/>
    <m/>
    <m/>
    <m/>
    <m/>
    <m/>
    <m/>
    <m/>
    <m/>
    <m/>
    <x v="1"/>
    <x v="1"/>
    <m/>
    <m/>
    <m/>
    <m/>
    <m/>
    <m/>
    <m/>
    <m/>
    <m/>
    <n v="96"/>
    <n v="96"/>
    <m/>
    <m/>
    <m/>
    <m/>
    <m/>
    <m/>
    <s v="no test"/>
    <s v="no test"/>
    <x v="1"/>
    <n v="0"/>
    <n v="0"/>
    <n v="0"/>
    <n v="0"/>
    <n v="0"/>
    <n v="0"/>
    <n v="0"/>
    <n v="0"/>
    <n v="0"/>
    <n v="0"/>
    <n v="0"/>
    <n v="0"/>
    <n v="0"/>
    <n v="0"/>
    <n v="1"/>
    <n v="533"/>
    <n v="1"/>
    <n v="1"/>
    <n v="0"/>
    <n v="0"/>
    <n v="0"/>
    <s v="N/A"/>
    <s v="NA"/>
    <n v="89"/>
    <n v="89"/>
    <n v="1"/>
    <n v="0"/>
    <n v="533"/>
    <n v="0"/>
    <n v="0"/>
    <n v="0"/>
    <n v="533"/>
    <n v="1"/>
    <n v="0"/>
    <n v="1"/>
    <n v="0"/>
    <n v="0"/>
    <n v="0"/>
    <n v="0"/>
    <n v="0"/>
    <n v="0"/>
    <x v="0"/>
    <n v="0"/>
    <n v="0"/>
    <x v="2"/>
    <x v="6"/>
    <x v="3"/>
    <n v="0"/>
    <n v="0"/>
    <n v="198435"/>
    <x v="0"/>
    <m/>
  </r>
  <r>
    <x v="0"/>
    <x v="10"/>
    <x v="10"/>
    <s v="IOM"/>
    <x v="2"/>
    <x v="14"/>
    <x v="2"/>
    <x v="169"/>
    <n v="217"/>
    <n v="1155"/>
    <d v="2019-01-15T00:00:00"/>
    <d v="2019-09-15T00:00:00"/>
    <m/>
    <m/>
    <m/>
    <m/>
    <m/>
    <m/>
    <m/>
    <m/>
    <m/>
    <m/>
    <m/>
    <m/>
    <m/>
    <m/>
    <m/>
    <m/>
    <m/>
    <m/>
    <m/>
    <m/>
    <m/>
    <m/>
    <m/>
    <m/>
    <m/>
    <m/>
    <m/>
    <m/>
    <m/>
    <m/>
    <m/>
    <m/>
    <m/>
    <m/>
    <m/>
    <m/>
    <m/>
    <x v="1"/>
    <x v="1"/>
    <m/>
    <m/>
    <m/>
    <m/>
    <m/>
    <m/>
    <m/>
    <m/>
    <m/>
    <n v="217"/>
    <n v="217"/>
    <m/>
    <m/>
    <m/>
    <m/>
    <m/>
    <m/>
    <s v="no test"/>
    <s v="no test"/>
    <x v="1"/>
    <n v="0"/>
    <n v="0"/>
    <n v="0"/>
    <n v="0"/>
    <n v="0"/>
    <n v="0"/>
    <n v="0"/>
    <n v="0"/>
    <n v="0"/>
    <n v="0"/>
    <n v="0"/>
    <n v="0"/>
    <n v="0"/>
    <n v="0"/>
    <n v="1"/>
    <n v="1155"/>
    <n v="2"/>
    <n v="2"/>
    <n v="0"/>
    <n v="0"/>
    <n v="0"/>
    <s v="N/A"/>
    <s v="NA"/>
    <n v="193"/>
    <n v="193"/>
    <n v="1"/>
    <n v="0"/>
    <n v="1155"/>
    <n v="0"/>
    <n v="0"/>
    <n v="0"/>
    <n v="1155"/>
    <n v="1"/>
    <n v="0"/>
    <n v="1"/>
    <n v="0"/>
    <n v="0"/>
    <n v="0"/>
    <n v="0"/>
    <n v="0"/>
    <n v="0"/>
    <x v="0"/>
    <n v="0"/>
    <n v="0"/>
    <x v="2"/>
    <x v="6"/>
    <x v="3"/>
    <n v="20.703790659999999"/>
    <n v="92.628463749999995"/>
    <n v="198431"/>
    <x v="0"/>
    <m/>
  </r>
  <r>
    <x v="0"/>
    <x v="10"/>
    <x v="10"/>
    <s v="IOM"/>
    <x v="2"/>
    <x v="14"/>
    <x v="2"/>
    <x v="170"/>
    <n v="129"/>
    <n v="664"/>
    <d v="2019-01-15T00:00:00"/>
    <d v="2019-09-15T00:00:00"/>
    <m/>
    <m/>
    <m/>
    <m/>
    <m/>
    <m/>
    <m/>
    <m/>
    <m/>
    <m/>
    <m/>
    <m/>
    <m/>
    <m/>
    <m/>
    <m/>
    <m/>
    <m/>
    <m/>
    <m/>
    <m/>
    <m/>
    <m/>
    <m/>
    <m/>
    <m/>
    <m/>
    <m/>
    <m/>
    <m/>
    <m/>
    <m/>
    <m/>
    <m/>
    <m/>
    <m/>
    <m/>
    <x v="1"/>
    <x v="1"/>
    <m/>
    <m/>
    <m/>
    <m/>
    <m/>
    <m/>
    <m/>
    <m/>
    <m/>
    <n v="129"/>
    <n v="129"/>
    <m/>
    <m/>
    <m/>
    <m/>
    <m/>
    <m/>
    <s v="no test"/>
    <s v="no test"/>
    <x v="1"/>
    <n v="0"/>
    <n v="0"/>
    <n v="0"/>
    <n v="0"/>
    <n v="0"/>
    <n v="0"/>
    <n v="0"/>
    <n v="0"/>
    <n v="0"/>
    <n v="0"/>
    <n v="0"/>
    <n v="0"/>
    <n v="0"/>
    <n v="0"/>
    <n v="1"/>
    <n v="664"/>
    <n v="1"/>
    <n v="1"/>
    <n v="0"/>
    <n v="0"/>
    <n v="0"/>
    <s v="N/A"/>
    <s v="NA"/>
    <n v="111"/>
    <n v="111"/>
    <n v="1"/>
    <n v="0"/>
    <n v="664"/>
    <n v="0"/>
    <n v="0"/>
    <n v="0"/>
    <n v="664"/>
    <n v="1"/>
    <n v="0"/>
    <n v="1"/>
    <n v="0"/>
    <n v="0"/>
    <n v="0"/>
    <n v="0"/>
    <n v="0"/>
    <n v="0"/>
    <x v="0"/>
    <n v="0"/>
    <n v="0"/>
    <x v="2"/>
    <x v="6"/>
    <x v="4"/>
    <n v="20.703920360000001"/>
    <n v="92.631500239999994"/>
    <n v="198428"/>
    <x v="0"/>
    <m/>
  </r>
  <r>
    <x v="0"/>
    <x v="10"/>
    <x v="10"/>
    <s v="IOM"/>
    <x v="2"/>
    <x v="14"/>
    <x v="2"/>
    <x v="171"/>
    <n v="171"/>
    <n v="908"/>
    <d v="2019-01-15T00:00:00"/>
    <d v="2019-09-15T00:00:00"/>
    <m/>
    <m/>
    <m/>
    <m/>
    <m/>
    <m/>
    <m/>
    <m/>
    <m/>
    <m/>
    <m/>
    <m/>
    <m/>
    <m/>
    <m/>
    <m/>
    <m/>
    <m/>
    <m/>
    <m/>
    <m/>
    <m/>
    <m/>
    <m/>
    <m/>
    <m/>
    <m/>
    <m/>
    <m/>
    <m/>
    <m/>
    <m/>
    <m/>
    <m/>
    <m/>
    <m/>
    <m/>
    <x v="1"/>
    <x v="1"/>
    <m/>
    <m/>
    <m/>
    <m/>
    <m/>
    <m/>
    <m/>
    <m/>
    <m/>
    <n v="171"/>
    <n v="171"/>
    <m/>
    <m/>
    <m/>
    <m/>
    <m/>
    <m/>
    <s v="no test"/>
    <s v="no test"/>
    <x v="1"/>
    <n v="0"/>
    <n v="0"/>
    <n v="0"/>
    <n v="0"/>
    <n v="0"/>
    <n v="0"/>
    <n v="0"/>
    <n v="0"/>
    <n v="0"/>
    <n v="0"/>
    <n v="0"/>
    <n v="0"/>
    <n v="0"/>
    <n v="0"/>
    <n v="1"/>
    <n v="908"/>
    <n v="2"/>
    <n v="2"/>
    <n v="0"/>
    <n v="0"/>
    <n v="0"/>
    <s v="N/A"/>
    <s v="NA"/>
    <n v="151"/>
    <n v="151"/>
    <n v="1"/>
    <n v="0"/>
    <n v="908"/>
    <n v="0"/>
    <n v="0"/>
    <n v="0"/>
    <n v="908"/>
    <n v="1"/>
    <n v="0"/>
    <n v="1"/>
    <n v="0"/>
    <n v="0"/>
    <n v="0"/>
    <n v="0"/>
    <n v="0"/>
    <n v="0"/>
    <x v="0"/>
    <n v="0"/>
    <n v="0"/>
    <x v="2"/>
    <x v="6"/>
    <x v="3"/>
    <n v="0"/>
    <n v="0"/>
    <n v="198350"/>
    <x v="0"/>
    <m/>
  </r>
  <r>
    <x v="0"/>
    <x v="10"/>
    <x v="10"/>
    <s v="IOM"/>
    <x v="2"/>
    <x v="14"/>
    <x v="2"/>
    <x v="172"/>
    <n v="22"/>
    <n v="100"/>
    <d v="2019-01-15T00:00:00"/>
    <d v="2019-09-15T00:00:00"/>
    <m/>
    <m/>
    <m/>
    <m/>
    <m/>
    <m/>
    <m/>
    <m/>
    <m/>
    <m/>
    <m/>
    <m/>
    <m/>
    <m/>
    <m/>
    <m/>
    <m/>
    <m/>
    <m/>
    <m/>
    <m/>
    <m/>
    <m/>
    <m/>
    <m/>
    <m/>
    <m/>
    <m/>
    <m/>
    <m/>
    <m/>
    <m/>
    <m/>
    <m/>
    <m/>
    <m/>
    <m/>
    <x v="1"/>
    <x v="1"/>
    <m/>
    <m/>
    <m/>
    <m/>
    <m/>
    <m/>
    <m/>
    <m/>
    <m/>
    <n v="22"/>
    <n v="22"/>
    <m/>
    <m/>
    <m/>
    <m/>
    <m/>
    <m/>
    <s v="no test"/>
    <s v="no test"/>
    <x v="1"/>
    <n v="0"/>
    <n v="0"/>
    <n v="0"/>
    <n v="0"/>
    <n v="0"/>
    <n v="0"/>
    <n v="0"/>
    <n v="0"/>
    <n v="0"/>
    <n v="0"/>
    <n v="0"/>
    <n v="0"/>
    <n v="0"/>
    <n v="0"/>
    <n v="1"/>
    <n v="100"/>
    <n v="1"/>
    <n v="1"/>
    <n v="0"/>
    <n v="0"/>
    <n v="0"/>
    <s v="N/A"/>
    <s v="NA"/>
    <n v="17"/>
    <n v="17"/>
    <n v="1"/>
    <n v="0"/>
    <n v="100"/>
    <n v="0"/>
    <n v="0"/>
    <n v="0"/>
    <n v="100"/>
    <n v="1"/>
    <n v="0"/>
    <n v="1"/>
    <n v="0"/>
    <n v="0"/>
    <n v="0"/>
    <n v="0"/>
    <n v="0"/>
    <n v="0"/>
    <x v="0"/>
    <n v="0"/>
    <n v="0"/>
    <x v="2"/>
    <x v="6"/>
    <x v="4"/>
    <n v="20.80558014"/>
    <n v="92.549842830000003"/>
    <n v="198336"/>
    <x v="0"/>
    <m/>
  </r>
  <r>
    <x v="0"/>
    <x v="11"/>
    <x v="11"/>
    <m/>
    <x v="2"/>
    <x v="14"/>
    <x v="3"/>
    <x v="173"/>
    <n v="30"/>
    <n v="118"/>
    <m/>
    <m/>
    <m/>
    <m/>
    <m/>
    <m/>
    <m/>
    <m/>
    <m/>
    <m/>
    <m/>
    <m/>
    <m/>
    <m/>
    <m/>
    <m/>
    <m/>
    <m/>
    <m/>
    <m/>
    <m/>
    <m/>
    <m/>
    <m/>
    <m/>
    <m/>
    <m/>
    <m/>
    <m/>
    <m/>
    <m/>
    <m/>
    <m/>
    <m/>
    <m/>
    <m/>
    <m/>
    <m/>
    <m/>
    <x v="1"/>
    <x v="1"/>
    <m/>
    <m/>
    <m/>
    <m/>
    <m/>
    <m/>
    <m/>
    <m/>
    <m/>
    <m/>
    <m/>
    <n v="30"/>
    <n v="30"/>
    <m/>
    <m/>
    <m/>
    <m/>
    <s v="no test"/>
    <s v="no test"/>
    <x v="1"/>
    <n v="0"/>
    <n v="0"/>
    <n v="0"/>
    <n v="0"/>
    <n v="0"/>
    <n v="0"/>
    <n v="0"/>
    <n v="0"/>
    <n v="0"/>
    <n v="0"/>
    <n v="0"/>
    <n v="0"/>
    <n v="0"/>
    <n v="0"/>
    <n v="1"/>
    <n v="118"/>
    <n v="1"/>
    <n v="1"/>
    <n v="0"/>
    <n v="0"/>
    <n v="0"/>
    <n v="0"/>
    <n v="0"/>
    <n v="2"/>
    <n v="2"/>
    <n v="1"/>
    <n v="0"/>
    <n v="0"/>
    <n v="118"/>
    <n v="118"/>
    <n v="118"/>
    <n v="118"/>
    <n v="1"/>
    <n v="0"/>
    <n v="0"/>
    <n v="1"/>
    <n v="1"/>
    <n v="0"/>
    <e v="#REF!"/>
    <n v="0"/>
    <n v="0"/>
    <x v="0"/>
    <n v="0"/>
    <n v="0"/>
    <x v="3"/>
    <x v="8"/>
    <x v="2"/>
    <n v="0"/>
    <n v="0"/>
    <n v="0"/>
    <x v="0"/>
    <m/>
  </r>
  <r>
    <x v="0"/>
    <x v="10"/>
    <x v="10"/>
    <s v="IOM"/>
    <x v="2"/>
    <x v="14"/>
    <x v="2"/>
    <x v="174"/>
    <n v="18"/>
    <n v="85"/>
    <d v="2019-01-15T00:00:00"/>
    <d v="2019-09-15T00:00:00"/>
    <m/>
    <m/>
    <m/>
    <m/>
    <m/>
    <m/>
    <m/>
    <m/>
    <m/>
    <m/>
    <m/>
    <m/>
    <m/>
    <m/>
    <m/>
    <m/>
    <m/>
    <m/>
    <m/>
    <m/>
    <m/>
    <m/>
    <m/>
    <m/>
    <m/>
    <m/>
    <m/>
    <m/>
    <m/>
    <m/>
    <m/>
    <m/>
    <m/>
    <m/>
    <m/>
    <m/>
    <m/>
    <x v="1"/>
    <x v="1"/>
    <m/>
    <m/>
    <m/>
    <m/>
    <m/>
    <m/>
    <m/>
    <m/>
    <m/>
    <n v="18"/>
    <n v="18"/>
    <m/>
    <m/>
    <m/>
    <m/>
    <m/>
    <m/>
    <s v="no test"/>
    <s v="no test"/>
    <x v="1"/>
    <n v="0"/>
    <n v="0"/>
    <n v="0"/>
    <n v="0"/>
    <n v="0"/>
    <n v="0"/>
    <n v="0"/>
    <n v="0"/>
    <n v="0"/>
    <n v="0"/>
    <n v="0"/>
    <n v="0"/>
    <n v="0"/>
    <n v="0"/>
    <n v="1"/>
    <n v="85"/>
    <n v="1"/>
    <n v="1"/>
    <n v="0"/>
    <n v="0"/>
    <n v="0"/>
    <s v="N/A"/>
    <s v="NA"/>
    <n v="14"/>
    <n v="14"/>
    <n v="1"/>
    <n v="0"/>
    <n v="85"/>
    <n v="0"/>
    <n v="0"/>
    <n v="0"/>
    <n v="85"/>
    <n v="1"/>
    <n v="0"/>
    <n v="1"/>
    <n v="0"/>
    <n v="0"/>
    <n v="0"/>
    <n v="0"/>
    <n v="0"/>
    <n v="0"/>
    <x v="0"/>
    <n v="0"/>
    <n v="0"/>
    <x v="2"/>
    <x v="6"/>
    <x v="4"/>
    <n v="20.892290119999998"/>
    <n v="92.550079350000004"/>
    <n v="198303"/>
    <x v="0"/>
    <m/>
  </r>
  <r>
    <x v="0"/>
    <x v="10"/>
    <x v="10"/>
    <s v="IOM"/>
    <x v="2"/>
    <x v="14"/>
    <x v="2"/>
    <x v="175"/>
    <n v="162"/>
    <n v="927"/>
    <d v="2019-01-15T00:00:00"/>
    <d v="2019-09-15T00:00:00"/>
    <m/>
    <m/>
    <m/>
    <m/>
    <m/>
    <m/>
    <m/>
    <m/>
    <m/>
    <m/>
    <m/>
    <m/>
    <m/>
    <m/>
    <m/>
    <m/>
    <m/>
    <m/>
    <m/>
    <m/>
    <m/>
    <m/>
    <m/>
    <m/>
    <m/>
    <m/>
    <m/>
    <m/>
    <m/>
    <m/>
    <m/>
    <m/>
    <m/>
    <m/>
    <m/>
    <m/>
    <m/>
    <x v="1"/>
    <x v="1"/>
    <m/>
    <m/>
    <m/>
    <m/>
    <m/>
    <m/>
    <m/>
    <m/>
    <m/>
    <n v="162"/>
    <n v="162"/>
    <m/>
    <m/>
    <m/>
    <m/>
    <m/>
    <m/>
    <s v="no test"/>
    <s v="no test"/>
    <x v="1"/>
    <n v="0"/>
    <n v="0"/>
    <n v="0"/>
    <n v="0"/>
    <n v="0"/>
    <n v="0"/>
    <n v="0"/>
    <n v="0"/>
    <n v="0"/>
    <n v="0"/>
    <n v="0"/>
    <n v="0"/>
    <n v="0"/>
    <n v="0"/>
    <n v="1"/>
    <n v="927"/>
    <n v="2"/>
    <n v="2"/>
    <n v="0"/>
    <n v="0"/>
    <n v="0"/>
    <s v="N/A"/>
    <s v="NA"/>
    <n v="155"/>
    <n v="155"/>
    <n v="1"/>
    <n v="0"/>
    <n v="927"/>
    <n v="0"/>
    <n v="0"/>
    <n v="0"/>
    <n v="927"/>
    <n v="1"/>
    <n v="0"/>
    <n v="1"/>
    <n v="0"/>
    <n v="0"/>
    <n v="0"/>
    <n v="0"/>
    <n v="0"/>
    <n v="0"/>
    <x v="0"/>
    <n v="0"/>
    <n v="0"/>
    <x v="2"/>
    <x v="6"/>
    <x v="3"/>
    <n v="0"/>
    <n v="0"/>
    <n v="198405"/>
    <x v="0"/>
    <m/>
  </r>
  <r>
    <x v="0"/>
    <x v="10"/>
    <x v="10"/>
    <s v="IOM"/>
    <x v="2"/>
    <x v="14"/>
    <x v="2"/>
    <x v="176"/>
    <n v="152"/>
    <n v="798"/>
    <d v="2019-01-15T00:00:00"/>
    <d v="2019-09-15T00:00:00"/>
    <m/>
    <m/>
    <m/>
    <m/>
    <m/>
    <m/>
    <m/>
    <m/>
    <m/>
    <m/>
    <m/>
    <m/>
    <m/>
    <m/>
    <m/>
    <m/>
    <m/>
    <m/>
    <m/>
    <m/>
    <m/>
    <m/>
    <m/>
    <m/>
    <m/>
    <m/>
    <m/>
    <m/>
    <m/>
    <m/>
    <m/>
    <m/>
    <m/>
    <m/>
    <m/>
    <m/>
    <m/>
    <x v="1"/>
    <x v="1"/>
    <m/>
    <m/>
    <m/>
    <m/>
    <m/>
    <m/>
    <m/>
    <m/>
    <m/>
    <n v="152"/>
    <n v="152"/>
    <m/>
    <m/>
    <m/>
    <m/>
    <m/>
    <m/>
    <s v="no test"/>
    <s v="no test"/>
    <x v="1"/>
    <n v="0"/>
    <n v="0"/>
    <n v="0"/>
    <n v="0"/>
    <n v="0"/>
    <n v="0"/>
    <n v="0"/>
    <n v="0"/>
    <n v="0"/>
    <n v="0"/>
    <n v="0"/>
    <n v="0"/>
    <n v="0"/>
    <n v="0"/>
    <n v="1"/>
    <n v="798"/>
    <n v="2"/>
    <n v="2"/>
    <n v="0"/>
    <n v="0"/>
    <n v="0"/>
    <s v="N/A"/>
    <s v="NA"/>
    <n v="133"/>
    <n v="133"/>
    <n v="1"/>
    <n v="0"/>
    <n v="798"/>
    <n v="0"/>
    <n v="0"/>
    <n v="0"/>
    <n v="798"/>
    <n v="1"/>
    <n v="0"/>
    <n v="1"/>
    <n v="0"/>
    <n v="0"/>
    <n v="0"/>
    <n v="0"/>
    <n v="0"/>
    <n v="0"/>
    <x v="0"/>
    <n v="0"/>
    <n v="0"/>
    <x v="2"/>
    <x v="6"/>
    <x v="3"/>
    <n v="0"/>
    <n v="0"/>
    <n v="198351"/>
    <x v="0"/>
    <m/>
  </r>
  <r>
    <x v="0"/>
    <x v="10"/>
    <x v="10"/>
    <s v="IOM"/>
    <x v="2"/>
    <x v="14"/>
    <x v="2"/>
    <x v="177"/>
    <n v="136"/>
    <n v="847"/>
    <d v="2019-01-15T00:00:00"/>
    <d v="2019-09-15T00:00:00"/>
    <m/>
    <m/>
    <m/>
    <m/>
    <m/>
    <m/>
    <m/>
    <m/>
    <m/>
    <m/>
    <m/>
    <m/>
    <m/>
    <m/>
    <m/>
    <m/>
    <m/>
    <m/>
    <m/>
    <m/>
    <m/>
    <m/>
    <m/>
    <m/>
    <m/>
    <m/>
    <m/>
    <m/>
    <m/>
    <m/>
    <m/>
    <m/>
    <m/>
    <m/>
    <m/>
    <m/>
    <m/>
    <x v="1"/>
    <x v="1"/>
    <m/>
    <m/>
    <m/>
    <m/>
    <m/>
    <m/>
    <m/>
    <m/>
    <m/>
    <n v="136"/>
    <n v="136"/>
    <m/>
    <m/>
    <m/>
    <m/>
    <m/>
    <m/>
    <s v="no test"/>
    <s v="no test"/>
    <x v="1"/>
    <n v="0"/>
    <n v="0"/>
    <n v="0"/>
    <n v="0"/>
    <n v="0"/>
    <n v="0"/>
    <n v="0"/>
    <n v="0"/>
    <n v="0"/>
    <n v="0"/>
    <n v="0"/>
    <n v="0"/>
    <n v="0"/>
    <n v="0"/>
    <n v="1"/>
    <n v="847"/>
    <n v="2"/>
    <n v="2"/>
    <n v="0"/>
    <n v="0"/>
    <n v="0"/>
    <s v="N/A"/>
    <s v="NA"/>
    <n v="141"/>
    <n v="141"/>
    <n v="1"/>
    <n v="0"/>
    <n v="847"/>
    <n v="0"/>
    <n v="0"/>
    <n v="0"/>
    <n v="847"/>
    <n v="1"/>
    <n v="0"/>
    <n v="1"/>
    <n v="0"/>
    <n v="0"/>
    <n v="0"/>
    <n v="0"/>
    <n v="0"/>
    <n v="0"/>
    <x v="0"/>
    <n v="0"/>
    <n v="0"/>
    <x v="2"/>
    <x v="6"/>
    <x v="3"/>
    <n v="0"/>
    <n v="0"/>
    <n v="0"/>
    <x v="0"/>
    <m/>
  </r>
  <r>
    <x v="0"/>
    <x v="10"/>
    <x v="10"/>
    <s v="IOM"/>
    <x v="2"/>
    <x v="14"/>
    <x v="2"/>
    <x v="178"/>
    <n v="20"/>
    <n v="91"/>
    <d v="2019-01-15T00:00:00"/>
    <d v="2019-09-15T00:00:00"/>
    <m/>
    <m/>
    <m/>
    <m/>
    <m/>
    <m/>
    <m/>
    <m/>
    <m/>
    <m/>
    <m/>
    <m/>
    <m/>
    <m/>
    <m/>
    <m/>
    <m/>
    <m/>
    <m/>
    <m/>
    <m/>
    <m/>
    <m/>
    <m/>
    <m/>
    <m/>
    <m/>
    <m/>
    <m/>
    <m/>
    <m/>
    <m/>
    <m/>
    <m/>
    <m/>
    <m/>
    <m/>
    <x v="1"/>
    <x v="1"/>
    <m/>
    <m/>
    <m/>
    <m/>
    <m/>
    <m/>
    <m/>
    <m/>
    <m/>
    <n v="20"/>
    <n v="20"/>
    <m/>
    <m/>
    <m/>
    <m/>
    <m/>
    <m/>
    <s v="no test"/>
    <s v="no test"/>
    <x v="1"/>
    <n v="0"/>
    <n v="0"/>
    <n v="0"/>
    <n v="0"/>
    <n v="0"/>
    <n v="0"/>
    <n v="0"/>
    <n v="0"/>
    <n v="0"/>
    <n v="0"/>
    <n v="0"/>
    <n v="0"/>
    <n v="0"/>
    <n v="0"/>
    <n v="1"/>
    <n v="91"/>
    <n v="1"/>
    <n v="1"/>
    <n v="0"/>
    <n v="0"/>
    <n v="0"/>
    <s v="N/A"/>
    <s v="NA"/>
    <n v="15"/>
    <n v="15"/>
    <n v="1"/>
    <n v="0"/>
    <n v="91"/>
    <n v="0"/>
    <n v="0"/>
    <n v="0"/>
    <n v="91"/>
    <n v="1"/>
    <n v="0"/>
    <n v="1"/>
    <n v="0"/>
    <n v="0"/>
    <n v="0"/>
    <n v="0"/>
    <n v="0"/>
    <n v="0"/>
    <x v="0"/>
    <n v="0"/>
    <n v="0"/>
    <x v="2"/>
    <x v="6"/>
    <x v="4"/>
    <n v="20.767719270000001"/>
    <n v="92.631736759999995"/>
    <n v="198409"/>
    <x v="0"/>
    <m/>
  </r>
  <r>
    <x v="0"/>
    <x v="10"/>
    <x v="10"/>
    <s v="IOM"/>
    <x v="2"/>
    <x v="14"/>
    <x v="2"/>
    <x v="179"/>
    <n v="23"/>
    <n v="86"/>
    <d v="2019-01-15T00:00:00"/>
    <d v="2019-09-15T00:00:00"/>
    <m/>
    <m/>
    <m/>
    <m/>
    <m/>
    <m/>
    <m/>
    <m/>
    <m/>
    <m/>
    <m/>
    <m/>
    <m/>
    <m/>
    <m/>
    <m/>
    <m/>
    <m/>
    <m/>
    <m/>
    <m/>
    <m/>
    <m/>
    <m/>
    <m/>
    <m/>
    <m/>
    <m/>
    <m/>
    <m/>
    <m/>
    <m/>
    <m/>
    <m/>
    <m/>
    <m/>
    <m/>
    <x v="1"/>
    <x v="1"/>
    <m/>
    <m/>
    <m/>
    <m/>
    <m/>
    <m/>
    <m/>
    <m/>
    <m/>
    <n v="23"/>
    <n v="23"/>
    <m/>
    <m/>
    <m/>
    <m/>
    <m/>
    <m/>
    <s v="no test"/>
    <s v="no test"/>
    <x v="1"/>
    <n v="0"/>
    <n v="0"/>
    <n v="0"/>
    <n v="0"/>
    <n v="0"/>
    <n v="0"/>
    <n v="0"/>
    <n v="0"/>
    <n v="0"/>
    <n v="0"/>
    <n v="0"/>
    <n v="0"/>
    <n v="0"/>
    <n v="0"/>
    <n v="1"/>
    <n v="86"/>
    <n v="1"/>
    <n v="1"/>
    <n v="0"/>
    <n v="0"/>
    <n v="0"/>
    <s v="N/A"/>
    <s v="NA"/>
    <n v="14"/>
    <n v="14"/>
    <n v="1"/>
    <n v="0"/>
    <n v="86"/>
    <n v="0"/>
    <n v="0"/>
    <n v="0"/>
    <n v="86"/>
    <n v="1"/>
    <n v="0"/>
    <n v="1"/>
    <n v="0"/>
    <n v="0"/>
    <n v="0"/>
    <n v="0"/>
    <n v="0"/>
    <n v="0"/>
    <x v="0"/>
    <n v="0"/>
    <n v="0"/>
    <x v="2"/>
    <x v="6"/>
    <x v="4"/>
    <n v="0"/>
    <n v="0"/>
    <n v="198337"/>
    <x v="0"/>
    <m/>
  </r>
  <r>
    <x v="0"/>
    <x v="10"/>
    <x v="10"/>
    <s v="IOM"/>
    <x v="2"/>
    <x v="14"/>
    <x v="2"/>
    <x v="180"/>
    <n v="74"/>
    <n v="343"/>
    <d v="2019-01-15T00:00:00"/>
    <d v="2019-09-15T00:00:00"/>
    <m/>
    <m/>
    <m/>
    <m/>
    <m/>
    <m/>
    <m/>
    <m/>
    <m/>
    <m/>
    <m/>
    <m/>
    <m/>
    <m/>
    <m/>
    <m/>
    <m/>
    <m/>
    <m/>
    <m/>
    <m/>
    <m/>
    <m/>
    <m/>
    <m/>
    <m/>
    <m/>
    <m/>
    <m/>
    <m/>
    <m/>
    <m/>
    <m/>
    <m/>
    <m/>
    <m/>
    <m/>
    <x v="1"/>
    <x v="1"/>
    <m/>
    <m/>
    <m/>
    <m/>
    <m/>
    <m/>
    <m/>
    <m/>
    <m/>
    <n v="74"/>
    <n v="74"/>
    <m/>
    <m/>
    <m/>
    <m/>
    <m/>
    <m/>
    <s v="no test"/>
    <s v="no test"/>
    <x v="1"/>
    <n v="0"/>
    <n v="0"/>
    <n v="0"/>
    <n v="0"/>
    <n v="0"/>
    <n v="0"/>
    <n v="0"/>
    <n v="0"/>
    <n v="0"/>
    <n v="0"/>
    <n v="0"/>
    <n v="0"/>
    <n v="0"/>
    <n v="0"/>
    <n v="1"/>
    <n v="343"/>
    <n v="1"/>
    <n v="1"/>
    <n v="0"/>
    <n v="0"/>
    <n v="0"/>
    <s v="N/A"/>
    <s v="NA"/>
    <n v="57"/>
    <n v="57"/>
    <n v="1"/>
    <n v="0"/>
    <n v="343"/>
    <n v="0"/>
    <n v="0"/>
    <n v="0"/>
    <n v="343"/>
    <n v="1"/>
    <n v="0"/>
    <n v="1"/>
    <n v="0"/>
    <n v="0"/>
    <n v="0"/>
    <n v="0"/>
    <n v="0"/>
    <n v="0"/>
    <x v="0"/>
    <n v="0"/>
    <n v="0"/>
    <x v="2"/>
    <x v="6"/>
    <x v="4"/>
    <n v="0"/>
    <n v="0"/>
    <n v="198363"/>
    <x v="0"/>
    <m/>
  </r>
  <r>
    <x v="0"/>
    <x v="10"/>
    <x v="10"/>
    <s v="IOM"/>
    <x v="2"/>
    <x v="14"/>
    <x v="2"/>
    <x v="181"/>
    <n v="18"/>
    <n v="73"/>
    <d v="2019-01-15T00:00:00"/>
    <d v="2019-09-15T00:00:00"/>
    <m/>
    <m/>
    <m/>
    <m/>
    <m/>
    <m/>
    <m/>
    <m/>
    <m/>
    <m/>
    <m/>
    <m/>
    <m/>
    <m/>
    <m/>
    <m/>
    <m/>
    <m/>
    <m/>
    <m/>
    <m/>
    <m/>
    <m/>
    <m/>
    <m/>
    <m/>
    <m/>
    <m/>
    <m/>
    <m/>
    <m/>
    <m/>
    <m/>
    <m/>
    <m/>
    <m/>
    <m/>
    <x v="1"/>
    <x v="1"/>
    <m/>
    <m/>
    <m/>
    <m/>
    <m/>
    <m/>
    <m/>
    <m/>
    <m/>
    <n v="18"/>
    <n v="18"/>
    <m/>
    <m/>
    <m/>
    <m/>
    <m/>
    <m/>
    <s v="no test"/>
    <s v="no test"/>
    <x v="1"/>
    <n v="0"/>
    <n v="0"/>
    <n v="0"/>
    <n v="0"/>
    <n v="0"/>
    <n v="0"/>
    <n v="0"/>
    <n v="0"/>
    <n v="0"/>
    <n v="0"/>
    <n v="0"/>
    <n v="0"/>
    <n v="0"/>
    <n v="0"/>
    <n v="1"/>
    <n v="73"/>
    <n v="1"/>
    <n v="1"/>
    <n v="0"/>
    <n v="0"/>
    <n v="0"/>
    <s v="N/A"/>
    <s v="NA"/>
    <n v="12"/>
    <n v="12"/>
    <n v="1"/>
    <n v="0"/>
    <n v="73"/>
    <n v="0"/>
    <n v="0"/>
    <n v="0"/>
    <n v="73"/>
    <n v="1"/>
    <n v="0"/>
    <n v="1"/>
    <n v="0"/>
    <n v="0"/>
    <n v="0"/>
    <n v="0"/>
    <n v="0"/>
    <n v="0"/>
    <x v="0"/>
    <n v="0"/>
    <n v="0"/>
    <x v="2"/>
    <x v="6"/>
    <x v="4"/>
    <n v="20.887420649999999"/>
    <n v="92.545410160000003"/>
    <n v="198300"/>
    <x v="0"/>
    <m/>
  </r>
  <r>
    <x v="0"/>
    <x v="10"/>
    <x v="10"/>
    <s v="IOM"/>
    <x v="2"/>
    <x v="14"/>
    <x v="2"/>
    <x v="182"/>
    <n v="218"/>
    <n v="1207"/>
    <d v="2019-01-15T00:00:00"/>
    <d v="2019-09-15T00:00:00"/>
    <m/>
    <m/>
    <m/>
    <m/>
    <m/>
    <m/>
    <m/>
    <m/>
    <m/>
    <m/>
    <m/>
    <m/>
    <m/>
    <m/>
    <m/>
    <m/>
    <m/>
    <m/>
    <m/>
    <m/>
    <m/>
    <m/>
    <m/>
    <m/>
    <m/>
    <m/>
    <m/>
    <m/>
    <m/>
    <m/>
    <m/>
    <m/>
    <m/>
    <m/>
    <m/>
    <m/>
    <m/>
    <x v="1"/>
    <x v="1"/>
    <m/>
    <m/>
    <m/>
    <m/>
    <m/>
    <m/>
    <m/>
    <m/>
    <m/>
    <n v="218"/>
    <n v="218"/>
    <m/>
    <m/>
    <m/>
    <m/>
    <m/>
    <m/>
    <s v="no test"/>
    <s v="no test"/>
    <x v="1"/>
    <n v="0"/>
    <n v="0"/>
    <n v="0"/>
    <n v="0"/>
    <n v="0"/>
    <n v="0"/>
    <n v="0"/>
    <n v="0"/>
    <n v="0"/>
    <n v="0"/>
    <n v="0"/>
    <n v="0"/>
    <n v="0"/>
    <n v="0"/>
    <n v="1"/>
    <n v="1207"/>
    <n v="2"/>
    <n v="2"/>
    <n v="0"/>
    <n v="0"/>
    <n v="0"/>
    <s v="N/A"/>
    <s v="NA"/>
    <n v="201"/>
    <n v="201"/>
    <n v="1"/>
    <n v="0"/>
    <n v="1207"/>
    <n v="0"/>
    <n v="0"/>
    <n v="0"/>
    <n v="1207"/>
    <n v="1"/>
    <n v="0"/>
    <n v="1"/>
    <n v="0"/>
    <n v="0"/>
    <n v="0"/>
    <n v="0"/>
    <n v="0"/>
    <n v="0"/>
    <x v="0"/>
    <n v="0"/>
    <n v="0"/>
    <x v="2"/>
    <x v="6"/>
    <x v="3"/>
    <n v="0"/>
    <n v="0"/>
    <n v="198434"/>
    <x v="0"/>
    <m/>
  </r>
  <r>
    <x v="0"/>
    <x v="10"/>
    <x v="10"/>
    <s v="IOM"/>
    <x v="2"/>
    <x v="14"/>
    <x v="2"/>
    <x v="183"/>
    <n v="11"/>
    <n v="39"/>
    <d v="2019-01-15T00:00:00"/>
    <d v="2019-09-15T00:00:00"/>
    <m/>
    <m/>
    <m/>
    <m/>
    <m/>
    <m/>
    <m/>
    <m/>
    <m/>
    <m/>
    <m/>
    <m/>
    <m/>
    <m/>
    <m/>
    <m/>
    <m/>
    <m/>
    <m/>
    <m/>
    <m/>
    <m/>
    <m/>
    <m/>
    <m/>
    <m/>
    <m/>
    <m/>
    <m/>
    <m/>
    <m/>
    <m/>
    <m/>
    <m/>
    <m/>
    <m/>
    <m/>
    <x v="1"/>
    <x v="1"/>
    <m/>
    <m/>
    <m/>
    <m/>
    <m/>
    <m/>
    <m/>
    <m/>
    <m/>
    <n v="11"/>
    <n v="11"/>
    <m/>
    <m/>
    <m/>
    <m/>
    <m/>
    <m/>
    <s v="no test"/>
    <s v="no test"/>
    <x v="1"/>
    <n v="0"/>
    <n v="0"/>
    <n v="0"/>
    <n v="0"/>
    <n v="0"/>
    <n v="0"/>
    <n v="0"/>
    <n v="0"/>
    <n v="0"/>
    <n v="0"/>
    <n v="0"/>
    <n v="0"/>
    <n v="0"/>
    <n v="0"/>
    <n v="1"/>
    <n v="39"/>
    <n v="1"/>
    <n v="1"/>
    <n v="0"/>
    <n v="0"/>
    <n v="0"/>
    <s v="N/A"/>
    <s v="NA"/>
    <n v="7"/>
    <n v="7"/>
    <n v="1"/>
    <n v="0"/>
    <n v="39"/>
    <n v="0"/>
    <n v="0"/>
    <n v="0"/>
    <n v="39"/>
    <n v="1"/>
    <n v="0"/>
    <n v="1"/>
    <n v="0"/>
    <n v="0"/>
    <n v="0"/>
    <n v="0"/>
    <n v="0"/>
    <n v="0"/>
    <x v="0"/>
    <n v="0"/>
    <n v="0"/>
    <x v="2"/>
    <x v="6"/>
    <x v="4"/>
    <n v="0"/>
    <n v="0"/>
    <n v="198433"/>
    <x v="0"/>
    <m/>
  </r>
  <r>
    <x v="0"/>
    <x v="10"/>
    <x v="10"/>
    <s v="IOM"/>
    <x v="2"/>
    <x v="14"/>
    <x v="2"/>
    <x v="184"/>
    <n v="125"/>
    <n v="580"/>
    <d v="2019-01-15T00:00:00"/>
    <d v="2019-09-15T00:00:00"/>
    <m/>
    <m/>
    <m/>
    <m/>
    <m/>
    <m/>
    <m/>
    <m/>
    <m/>
    <m/>
    <m/>
    <m/>
    <m/>
    <m/>
    <m/>
    <m/>
    <m/>
    <m/>
    <m/>
    <m/>
    <m/>
    <m/>
    <m/>
    <m/>
    <m/>
    <m/>
    <m/>
    <m/>
    <m/>
    <m/>
    <m/>
    <m/>
    <m/>
    <m/>
    <m/>
    <m/>
    <m/>
    <x v="1"/>
    <x v="1"/>
    <m/>
    <m/>
    <m/>
    <m/>
    <m/>
    <m/>
    <m/>
    <m/>
    <m/>
    <n v="125"/>
    <n v="125"/>
    <m/>
    <m/>
    <m/>
    <m/>
    <m/>
    <m/>
    <s v="no test"/>
    <s v="no test"/>
    <x v="1"/>
    <n v="0"/>
    <n v="0"/>
    <n v="0"/>
    <n v="0"/>
    <n v="0"/>
    <n v="0"/>
    <n v="0"/>
    <n v="0"/>
    <n v="0"/>
    <n v="0"/>
    <n v="0"/>
    <n v="0"/>
    <n v="0"/>
    <n v="0"/>
    <n v="1"/>
    <n v="580"/>
    <n v="1"/>
    <n v="1"/>
    <n v="0"/>
    <n v="0"/>
    <n v="0"/>
    <s v="N/A"/>
    <s v="NA"/>
    <n v="97"/>
    <n v="97"/>
    <n v="1"/>
    <n v="0"/>
    <n v="580"/>
    <n v="0"/>
    <n v="0"/>
    <n v="0"/>
    <n v="580"/>
    <n v="1"/>
    <n v="0"/>
    <n v="1"/>
    <n v="0"/>
    <n v="0"/>
    <n v="0"/>
    <n v="0"/>
    <n v="0"/>
    <n v="0"/>
    <x v="0"/>
    <n v="0"/>
    <n v="0"/>
    <x v="2"/>
    <x v="6"/>
    <x v="3"/>
    <n v="0"/>
    <n v="0"/>
    <n v="198370"/>
    <x v="0"/>
    <m/>
  </r>
  <r>
    <x v="0"/>
    <x v="10"/>
    <x v="10"/>
    <s v="IOM"/>
    <x v="2"/>
    <x v="15"/>
    <x v="2"/>
    <x v="185"/>
    <n v="119"/>
    <n v="428"/>
    <d v="2019-01-15T00:00:00"/>
    <d v="2019-09-15T00:00:00"/>
    <m/>
    <m/>
    <m/>
    <m/>
    <m/>
    <m/>
    <m/>
    <m/>
    <m/>
    <m/>
    <m/>
    <m/>
    <m/>
    <m/>
    <m/>
    <m/>
    <m/>
    <m/>
    <m/>
    <m/>
    <m/>
    <m/>
    <m/>
    <m/>
    <m/>
    <m/>
    <m/>
    <m/>
    <m/>
    <m/>
    <m/>
    <m/>
    <m/>
    <m/>
    <m/>
    <m/>
    <m/>
    <x v="1"/>
    <x v="1"/>
    <m/>
    <m/>
    <m/>
    <m/>
    <m/>
    <m/>
    <m/>
    <m/>
    <m/>
    <n v="119"/>
    <n v="119"/>
    <m/>
    <m/>
    <m/>
    <m/>
    <m/>
    <m/>
    <s v="no test"/>
    <s v="no test"/>
    <x v="1"/>
    <n v="0"/>
    <n v="0"/>
    <n v="0"/>
    <n v="0"/>
    <n v="0"/>
    <n v="0"/>
    <n v="0"/>
    <n v="0"/>
    <n v="0"/>
    <n v="0"/>
    <n v="0"/>
    <n v="0"/>
    <n v="0"/>
    <n v="0"/>
    <n v="1"/>
    <n v="428"/>
    <n v="1"/>
    <n v="1"/>
    <n v="0"/>
    <n v="0"/>
    <n v="0"/>
    <s v="N/A"/>
    <s v="NA"/>
    <n v="71"/>
    <n v="71"/>
    <n v="1"/>
    <n v="0"/>
    <n v="428"/>
    <n v="0"/>
    <n v="0"/>
    <n v="0"/>
    <n v="428"/>
    <n v="1"/>
    <n v="0"/>
    <n v="1"/>
    <n v="0"/>
    <n v="0"/>
    <n v="0"/>
    <n v="0"/>
    <n v="0"/>
    <n v="0"/>
    <x v="0"/>
    <n v="0"/>
    <n v="0"/>
    <x v="2"/>
    <x v="6"/>
    <x v="4"/>
    <n v="0"/>
    <n v="0"/>
    <n v="220977"/>
    <x v="0"/>
    <m/>
  </r>
  <r>
    <x v="0"/>
    <x v="10"/>
    <x v="10"/>
    <s v="IOM"/>
    <x v="2"/>
    <x v="15"/>
    <x v="2"/>
    <x v="186"/>
    <n v="60"/>
    <n v="314"/>
    <d v="2019-01-15T00:00:00"/>
    <d v="2019-09-15T00:00:00"/>
    <m/>
    <m/>
    <m/>
    <m/>
    <m/>
    <m/>
    <m/>
    <m/>
    <m/>
    <m/>
    <m/>
    <m/>
    <m/>
    <m/>
    <m/>
    <m/>
    <m/>
    <m/>
    <m/>
    <m/>
    <m/>
    <m/>
    <m/>
    <m/>
    <m/>
    <m/>
    <m/>
    <m/>
    <m/>
    <m/>
    <m/>
    <m/>
    <m/>
    <m/>
    <m/>
    <m/>
    <m/>
    <x v="1"/>
    <x v="1"/>
    <m/>
    <m/>
    <m/>
    <m/>
    <m/>
    <m/>
    <m/>
    <m/>
    <m/>
    <n v="60"/>
    <n v="60"/>
    <m/>
    <m/>
    <m/>
    <m/>
    <m/>
    <m/>
    <s v="no test"/>
    <s v="no test"/>
    <x v="1"/>
    <n v="0"/>
    <n v="0"/>
    <n v="0"/>
    <n v="0"/>
    <n v="0"/>
    <n v="0"/>
    <n v="0"/>
    <n v="0"/>
    <n v="0"/>
    <n v="0"/>
    <n v="0"/>
    <n v="0"/>
    <n v="0"/>
    <n v="0"/>
    <n v="1"/>
    <n v="314"/>
    <n v="1"/>
    <n v="1"/>
    <n v="0"/>
    <n v="0"/>
    <n v="0"/>
    <s v="N/A"/>
    <s v="NA"/>
    <n v="52"/>
    <n v="52"/>
    <n v="1"/>
    <n v="0"/>
    <n v="314"/>
    <n v="0"/>
    <n v="0"/>
    <n v="0"/>
    <n v="314"/>
    <n v="1"/>
    <n v="0"/>
    <n v="1"/>
    <n v="0"/>
    <n v="0"/>
    <n v="0"/>
    <n v="0"/>
    <n v="0"/>
    <n v="0"/>
    <x v="0"/>
    <n v="0"/>
    <n v="0"/>
    <x v="2"/>
    <x v="6"/>
    <x v="4"/>
    <n v="20.646560668945298"/>
    <n v="92.976043701171903"/>
    <n v="196937"/>
    <x v="0"/>
    <m/>
  </r>
  <r>
    <x v="0"/>
    <x v="10"/>
    <x v="10"/>
    <s v="IOM"/>
    <x v="2"/>
    <x v="15"/>
    <x v="2"/>
    <x v="187"/>
    <n v="31"/>
    <n v="256"/>
    <d v="2019-01-15T00:00:00"/>
    <d v="2019-09-15T00:00:00"/>
    <m/>
    <m/>
    <m/>
    <m/>
    <m/>
    <m/>
    <m/>
    <m/>
    <m/>
    <m/>
    <m/>
    <m/>
    <m/>
    <m/>
    <m/>
    <m/>
    <m/>
    <m/>
    <m/>
    <m/>
    <m/>
    <m/>
    <m/>
    <m/>
    <m/>
    <m/>
    <m/>
    <m/>
    <m/>
    <m/>
    <m/>
    <m/>
    <m/>
    <m/>
    <m/>
    <m/>
    <m/>
    <x v="1"/>
    <x v="1"/>
    <m/>
    <m/>
    <m/>
    <m/>
    <m/>
    <m/>
    <m/>
    <m/>
    <m/>
    <n v="31"/>
    <n v="31"/>
    <m/>
    <m/>
    <m/>
    <m/>
    <m/>
    <m/>
    <s v="no test"/>
    <s v="no test"/>
    <x v="1"/>
    <n v="0"/>
    <n v="0"/>
    <n v="0"/>
    <n v="0"/>
    <n v="0"/>
    <n v="0"/>
    <n v="0"/>
    <n v="0"/>
    <n v="0"/>
    <n v="0"/>
    <n v="0"/>
    <n v="0"/>
    <n v="0"/>
    <n v="0"/>
    <n v="1"/>
    <n v="256"/>
    <n v="1"/>
    <n v="1"/>
    <n v="0"/>
    <n v="0"/>
    <n v="0"/>
    <s v="N/A"/>
    <s v="NA"/>
    <n v="43"/>
    <n v="43"/>
    <n v="1"/>
    <n v="0"/>
    <n v="256"/>
    <n v="0"/>
    <n v="0"/>
    <n v="0"/>
    <n v="256"/>
    <n v="1"/>
    <n v="0"/>
    <n v="1"/>
    <n v="0"/>
    <n v="0"/>
    <n v="0"/>
    <n v="0"/>
    <n v="0"/>
    <n v="0"/>
    <x v="0"/>
    <n v="0"/>
    <n v="0"/>
    <x v="2"/>
    <x v="6"/>
    <x v="4"/>
    <n v="0"/>
    <n v="0"/>
    <n v="0"/>
    <x v="0"/>
    <m/>
  </r>
  <r>
    <x v="0"/>
    <x v="10"/>
    <x v="10"/>
    <s v="IOM"/>
    <x v="2"/>
    <x v="15"/>
    <x v="2"/>
    <x v="188"/>
    <n v="53"/>
    <n v="263"/>
    <d v="2019-01-15T00:00:00"/>
    <d v="2019-09-15T00:00:00"/>
    <m/>
    <m/>
    <m/>
    <m/>
    <m/>
    <m/>
    <m/>
    <m/>
    <m/>
    <m/>
    <m/>
    <m/>
    <m/>
    <m/>
    <m/>
    <m/>
    <m/>
    <m/>
    <m/>
    <m/>
    <m/>
    <m/>
    <m/>
    <m/>
    <m/>
    <m/>
    <m/>
    <m/>
    <m/>
    <m/>
    <m/>
    <m/>
    <m/>
    <m/>
    <m/>
    <m/>
    <m/>
    <x v="1"/>
    <x v="1"/>
    <m/>
    <m/>
    <m/>
    <m/>
    <m/>
    <m/>
    <m/>
    <m/>
    <m/>
    <n v="53"/>
    <n v="53"/>
    <m/>
    <m/>
    <m/>
    <m/>
    <m/>
    <m/>
    <s v="no test"/>
    <s v="no test"/>
    <x v="1"/>
    <n v="0"/>
    <n v="0"/>
    <n v="0"/>
    <n v="0"/>
    <n v="0"/>
    <n v="0"/>
    <n v="0"/>
    <n v="0"/>
    <n v="0"/>
    <n v="0"/>
    <n v="0"/>
    <n v="0"/>
    <n v="0"/>
    <n v="0"/>
    <n v="1"/>
    <n v="263"/>
    <n v="1"/>
    <n v="1"/>
    <n v="0"/>
    <n v="0"/>
    <n v="0"/>
    <s v="N/A"/>
    <s v="NA"/>
    <n v="44"/>
    <n v="44"/>
    <n v="1"/>
    <n v="0"/>
    <n v="263"/>
    <n v="0"/>
    <n v="0"/>
    <n v="0"/>
    <n v="263"/>
    <n v="1"/>
    <n v="0"/>
    <n v="1"/>
    <n v="0"/>
    <n v="0"/>
    <n v="0"/>
    <n v="0"/>
    <n v="0"/>
    <n v="0"/>
    <x v="0"/>
    <n v="0"/>
    <n v="0"/>
    <x v="2"/>
    <x v="6"/>
    <x v="4"/>
    <n v="0"/>
    <n v="0"/>
    <n v="220736"/>
    <x v="0"/>
    <m/>
  </r>
  <r>
    <x v="0"/>
    <x v="10"/>
    <x v="10"/>
    <s v="IOM"/>
    <x v="2"/>
    <x v="15"/>
    <x v="2"/>
    <x v="189"/>
    <n v="86"/>
    <n v="401"/>
    <d v="2019-01-15T00:00:00"/>
    <d v="2019-09-15T00:00:00"/>
    <m/>
    <m/>
    <m/>
    <m/>
    <m/>
    <m/>
    <m/>
    <m/>
    <m/>
    <m/>
    <m/>
    <m/>
    <m/>
    <m/>
    <m/>
    <m/>
    <m/>
    <m/>
    <m/>
    <m/>
    <m/>
    <m/>
    <m/>
    <m/>
    <m/>
    <m/>
    <m/>
    <m/>
    <m/>
    <m/>
    <m/>
    <m/>
    <m/>
    <m/>
    <m/>
    <m/>
    <m/>
    <x v="1"/>
    <x v="1"/>
    <m/>
    <m/>
    <m/>
    <m/>
    <m/>
    <m/>
    <m/>
    <m/>
    <m/>
    <n v="86"/>
    <n v="86"/>
    <m/>
    <m/>
    <m/>
    <m/>
    <m/>
    <m/>
    <s v="no test"/>
    <s v="no test"/>
    <x v="1"/>
    <n v="0"/>
    <n v="0"/>
    <n v="0"/>
    <n v="0"/>
    <n v="0"/>
    <n v="0"/>
    <n v="0"/>
    <n v="0"/>
    <n v="0"/>
    <n v="0"/>
    <n v="0"/>
    <n v="0"/>
    <n v="0"/>
    <n v="0"/>
    <n v="1"/>
    <n v="401"/>
    <n v="1"/>
    <n v="1"/>
    <n v="0"/>
    <n v="0"/>
    <n v="0"/>
    <s v="N/A"/>
    <s v="NA"/>
    <n v="67"/>
    <n v="67"/>
    <n v="1"/>
    <n v="0"/>
    <n v="401"/>
    <n v="0"/>
    <n v="0"/>
    <n v="0"/>
    <n v="401"/>
    <n v="1"/>
    <n v="0"/>
    <n v="1"/>
    <n v="0"/>
    <n v="0"/>
    <n v="0"/>
    <n v="0"/>
    <n v="0"/>
    <n v="0"/>
    <x v="0"/>
    <n v="0"/>
    <n v="0"/>
    <x v="2"/>
    <x v="6"/>
    <x v="4"/>
    <n v="20.806211470000001"/>
    <n v="92.404357910000002"/>
    <n v="220737"/>
    <x v="0"/>
    <m/>
  </r>
  <r>
    <x v="0"/>
    <x v="10"/>
    <x v="10"/>
    <s v="IOM"/>
    <x v="2"/>
    <x v="15"/>
    <x v="2"/>
    <x v="190"/>
    <n v="275"/>
    <n v="1698"/>
    <d v="2019-01-15T00:00:00"/>
    <d v="2019-09-15T00:00:00"/>
    <m/>
    <m/>
    <m/>
    <m/>
    <m/>
    <m/>
    <m/>
    <m/>
    <m/>
    <m/>
    <m/>
    <m/>
    <m/>
    <m/>
    <m/>
    <m/>
    <m/>
    <m/>
    <m/>
    <m/>
    <m/>
    <m/>
    <m/>
    <m/>
    <m/>
    <m/>
    <m/>
    <m/>
    <m/>
    <m/>
    <m/>
    <m/>
    <m/>
    <m/>
    <m/>
    <m/>
    <m/>
    <x v="1"/>
    <x v="1"/>
    <m/>
    <m/>
    <m/>
    <m/>
    <m/>
    <m/>
    <m/>
    <m/>
    <m/>
    <n v="275"/>
    <n v="275"/>
    <m/>
    <m/>
    <m/>
    <m/>
    <m/>
    <m/>
    <s v="no test"/>
    <s v="no test"/>
    <x v="1"/>
    <n v="0"/>
    <n v="0"/>
    <n v="0"/>
    <n v="0"/>
    <n v="0"/>
    <n v="0"/>
    <n v="0"/>
    <n v="0"/>
    <n v="0"/>
    <n v="0"/>
    <n v="0"/>
    <n v="0"/>
    <n v="0"/>
    <n v="0"/>
    <n v="1"/>
    <n v="1698"/>
    <n v="3"/>
    <n v="3"/>
    <n v="0"/>
    <n v="0"/>
    <n v="0"/>
    <s v="N/A"/>
    <s v="NA"/>
    <n v="283"/>
    <n v="283"/>
    <n v="1"/>
    <n v="0"/>
    <n v="1698"/>
    <n v="0"/>
    <n v="0"/>
    <n v="0"/>
    <n v="1698"/>
    <n v="1"/>
    <n v="0"/>
    <n v="1"/>
    <n v="0"/>
    <n v="0"/>
    <n v="0"/>
    <n v="0"/>
    <n v="0"/>
    <n v="0"/>
    <x v="0"/>
    <n v="0"/>
    <n v="0"/>
    <x v="2"/>
    <x v="6"/>
    <x v="3"/>
    <n v="0"/>
    <n v="0"/>
    <n v="197968"/>
    <x v="0"/>
    <m/>
  </r>
  <r>
    <x v="0"/>
    <x v="10"/>
    <x v="10"/>
    <s v="IOM"/>
    <x v="2"/>
    <x v="15"/>
    <x v="2"/>
    <x v="191"/>
    <n v="145"/>
    <n v="702"/>
    <d v="2019-01-15T00:00:00"/>
    <d v="2019-09-15T00:00:00"/>
    <m/>
    <m/>
    <m/>
    <m/>
    <m/>
    <m/>
    <m/>
    <m/>
    <m/>
    <m/>
    <m/>
    <m/>
    <m/>
    <m/>
    <m/>
    <m/>
    <m/>
    <m/>
    <m/>
    <m/>
    <m/>
    <m/>
    <m/>
    <m/>
    <m/>
    <m/>
    <m/>
    <m/>
    <m/>
    <m/>
    <m/>
    <m/>
    <m/>
    <m/>
    <m/>
    <m/>
    <m/>
    <x v="1"/>
    <x v="1"/>
    <m/>
    <m/>
    <m/>
    <m/>
    <m/>
    <m/>
    <m/>
    <m/>
    <m/>
    <n v="145"/>
    <n v="145"/>
    <m/>
    <m/>
    <m/>
    <m/>
    <m/>
    <m/>
    <s v="no test"/>
    <s v="no test"/>
    <x v="1"/>
    <n v="0"/>
    <n v="0"/>
    <n v="0"/>
    <n v="0"/>
    <n v="0"/>
    <n v="0"/>
    <n v="0"/>
    <n v="0"/>
    <n v="0"/>
    <n v="0"/>
    <n v="0"/>
    <n v="0"/>
    <n v="0"/>
    <n v="0"/>
    <n v="1"/>
    <n v="702"/>
    <n v="1"/>
    <n v="1"/>
    <n v="0"/>
    <n v="0"/>
    <n v="0"/>
    <s v="N/A"/>
    <s v="NA"/>
    <n v="117"/>
    <n v="117"/>
    <n v="1"/>
    <n v="0"/>
    <n v="702"/>
    <n v="0"/>
    <n v="0"/>
    <n v="0"/>
    <n v="702"/>
    <n v="1"/>
    <n v="0"/>
    <n v="1"/>
    <n v="0"/>
    <n v="0"/>
    <n v="0"/>
    <n v="0"/>
    <n v="0"/>
    <n v="0"/>
    <x v="0"/>
    <n v="0"/>
    <n v="0"/>
    <x v="2"/>
    <x v="6"/>
    <x v="3"/>
    <n v="0"/>
    <n v="0"/>
    <n v="0"/>
    <x v="0"/>
    <m/>
  </r>
  <r>
    <x v="0"/>
    <x v="10"/>
    <x v="10"/>
    <s v="IOM"/>
    <x v="2"/>
    <x v="15"/>
    <x v="2"/>
    <x v="192"/>
    <n v="376"/>
    <n v="2392"/>
    <d v="2019-01-15T00:00:00"/>
    <d v="2019-09-15T00:00:00"/>
    <m/>
    <m/>
    <m/>
    <m/>
    <m/>
    <m/>
    <m/>
    <m/>
    <m/>
    <m/>
    <m/>
    <m/>
    <m/>
    <m/>
    <m/>
    <m/>
    <m/>
    <m/>
    <m/>
    <m/>
    <m/>
    <m/>
    <m/>
    <m/>
    <m/>
    <m/>
    <m/>
    <m/>
    <m/>
    <m/>
    <m/>
    <m/>
    <m/>
    <m/>
    <m/>
    <m/>
    <m/>
    <x v="1"/>
    <x v="1"/>
    <m/>
    <m/>
    <m/>
    <m/>
    <m/>
    <m/>
    <m/>
    <m/>
    <m/>
    <n v="376"/>
    <n v="376"/>
    <m/>
    <m/>
    <m/>
    <m/>
    <m/>
    <m/>
    <s v="no test"/>
    <s v="no test"/>
    <x v="1"/>
    <n v="0"/>
    <n v="0"/>
    <n v="0"/>
    <n v="0"/>
    <n v="0"/>
    <n v="0"/>
    <n v="0"/>
    <n v="0"/>
    <n v="0"/>
    <n v="0"/>
    <n v="0"/>
    <n v="0"/>
    <n v="0"/>
    <n v="0"/>
    <n v="1"/>
    <n v="2392"/>
    <n v="5"/>
    <n v="5"/>
    <n v="0"/>
    <n v="0"/>
    <n v="0"/>
    <s v="N/A"/>
    <s v="NA"/>
    <n v="399"/>
    <n v="399"/>
    <n v="1"/>
    <n v="0"/>
    <n v="2392"/>
    <n v="0"/>
    <n v="0"/>
    <n v="0"/>
    <n v="2392"/>
    <n v="1"/>
    <n v="0"/>
    <n v="1"/>
    <n v="0"/>
    <n v="0"/>
    <n v="0"/>
    <n v="0"/>
    <n v="0"/>
    <n v="0"/>
    <x v="0"/>
    <s v="Yes"/>
    <n v="0"/>
    <x v="2"/>
    <x v="9"/>
    <x v="4"/>
    <n v="19.421102000000001"/>
    <n v="93.552452000000002"/>
    <s v="MMR012CMP036"/>
    <x v="0"/>
    <m/>
  </r>
  <r>
    <x v="0"/>
    <x v="10"/>
    <x v="10"/>
    <s v="IOM"/>
    <x v="2"/>
    <x v="15"/>
    <x v="2"/>
    <x v="193"/>
    <n v="181"/>
    <n v="1089"/>
    <d v="2019-01-15T00:00:00"/>
    <d v="2019-09-15T00:00:00"/>
    <m/>
    <m/>
    <m/>
    <m/>
    <m/>
    <m/>
    <m/>
    <m/>
    <m/>
    <m/>
    <m/>
    <m/>
    <m/>
    <m/>
    <m/>
    <m/>
    <m/>
    <m/>
    <m/>
    <m/>
    <m/>
    <m/>
    <m/>
    <m/>
    <m/>
    <m/>
    <m/>
    <m/>
    <m/>
    <m/>
    <m/>
    <m/>
    <m/>
    <m/>
    <m/>
    <m/>
    <m/>
    <x v="1"/>
    <x v="1"/>
    <m/>
    <m/>
    <m/>
    <m/>
    <m/>
    <m/>
    <m/>
    <m/>
    <m/>
    <n v="181"/>
    <n v="181"/>
    <m/>
    <m/>
    <m/>
    <m/>
    <m/>
    <m/>
    <s v="no test"/>
    <s v="no test"/>
    <x v="1"/>
    <n v="0"/>
    <n v="0"/>
    <n v="0"/>
    <n v="0"/>
    <n v="0"/>
    <n v="0"/>
    <n v="0"/>
    <n v="0"/>
    <n v="0"/>
    <n v="0"/>
    <n v="0"/>
    <n v="0"/>
    <n v="0"/>
    <n v="0"/>
    <n v="1"/>
    <n v="1089"/>
    <n v="2"/>
    <n v="2"/>
    <n v="0"/>
    <n v="0"/>
    <n v="0"/>
    <s v="N/A"/>
    <s v="NA"/>
    <n v="182"/>
    <n v="182"/>
    <n v="1"/>
    <n v="0"/>
    <n v="1089"/>
    <n v="0"/>
    <n v="0"/>
    <n v="0"/>
    <n v="1089"/>
    <n v="1"/>
    <n v="0"/>
    <n v="1"/>
    <n v="0"/>
    <n v="0"/>
    <n v="0"/>
    <n v="0"/>
    <n v="0"/>
    <n v="0"/>
    <x v="0"/>
    <n v="0"/>
    <n v="0"/>
    <x v="2"/>
    <x v="6"/>
    <x v="4"/>
    <n v="20.691099170000001"/>
    <n v="92.590652469999995"/>
    <n v="198446"/>
    <x v="0"/>
    <m/>
  </r>
  <r>
    <x v="0"/>
    <x v="10"/>
    <x v="10"/>
    <s v="IOM"/>
    <x v="2"/>
    <x v="15"/>
    <x v="2"/>
    <x v="194"/>
    <n v="241"/>
    <n v="1397"/>
    <d v="2019-01-15T00:00:00"/>
    <d v="2019-09-15T00:00:00"/>
    <m/>
    <m/>
    <m/>
    <m/>
    <m/>
    <m/>
    <m/>
    <m/>
    <m/>
    <m/>
    <m/>
    <m/>
    <m/>
    <m/>
    <m/>
    <m/>
    <m/>
    <m/>
    <m/>
    <m/>
    <m/>
    <m/>
    <m/>
    <m/>
    <m/>
    <m/>
    <m/>
    <m/>
    <m/>
    <m/>
    <m/>
    <m/>
    <m/>
    <m/>
    <m/>
    <m/>
    <m/>
    <x v="1"/>
    <x v="1"/>
    <m/>
    <m/>
    <m/>
    <m/>
    <m/>
    <m/>
    <m/>
    <m/>
    <m/>
    <n v="241"/>
    <n v="241"/>
    <m/>
    <m/>
    <m/>
    <m/>
    <m/>
    <m/>
    <s v="no test"/>
    <s v="no test"/>
    <x v="1"/>
    <n v="0"/>
    <n v="0"/>
    <n v="0"/>
    <n v="0"/>
    <n v="0"/>
    <n v="0"/>
    <n v="0"/>
    <n v="0"/>
    <n v="0"/>
    <n v="0"/>
    <n v="0"/>
    <n v="0"/>
    <n v="0"/>
    <n v="0"/>
    <n v="1"/>
    <n v="1397"/>
    <n v="3"/>
    <n v="3"/>
    <n v="0"/>
    <n v="0"/>
    <n v="0"/>
    <s v="N/A"/>
    <s v="NA"/>
    <n v="233"/>
    <n v="233"/>
    <n v="1"/>
    <n v="0"/>
    <n v="1397"/>
    <n v="0"/>
    <n v="0"/>
    <n v="0"/>
    <n v="1397"/>
    <n v="1"/>
    <n v="0"/>
    <n v="1"/>
    <n v="0"/>
    <n v="0"/>
    <n v="0"/>
    <n v="0"/>
    <n v="0"/>
    <n v="0"/>
    <x v="0"/>
    <n v="0"/>
    <n v="0"/>
    <x v="2"/>
    <x v="6"/>
    <x v="3"/>
    <n v="20.872400280000001"/>
    <n v="92.337608340000003"/>
    <n v="197971"/>
    <x v="0"/>
    <m/>
  </r>
  <r>
    <x v="0"/>
    <x v="9"/>
    <x v="9"/>
    <s v="BMZ"/>
    <x v="1"/>
    <x v="13"/>
    <x v="2"/>
    <x v="195"/>
    <n v="43"/>
    <n v="193"/>
    <d v="2018-09-16T00:00:00"/>
    <d v="2019-12-31T00:00:00"/>
    <m/>
    <m/>
    <m/>
    <m/>
    <m/>
    <m/>
    <m/>
    <m/>
    <m/>
    <m/>
    <m/>
    <m/>
    <m/>
    <m/>
    <m/>
    <m/>
    <m/>
    <m/>
    <m/>
    <m/>
    <m/>
    <m/>
    <m/>
    <m/>
    <m/>
    <m/>
    <m/>
    <m/>
    <m/>
    <m/>
    <m/>
    <m/>
    <m/>
    <m/>
    <m/>
    <m/>
    <m/>
    <x v="1"/>
    <x v="1"/>
    <m/>
    <m/>
    <m/>
    <m/>
    <m/>
    <m/>
    <m/>
    <m/>
    <m/>
    <m/>
    <m/>
    <m/>
    <m/>
    <m/>
    <m/>
    <m/>
    <m/>
    <s v="no test"/>
    <s v="no test"/>
    <x v="1"/>
    <n v="0"/>
    <n v="0"/>
    <n v="0"/>
    <n v="0"/>
    <n v="0"/>
    <n v="0"/>
    <n v="0"/>
    <n v="0"/>
    <n v="0"/>
    <n v="0"/>
    <n v="0"/>
    <n v="0"/>
    <n v="0"/>
    <n v="0"/>
    <n v="1"/>
    <n v="193"/>
    <n v="1"/>
    <n v="1"/>
    <n v="0"/>
    <n v="0"/>
    <n v="0"/>
    <s v="N/A"/>
    <s v="NA"/>
    <n v="32"/>
    <n v="32"/>
    <n v="1"/>
    <n v="0"/>
    <n v="0"/>
    <n v="0"/>
    <n v="0"/>
    <n v="0"/>
    <n v="0"/>
    <n v="0"/>
    <n v="1"/>
    <n v="0"/>
    <n v="0"/>
    <n v="0"/>
    <n v="0"/>
    <n v="0"/>
    <n v="0"/>
    <n v="0"/>
    <x v="0"/>
    <n v="0"/>
    <n v="0"/>
    <x v="2"/>
    <x v="6"/>
    <x v="2"/>
    <n v="19.9233303070068"/>
    <n v="93.018592834472699"/>
    <n v="197547"/>
    <x v="0"/>
    <m/>
  </r>
  <r>
    <x v="0"/>
    <x v="9"/>
    <x v="9"/>
    <s v="BMZ"/>
    <x v="1"/>
    <x v="13"/>
    <x v="2"/>
    <x v="196"/>
    <n v="38"/>
    <n v="81"/>
    <d v="2018-09-16T00:00:00"/>
    <d v="2019-12-31T00:00:00"/>
    <m/>
    <m/>
    <m/>
    <m/>
    <m/>
    <m/>
    <m/>
    <m/>
    <m/>
    <m/>
    <m/>
    <m/>
    <m/>
    <m/>
    <m/>
    <m/>
    <m/>
    <m/>
    <m/>
    <m/>
    <m/>
    <m/>
    <m/>
    <m/>
    <m/>
    <m/>
    <m/>
    <m/>
    <m/>
    <m/>
    <m/>
    <m/>
    <m/>
    <m/>
    <m/>
    <m/>
    <m/>
    <x v="1"/>
    <x v="1"/>
    <m/>
    <m/>
    <m/>
    <m/>
    <m/>
    <m/>
    <m/>
    <m/>
    <m/>
    <m/>
    <m/>
    <m/>
    <m/>
    <m/>
    <m/>
    <m/>
    <m/>
    <s v="no test"/>
    <s v="no test"/>
    <x v="1"/>
    <n v="0"/>
    <n v="0"/>
    <n v="0"/>
    <n v="0"/>
    <n v="0"/>
    <n v="0"/>
    <n v="0"/>
    <n v="0"/>
    <n v="0"/>
    <n v="0"/>
    <n v="0"/>
    <n v="0"/>
    <n v="0"/>
    <n v="0"/>
    <n v="1"/>
    <n v="81"/>
    <n v="1"/>
    <n v="1"/>
    <n v="0"/>
    <n v="0"/>
    <n v="0"/>
    <s v="N/A"/>
    <s v="NA"/>
    <n v="14"/>
    <n v="14"/>
    <n v="1"/>
    <n v="0"/>
    <n v="0"/>
    <n v="0"/>
    <n v="0"/>
    <n v="0"/>
    <n v="0"/>
    <n v="0"/>
    <n v="1"/>
    <n v="0"/>
    <n v="0"/>
    <n v="0"/>
    <n v="0"/>
    <n v="0"/>
    <n v="0"/>
    <n v="0"/>
    <x v="0"/>
    <n v="0"/>
    <n v="0"/>
    <x v="2"/>
    <x v="6"/>
    <x v="2"/>
    <n v="20.005199432373001"/>
    <n v="92.948463439941406"/>
    <n v="197565"/>
    <x v="0"/>
    <m/>
  </r>
  <r>
    <x v="0"/>
    <x v="9"/>
    <x v="9"/>
    <s v="OFDA"/>
    <x v="1"/>
    <x v="13"/>
    <x v="2"/>
    <x v="197"/>
    <n v="204"/>
    <n v="1055"/>
    <d v="2019-04-01T00:00:00"/>
    <d v="2020-03-31T00:00:00"/>
    <n v="0"/>
    <n v="0"/>
    <n v="3"/>
    <n v="0"/>
    <s v="No"/>
    <n v="1"/>
    <n v="2"/>
    <n v="0"/>
    <m/>
    <m/>
    <m/>
    <m/>
    <m/>
    <m/>
    <m/>
    <m/>
    <m/>
    <m/>
    <n v="4"/>
    <m/>
    <m/>
    <n v="4"/>
    <n v="4"/>
    <m/>
    <n v="109"/>
    <m/>
    <m/>
    <m/>
    <m/>
    <n v="79"/>
    <m/>
    <m/>
    <m/>
    <m/>
    <m/>
    <m/>
    <n v="79"/>
    <x v="0"/>
    <x v="0"/>
    <m/>
    <m/>
    <m/>
    <m/>
    <n v="0"/>
    <m/>
    <m/>
    <m/>
    <m/>
    <n v="1"/>
    <n v="2"/>
    <m/>
    <m/>
    <m/>
    <m/>
    <m/>
    <m/>
    <n v="0"/>
    <n v="0"/>
    <x v="0"/>
    <n v="0"/>
    <n v="0"/>
    <n v="0"/>
    <n v="0"/>
    <n v="0"/>
    <n v="0"/>
    <n v="0"/>
    <n v="0"/>
    <n v="0"/>
    <n v="0.94786729857819907"/>
    <n v="1000"/>
    <n v="0.94786729857819907"/>
    <n v="1000"/>
    <n v="2"/>
    <n v="5.2132701421800931E-2"/>
    <n v="54.999999999999986"/>
    <n v="0"/>
    <n v="2"/>
    <n v="79"/>
    <n v="0.44928909952606633"/>
    <n v="474"/>
    <s v="N/A"/>
    <s v="NA"/>
    <n v="176"/>
    <n v="97"/>
    <n v="0.55071090047393367"/>
    <n v="0"/>
    <n v="1055"/>
    <n v="0"/>
    <n v="0"/>
    <n v="0"/>
    <n v="1055"/>
    <n v="1"/>
    <n v="0"/>
    <n v="1"/>
    <n v="0"/>
    <n v="0"/>
    <n v="0"/>
    <n v="0"/>
    <n v="0"/>
    <n v="0"/>
    <x v="1"/>
    <n v="0"/>
    <n v="0"/>
    <x v="2"/>
    <x v="6"/>
    <x v="4"/>
    <n v="20.0839"/>
    <n v="92.993799999999993"/>
    <n v="197557"/>
    <x v="0"/>
    <m/>
  </r>
  <r>
    <x v="0"/>
    <x v="9"/>
    <x v="9"/>
    <s v="OFDA"/>
    <x v="1"/>
    <x v="13"/>
    <x v="1"/>
    <x v="198"/>
    <n v="744"/>
    <n v="2810"/>
    <d v="2019-04-01T00:00:00"/>
    <d v="2020-03-31T00:00:00"/>
    <n v="510"/>
    <n v="3"/>
    <n v="15"/>
    <n v="0"/>
    <s v="Yes"/>
    <n v="13"/>
    <n v="5"/>
    <n v="25"/>
    <m/>
    <n v="25"/>
    <n v="10"/>
    <m/>
    <m/>
    <n v="10"/>
    <n v="2"/>
    <m/>
    <n v="2"/>
    <m/>
    <n v="1"/>
    <m/>
    <m/>
    <n v="1"/>
    <n v="1"/>
    <m/>
    <m/>
    <m/>
    <n v="75"/>
    <n v="3"/>
    <m/>
    <n v="370"/>
    <m/>
    <m/>
    <m/>
    <n v="370"/>
    <n v="370"/>
    <m/>
    <n v="370"/>
    <x v="0"/>
    <x v="0"/>
    <n v="4"/>
    <n v="15"/>
    <n v="10"/>
    <m/>
    <n v="77"/>
    <m/>
    <n v="660"/>
    <m/>
    <m/>
    <n v="4"/>
    <n v="4"/>
    <n v="744"/>
    <n v="744"/>
    <s v="Yes"/>
    <n v="13"/>
    <m/>
    <m/>
    <n v="0"/>
    <s v="no test"/>
    <x v="0"/>
    <n v="25"/>
    <n v="10"/>
    <n v="2"/>
    <n v="0"/>
    <n v="0"/>
    <n v="1"/>
    <n v="1"/>
    <n v="1"/>
    <n v="2810"/>
    <n v="8.8967971530249115E-2"/>
    <n v="250"/>
    <n v="1"/>
    <n v="2810"/>
    <n v="5.62"/>
    <n v="0"/>
    <n v="0"/>
    <n v="0.37999999999999989"/>
    <n v="6"/>
    <n v="370"/>
    <n v="1"/>
    <n v="2810"/>
    <n v="2810"/>
    <n v="500"/>
    <n v="141"/>
    <n v="0"/>
    <n v="0"/>
    <n v="0"/>
    <n v="2810"/>
    <n v="2810"/>
    <n v="2810"/>
    <n v="2810"/>
    <n v="2810"/>
    <n v="1"/>
    <n v="0"/>
    <n v="1"/>
    <n v="1"/>
    <n v="1"/>
    <n v="77"/>
    <n v="744"/>
    <n v="75"/>
    <n v="2810"/>
    <x v="1"/>
    <s v="Yes"/>
    <n v="0"/>
    <x v="0"/>
    <x v="7"/>
    <x v="3"/>
    <n v="20.064226000000001"/>
    <n v="92.993758999999997"/>
    <s v="MMR012CMP019"/>
    <x v="0"/>
    <m/>
  </r>
  <r>
    <x v="0"/>
    <x v="9"/>
    <x v="9"/>
    <s v="OFDA"/>
    <x v="1"/>
    <x v="13"/>
    <x v="2"/>
    <x v="199"/>
    <n v="948"/>
    <n v="3946"/>
    <d v="2019-04-01T00:00:00"/>
    <d v="2020-03-31T00:00:00"/>
    <n v="342"/>
    <n v="1"/>
    <n v="8"/>
    <n v="0"/>
    <s v="No"/>
    <n v="5"/>
    <n v="4"/>
    <n v="8"/>
    <m/>
    <n v="8"/>
    <n v="59"/>
    <m/>
    <m/>
    <n v="59"/>
    <n v="2"/>
    <m/>
    <n v="2"/>
    <m/>
    <n v="3"/>
    <m/>
    <m/>
    <n v="3"/>
    <n v="3"/>
    <m/>
    <n v="148"/>
    <m/>
    <n v="15"/>
    <n v="2"/>
    <m/>
    <n v="343"/>
    <m/>
    <m/>
    <m/>
    <m/>
    <m/>
    <m/>
    <n v="343"/>
    <x v="0"/>
    <x v="0"/>
    <n v="4"/>
    <n v="0"/>
    <n v="10"/>
    <m/>
    <n v="17"/>
    <m/>
    <m/>
    <m/>
    <m/>
    <n v="4"/>
    <n v="4"/>
    <m/>
    <m/>
    <s v="Yes"/>
    <n v="46"/>
    <m/>
    <m/>
    <n v="0"/>
    <n v="0"/>
    <x v="0"/>
    <n v="8"/>
    <n v="59"/>
    <n v="2"/>
    <n v="0"/>
    <n v="0"/>
    <n v="1"/>
    <n v="1"/>
    <n v="1"/>
    <n v="3946"/>
    <n v="0.1900658895083629"/>
    <n v="750"/>
    <n v="1"/>
    <n v="3946"/>
    <n v="7.8920000000000003"/>
    <n v="0"/>
    <n v="0"/>
    <n v="0.10799999999999965"/>
    <n v="8"/>
    <n v="343"/>
    <n v="0.52154080081094778"/>
    <n v="2058"/>
    <s v="N/A"/>
    <s v="NA"/>
    <n v="658"/>
    <n v="315"/>
    <n v="0.47845919918905222"/>
    <n v="0"/>
    <n v="3946"/>
    <n v="0"/>
    <n v="0"/>
    <n v="0"/>
    <n v="3946"/>
    <n v="1"/>
    <n v="0"/>
    <n v="1"/>
    <n v="0"/>
    <n v="0"/>
    <n v="17"/>
    <n v="340"/>
    <n v="15"/>
    <n v="1700"/>
    <x v="1"/>
    <n v="0"/>
    <n v="0"/>
    <x v="2"/>
    <x v="6"/>
    <x v="3"/>
    <n v="20.0641"/>
    <n v="92.994600000000005"/>
    <n v="197548"/>
    <x v="0"/>
    <m/>
  </r>
  <r>
    <x v="0"/>
    <x v="9"/>
    <x v="9"/>
    <s v="OFDA"/>
    <x v="1"/>
    <x v="13"/>
    <x v="2"/>
    <x v="200"/>
    <n v="477"/>
    <n v="2034"/>
    <d v="2019-04-01T00:00:00"/>
    <d v="2020-03-31T00:00:00"/>
    <n v="0"/>
    <n v="1"/>
    <n v="4"/>
    <n v="0"/>
    <s v="No"/>
    <n v="1"/>
    <n v="4"/>
    <n v="4"/>
    <m/>
    <n v="4"/>
    <n v="28"/>
    <m/>
    <m/>
    <n v="28"/>
    <m/>
    <m/>
    <m/>
    <m/>
    <n v="2"/>
    <m/>
    <m/>
    <n v="2"/>
    <n v="2"/>
    <m/>
    <n v="125"/>
    <m/>
    <n v="15"/>
    <m/>
    <m/>
    <n v="200"/>
    <m/>
    <m/>
    <m/>
    <m/>
    <m/>
    <m/>
    <n v="200"/>
    <x v="0"/>
    <x v="0"/>
    <n v="0"/>
    <n v="0"/>
    <n v="4"/>
    <m/>
    <n v="15"/>
    <m/>
    <m/>
    <m/>
    <m/>
    <n v="1"/>
    <n v="3"/>
    <m/>
    <m/>
    <m/>
    <m/>
    <m/>
    <m/>
    <n v="0"/>
    <n v="0"/>
    <x v="0"/>
    <n v="4"/>
    <n v="28"/>
    <n v="0"/>
    <n v="0"/>
    <n v="0"/>
    <n v="1"/>
    <n v="1"/>
    <n v="1"/>
    <n v="2034"/>
    <n v="0.24582104228121926"/>
    <n v="500"/>
    <n v="1"/>
    <n v="2034"/>
    <n v="4.0679999999999996"/>
    <n v="0"/>
    <n v="0"/>
    <n v="0"/>
    <n v="4"/>
    <n v="200"/>
    <n v="0.58997050147492625"/>
    <n v="1200"/>
    <s v="N/A"/>
    <s v="NA"/>
    <n v="339"/>
    <n v="139"/>
    <n v="0.41002949852507375"/>
    <n v="0"/>
    <n v="2000"/>
    <n v="0"/>
    <n v="0"/>
    <n v="0"/>
    <n v="2000"/>
    <n v="0.98328416912487704"/>
    <n v="1.6715830875122961E-2"/>
    <n v="0.98328416912487704"/>
    <n v="0"/>
    <n v="0"/>
    <n v="15"/>
    <n v="300"/>
    <n v="0"/>
    <n v="1500"/>
    <x v="1"/>
    <n v="0"/>
    <n v="0"/>
    <x v="2"/>
    <x v="6"/>
    <x v="4"/>
    <n v="20.057860999999999"/>
    <n v="92.995181000000002"/>
    <n v="197550"/>
    <x v="0"/>
    <m/>
  </r>
  <r>
    <x v="0"/>
    <x v="9"/>
    <x v="9"/>
    <s v="BMZ"/>
    <x v="1"/>
    <x v="13"/>
    <x v="2"/>
    <x v="201"/>
    <n v="97"/>
    <n v="97"/>
    <d v="2018-09-16T00:00:00"/>
    <d v="2019-12-31T00:00:00"/>
    <m/>
    <m/>
    <m/>
    <m/>
    <m/>
    <m/>
    <m/>
    <m/>
    <m/>
    <m/>
    <m/>
    <m/>
    <m/>
    <m/>
    <m/>
    <m/>
    <m/>
    <m/>
    <m/>
    <m/>
    <m/>
    <m/>
    <m/>
    <m/>
    <m/>
    <m/>
    <m/>
    <m/>
    <m/>
    <m/>
    <m/>
    <m/>
    <m/>
    <m/>
    <m/>
    <m/>
    <m/>
    <x v="1"/>
    <x v="1"/>
    <m/>
    <m/>
    <m/>
    <m/>
    <m/>
    <m/>
    <m/>
    <m/>
    <m/>
    <m/>
    <m/>
    <m/>
    <m/>
    <m/>
    <m/>
    <m/>
    <m/>
    <s v="no test"/>
    <s v="no test"/>
    <x v="1"/>
    <n v="0"/>
    <n v="0"/>
    <n v="0"/>
    <n v="0"/>
    <n v="0"/>
    <n v="0"/>
    <n v="0"/>
    <n v="0"/>
    <n v="0"/>
    <n v="0"/>
    <n v="0"/>
    <n v="0"/>
    <n v="0"/>
    <n v="0"/>
    <n v="1"/>
    <n v="97"/>
    <n v="1"/>
    <n v="1"/>
    <n v="0"/>
    <n v="0"/>
    <n v="0"/>
    <s v="N/A"/>
    <s v="NA"/>
    <n v="16"/>
    <n v="16"/>
    <n v="1"/>
    <n v="0"/>
    <n v="0"/>
    <n v="0"/>
    <n v="0"/>
    <n v="0"/>
    <n v="0"/>
    <n v="0"/>
    <n v="1"/>
    <n v="0"/>
    <n v="0"/>
    <n v="0"/>
    <n v="0"/>
    <n v="0"/>
    <n v="0"/>
    <n v="0"/>
    <x v="0"/>
    <n v="0"/>
    <n v="0"/>
    <x v="2"/>
    <x v="6"/>
    <x v="2"/>
    <n v="19.9964408874512"/>
    <n v="92.951683044433594"/>
    <n v="217986"/>
    <x v="0"/>
    <m/>
  </r>
  <r>
    <x v="0"/>
    <x v="9"/>
    <x v="9"/>
    <s v="BMZ"/>
    <x v="1"/>
    <x v="13"/>
    <x v="2"/>
    <x v="202"/>
    <n v="47"/>
    <n v="239"/>
    <d v="2018-09-16T00:00:00"/>
    <d v="2019-12-31T00:00:00"/>
    <m/>
    <m/>
    <m/>
    <m/>
    <m/>
    <m/>
    <m/>
    <m/>
    <m/>
    <m/>
    <m/>
    <m/>
    <m/>
    <m/>
    <m/>
    <m/>
    <m/>
    <m/>
    <m/>
    <m/>
    <m/>
    <m/>
    <m/>
    <m/>
    <m/>
    <m/>
    <m/>
    <m/>
    <m/>
    <m/>
    <m/>
    <m/>
    <m/>
    <m/>
    <m/>
    <m/>
    <m/>
    <x v="1"/>
    <x v="1"/>
    <m/>
    <m/>
    <m/>
    <m/>
    <m/>
    <m/>
    <m/>
    <m/>
    <m/>
    <m/>
    <m/>
    <m/>
    <m/>
    <m/>
    <m/>
    <m/>
    <m/>
    <s v="no test"/>
    <s v="no test"/>
    <x v="1"/>
    <n v="0"/>
    <n v="0"/>
    <n v="0"/>
    <n v="0"/>
    <n v="0"/>
    <n v="0"/>
    <n v="0"/>
    <n v="0"/>
    <n v="0"/>
    <n v="0"/>
    <n v="0"/>
    <n v="0"/>
    <n v="0"/>
    <n v="0"/>
    <n v="1"/>
    <n v="239"/>
    <n v="1"/>
    <n v="1"/>
    <n v="0"/>
    <n v="0"/>
    <n v="0"/>
    <s v="N/A"/>
    <s v="NA"/>
    <n v="40"/>
    <n v="40"/>
    <n v="1"/>
    <n v="0"/>
    <n v="0"/>
    <n v="0"/>
    <n v="0"/>
    <n v="0"/>
    <n v="0"/>
    <n v="0"/>
    <n v="1"/>
    <n v="0"/>
    <n v="0"/>
    <n v="0"/>
    <n v="0"/>
    <n v="0"/>
    <n v="0"/>
    <n v="0"/>
    <x v="0"/>
    <n v="0"/>
    <n v="0"/>
    <x v="2"/>
    <x v="6"/>
    <x v="2"/>
    <n v="0"/>
    <n v="0"/>
    <n v="0"/>
    <x v="0"/>
    <m/>
  </r>
  <r>
    <x v="0"/>
    <x v="9"/>
    <x v="9"/>
    <s v="BMZ"/>
    <x v="1"/>
    <x v="13"/>
    <x v="2"/>
    <x v="203"/>
    <n v="113"/>
    <n v="506"/>
    <d v="2018-09-16T00:00:00"/>
    <d v="2019-12-31T00:00:00"/>
    <m/>
    <m/>
    <m/>
    <m/>
    <m/>
    <m/>
    <m/>
    <m/>
    <m/>
    <m/>
    <m/>
    <m/>
    <m/>
    <m/>
    <m/>
    <m/>
    <m/>
    <m/>
    <m/>
    <m/>
    <m/>
    <m/>
    <m/>
    <m/>
    <m/>
    <m/>
    <m/>
    <m/>
    <m/>
    <m/>
    <m/>
    <m/>
    <m/>
    <m/>
    <m/>
    <m/>
    <m/>
    <x v="1"/>
    <x v="1"/>
    <m/>
    <m/>
    <m/>
    <m/>
    <m/>
    <m/>
    <m/>
    <m/>
    <m/>
    <m/>
    <m/>
    <m/>
    <m/>
    <m/>
    <m/>
    <m/>
    <m/>
    <s v="no test"/>
    <s v="no test"/>
    <x v="1"/>
    <n v="0"/>
    <n v="0"/>
    <n v="0"/>
    <n v="0"/>
    <n v="0"/>
    <n v="0"/>
    <n v="0"/>
    <n v="0"/>
    <n v="0"/>
    <n v="0"/>
    <n v="0"/>
    <n v="0"/>
    <n v="0"/>
    <n v="0"/>
    <n v="1"/>
    <n v="506"/>
    <n v="1"/>
    <n v="1"/>
    <n v="0"/>
    <n v="0"/>
    <n v="0"/>
    <s v="N/A"/>
    <s v="NA"/>
    <n v="84"/>
    <n v="84"/>
    <n v="1"/>
    <n v="0"/>
    <n v="0"/>
    <n v="0"/>
    <n v="0"/>
    <n v="0"/>
    <n v="0"/>
    <n v="0"/>
    <n v="1"/>
    <n v="0"/>
    <n v="0"/>
    <n v="0"/>
    <n v="0"/>
    <n v="0"/>
    <n v="0"/>
    <n v="0"/>
    <x v="0"/>
    <n v="0"/>
    <n v="0"/>
    <x v="2"/>
    <x v="6"/>
    <x v="2"/>
    <n v="0"/>
    <n v="0"/>
    <n v="0"/>
    <x v="0"/>
    <m/>
  </r>
  <r>
    <x v="0"/>
    <x v="9"/>
    <x v="9"/>
    <s v="BMZ"/>
    <x v="1"/>
    <x v="13"/>
    <x v="2"/>
    <x v="204"/>
    <n v="66"/>
    <n v="315"/>
    <d v="2018-09-16T00:00:00"/>
    <d v="2019-12-31T00:00:00"/>
    <m/>
    <m/>
    <m/>
    <m/>
    <m/>
    <m/>
    <m/>
    <m/>
    <m/>
    <m/>
    <m/>
    <m/>
    <m/>
    <m/>
    <m/>
    <m/>
    <m/>
    <m/>
    <m/>
    <m/>
    <m/>
    <m/>
    <m/>
    <m/>
    <m/>
    <m/>
    <m/>
    <m/>
    <m/>
    <m/>
    <m/>
    <m/>
    <m/>
    <m/>
    <m/>
    <m/>
    <m/>
    <x v="1"/>
    <x v="1"/>
    <m/>
    <m/>
    <m/>
    <m/>
    <m/>
    <m/>
    <m/>
    <m/>
    <m/>
    <m/>
    <m/>
    <m/>
    <m/>
    <m/>
    <m/>
    <m/>
    <m/>
    <s v="no test"/>
    <s v="no test"/>
    <x v="1"/>
    <n v="0"/>
    <n v="0"/>
    <n v="0"/>
    <n v="0"/>
    <n v="0"/>
    <n v="0"/>
    <n v="0"/>
    <n v="0"/>
    <n v="0"/>
    <n v="0"/>
    <n v="0"/>
    <n v="0"/>
    <n v="0"/>
    <n v="0"/>
    <n v="1"/>
    <n v="315"/>
    <n v="1"/>
    <n v="1"/>
    <n v="0"/>
    <n v="0"/>
    <n v="0"/>
    <s v="N/A"/>
    <s v="NA"/>
    <n v="53"/>
    <n v="53"/>
    <n v="1"/>
    <n v="0"/>
    <n v="0"/>
    <n v="0"/>
    <n v="0"/>
    <n v="0"/>
    <n v="0"/>
    <n v="0"/>
    <n v="1"/>
    <n v="0"/>
    <n v="0"/>
    <n v="0"/>
    <n v="0"/>
    <n v="0"/>
    <n v="0"/>
    <n v="0"/>
    <x v="0"/>
    <n v="0"/>
    <n v="0"/>
    <x v="2"/>
    <x v="6"/>
    <x v="2"/>
    <n v="19.9403591156006"/>
    <n v="93.009452819824205"/>
    <n v="197543"/>
    <x v="0"/>
    <m/>
  </r>
  <r>
    <x v="0"/>
    <x v="12"/>
    <x v="12"/>
    <s v="UMCOR"/>
    <x v="1"/>
    <x v="16"/>
    <x v="1"/>
    <x v="205"/>
    <n v="91"/>
    <n v="581"/>
    <m/>
    <d v="2019-03-30T00:00:00"/>
    <m/>
    <m/>
    <m/>
    <m/>
    <m/>
    <m/>
    <m/>
    <m/>
    <m/>
    <m/>
    <m/>
    <m/>
    <m/>
    <m/>
    <m/>
    <m/>
    <m/>
    <m/>
    <n v="3"/>
    <m/>
    <m/>
    <m/>
    <m/>
    <m/>
    <m/>
    <m/>
    <m/>
    <m/>
    <m/>
    <n v="13"/>
    <m/>
    <m/>
    <m/>
    <m/>
    <m/>
    <m/>
    <m/>
    <x v="2"/>
    <x v="3"/>
    <m/>
    <m/>
    <m/>
    <m/>
    <m/>
    <m/>
    <m/>
    <m/>
    <m/>
    <m/>
    <m/>
    <m/>
    <m/>
    <m/>
    <m/>
    <m/>
    <m/>
    <s v="no test"/>
    <s v="no test"/>
    <x v="1"/>
    <n v="0"/>
    <n v="0"/>
    <n v="0"/>
    <n v="0"/>
    <n v="0"/>
    <n v="0"/>
    <n v="0"/>
    <n v="0"/>
    <n v="0"/>
    <n v="1"/>
    <n v="581"/>
    <n v="1"/>
    <n v="581"/>
    <n v="1.1619999999999999"/>
    <n v="0"/>
    <n v="0"/>
    <n v="0"/>
    <n v="1"/>
    <n v="13"/>
    <n v="0.44750430292598969"/>
    <n v="260"/>
    <n v="0"/>
    <n v="0"/>
    <n v="29"/>
    <n v="16"/>
    <n v="0.55249569707401025"/>
    <n v="0"/>
    <n v="0"/>
    <n v="0"/>
    <n v="0"/>
    <n v="0"/>
    <n v="0"/>
    <n v="0"/>
    <n v="1"/>
    <n v="0"/>
    <n v="0"/>
    <n v="0"/>
    <n v="0"/>
    <n v="0"/>
    <n v="0"/>
    <n v="0"/>
    <x v="0"/>
    <s v="Yes"/>
    <n v="0"/>
    <x v="0"/>
    <x v="10"/>
    <x v="3"/>
    <n v="20.865687000000001"/>
    <n v="92.965980999999999"/>
    <s v="MMR012CMP023"/>
    <x v="0"/>
    <m/>
  </r>
  <r>
    <x v="0"/>
    <x v="11"/>
    <x v="13"/>
    <m/>
    <x v="2"/>
    <x v="14"/>
    <x v="2"/>
    <x v="206"/>
    <n v="935.8"/>
    <n v="4679"/>
    <m/>
    <m/>
    <m/>
    <m/>
    <m/>
    <m/>
    <m/>
    <m/>
    <m/>
    <m/>
    <m/>
    <m/>
    <m/>
    <m/>
    <m/>
    <m/>
    <m/>
    <m/>
    <m/>
    <m/>
    <m/>
    <m/>
    <m/>
    <m/>
    <m/>
    <m/>
    <m/>
    <m/>
    <m/>
    <m/>
    <m/>
    <m/>
    <m/>
    <m/>
    <m/>
    <m/>
    <m/>
    <m/>
    <m/>
    <x v="1"/>
    <x v="1"/>
    <m/>
    <m/>
    <m/>
    <m/>
    <m/>
    <m/>
    <m/>
    <m/>
    <m/>
    <m/>
    <m/>
    <n v="935.8"/>
    <m/>
    <m/>
    <m/>
    <m/>
    <m/>
    <s v="no test"/>
    <s v="no test"/>
    <x v="1"/>
    <n v="0"/>
    <n v="0"/>
    <n v="0"/>
    <n v="0"/>
    <n v="0"/>
    <n v="0"/>
    <n v="0"/>
    <n v="0"/>
    <n v="0"/>
    <n v="0"/>
    <n v="0"/>
    <n v="0"/>
    <n v="0"/>
    <n v="0"/>
    <n v="1"/>
    <n v="4679"/>
    <n v="9"/>
    <n v="9"/>
    <n v="0"/>
    <n v="0"/>
    <n v="0"/>
    <s v="N/A"/>
    <s v="NA"/>
    <n v="780"/>
    <n v="780"/>
    <n v="1"/>
    <n v="0"/>
    <n v="0"/>
    <n v="4679"/>
    <n v="0"/>
    <n v="4679"/>
    <n v="4679"/>
    <n v="1"/>
    <n v="0"/>
    <n v="0"/>
    <n v="1"/>
    <n v="0"/>
    <n v="0"/>
    <e v="#REF!"/>
    <n v="0"/>
    <n v="0"/>
    <x v="0"/>
    <n v="0"/>
    <n v="0"/>
    <x v="2"/>
    <x v="6"/>
    <x v="2"/>
    <n v="0"/>
    <n v="0"/>
    <n v="0"/>
    <x v="0"/>
    <m/>
  </r>
  <r>
    <x v="0"/>
    <x v="11"/>
    <x v="13"/>
    <m/>
    <x v="2"/>
    <x v="14"/>
    <x v="2"/>
    <x v="207"/>
    <n v="3210"/>
    <n v="16050"/>
    <m/>
    <m/>
    <m/>
    <m/>
    <m/>
    <m/>
    <m/>
    <m/>
    <m/>
    <m/>
    <m/>
    <m/>
    <m/>
    <m/>
    <m/>
    <m/>
    <m/>
    <m/>
    <m/>
    <m/>
    <m/>
    <m/>
    <m/>
    <m/>
    <m/>
    <m/>
    <m/>
    <m/>
    <m/>
    <m/>
    <m/>
    <m/>
    <m/>
    <m/>
    <m/>
    <m/>
    <m/>
    <m/>
    <m/>
    <x v="1"/>
    <x v="1"/>
    <m/>
    <m/>
    <m/>
    <m/>
    <m/>
    <m/>
    <m/>
    <m/>
    <m/>
    <m/>
    <m/>
    <n v="3210"/>
    <m/>
    <m/>
    <m/>
    <m/>
    <m/>
    <s v="no test"/>
    <s v="no test"/>
    <x v="1"/>
    <n v="0"/>
    <n v="0"/>
    <n v="0"/>
    <n v="0"/>
    <n v="0"/>
    <n v="0"/>
    <n v="0"/>
    <n v="0"/>
    <n v="0"/>
    <n v="0"/>
    <n v="0"/>
    <n v="0"/>
    <n v="0"/>
    <n v="0"/>
    <n v="1"/>
    <n v="16050"/>
    <n v="32"/>
    <n v="32"/>
    <n v="0"/>
    <n v="0"/>
    <n v="0"/>
    <s v="N/A"/>
    <s v="NA"/>
    <n v="2675"/>
    <n v="2675"/>
    <n v="1"/>
    <n v="0"/>
    <n v="0"/>
    <n v="16050"/>
    <n v="0"/>
    <n v="16050"/>
    <n v="16050"/>
    <n v="1"/>
    <n v="0"/>
    <n v="0"/>
    <n v="1"/>
    <n v="0"/>
    <n v="0"/>
    <e v="#REF!"/>
    <n v="0"/>
    <n v="0"/>
    <x v="0"/>
    <n v="0"/>
    <n v="0"/>
    <x v="2"/>
    <x v="6"/>
    <x v="2"/>
    <n v="20.825700759887699"/>
    <n v="92.542686462402301"/>
    <n v="198334"/>
    <x v="0"/>
    <m/>
  </r>
  <r>
    <x v="0"/>
    <x v="11"/>
    <x v="13"/>
    <m/>
    <x v="2"/>
    <x v="14"/>
    <x v="2"/>
    <x v="208"/>
    <n v="1048"/>
    <n v="5240"/>
    <m/>
    <m/>
    <m/>
    <m/>
    <m/>
    <m/>
    <m/>
    <m/>
    <m/>
    <m/>
    <m/>
    <m/>
    <m/>
    <m/>
    <m/>
    <m/>
    <m/>
    <m/>
    <m/>
    <m/>
    <m/>
    <m/>
    <m/>
    <m/>
    <m/>
    <m/>
    <m/>
    <m/>
    <m/>
    <m/>
    <m/>
    <m/>
    <m/>
    <m/>
    <m/>
    <m/>
    <m/>
    <m/>
    <m/>
    <x v="1"/>
    <x v="1"/>
    <m/>
    <m/>
    <m/>
    <m/>
    <m/>
    <m/>
    <m/>
    <m/>
    <m/>
    <m/>
    <m/>
    <n v="1048"/>
    <m/>
    <m/>
    <m/>
    <m/>
    <m/>
    <s v="no test"/>
    <s v="no test"/>
    <x v="1"/>
    <n v="0"/>
    <n v="0"/>
    <n v="0"/>
    <n v="0"/>
    <n v="0"/>
    <n v="0"/>
    <n v="0"/>
    <n v="0"/>
    <n v="0"/>
    <n v="0"/>
    <n v="0"/>
    <n v="0"/>
    <n v="0"/>
    <n v="0"/>
    <n v="1"/>
    <n v="5240"/>
    <n v="10"/>
    <n v="10"/>
    <n v="0"/>
    <n v="0"/>
    <n v="0"/>
    <s v="N/A"/>
    <s v="NA"/>
    <n v="873"/>
    <n v="873"/>
    <n v="1"/>
    <n v="0"/>
    <n v="0"/>
    <n v="5240"/>
    <n v="0"/>
    <n v="5240"/>
    <n v="5240"/>
    <n v="1"/>
    <n v="0"/>
    <n v="0"/>
    <n v="1"/>
    <n v="0"/>
    <n v="0"/>
    <e v="#REF!"/>
    <n v="0"/>
    <n v="0"/>
    <x v="0"/>
    <n v="0"/>
    <n v="0"/>
    <x v="2"/>
    <x v="6"/>
    <x v="2"/>
    <n v="20.8608493804932"/>
    <n v="92.539390563964801"/>
    <n v="198326"/>
    <x v="0"/>
    <m/>
  </r>
  <r>
    <x v="0"/>
    <x v="11"/>
    <x v="13"/>
    <m/>
    <x v="2"/>
    <x v="14"/>
    <x v="2"/>
    <x v="209"/>
    <n v="1634.4"/>
    <n v="8172"/>
    <m/>
    <m/>
    <m/>
    <m/>
    <m/>
    <m/>
    <m/>
    <m/>
    <m/>
    <m/>
    <m/>
    <m/>
    <m/>
    <m/>
    <m/>
    <m/>
    <m/>
    <m/>
    <m/>
    <m/>
    <m/>
    <m/>
    <m/>
    <m/>
    <m/>
    <m/>
    <m/>
    <m/>
    <m/>
    <m/>
    <m/>
    <m/>
    <m/>
    <m/>
    <m/>
    <m/>
    <m/>
    <m/>
    <m/>
    <x v="1"/>
    <x v="1"/>
    <m/>
    <m/>
    <m/>
    <m/>
    <m/>
    <m/>
    <m/>
    <m/>
    <m/>
    <m/>
    <m/>
    <n v="1634.4"/>
    <m/>
    <m/>
    <m/>
    <m/>
    <m/>
    <s v="no test"/>
    <s v="no test"/>
    <x v="1"/>
    <n v="0"/>
    <n v="0"/>
    <n v="0"/>
    <n v="0"/>
    <n v="0"/>
    <n v="0"/>
    <n v="0"/>
    <n v="0"/>
    <n v="0"/>
    <n v="0"/>
    <n v="0"/>
    <n v="0"/>
    <n v="0"/>
    <n v="0"/>
    <n v="1"/>
    <n v="8172"/>
    <n v="16"/>
    <n v="16"/>
    <n v="0"/>
    <n v="0"/>
    <n v="0"/>
    <s v="N/A"/>
    <s v="NA"/>
    <n v="1362"/>
    <n v="1362"/>
    <n v="1"/>
    <n v="0"/>
    <n v="0"/>
    <n v="8172"/>
    <n v="0"/>
    <n v="8172"/>
    <n v="8172"/>
    <n v="1"/>
    <n v="0"/>
    <n v="0"/>
    <n v="1"/>
    <n v="0"/>
    <n v="0"/>
    <e v="#REF!"/>
    <n v="0"/>
    <n v="0"/>
    <x v="0"/>
    <n v="0"/>
    <n v="0"/>
    <x v="2"/>
    <x v="6"/>
    <x v="2"/>
    <n v="20.793779373168899"/>
    <n v="92.597961425781307"/>
    <n v="198370"/>
    <x v="0"/>
    <m/>
  </r>
  <r>
    <x v="0"/>
    <x v="11"/>
    <x v="13"/>
    <m/>
    <x v="2"/>
    <x v="14"/>
    <x v="2"/>
    <x v="210"/>
    <n v="403"/>
    <n v="2015"/>
    <m/>
    <m/>
    <m/>
    <m/>
    <m/>
    <m/>
    <m/>
    <m/>
    <m/>
    <m/>
    <m/>
    <m/>
    <m/>
    <m/>
    <m/>
    <m/>
    <m/>
    <m/>
    <m/>
    <m/>
    <m/>
    <m/>
    <m/>
    <m/>
    <m/>
    <m/>
    <m/>
    <m/>
    <m/>
    <m/>
    <m/>
    <m/>
    <m/>
    <m/>
    <m/>
    <m/>
    <m/>
    <m/>
    <m/>
    <x v="1"/>
    <x v="1"/>
    <m/>
    <m/>
    <m/>
    <m/>
    <m/>
    <m/>
    <m/>
    <m/>
    <m/>
    <m/>
    <m/>
    <n v="403"/>
    <m/>
    <m/>
    <m/>
    <m/>
    <m/>
    <s v="no test"/>
    <s v="no test"/>
    <x v="1"/>
    <n v="0"/>
    <n v="0"/>
    <n v="0"/>
    <n v="0"/>
    <n v="0"/>
    <n v="0"/>
    <n v="0"/>
    <n v="0"/>
    <n v="0"/>
    <n v="0"/>
    <n v="0"/>
    <n v="0"/>
    <n v="0"/>
    <n v="0"/>
    <n v="1"/>
    <n v="2015"/>
    <n v="4"/>
    <n v="4"/>
    <n v="0"/>
    <n v="0"/>
    <n v="0"/>
    <s v="N/A"/>
    <s v="NA"/>
    <n v="336"/>
    <n v="336"/>
    <n v="1"/>
    <n v="0"/>
    <n v="0"/>
    <n v="2015"/>
    <n v="0"/>
    <n v="2015"/>
    <n v="2015"/>
    <n v="1"/>
    <n v="0"/>
    <n v="0"/>
    <n v="1"/>
    <n v="0"/>
    <n v="0"/>
    <e v="#REF!"/>
    <n v="0"/>
    <n v="0"/>
    <x v="0"/>
    <n v="0"/>
    <n v="0"/>
    <x v="2"/>
    <x v="6"/>
    <x v="2"/>
    <n v="20.821479797363299"/>
    <n v="92.603950500488295"/>
    <n v="198356"/>
    <x v="0"/>
    <m/>
  </r>
  <r>
    <x v="0"/>
    <x v="11"/>
    <x v="13"/>
    <m/>
    <x v="2"/>
    <x v="14"/>
    <x v="2"/>
    <x v="211"/>
    <n v="51.2"/>
    <n v="256"/>
    <m/>
    <m/>
    <m/>
    <m/>
    <m/>
    <m/>
    <m/>
    <m/>
    <m/>
    <m/>
    <m/>
    <m/>
    <m/>
    <m/>
    <m/>
    <m/>
    <m/>
    <m/>
    <m/>
    <m/>
    <m/>
    <m/>
    <m/>
    <m/>
    <m/>
    <m/>
    <m/>
    <m/>
    <m/>
    <m/>
    <m/>
    <m/>
    <m/>
    <m/>
    <m/>
    <m/>
    <m/>
    <m/>
    <m/>
    <x v="1"/>
    <x v="1"/>
    <m/>
    <m/>
    <m/>
    <m/>
    <m/>
    <m/>
    <m/>
    <m/>
    <m/>
    <m/>
    <m/>
    <n v="51.2"/>
    <m/>
    <m/>
    <m/>
    <m/>
    <m/>
    <s v="no test"/>
    <s v="no test"/>
    <x v="1"/>
    <n v="0"/>
    <n v="0"/>
    <n v="0"/>
    <n v="0"/>
    <n v="0"/>
    <n v="0"/>
    <n v="0"/>
    <n v="0"/>
    <n v="0"/>
    <n v="0"/>
    <n v="0"/>
    <n v="0"/>
    <n v="0"/>
    <n v="0"/>
    <n v="1"/>
    <n v="256"/>
    <n v="1"/>
    <n v="1"/>
    <n v="0"/>
    <n v="0"/>
    <n v="0"/>
    <s v="N/A"/>
    <s v="NA"/>
    <n v="43"/>
    <n v="43"/>
    <n v="1"/>
    <n v="0"/>
    <n v="0"/>
    <n v="256"/>
    <n v="0"/>
    <n v="256"/>
    <n v="256"/>
    <n v="1"/>
    <n v="0"/>
    <n v="0"/>
    <n v="1"/>
    <n v="0"/>
    <n v="0"/>
    <e v="#REF!"/>
    <n v="0"/>
    <n v="0"/>
    <x v="0"/>
    <n v="0"/>
    <n v="0"/>
    <x v="2"/>
    <x v="6"/>
    <x v="4"/>
    <n v="20.7264194488525"/>
    <n v="92.671180730000003"/>
    <n v="198418"/>
    <x v="0"/>
    <m/>
  </r>
  <r>
    <x v="0"/>
    <x v="11"/>
    <x v="13"/>
    <m/>
    <x v="2"/>
    <x v="15"/>
    <x v="2"/>
    <x v="212"/>
    <n v="673.6"/>
    <n v="3368"/>
    <m/>
    <m/>
    <m/>
    <m/>
    <m/>
    <m/>
    <m/>
    <m/>
    <m/>
    <m/>
    <m/>
    <m/>
    <m/>
    <m/>
    <m/>
    <m/>
    <m/>
    <m/>
    <m/>
    <m/>
    <m/>
    <m/>
    <m/>
    <m/>
    <m/>
    <m/>
    <m/>
    <m/>
    <m/>
    <m/>
    <m/>
    <m/>
    <m/>
    <m/>
    <m/>
    <m/>
    <m/>
    <m/>
    <m/>
    <x v="1"/>
    <x v="1"/>
    <m/>
    <m/>
    <m/>
    <m/>
    <m/>
    <m/>
    <m/>
    <m/>
    <m/>
    <m/>
    <m/>
    <n v="673.6"/>
    <m/>
    <m/>
    <m/>
    <m/>
    <m/>
    <s v="no test"/>
    <s v="no test"/>
    <x v="1"/>
    <n v="0"/>
    <n v="0"/>
    <n v="0"/>
    <n v="0"/>
    <n v="0"/>
    <n v="0"/>
    <n v="0"/>
    <n v="0"/>
    <n v="0"/>
    <n v="0"/>
    <n v="0"/>
    <n v="0"/>
    <n v="0"/>
    <n v="0"/>
    <n v="1"/>
    <n v="3368"/>
    <n v="7"/>
    <n v="7"/>
    <n v="0"/>
    <n v="0"/>
    <n v="0"/>
    <s v="N/A"/>
    <s v="NA"/>
    <n v="561"/>
    <n v="561"/>
    <n v="1"/>
    <n v="0"/>
    <n v="0"/>
    <n v="3368"/>
    <n v="0"/>
    <n v="3368"/>
    <n v="3368"/>
    <n v="1"/>
    <n v="0"/>
    <n v="0"/>
    <n v="1"/>
    <n v="0"/>
    <n v="0"/>
    <e v="#REF!"/>
    <n v="0"/>
    <n v="0"/>
    <x v="0"/>
    <n v="0"/>
    <n v="0"/>
    <x v="2"/>
    <x v="6"/>
    <x v="2"/>
    <n v="21.363349914550799"/>
    <n v="92.280487060546903"/>
    <n v="197800"/>
    <x v="0"/>
    <m/>
  </r>
  <r>
    <x v="0"/>
    <x v="11"/>
    <x v="13"/>
    <m/>
    <x v="2"/>
    <x v="15"/>
    <x v="2"/>
    <x v="213"/>
    <n v="151.19999999999999"/>
    <n v="756"/>
    <m/>
    <m/>
    <m/>
    <m/>
    <m/>
    <m/>
    <m/>
    <m/>
    <m/>
    <m/>
    <m/>
    <m/>
    <m/>
    <m/>
    <m/>
    <m/>
    <m/>
    <m/>
    <m/>
    <m/>
    <m/>
    <m/>
    <m/>
    <m/>
    <m/>
    <m/>
    <m/>
    <m/>
    <m/>
    <m/>
    <m/>
    <m/>
    <m/>
    <m/>
    <m/>
    <m/>
    <m/>
    <m/>
    <m/>
    <x v="1"/>
    <x v="1"/>
    <m/>
    <m/>
    <m/>
    <m/>
    <m/>
    <m/>
    <m/>
    <m/>
    <m/>
    <m/>
    <m/>
    <n v="151.19999999999999"/>
    <m/>
    <m/>
    <m/>
    <m/>
    <m/>
    <s v="no test"/>
    <s v="no test"/>
    <x v="1"/>
    <n v="0"/>
    <n v="0"/>
    <n v="0"/>
    <n v="0"/>
    <n v="0"/>
    <n v="0"/>
    <n v="0"/>
    <n v="0"/>
    <n v="0"/>
    <n v="0"/>
    <n v="0"/>
    <n v="0"/>
    <n v="0"/>
    <n v="0"/>
    <n v="1"/>
    <n v="756"/>
    <n v="2"/>
    <n v="2"/>
    <n v="0"/>
    <n v="0"/>
    <n v="0"/>
    <s v="N/A"/>
    <s v="NA"/>
    <n v="126"/>
    <n v="126"/>
    <n v="1"/>
    <n v="0"/>
    <n v="0"/>
    <n v="756"/>
    <n v="0"/>
    <n v="756"/>
    <n v="756"/>
    <n v="1"/>
    <n v="0"/>
    <n v="0"/>
    <n v="1"/>
    <n v="0"/>
    <n v="0"/>
    <e v="#REF!"/>
    <n v="0"/>
    <n v="0"/>
    <x v="0"/>
    <n v="0"/>
    <n v="0"/>
    <x v="2"/>
    <x v="6"/>
    <x v="2"/>
    <n v="21.2080974578857"/>
    <n v="92.308609008789105"/>
    <n v="197841"/>
    <x v="0"/>
    <m/>
  </r>
  <r>
    <x v="0"/>
    <x v="11"/>
    <x v="13"/>
    <m/>
    <x v="2"/>
    <x v="15"/>
    <x v="2"/>
    <x v="214"/>
    <n v="104.6"/>
    <n v="523"/>
    <m/>
    <m/>
    <m/>
    <m/>
    <m/>
    <m/>
    <m/>
    <m/>
    <m/>
    <m/>
    <m/>
    <m/>
    <m/>
    <m/>
    <m/>
    <m/>
    <m/>
    <m/>
    <m/>
    <m/>
    <m/>
    <m/>
    <m/>
    <m/>
    <m/>
    <m/>
    <m/>
    <m/>
    <m/>
    <m/>
    <m/>
    <m/>
    <m/>
    <m/>
    <m/>
    <m/>
    <m/>
    <m/>
    <m/>
    <x v="1"/>
    <x v="1"/>
    <m/>
    <m/>
    <m/>
    <m/>
    <m/>
    <m/>
    <m/>
    <m/>
    <m/>
    <m/>
    <m/>
    <n v="104.6"/>
    <m/>
    <m/>
    <m/>
    <m/>
    <m/>
    <s v="no test"/>
    <s v="no test"/>
    <x v="1"/>
    <n v="0"/>
    <n v="0"/>
    <n v="0"/>
    <n v="0"/>
    <n v="0"/>
    <n v="0"/>
    <n v="0"/>
    <n v="0"/>
    <n v="0"/>
    <n v="0"/>
    <n v="0"/>
    <n v="0"/>
    <n v="0"/>
    <n v="0"/>
    <n v="1"/>
    <n v="523"/>
    <n v="1"/>
    <n v="1"/>
    <n v="0"/>
    <n v="0"/>
    <n v="0"/>
    <s v="N/A"/>
    <s v="NA"/>
    <n v="87"/>
    <n v="87"/>
    <n v="1"/>
    <n v="0"/>
    <n v="0"/>
    <n v="523"/>
    <n v="0"/>
    <n v="523"/>
    <n v="523"/>
    <n v="1"/>
    <n v="0"/>
    <n v="0"/>
    <n v="1"/>
    <n v="0"/>
    <n v="0"/>
    <e v="#REF!"/>
    <n v="0"/>
    <n v="0"/>
    <x v="0"/>
    <n v="0"/>
    <n v="0"/>
    <x v="2"/>
    <x v="6"/>
    <x v="3"/>
    <n v="20.71759033"/>
    <n v="92.426422119999998"/>
    <n v="198045"/>
    <x v="0"/>
    <m/>
  </r>
  <r>
    <x v="0"/>
    <x v="13"/>
    <x v="14"/>
    <s v="UNICEF"/>
    <x v="1"/>
    <x v="17"/>
    <x v="1"/>
    <x v="215"/>
    <n v="358"/>
    <n v="989"/>
    <d v="2019-03-15T00:00:00"/>
    <d v="2020-03-14T00:00:00"/>
    <n v="259"/>
    <n v="6"/>
    <n v="22"/>
    <n v="0"/>
    <s v="No"/>
    <n v="23"/>
    <n v="5"/>
    <n v="8"/>
    <n v="0"/>
    <n v="8"/>
    <n v="5"/>
    <n v="0"/>
    <n v="1"/>
    <n v="4"/>
    <n v="0"/>
    <n v="0"/>
    <n v="0"/>
    <n v="0"/>
    <n v="0"/>
    <n v="0"/>
    <n v="0"/>
    <n v="0"/>
    <n v="6"/>
    <n v="0"/>
    <n v="6"/>
    <n v="0"/>
    <n v="4"/>
    <n v="1"/>
    <s v="Nil"/>
    <n v="94"/>
    <n v="0"/>
    <n v="0"/>
    <n v="0"/>
    <n v="0"/>
    <n v="282"/>
    <m/>
    <n v="0"/>
    <x v="0"/>
    <x v="0"/>
    <n v="10"/>
    <n v="0"/>
    <n v="10"/>
    <s v="Nil"/>
    <n v="3"/>
    <n v="3"/>
    <n v="0"/>
    <n v="3"/>
    <n v="0"/>
    <n v="22"/>
    <n v="6"/>
    <n v="358"/>
    <n v="257"/>
    <s v="Yes"/>
    <n v="12"/>
    <n v="1"/>
    <s v="Nil"/>
    <n v="0"/>
    <n v="0"/>
    <x v="0"/>
    <n v="8"/>
    <n v="4"/>
    <n v="0"/>
    <n v="0"/>
    <n v="0"/>
    <n v="1"/>
    <n v="1"/>
    <n v="1"/>
    <n v="989"/>
    <n v="0"/>
    <n v="0"/>
    <n v="1"/>
    <n v="989"/>
    <n v="1.978"/>
    <n v="0"/>
    <n v="0"/>
    <n v="2.200000000000002E-2"/>
    <n v="2"/>
    <n v="94"/>
    <n v="1"/>
    <n v="989"/>
    <n v="989"/>
    <n v="259"/>
    <n v="49"/>
    <n v="0"/>
    <n v="0"/>
    <n v="0"/>
    <n v="989"/>
    <n v="989"/>
    <n v="989"/>
    <n v="989"/>
    <n v="989"/>
    <n v="1"/>
    <n v="0"/>
    <n v="1"/>
    <n v="1"/>
    <n v="0.71787709497206709"/>
    <n v="0"/>
    <n v="0"/>
    <n v="4"/>
    <n v="0"/>
    <x v="1"/>
    <s v="Yes"/>
    <n v="0"/>
    <x v="0"/>
    <x v="7"/>
    <x v="3"/>
    <n v="19.424576999999999"/>
    <n v="93.512326000000002"/>
    <s v="MMR012CMP035"/>
    <x v="0"/>
    <m/>
  </r>
  <r>
    <x v="0"/>
    <x v="13"/>
    <x v="14"/>
    <s v="UNICEF"/>
    <x v="1"/>
    <x v="17"/>
    <x v="2"/>
    <x v="216"/>
    <n v="65"/>
    <n v="323"/>
    <d v="2019-03-15T00:00:00"/>
    <d v="2020-03-14T00:00:00"/>
    <n v="48"/>
    <n v="0"/>
    <n v="1"/>
    <n v="0"/>
    <s v="No"/>
    <n v="1"/>
    <n v="0"/>
    <n v="0"/>
    <n v="0"/>
    <n v="0"/>
    <n v="1"/>
    <n v="0"/>
    <n v="0"/>
    <n v="1"/>
    <n v="0"/>
    <n v="0"/>
    <n v="0"/>
    <n v="0"/>
    <n v="0"/>
    <n v="0"/>
    <n v="0"/>
    <n v="0"/>
    <n v="0"/>
    <n v="0"/>
    <n v="0"/>
    <n v="0"/>
    <s v=" -   "/>
    <n v="0"/>
    <s v="Nil"/>
    <n v="65"/>
    <n v="0"/>
    <n v="0"/>
    <n v="0"/>
    <n v="0"/>
    <n v="0"/>
    <m/>
    <n v="65"/>
    <x v="0"/>
    <x v="0"/>
    <n v="0"/>
    <n v="0"/>
    <n v="4"/>
    <s v="Nil"/>
    <n v="0"/>
    <n v="0"/>
    <n v="0"/>
    <n v="0"/>
    <n v="0"/>
    <n v="1"/>
    <n v="0"/>
    <n v="0"/>
    <n v="0"/>
    <s v="No"/>
    <n v="0"/>
    <n v="0"/>
    <s v="Nil"/>
    <s v="no test"/>
    <s v="no test"/>
    <x v="1"/>
    <n v="0"/>
    <n v="1"/>
    <n v="0"/>
    <n v="0"/>
    <n v="0"/>
    <n v="1"/>
    <n v="0.77399380804953566"/>
    <n v="0.77399380804953566"/>
    <n v="250.00000000000003"/>
    <n v="0"/>
    <n v="0"/>
    <n v="0.77399380804953566"/>
    <n v="250.00000000000003"/>
    <n v="0.50000000000000011"/>
    <n v="0.22600619195046434"/>
    <n v="72.999999999999986"/>
    <n v="0.49999999999999989"/>
    <n v="1"/>
    <n v="65"/>
    <n v="1"/>
    <n v="323"/>
    <s v="N/A"/>
    <s v="NA"/>
    <n v="54"/>
    <n v="0"/>
    <n v="0"/>
    <n v="0"/>
    <n v="323"/>
    <n v="0"/>
    <n v="0"/>
    <n v="0"/>
    <n v="323"/>
    <n v="1"/>
    <n v="0"/>
    <n v="1"/>
    <n v="0"/>
    <n v="0"/>
    <n v="0"/>
    <n v="0"/>
    <n v="0"/>
    <n v="0"/>
    <x v="1"/>
    <n v="0"/>
    <n v="0"/>
    <x v="2"/>
    <x v="6"/>
    <x v="4"/>
    <n v="19.417640689999999"/>
    <n v="93.565246579999993"/>
    <n v="198464"/>
    <x v="0"/>
    <m/>
  </r>
  <r>
    <x v="0"/>
    <x v="13"/>
    <x v="14"/>
    <s v="UNICEF"/>
    <x v="1"/>
    <x v="17"/>
    <x v="2"/>
    <x v="217"/>
    <n v="275"/>
    <n v="1018"/>
    <d v="2019-03-15T00:00:00"/>
    <d v="2020-03-14T00:00:00"/>
    <m/>
    <m/>
    <m/>
    <m/>
    <m/>
    <m/>
    <m/>
    <m/>
    <m/>
    <m/>
    <m/>
    <m/>
    <m/>
    <m/>
    <m/>
    <m/>
    <m/>
    <m/>
    <m/>
    <m/>
    <m/>
    <m/>
    <m/>
    <m/>
    <m/>
    <m/>
    <m/>
    <m/>
    <s v="Nil"/>
    <m/>
    <m/>
    <m/>
    <m/>
    <m/>
    <m/>
    <m/>
    <m/>
    <x v="1"/>
    <x v="1"/>
    <m/>
    <m/>
    <m/>
    <m/>
    <m/>
    <m/>
    <m/>
    <m/>
    <m/>
    <m/>
    <m/>
    <m/>
    <m/>
    <m/>
    <m/>
    <m/>
    <m/>
    <s v="no test"/>
    <s v="no test"/>
    <x v="1"/>
    <n v="0"/>
    <n v="0"/>
    <n v="0"/>
    <n v="0"/>
    <n v="0"/>
    <n v="0"/>
    <n v="0"/>
    <n v="0"/>
    <n v="0"/>
    <n v="0"/>
    <n v="0"/>
    <n v="0"/>
    <n v="0"/>
    <n v="0"/>
    <n v="1"/>
    <n v="1018"/>
    <n v="2"/>
    <n v="2"/>
    <n v="0"/>
    <n v="0"/>
    <n v="0"/>
    <s v="N/A"/>
    <s v="NA"/>
    <n v="170"/>
    <n v="170"/>
    <n v="1"/>
    <n v="0"/>
    <n v="0"/>
    <n v="0"/>
    <n v="0"/>
    <n v="0"/>
    <n v="0"/>
    <n v="0"/>
    <n v="1"/>
    <n v="0"/>
    <n v="0"/>
    <n v="0"/>
    <n v="0"/>
    <n v="0"/>
    <n v="0"/>
    <n v="0"/>
    <x v="0"/>
    <n v="0"/>
    <n v="0"/>
    <x v="2"/>
    <x v="6"/>
    <x v="4"/>
    <n v="0"/>
    <n v="0"/>
    <n v="198475"/>
    <x v="0"/>
    <m/>
  </r>
  <r>
    <x v="0"/>
    <x v="13"/>
    <x v="14"/>
    <s v="UNICEF"/>
    <x v="1"/>
    <x v="17"/>
    <x v="2"/>
    <x v="218"/>
    <n v="76"/>
    <n v="276"/>
    <d v="2019-03-15T00:00:00"/>
    <d v="2020-03-14T00:00:00"/>
    <m/>
    <m/>
    <m/>
    <m/>
    <m/>
    <m/>
    <m/>
    <m/>
    <m/>
    <m/>
    <m/>
    <m/>
    <m/>
    <m/>
    <m/>
    <m/>
    <m/>
    <m/>
    <m/>
    <m/>
    <m/>
    <m/>
    <m/>
    <m/>
    <m/>
    <m/>
    <m/>
    <m/>
    <s v="Nil"/>
    <m/>
    <m/>
    <m/>
    <m/>
    <m/>
    <m/>
    <m/>
    <m/>
    <x v="1"/>
    <x v="1"/>
    <m/>
    <m/>
    <m/>
    <m/>
    <m/>
    <m/>
    <m/>
    <m/>
    <m/>
    <m/>
    <m/>
    <m/>
    <m/>
    <m/>
    <m/>
    <m/>
    <m/>
    <s v="no test"/>
    <s v="no test"/>
    <x v="1"/>
    <n v="0"/>
    <n v="0"/>
    <n v="0"/>
    <n v="0"/>
    <n v="0"/>
    <n v="0"/>
    <n v="0"/>
    <n v="0"/>
    <n v="0"/>
    <n v="0"/>
    <n v="0"/>
    <n v="0"/>
    <n v="0"/>
    <n v="0"/>
    <n v="1"/>
    <n v="276"/>
    <n v="1"/>
    <n v="1"/>
    <n v="0"/>
    <n v="0"/>
    <n v="0"/>
    <s v="N/A"/>
    <s v="NA"/>
    <n v="46"/>
    <n v="46"/>
    <n v="1"/>
    <n v="0"/>
    <n v="0"/>
    <n v="0"/>
    <n v="0"/>
    <n v="0"/>
    <n v="0"/>
    <n v="0"/>
    <n v="1"/>
    <n v="0"/>
    <n v="0"/>
    <n v="0"/>
    <n v="0"/>
    <n v="0"/>
    <n v="0"/>
    <n v="0"/>
    <x v="0"/>
    <n v="0"/>
    <n v="0"/>
    <x v="2"/>
    <x v="6"/>
    <x v="4"/>
    <n v="0"/>
    <n v="0"/>
    <n v="198476"/>
    <x v="0"/>
    <m/>
  </r>
  <r>
    <x v="0"/>
    <x v="13"/>
    <x v="14"/>
    <s v="UNICEF"/>
    <x v="1"/>
    <x v="17"/>
    <x v="2"/>
    <x v="219"/>
    <n v="251"/>
    <n v="970"/>
    <d v="2019-03-15T00:00:00"/>
    <d v="2020-03-14T00:00:00"/>
    <m/>
    <m/>
    <m/>
    <m/>
    <m/>
    <m/>
    <m/>
    <m/>
    <m/>
    <m/>
    <m/>
    <m/>
    <m/>
    <m/>
    <m/>
    <m/>
    <m/>
    <m/>
    <m/>
    <m/>
    <m/>
    <m/>
    <m/>
    <m/>
    <m/>
    <m/>
    <m/>
    <m/>
    <s v="Nil"/>
    <m/>
    <m/>
    <m/>
    <m/>
    <m/>
    <m/>
    <m/>
    <m/>
    <x v="1"/>
    <x v="1"/>
    <m/>
    <m/>
    <m/>
    <m/>
    <m/>
    <m/>
    <m/>
    <m/>
    <m/>
    <m/>
    <m/>
    <m/>
    <m/>
    <m/>
    <m/>
    <m/>
    <m/>
    <s v="no test"/>
    <s v="no test"/>
    <x v="1"/>
    <n v="0"/>
    <n v="0"/>
    <n v="0"/>
    <n v="0"/>
    <n v="0"/>
    <n v="0"/>
    <n v="0"/>
    <n v="0"/>
    <n v="0"/>
    <n v="0"/>
    <n v="0"/>
    <n v="0"/>
    <n v="0"/>
    <n v="0"/>
    <n v="1"/>
    <n v="970"/>
    <n v="2"/>
    <n v="2"/>
    <n v="0"/>
    <n v="0"/>
    <n v="0"/>
    <s v="N/A"/>
    <s v="NA"/>
    <n v="162"/>
    <n v="162"/>
    <n v="1"/>
    <n v="0"/>
    <n v="0"/>
    <n v="0"/>
    <n v="0"/>
    <n v="0"/>
    <n v="0"/>
    <n v="0"/>
    <n v="1"/>
    <n v="0"/>
    <n v="0"/>
    <n v="0"/>
    <n v="0"/>
    <n v="0"/>
    <n v="0"/>
    <n v="0"/>
    <x v="0"/>
    <n v="0"/>
    <n v="0"/>
    <x v="2"/>
    <x v="6"/>
    <x v="4"/>
    <n v="0"/>
    <n v="0"/>
    <n v="198508"/>
    <x v="0"/>
    <m/>
  </r>
  <r>
    <x v="0"/>
    <x v="13"/>
    <x v="14"/>
    <s v="UNICEF"/>
    <x v="1"/>
    <x v="17"/>
    <x v="2"/>
    <x v="220"/>
    <n v="152"/>
    <n v="864"/>
    <d v="2019-03-15T00:00:00"/>
    <d v="2020-03-14T00:00:00"/>
    <m/>
    <m/>
    <m/>
    <m/>
    <m/>
    <m/>
    <m/>
    <m/>
    <m/>
    <m/>
    <m/>
    <m/>
    <m/>
    <m/>
    <m/>
    <m/>
    <m/>
    <m/>
    <m/>
    <m/>
    <m/>
    <m/>
    <m/>
    <m/>
    <m/>
    <m/>
    <m/>
    <m/>
    <s v="Nil"/>
    <m/>
    <m/>
    <m/>
    <m/>
    <m/>
    <m/>
    <m/>
    <m/>
    <x v="1"/>
    <x v="1"/>
    <m/>
    <m/>
    <m/>
    <m/>
    <m/>
    <m/>
    <m/>
    <m/>
    <m/>
    <m/>
    <m/>
    <m/>
    <m/>
    <m/>
    <m/>
    <m/>
    <m/>
    <s v="no test"/>
    <s v="no test"/>
    <x v="1"/>
    <n v="0"/>
    <n v="0"/>
    <n v="0"/>
    <n v="0"/>
    <n v="0"/>
    <n v="0"/>
    <n v="0"/>
    <n v="0"/>
    <n v="0"/>
    <n v="0"/>
    <n v="0"/>
    <n v="0"/>
    <n v="0"/>
    <n v="0"/>
    <n v="1"/>
    <n v="864"/>
    <n v="2"/>
    <n v="2"/>
    <n v="0"/>
    <n v="0"/>
    <n v="0"/>
    <s v="N/A"/>
    <s v="NA"/>
    <n v="144"/>
    <n v="144"/>
    <n v="1"/>
    <n v="0"/>
    <n v="0"/>
    <n v="0"/>
    <n v="0"/>
    <n v="0"/>
    <n v="0"/>
    <n v="0"/>
    <n v="1"/>
    <n v="0"/>
    <n v="0"/>
    <n v="0"/>
    <n v="0"/>
    <n v="0"/>
    <n v="0"/>
    <n v="0"/>
    <x v="0"/>
    <n v="0"/>
    <n v="0"/>
    <x v="2"/>
    <x v="6"/>
    <x v="4"/>
    <n v="0"/>
    <n v="0"/>
    <n v="198667"/>
    <x v="0"/>
    <m/>
  </r>
  <r>
    <x v="0"/>
    <x v="14"/>
    <x v="15"/>
    <s v="DFID/HARP"/>
    <x v="1"/>
    <x v="18"/>
    <x v="1"/>
    <x v="221"/>
    <n v="397"/>
    <n v="2111"/>
    <m/>
    <d v="2020-09-30T00:00:00"/>
    <m/>
    <m/>
    <m/>
    <s v=" -   "/>
    <m/>
    <m/>
    <m/>
    <m/>
    <m/>
    <m/>
    <n v="27"/>
    <m/>
    <n v="3"/>
    <n v="31"/>
    <m/>
    <m/>
    <m/>
    <m/>
    <m/>
    <m/>
    <n v="2240"/>
    <n v="27"/>
    <n v="21"/>
    <m/>
    <n v="73"/>
    <n v="4"/>
    <m/>
    <m/>
    <m/>
    <n v="120"/>
    <m/>
    <m/>
    <n v="3"/>
    <n v="13"/>
    <n v="30"/>
    <n v="4349"/>
    <n v="120"/>
    <x v="0"/>
    <x v="0"/>
    <m/>
    <m/>
    <m/>
    <m/>
    <m/>
    <m/>
    <m/>
    <m/>
    <m/>
    <n v="4"/>
    <n v="3"/>
    <n v="394"/>
    <n v="394"/>
    <m/>
    <n v="30"/>
    <m/>
    <m/>
    <n v="0"/>
    <n v="5.4794520547945202E-2"/>
    <x v="0"/>
    <n v="0"/>
    <n v="24"/>
    <n v="0"/>
    <n v="0"/>
    <n v="0"/>
    <n v="1"/>
    <n v="1"/>
    <n v="1"/>
    <n v="2111"/>
    <n v="0"/>
    <n v="0"/>
    <n v="1"/>
    <n v="2111"/>
    <n v="4.2220000000000004"/>
    <n v="0"/>
    <n v="0"/>
    <n v="0"/>
    <n v="4"/>
    <n v="117"/>
    <n v="1"/>
    <n v="2111"/>
    <n v="600"/>
    <n v="0"/>
    <n v="106"/>
    <n v="0"/>
    <n v="0"/>
    <n v="2.5000000000000001E-2"/>
    <n v="2111"/>
    <n v="1970"/>
    <n v="1970"/>
    <n v="1970"/>
    <n v="2111"/>
    <n v="1"/>
    <n v="0"/>
    <n v="1"/>
    <n v="0.99244332493702769"/>
    <n v="0.99244332493702769"/>
    <n v="0"/>
    <n v="0"/>
    <n v="0"/>
    <n v="0"/>
    <x v="0"/>
    <s v="Yes"/>
    <n v="0"/>
    <x v="0"/>
    <x v="7"/>
    <x v="3"/>
    <n v="20.128488999999998"/>
    <n v="92.875814000000005"/>
    <s v="MMR012CMP039"/>
    <x v="0"/>
    <m/>
  </r>
  <r>
    <x v="0"/>
    <x v="14"/>
    <x v="15"/>
    <s v="DFID/HARP"/>
    <x v="1"/>
    <x v="18"/>
    <x v="1"/>
    <x v="222"/>
    <n v="1016"/>
    <n v="4892"/>
    <m/>
    <d v="2020-09-30T00:00:00"/>
    <m/>
    <m/>
    <m/>
    <s v=" -   "/>
    <m/>
    <m/>
    <m/>
    <m/>
    <m/>
    <m/>
    <n v="131"/>
    <m/>
    <n v="25"/>
    <n v="79"/>
    <m/>
    <m/>
    <m/>
    <m/>
    <m/>
    <m/>
    <m/>
    <n v="131"/>
    <n v="109"/>
    <n v="3"/>
    <n v="193"/>
    <n v="2"/>
    <m/>
    <m/>
    <m/>
    <n v="582"/>
    <m/>
    <m/>
    <n v="98"/>
    <n v="428"/>
    <n v="314"/>
    <m/>
    <n v="582"/>
    <x v="0"/>
    <x v="0"/>
    <m/>
    <m/>
    <m/>
    <m/>
    <m/>
    <m/>
    <m/>
    <m/>
    <m/>
    <n v="4"/>
    <n v="7"/>
    <n v="1016"/>
    <n v="1016"/>
    <m/>
    <n v="34"/>
    <m/>
    <m/>
    <n v="2.7522935779816515E-2"/>
    <n v="1.0362694300518135E-2"/>
    <x v="0"/>
    <n v="0"/>
    <n v="106"/>
    <n v="0"/>
    <n v="0"/>
    <n v="0"/>
    <n v="1"/>
    <n v="1"/>
    <n v="1"/>
    <n v="4892"/>
    <n v="0"/>
    <n v="0"/>
    <n v="1"/>
    <n v="4892"/>
    <n v="9.7840000000000007"/>
    <n v="0"/>
    <n v="0"/>
    <n v="0.2159999999999993"/>
    <n v="10"/>
    <n v="484"/>
    <n v="1"/>
    <n v="4892"/>
    <n v="4892"/>
    <n v="0"/>
    <n v="245"/>
    <n v="0"/>
    <n v="0"/>
    <n v="0.16838487972508592"/>
    <n v="4892"/>
    <n v="4892"/>
    <n v="4892"/>
    <n v="4892"/>
    <n v="4892"/>
    <n v="1"/>
    <n v="0"/>
    <n v="1"/>
    <n v="1"/>
    <n v="1"/>
    <n v="0"/>
    <n v="0"/>
    <n v="0"/>
    <n v="0"/>
    <x v="0"/>
    <s v="Yes"/>
    <n v="0"/>
    <x v="0"/>
    <x v="7"/>
    <x v="3"/>
    <n v="20.179417000000001"/>
    <n v="92.813028000000003"/>
    <s v="MMR012CMP113"/>
    <x v="0"/>
    <m/>
  </r>
  <r>
    <x v="0"/>
    <x v="15"/>
    <x v="16"/>
    <s v="BMZ"/>
    <x v="1"/>
    <x v="13"/>
    <x v="2"/>
    <x v="223"/>
    <n v="279"/>
    <n v="1246"/>
    <m/>
    <d v="2021-08-31T00:00:00"/>
    <m/>
    <m/>
    <m/>
    <m/>
    <m/>
    <m/>
    <m/>
    <m/>
    <m/>
    <m/>
    <m/>
    <m/>
    <m/>
    <m/>
    <m/>
    <m/>
    <m/>
    <m/>
    <m/>
    <m/>
    <m/>
    <m/>
    <m/>
    <m/>
    <m/>
    <m/>
    <m/>
    <m/>
    <m/>
    <m/>
    <m/>
    <m/>
    <m/>
    <m/>
    <m/>
    <m/>
    <m/>
    <x v="1"/>
    <x v="1"/>
    <m/>
    <m/>
    <m/>
    <m/>
    <m/>
    <m/>
    <m/>
    <m/>
    <m/>
    <m/>
    <m/>
    <m/>
    <m/>
    <m/>
    <m/>
    <m/>
    <m/>
    <s v="no test"/>
    <s v="no test"/>
    <x v="1"/>
    <n v="0"/>
    <n v="0"/>
    <n v="0"/>
    <n v="0"/>
    <n v="0"/>
    <n v="0"/>
    <n v="0"/>
    <n v="0"/>
    <n v="0"/>
    <n v="0"/>
    <n v="0"/>
    <n v="0"/>
    <n v="0"/>
    <n v="0"/>
    <n v="1"/>
    <n v="1246"/>
    <n v="2"/>
    <n v="2"/>
    <n v="0"/>
    <n v="0"/>
    <n v="0"/>
    <s v="N/A"/>
    <s v="NA"/>
    <n v="208"/>
    <n v="208"/>
    <n v="1"/>
    <n v="0"/>
    <n v="0"/>
    <n v="0"/>
    <n v="0"/>
    <n v="0"/>
    <n v="0"/>
    <n v="0"/>
    <n v="1"/>
    <n v="0"/>
    <n v="0"/>
    <n v="0"/>
    <n v="0"/>
    <n v="0"/>
    <n v="0"/>
    <n v="0"/>
    <x v="0"/>
    <n v="0"/>
    <n v="0"/>
    <x v="2"/>
    <x v="6"/>
    <x v="4"/>
    <n v="0"/>
    <n v="0"/>
    <n v="197447"/>
    <x v="0"/>
    <m/>
  </r>
  <r>
    <x v="0"/>
    <x v="15"/>
    <x v="16"/>
    <s v="BMZ"/>
    <x v="1"/>
    <x v="13"/>
    <x v="2"/>
    <x v="224"/>
    <n v="215"/>
    <n v="959"/>
    <m/>
    <d v="2021-08-31T00:00:00"/>
    <m/>
    <m/>
    <m/>
    <m/>
    <m/>
    <m/>
    <m/>
    <m/>
    <m/>
    <m/>
    <m/>
    <m/>
    <m/>
    <m/>
    <m/>
    <m/>
    <m/>
    <m/>
    <m/>
    <m/>
    <m/>
    <m/>
    <m/>
    <m/>
    <m/>
    <m/>
    <m/>
    <m/>
    <m/>
    <m/>
    <m/>
    <m/>
    <m/>
    <m/>
    <m/>
    <m/>
    <m/>
    <x v="1"/>
    <x v="1"/>
    <m/>
    <m/>
    <m/>
    <m/>
    <m/>
    <m/>
    <m/>
    <m/>
    <m/>
    <m/>
    <m/>
    <m/>
    <m/>
    <m/>
    <m/>
    <m/>
    <m/>
    <s v="no test"/>
    <s v="no test"/>
    <x v="1"/>
    <n v="0"/>
    <n v="0"/>
    <n v="0"/>
    <n v="0"/>
    <n v="0"/>
    <n v="0"/>
    <n v="0"/>
    <n v="0"/>
    <n v="0"/>
    <n v="0"/>
    <n v="0"/>
    <n v="0"/>
    <n v="0"/>
    <n v="0"/>
    <n v="1"/>
    <n v="959"/>
    <n v="2"/>
    <n v="2"/>
    <n v="0"/>
    <n v="0"/>
    <n v="0"/>
    <s v="N/A"/>
    <s v="NA"/>
    <n v="160"/>
    <n v="160"/>
    <n v="1"/>
    <n v="0"/>
    <n v="0"/>
    <n v="0"/>
    <n v="0"/>
    <n v="0"/>
    <n v="0"/>
    <n v="0"/>
    <n v="1"/>
    <n v="0"/>
    <n v="0"/>
    <n v="0"/>
    <n v="0"/>
    <n v="0"/>
    <n v="0"/>
    <n v="0"/>
    <x v="0"/>
    <n v="0"/>
    <n v="0"/>
    <x v="2"/>
    <x v="6"/>
    <x v="4"/>
    <n v="0"/>
    <n v="0"/>
    <n v="197449"/>
    <x v="0"/>
    <m/>
  </r>
  <r>
    <x v="0"/>
    <x v="15"/>
    <x v="16"/>
    <s v="BMZ"/>
    <x v="1"/>
    <x v="13"/>
    <x v="2"/>
    <x v="225"/>
    <n v="207"/>
    <n v="957"/>
    <m/>
    <d v="2021-08-31T00:00:00"/>
    <m/>
    <m/>
    <m/>
    <m/>
    <m/>
    <m/>
    <m/>
    <m/>
    <m/>
    <m/>
    <m/>
    <m/>
    <m/>
    <m/>
    <m/>
    <m/>
    <m/>
    <m/>
    <m/>
    <m/>
    <m/>
    <m/>
    <m/>
    <m/>
    <m/>
    <m/>
    <m/>
    <m/>
    <m/>
    <m/>
    <m/>
    <m/>
    <m/>
    <m/>
    <m/>
    <m/>
    <m/>
    <x v="1"/>
    <x v="1"/>
    <m/>
    <m/>
    <m/>
    <m/>
    <m/>
    <m/>
    <m/>
    <m/>
    <m/>
    <m/>
    <m/>
    <m/>
    <m/>
    <m/>
    <m/>
    <m/>
    <m/>
    <s v="no test"/>
    <s v="no test"/>
    <x v="1"/>
    <n v="0"/>
    <n v="0"/>
    <n v="0"/>
    <n v="0"/>
    <n v="0"/>
    <n v="0"/>
    <n v="0"/>
    <n v="0"/>
    <n v="0"/>
    <n v="0"/>
    <n v="0"/>
    <n v="0"/>
    <n v="0"/>
    <n v="0"/>
    <n v="1"/>
    <n v="957"/>
    <n v="2"/>
    <n v="2"/>
    <n v="0"/>
    <n v="0"/>
    <n v="0"/>
    <s v="N/A"/>
    <s v="NA"/>
    <n v="160"/>
    <n v="160"/>
    <n v="1"/>
    <n v="0"/>
    <n v="0"/>
    <n v="0"/>
    <n v="0"/>
    <n v="0"/>
    <n v="0"/>
    <n v="0"/>
    <n v="1"/>
    <n v="0"/>
    <n v="0"/>
    <n v="0"/>
    <n v="0"/>
    <n v="0"/>
    <n v="0"/>
    <n v="0"/>
    <x v="0"/>
    <n v="0"/>
    <n v="0"/>
    <x v="2"/>
    <x v="6"/>
    <x v="4"/>
    <n v="0"/>
    <n v="0"/>
    <n v="197451"/>
    <x v="0"/>
    <m/>
  </r>
  <r>
    <x v="0"/>
    <x v="15"/>
    <x v="16"/>
    <s v="BMZ"/>
    <x v="1"/>
    <x v="13"/>
    <x v="2"/>
    <x v="226"/>
    <n v="169"/>
    <n v="776"/>
    <m/>
    <d v="2021-08-31T00:00:00"/>
    <m/>
    <m/>
    <m/>
    <m/>
    <m/>
    <m/>
    <m/>
    <m/>
    <m/>
    <m/>
    <m/>
    <m/>
    <m/>
    <m/>
    <m/>
    <m/>
    <m/>
    <m/>
    <m/>
    <m/>
    <m/>
    <m/>
    <m/>
    <m/>
    <m/>
    <m/>
    <m/>
    <m/>
    <m/>
    <m/>
    <m/>
    <m/>
    <m/>
    <m/>
    <m/>
    <m/>
    <m/>
    <x v="1"/>
    <x v="1"/>
    <m/>
    <m/>
    <m/>
    <m/>
    <m/>
    <m/>
    <m/>
    <m/>
    <m/>
    <m/>
    <m/>
    <m/>
    <m/>
    <m/>
    <m/>
    <m/>
    <m/>
    <s v="no test"/>
    <s v="no test"/>
    <x v="1"/>
    <n v="0"/>
    <n v="0"/>
    <n v="0"/>
    <n v="0"/>
    <n v="0"/>
    <n v="0"/>
    <n v="0"/>
    <n v="0"/>
    <n v="0"/>
    <n v="0"/>
    <n v="0"/>
    <n v="0"/>
    <n v="0"/>
    <n v="0"/>
    <n v="1"/>
    <n v="776"/>
    <n v="2"/>
    <n v="2"/>
    <n v="0"/>
    <n v="0"/>
    <n v="0"/>
    <s v="N/A"/>
    <s v="NA"/>
    <n v="129"/>
    <n v="129"/>
    <n v="1"/>
    <n v="0"/>
    <n v="0"/>
    <n v="0"/>
    <n v="0"/>
    <n v="0"/>
    <n v="0"/>
    <n v="0"/>
    <n v="1"/>
    <n v="0"/>
    <n v="0"/>
    <n v="0"/>
    <n v="0"/>
    <n v="0"/>
    <n v="0"/>
    <n v="0"/>
    <x v="0"/>
    <n v="0"/>
    <n v="0"/>
    <x v="2"/>
    <x v="6"/>
    <x v="4"/>
    <n v="0"/>
    <n v="0"/>
    <n v="197450"/>
    <x v="0"/>
    <m/>
  </r>
  <r>
    <x v="0"/>
    <x v="15"/>
    <x v="16"/>
    <s v="BMZ"/>
    <x v="1"/>
    <x v="13"/>
    <x v="2"/>
    <x v="227"/>
    <n v="211"/>
    <n v="1006"/>
    <m/>
    <d v="2021-08-31T00:00:00"/>
    <m/>
    <m/>
    <m/>
    <m/>
    <m/>
    <m/>
    <m/>
    <m/>
    <m/>
    <m/>
    <m/>
    <m/>
    <m/>
    <m/>
    <m/>
    <m/>
    <m/>
    <m/>
    <m/>
    <m/>
    <m/>
    <m/>
    <m/>
    <m/>
    <m/>
    <m/>
    <m/>
    <m/>
    <m/>
    <m/>
    <m/>
    <m/>
    <m/>
    <m/>
    <m/>
    <m/>
    <m/>
    <x v="1"/>
    <x v="1"/>
    <m/>
    <m/>
    <m/>
    <m/>
    <m/>
    <m/>
    <m/>
    <m/>
    <m/>
    <m/>
    <m/>
    <m/>
    <m/>
    <m/>
    <m/>
    <m/>
    <m/>
    <s v="no test"/>
    <s v="no test"/>
    <x v="1"/>
    <n v="0"/>
    <n v="0"/>
    <n v="0"/>
    <n v="0"/>
    <n v="0"/>
    <n v="0"/>
    <n v="0"/>
    <n v="0"/>
    <n v="0"/>
    <n v="0"/>
    <n v="0"/>
    <n v="0"/>
    <n v="0"/>
    <n v="0"/>
    <n v="1"/>
    <n v="1006"/>
    <n v="2"/>
    <n v="2"/>
    <n v="0"/>
    <n v="0"/>
    <n v="0"/>
    <s v="N/A"/>
    <s v="NA"/>
    <n v="168"/>
    <n v="168"/>
    <n v="1"/>
    <n v="0"/>
    <n v="0"/>
    <n v="0"/>
    <n v="0"/>
    <n v="0"/>
    <n v="0"/>
    <n v="0"/>
    <n v="1"/>
    <n v="0"/>
    <n v="0"/>
    <n v="0"/>
    <n v="0"/>
    <n v="0"/>
    <n v="0"/>
    <n v="0"/>
    <x v="0"/>
    <n v="0"/>
    <n v="0"/>
    <x v="2"/>
    <x v="6"/>
    <x v="4"/>
    <n v="0"/>
    <n v="0"/>
    <n v="197441"/>
    <x v="0"/>
    <m/>
  </r>
  <r>
    <x v="0"/>
    <x v="15"/>
    <x v="16"/>
    <s v="BMZ"/>
    <x v="1"/>
    <x v="13"/>
    <x v="2"/>
    <x v="228"/>
    <n v="147"/>
    <n v="601"/>
    <m/>
    <d v="2021-08-31T00:00:00"/>
    <m/>
    <m/>
    <m/>
    <m/>
    <m/>
    <m/>
    <m/>
    <m/>
    <m/>
    <m/>
    <m/>
    <m/>
    <m/>
    <m/>
    <m/>
    <m/>
    <m/>
    <m/>
    <m/>
    <m/>
    <m/>
    <m/>
    <m/>
    <m/>
    <m/>
    <m/>
    <m/>
    <m/>
    <m/>
    <m/>
    <m/>
    <m/>
    <m/>
    <m/>
    <m/>
    <m/>
    <m/>
    <x v="1"/>
    <x v="1"/>
    <m/>
    <m/>
    <m/>
    <m/>
    <m/>
    <m/>
    <m/>
    <m/>
    <m/>
    <m/>
    <m/>
    <m/>
    <m/>
    <m/>
    <m/>
    <m/>
    <m/>
    <s v="no test"/>
    <s v="no test"/>
    <x v="1"/>
    <n v="0"/>
    <n v="0"/>
    <n v="0"/>
    <n v="0"/>
    <n v="0"/>
    <n v="0"/>
    <n v="0"/>
    <n v="0"/>
    <n v="0"/>
    <n v="0"/>
    <n v="0"/>
    <n v="0"/>
    <n v="0"/>
    <n v="0"/>
    <n v="1"/>
    <n v="601"/>
    <n v="1"/>
    <n v="1"/>
    <n v="0"/>
    <n v="0"/>
    <n v="0"/>
    <s v="N/A"/>
    <s v="NA"/>
    <n v="100"/>
    <n v="100"/>
    <n v="1"/>
    <n v="0"/>
    <n v="0"/>
    <n v="0"/>
    <n v="0"/>
    <n v="0"/>
    <n v="0"/>
    <n v="0"/>
    <n v="1"/>
    <n v="0"/>
    <n v="0"/>
    <n v="0"/>
    <n v="0"/>
    <n v="0"/>
    <n v="0"/>
    <n v="0"/>
    <x v="0"/>
    <n v="0"/>
    <n v="0"/>
    <x v="2"/>
    <x v="6"/>
    <x v="5"/>
    <n v="0"/>
    <n v="0"/>
    <n v="197442"/>
    <x v="0"/>
    <m/>
  </r>
  <r>
    <x v="0"/>
    <x v="15"/>
    <x v="16"/>
    <s v="BMZ"/>
    <x v="1"/>
    <x v="13"/>
    <x v="2"/>
    <x v="229"/>
    <n v="284"/>
    <n v="1292"/>
    <m/>
    <d v="2021-08-31T00:00:00"/>
    <m/>
    <m/>
    <m/>
    <m/>
    <m/>
    <m/>
    <m/>
    <m/>
    <m/>
    <m/>
    <m/>
    <m/>
    <m/>
    <m/>
    <m/>
    <m/>
    <m/>
    <m/>
    <m/>
    <m/>
    <m/>
    <m/>
    <m/>
    <m/>
    <m/>
    <m/>
    <m/>
    <m/>
    <m/>
    <m/>
    <m/>
    <m/>
    <m/>
    <m/>
    <m/>
    <m/>
    <m/>
    <x v="1"/>
    <x v="1"/>
    <m/>
    <m/>
    <m/>
    <m/>
    <m/>
    <m/>
    <m/>
    <m/>
    <m/>
    <m/>
    <m/>
    <m/>
    <m/>
    <m/>
    <m/>
    <m/>
    <m/>
    <s v="no test"/>
    <s v="no test"/>
    <x v="1"/>
    <n v="0"/>
    <n v="0"/>
    <n v="0"/>
    <n v="0"/>
    <n v="0"/>
    <n v="0"/>
    <n v="0"/>
    <n v="0"/>
    <n v="0"/>
    <n v="0"/>
    <n v="0"/>
    <n v="0"/>
    <n v="0"/>
    <n v="0"/>
    <n v="1"/>
    <n v="1292"/>
    <n v="3"/>
    <n v="3"/>
    <n v="0"/>
    <n v="0"/>
    <n v="0"/>
    <s v="N/A"/>
    <s v="NA"/>
    <n v="215"/>
    <n v="215"/>
    <n v="1"/>
    <n v="0"/>
    <n v="0"/>
    <n v="0"/>
    <n v="0"/>
    <n v="0"/>
    <n v="0"/>
    <n v="0"/>
    <n v="1"/>
    <n v="0"/>
    <n v="0"/>
    <n v="0"/>
    <n v="0"/>
    <n v="0"/>
    <n v="0"/>
    <n v="0"/>
    <x v="0"/>
    <n v="0"/>
    <n v="0"/>
    <x v="2"/>
    <x v="6"/>
    <x v="4"/>
    <n v="0"/>
    <n v="0"/>
    <n v="197405"/>
    <x v="0"/>
    <m/>
  </r>
  <r>
    <x v="0"/>
    <x v="15"/>
    <x v="16"/>
    <s v="BMZ"/>
    <x v="1"/>
    <x v="13"/>
    <x v="2"/>
    <x v="230"/>
    <n v="168"/>
    <n v="1614"/>
    <m/>
    <d v="2021-08-31T00:00:00"/>
    <m/>
    <m/>
    <m/>
    <m/>
    <m/>
    <m/>
    <m/>
    <m/>
    <m/>
    <m/>
    <m/>
    <m/>
    <m/>
    <m/>
    <m/>
    <m/>
    <m/>
    <m/>
    <m/>
    <m/>
    <m/>
    <m/>
    <m/>
    <m/>
    <m/>
    <m/>
    <m/>
    <m/>
    <m/>
    <m/>
    <m/>
    <m/>
    <m/>
    <m/>
    <m/>
    <m/>
    <m/>
    <x v="1"/>
    <x v="1"/>
    <m/>
    <m/>
    <m/>
    <m/>
    <m/>
    <m/>
    <m/>
    <m/>
    <m/>
    <m/>
    <m/>
    <m/>
    <m/>
    <m/>
    <m/>
    <m/>
    <m/>
    <s v="no test"/>
    <s v="no test"/>
    <x v="1"/>
    <n v="0"/>
    <n v="0"/>
    <n v="0"/>
    <n v="0"/>
    <n v="0"/>
    <n v="0"/>
    <n v="0"/>
    <n v="0"/>
    <n v="0"/>
    <n v="0"/>
    <n v="0"/>
    <n v="0"/>
    <n v="0"/>
    <n v="0"/>
    <n v="1"/>
    <n v="1614"/>
    <n v="3"/>
    <n v="3"/>
    <n v="0"/>
    <n v="0"/>
    <n v="0"/>
    <s v="N/A"/>
    <s v="NA"/>
    <n v="269"/>
    <n v="269"/>
    <n v="1"/>
    <n v="0"/>
    <n v="0"/>
    <n v="0"/>
    <n v="0"/>
    <n v="0"/>
    <n v="0"/>
    <n v="0"/>
    <n v="1"/>
    <n v="0"/>
    <n v="0"/>
    <n v="0"/>
    <n v="0"/>
    <n v="0"/>
    <n v="0"/>
    <n v="0"/>
    <x v="0"/>
    <n v="0"/>
    <n v="0"/>
    <x v="2"/>
    <x v="6"/>
    <x v="4"/>
    <n v="0"/>
    <n v="0"/>
    <n v="197404"/>
    <x v="0"/>
    <m/>
  </r>
  <r>
    <x v="0"/>
    <x v="15"/>
    <x v="16"/>
    <s v="BMZ"/>
    <x v="1"/>
    <x v="13"/>
    <x v="2"/>
    <x v="231"/>
    <n v="66"/>
    <n v="1018"/>
    <m/>
    <d v="2021-08-31T00:00:00"/>
    <m/>
    <m/>
    <m/>
    <m/>
    <m/>
    <m/>
    <m/>
    <m/>
    <m/>
    <m/>
    <m/>
    <m/>
    <m/>
    <m/>
    <m/>
    <m/>
    <m/>
    <m/>
    <m/>
    <m/>
    <m/>
    <m/>
    <m/>
    <m/>
    <m/>
    <m/>
    <m/>
    <m/>
    <m/>
    <m/>
    <m/>
    <m/>
    <m/>
    <m/>
    <m/>
    <m/>
    <m/>
    <x v="1"/>
    <x v="1"/>
    <m/>
    <m/>
    <m/>
    <m/>
    <m/>
    <m/>
    <m/>
    <m/>
    <m/>
    <m/>
    <m/>
    <m/>
    <m/>
    <m/>
    <m/>
    <m/>
    <m/>
    <s v="no test"/>
    <s v="no test"/>
    <x v="1"/>
    <n v="0"/>
    <n v="0"/>
    <n v="0"/>
    <n v="0"/>
    <n v="0"/>
    <n v="0"/>
    <n v="0"/>
    <n v="0"/>
    <n v="0"/>
    <n v="0"/>
    <n v="0"/>
    <n v="0"/>
    <n v="0"/>
    <n v="0"/>
    <n v="1"/>
    <n v="1018"/>
    <n v="2"/>
    <n v="2"/>
    <n v="0"/>
    <n v="0"/>
    <n v="0"/>
    <s v="N/A"/>
    <s v="NA"/>
    <n v="170"/>
    <n v="170"/>
    <n v="1"/>
    <n v="0"/>
    <n v="0"/>
    <n v="0"/>
    <n v="0"/>
    <n v="0"/>
    <n v="0"/>
    <n v="0"/>
    <n v="1"/>
    <n v="0"/>
    <n v="0"/>
    <n v="0"/>
    <n v="0"/>
    <n v="0"/>
    <n v="0"/>
    <n v="0"/>
    <x v="0"/>
    <n v="0"/>
    <n v="0"/>
    <x v="2"/>
    <x v="6"/>
    <x v="4"/>
    <n v="20.260679244995099"/>
    <n v="93.051597595214801"/>
    <n v="197401"/>
    <x v="0"/>
    <m/>
  </r>
  <r>
    <x v="0"/>
    <x v="15"/>
    <x v="16"/>
    <s v="BMZ"/>
    <x v="1"/>
    <x v="13"/>
    <x v="2"/>
    <x v="232"/>
    <n v="173"/>
    <n v="354"/>
    <m/>
    <d v="2021-08-31T00:00:00"/>
    <m/>
    <m/>
    <m/>
    <m/>
    <m/>
    <m/>
    <m/>
    <m/>
    <m/>
    <m/>
    <m/>
    <m/>
    <m/>
    <m/>
    <m/>
    <m/>
    <m/>
    <m/>
    <m/>
    <m/>
    <m/>
    <m/>
    <m/>
    <m/>
    <m/>
    <m/>
    <m/>
    <m/>
    <m/>
    <m/>
    <m/>
    <m/>
    <m/>
    <m/>
    <m/>
    <m/>
    <m/>
    <x v="1"/>
    <x v="1"/>
    <m/>
    <m/>
    <m/>
    <m/>
    <m/>
    <m/>
    <m/>
    <m/>
    <m/>
    <m/>
    <m/>
    <m/>
    <m/>
    <m/>
    <m/>
    <m/>
    <m/>
    <s v="no test"/>
    <s v="no test"/>
    <x v="1"/>
    <n v="0"/>
    <n v="0"/>
    <n v="0"/>
    <n v="0"/>
    <n v="0"/>
    <n v="0"/>
    <n v="0"/>
    <n v="0"/>
    <n v="0"/>
    <n v="0"/>
    <n v="0"/>
    <n v="0"/>
    <n v="0"/>
    <n v="0"/>
    <n v="1"/>
    <n v="354"/>
    <n v="1"/>
    <n v="1"/>
    <n v="0"/>
    <n v="0"/>
    <n v="0"/>
    <s v="N/A"/>
    <s v="NA"/>
    <n v="59"/>
    <n v="59"/>
    <n v="1"/>
    <n v="0"/>
    <n v="0"/>
    <n v="0"/>
    <n v="0"/>
    <n v="0"/>
    <n v="0"/>
    <n v="0"/>
    <n v="1"/>
    <n v="0"/>
    <n v="0"/>
    <n v="0"/>
    <n v="0"/>
    <n v="0"/>
    <n v="0"/>
    <n v="0"/>
    <x v="0"/>
    <n v="0"/>
    <n v="0"/>
    <x v="2"/>
    <x v="6"/>
    <x v="4"/>
    <n v="0"/>
    <n v="0"/>
    <n v="197403"/>
    <x v="0"/>
    <m/>
  </r>
  <r>
    <x v="0"/>
    <x v="15"/>
    <x v="16"/>
    <s v="BMZ"/>
    <x v="1"/>
    <x v="13"/>
    <x v="2"/>
    <x v="233"/>
    <n v="436"/>
    <n v="2287"/>
    <m/>
    <d v="2021-08-31T00:00:00"/>
    <m/>
    <m/>
    <m/>
    <m/>
    <m/>
    <m/>
    <m/>
    <m/>
    <m/>
    <m/>
    <m/>
    <m/>
    <m/>
    <m/>
    <m/>
    <m/>
    <m/>
    <m/>
    <m/>
    <m/>
    <m/>
    <m/>
    <m/>
    <m/>
    <m/>
    <m/>
    <m/>
    <m/>
    <m/>
    <m/>
    <m/>
    <m/>
    <m/>
    <m/>
    <m/>
    <m/>
    <m/>
    <x v="1"/>
    <x v="1"/>
    <m/>
    <m/>
    <m/>
    <m/>
    <m/>
    <m/>
    <m/>
    <m/>
    <m/>
    <m/>
    <m/>
    <m/>
    <m/>
    <m/>
    <m/>
    <m/>
    <m/>
    <s v="no test"/>
    <s v="no test"/>
    <x v="1"/>
    <n v="0"/>
    <n v="0"/>
    <n v="0"/>
    <n v="0"/>
    <n v="0"/>
    <n v="0"/>
    <n v="0"/>
    <n v="0"/>
    <n v="0"/>
    <n v="0"/>
    <n v="0"/>
    <n v="0"/>
    <n v="0"/>
    <n v="0"/>
    <n v="1"/>
    <n v="2287"/>
    <n v="5"/>
    <n v="5"/>
    <n v="0"/>
    <n v="0"/>
    <n v="0"/>
    <s v="N/A"/>
    <s v="NA"/>
    <n v="381"/>
    <n v="381"/>
    <n v="1"/>
    <n v="0"/>
    <n v="0"/>
    <n v="0"/>
    <n v="0"/>
    <n v="0"/>
    <n v="0"/>
    <n v="0"/>
    <n v="1"/>
    <n v="0"/>
    <n v="0"/>
    <n v="0"/>
    <n v="0"/>
    <n v="0"/>
    <n v="0"/>
    <n v="0"/>
    <x v="0"/>
    <n v="0"/>
    <n v="0"/>
    <x v="2"/>
    <x v="6"/>
    <x v="4"/>
    <n v="0"/>
    <n v="0"/>
    <n v="197460"/>
    <x v="0"/>
    <m/>
  </r>
  <r>
    <x v="0"/>
    <x v="15"/>
    <x v="16"/>
    <s v="BMZ"/>
    <x v="1"/>
    <x v="13"/>
    <x v="2"/>
    <x v="234"/>
    <n v="370"/>
    <n v="1711"/>
    <m/>
    <d v="2021-08-31T00:00:00"/>
    <m/>
    <m/>
    <m/>
    <m/>
    <m/>
    <m/>
    <m/>
    <m/>
    <m/>
    <m/>
    <m/>
    <m/>
    <m/>
    <m/>
    <m/>
    <m/>
    <m/>
    <m/>
    <m/>
    <m/>
    <m/>
    <m/>
    <m/>
    <m/>
    <m/>
    <m/>
    <m/>
    <m/>
    <m/>
    <m/>
    <m/>
    <m/>
    <m/>
    <m/>
    <m/>
    <m/>
    <m/>
    <x v="1"/>
    <x v="1"/>
    <m/>
    <m/>
    <m/>
    <m/>
    <m/>
    <m/>
    <m/>
    <m/>
    <m/>
    <m/>
    <m/>
    <m/>
    <m/>
    <m/>
    <m/>
    <m/>
    <m/>
    <s v="no test"/>
    <s v="no test"/>
    <x v="1"/>
    <n v="0"/>
    <n v="0"/>
    <n v="0"/>
    <n v="0"/>
    <n v="0"/>
    <n v="0"/>
    <n v="0"/>
    <n v="0"/>
    <n v="0"/>
    <n v="0"/>
    <n v="0"/>
    <n v="0"/>
    <n v="0"/>
    <n v="0"/>
    <n v="1"/>
    <n v="1711"/>
    <n v="3"/>
    <n v="3"/>
    <n v="0"/>
    <n v="0"/>
    <n v="0"/>
    <s v="N/A"/>
    <s v="NA"/>
    <n v="285"/>
    <n v="285"/>
    <n v="1"/>
    <n v="0"/>
    <n v="0"/>
    <n v="0"/>
    <n v="0"/>
    <n v="0"/>
    <n v="0"/>
    <n v="0"/>
    <n v="1"/>
    <n v="0"/>
    <n v="0"/>
    <n v="0"/>
    <n v="0"/>
    <n v="0"/>
    <n v="0"/>
    <n v="0"/>
    <x v="0"/>
    <n v="0"/>
    <n v="0"/>
    <x v="2"/>
    <x v="6"/>
    <x v="4"/>
    <n v="0"/>
    <n v="0"/>
    <n v="197464"/>
    <x v="0"/>
    <m/>
  </r>
  <r>
    <x v="0"/>
    <x v="15"/>
    <x v="16"/>
    <s v="BMZ"/>
    <x v="1"/>
    <x v="13"/>
    <x v="2"/>
    <x v="235"/>
    <n v="74"/>
    <n v="427"/>
    <m/>
    <d v="2021-08-31T00:00:00"/>
    <m/>
    <m/>
    <m/>
    <m/>
    <m/>
    <m/>
    <m/>
    <m/>
    <m/>
    <m/>
    <m/>
    <m/>
    <m/>
    <m/>
    <m/>
    <m/>
    <m/>
    <m/>
    <m/>
    <m/>
    <m/>
    <m/>
    <m/>
    <m/>
    <m/>
    <m/>
    <m/>
    <m/>
    <m/>
    <m/>
    <m/>
    <m/>
    <m/>
    <m/>
    <m/>
    <m/>
    <m/>
    <x v="1"/>
    <x v="1"/>
    <m/>
    <m/>
    <m/>
    <m/>
    <m/>
    <m/>
    <m/>
    <m/>
    <m/>
    <m/>
    <m/>
    <m/>
    <m/>
    <m/>
    <m/>
    <m/>
    <m/>
    <s v="no test"/>
    <s v="no test"/>
    <x v="1"/>
    <n v="0"/>
    <n v="0"/>
    <n v="0"/>
    <n v="0"/>
    <n v="0"/>
    <n v="0"/>
    <n v="0"/>
    <n v="0"/>
    <n v="0"/>
    <n v="0"/>
    <n v="0"/>
    <n v="0"/>
    <n v="0"/>
    <n v="0"/>
    <n v="1"/>
    <n v="427"/>
    <n v="1"/>
    <n v="1"/>
    <n v="0"/>
    <n v="0"/>
    <n v="0"/>
    <s v="N/A"/>
    <s v="NA"/>
    <n v="71"/>
    <n v="71"/>
    <n v="1"/>
    <n v="0"/>
    <n v="0"/>
    <n v="0"/>
    <n v="0"/>
    <n v="0"/>
    <n v="0"/>
    <n v="0"/>
    <n v="1"/>
    <n v="0"/>
    <n v="0"/>
    <n v="0"/>
    <n v="0"/>
    <n v="0"/>
    <n v="0"/>
    <n v="0"/>
    <x v="0"/>
    <n v="0"/>
    <n v="0"/>
    <x v="2"/>
    <x v="6"/>
    <x v="4"/>
    <n v="0"/>
    <n v="0"/>
    <n v="197461"/>
    <x v="0"/>
    <m/>
  </r>
  <r>
    <x v="0"/>
    <x v="15"/>
    <x v="16"/>
    <s v="BMZ"/>
    <x v="1"/>
    <x v="13"/>
    <x v="2"/>
    <x v="236"/>
    <n v="50"/>
    <n v="265"/>
    <m/>
    <d v="2021-08-31T00:00:00"/>
    <m/>
    <m/>
    <m/>
    <m/>
    <m/>
    <m/>
    <m/>
    <m/>
    <m/>
    <m/>
    <m/>
    <m/>
    <m/>
    <m/>
    <m/>
    <m/>
    <m/>
    <m/>
    <m/>
    <m/>
    <m/>
    <m/>
    <m/>
    <m/>
    <m/>
    <m/>
    <m/>
    <m/>
    <m/>
    <m/>
    <m/>
    <m/>
    <m/>
    <m/>
    <m/>
    <m/>
    <m/>
    <x v="1"/>
    <x v="1"/>
    <m/>
    <m/>
    <m/>
    <m/>
    <m/>
    <m/>
    <m/>
    <m/>
    <m/>
    <m/>
    <m/>
    <m/>
    <m/>
    <m/>
    <m/>
    <m/>
    <m/>
    <s v="no test"/>
    <s v="no test"/>
    <x v="1"/>
    <n v="0"/>
    <n v="0"/>
    <n v="0"/>
    <n v="0"/>
    <n v="0"/>
    <n v="0"/>
    <n v="0"/>
    <n v="0"/>
    <n v="0"/>
    <n v="0"/>
    <n v="0"/>
    <n v="0"/>
    <n v="0"/>
    <n v="0"/>
    <n v="1"/>
    <n v="265"/>
    <n v="1"/>
    <n v="1"/>
    <n v="0"/>
    <n v="0"/>
    <n v="0"/>
    <s v="N/A"/>
    <s v="NA"/>
    <n v="44"/>
    <n v="44"/>
    <n v="1"/>
    <n v="0"/>
    <n v="0"/>
    <n v="0"/>
    <n v="0"/>
    <n v="0"/>
    <n v="0"/>
    <n v="0"/>
    <n v="1"/>
    <n v="0"/>
    <n v="0"/>
    <n v="0"/>
    <n v="0"/>
    <n v="0"/>
    <n v="0"/>
    <n v="0"/>
    <x v="0"/>
    <n v="0"/>
    <n v="0"/>
    <x v="2"/>
    <x v="6"/>
    <x v="4"/>
    <n v="0"/>
    <n v="0"/>
    <n v="197463"/>
    <x v="0"/>
    <m/>
  </r>
  <r>
    <x v="0"/>
    <x v="15"/>
    <x v="16"/>
    <s v="BMZ"/>
    <x v="1"/>
    <x v="13"/>
    <x v="2"/>
    <x v="237"/>
    <n v="19"/>
    <n v="92"/>
    <m/>
    <d v="2021-08-31T00:00:00"/>
    <m/>
    <m/>
    <m/>
    <m/>
    <m/>
    <m/>
    <m/>
    <m/>
    <m/>
    <m/>
    <m/>
    <m/>
    <m/>
    <m/>
    <m/>
    <m/>
    <m/>
    <m/>
    <m/>
    <m/>
    <m/>
    <m/>
    <m/>
    <m/>
    <m/>
    <m/>
    <m/>
    <m/>
    <m/>
    <m/>
    <m/>
    <m/>
    <m/>
    <m/>
    <m/>
    <m/>
    <m/>
    <x v="1"/>
    <x v="1"/>
    <m/>
    <m/>
    <m/>
    <m/>
    <m/>
    <m/>
    <m/>
    <m/>
    <m/>
    <m/>
    <m/>
    <m/>
    <m/>
    <m/>
    <m/>
    <m/>
    <m/>
    <s v="no test"/>
    <s v="no test"/>
    <x v="1"/>
    <n v="0"/>
    <n v="0"/>
    <n v="0"/>
    <n v="0"/>
    <n v="0"/>
    <n v="0"/>
    <n v="0"/>
    <n v="0"/>
    <n v="0"/>
    <n v="0"/>
    <n v="0"/>
    <n v="0"/>
    <n v="0"/>
    <n v="0"/>
    <n v="1"/>
    <n v="92"/>
    <n v="1"/>
    <n v="1"/>
    <n v="0"/>
    <n v="0"/>
    <n v="0"/>
    <s v="N/A"/>
    <s v="NA"/>
    <n v="15"/>
    <n v="15"/>
    <n v="1"/>
    <n v="0"/>
    <n v="0"/>
    <n v="0"/>
    <n v="0"/>
    <n v="0"/>
    <n v="0"/>
    <n v="0"/>
    <n v="1"/>
    <n v="0"/>
    <n v="0"/>
    <n v="0"/>
    <n v="0"/>
    <n v="0"/>
    <n v="0"/>
    <n v="0"/>
    <x v="0"/>
    <n v="0"/>
    <n v="0"/>
    <x v="2"/>
    <x v="6"/>
    <x v="4"/>
    <n v="0"/>
    <n v="0"/>
    <n v="197462"/>
    <x v="0"/>
    <m/>
  </r>
  <r>
    <x v="0"/>
    <x v="16"/>
    <x v="17"/>
    <s v="BMZ"/>
    <x v="1"/>
    <x v="18"/>
    <x v="2"/>
    <x v="238"/>
    <n v="192"/>
    <n v="1083"/>
    <d v="2017-01-01T00:00:00"/>
    <d v="2021-12-21T00:00:00"/>
    <m/>
    <m/>
    <m/>
    <m/>
    <m/>
    <m/>
    <m/>
    <m/>
    <m/>
    <m/>
    <m/>
    <m/>
    <m/>
    <m/>
    <m/>
    <m/>
    <m/>
    <m/>
    <m/>
    <m/>
    <m/>
    <m/>
    <m/>
    <m/>
    <m/>
    <m/>
    <m/>
    <m/>
    <m/>
    <m/>
    <m/>
    <m/>
    <m/>
    <m/>
    <m/>
    <m/>
    <m/>
    <x v="1"/>
    <x v="1"/>
    <m/>
    <m/>
    <m/>
    <m/>
    <m/>
    <m/>
    <m/>
    <m/>
    <m/>
    <m/>
    <m/>
    <m/>
    <m/>
    <m/>
    <m/>
    <m/>
    <m/>
    <s v="no test"/>
    <s v="no test"/>
    <x v="1"/>
    <n v="0"/>
    <n v="0"/>
    <n v="0"/>
    <n v="0"/>
    <n v="0"/>
    <n v="0"/>
    <n v="0"/>
    <n v="0"/>
    <n v="0"/>
    <n v="0"/>
    <n v="0"/>
    <n v="0"/>
    <n v="0"/>
    <n v="0"/>
    <n v="1"/>
    <n v="1083"/>
    <n v="2"/>
    <n v="2"/>
    <n v="0"/>
    <n v="0"/>
    <n v="0"/>
    <s v="N/A"/>
    <s v="NA"/>
    <n v="181"/>
    <n v="181"/>
    <n v="1"/>
    <n v="0"/>
    <n v="0"/>
    <n v="0"/>
    <n v="0"/>
    <n v="0"/>
    <n v="0"/>
    <n v="0"/>
    <n v="1"/>
    <n v="0"/>
    <n v="0"/>
    <n v="0"/>
    <n v="0"/>
    <n v="0"/>
    <n v="0"/>
    <n v="0"/>
    <x v="0"/>
    <n v="0"/>
    <n v="0"/>
    <x v="2"/>
    <x v="6"/>
    <x v="2"/>
    <n v="0"/>
    <n v="0"/>
    <n v="196132"/>
    <x v="0"/>
    <m/>
  </r>
  <r>
    <x v="0"/>
    <x v="16"/>
    <x v="17"/>
    <s v="BMZ"/>
    <x v="1"/>
    <x v="18"/>
    <x v="2"/>
    <x v="239"/>
    <n v="65"/>
    <n v="373"/>
    <d v="2017-01-01T00:00:00"/>
    <d v="2021-12-21T00:00:00"/>
    <m/>
    <m/>
    <m/>
    <m/>
    <m/>
    <m/>
    <m/>
    <m/>
    <m/>
    <m/>
    <m/>
    <m/>
    <m/>
    <m/>
    <m/>
    <m/>
    <m/>
    <m/>
    <m/>
    <m/>
    <m/>
    <m/>
    <m/>
    <m/>
    <m/>
    <m/>
    <m/>
    <m/>
    <m/>
    <m/>
    <m/>
    <m/>
    <m/>
    <m/>
    <m/>
    <m/>
    <m/>
    <x v="1"/>
    <x v="1"/>
    <m/>
    <m/>
    <m/>
    <m/>
    <m/>
    <m/>
    <m/>
    <m/>
    <m/>
    <m/>
    <m/>
    <m/>
    <m/>
    <m/>
    <m/>
    <m/>
    <m/>
    <s v="no test"/>
    <s v="no test"/>
    <x v="1"/>
    <n v="0"/>
    <n v="0"/>
    <n v="0"/>
    <n v="0"/>
    <n v="0"/>
    <n v="0"/>
    <n v="0"/>
    <n v="0"/>
    <n v="0"/>
    <n v="0"/>
    <n v="0"/>
    <n v="0"/>
    <n v="0"/>
    <n v="0"/>
    <n v="1"/>
    <n v="373"/>
    <n v="1"/>
    <n v="1"/>
    <n v="0"/>
    <n v="0"/>
    <n v="0"/>
    <s v="N/A"/>
    <s v="NA"/>
    <n v="62"/>
    <n v="62"/>
    <n v="1"/>
    <n v="0"/>
    <n v="0"/>
    <n v="0"/>
    <n v="0"/>
    <n v="0"/>
    <n v="0"/>
    <n v="0"/>
    <n v="1"/>
    <n v="0"/>
    <n v="0"/>
    <n v="0"/>
    <n v="0"/>
    <n v="0"/>
    <n v="0"/>
    <n v="0"/>
    <x v="0"/>
    <n v="0"/>
    <n v="0"/>
    <x v="2"/>
    <x v="6"/>
    <x v="2"/>
    <n v="0"/>
    <n v="0"/>
    <n v="196135"/>
    <x v="0"/>
    <m/>
  </r>
  <r>
    <x v="0"/>
    <x v="16"/>
    <x v="17"/>
    <s v="BMZ"/>
    <x v="1"/>
    <x v="18"/>
    <x v="2"/>
    <x v="240"/>
    <n v="86"/>
    <n v="481"/>
    <d v="2017-01-01T00:00:00"/>
    <d v="2021-12-21T00:00:00"/>
    <m/>
    <m/>
    <m/>
    <m/>
    <m/>
    <m/>
    <m/>
    <m/>
    <m/>
    <m/>
    <m/>
    <m/>
    <m/>
    <m/>
    <m/>
    <m/>
    <m/>
    <m/>
    <m/>
    <m/>
    <m/>
    <m/>
    <m/>
    <m/>
    <m/>
    <m/>
    <m/>
    <m/>
    <m/>
    <m/>
    <m/>
    <m/>
    <m/>
    <m/>
    <m/>
    <m/>
    <m/>
    <x v="1"/>
    <x v="1"/>
    <m/>
    <m/>
    <m/>
    <m/>
    <m/>
    <m/>
    <m/>
    <m/>
    <m/>
    <m/>
    <m/>
    <m/>
    <m/>
    <m/>
    <m/>
    <m/>
    <m/>
    <s v="no test"/>
    <s v="no test"/>
    <x v="1"/>
    <n v="0"/>
    <n v="0"/>
    <n v="0"/>
    <n v="0"/>
    <n v="0"/>
    <n v="0"/>
    <n v="0"/>
    <n v="0"/>
    <n v="0"/>
    <n v="0"/>
    <n v="0"/>
    <n v="0"/>
    <n v="0"/>
    <n v="0"/>
    <n v="1"/>
    <n v="481"/>
    <n v="1"/>
    <n v="1"/>
    <n v="0"/>
    <n v="0"/>
    <n v="0"/>
    <s v="N/A"/>
    <s v="NA"/>
    <n v="80"/>
    <n v="80"/>
    <n v="1"/>
    <n v="0"/>
    <n v="0"/>
    <n v="0"/>
    <n v="0"/>
    <n v="0"/>
    <n v="0"/>
    <n v="0"/>
    <n v="1"/>
    <n v="0"/>
    <n v="0"/>
    <n v="0"/>
    <n v="0"/>
    <n v="0"/>
    <n v="0"/>
    <n v="0"/>
    <x v="0"/>
    <n v="0"/>
    <n v="0"/>
    <x v="2"/>
    <x v="6"/>
    <x v="2"/>
    <n v="20.187860488891602"/>
    <n v="92.903419494628906"/>
    <n v="196134"/>
    <x v="0"/>
    <m/>
  </r>
  <r>
    <x v="0"/>
    <x v="16"/>
    <x v="17"/>
    <s v="BMZ"/>
    <x v="1"/>
    <x v="18"/>
    <x v="2"/>
    <x v="241"/>
    <n v="88"/>
    <n v="454"/>
    <d v="2017-01-01T00:00:00"/>
    <d v="2021-12-21T00:00:00"/>
    <m/>
    <m/>
    <m/>
    <m/>
    <m/>
    <m/>
    <m/>
    <m/>
    <m/>
    <m/>
    <m/>
    <m/>
    <m/>
    <m/>
    <m/>
    <m/>
    <m/>
    <m/>
    <m/>
    <m/>
    <m/>
    <m/>
    <m/>
    <m/>
    <m/>
    <m/>
    <m/>
    <m/>
    <m/>
    <m/>
    <m/>
    <m/>
    <m/>
    <m/>
    <m/>
    <m/>
    <m/>
    <x v="1"/>
    <x v="1"/>
    <m/>
    <m/>
    <m/>
    <m/>
    <m/>
    <m/>
    <m/>
    <m/>
    <m/>
    <m/>
    <m/>
    <m/>
    <m/>
    <m/>
    <m/>
    <m/>
    <m/>
    <s v="no test"/>
    <s v="no test"/>
    <x v="1"/>
    <n v="0"/>
    <n v="0"/>
    <n v="0"/>
    <n v="0"/>
    <n v="0"/>
    <n v="0"/>
    <n v="0"/>
    <n v="0"/>
    <n v="0"/>
    <n v="0"/>
    <n v="0"/>
    <n v="0"/>
    <n v="0"/>
    <n v="0"/>
    <n v="1"/>
    <n v="454"/>
    <n v="1"/>
    <n v="1"/>
    <n v="0"/>
    <n v="0"/>
    <n v="0"/>
    <s v="N/A"/>
    <s v="NA"/>
    <n v="76"/>
    <n v="76"/>
    <n v="1"/>
    <n v="0"/>
    <n v="0"/>
    <n v="0"/>
    <n v="0"/>
    <n v="0"/>
    <n v="0"/>
    <n v="0"/>
    <n v="1"/>
    <n v="0"/>
    <n v="0"/>
    <n v="0"/>
    <n v="0"/>
    <n v="0"/>
    <n v="0"/>
    <n v="0"/>
    <x v="0"/>
    <n v="0"/>
    <n v="0"/>
    <x v="2"/>
    <x v="6"/>
    <x v="2"/>
    <n v="20.1899604797363"/>
    <n v="92.895767211914105"/>
    <n v="196136"/>
    <x v="0"/>
    <m/>
  </r>
  <r>
    <x v="0"/>
    <x v="16"/>
    <x v="17"/>
    <s v="EU"/>
    <x v="1"/>
    <x v="18"/>
    <x v="2"/>
    <x v="242"/>
    <n v="218"/>
    <n v="978"/>
    <d v="2017-01-01T00:00:00"/>
    <d v="2021-12-21T00:00:00"/>
    <m/>
    <m/>
    <m/>
    <m/>
    <m/>
    <m/>
    <m/>
    <m/>
    <m/>
    <m/>
    <m/>
    <m/>
    <m/>
    <m/>
    <m/>
    <m/>
    <m/>
    <m/>
    <m/>
    <m/>
    <m/>
    <m/>
    <m/>
    <m/>
    <m/>
    <m/>
    <m/>
    <m/>
    <m/>
    <m/>
    <m/>
    <m/>
    <m/>
    <m/>
    <m/>
    <m/>
    <m/>
    <x v="1"/>
    <x v="1"/>
    <m/>
    <m/>
    <m/>
    <m/>
    <m/>
    <m/>
    <m/>
    <m/>
    <m/>
    <m/>
    <m/>
    <m/>
    <m/>
    <m/>
    <m/>
    <m/>
    <m/>
    <s v="no test"/>
    <s v="no test"/>
    <x v="1"/>
    <n v="0"/>
    <n v="0"/>
    <n v="0"/>
    <n v="0"/>
    <n v="0"/>
    <n v="0"/>
    <n v="0"/>
    <n v="0"/>
    <n v="0"/>
    <n v="0"/>
    <n v="0"/>
    <n v="0"/>
    <n v="0"/>
    <n v="0"/>
    <n v="1"/>
    <n v="978"/>
    <n v="2"/>
    <n v="2"/>
    <n v="0"/>
    <n v="0"/>
    <n v="0"/>
    <s v="N/A"/>
    <s v="NA"/>
    <n v="163"/>
    <n v="163"/>
    <n v="1"/>
    <n v="0"/>
    <n v="0"/>
    <n v="0"/>
    <n v="0"/>
    <n v="0"/>
    <n v="0"/>
    <n v="0"/>
    <n v="1"/>
    <n v="0"/>
    <n v="0"/>
    <n v="0"/>
    <n v="0"/>
    <n v="0"/>
    <n v="0"/>
    <n v="0"/>
    <x v="0"/>
    <n v="0"/>
    <n v="0"/>
    <x v="2"/>
    <x v="6"/>
    <x v="2"/>
    <n v="20.2630290985107"/>
    <n v="92.858856201171903"/>
    <n v="196166"/>
    <x v="0"/>
    <m/>
  </r>
  <r>
    <x v="0"/>
    <x v="16"/>
    <x v="17"/>
    <s v="EU"/>
    <x v="1"/>
    <x v="18"/>
    <x v="2"/>
    <x v="243"/>
    <n v="147"/>
    <n v="741"/>
    <d v="2017-01-01T00:00:00"/>
    <d v="2021-12-21T00:00:00"/>
    <m/>
    <m/>
    <m/>
    <m/>
    <m/>
    <m/>
    <m/>
    <m/>
    <m/>
    <m/>
    <m/>
    <m/>
    <m/>
    <m/>
    <m/>
    <m/>
    <m/>
    <m/>
    <m/>
    <m/>
    <m/>
    <m/>
    <m/>
    <m/>
    <m/>
    <m/>
    <m/>
    <m/>
    <m/>
    <m/>
    <m/>
    <m/>
    <m/>
    <m/>
    <m/>
    <m/>
    <m/>
    <x v="1"/>
    <x v="1"/>
    <m/>
    <m/>
    <m/>
    <m/>
    <m/>
    <m/>
    <m/>
    <m/>
    <m/>
    <m/>
    <m/>
    <m/>
    <m/>
    <m/>
    <m/>
    <m/>
    <m/>
    <s v="no test"/>
    <s v="no test"/>
    <x v="1"/>
    <n v="0"/>
    <n v="0"/>
    <n v="0"/>
    <n v="0"/>
    <n v="0"/>
    <n v="0"/>
    <n v="0"/>
    <n v="0"/>
    <n v="0"/>
    <n v="0"/>
    <n v="0"/>
    <n v="0"/>
    <n v="0"/>
    <n v="0"/>
    <n v="1"/>
    <n v="741"/>
    <n v="1"/>
    <n v="1"/>
    <n v="0"/>
    <n v="0"/>
    <n v="0"/>
    <s v="N/A"/>
    <s v="NA"/>
    <n v="124"/>
    <n v="124"/>
    <n v="1"/>
    <n v="0"/>
    <n v="0"/>
    <n v="0"/>
    <n v="0"/>
    <n v="0"/>
    <n v="0"/>
    <n v="0"/>
    <n v="1"/>
    <n v="0"/>
    <n v="0"/>
    <n v="0"/>
    <n v="0"/>
    <n v="0"/>
    <n v="0"/>
    <n v="0"/>
    <x v="0"/>
    <n v="0"/>
    <n v="0"/>
    <x v="2"/>
    <x v="6"/>
    <x v="2"/>
    <n v="20.248519897460898"/>
    <n v="92.8621826171875"/>
    <n v="196170"/>
    <x v="0"/>
    <m/>
  </r>
  <r>
    <x v="0"/>
    <x v="16"/>
    <x v="17"/>
    <s v="EU"/>
    <x v="1"/>
    <x v="18"/>
    <x v="2"/>
    <x v="244"/>
    <n v="235"/>
    <n v="1117"/>
    <d v="2017-01-01T00:00:00"/>
    <d v="2021-12-21T00:00:00"/>
    <m/>
    <m/>
    <m/>
    <m/>
    <m/>
    <m/>
    <m/>
    <m/>
    <m/>
    <m/>
    <m/>
    <m/>
    <m/>
    <m/>
    <m/>
    <m/>
    <m/>
    <m/>
    <m/>
    <m/>
    <m/>
    <m/>
    <m/>
    <m/>
    <m/>
    <m/>
    <m/>
    <m/>
    <m/>
    <m/>
    <m/>
    <m/>
    <m/>
    <m/>
    <m/>
    <m/>
    <m/>
    <x v="1"/>
    <x v="1"/>
    <m/>
    <m/>
    <m/>
    <m/>
    <m/>
    <m/>
    <m/>
    <m/>
    <m/>
    <m/>
    <m/>
    <m/>
    <m/>
    <m/>
    <m/>
    <m/>
    <m/>
    <s v="no test"/>
    <s v="no test"/>
    <x v="1"/>
    <n v="0"/>
    <n v="0"/>
    <n v="0"/>
    <n v="0"/>
    <n v="0"/>
    <n v="0"/>
    <n v="0"/>
    <n v="0"/>
    <n v="0"/>
    <n v="0"/>
    <n v="0"/>
    <n v="0"/>
    <n v="0"/>
    <n v="0"/>
    <n v="1"/>
    <n v="1117"/>
    <n v="2"/>
    <n v="2"/>
    <n v="0"/>
    <n v="0"/>
    <n v="0"/>
    <s v="N/A"/>
    <s v="NA"/>
    <n v="186"/>
    <n v="186"/>
    <n v="1"/>
    <n v="0"/>
    <n v="0"/>
    <n v="0"/>
    <n v="0"/>
    <n v="0"/>
    <n v="0"/>
    <n v="0"/>
    <n v="1"/>
    <n v="0"/>
    <n v="0"/>
    <n v="0"/>
    <n v="0"/>
    <n v="0"/>
    <n v="0"/>
    <n v="0"/>
    <x v="0"/>
    <n v="0"/>
    <n v="0"/>
    <x v="2"/>
    <x v="6"/>
    <x v="2"/>
    <n v="20.2375602722168"/>
    <n v="92.861152648925795"/>
    <n v="196169"/>
    <x v="0"/>
    <m/>
  </r>
  <r>
    <x v="0"/>
    <x v="16"/>
    <x v="17"/>
    <s v="EU"/>
    <x v="1"/>
    <x v="18"/>
    <x v="2"/>
    <x v="245"/>
    <n v="156"/>
    <n v="658"/>
    <d v="2017-01-01T00:00:00"/>
    <d v="2021-12-21T00:00:00"/>
    <m/>
    <m/>
    <m/>
    <m/>
    <m/>
    <m/>
    <m/>
    <m/>
    <m/>
    <m/>
    <m/>
    <m/>
    <m/>
    <m/>
    <m/>
    <m/>
    <m/>
    <m/>
    <m/>
    <m/>
    <m/>
    <m/>
    <m/>
    <m/>
    <m/>
    <m/>
    <m/>
    <m/>
    <m/>
    <m/>
    <m/>
    <m/>
    <m/>
    <m/>
    <m/>
    <m/>
    <m/>
    <x v="1"/>
    <x v="1"/>
    <m/>
    <m/>
    <m/>
    <m/>
    <m/>
    <m/>
    <m/>
    <m/>
    <m/>
    <m/>
    <m/>
    <m/>
    <m/>
    <m/>
    <m/>
    <m/>
    <m/>
    <s v="no test"/>
    <s v="no test"/>
    <x v="1"/>
    <n v="0"/>
    <n v="0"/>
    <n v="0"/>
    <n v="0"/>
    <n v="0"/>
    <n v="0"/>
    <n v="0"/>
    <n v="0"/>
    <n v="0"/>
    <n v="0"/>
    <n v="0"/>
    <n v="0"/>
    <n v="0"/>
    <n v="0"/>
    <n v="1"/>
    <n v="658"/>
    <n v="1"/>
    <n v="1"/>
    <n v="0"/>
    <n v="0"/>
    <n v="0"/>
    <s v="N/A"/>
    <s v="NA"/>
    <n v="110"/>
    <n v="110"/>
    <n v="1"/>
    <n v="0"/>
    <n v="0"/>
    <n v="0"/>
    <n v="0"/>
    <n v="0"/>
    <n v="0"/>
    <n v="0"/>
    <n v="1"/>
    <n v="0"/>
    <n v="0"/>
    <n v="0"/>
    <n v="0"/>
    <n v="0"/>
    <n v="0"/>
    <n v="0"/>
    <x v="0"/>
    <n v="0"/>
    <n v="0"/>
    <x v="2"/>
    <x v="6"/>
    <x v="4"/>
    <n v="20.22929001"/>
    <n v="92.864669800000001"/>
    <n v="196167"/>
    <x v="0"/>
    <m/>
  </r>
  <r>
    <x v="0"/>
    <x v="16"/>
    <x v="17"/>
    <s v="EU"/>
    <x v="1"/>
    <x v="18"/>
    <x v="2"/>
    <x v="246"/>
    <n v="113"/>
    <n v="656"/>
    <d v="2017-01-01T00:00:00"/>
    <d v="2021-12-21T00:00:00"/>
    <m/>
    <m/>
    <m/>
    <m/>
    <m/>
    <m/>
    <m/>
    <m/>
    <m/>
    <m/>
    <m/>
    <m/>
    <m/>
    <m/>
    <m/>
    <m/>
    <m/>
    <m/>
    <m/>
    <m/>
    <m/>
    <m/>
    <m/>
    <m/>
    <m/>
    <m/>
    <m/>
    <m/>
    <m/>
    <m/>
    <m/>
    <m/>
    <m/>
    <m/>
    <m/>
    <m/>
    <m/>
    <x v="1"/>
    <x v="1"/>
    <m/>
    <m/>
    <m/>
    <m/>
    <m/>
    <m/>
    <m/>
    <m/>
    <m/>
    <m/>
    <m/>
    <m/>
    <m/>
    <m/>
    <m/>
    <m/>
    <m/>
    <s v="no test"/>
    <s v="no test"/>
    <x v="1"/>
    <n v="0"/>
    <n v="0"/>
    <n v="0"/>
    <n v="0"/>
    <n v="0"/>
    <n v="0"/>
    <n v="0"/>
    <n v="0"/>
    <n v="0"/>
    <n v="0"/>
    <n v="0"/>
    <n v="0"/>
    <n v="0"/>
    <n v="0"/>
    <n v="1"/>
    <n v="656"/>
    <n v="1"/>
    <n v="1"/>
    <n v="0"/>
    <n v="0"/>
    <n v="0"/>
    <s v="N/A"/>
    <s v="NA"/>
    <n v="109"/>
    <n v="109"/>
    <n v="1"/>
    <n v="0"/>
    <n v="0"/>
    <n v="0"/>
    <n v="0"/>
    <n v="0"/>
    <n v="0"/>
    <n v="0"/>
    <n v="1"/>
    <n v="0"/>
    <n v="0"/>
    <n v="0"/>
    <n v="0"/>
    <n v="0"/>
    <n v="0"/>
    <n v="0"/>
    <x v="0"/>
    <n v="0"/>
    <n v="0"/>
    <x v="2"/>
    <x v="6"/>
    <x v="4"/>
    <n v="20.2315197"/>
    <n v="92.876129149999997"/>
    <n v="196180"/>
    <x v="0"/>
    <m/>
  </r>
  <r>
    <x v="0"/>
    <x v="16"/>
    <x v="17"/>
    <s v="EU"/>
    <x v="1"/>
    <x v="18"/>
    <x v="2"/>
    <x v="247"/>
    <n v="152"/>
    <n v="1152"/>
    <d v="2017-01-01T00:00:00"/>
    <d v="2021-12-21T00:00:00"/>
    <m/>
    <m/>
    <m/>
    <m/>
    <m/>
    <m/>
    <m/>
    <m/>
    <m/>
    <m/>
    <m/>
    <m/>
    <m/>
    <m/>
    <m/>
    <m/>
    <m/>
    <m/>
    <m/>
    <m/>
    <m/>
    <m/>
    <m/>
    <m/>
    <m/>
    <m/>
    <m/>
    <m/>
    <m/>
    <m/>
    <m/>
    <m/>
    <m/>
    <m/>
    <m/>
    <m/>
    <m/>
    <x v="1"/>
    <x v="1"/>
    <m/>
    <m/>
    <m/>
    <m/>
    <m/>
    <m/>
    <m/>
    <m/>
    <m/>
    <m/>
    <m/>
    <m/>
    <m/>
    <m/>
    <m/>
    <m/>
    <m/>
    <s v="no test"/>
    <s v="no test"/>
    <x v="1"/>
    <n v="0"/>
    <n v="0"/>
    <n v="0"/>
    <n v="0"/>
    <n v="0"/>
    <n v="0"/>
    <n v="0"/>
    <n v="0"/>
    <n v="0"/>
    <n v="0"/>
    <n v="0"/>
    <n v="0"/>
    <n v="0"/>
    <n v="0"/>
    <n v="1"/>
    <n v="1152"/>
    <n v="2"/>
    <n v="2"/>
    <n v="0"/>
    <n v="0"/>
    <n v="0"/>
    <s v="N/A"/>
    <s v="NA"/>
    <n v="192"/>
    <n v="192"/>
    <n v="1"/>
    <n v="0"/>
    <n v="0"/>
    <n v="0"/>
    <n v="0"/>
    <n v="0"/>
    <n v="0"/>
    <n v="0"/>
    <n v="1"/>
    <n v="0"/>
    <n v="0"/>
    <n v="0"/>
    <n v="0"/>
    <n v="0"/>
    <n v="0"/>
    <n v="0"/>
    <x v="0"/>
    <n v="0"/>
    <n v="0"/>
    <x v="2"/>
    <x v="6"/>
    <x v="2"/>
    <n v="0"/>
    <n v="0"/>
    <n v="196154"/>
    <x v="0"/>
    <m/>
  </r>
  <r>
    <x v="0"/>
    <x v="16"/>
    <x v="17"/>
    <s v="EU"/>
    <x v="1"/>
    <x v="18"/>
    <x v="2"/>
    <x v="248"/>
    <n v="172"/>
    <n v="1435"/>
    <d v="2017-01-01T00:00:00"/>
    <d v="2021-12-21T00:00:00"/>
    <m/>
    <m/>
    <m/>
    <m/>
    <m/>
    <m/>
    <m/>
    <m/>
    <m/>
    <m/>
    <m/>
    <m/>
    <m/>
    <m/>
    <m/>
    <m/>
    <m/>
    <m/>
    <m/>
    <m/>
    <m/>
    <m/>
    <m/>
    <m/>
    <m/>
    <m/>
    <m/>
    <m/>
    <m/>
    <m/>
    <m/>
    <m/>
    <m/>
    <m/>
    <m/>
    <m/>
    <m/>
    <x v="1"/>
    <x v="1"/>
    <m/>
    <m/>
    <m/>
    <m/>
    <m/>
    <m/>
    <m/>
    <m/>
    <m/>
    <m/>
    <m/>
    <m/>
    <m/>
    <m/>
    <m/>
    <m/>
    <m/>
    <s v="no test"/>
    <s v="no test"/>
    <x v="1"/>
    <n v="0"/>
    <n v="0"/>
    <n v="0"/>
    <n v="0"/>
    <n v="0"/>
    <n v="0"/>
    <n v="0"/>
    <n v="0"/>
    <n v="0"/>
    <n v="0"/>
    <n v="0"/>
    <n v="0"/>
    <n v="0"/>
    <n v="0"/>
    <n v="1"/>
    <n v="1435"/>
    <n v="3"/>
    <n v="3"/>
    <n v="0"/>
    <n v="0"/>
    <n v="0"/>
    <s v="N/A"/>
    <s v="NA"/>
    <n v="239"/>
    <n v="239"/>
    <n v="1"/>
    <n v="0"/>
    <n v="0"/>
    <n v="0"/>
    <n v="0"/>
    <n v="0"/>
    <n v="0"/>
    <n v="0"/>
    <n v="1"/>
    <n v="0"/>
    <n v="0"/>
    <n v="0"/>
    <n v="0"/>
    <n v="0"/>
    <n v="0"/>
    <n v="0"/>
    <x v="0"/>
    <n v="0"/>
    <n v="0"/>
    <x v="2"/>
    <x v="6"/>
    <x v="3"/>
    <n v="0"/>
    <n v="0"/>
    <n v="0"/>
    <x v="0"/>
    <m/>
  </r>
  <r>
    <x v="0"/>
    <x v="16"/>
    <x v="17"/>
    <s v="EU"/>
    <x v="1"/>
    <x v="18"/>
    <x v="2"/>
    <x v="249"/>
    <n v="73"/>
    <n v="320"/>
    <d v="2017-01-01T00:00:00"/>
    <d v="2021-12-21T00:00:00"/>
    <m/>
    <m/>
    <m/>
    <m/>
    <m/>
    <m/>
    <m/>
    <m/>
    <m/>
    <m/>
    <m/>
    <m/>
    <m/>
    <m/>
    <m/>
    <m/>
    <m/>
    <m/>
    <m/>
    <m/>
    <m/>
    <m/>
    <m/>
    <m/>
    <m/>
    <m/>
    <m/>
    <m/>
    <m/>
    <m/>
    <m/>
    <m/>
    <m/>
    <m/>
    <m/>
    <m/>
    <m/>
    <x v="1"/>
    <x v="1"/>
    <m/>
    <m/>
    <m/>
    <m/>
    <m/>
    <m/>
    <m/>
    <m/>
    <m/>
    <m/>
    <m/>
    <m/>
    <m/>
    <m/>
    <m/>
    <m/>
    <m/>
    <s v="no test"/>
    <s v="no test"/>
    <x v="1"/>
    <n v="0"/>
    <n v="0"/>
    <n v="0"/>
    <n v="0"/>
    <n v="0"/>
    <n v="0"/>
    <n v="0"/>
    <n v="0"/>
    <n v="0"/>
    <n v="0"/>
    <n v="0"/>
    <n v="0"/>
    <n v="0"/>
    <n v="0"/>
    <n v="1"/>
    <n v="320"/>
    <n v="1"/>
    <n v="1"/>
    <n v="0"/>
    <n v="0"/>
    <n v="0"/>
    <s v="N/A"/>
    <s v="NA"/>
    <n v="53"/>
    <n v="53"/>
    <n v="1"/>
    <n v="0"/>
    <n v="0"/>
    <n v="0"/>
    <n v="0"/>
    <n v="0"/>
    <n v="0"/>
    <n v="0"/>
    <n v="1"/>
    <n v="0"/>
    <n v="0"/>
    <n v="0"/>
    <n v="0"/>
    <n v="0"/>
    <n v="0"/>
    <n v="0"/>
    <x v="0"/>
    <n v="0"/>
    <n v="0"/>
    <x v="2"/>
    <x v="6"/>
    <x v="4"/>
    <n v="20.2023601531982"/>
    <n v="92.812782287597699"/>
    <n v="196159"/>
    <x v="0"/>
    <m/>
  </r>
  <r>
    <x v="0"/>
    <x v="16"/>
    <x v="17"/>
    <s v="EU"/>
    <x v="1"/>
    <x v="18"/>
    <x v="2"/>
    <x v="250"/>
    <n v="266"/>
    <n v="1416"/>
    <d v="2017-01-01T00:00:00"/>
    <d v="2021-12-21T00:00:00"/>
    <m/>
    <m/>
    <m/>
    <m/>
    <m/>
    <m/>
    <m/>
    <m/>
    <m/>
    <m/>
    <m/>
    <m/>
    <m/>
    <m/>
    <m/>
    <m/>
    <m/>
    <m/>
    <m/>
    <m/>
    <m/>
    <m/>
    <m/>
    <m/>
    <m/>
    <m/>
    <m/>
    <m/>
    <m/>
    <m/>
    <m/>
    <m/>
    <m/>
    <m/>
    <m/>
    <m/>
    <m/>
    <x v="1"/>
    <x v="1"/>
    <m/>
    <m/>
    <m/>
    <m/>
    <m/>
    <m/>
    <m/>
    <m/>
    <m/>
    <m/>
    <m/>
    <m/>
    <m/>
    <m/>
    <m/>
    <m/>
    <m/>
    <s v="no test"/>
    <s v="no test"/>
    <x v="1"/>
    <n v="0"/>
    <n v="0"/>
    <n v="0"/>
    <n v="0"/>
    <n v="0"/>
    <n v="0"/>
    <n v="0"/>
    <n v="0"/>
    <n v="0"/>
    <n v="0"/>
    <n v="0"/>
    <n v="0"/>
    <n v="0"/>
    <n v="0"/>
    <n v="1"/>
    <n v="1416"/>
    <n v="3"/>
    <n v="3"/>
    <n v="0"/>
    <n v="0"/>
    <n v="0"/>
    <s v="N/A"/>
    <s v="NA"/>
    <n v="236"/>
    <n v="236"/>
    <n v="1"/>
    <n v="0"/>
    <n v="0"/>
    <n v="0"/>
    <n v="0"/>
    <n v="0"/>
    <n v="0"/>
    <n v="0"/>
    <n v="1"/>
    <n v="0"/>
    <n v="0"/>
    <n v="0"/>
    <n v="0"/>
    <n v="0"/>
    <n v="0"/>
    <n v="0"/>
    <x v="0"/>
    <n v="0"/>
    <n v="0"/>
    <x v="2"/>
    <x v="6"/>
    <x v="2"/>
    <n v="20.199499130248999"/>
    <n v="92.834327697753906"/>
    <n v="196126"/>
    <x v="0"/>
    <m/>
  </r>
  <r>
    <x v="0"/>
    <x v="16"/>
    <x v="17"/>
    <s v="EU"/>
    <x v="1"/>
    <x v="18"/>
    <x v="2"/>
    <x v="251"/>
    <n v="179"/>
    <n v="853"/>
    <d v="2017-01-01T00:00:00"/>
    <d v="2021-12-21T00:00:00"/>
    <m/>
    <m/>
    <m/>
    <m/>
    <m/>
    <m/>
    <m/>
    <m/>
    <m/>
    <m/>
    <m/>
    <m/>
    <m/>
    <m/>
    <m/>
    <m/>
    <m/>
    <m/>
    <m/>
    <m/>
    <m/>
    <m/>
    <m/>
    <m/>
    <m/>
    <m/>
    <m/>
    <m/>
    <m/>
    <m/>
    <m/>
    <m/>
    <m/>
    <m/>
    <m/>
    <m/>
    <m/>
    <x v="1"/>
    <x v="1"/>
    <m/>
    <m/>
    <m/>
    <m/>
    <m/>
    <m/>
    <m/>
    <m/>
    <m/>
    <m/>
    <m/>
    <m/>
    <m/>
    <m/>
    <m/>
    <m/>
    <m/>
    <s v="no test"/>
    <s v="no test"/>
    <x v="1"/>
    <n v="0"/>
    <n v="0"/>
    <n v="0"/>
    <n v="0"/>
    <n v="0"/>
    <n v="0"/>
    <n v="0"/>
    <n v="0"/>
    <n v="0"/>
    <n v="0"/>
    <n v="0"/>
    <n v="0"/>
    <n v="0"/>
    <n v="0"/>
    <n v="1"/>
    <n v="853"/>
    <n v="2"/>
    <n v="2"/>
    <n v="0"/>
    <n v="0"/>
    <n v="0"/>
    <s v="N/A"/>
    <s v="NA"/>
    <n v="142"/>
    <n v="142"/>
    <n v="1"/>
    <n v="0"/>
    <n v="0"/>
    <n v="0"/>
    <n v="0"/>
    <n v="0"/>
    <n v="0"/>
    <n v="0"/>
    <n v="1"/>
    <n v="0"/>
    <n v="0"/>
    <n v="0"/>
    <n v="0"/>
    <n v="0"/>
    <n v="0"/>
    <n v="0"/>
    <x v="0"/>
    <n v="0"/>
    <n v="0"/>
    <x v="2"/>
    <x v="6"/>
    <x v="2"/>
    <n v="20.194370269775401"/>
    <n v="92.834007263183594"/>
    <n v="196128"/>
    <x v="0"/>
    <m/>
  </r>
  <r>
    <x v="0"/>
    <x v="16"/>
    <x v="17"/>
    <s v="EU"/>
    <x v="1"/>
    <x v="18"/>
    <x v="2"/>
    <x v="252"/>
    <n v="241"/>
    <n v="1027"/>
    <d v="2017-01-01T00:00:00"/>
    <d v="2021-12-21T00:00:00"/>
    <m/>
    <m/>
    <m/>
    <m/>
    <m/>
    <m/>
    <m/>
    <m/>
    <m/>
    <m/>
    <m/>
    <m/>
    <m/>
    <m/>
    <m/>
    <m/>
    <m/>
    <m/>
    <m/>
    <m/>
    <m/>
    <m/>
    <m/>
    <m/>
    <m/>
    <m/>
    <m/>
    <m/>
    <m/>
    <m/>
    <m/>
    <m/>
    <m/>
    <m/>
    <m/>
    <m/>
    <m/>
    <x v="1"/>
    <x v="1"/>
    <m/>
    <m/>
    <m/>
    <m/>
    <m/>
    <m/>
    <m/>
    <m/>
    <m/>
    <m/>
    <m/>
    <m/>
    <m/>
    <m/>
    <m/>
    <m/>
    <m/>
    <s v="no test"/>
    <s v="no test"/>
    <x v="1"/>
    <n v="0"/>
    <n v="0"/>
    <n v="0"/>
    <n v="0"/>
    <n v="0"/>
    <n v="0"/>
    <n v="0"/>
    <n v="0"/>
    <n v="0"/>
    <n v="0"/>
    <n v="0"/>
    <n v="0"/>
    <n v="0"/>
    <n v="0"/>
    <n v="1"/>
    <n v="1027"/>
    <n v="2"/>
    <n v="2"/>
    <n v="0"/>
    <n v="0"/>
    <n v="0"/>
    <s v="N/A"/>
    <s v="NA"/>
    <n v="171"/>
    <n v="171"/>
    <n v="1"/>
    <n v="0"/>
    <n v="0"/>
    <n v="0"/>
    <n v="0"/>
    <n v="0"/>
    <n v="0"/>
    <n v="0"/>
    <n v="1"/>
    <n v="0"/>
    <n v="0"/>
    <n v="0"/>
    <n v="0"/>
    <n v="0"/>
    <n v="0"/>
    <n v="0"/>
    <x v="0"/>
    <n v="0"/>
    <n v="0"/>
    <x v="2"/>
    <x v="6"/>
    <x v="2"/>
    <n v="20.2105598449707"/>
    <n v="92.836456298828097"/>
    <n v="196125"/>
    <x v="0"/>
    <m/>
  </r>
  <r>
    <x v="0"/>
    <x v="16"/>
    <x v="17"/>
    <s v="EU"/>
    <x v="1"/>
    <x v="18"/>
    <x v="2"/>
    <x v="253"/>
    <n v="77"/>
    <n v="370"/>
    <d v="2017-01-01T00:00:00"/>
    <d v="2021-12-21T00:00:00"/>
    <m/>
    <m/>
    <m/>
    <m/>
    <m/>
    <m/>
    <m/>
    <m/>
    <m/>
    <m/>
    <m/>
    <m/>
    <m/>
    <m/>
    <m/>
    <m/>
    <m/>
    <m/>
    <m/>
    <m/>
    <m/>
    <m/>
    <m/>
    <m/>
    <m/>
    <m/>
    <m/>
    <m/>
    <m/>
    <m/>
    <m/>
    <m/>
    <m/>
    <m/>
    <m/>
    <m/>
    <m/>
    <x v="1"/>
    <x v="1"/>
    <m/>
    <m/>
    <m/>
    <m/>
    <m/>
    <m/>
    <m/>
    <m/>
    <m/>
    <m/>
    <m/>
    <m/>
    <m/>
    <m/>
    <m/>
    <m/>
    <m/>
    <s v="no test"/>
    <s v="no test"/>
    <x v="1"/>
    <n v="0"/>
    <n v="0"/>
    <n v="0"/>
    <n v="0"/>
    <n v="0"/>
    <n v="0"/>
    <n v="0"/>
    <n v="0"/>
    <n v="0"/>
    <n v="0"/>
    <n v="0"/>
    <n v="0"/>
    <n v="0"/>
    <n v="0"/>
    <n v="1"/>
    <n v="370"/>
    <n v="1"/>
    <n v="1"/>
    <n v="0"/>
    <n v="0"/>
    <n v="0"/>
    <s v="N/A"/>
    <s v="NA"/>
    <n v="62"/>
    <n v="62"/>
    <n v="1"/>
    <n v="0"/>
    <n v="0"/>
    <n v="0"/>
    <n v="0"/>
    <n v="0"/>
    <n v="0"/>
    <n v="0"/>
    <n v="1"/>
    <n v="0"/>
    <n v="0"/>
    <n v="0"/>
    <n v="0"/>
    <n v="0"/>
    <n v="0"/>
    <n v="0"/>
    <x v="0"/>
    <n v="0"/>
    <n v="0"/>
    <x v="2"/>
    <x v="6"/>
    <x v="4"/>
    <n v="20.142474"/>
    <n v="92.494243999999995"/>
    <n v="196130"/>
    <x v="0"/>
    <m/>
  </r>
  <r>
    <x v="0"/>
    <x v="16"/>
    <x v="17"/>
    <s v="EU"/>
    <x v="1"/>
    <x v="18"/>
    <x v="2"/>
    <x v="254"/>
    <n v="509"/>
    <n v="1574"/>
    <d v="2017-01-01T00:00:00"/>
    <d v="2021-12-21T00:00:00"/>
    <m/>
    <m/>
    <m/>
    <m/>
    <m/>
    <m/>
    <m/>
    <m/>
    <m/>
    <m/>
    <m/>
    <m/>
    <m/>
    <m/>
    <m/>
    <m/>
    <m/>
    <m/>
    <m/>
    <m/>
    <m/>
    <m/>
    <m/>
    <m/>
    <m/>
    <m/>
    <m/>
    <m/>
    <m/>
    <m/>
    <m/>
    <m/>
    <m/>
    <m/>
    <m/>
    <m/>
    <m/>
    <x v="1"/>
    <x v="1"/>
    <m/>
    <m/>
    <m/>
    <m/>
    <m/>
    <m/>
    <m/>
    <m/>
    <m/>
    <m/>
    <m/>
    <m/>
    <m/>
    <m/>
    <m/>
    <m/>
    <m/>
    <s v="no test"/>
    <s v="no test"/>
    <x v="1"/>
    <n v="0"/>
    <n v="0"/>
    <n v="0"/>
    <n v="0"/>
    <n v="0"/>
    <n v="0"/>
    <n v="0"/>
    <n v="0"/>
    <n v="0"/>
    <n v="0"/>
    <n v="0"/>
    <n v="0"/>
    <n v="0"/>
    <n v="0"/>
    <n v="1"/>
    <n v="1574"/>
    <n v="3"/>
    <n v="3"/>
    <n v="0"/>
    <n v="0"/>
    <n v="0"/>
    <s v="N/A"/>
    <s v="NA"/>
    <n v="262"/>
    <n v="262"/>
    <n v="1"/>
    <n v="0"/>
    <n v="0"/>
    <n v="0"/>
    <n v="0"/>
    <n v="0"/>
    <n v="0"/>
    <n v="0"/>
    <n v="1"/>
    <n v="0"/>
    <n v="0"/>
    <n v="0"/>
    <n v="0"/>
    <n v="0"/>
    <n v="0"/>
    <n v="0"/>
    <x v="0"/>
    <n v="0"/>
    <n v="0"/>
    <x v="2"/>
    <x v="6"/>
    <x v="4"/>
    <n v="20.226730346679702"/>
    <n v="92.836929321289105"/>
    <n v="196129"/>
    <x v="0"/>
    <m/>
  </r>
  <r>
    <x v="0"/>
    <x v="16"/>
    <x v="17"/>
    <s v="EU"/>
    <x v="1"/>
    <x v="18"/>
    <x v="2"/>
    <x v="255"/>
    <n v="301"/>
    <n v="1529"/>
    <d v="2017-01-01T00:00:00"/>
    <d v="2021-12-21T00:00:00"/>
    <m/>
    <m/>
    <m/>
    <m/>
    <m/>
    <m/>
    <m/>
    <m/>
    <m/>
    <m/>
    <m/>
    <m/>
    <m/>
    <m/>
    <m/>
    <m/>
    <m/>
    <m/>
    <m/>
    <m/>
    <m/>
    <m/>
    <m/>
    <m/>
    <m/>
    <m/>
    <m/>
    <m/>
    <m/>
    <m/>
    <m/>
    <m/>
    <m/>
    <m/>
    <m/>
    <m/>
    <m/>
    <x v="1"/>
    <x v="1"/>
    <m/>
    <m/>
    <m/>
    <m/>
    <m/>
    <m/>
    <m/>
    <m/>
    <m/>
    <m/>
    <m/>
    <m/>
    <m/>
    <m/>
    <m/>
    <m/>
    <m/>
    <s v="no test"/>
    <s v="no test"/>
    <x v="1"/>
    <n v="0"/>
    <n v="0"/>
    <n v="0"/>
    <n v="0"/>
    <n v="0"/>
    <n v="0"/>
    <n v="0"/>
    <n v="0"/>
    <n v="0"/>
    <n v="0"/>
    <n v="0"/>
    <n v="0"/>
    <n v="0"/>
    <n v="0"/>
    <n v="1"/>
    <n v="1529"/>
    <n v="3"/>
    <n v="3"/>
    <n v="0"/>
    <n v="0"/>
    <n v="0"/>
    <s v="N/A"/>
    <s v="NA"/>
    <n v="255"/>
    <n v="255"/>
    <n v="1"/>
    <n v="0"/>
    <n v="0"/>
    <n v="0"/>
    <n v="0"/>
    <n v="0"/>
    <n v="0"/>
    <n v="0"/>
    <n v="1"/>
    <n v="0"/>
    <n v="0"/>
    <n v="0"/>
    <n v="0"/>
    <n v="0"/>
    <n v="0"/>
    <n v="0"/>
    <x v="0"/>
    <n v="0"/>
    <n v="0"/>
    <x v="2"/>
    <x v="6"/>
    <x v="4"/>
    <n v="20.257850650000002"/>
    <n v="92.811126709999996"/>
    <n v="196161"/>
    <x v="0"/>
    <m/>
  </r>
  <r>
    <x v="0"/>
    <x v="16"/>
    <x v="17"/>
    <s v="EU"/>
    <x v="1"/>
    <x v="18"/>
    <x v="2"/>
    <x v="256"/>
    <n v="85"/>
    <n v="369"/>
    <d v="2017-01-01T00:00:00"/>
    <d v="2021-12-21T00:00:00"/>
    <m/>
    <m/>
    <m/>
    <m/>
    <m/>
    <m/>
    <m/>
    <m/>
    <m/>
    <m/>
    <m/>
    <m/>
    <m/>
    <m/>
    <m/>
    <m/>
    <m/>
    <m/>
    <m/>
    <m/>
    <m/>
    <m/>
    <m/>
    <m/>
    <m/>
    <m/>
    <m/>
    <m/>
    <m/>
    <m/>
    <m/>
    <m/>
    <m/>
    <m/>
    <m/>
    <m/>
    <m/>
    <x v="1"/>
    <x v="1"/>
    <m/>
    <m/>
    <m/>
    <m/>
    <m/>
    <m/>
    <m/>
    <m/>
    <m/>
    <m/>
    <m/>
    <m/>
    <m/>
    <m/>
    <m/>
    <m/>
    <m/>
    <s v="no test"/>
    <s v="no test"/>
    <x v="1"/>
    <n v="0"/>
    <n v="0"/>
    <n v="0"/>
    <n v="0"/>
    <n v="0"/>
    <n v="0"/>
    <n v="0"/>
    <n v="0"/>
    <n v="0"/>
    <n v="0"/>
    <n v="0"/>
    <n v="0"/>
    <n v="0"/>
    <n v="0"/>
    <n v="1"/>
    <n v="369"/>
    <n v="1"/>
    <n v="1"/>
    <n v="0"/>
    <n v="0"/>
    <n v="0"/>
    <s v="N/A"/>
    <s v="NA"/>
    <n v="62"/>
    <n v="62"/>
    <n v="1"/>
    <n v="0"/>
    <n v="0"/>
    <n v="0"/>
    <n v="0"/>
    <n v="0"/>
    <n v="0"/>
    <n v="0"/>
    <n v="1"/>
    <n v="0"/>
    <n v="0"/>
    <n v="0"/>
    <n v="0"/>
    <n v="0"/>
    <n v="0"/>
    <n v="0"/>
    <x v="0"/>
    <n v="0"/>
    <n v="0"/>
    <x v="2"/>
    <x v="6"/>
    <x v="2"/>
    <n v="20.261358000000001"/>
    <n v="92.805672999999999"/>
    <n v="220593"/>
    <x v="0"/>
    <m/>
  </r>
  <r>
    <x v="0"/>
    <x v="16"/>
    <x v="17"/>
    <s v="EU"/>
    <x v="1"/>
    <x v="18"/>
    <x v="2"/>
    <x v="257"/>
    <n v="175"/>
    <n v="811"/>
    <d v="2017-01-01T00:00:00"/>
    <d v="2021-12-21T00:00:00"/>
    <m/>
    <m/>
    <m/>
    <m/>
    <m/>
    <m/>
    <m/>
    <m/>
    <m/>
    <m/>
    <m/>
    <m/>
    <m/>
    <m/>
    <m/>
    <m/>
    <m/>
    <m/>
    <m/>
    <m/>
    <m/>
    <m/>
    <m/>
    <m/>
    <m/>
    <m/>
    <m/>
    <m/>
    <m/>
    <m/>
    <m/>
    <m/>
    <m/>
    <m/>
    <m/>
    <m/>
    <m/>
    <x v="1"/>
    <x v="1"/>
    <m/>
    <m/>
    <m/>
    <m/>
    <m/>
    <m/>
    <m/>
    <m/>
    <m/>
    <m/>
    <m/>
    <m/>
    <m/>
    <m/>
    <m/>
    <m/>
    <m/>
    <s v="no test"/>
    <s v="no test"/>
    <x v="1"/>
    <n v="0"/>
    <n v="0"/>
    <n v="0"/>
    <n v="0"/>
    <n v="0"/>
    <n v="0"/>
    <n v="0"/>
    <n v="0"/>
    <n v="0"/>
    <n v="0"/>
    <n v="0"/>
    <n v="0"/>
    <n v="0"/>
    <n v="0"/>
    <n v="1"/>
    <n v="811"/>
    <n v="2"/>
    <n v="2"/>
    <n v="0"/>
    <n v="0"/>
    <n v="0"/>
    <s v="N/A"/>
    <s v="NA"/>
    <n v="135"/>
    <n v="135"/>
    <n v="1"/>
    <n v="0"/>
    <n v="0"/>
    <n v="0"/>
    <n v="0"/>
    <n v="0"/>
    <n v="0"/>
    <n v="0"/>
    <n v="1"/>
    <n v="0"/>
    <n v="0"/>
    <n v="0"/>
    <n v="0"/>
    <n v="0"/>
    <n v="0"/>
    <n v="0"/>
    <x v="0"/>
    <n v="0"/>
    <n v="0"/>
    <x v="2"/>
    <x v="6"/>
    <x v="4"/>
    <n v="20.245159149999999"/>
    <n v="92.807418819999995"/>
    <n v="196137"/>
    <x v="0"/>
    <m/>
  </r>
  <r>
    <x v="0"/>
    <x v="16"/>
    <x v="17"/>
    <s v="EU"/>
    <x v="1"/>
    <x v="18"/>
    <x v="2"/>
    <x v="258"/>
    <n v="355"/>
    <n v="2168"/>
    <d v="2017-01-01T00:00:00"/>
    <d v="2021-12-21T00:00:00"/>
    <m/>
    <m/>
    <m/>
    <m/>
    <m/>
    <m/>
    <m/>
    <m/>
    <m/>
    <m/>
    <m/>
    <m/>
    <m/>
    <m/>
    <m/>
    <m/>
    <m/>
    <m/>
    <m/>
    <m/>
    <m/>
    <m/>
    <m/>
    <m/>
    <m/>
    <m/>
    <m/>
    <m/>
    <m/>
    <m/>
    <m/>
    <m/>
    <m/>
    <m/>
    <m/>
    <m/>
    <m/>
    <x v="1"/>
    <x v="1"/>
    <m/>
    <m/>
    <m/>
    <m/>
    <m/>
    <m/>
    <m/>
    <m/>
    <m/>
    <m/>
    <m/>
    <m/>
    <m/>
    <m/>
    <m/>
    <m/>
    <m/>
    <s v="no test"/>
    <s v="no test"/>
    <x v="1"/>
    <n v="0"/>
    <n v="0"/>
    <n v="0"/>
    <n v="0"/>
    <n v="0"/>
    <n v="0"/>
    <n v="0"/>
    <n v="0"/>
    <n v="0"/>
    <n v="0"/>
    <n v="0"/>
    <n v="0"/>
    <n v="0"/>
    <n v="0"/>
    <n v="1"/>
    <n v="2168"/>
    <n v="4"/>
    <n v="4"/>
    <n v="0"/>
    <n v="0"/>
    <n v="0"/>
    <s v="N/A"/>
    <s v="NA"/>
    <n v="361"/>
    <n v="361"/>
    <n v="1"/>
    <n v="0"/>
    <n v="0"/>
    <n v="0"/>
    <n v="0"/>
    <n v="0"/>
    <n v="0"/>
    <n v="0"/>
    <n v="1"/>
    <n v="0"/>
    <n v="0"/>
    <n v="0"/>
    <n v="0"/>
    <n v="0"/>
    <n v="0"/>
    <n v="0"/>
    <x v="0"/>
    <n v="0"/>
    <n v="0"/>
    <x v="2"/>
    <x v="6"/>
    <x v="2"/>
    <n v="20.246250152587901"/>
    <n v="92.822059631347699"/>
    <n v="196160"/>
    <x v="0"/>
    <m/>
  </r>
  <r>
    <x v="0"/>
    <x v="16"/>
    <x v="17"/>
    <s v="EU"/>
    <x v="1"/>
    <x v="18"/>
    <x v="2"/>
    <x v="259"/>
    <n v="300"/>
    <n v="1369"/>
    <d v="2017-01-01T00:00:00"/>
    <d v="2021-12-21T00:00:00"/>
    <m/>
    <m/>
    <m/>
    <m/>
    <m/>
    <m/>
    <m/>
    <m/>
    <m/>
    <m/>
    <m/>
    <m/>
    <m/>
    <m/>
    <m/>
    <m/>
    <m/>
    <m/>
    <m/>
    <m/>
    <m/>
    <m/>
    <m/>
    <m/>
    <m/>
    <m/>
    <m/>
    <m/>
    <m/>
    <m/>
    <m/>
    <m/>
    <m/>
    <m/>
    <m/>
    <m/>
    <m/>
    <x v="1"/>
    <x v="1"/>
    <m/>
    <m/>
    <m/>
    <m/>
    <m/>
    <m/>
    <m/>
    <m/>
    <m/>
    <m/>
    <m/>
    <m/>
    <m/>
    <m/>
    <m/>
    <m/>
    <m/>
    <s v="no test"/>
    <s v="no test"/>
    <x v="1"/>
    <n v="0"/>
    <n v="0"/>
    <n v="0"/>
    <n v="0"/>
    <n v="0"/>
    <n v="0"/>
    <n v="0"/>
    <n v="0"/>
    <n v="0"/>
    <n v="0"/>
    <n v="0"/>
    <n v="0"/>
    <n v="0"/>
    <n v="0"/>
    <n v="1"/>
    <n v="1369"/>
    <n v="3"/>
    <n v="3"/>
    <n v="0"/>
    <n v="0"/>
    <n v="0"/>
    <s v="N/A"/>
    <s v="NA"/>
    <n v="228"/>
    <n v="228"/>
    <n v="1"/>
    <n v="0"/>
    <n v="0"/>
    <n v="0"/>
    <n v="0"/>
    <n v="0"/>
    <n v="0"/>
    <n v="0"/>
    <n v="1"/>
    <n v="0"/>
    <n v="0"/>
    <n v="0"/>
    <n v="0"/>
    <n v="0"/>
    <n v="0"/>
    <n v="0"/>
    <x v="0"/>
    <n v="0"/>
    <n v="0"/>
    <x v="2"/>
    <x v="6"/>
    <x v="2"/>
    <n v="20.239799499511701"/>
    <n v="92.825088500976605"/>
    <n v="196131"/>
    <x v="0"/>
    <m/>
  </r>
  <r>
    <x v="0"/>
    <x v="16"/>
    <x v="17"/>
    <s v="BMZ"/>
    <x v="1"/>
    <x v="18"/>
    <x v="2"/>
    <x v="260"/>
    <n v="331"/>
    <n v="1473"/>
    <d v="2017-01-01T00:00:00"/>
    <d v="2021-12-21T00:00:00"/>
    <m/>
    <m/>
    <m/>
    <m/>
    <m/>
    <m/>
    <m/>
    <m/>
    <m/>
    <m/>
    <m/>
    <m/>
    <m/>
    <m/>
    <m/>
    <m/>
    <m/>
    <m/>
    <m/>
    <m/>
    <m/>
    <m/>
    <m/>
    <m/>
    <m/>
    <m/>
    <m/>
    <m/>
    <m/>
    <m/>
    <m/>
    <m/>
    <m/>
    <m/>
    <m/>
    <m/>
    <m/>
    <x v="1"/>
    <x v="1"/>
    <m/>
    <m/>
    <m/>
    <m/>
    <m/>
    <m/>
    <m/>
    <m/>
    <m/>
    <m/>
    <m/>
    <m/>
    <m/>
    <m/>
    <m/>
    <m/>
    <m/>
    <s v="no test"/>
    <s v="no test"/>
    <x v="1"/>
    <n v="0"/>
    <n v="0"/>
    <n v="0"/>
    <n v="0"/>
    <n v="0"/>
    <n v="0"/>
    <n v="0"/>
    <n v="0"/>
    <n v="0"/>
    <n v="0"/>
    <n v="0"/>
    <n v="0"/>
    <n v="0"/>
    <n v="0"/>
    <n v="1"/>
    <n v="1473"/>
    <n v="3"/>
    <n v="3"/>
    <n v="0"/>
    <n v="0"/>
    <n v="0"/>
    <s v="N/A"/>
    <s v="NA"/>
    <n v="246"/>
    <n v="246"/>
    <n v="1"/>
    <n v="0"/>
    <n v="0"/>
    <n v="0"/>
    <n v="0"/>
    <n v="0"/>
    <n v="0"/>
    <n v="0"/>
    <n v="1"/>
    <n v="0"/>
    <n v="0"/>
    <n v="0"/>
    <n v="0"/>
    <n v="0"/>
    <n v="0"/>
    <n v="0"/>
    <x v="0"/>
    <n v="0"/>
    <n v="0"/>
    <x v="2"/>
    <x v="6"/>
    <x v="2"/>
    <n v="20.128850936889599"/>
    <n v="92.872497558593807"/>
    <n v="196208"/>
    <x v="0"/>
    <m/>
  </r>
  <r>
    <x v="0"/>
    <x v="17"/>
    <x v="18"/>
    <s v="DFID/HARP"/>
    <x v="1"/>
    <x v="18"/>
    <x v="2"/>
    <x v="261"/>
    <n v="200"/>
    <n v="1065"/>
    <m/>
    <d v="2020-09-30T00:00:00"/>
    <m/>
    <m/>
    <m/>
    <s v=" -   "/>
    <m/>
    <m/>
    <m/>
    <m/>
    <m/>
    <m/>
    <n v="7"/>
    <m/>
    <m/>
    <s v=" -   "/>
    <m/>
    <m/>
    <m/>
    <m/>
    <m/>
    <m/>
    <m/>
    <n v="7"/>
    <n v="6"/>
    <m/>
    <n v="9"/>
    <m/>
    <m/>
    <m/>
    <m/>
    <m/>
    <m/>
    <m/>
    <m/>
    <n v="0"/>
    <n v="0"/>
    <m/>
    <m/>
    <x v="0"/>
    <x v="2"/>
    <m/>
    <m/>
    <m/>
    <m/>
    <m/>
    <m/>
    <m/>
    <m/>
    <m/>
    <m/>
    <m/>
    <n v="0"/>
    <n v="0"/>
    <m/>
    <n v="22"/>
    <m/>
    <m/>
    <n v="0"/>
    <n v="0"/>
    <x v="0"/>
    <n v="0"/>
    <n v="7"/>
    <n v="0"/>
    <n v="0"/>
    <n v="0"/>
    <n v="1"/>
    <n v="1"/>
    <n v="1"/>
    <n v="1065"/>
    <n v="0"/>
    <n v="0"/>
    <n v="1"/>
    <n v="1065"/>
    <n v="2.13"/>
    <n v="0"/>
    <n v="0"/>
    <n v="0"/>
    <n v="2"/>
    <n v="0"/>
    <n v="0"/>
    <n v="0"/>
    <s v="N/A"/>
    <s v="NA"/>
    <n v="178"/>
    <n v="178"/>
    <n v="1"/>
    <n v="0"/>
    <n v="0"/>
    <n v="0"/>
    <n v="0"/>
    <n v="0"/>
    <n v="0"/>
    <n v="0"/>
    <n v="1"/>
    <n v="0"/>
    <n v="0"/>
    <n v="0"/>
    <n v="0"/>
    <n v="0"/>
    <n v="0"/>
    <n v="0"/>
    <x v="0"/>
    <n v="0"/>
    <n v="0"/>
    <x v="2"/>
    <x v="6"/>
    <x v="3"/>
    <n v="20.197549819999999"/>
    <n v="92.785682679999994"/>
    <n v="196156"/>
    <x v="0"/>
    <m/>
  </r>
  <r>
    <x v="0"/>
    <x v="16"/>
    <x v="17"/>
    <s v="EU"/>
    <x v="1"/>
    <x v="18"/>
    <x v="2"/>
    <x v="262"/>
    <n v="326"/>
    <n v="4476"/>
    <d v="2017-01-01T00:00:00"/>
    <d v="2021-12-21T00:00:00"/>
    <m/>
    <m/>
    <m/>
    <m/>
    <m/>
    <m/>
    <m/>
    <m/>
    <m/>
    <m/>
    <m/>
    <m/>
    <m/>
    <m/>
    <m/>
    <m/>
    <m/>
    <m/>
    <m/>
    <m/>
    <m/>
    <m/>
    <m/>
    <m/>
    <m/>
    <m/>
    <m/>
    <m/>
    <m/>
    <m/>
    <m/>
    <m/>
    <m/>
    <m/>
    <m/>
    <m/>
    <m/>
    <x v="1"/>
    <x v="1"/>
    <m/>
    <m/>
    <m/>
    <m/>
    <m/>
    <m/>
    <m/>
    <m/>
    <m/>
    <m/>
    <m/>
    <m/>
    <m/>
    <m/>
    <m/>
    <m/>
    <m/>
    <s v="no test"/>
    <s v="no test"/>
    <x v="1"/>
    <n v="0"/>
    <n v="0"/>
    <n v="0"/>
    <n v="0"/>
    <n v="0"/>
    <n v="0"/>
    <n v="0"/>
    <n v="0"/>
    <n v="0"/>
    <n v="0"/>
    <n v="0"/>
    <n v="0"/>
    <n v="0"/>
    <n v="0"/>
    <n v="1"/>
    <n v="4476"/>
    <n v="9"/>
    <n v="9"/>
    <n v="0"/>
    <n v="0"/>
    <n v="0"/>
    <s v="N/A"/>
    <s v="NA"/>
    <n v="746"/>
    <n v="746"/>
    <n v="1"/>
    <n v="0"/>
    <n v="0"/>
    <n v="0"/>
    <n v="0"/>
    <n v="0"/>
    <n v="0"/>
    <n v="0"/>
    <n v="1"/>
    <n v="0"/>
    <n v="0"/>
    <n v="0"/>
    <n v="0"/>
    <n v="0"/>
    <n v="0"/>
    <n v="0"/>
    <x v="0"/>
    <n v="0"/>
    <n v="0"/>
    <x v="2"/>
    <x v="6"/>
    <x v="2"/>
    <n v="20.142469406127901"/>
    <n v="92.863967895507798"/>
    <n v="196203"/>
    <x v="0"/>
    <m/>
  </r>
  <r>
    <x v="0"/>
    <x v="16"/>
    <x v="17"/>
    <s v="EU"/>
    <x v="1"/>
    <x v="18"/>
    <x v="2"/>
    <x v="263"/>
    <n v="335"/>
    <n v="1867"/>
    <d v="2017-01-01T00:00:00"/>
    <d v="2021-12-21T00:00:00"/>
    <m/>
    <m/>
    <m/>
    <m/>
    <m/>
    <m/>
    <m/>
    <m/>
    <m/>
    <m/>
    <m/>
    <m/>
    <m/>
    <m/>
    <m/>
    <m/>
    <m/>
    <m/>
    <m/>
    <m/>
    <m/>
    <m/>
    <m/>
    <m/>
    <m/>
    <m/>
    <m/>
    <m/>
    <m/>
    <m/>
    <m/>
    <m/>
    <m/>
    <m/>
    <m/>
    <m/>
    <m/>
    <x v="1"/>
    <x v="1"/>
    <m/>
    <m/>
    <m/>
    <m/>
    <m/>
    <m/>
    <m/>
    <m/>
    <m/>
    <m/>
    <m/>
    <m/>
    <m/>
    <m/>
    <m/>
    <m/>
    <m/>
    <s v="no test"/>
    <s v="no test"/>
    <x v="1"/>
    <n v="0"/>
    <n v="0"/>
    <n v="0"/>
    <n v="0"/>
    <n v="0"/>
    <n v="0"/>
    <n v="0"/>
    <n v="0"/>
    <n v="0"/>
    <n v="0"/>
    <n v="0"/>
    <n v="0"/>
    <n v="0"/>
    <n v="0"/>
    <n v="1"/>
    <n v="1867"/>
    <n v="4"/>
    <n v="4"/>
    <n v="0"/>
    <n v="0"/>
    <n v="0"/>
    <s v="N/A"/>
    <s v="NA"/>
    <n v="311"/>
    <n v="311"/>
    <n v="1"/>
    <n v="0"/>
    <n v="0"/>
    <n v="0"/>
    <n v="0"/>
    <n v="0"/>
    <n v="0"/>
    <n v="0"/>
    <n v="1"/>
    <n v="0"/>
    <n v="0"/>
    <n v="0"/>
    <n v="0"/>
    <n v="0"/>
    <n v="0"/>
    <n v="0"/>
    <x v="0"/>
    <n v="0"/>
    <n v="0"/>
    <x v="2"/>
    <x v="6"/>
    <x v="2"/>
    <n v="20.170469284057599"/>
    <n v="92.8343505859375"/>
    <n v="196202"/>
    <x v="0"/>
    <m/>
  </r>
  <r>
    <x v="0"/>
    <x v="16"/>
    <x v="17"/>
    <s v="EU"/>
    <x v="1"/>
    <x v="18"/>
    <x v="2"/>
    <x v="264"/>
    <n v="863"/>
    <n v="3768"/>
    <d v="2017-01-01T00:00:00"/>
    <d v="2021-12-21T00:00:00"/>
    <m/>
    <m/>
    <m/>
    <m/>
    <m/>
    <m/>
    <m/>
    <m/>
    <m/>
    <m/>
    <m/>
    <m/>
    <m/>
    <m/>
    <m/>
    <m/>
    <m/>
    <m/>
    <m/>
    <m/>
    <m/>
    <m/>
    <m/>
    <m/>
    <m/>
    <m/>
    <m/>
    <m/>
    <m/>
    <m/>
    <m/>
    <m/>
    <m/>
    <m/>
    <m/>
    <m/>
    <m/>
    <x v="1"/>
    <x v="1"/>
    <m/>
    <m/>
    <m/>
    <m/>
    <m/>
    <m/>
    <m/>
    <m/>
    <m/>
    <m/>
    <m/>
    <m/>
    <m/>
    <m/>
    <m/>
    <m/>
    <m/>
    <s v="no test"/>
    <s v="no test"/>
    <x v="1"/>
    <n v="0"/>
    <n v="0"/>
    <n v="0"/>
    <n v="0"/>
    <n v="0"/>
    <n v="0"/>
    <n v="0"/>
    <n v="0"/>
    <n v="0"/>
    <n v="0"/>
    <n v="0"/>
    <n v="0"/>
    <n v="0"/>
    <n v="0"/>
    <n v="1"/>
    <n v="3768"/>
    <n v="8"/>
    <n v="8"/>
    <n v="0"/>
    <n v="0"/>
    <n v="0"/>
    <s v="N/A"/>
    <s v="NA"/>
    <n v="628"/>
    <n v="628"/>
    <n v="1"/>
    <n v="0"/>
    <n v="0"/>
    <n v="0"/>
    <n v="0"/>
    <n v="0"/>
    <n v="0"/>
    <n v="0"/>
    <n v="1"/>
    <n v="0"/>
    <n v="0"/>
    <n v="0"/>
    <n v="0"/>
    <n v="0"/>
    <n v="0"/>
    <n v="0"/>
    <x v="0"/>
    <n v="0"/>
    <n v="0"/>
    <x v="2"/>
    <x v="6"/>
    <x v="2"/>
    <n v="20.168970108032202"/>
    <n v="92.826896667480497"/>
    <n v="196206"/>
    <x v="0"/>
    <m/>
  </r>
  <r>
    <x v="0"/>
    <x v="16"/>
    <x v="17"/>
    <s v="EU"/>
    <x v="1"/>
    <x v="18"/>
    <x v="2"/>
    <x v="265"/>
    <n v="310"/>
    <n v="1750"/>
    <d v="2017-01-01T00:00:00"/>
    <d v="2021-12-21T00:00:00"/>
    <m/>
    <m/>
    <m/>
    <m/>
    <m/>
    <m/>
    <m/>
    <m/>
    <m/>
    <m/>
    <m/>
    <m/>
    <m/>
    <m/>
    <m/>
    <m/>
    <m/>
    <m/>
    <m/>
    <m/>
    <m/>
    <m/>
    <m/>
    <m/>
    <m/>
    <m/>
    <m/>
    <m/>
    <m/>
    <m/>
    <m/>
    <m/>
    <m/>
    <m/>
    <m/>
    <m/>
    <m/>
    <x v="1"/>
    <x v="1"/>
    <m/>
    <m/>
    <m/>
    <m/>
    <m/>
    <m/>
    <m/>
    <m/>
    <m/>
    <m/>
    <m/>
    <m/>
    <m/>
    <m/>
    <m/>
    <m/>
    <m/>
    <s v="no test"/>
    <s v="no test"/>
    <x v="1"/>
    <n v="0"/>
    <n v="0"/>
    <n v="0"/>
    <n v="0"/>
    <n v="0"/>
    <n v="0"/>
    <n v="0"/>
    <n v="0"/>
    <n v="0"/>
    <n v="0"/>
    <n v="0"/>
    <n v="0"/>
    <n v="0"/>
    <n v="0"/>
    <n v="1"/>
    <n v="1750"/>
    <n v="4"/>
    <n v="4"/>
    <n v="0"/>
    <n v="0"/>
    <n v="0"/>
    <s v="N/A"/>
    <s v="NA"/>
    <n v="292"/>
    <n v="292"/>
    <n v="1"/>
    <n v="0"/>
    <n v="0"/>
    <n v="0"/>
    <n v="0"/>
    <n v="0"/>
    <n v="0"/>
    <n v="0"/>
    <n v="1"/>
    <n v="0"/>
    <n v="0"/>
    <n v="0"/>
    <n v="0"/>
    <n v="0"/>
    <n v="0"/>
    <n v="0"/>
    <x v="0"/>
    <n v="0"/>
    <n v="0"/>
    <x v="2"/>
    <x v="6"/>
    <x v="2"/>
    <n v="0"/>
    <n v="0"/>
    <n v="0"/>
    <x v="0"/>
    <m/>
  </r>
  <r>
    <x v="0"/>
    <x v="16"/>
    <x v="17"/>
    <s v="EU"/>
    <x v="1"/>
    <x v="19"/>
    <x v="2"/>
    <x v="266"/>
    <n v="125"/>
    <n v="513"/>
    <d v="2017-01-01T00:00:00"/>
    <d v="2021-12-21T00:00:00"/>
    <m/>
    <m/>
    <m/>
    <m/>
    <m/>
    <m/>
    <m/>
    <m/>
    <m/>
    <m/>
    <m/>
    <m/>
    <m/>
    <m/>
    <m/>
    <m/>
    <m/>
    <m/>
    <m/>
    <m/>
    <m/>
    <m/>
    <m/>
    <m/>
    <m/>
    <m/>
    <m/>
    <m/>
    <m/>
    <m/>
    <m/>
    <m/>
    <m/>
    <m/>
    <m/>
    <m/>
    <m/>
    <x v="1"/>
    <x v="1"/>
    <m/>
    <m/>
    <m/>
    <m/>
    <m/>
    <m/>
    <m/>
    <m/>
    <m/>
    <m/>
    <m/>
    <m/>
    <m/>
    <m/>
    <m/>
    <m/>
    <m/>
    <s v="no test"/>
    <s v="no test"/>
    <x v="1"/>
    <n v="0"/>
    <n v="0"/>
    <n v="0"/>
    <n v="0"/>
    <n v="0"/>
    <n v="0"/>
    <n v="0"/>
    <n v="0"/>
    <n v="0"/>
    <n v="0"/>
    <n v="0"/>
    <n v="0"/>
    <n v="0"/>
    <n v="0"/>
    <n v="1"/>
    <n v="513"/>
    <n v="1"/>
    <n v="1"/>
    <n v="0"/>
    <n v="0"/>
    <n v="0"/>
    <s v="N/A"/>
    <s v="NA"/>
    <n v="86"/>
    <n v="86"/>
    <n v="1"/>
    <n v="0"/>
    <n v="0"/>
    <n v="0"/>
    <n v="0"/>
    <n v="0"/>
    <n v="0"/>
    <n v="0"/>
    <n v="1"/>
    <n v="0"/>
    <n v="0"/>
    <n v="0"/>
    <n v="0"/>
    <n v="0"/>
    <n v="0"/>
    <n v="0"/>
    <x v="0"/>
    <n v="0"/>
    <n v="0"/>
    <x v="2"/>
    <x v="11"/>
    <x v="3"/>
    <n v="20.39902"/>
    <n v="93.249669999999995"/>
    <s v="MMR012CMP003"/>
    <x v="0"/>
    <m/>
  </r>
  <r>
    <x v="0"/>
    <x v="16"/>
    <x v="17"/>
    <s v="BMZ"/>
    <x v="1"/>
    <x v="18"/>
    <x v="2"/>
    <x v="267"/>
    <n v="92"/>
    <n v="715"/>
    <d v="2017-01-01T00:00:00"/>
    <d v="2021-12-21T00:00:00"/>
    <m/>
    <m/>
    <m/>
    <m/>
    <m/>
    <m/>
    <m/>
    <m/>
    <m/>
    <m/>
    <m/>
    <m/>
    <m/>
    <m/>
    <m/>
    <m/>
    <m/>
    <m/>
    <m/>
    <m/>
    <m/>
    <m/>
    <m/>
    <m/>
    <m/>
    <m/>
    <m/>
    <m/>
    <m/>
    <m/>
    <m/>
    <m/>
    <m/>
    <m/>
    <m/>
    <m/>
    <m/>
    <x v="1"/>
    <x v="1"/>
    <m/>
    <m/>
    <m/>
    <m/>
    <m/>
    <m/>
    <m/>
    <m/>
    <m/>
    <m/>
    <m/>
    <m/>
    <m/>
    <m/>
    <m/>
    <m/>
    <m/>
    <s v="no test"/>
    <s v="no test"/>
    <x v="1"/>
    <n v="0"/>
    <n v="0"/>
    <n v="0"/>
    <n v="0"/>
    <n v="0"/>
    <n v="0"/>
    <n v="0"/>
    <n v="0"/>
    <n v="0"/>
    <n v="0"/>
    <n v="0"/>
    <n v="0"/>
    <n v="0"/>
    <n v="0"/>
    <n v="1"/>
    <n v="715"/>
    <n v="1"/>
    <n v="1"/>
    <n v="0"/>
    <n v="0"/>
    <n v="0"/>
    <s v="N/A"/>
    <s v="NA"/>
    <n v="119"/>
    <n v="119"/>
    <n v="1"/>
    <n v="0"/>
    <n v="0"/>
    <n v="0"/>
    <n v="0"/>
    <n v="0"/>
    <n v="0"/>
    <n v="0"/>
    <n v="1"/>
    <n v="0"/>
    <n v="0"/>
    <n v="0"/>
    <n v="0"/>
    <n v="0"/>
    <n v="0"/>
    <n v="0"/>
    <x v="0"/>
    <n v="0"/>
    <n v="0"/>
    <x v="2"/>
    <x v="6"/>
    <x v="2"/>
    <n v="20.172649383544901"/>
    <n v="92.874351501464801"/>
    <n v="196195"/>
    <x v="0"/>
    <m/>
  </r>
  <r>
    <x v="0"/>
    <x v="16"/>
    <x v="17"/>
    <s v="BMZ"/>
    <x v="1"/>
    <x v="18"/>
    <x v="2"/>
    <x v="268"/>
    <n v="381"/>
    <n v="2256"/>
    <d v="2017-01-01T00:00:00"/>
    <d v="2021-12-21T00:00:00"/>
    <m/>
    <m/>
    <m/>
    <m/>
    <m/>
    <m/>
    <m/>
    <m/>
    <m/>
    <m/>
    <m/>
    <m/>
    <m/>
    <m/>
    <m/>
    <m/>
    <m/>
    <m/>
    <m/>
    <m/>
    <m/>
    <m/>
    <m/>
    <m/>
    <m/>
    <m/>
    <m/>
    <m/>
    <m/>
    <m/>
    <m/>
    <m/>
    <m/>
    <m/>
    <m/>
    <m/>
    <m/>
    <x v="1"/>
    <x v="1"/>
    <m/>
    <m/>
    <m/>
    <m/>
    <m/>
    <m/>
    <m/>
    <m/>
    <m/>
    <m/>
    <m/>
    <m/>
    <m/>
    <m/>
    <m/>
    <m/>
    <m/>
    <s v="no test"/>
    <s v="no test"/>
    <x v="1"/>
    <n v="0"/>
    <n v="0"/>
    <n v="0"/>
    <n v="0"/>
    <n v="0"/>
    <n v="0"/>
    <n v="0"/>
    <n v="0"/>
    <n v="0"/>
    <n v="0"/>
    <n v="0"/>
    <n v="0"/>
    <n v="0"/>
    <n v="0"/>
    <n v="1"/>
    <n v="2256"/>
    <n v="5"/>
    <n v="5"/>
    <n v="0"/>
    <n v="0"/>
    <n v="0"/>
    <s v="N/A"/>
    <s v="NA"/>
    <n v="376"/>
    <n v="376"/>
    <n v="1"/>
    <n v="0"/>
    <n v="0"/>
    <n v="0"/>
    <n v="0"/>
    <n v="0"/>
    <n v="0"/>
    <n v="0"/>
    <n v="1"/>
    <n v="0"/>
    <n v="0"/>
    <n v="0"/>
    <n v="0"/>
    <n v="0"/>
    <n v="0"/>
    <n v="0"/>
    <x v="0"/>
    <n v="0"/>
    <n v="0"/>
    <x v="2"/>
    <x v="6"/>
    <x v="2"/>
    <n v="20.183790210000002"/>
    <n v="92.864143369999994"/>
    <n v="196197"/>
    <x v="0"/>
    <m/>
  </r>
  <r>
    <x v="0"/>
    <x v="16"/>
    <x v="17"/>
    <s v="BMZ"/>
    <x v="1"/>
    <x v="18"/>
    <x v="2"/>
    <x v="269"/>
    <n v="2100"/>
    <n v="12993"/>
    <d v="2017-01-01T00:00:00"/>
    <d v="2021-12-21T00:00:00"/>
    <m/>
    <m/>
    <m/>
    <m/>
    <m/>
    <m/>
    <m/>
    <m/>
    <m/>
    <m/>
    <m/>
    <m/>
    <m/>
    <m/>
    <m/>
    <m/>
    <m/>
    <m/>
    <m/>
    <m/>
    <m/>
    <m/>
    <m/>
    <m/>
    <m/>
    <m/>
    <m/>
    <m/>
    <m/>
    <m/>
    <m/>
    <m/>
    <m/>
    <m/>
    <m/>
    <m/>
    <m/>
    <x v="1"/>
    <x v="1"/>
    <m/>
    <m/>
    <m/>
    <m/>
    <m/>
    <m/>
    <m/>
    <m/>
    <m/>
    <m/>
    <m/>
    <m/>
    <m/>
    <m/>
    <m/>
    <m/>
    <m/>
    <s v="no test"/>
    <s v="no test"/>
    <x v="1"/>
    <n v="0"/>
    <n v="0"/>
    <n v="0"/>
    <n v="0"/>
    <n v="0"/>
    <n v="0"/>
    <n v="0"/>
    <n v="0"/>
    <n v="0"/>
    <n v="0"/>
    <n v="0"/>
    <n v="0"/>
    <n v="0"/>
    <n v="0"/>
    <n v="1"/>
    <n v="12993"/>
    <n v="26"/>
    <n v="26"/>
    <n v="0"/>
    <n v="0"/>
    <n v="0"/>
    <s v="N/A"/>
    <s v="NA"/>
    <n v="2166"/>
    <n v="2166"/>
    <n v="1"/>
    <n v="0"/>
    <n v="0"/>
    <n v="0"/>
    <n v="0"/>
    <n v="0"/>
    <n v="0"/>
    <n v="0"/>
    <n v="1"/>
    <n v="0"/>
    <n v="0"/>
    <n v="0"/>
    <n v="0"/>
    <n v="0"/>
    <n v="0"/>
    <n v="0"/>
    <x v="0"/>
    <n v="0"/>
    <n v="0"/>
    <x v="2"/>
    <x v="6"/>
    <x v="3"/>
    <n v="0"/>
    <n v="0"/>
    <n v="0"/>
    <x v="0"/>
    <m/>
  </r>
  <r>
    <x v="0"/>
    <x v="16"/>
    <x v="17"/>
    <s v="EU"/>
    <x v="1"/>
    <x v="19"/>
    <x v="2"/>
    <x v="270"/>
    <n v="325"/>
    <n v="1923"/>
    <d v="2017-01-01T00:00:00"/>
    <d v="2021-12-21T00:00:00"/>
    <m/>
    <m/>
    <m/>
    <m/>
    <m/>
    <m/>
    <m/>
    <m/>
    <m/>
    <m/>
    <m/>
    <m/>
    <m/>
    <m/>
    <m/>
    <m/>
    <m/>
    <m/>
    <m/>
    <m/>
    <m/>
    <m/>
    <m/>
    <m/>
    <m/>
    <m/>
    <m/>
    <m/>
    <m/>
    <m/>
    <m/>
    <m/>
    <m/>
    <m/>
    <m/>
    <m/>
    <m/>
    <x v="1"/>
    <x v="1"/>
    <m/>
    <m/>
    <m/>
    <m/>
    <m/>
    <m/>
    <m/>
    <m/>
    <m/>
    <m/>
    <m/>
    <m/>
    <m/>
    <m/>
    <m/>
    <m/>
    <m/>
    <s v="no test"/>
    <s v="no test"/>
    <x v="1"/>
    <n v="0"/>
    <n v="0"/>
    <n v="0"/>
    <n v="0"/>
    <n v="0"/>
    <n v="0"/>
    <n v="0"/>
    <n v="0"/>
    <n v="0"/>
    <n v="0"/>
    <n v="0"/>
    <n v="0"/>
    <n v="0"/>
    <n v="0"/>
    <n v="1"/>
    <n v="1923"/>
    <n v="4"/>
    <n v="4"/>
    <n v="0"/>
    <n v="0"/>
    <n v="0"/>
    <s v="N/A"/>
    <s v="NA"/>
    <n v="321"/>
    <n v="321"/>
    <n v="1"/>
    <n v="0"/>
    <n v="0"/>
    <n v="0"/>
    <n v="0"/>
    <n v="0"/>
    <n v="0"/>
    <n v="0"/>
    <n v="1"/>
    <n v="0"/>
    <n v="0"/>
    <n v="0"/>
    <n v="0"/>
    <n v="0"/>
    <n v="0"/>
    <n v="0"/>
    <x v="0"/>
    <n v="0"/>
    <n v="0"/>
    <x v="2"/>
    <x v="6"/>
    <x v="3"/>
    <n v="0"/>
    <n v="0"/>
    <n v="196999"/>
    <x v="0"/>
    <m/>
  </r>
  <r>
    <x v="0"/>
    <x v="16"/>
    <x v="17"/>
    <s v="EU"/>
    <x v="1"/>
    <x v="19"/>
    <x v="2"/>
    <x v="271"/>
    <n v="146"/>
    <n v="801"/>
    <d v="2017-01-01T00:00:00"/>
    <d v="2021-12-21T00:00:00"/>
    <m/>
    <m/>
    <m/>
    <m/>
    <m/>
    <m/>
    <m/>
    <m/>
    <m/>
    <m/>
    <m/>
    <m/>
    <m/>
    <m/>
    <m/>
    <m/>
    <m/>
    <m/>
    <m/>
    <m/>
    <m/>
    <m/>
    <m/>
    <m/>
    <m/>
    <m/>
    <m/>
    <m/>
    <m/>
    <m/>
    <m/>
    <m/>
    <m/>
    <m/>
    <m/>
    <m/>
    <m/>
    <x v="1"/>
    <x v="1"/>
    <m/>
    <m/>
    <m/>
    <m/>
    <m/>
    <m/>
    <m/>
    <m/>
    <m/>
    <m/>
    <m/>
    <m/>
    <m/>
    <m/>
    <m/>
    <m/>
    <m/>
    <s v="no test"/>
    <s v="no test"/>
    <x v="1"/>
    <n v="0"/>
    <n v="0"/>
    <n v="0"/>
    <n v="0"/>
    <n v="0"/>
    <n v="0"/>
    <n v="0"/>
    <n v="0"/>
    <n v="0"/>
    <n v="0"/>
    <n v="0"/>
    <n v="0"/>
    <n v="0"/>
    <n v="0"/>
    <n v="1"/>
    <n v="801"/>
    <n v="2"/>
    <n v="2"/>
    <n v="0"/>
    <n v="0"/>
    <n v="0"/>
    <s v="N/A"/>
    <s v="NA"/>
    <n v="134"/>
    <n v="134"/>
    <n v="1"/>
    <n v="0"/>
    <n v="0"/>
    <n v="0"/>
    <n v="0"/>
    <n v="0"/>
    <n v="0"/>
    <n v="0"/>
    <n v="1"/>
    <n v="0"/>
    <n v="0"/>
    <n v="0"/>
    <n v="0"/>
    <n v="0"/>
    <n v="0"/>
    <n v="0"/>
    <x v="0"/>
    <n v="0"/>
    <n v="0"/>
    <x v="2"/>
    <x v="6"/>
    <x v="2"/>
    <n v="0"/>
    <n v="0"/>
    <n v="197017"/>
    <x v="0"/>
    <m/>
  </r>
  <r>
    <x v="0"/>
    <x v="16"/>
    <x v="17"/>
    <s v="EU"/>
    <x v="1"/>
    <x v="19"/>
    <x v="2"/>
    <x v="272"/>
    <n v="31"/>
    <n v="156"/>
    <d v="2017-01-01T00:00:00"/>
    <d v="2021-12-21T00:00:00"/>
    <m/>
    <m/>
    <m/>
    <m/>
    <m/>
    <m/>
    <m/>
    <m/>
    <m/>
    <m/>
    <m/>
    <m/>
    <m/>
    <m/>
    <m/>
    <m/>
    <m/>
    <m/>
    <m/>
    <m/>
    <m/>
    <m/>
    <m/>
    <m/>
    <m/>
    <m/>
    <m/>
    <m/>
    <m/>
    <m/>
    <m/>
    <m/>
    <m/>
    <m/>
    <m/>
    <m/>
    <m/>
    <x v="1"/>
    <x v="1"/>
    <m/>
    <m/>
    <m/>
    <m/>
    <m/>
    <m/>
    <m/>
    <m/>
    <m/>
    <m/>
    <m/>
    <m/>
    <m/>
    <m/>
    <m/>
    <m/>
    <m/>
    <s v="no test"/>
    <s v="no test"/>
    <x v="1"/>
    <n v="0"/>
    <n v="0"/>
    <n v="0"/>
    <n v="0"/>
    <n v="0"/>
    <n v="0"/>
    <n v="0"/>
    <n v="0"/>
    <n v="0"/>
    <n v="0"/>
    <n v="0"/>
    <n v="0"/>
    <n v="0"/>
    <n v="0"/>
    <n v="1"/>
    <n v="156"/>
    <n v="1"/>
    <n v="1"/>
    <n v="0"/>
    <n v="0"/>
    <n v="0"/>
    <s v="N/A"/>
    <s v="NA"/>
    <n v="26"/>
    <n v="26"/>
    <n v="1"/>
    <n v="0"/>
    <n v="0"/>
    <n v="0"/>
    <n v="0"/>
    <n v="0"/>
    <n v="0"/>
    <n v="0"/>
    <n v="1"/>
    <n v="0"/>
    <n v="0"/>
    <n v="0"/>
    <n v="0"/>
    <n v="0"/>
    <n v="0"/>
    <n v="0"/>
    <x v="0"/>
    <n v="0"/>
    <n v="0"/>
    <x v="2"/>
    <x v="6"/>
    <x v="2"/>
    <n v="0"/>
    <n v="0"/>
    <n v="197022"/>
    <x v="0"/>
    <m/>
  </r>
  <r>
    <x v="0"/>
    <x v="16"/>
    <x v="17"/>
    <s v="EU"/>
    <x v="1"/>
    <x v="19"/>
    <x v="2"/>
    <x v="273"/>
    <n v="96"/>
    <n v="329"/>
    <d v="2017-01-01T00:00:00"/>
    <d v="2021-12-21T00:00:00"/>
    <m/>
    <m/>
    <m/>
    <m/>
    <m/>
    <m/>
    <m/>
    <m/>
    <m/>
    <m/>
    <m/>
    <m/>
    <m/>
    <m/>
    <m/>
    <m/>
    <m/>
    <m/>
    <m/>
    <m/>
    <m/>
    <m/>
    <m/>
    <m/>
    <m/>
    <m/>
    <m/>
    <m/>
    <m/>
    <m/>
    <m/>
    <m/>
    <m/>
    <m/>
    <m/>
    <m/>
    <m/>
    <x v="1"/>
    <x v="1"/>
    <m/>
    <m/>
    <m/>
    <m/>
    <m/>
    <m/>
    <m/>
    <m/>
    <m/>
    <m/>
    <m/>
    <m/>
    <m/>
    <m/>
    <m/>
    <m/>
    <m/>
    <s v="no test"/>
    <s v="no test"/>
    <x v="1"/>
    <n v="0"/>
    <n v="0"/>
    <n v="0"/>
    <n v="0"/>
    <n v="0"/>
    <n v="0"/>
    <n v="0"/>
    <n v="0"/>
    <n v="0"/>
    <n v="0"/>
    <n v="0"/>
    <n v="0"/>
    <n v="0"/>
    <n v="0"/>
    <n v="1"/>
    <n v="329"/>
    <n v="1"/>
    <n v="1"/>
    <n v="0"/>
    <n v="0"/>
    <n v="0"/>
    <s v="N/A"/>
    <s v="NA"/>
    <n v="55"/>
    <n v="55"/>
    <n v="1"/>
    <n v="0"/>
    <n v="0"/>
    <n v="0"/>
    <n v="0"/>
    <n v="0"/>
    <n v="0"/>
    <n v="0"/>
    <n v="1"/>
    <n v="0"/>
    <n v="0"/>
    <n v="0"/>
    <n v="0"/>
    <n v="0"/>
    <n v="0"/>
    <n v="0"/>
    <x v="0"/>
    <n v="0"/>
    <n v="0"/>
    <x v="2"/>
    <x v="6"/>
    <x v="2"/>
    <n v="0"/>
    <n v="0"/>
    <n v="197020"/>
    <x v="0"/>
    <m/>
  </r>
  <r>
    <x v="0"/>
    <x v="16"/>
    <x v="17"/>
    <s v="EU"/>
    <x v="1"/>
    <x v="19"/>
    <x v="2"/>
    <x v="274"/>
    <n v="37"/>
    <n v="119"/>
    <d v="2017-01-01T00:00:00"/>
    <d v="2021-12-21T00:00:00"/>
    <m/>
    <m/>
    <m/>
    <m/>
    <m/>
    <m/>
    <m/>
    <m/>
    <m/>
    <m/>
    <m/>
    <m/>
    <m/>
    <m/>
    <m/>
    <m/>
    <m/>
    <m/>
    <m/>
    <m/>
    <m/>
    <m/>
    <m/>
    <m/>
    <m/>
    <m/>
    <m/>
    <m/>
    <m/>
    <m/>
    <m/>
    <m/>
    <m/>
    <m/>
    <m/>
    <m/>
    <m/>
    <x v="1"/>
    <x v="1"/>
    <m/>
    <m/>
    <m/>
    <m/>
    <m/>
    <m/>
    <m/>
    <m/>
    <m/>
    <m/>
    <m/>
    <m/>
    <m/>
    <m/>
    <m/>
    <m/>
    <m/>
    <s v="no test"/>
    <s v="no test"/>
    <x v="1"/>
    <n v="0"/>
    <n v="0"/>
    <n v="0"/>
    <n v="0"/>
    <n v="0"/>
    <n v="0"/>
    <n v="0"/>
    <n v="0"/>
    <n v="0"/>
    <n v="0"/>
    <n v="0"/>
    <n v="0"/>
    <n v="0"/>
    <n v="0"/>
    <n v="1"/>
    <n v="119"/>
    <n v="1"/>
    <n v="1"/>
    <n v="0"/>
    <n v="0"/>
    <n v="0"/>
    <s v="N/A"/>
    <s v="NA"/>
    <n v="20"/>
    <n v="20"/>
    <n v="1"/>
    <n v="0"/>
    <n v="0"/>
    <n v="0"/>
    <n v="0"/>
    <n v="0"/>
    <n v="0"/>
    <n v="0"/>
    <n v="1"/>
    <n v="0"/>
    <n v="0"/>
    <n v="0"/>
    <n v="0"/>
    <n v="0"/>
    <n v="0"/>
    <n v="0"/>
    <x v="0"/>
    <n v="0"/>
    <n v="0"/>
    <x v="2"/>
    <x v="6"/>
    <x v="2"/>
    <n v="0"/>
    <n v="0"/>
    <n v="197027"/>
    <x v="0"/>
    <m/>
  </r>
  <r>
    <x v="0"/>
    <x v="16"/>
    <x v="17"/>
    <s v="EU"/>
    <x v="1"/>
    <x v="19"/>
    <x v="2"/>
    <x v="275"/>
    <n v="167"/>
    <n v="1027"/>
    <d v="2017-01-01T00:00:00"/>
    <d v="2021-12-21T00:00:00"/>
    <m/>
    <m/>
    <m/>
    <m/>
    <m/>
    <m/>
    <m/>
    <m/>
    <m/>
    <m/>
    <m/>
    <m/>
    <m/>
    <m/>
    <m/>
    <m/>
    <m/>
    <m/>
    <m/>
    <m/>
    <m/>
    <m/>
    <m/>
    <m/>
    <m/>
    <m/>
    <m/>
    <m/>
    <m/>
    <m/>
    <m/>
    <m/>
    <m/>
    <m/>
    <m/>
    <m/>
    <m/>
    <x v="1"/>
    <x v="1"/>
    <m/>
    <m/>
    <m/>
    <m/>
    <m/>
    <m/>
    <m/>
    <m/>
    <m/>
    <m/>
    <m/>
    <m/>
    <m/>
    <m/>
    <m/>
    <m/>
    <m/>
    <s v="no test"/>
    <s v="no test"/>
    <x v="1"/>
    <n v="0"/>
    <n v="0"/>
    <n v="0"/>
    <n v="0"/>
    <n v="0"/>
    <n v="0"/>
    <n v="0"/>
    <n v="0"/>
    <n v="0"/>
    <n v="0"/>
    <n v="0"/>
    <n v="0"/>
    <n v="0"/>
    <n v="0"/>
    <n v="1"/>
    <n v="1027"/>
    <n v="2"/>
    <n v="2"/>
    <n v="0"/>
    <n v="0"/>
    <n v="0"/>
    <s v="N/A"/>
    <s v="NA"/>
    <n v="171"/>
    <n v="171"/>
    <n v="1"/>
    <n v="0"/>
    <n v="0"/>
    <n v="0"/>
    <n v="0"/>
    <n v="0"/>
    <n v="0"/>
    <n v="0"/>
    <n v="1"/>
    <n v="0"/>
    <n v="0"/>
    <n v="0"/>
    <n v="0"/>
    <n v="0"/>
    <n v="0"/>
    <n v="0"/>
    <x v="0"/>
    <n v="0"/>
    <n v="0"/>
    <x v="2"/>
    <x v="6"/>
    <x v="2"/>
    <n v="0"/>
    <n v="0"/>
    <n v="197028"/>
    <x v="0"/>
    <m/>
  </r>
  <r>
    <x v="0"/>
    <x v="16"/>
    <x v="17"/>
    <s v="EU"/>
    <x v="1"/>
    <x v="19"/>
    <x v="2"/>
    <x v="276"/>
    <n v="90"/>
    <n v="414"/>
    <d v="2017-01-01T00:00:00"/>
    <d v="2021-12-21T00:00:00"/>
    <m/>
    <m/>
    <m/>
    <m/>
    <m/>
    <m/>
    <m/>
    <m/>
    <m/>
    <m/>
    <m/>
    <m/>
    <m/>
    <m/>
    <m/>
    <m/>
    <m/>
    <m/>
    <m/>
    <m/>
    <m/>
    <m/>
    <m/>
    <m/>
    <m/>
    <m/>
    <m/>
    <m/>
    <m/>
    <m/>
    <m/>
    <m/>
    <m/>
    <m/>
    <m/>
    <m/>
    <m/>
    <x v="1"/>
    <x v="1"/>
    <m/>
    <m/>
    <m/>
    <m/>
    <m/>
    <m/>
    <m/>
    <m/>
    <m/>
    <m/>
    <m/>
    <m/>
    <m/>
    <m/>
    <m/>
    <m/>
    <m/>
    <s v="no test"/>
    <s v="no test"/>
    <x v="1"/>
    <n v="0"/>
    <n v="0"/>
    <n v="0"/>
    <n v="0"/>
    <n v="0"/>
    <n v="0"/>
    <n v="0"/>
    <n v="0"/>
    <n v="0"/>
    <n v="0"/>
    <n v="0"/>
    <n v="0"/>
    <n v="0"/>
    <n v="0"/>
    <n v="1"/>
    <n v="414"/>
    <n v="1"/>
    <n v="1"/>
    <n v="0"/>
    <n v="0"/>
    <n v="0"/>
    <s v="N/A"/>
    <s v="NA"/>
    <n v="69"/>
    <n v="69"/>
    <n v="1"/>
    <n v="0"/>
    <n v="0"/>
    <n v="0"/>
    <n v="0"/>
    <n v="0"/>
    <n v="0"/>
    <n v="0"/>
    <n v="1"/>
    <n v="0"/>
    <n v="0"/>
    <n v="0"/>
    <n v="0"/>
    <n v="0"/>
    <n v="0"/>
    <n v="0"/>
    <x v="0"/>
    <n v="0"/>
    <n v="0"/>
    <x v="2"/>
    <x v="6"/>
    <x v="2"/>
    <n v="0"/>
    <n v="0"/>
    <n v="197034"/>
    <x v="0"/>
    <m/>
  </r>
  <r>
    <x v="0"/>
    <x v="16"/>
    <x v="17"/>
    <s v="EU"/>
    <x v="1"/>
    <x v="19"/>
    <x v="2"/>
    <x v="277"/>
    <n v="78"/>
    <n v="308"/>
    <d v="2017-01-01T00:00:00"/>
    <d v="2021-12-21T00:00:00"/>
    <m/>
    <m/>
    <m/>
    <m/>
    <m/>
    <m/>
    <m/>
    <m/>
    <m/>
    <m/>
    <m/>
    <m/>
    <m/>
    <m/>
    <m/>
    <m/>
    <m/>
    <m/>
    <m/>
    <m/>
    <m/>
    <m/>
    <m/>
    <m/>
    <m/>
    <m/>
    <m/>
    <m/>
    <m/>
    <m/>
    <m/>
    <m/>
    <m/>
    <m/>
    <m/>
    <m/>
    <m/>
    <x v="1"/>
    <x v="1"/>
    <m/>
    <m/>
    <m/>
    <m/>
    <m/>
    <m/>
    <m/>
    <m/>
    <m/>
    <m/>
    <m/>
    <m/>
    <m/>
    <m/>
    <m/>
    <m/>
    <m/>
    <s v="no test"/>
    <s v="no test"/>
    <x v="1"/>
    <n v="0"/>
    <n v="0"/>
    <n v="0"/>
    <n v="0"/>
    <n v="0"/>
    <n v="0"/>
    <n v="0"/>
    <n v="0"/>
    <n v="0"/>
    <n v="0"/>
    <n v="0"/>
    <n v="0"/>
    <n v="0"/>
    <n v="0"/>
    <n v="1"/>
    <n v="308"/>
    <n v="1"/>
    <n v="1"/>
    <n v="0"/>
    <n v="0"/>
    <n v="0"/>
    <s v="N/A"/>
    <s v="NA"/>
    <n v="51"/>
    <n v="51"/>
    <n v="1"/>
    <n v="0"/>
    <n v="0"/>
    <n v="0"/>
    <n v="0"/>
    <n v="0"/>
    <n v="0"/>
    <n v="0"/>
    <n v="1"/>
    <n v="0"/>
    <n v="0"/>
    <n v="0"/>
    <n v="0"/>
    <n v="0"/>
    <n v="0"/>
    <n v="0"/>
    <x v="0"/>
    <n v="0"/>
    <n v="0"/>
    <x v="2"/>
    <x v="6"/>
    <x v="2"/>
    <n v="0"/>
    <n v="0"/>
    <n v="197036"/>
    <x v="0"/>
    <m/>
  </r>
  <r>
    <x v="0"/>
    <x v="16"/>
    <x v="17"/>
    <s v="EU"/>
    <x v="1"/>
    <x v="19"/>
    <x v="2"/>
    <x v="278"/>
    <n v="85"/>
    <n v="413"/>
    <d v="2017-01-01T00:00:00"/>
    <d v="2021-12-21T00:00:00"/>
    <m/>
    <m/>
    <m/>
    <m/>
    <m/>
    <m/>
    <m/>
    <m/>
    <m/>
    <m/>
    <m/>
    <m/>
    <m/>
    <m/>
    <m/>
    <m/>
    <m/>
    <m/>
    <m/>
    <m/>
    <m/>
    <m/>
    <m/>
    <m/>
    <m/>
    <m/>
    <m/>
    <m/>
    <m/>
    <m/>
    <m/>
    <m/>
    <m/>
    <m/>
    <m/>
    <m/>
    <m/>
    <x v="1"/>
    <x v="1"/>
    <m/>
    <m/>
    <m/>
    <m/>
    <m/>
    <m/>
    <m/>
    <m/>
    <m/>
    <m/>
    <m/>
    <m/>
    <m/>
    <m/>
    <m/>
    <m/>
    <m/>
    <s v="no test"/>
    <s v="no test"/>
    <x v="1"/>
    <n v="0"/>
    <n v="0"/>
    <n v="0"/>
    <n v="0"/>
    <n v="0"/>
    <n v="0"/>
    <n v="0"/>
    <n v="0"/>
    <n v="0"/>
    <n v="0"/>
    <n v="0"/>
    <n v="0"/>
    <n v="0"/>
    <n v="0"/>
    <n v="1"/>
    <n v="413"/>
    <n v="1"/>
    <n v="1"/>
    <n v="0"/>
    <n v="0"/>
    <n v="0"/>
    <s v="N/A"/>
    <s v="NA"/>
    <n v="69"/>
    <n v="69"/>
    <n v="1"/>
    <n v="0"/>
    <n v="0"/>
    <n v="0"/>
    <n v="0"/>
    <n v="0"/>
    <n v="0"/>
    <n v="0"/>
    <n v="1"/>
    <n v="0"/>
    <n v="0"/>
    <n v="0"/>
    <n v="0"/>
    <n v="0"/>
    <n v="0"/>
    <n v="0"/>
    <x v="0"/>
    <n v="0"/>
    <n v="0"/>
    <x v="2"/>
    <x v="6"/>
    <x v="2"/>
    <n v="0"/>
    <n v="0"/>
    <n v="197033"/>
    <x v="0"/>
    <m/>
  </r>
  <r>
    <x v="0"/>
    <x v="16"/>
    <x v="17"/>
    <s v="EU"/>
    <x v="1"/>
    <x v="19"/>
    <x v="2"/>
    <x v="279"/>
    <n v="353"/>
    <n v="2111"/>
    <d v="2017-01-01T00:00:00"/>
    <d v="2021-12-21T00:00:00"/>
    <m/>
    <m/>
    <m/>
    <m/>
    <m/>
    <m/>
    <m/>
    <m/>
    <m/>
    <m/>
    <m/>
    <m/>
    <m/>
    <m/>
    <m/>
    <m/>
    <m/>
    <m/>
    <m/>
    <m/>
    <m/>
    <m/>
    <m/>
    <m/>
    <m/>
    <m/>
    <m/>
    <m/>
    <m/>
    <m/>
    <m/>
    <m/>
    <m/>
    <m/>
    <m/>
    <m/>
    <m/>
    <x v="1"/>
    <x v="1"/>
    <m/>
    <m/>
    <m/>
    <m/>
    <m/>
    <m/>
    <m/>
    <m/>
    <m/>
    <m/>
    <m/>
    <m/>
    <m/>
    <m/>
    <m/>
    <m/>
    <m/>
    <s v="no test"/>
    <s v="no test"/>
    <x v="1"/>
    <n v="0"/>
    <n v="0"/>
    <n v="0"/>
    <n v="0"/>
    <n v="0"/>
    <n v="0"/>
    <n v="0"/>
    <n v="0"/>
    <n v="0"/>
    <n v="0"/>
    <n v="0"/>
    <n v="0"/>
    <n v="0"/>
    <n v="0"/>
    <n v="1"/>
    <n v="2111"/>
    <n v="4"/>
    <n v="4"/>
    <n v="0"/>
    <n v="0"/>
    <n v="0"/>
    <s v="N/A"/>
    <s v="NA"/>
    <n v="352"/>
    <n v="352"/>
    <n v="1"/>
    <n v="0"/>
    <n v="0"/>
    <n v="0"/>
    <n v="0"/>
    <n v="0"/>
    <n v="0"/>
    <n v="0"/>
    <n v="1"/>
    <n v="0"/>
    <n v="0"/>
    <n v="0"/>
    <n v="0"/>
    <n v="0"/>
    <n v="0"/>
    <n v="0"/>
    <x v="0"/>
    <n v="0"/>
    <n v="0"/>
    <x v="2"/>
    <x v="6"/>
    <x v="2"/>
    <n v="0"/>
    <n v="0"/>
    <n v="197040"/>
    <x v="0"/>
    <m/>
  </r>
  <r>
    <x v="0"/>
    <x v="16"/>
    <x v="17"/>
    <s v="EU"/>
    <x v="1"/>
    <x v="19"/>
    <x v="2"/>
    <x v="280"/>
    <n v="295"/>
    <n v="1698"/>
    <d v="2017-01-01T00:00:00"/>
    <d v="2021-12-21T00:00:00"/>
    <m/>
    <m/>
    <m/>
    <m/>
    <m/>
    <m/>
    <m/>
    <m/>
    <m/>
    <m/>
    <m/>
    <m/>
    <m/>
    <m/>
    <m/>
    <m/>
    <m/>
    <m/>
    <m/>
    <m/>
    <m/>
    <m/>
    <m/>
    <m/>
    <m/>
    <m/>
    <m/>
    <m/>
    <m/>
    <m/>
    <m/>
    <m/>
    <m/>
    <m/>
    <m/>
    <m/>
    <m/>
    <x v="1"/>
    <x v="1"/>
    <m/>
    <m/>
    <m/>
    <m/>
    <m/>
    <m/>
    <m/>
    <m/>
    <m/>
    <m/>
    <m/>
    <m/>
    <m/>
    <m/>
    <m/>
    <m/>
    <m/>
    <s v="no test"/>
    <s v="no test"/>
    <x v="1"/>
    <n v="0"/>
    <n v="0"/>
    <n v="0"/>
    <n v="0"/>
    <n v="0"/>
    <n v="0"/>
    <n v="0"/>
    <n v="0"/>
    <n v="0"/>
    <n v="0"/>
    <n v="0"/>
    <n v="0"/>
    <n v="0"/>
    <n v="0"/>
    <n v="1"/>
    <n v="1698"/>
    <n v="3"/>
    <n v="3"/>
    <n v="0"/>
    <n v="0"/>
    <n v="0"/>
    <s v="N/A"/>
    <s v="NA"/>
    <n v="283"/>
    <n v="283"/>
    <n v="1"/>
    <n v="0"/>
    <n v="0"/>
    <n v="0"/>
    <n v="0"/>
    <n v="0"/>
    <n v="0"/>
    <n v="0"/>
    <n v="1"/>
    <n v="0"/>
    <n v="0"/>
    <n v="0"/>
    <n v="0"/>
    <n v="0"/>
    <n v="0"/>
    <n v="0"/>
    <x v="0"/>
    <n v="0"/>
    <n v="0"/>
    <x v="2"/>
    <x v="6"/>
    <x v="2"/>
    <n v="0"/>
    <n v="0"/>
    <n v="197039"/>
    <x v="0"/>
    <m/>
  </r>
  <r>
    <x v="0"/>
    <x v="16"/>
    <x v="17"/>
    <s v="EU"/>
    <x v="1"/>
    <x v="19"/>
    <x v="2"/>
    <x v="281"/>
    <n v="140"/>
    <n v="985"/>
    <d v="2017-01-01T00:00:00"/>
    <d v="2021-12-21T00:00:00"/>
    <m/>
    <m/>
    <m/>
    <m/>
    <m/>
    <m/>
    <m/>
    <m/>
    <m/>
    <m/>
    <m/>
    <m/>
    <m/>
    <m/>
    <m/>
    <m/>
    <m/>
    <m/>
    <m/>
    <m/>
    <m/>
    <m/>
    <m/>
    <m/>
    <m/>
    <m/>
    <m/>
    <m/>
    <m/>
    <m/>
    <m/>
    <m/>
    <m/>
    <m/>
    <m/>
    <m/>
    <m/>
    <x v="1"/>
    <x v="1"/>
    <m/>
    <m/>
    <m/>
    <m/>
    <m/>
    <m/>
    <m/>
    <m/>
    <m/>
    <m/>
    <m/>
    <m/>
    <m/>
    <m/>
    <m/>
    <m/>
    <m/>
    <s v="no test"/>
    <s v="no test"/>
    <x v="1"/>
    <n v="0"/>
    <n v="0"/>
    <n v="0"/>
    <n v="0"/>
    <n v="0"/>
    <n v="0"/>
    <n v="0"/>
    <n v="0"/>
    <n v="0"/>
    <n v="0"/>
    <n v="0"/>
    <n v="0"/>
    <n v="0"/>
    <n v="0"/>
    <n v="1"/>
    <n v="985"/>
    <n v="2"/>
    <n v="2"/>
    <n v="0"/>
    <n v="0"/>
    <n v="0"/>
    <s v="N/A"/>
    <s v="NA"/>
    <n v="164"/>
    <n v="164"/>
    <n v="1"/>
    <n v="0"/>
    <n v="0"/>
    <n v="0"/>
    <n v="0"/>
    <n v="0"/>
    <n v="0"/>
    <n v="0"/>
    <n v="1"/>
    <n v="0"/>
    <n v="0"/>
    <n v="0"/>
    <n v="0"/>
    <n v="0"/>
    <n v="0"/>
    <n v="0"/>
    <x v="0"/>
    <n v="0"/>
    <n v="0"/>
    <x v="2"/>
    <x v="6"/>
    <x v="2"/>
    <n v="0"/>
    <n v="0"/>
    <n v="197041"/>
    <x v="0"/>
    <m/>
  </r>
  <r>
    <x v="0"/>
    <x v="16"/>
    <x v="17"/>
    <s v="EU"/>
    <x v="1"/>
    <x v="19"/>
    <x v="2"/>
    <x v="282"/>
    <n v="157"/>
    <n v="735"/>
    <d v="2017-01-01T00:00:00"/>
    <d v="2021-12-21T00:00:00"/>
    <m/>
    <m/>
    <m/>
    <m/>
    <m/>
    <m/>
    <m/>
    <m/>
    <m/>
    <m/>
    <m/>
    <m/>
    <m/>
    <m/>
    <m/>
    <m/>
    <m/>
    <m/>
    <m/>
    <m/>
    <m/>
    <m/>
    <m/>
    <m/>
    <m/>
    <m/>
    <m/>
    <m/>
    <m/>
    <m/>
    <m/>
    <m/>
    <m/>
    <m/>
    <m/>
    <m/>
    <m/>
    <x v="1"/>
    <x v="1"/>
    <m/>
    <m/>
    <m/>
    <m/>
    <m/>
    <m/>
    <m/>
    <m/>
    <m/>
    <m/>
    <m/>
    <m/>
    <m/>
    <m/>
    <m/>
    <m/>
    <m/>
    <s v="no test"/>
    <s v="no test"/>
    <x v="1"/>
    <n v="0"/>
    <n v="0"/>
    <n v="0"/>
    <n v="0"/>
    <n v="0"/>
    <n v="0"/>
    <n v="0"/>
    <n v="0"/>
    <n v="0"/>
    <n v="0"/>
    <n v="0"/>
    <n v="0"/>
    <n v="0"/>
    <n v="0"/>
    <n v="1"/>
    <n v="735"/>
    <n v="1"/>
    <n v="1"/>
    <n v="0"/>
    <n v="0"/>
    <n v="0"/>
    <s v="N/A"/>
    <s v="NA"/>
    <n v="123"/>
    <n v="123"/>
    <n v="1"/>
    <n v="0"/>
    <n v="0"/>
    <n v="0"/>
    <n v="0"/>
    <n v="0"/>
    <n v="0"/>
    <n v="0"/>
    <n v="1"/>
    <n v="0"/>
    <n v="0"/>
    <n v="0"/>
    <n v="0"/>
    <n v="0"/>
    <n v="0"/>
    <n v="0"/>
    <x v="0"/>
    <n v="0"/>
    <n v="0"/>
    <x v="2"/>
    <x v="6"/>
    <x v="2"/>
    <n v="0"/>
    <n v="0"/>
    <n v="197042"/>
    <x v="0"/>
    <m/>
  </r>
  <r>
    <x v="0"/>
    <x v="16"/>
    <x v="17"/>
    <s v="EU"/>
    <x v="1"/>
    <x v="19"/>
    <x v="2"/>
    <x v="283"/>
    <n v="35"/>
    <n v="142"/>
    <d v="2017-01-01T00:00:00"/>
    <d v="2021-12-21T00:00:00"/>
    <m/>
    <m/>
    <m/>
    <m/>
    <m/>
    <m/>
    <m/>
    <m/>
    <m/>
    <m/>
    <m/>
    <m/>
    <m/>
    <m/>
    <m/>
    <m/>
    <m/>
    <m/>
    <m/>
    <m/>
    <m/>
    <m/>
    <m/>
    <m/>
    <m/>
    <m/>
    <m/>
    <m/>
    <m/>
    <m/>
    <m/>
    <m/>
    <m/>
    <m/>
    <m/>
    <m/>
    <m/>
    <x v="1"/>
    <x v="1"/>
    <m/>
    <m/>
    <m/>
    <m/>
    <m/>
    <m/>
    <m/>
    <m/>
    <m/>
    <m/>
    <m/>
    <m/>
    <m/>
    <m/>
    <m/>
    <m/>
    <m/>
    <s v="no test"/>
    <s v="no test"/>
    <x v="1"/>
    <n v="0"/>
    <n v="0"/>
    <n v="0"/>
    <n v="0"/>
    <n v="0"/>
    <n v="0"/>
    <n v="0"/>
    <n v="0"/>
    <n v="0"/>
    <n v="0"/>
    <n v="0"/>
    <n v="0"/>
    <n v="0"/>
    <n v="0"/>
    <n v="1"/>
    <n v="142"/>
    <n v="1"/>
    <n v="1"/>
    <n v="0"/>
    <n v="0"/>
    <n v="0"/>
    <s v="N/A"/>
    <s v="NA"/>
    <n v="24"/>
    <n v="24"/>
    <n v="1"/>
    <n v="0"/>
    <n v="0"/>
    <n v="0"/>
    <n v="0"/>
    <n v="0"/>
    <n v="0"/>
    <n v="0"/>
    <n v="1"/>
    <n v="0"/>
    <n v="0"/>
    <n v="0"/>
    <n v="0"/>
    <n v="0"/>
    <n v="0"/>
    <n v="0"/>
    <x v="0"/>
    <n v="0"/>
    <n v="0"/>
    <x v="2"/>
    <x v="6"/>
    <x v="2"/>
    <n v="0"/>
    <n v="0"/>
    <n v="197043"/>
    <x v="0"/>
    <m/>
  </r>
  <r>
    <x v="0"/>
    <x v="16"/>
    <x v="17"/>
    <s v="EU"/>
    <x v="1"/>
    <x v="19"/>
    <x v="2"/>
    <x v="284"/>
    <n v="148"/>
    <n v="630"/>
    <d v="2017-01-01T00:00:00"/>
    <d v="2021-12-21T00:00:00"/>
    <m/>
    <m/>
    <m/>
    <m/>
    <m/>
    <m/>
    <m/>
    <m/>
    <m/>
    <m/>
    <m/>
    <m/>
    <m/>
    <m/>
    <m/>
    <m/>
    <m/>
    <m/>
    <m/>
    <m/>
    <m/>
    <m/>
    <m/>
    <m/>
    <m/>
    <m/>
    <m/>
    <m/>
    <m/>
    <m/>
    <m/>
    <m/>
    <m/>
    <m/>
    <m/>
    <m/>
    <m/>
    <x v="1"/>
    <x v="1"/>
    <m/>
    <m/>
    <m/>
    <m/>
    <m/>
    <m/>
    <m/>
    <m/>
    <m/>
    <m/>
    <m/>
    <m/>
    <m/>
    <m/>
    <m/>
    <m/>
    <m/>
    <s v="no test"/>
    <s v="no test"/>
    <x v="1"/>
    <n v="0"/>
    <n v="0"/>
    <n v="0"/>
    <n v="0"/>
    <n v="0"/>
    <n v="0"/>
    <n v="0"/>
    <n v="0"/>
    <n v="0"/>
    <n v="0"/>
    <n v="0"/>
    <n v="0"/>
    <n v="0"/>
    <n v="0"/>
    <n v="1"/>
    <n v="630"/>
    <n v="1"/>
    <n v="1"/>
    <n v="0"/>
    <n v="0"/>
    <n v="0"/>
    <s v="N/A"/>
    <s v="NA"/>
    <n v="105"/>
    <n v="105"/>
    <n v="1"/>
    <n v="0"/>
    <n v="0"/>
    <n v="0"/>
    <n v="0"/>
    <n v="0"/>
    <n v="0"/>
    <n v="0"/>
    <n v="1"/>
    <n v="0"/>
    <n v="0"/>
    <n v="0"/>
    <n v="0"/>
    <n v="0"/>
    <n v="0"/>
    <n v="0"/>
    <x v="0"/>
    <n v="0"/>
    <n v="0"/>
    <x v="2"/>
    <x v="6"/>
    <x v="2"/>
    <n v="0"/>
    <n v="0"/>
    <n v="197089"/>
    <x v="0"/>
    <m/>
  </r>
  <r>
    <x v="0"/>
    <x v="16"/>
    <x v="17"/>
    <s v="EU"/>
    <x v="1"/>
    <x v="19"/>
    <x v="2"/>
    <x v="285"/>
    <n v="135"/>
    <n v="593"/>
    <d v="2017-01-01T00:00:00"/>
    <d v="2021-12-21T00:00:00"/>
    <m/>
    <m/>
    <m/>
    <m/>
    <m/>
    <m/>
    <m/>
    <m/>
    <m/>
    <m/>
    <m/>
    <m/>
    <m/>
    <m/>
    <m/>
    <m/>
    <m/>
    <m/>
    <m/>
    <m/>
    <m/>
    <m/>
    <m/>
    <m/>
    <m/>
    <m/>
    <m/>
    <m/>
    <m/>
    <m/>
    <m/>
    <m/>
    <m/>
    <m/>
    <m/>
    <m/>
    <m/>
    <x v="1"/>
    <x v="1"/>
    <m/>
    <m/>
    <m/>
    <m/>
    <m/>
    <m/>
    <m/>
    <m/>
    <m/>
    <m/>
    <m/>
    <m/>
    <m/>
    <m/>
    <m/>
    <m/>
    <m/>
    <s v="no test"/>
    <s v="no test"/>
    <x v="1"/>
    <n v="0"/>
    <n v="0"/>
    <n v="0"/>
    <n v="0"/>
    <n v="0"/>
    <n v="0"/>
    <n v="0"/>
    <n v="0"/>
    <n v="0"/>
    <n v="0"/>
    <n v="0"/>
    <n v="0"/>
    <n v="0"/>
    <n v="0"/>
    <n v="1"/>
    <n v="593"/>
    <n v="1"/>
    <n v="1"/>
    <n v="0"/>
    <n v="0"/>
    <n v="0"/>
    <s v="N/A"/>
    <s v="NA"/>
    <n v="99"/>
    <n v="99"/>
    <n v="1"/>
    <n v="0"/>
    <n v="0"/>
    <n v="0"/>
    <n v="0"/>
    <n v="0"/>
    <n v="0"/>
    <n v="0"/>
    <n v="1"/>
    <n v="0"/>
    <n v="0"/>
    <n v="0"/>
    <n v="0"/>
    <n v="0"/>
    <n v="0"/>
    <n v="0"/>
    <x v="0"/>
    <n v="0"/>
    <n v="0"/>
    <x v="2"/>
    <x v="6"/>
    <x v="2"/>
    <n v="0"/>
    <n v="0"/>
    <n v="197090"/>
    <x v="0"/>
    <m/>
  </r>
  <r>
    <x v="0"/>
    <x v="16"/>
    <x v="17"/>
    <s v="EU"/>
    <x v="1"/>
    <x v="19"/>
    <x v="2"/>
    <x v="286"/>
    <n v="139"/>
    <n v="585"/>
    <d v="2017-01-01T00:00:00"/>
    <d v="2021-12-21T00:00:00"/>
    <m/>
    <m/>
    <m/>
    <m/>
    <m/>
    <m/>
    <m/>
    <m/>
    <m/>
    <m/>
    <m/>
    <m/>
    <m/>
    <m/>
    <m/>
    <m/>
    <m/>
    <m/>
    <m/>
    <m/>
    <m/>
    <m/>
    <m/>
    <m/>
    <m/>
    <m/>
    <m/>
    <m/>
    <m/>
    <m/>
    <m/>
    <m/>
    <m/>
    <m/>
    <m/>
    <m/>
    <m/>
    <x v="1"/>
    <x v="1"/>
    <m/>
    <m/>
    <m/>
    <m/>
    <m/>
    <m/>
    <m/>
    <m/>
    <m/>
    <m/>
    <m/>
    <m/>
    <m/>
    <m/>
    <m/>
    <m/>
    <m/>
    <s v="no test"/>
    <s v="no test"/>
    <x v="1"/>
    <n v="0"/>
    <n v="0"/>
    <n v="0"/>
    <n v="0"/>
    <n v="0"/>
    <n v="0"/>
    <n v="0"/>
    <n v="0"/>
    <n v="0"/>
    <n v="0"/>
    <n v="0"/>
    <n v="0"/>
    <n v="0"/>
    <n v="0"/>
    <n v="1"/>
    <n v="585"/>
    <n v="1"/>
    <n v="1"/>
    <n v="0"/>
    <n v="0"/>
    <n v="0"/>
    <s v="N/A"/>
    <s v="NA"/>
    <n v="98"/>
    <n v="98"/>
    <n v="1"/>
    <n v="0"/>
    <n v="0"/>
    <n v="0"/>
    <n v="0"/>
    <n v="0"/>
    <n v="0"/>
    <n v="0"/>
    <n v="1"/>
    <n v="0"/>
    <n v="0"/>
    <n v="0"/>
    <n v="0"/>
    <n v="0"/>
    <n v="0"/>
    <n v="0"/>
    <x v="0"/>
    <n v="0"/>
    <n v="0"/>
    <x v="2"/>
    <x v="6"/>
    <x v="2"/>
    <n v="0"/>
    <n v="0"/>
    <n v="197149"/>
    <x v="0"/>
    <m/>
  </r>
  <r>
    <x v="0"/>
    <x v="16"/>
    <x v="17"/>
    <s v="EU"/>
    <x v="1"/>
    <x v="19"/>
    <x v="2"/>
    <x v="287"/>
    <n v="408"/>
    <n v="2009"/>
    <d v="2017-01-01T00:00:00"/>
    <d v="2021-12-21T00:00:00"/>
    <m/>
    <m/>
    <m/>
    <m/>
    <m/>
    <m/>
    <m/>
    <m/>
    <m/>
    <m/>
    <m/>
    <m/>
    <m/>
    <m/>
    <m/>
    <m/>
    <m/>
    <m/>
    <m/>
    <m/>
    <m/>
    <m/>
    <m/>
    <m/>
    <m/>
    <m/>
    <m/>
    <m/>
    <m/>
    <m/>
    <m/>
    <m/>
    <m/>
    <m/>
    <m/>
    <m/>
    <m/>
    <x v="1"/>
    <x v="1"/>
    <m/>
    <m/>
    <m/>
    <m/>
    <m/>
    <m/>
    <m/>
    <m/>
    <m/>
    <m/>
    <m/>
    <m/>
    <m/>
    <m/>
    <m/>
    <m/>
    <m/>
    <s v="no test"/>
    <s v="no test"/>
    <x v="1"/>
    <n v="0"/>
    <n v="0"/>
    <n v="0"/>
    <n v="0"/>
    <n v="0"/>
    <n v="0"/>
    <n v="0"/>
    <n v="0"/>
    <n v="0"/>
    <n v="0"/>
    <n v="0"/>
    <n v="0"/>
    <n v="0"/>
    <n v="0"/>
    <n v="1"/>
    <n v="2009"/>
    <n v="4"/>
    <n v="4"/>
    <n v="0"/>
    <n v="0"/>
    <n v="0"/>
    <s v="N/A"/>
    <s v="NA"/>
    <n v="335"/>
    <n v="335"/>
    <n v="1"/>
    <n v="0"/>
    <n v="0"/>
    <n v="0"/>
    <n v="0"/>
    <n v="0"/>
    <n v="0"/>
    <n v="0"/>
    <n v="1"/>
    <n v="0"/>
    <n v="0"/>
    <n v="0"/>
    <n v="0"/>
    <n v="0"/>
    <n v="0"/>
    <n v="0"/>
    <x v="0"/>
    <n v="0"/>
    <n v="0"/>
    <x v="2"/>
    <x v="11"/>
    <x v="3"/>
    <n v="20.480898"/>
    <n v="93.299485000000004"/>
    <s v="MMR012CMP006"/>
    <x v="0"/>
    <m/>
  </r>
  <r>
    <x v="0"/>
    <x v="16"/>
    <x v="17"/>
    <s v="EU"/>
    <x v="1"/>
    <x v="19"/>
    <x v="2"/>
    <x v="288"/>
    <n v="47"/>
    <n v="190"/>
    <d v="2017-01-01T00:00:00"/>
    <d v="2021-12-21T00:00:00"/>
    <m/>
    <m/>
    <m/>
    <m/>
    <m/>
    <m/>
    <m/>
    <m/>
    <m/>
    <m/>
    <m/>
    <m/>
    <m/>
    <m/>
    <m/>
    <m/>
    <m/>
    <m/>
    <m/>
    <m/>
    <m/>
    <m/>
    <m/>
    <m/>
    <m/>
    <m/>
    <m/>
    <m/>
    <m/>
    <m/>
    <m/>
    <m/>
    <m/>
    <m/>
    <m/>
    <m/>
    <m/>
    <x v="1"/>
    <x v="1"/>
    <m/>
    <m/>
    <m/>
    <m/>
    <m/>
    <m/>
    <m/>
    <m/>
    <m/>
    <m/>
    <m/>
    <m/>
    <m/>
    <m/>
    <m/>
    <m/>
    <m/>
    <s v="no test"/>
    <s v="no test"/>
    <x v="1"/>
    <n v="0"/>
    <n v="0"/>
    <n v="0"/>
    <n v="0"/>
    <n v="0"/>
    <n v="0"/>
    <n v="0"/>
    <n v="0"/>
    <n v="0"/>
    <n v="0"/>
    <n v="0"/>
    <n v="0"/>
    <n v="0"/>
    <n v="0"/>
    <n v="1"/>
    <n v="190"/>
    <n v="1"/>
    <n v="1"/>
    <n v="0"/>
    <n v="0"/>
    <n v="0"/>
    <s v="N/A"/>
    <s v="NA"/>
    <n v="32"/>
    <n v="32"/>
    <n v="1"/>
    <n v="0"/>
    <n v="0"/>
    <n v="0"/>
    <n v="0"/>
    <n v="0"/>
    <n v="0"/>
    <n v="0"/>
    <n v="1"/>
    <n v="0"/>
    <n v="0"/>
    <n v="0"/>
    <n v="0"/>
    <n v="0"/>
    <n v="0"/>
    <n v="0"/>
    <x v="0"/>
    <n v="0"/>
    <n v="0"/>
    <x v="2"/>
    <x v="6"/>
    <x v="2"/>
    <n v="0"/>
    <n v="0"/>
    <n v="0"/>
    <x v="0"/>
    <m/>
  </r>
  <r>
    <x v="0"/>
    <x v="16"/>
    <x v="17"/>
    <s v="EU"/>
    <x v="1"/>
    <x v="19"/>
    <x v="2"/>
    <x v="289"/>
    <n v="150"/>
    <n v="532"/>
    <d v="2017-01-01T00:00:00"/>
    <d v="2021-12-21T00:00:00"/>
    <m/>
    <m/>
    <m/>
    <m/>
    <m/>
    <m/>
    <m/>
    <m/>
    <m/>
    <m/>
    <m/>
    <m/>
    <m/>
    <m/>
    <m/>
    <m/>
    <m/>
    <m/>
    <m/>
    <m/>
    <m/>
    <m/>
    <m/>
    <m/>
    <m/>
    <m/>
    <m/>
    <m/>
    <m/>
    <m/>
    <m/>
    <m/>
    <m/>
    <m/>
    <m/>
    <m/>
    <m/>
    <x v="1"/>
    <x v="1"/>
    <m/>
    <m/>
    <m/>
    <m/>
    <m/>
    <m/>
    <m/>
    <m/>
    <m/>
    <m/>
    <m/>
    <m/>
    <m/>
    <m/>
    <m/>
    <m/>
    <m/>
    <s v="no test"/>
    <s v="no test"/>
    <x v="1"/>
    <n v="0"/>
    <n v="0"/>
    <n v="0"/>
    <n v="0"/>
    <n v="0"/>
    <n v="0"/>
    <n v="0"/>
    <n v="0"/>
    <n v="0"/>
    <n v="0"/>
    <n v="0"/>
    <n v="0"/>
    <n v="0"/>
    <n v="0"/>
    <n v="1"/>
    <n v="532"/>
    <n v="1"/>
    <n v="1"/>
    <n v="0"/>
    <n v="0"/>
    <n v="0"/>
    <s v="N/A"/>
    <s v="NA"/>
    <n v="89"/>
    <n v="89"/>
    <n v="1"/>
    <n v="0"/>
    <n v="0"/>
    <n v="0"/>
    <n v="0"/>
    <n v="0"/>
    <n v="0"/>
    <n v="0"/>
    <n v="1"/>
    <n v="0"/>
    <n v="0"/>
    <n v="0"/>
    <n v="0"/>
    <n v="0"/>
    <n v="0"/>
    <n v="0"/>
    <x v="0"/>
    <n v="0"/>
    <n v="0"/>
    <x v="2"/>
    <x v="6"/>
    <x v="2"/>
    <n v="0"/>
    <n v="0"/>
    <n v="197092"/>
    <x v="0"/>
    <m/>
  </r>
  <r>
    <x v="0"/>
    <x v="16"/>
    <x v="17"/>
    <s v="EU"/>
    <x v="1"/>
    <x v="19"/>
    <x v="2"/>
    <x v="290"/>
    <n v="142"/>
    <n v="542"/>
    <d v="2017-01-01T00:00:00"/>
    <d v="2021-12-21T00:00:00"/>
    <m/>
    <m/>
    <m/>
    <m/>
    <m/>
    <m/>
    <m/>
    <m/>
    <m/>
    <m/>
    <m/>
    <m/>
    <m/>
    <m/>
    <m/>
    <m/>
    <m/>
    <m/>
    <m/>
    <m/>
    <m/>
    <m/>
    <m/>
    <m/>
    <m/>
    <m/>
    <m/>
    <m/>
    <m/>
    <m/>
    <m/>
    <m/>
    <m/>
    <m/>
    <m/>
    <m/>
    <m/>
    <x v="1"/>
    <x v="1"/>
    <m/>
    <m/>
    <m/>
    <m/>
    <m/>
    <m/>
    <m/>
    <m/>
    <m/>
    <m/>
    <m/>
    <m/>
    <m/>
    <m/>
    <m/>
    <m/>
    <m/>
    <s v="no test"/>
    <s v="no test"/>
    <x v="1"/>
    <n v="0"/>
    <n v="0"/>
    <n v="0"/>
    <n v="0"/>
    <n v="0"/>
    <n v="0"/>
    <n v="0"/>
    <n v="0"/>
    <n v="0"/>
    <n v="0"/>
    <n v="0"/>
    <n v="0"/>
    <n v="0"/>
    <n v="0"/>
    <n v="1"/>
    <n v="542"/>
    <n v="1"/>
    <n v="1"/>
    <n v="0"/>
    <n v="0"/>
    <n v="0"/>
    <s v="N/A"/>
    <s v="NA"/>
    <n v="90"/>
    <n v="90"/>
    <n v="1"/>
    <n v="0"/>
    <n v="0"/>
    <n v="0"/>
    <n v="0"/>
    <n v="0"/>
    <n v="0"/>
    <n v="0"/>
    <n v="1"/>
    <n v="0"/>
    <n v="0"/>
    <n v="0"/>
    <n v="0"/>
    <n v="0"/>
    <n v="0"/>
    <n v="0"/>
    <x v="0"/>
    <n v="0"/>
    <n v="0"/>
    <x v="2"/>
    <x v="6"/>
    <x v="2"/>
    <n v="0"/>
    <n v="0"/>
    <n v="197100"/>
    <x v="0"/>
    <m/>
  </r>
  <r>
    <x v="0"/>
    <x v="16"/>
    <x v="17"/>
    <s v="EU"/>
    <x v="1"/>
    <x v="19"/>
    <x v="2"/>
    <x v="291"/>
    <n v="290"/>
    <n v="1314"/>
    <d v="2017-01-01T00:00:00"/>
    <d v="2021-12-21T00:00:00"/>
    <m/>
    <m/>
    <m/>
    <m/>
    <m/>
    <m/>
    <m/>
    <m/>
    <m/>
    <m/>
    <m/>
    <m/>
    <m/>
    <m/>
    <m/>
    <m/>
    <m/>
    <m/>
    <m/>
    <m/>
    <m/>
    <m/>
    <m/>
    <m/>
    <m/>
    <m/>
    <m/>
    <m/>
    <m/>
    <m/>
    <m/>
    <m/>
    <m/>
    <m/>
    <m/>
    <m/>
    <m/>
    <x v="1"/>
    <x v="1"/>
    <m/>
    <m/>
    <m/>
    <m/>
    <m/>
    <m/>
    <m/>
    <m/>
    <m/>
    <m/>
    <m/>
    <m/>
    <m/>
    <m/>
    <m/>
    <m/>
    <m/>
    <s v="no test"/>
    <s v="no test"/>
    <x v="1"/>
    <n v="0"/>
    <n v="0"/>
    <n v="0"/>
    <n v="0"/>
    <n v="0"/>
    <n v="0"/>
    <n v="0"/>
    <n v="0"/>
    <n v="0"/>
    <n v="0"/>
    <n v="0"/>
    <n v="0"/>
    <n v="0"/>
    <n v="0"/>
    <n v="1"/>
    <n v="1314"/>
    <n v="3"/>
    <n v="3"/>
    <n v="0"/>
    <n v="0"/>
    <n v="0"/>
    <s v="N/A"/>
    <s v="NA"/>
    <n v="219"/>
    <n v="219"/>
    <n v="1"/>
    <n v="0"/>
    <n v="0"/>
    <n v="0"/>
    <n v="0"/>
    <n v="0"/>
    <n v="0"/>
    <n v="0"/>
    <n v="1"/>
    <n v="0"/>
    <n v="0"/>
    <n v="0"/>
    <n v="0"/>
    <n v="0"/>
    <n v="0"/>
    <n v="0"/>
    <x v="0"/>
    <n v="0"/>
    <n v="0"/>
    <x v="2"/>
    <x v="6"/>
    <x v="2"/>
    <n v="0"/>
    <n v="0"/>
    <n v="197099"/>
    <x v="0"/>
    <m/>
  </r>
  <r>
    <x v="0"/>
    <x v="16"/>
    <x v="17"/>
    <s v="EU"/>
    <x v="1"/>
    <x v="19"/>
    <x v="2"/>
    <x v="292"/>
    <n v="215"/>
    <n v="1125"/>
    <d v="2017-01-01T00:00:00"/>
    <d v="2021-12-21T00:00:00"/>
    <m/>
    <m/>
    <m/>
    <m/>
    <m/>
    <m/>
    <m/>
    <m/>
    <m/>
    <m/>
    <m/>
    <m/>
    <m/>
    <m/>
    <m/>
    <m/>
    <m/>
    <m/>
    <m/>
    <m/>
    <m/>
    <m/>
    <m/>
    <m/>
    <m/>
    <m/>
    <m/>
    <m/>
    <m/>
    <m/>
    <m/>
    <m/>
    <m/>
    <m/>
    <m/>
    <m/>
    <m/>
    <x v="1"/>
    <x v="1"/>
    <m/>
    <m/>
    <m/>
    <m/>
    <m/>
    <m/>
    <m/>
    <m/>
    <m/>
    <m/>
    <m/>
    <m/>
    <m/>
    <m/>
    <m/>
    <m/>
    <m/>
    <s v="no test"/>
    <s v="no test"/>
    <x v="1"/>
    <n v="0"/>
    <n v="0"/>
    <n v="0"/>
    <n v="0"/>
    <n v="0"/>
    <n v="0"/>
    <n v="0"/>
    <n v="0"/>
    <n v="0"/>
    <n v="0"/>
    <n v="0"/>
    <n v="0"/>
    <n v="0"/>
    <n v="0"/>
    <n v="1"/>
    <n v="1125"/>
    <n v="2"/>
    <n v="2"/>
    <n v="0"/>
    <n v="0"/>
    <n v="0"/>
    <s v="N/A"/>
    <s v="NA"/>
    <n v="188"/>
    <n v="188"/>
    <n v="1"/>
    <n v="0"/>
    <n v="0"/>
    <n v="0"/>
    <n v="0"/>
    <n v="0"/>
    <n v="0"/>
    <n v="0"/>
    <n v="1"/>
    <n v="0"/>
    <n v="0"/>
    <n v="0"/>
    <n v="0"/>
    <n v="0"/>
    <n v="0"/>
    <n v="0"/>
    <x v="0"/>
    <n v="0"/>
    <n v="0"/>
    <x v="2"/>
    <x v="6"/>
    <x v="2"/>
    <n v="0"/>
    <n v="0"/>
    <n v="197102"/>
    <x v="0"/>
    <m/>
  </r>
  <r>
    <x v="0"/>
    <x v="16"/>
    <x v="17"/>
    <s v="EU"/>
    <x v="1"/>
    <x v="19"/>
    <x v="2"/>
    <x v="293"/>
    <n v="181"/>
    <n v="940"/>
    <d v="2017-01-01T00:00:00"/>
    <d v="2021-12-21T00:00:00"/>
    <m/>
    <m/>
    <m/>
    <m/>
    <m/>
    <m/>
    <m/>
    <m/>
    <m/>
    <m/>
    <m/>
    <m/>
    <m/>
    <m/>
    <m/>
    <m/>
    <m/>
    <m/>
    <m/>
    <m/>
    <m/>
    <m/>
    <m/>
    <m/>
    <m/>
    <m/>
    <m/>
    <m/>
    <m/>
    <m/>
    <m/>
    <m/>
    <m/>
    <m/>
    <m/>
    <m/>
    <m/>
    <x v="1"/>
    <x v="1"/>
    <m/>
    <m/>
    <m/>
    <m/>
    <m/>
    <m/>
    <m/>
    <m/>
    <m/>
    <m/>
    <m/>
    <m/>
    <m/>
    <m/>
    <m/>
    <m/>
    <m/>
    <s v="no test"/>
    <s v="no test"/>
    <x v="1"/>
    <n v="0"/>
    <n v="0"/>
    <n v="0"/>
    <n v="0"/>
    <n v="0"/>
    <n v="0"/>
    <n v="0"/>
    <n v="0"/>
    <n v="0"/>
    <n v="0"/>
    <n v="0"/>
    <n v="0"/>
    <n v="0"/>
    <n v="0"/>
    <n v="1"/>
    <n v="940"/>
    <n v="2"/>
    <n v="2"/>
    <n v="0"/>
    <n v="0"/>
    <n v="0"/>
    <s v="N/A"/>
    <s v="NA"/>
    <n v="157"/>
    <n v="157"/>
    <n v="1"/>
    <n v="0"/>
    <n v="0"/>
    <n v="0"/>
    <n v="0"/>
    <n v="0"/>
    <n v="0"/>
    <n v="0"/>
    <n v="1"/>
    <n v="0"/>
    <n v="0"/>
    <n v="0"/>
    <n v="0"/>
    <n v="0"/>
    <n v="0"/>
    <n v="0"/>
    <x v="0"/>
    <n v="0"/>
    <n v="0"/>
    <x v="2"/>
    <x v="6"/>
    <x v="2"/>
    <n v="0"/>
    <n v="0"/>
    <n v="220651"/>
    <x v="0"/>
    <m/>
  </r>
  <r>
    <x v="0"/>
    <x v="16"/>
    <x v="17"/>
    <s v="EU"/>
    <x v="1"/>
    <x v="19"/>
    <x v="2"/>
    <x v="294"/>
    <n v="170"/>
    <n v="743"/>
    <d v="2017-01-01T00:00:00"/>
    <d v="2021-12-21T00:00:00"/>
    <m/>
    <m/>
    <m/>
    <m/>
    <m/>
    <m/>
    <m/>
    <m/>
    <m/>
    <m/>
    <m/>
    <m/>
    <m/>
    <m/>
    <m/>
    <m/>
    <m/>
    <m/>
    <m/>
    <m/>
    <m/>
    <m/>
    <m/>
    <m/>
    <m/>
    <m/>
    <m/>
    <m/>
    <m/>
    <m/>
    <m/>
    <m/>
    <m/>
    <m/>
    <m/>
    <m/>
    <m/>
    <x v="1"/>
    <x v="1"/>
    <m/>
    <m/>
    <m/>
    <m/>
    <m/>
    <m/>
    <m/>
    <m/>
    <m/>
    <m/>
    <m/>
    <m/>
    <m/>
    <m/>
    <m/>
    <m/>
    <m/>
    <s v="no test"/>
    <s v="no test"/>
    <x v="1"/>
    <n v="0"/>
    <n v="0"/>
    <n v="0"/>
    <n v="0"/>
    <n v="0"/>
    <n v="0"/>
    <n v="0"/>
    <n v="0"/>
    <n v="0"/>
    <n v="0"/>
    <n v="0"/>
    <n v="0"/>
    <n v="0"/>
    <n v="0"/>
    <n v="1"/>
    <n v="743"/>
    <n v="1"/>
    <n v="1"/>
    <n v="0"/>
    <n v="0"/>
    <n v="0"/>
    <s v="N/A"/>
    <s v="NA"/>
    <n v="124"/>
    <n v="124"/>
    <n v="1"/>
    <n v="0"/>
    <n v="0"/>
    <n v="0"/>
    <n v="0"/>
    <n v="0"/>
    <n v="0"/>
    <n v="0"/>
    <n v="1"/>
    <n v="0"/>
    <n v="0"/>
    <n v="0"/>
    <n v="0"/>
    <n v="0"/>
    <n v="0"/>
    <n v="0"/>
    <x v="0"/>
    <n v="0"/>
    <n v="0"/>
    <x v="2"/>
    <x v="6"/>
    <x v="2"/>
    <n v="0"/>
    <n v="0"/>
    <n v="197103"/>
    <x v="0"/>
    <m/>
  </r>
  <r>
    <x v="0"/>
    <x v="16"/>
    <x v="17"/>
    <s v="EU"/>
    <x v="1"/>
    <x v="19"/>
    <x v="2"/>
    <x v="295"/>
    <n v="121"/>
    <n v="421"/>
    <d v="2017-01-01T00:00:00"/>
    <d v="2021-12-21T00:00:00"/>
    <m/>
    <m/>
    <m/>
    <m/>
    <m/>
    <m/>
    <m/>
    <m/>
    <m/>
    <m/>
    <m/>
    <m/>
    <m/>
    <m/>
    <m/>
    <m/>
    <m/>
    <m/>
    <m/>
    <m/>
    <m/>
    <m/>
    <m/>
    <m/>
    <m/>
    <m/>
    <m/>
    <m/>
    <m/>
    <m/>
    <m/>
    <m/>
    <m/>
    <m/>
    <m/>
    <m/>
    <m/>
    <x v="1"/>
    <x v="1"/>
    <m/>
    <m/>
    <m/>
    <m/>
    <m/>
    <m/>
    <m/>
    <m/>
    <m/>
    <m/>
    <m/>
    <m/>
    <m/>
    <m/>
    <m/>
    <m/>
    <m/>
    <s v="no test"/>
    <s v="no test"/>
    <x v="1"/>
    <n v="0"/>
    <n v="0"/>
    <n v="0"/>
    <n v="0"/>
    <n v="0"/>
    <n v="0"/>
    <n v="0"/>
    <n v="0"/>
    <n v="0"/>
    <n v="0"/>
    <n v="0"/>
    <n v="0"/>
    <n v="0"/>
    <n v="0"/>
    <n v="1"/>
    <n v="421"/>
    <n v="1"/>
    <n v="1"/>
    <n v="0"/>
    <n v="0"/>
    <n v="0"/>
    <s v="N/A"/>
    <s v="NA"/>
    <n v="70"/>
    <n v="70"/>
    <n v="1"/>
    <n v="0"/>
    <n v="0"/>
    <n v="0"/>
    <n v="0"/>
    <n v="0"/>
    <n v="0"/>
    <n v="0"/>
    <n v="1"/>
    <n v="0"/>
    <n v="0"/>
    <n v="0"/>
    <n v="0"/>
    <n v="0"/>
    <n v="0"/>
    <n v="0"/>
    <x v="0"/>
    <n v="0"/>
    <n v="0"/>
    <x v="2"/>
    <x v="6"/>
    <x v="6"/>
    <n v="20.394809720000001"/>
    <n v="93.251609799999997"/>
    <n v="196994"/>
    <x v="0"/>
    <m/>
  </r>
  <r>
    <x v="0"/>
    <x v="16"/>
    <x v="17"/>
    <s v="EU"/>
    <x v="1"/>
    <x v="19"/>
    <x v="2"/>
    <x v="296"/>
    <n v="203"/>
    <n v="1118"/>
    <d v="2017-01-01T00:00:00"/>
    <d v="2021-12-21T00:00:00"/>
    <m/>
    <m/>
    <m/>
    <m/>
    <m/>
    <m/>
    <m/>
    <m/>
    <m/>
    <m/>
    <m/>
    <m/>
    <m/>
    <m/>
    <m/>
    <m/>
    <m/>
    <m/>
    <m/>
    <m/>
    <m/>
    <m/>
    <m/>
    <m/>
    <m/>
    <m/>
    <m/>
    <m/>
    <m/>
    <m/>
    <m/>
    <m/>
    <m/>
    <m/>
    <m/>
    <m/>
    <m/>
    <x v="1"/>
    <x v="1"/>
    <m/>
    <m/>
    <m/>
    <m/>
    <m/>
    <m/>
    <m/>
    <m/>
    <m/>
    <m/>
    <m/>
    <m/>
    <m/>
    <m/>
    <m/>
    <m/>
    <m/>
    <s v="no test"/>
    <s v="no test"/>
    <x v="1"/>
    <n v="0"/>
    <n v="0"/>
    <n v="0"/>
    <n v="0"/>
    <n v="0"/>
    <n v="0"/>
    <n v="0"/>
    <n v="0"/>
    <n v="0"/>
    <n v="0"/>
    <n v="0"/>
    <n v="0"/>
    <n v="0"/>
    <n v="0"/>
    <n v="1"/>
    <n v="1118"/>
    <n v="2"/>
    <n v="2"/>
    <n v="0"/>
    <n v="0"/>
    <n v="0"/>
    <s v="N/A"/>
    <s v="NA"/>
    <n v="186"/>
    <n v="186"/>
    <n v="1"/>
    <n v="0"/>
    <n v="0"/>
    <n v="0"/>
    <n v="0"/>
    <n v="0"/>
    <n v="0"/>
    <n v="0"/>
    <n v="1"/>
    <n v="0"/>
    <n v="0"/>
    <n v="0"/>
    <n v="0"/>
    <n v="0"/>
    <n v="0"/>
    <n v="0"/>
    <x v="0"/>
    <n v="0"/>
    <n v="0"/>
    <x v="2"/>
    <x v="6"/>
    <x v="2"/>
    <n v="0"/>
    <n v="0"/>
    <n v="196997"/>
    <x v="0"/>
    <m/>
  </r>
  <r>
    <x v="0"/>
    <x v="16"/>
    <x v="17"/>
    <s v="EU"/>
    <x v="1"/>
    <x v="19"/>
    <x v="2"/>
    <x v="297"/>
    <n v="31"/>
    <n v="170"/>
    <d v="2017-01-01T00:00:00"/>
    <d v="2021-12-21T00:00:00"/>
    <m/>
    <m/>
    <m/>
    <m/>
    <m/>
    <m/>
    <m/>
    <m/>
    <m/>
    <m/>
    <m/>
    <m/>
    <m/>
    <m/>
    <m/>
    <m/>
    <m/>
    <m/>
    <m/>
    <m/>
    <m/>
    <m/>
    <m/>
    <m/>
    <m/>
    <m/>
    <m/>
    <m/>
    <m/>
    <m/>
    <m/>
    <m/>
    <m/>
    <m/>
    <m/>
    <m/>
    <m/>
    <x v="1"/>
    <x v="1"/>
    <m/>
    <m/>
    <m/>
    <m/>
    <m/>
    <m/>
    <m/>
    <m/>
    <m/>
    <m/>
    <m/>
    <m/>
    <m/>
    <m/>
    <m/>
    <m/>
    <m/>
    <s v="no test"/>
    <s v="no test"/>
    <x v="1"/>
    <n v="0"/>
    <n v="0"/>
    <n v="0"/>
    <n v="0"/>
    <n v="0"/>
    <n v="0"/>
    <n v="0"/>
    <n v="0"/>
    <n v="0"/>
    <n v="0"/>
    <n v="0"/>
    <n v="0"/>
    <n v="0"/>
    <n v="0"/>
    <n v="1"/>
    <n v="170"/>
    <n v="1"/>
    <n v="1"/>
    <n v="0"/>
    <n v="0"/>
    <n v="0"/>
    <s v="N/A"/>
    <s v="NA"/>
    <n v="28"/>
    <n v="28"/>
    <n v="1"/>
    <n v="0"/>
    <n v="0"/>
    <n v="0"/>
    <n v="0"/>
    <n v="0"/>
    <n v="0"/>
    <n v="0"/>
    <n v="1"/>
    <n v="0"/>
    <n v="0"/>
    <n v="0"/>
    <n v="0"/>
    <n v="0"/>
    <n v="0"/>
    <n v="0"/>
    <x v="0"/>
    <n v="0"/>
    <n v="0"/>
    <x v="2"/>
    <x v="6"/>
    <x v="4"/>
    <n v="20.396680830000001"/>
    <n v="93.252868649999996"/>
    <n v="196998"/>
    <x v="0"/>
    <m/>
  </r>
  <r>
    <x v="0"/>
    <x v="16"/>
    <x v="17"/>
    <s v="BMZ"/>
    <x v="1"/>
    <x v="19"/>
    <x v="2"/>
    <x v="298"/>
    <n v="180"/>
    <n v="964"/>
    <d v="2017-01-01T00:00:00"/>
    <d v="2021-12-21T00:00:00"/>
    <m/>
    <m/>
    <m/>
    <m/>
    <m/>
    <m/>
    <m/>
    <m/>
    <m/>
    <m/>
    <m/>
    <m/>
    <m/>
    <m/>
    <m/>
    <m/>
    <m/>
    <m/>
    <m/>
    <m/>
    <m/>
    <m/>
    <m/>
    <m/>
    <m/>
    <m/>
    <m/>
    <m/>
    <m/>
    <m/>
    <m/>
    <m/>
    <m/>
    <m/>
    <m/>
    <m/>
    <m/>
    <x v="1"/>
    <x v="1"/>
    <m/>
    <m/>
    <m/>
    <m/>
    <m/>
    <m/>
    <m/>
    <m/>
    <m/>
    <m/>
    <m/>
    <m/>
    <m/>
    <m/>
    <m/>
    <m/>
    <m/>
    <s v="no test"/>
    <s v="no test"/>
    <x v="1"/>
    <n v="0"/>
    <n v="0"/>
    <n v="0"/>
    <n v="0"/>
    <n v="0"/>
    <n v="0"/>
    <n v="0"/>
    <n v="0"/>
    <n v="0"/>
    <n v="0"/>
    <n v="0"/>
    <n v="0"/>
    <n v="0"/>
    <n v="0"/>
    <n v="1"/>
    <n v="964"/>
    <n v="2"/>
    <n v="2"/>
    <n v="0"/>
    <n v="0"/>
    <n v="0"/>
    <s v="N/A"/>
    <s v="NA"/>
    <n v="161"/>
    <n v="161"/>
    <n v="1"/>
    <n v="0"/>
    <n v="0"/>
    <n v="0"/>
    <n v="0"/>
    <n v="0"/>
    <n v="0"/>
    <n v="0"/>
    <n v="1"/>
    <n v="0"/>
    <n v="0"/>
    <n v="0"/>
    <n v="0"/>
    <n v="0"/>
    <n v="0"/>
    <n v="0"/>
    <x v="0"/>
    <n v="0"/>
    <n v="0"/>
    <x v="2"/>
    <x v="6"/>
    <x v="2"/>
    <n v="0"/>
    <n v="0"/>
    <n v="197114"/>
    <x v="0"/>
    <m/>
  </r>
  <r>
    <x v="0"/>
    <x v="16"/>
    <x v="17"/>
    <s v="BMZ"/>
    <x v="1"/>
    <x v="19"/>
    <x v="2"/>
    <x v="299"/>
    <n v="130"/>
    <n v="398"/>
    <d v="2017-01-01T00:00:00"/>
    <d v="2021-12-21T00:00:00"/>
    <m/>
    <m/>
    <m/>
    <m/>
    <m/>
    <m/>
    <m/>
    <m/>
    <m/>
    <m/>
    <m/>
    <m/>
    <m/>
    <m/>
    <m/>
    <m/>
    <m/>
    <m/>
    <m/>
    <m/>
    <m/>
    <m/>
    <m/>
    <m/>
    <m/>
    <m/>
    <m/>
    <m/>
    <m/>
    <m/>
    <m/>
    <m/>
    <m/>
    <m/>
    <m/>
    <m/>
    <m/>
    <x v="1"/>
    <x v="1"/>
    <m/>
    <m/>
    <m/>
    <m/>
    <m/>
    <m/>
    <m/>
    <m/>
    <m/>
    <m/>
    <m/>
    <m/>
    <m/>
    <m/>
    <m/>
    <m/>
    <m/>
    <s v="no test"/>
    <s v="no test"/>
    <x v="1"/>
    <n v="0"/>
    <n v="0"/>
    <n v="0"/>
    <n v="0"/>
    <n v="0"/>
    <n v="0"/>
    <n v="0"/>
    <n v="0"/>
    <n v="0"/>
    <n v="0"/>
    <n v="0"/>
    <n v="0"/>
    <n v="0"/>
    <n v="0"/>
    <n v="1"/>
    <n v="398"/>
    <n v="1"/>
    <n v="1"/>
    <n v="0"/>
    <n v="0"/>
    <n v="0"/>
    <s v="N/A"/>
    <s v="NA"/>
    <n v="66"/>
    <n v="66"/>
    <n v="1"/>
    <n v="0"/>
    <n v="0"/>
    <n v="0"/>
    <n v="0"/>
    <n v="0"/>
    <n v="0"/>
    <n v="0"/>
    <n v="1"/>
    <n v="0"/>
    <n v="0"/>
    <n v="0"/>
    <n v="0"/>
    <n v="0"/>
    <n v="0"/>
    <n v="0"/>
    <x v="0"/>
    <n v="0"/>
    <n v="0"/>
    <x v="2"/>
    <x v="6"/>
    <x v="2"/>
    <n v="0"/>
    <n v="0"/>
    <n v="197111"/>
    <x v="0"/>
    <m/>
  </r>
  <r>
    <x v="0"/>
    <x v="16"/>
    <x v="17"/>
    <s v="BMZ"/>
    <x v="1"/>
    <x v="19"/>
    <x v="2"/>
    <x v="300"/>
    <n v="191"/>
    <n v="713"/>
    <d v="2017-01-01T00:00:00"/>
    <d v="2021-12-21T00:00:00"/>
    <m/>
    <m/>
    <m/>
    <m/>
    <m/>
    <m/>
    <m/>
    <m/>
    <m/>
    <m/>
    <m/>
    <m/>
    <m/>
    <m/>
    <m/>
    <m/>
    <m/>
    <m/>
    <m/>
    <m/>
    <m/>
    <m/>
    <m/>
    <m/>
    <m/>
    <m/>
    <m/>
    <m/>
    <m/>
    <m/>
    <m/>
    <m/>
    <m/>
    <m/>
    <m/>
    <m/>
    <m/>
    <x v="1"/>
    <x v="1"/>
    <m/>
    <m/>
    <m/>
    <m/>
    <m/>
    <m/>
    <m/>
    <m/>
    <m/>
    <m/>
    <m/>
    <m/>
    <m/>
    <m/>
    <m/>
    <m/>
    <m/>
    <s v="no test"/>
    <s v="no test"/>
    <x v="1"/>
    <n v="0"/>
    <n v="0"/>
    <n v="0"/>
    <n v="0"/>
    <n v="0"/>
    <n v="0"/>
    <n v="0"/>
    <n v="0"/>
    <n v="0"/>
    <n v="0"/>
    <n v="0"/>
    <n v="0"/>
    <n v="0"/>
    <n v="0"/>
    <n v="1"/>
    <n v="713"/>
    <n v="1"/>
    <n v="1"/>
    <n v="0"/>
    <n v="0"/>
    <n v="0"/>
    <s v="N/A"/>
    <s v="NA"/>
    <n v="119"/>
    <n v="119"/>
    <n v="1"/>
    <n v="0"/>
    <n v="0"/>
    <n v="0"/>
    <n v="0"/>
    <n v="0"/>
    <n v="0"/>
    <n v="0"/>
    <n v="1"/>
    <n v="0"/>
    <n v="0"/>
    <n v="0"/>
    <n v="0"/>
    <n v="0"/>
    <n v="0"/>
    <n v="0"/>
    <x v="0"/>
    <n v="0"/>
    <n v="0"/>
    <x v="2"/>
    <x v="6"/>
    <x v="2"/>
    <n v="0"/>
    <n v="0"/>
    <n v="197112"/>
    <x v="0"/>
    <m/>
  </r>
  <r>
    <x v="0"/>
    <x v="16"/>
    <x v="17"/>
    <s v="BMZ"/>
    <x v="1"/>
    <x v="19"/>
    <x v="2"/>
    <x v="301"/>
    <n v="27"/>
    <n v="53"/>
    <d v="2017-01-01T00:00:00"/>
    <d v="2021-12-21T00:00:00"/>
    <m/>
    <m/>
    <m/>
    <m/>
    <m/>
    <m/>
    <m/>
    <m/>
    <m/>
    <m/>
    <m/>
    <m/>
    <m/>
    <m/>
    <m/>
    <m/>
    <m/>
    <m/>
    <m/>
    <m/>
    <m/>
    <m/>
    <m/>
    <m/>
    <m/>
    <m/>
    <m/>
    <m/>
    <m/>
    <m/>
    <m/>
    <m/>
    <m/>
    <m/>
    <m/>
    <m/>
    <m/>
    <x v="1"/>
    <x v="1"/>
    <m/>
    <m/>
    <m/>
    <m/>
    <m/>
    <m/>
    <m/>
    <m/>
    <m/>
    <m/>
    <m/>
    <m/>
    <m/>
    <m/>
    <m/>
    <m/>
    <m/>
    <s v="no test"/>
    <s v="no test"/>
    <x v="1"/>
    <n v="0"/>
    <n v="0"/>
    <n v="0"/>
    <n v="0"/>
    <n v="0"/>
    <n v="0"/>
    <n v="0"/>
    <n v="0"/>
    <n v="0"/>
    <n v="0"/>
    <n v="0"/>
    <n v="0"/>
    <n v="0"/>
    <n v="0"/>
    <n v="1"/>
    <n v="53"/>
    <n v="1"/>
    <n v="1"/>
    <n v="0"/>
    <n v="0"/>
    <n v="0"/>
    <s v="N/A"/>
    <s v="NA"/>
    <n v="9"/>
    <n v="9"/>
    <n v="1"/>
    <n v="0"/>
    <n v="0"/>
    <n v="0"/>
    <n v="0"/>
    <n v="0"/>
    <n v="0"/>
    <n v="0"/>
    <n v="1"/>
    <n v="0"/>
    <n v="0"/>
    <n v="0"/>
    <n v="0"/>
    <n v="0"/>
    <n v="0"/>
    <n v="0"/>
    <x v="0"/>
    <n v="0"/>
    <n v="0"/>
    <x v="2"/>
    <x v="6"/>
    <x v="2"/>
    <n v="0"/>
    <n v="0"/>
    <n v="220653"/>
    <x v="0"/>
    <m/>
  </r>
  <r>
    <x v="0"/>
    <x v="16"/>
    <x v="17"/>
    <s v="BMZ"/>
    <x v="1"/>
    <x v="19"/>
    <x v="2"/>
    <x v="302"/>
    <n v="63"/>
    <n v="249"/>
    <d v="2017-01-01T00:00:00"/>
    <d v="2021-12-21T00:00:00"/>
    <m/>
    <m/>
    <m/>
    <m/>
    <m/>
    <m/>
    <m/>
    <m/>
    <m/>
    <m/>
    <m/>
    <m/>
    <m/>
    <m/>
    <m/>
    <m/>
    <m/>
    <m/>
    <m/>
    <m/>
    <m/>
    <m/>
    <m/>
    <m/>
    <m/>
    <m/>
    <m/>
    <m/>
    <m/>
    <m/>
    <m/>
    <m/>
    <m/>
    <m/>
    <m/>
    <m/>
    <m/>
    <x v="1"/>
    <x v="1"/>
    <m/>
    <m/>
    <m/>
    <m/>
    <m/>
    <m/>
    <m/>
    <m/>
    <m/>
    <m/>
    <m/>
    <m/>
    <m/>
    <m/>
    <m/>
    <m/>
    <m/>
    <s v="no test"/>
    <s v="no test"/>
    <x v="1"/>
    <n v="0"/>
    <n v="0"/>
    <n v="0"/>
    <n v="0"/>
    <n v="0"/>
    <n v="0"/>
    <n v="0"/>
    <n v="0"/>
    <n v="0"/>
    <n v="0"/>
    <n v="0"/>
    <n v="0"/>
    <n v="0"/>
    <n v="0"/>
    <n v="1"/>
    <n v="249"/>
    <n v="1"/>
    <n v="1"/>
    <n v="0"/>
    <n v="0"/>
    <n v="0"/>
    <s v="N/A"/>
    <s v="NA"/>
    <n v="42"/>
    <n v="42"/>
    <n v="1"/>
    <n v="0"/>
    <n v="0"/>
    <n v="0"/>
    <n v="0"/>
    <n v="0"/>
    <n v="0"/>
    <n v="0"/>
    <n v="1"/>
    <n v="0"/>
    <n v="0"/>
    <n v="0"/>
    <n v="0"/>
    <n v="0"/>
    <n v="0"/>
    <n v="0"/>
    <x v="0"/>
    <n v="0"/>
    <n v="0"/>
    <x v="2"/>
    <x v="6"/>
    <x v="2"/>
    <n v="0"/>
    <n v="0"/>
    <n v="197110"/>
    <x v="0"/>
    <m/>
  </r>
  <r>
    <x v="0"/>
    <x v="14"/>
    <x v="15"/>
    <s v="DFID/HARP"/>
    <x v="1"/>
    <x v="18"/>
    <x v="1"/>
    <x v="303"/>
    <n v="1311"/>
    <n v="6936"/>
    <m/>
    <d v="2020-09-30T00:00:00"/>
    <m/>
    <m/>
    <m/>
    <s v=" -   "/>
    <m/>
    <m/>
    <m/>
    <m/>
    <m/>
    <m/>
    <m/>
    <m/>
    <m/>
    <s v=" -   "/>
    <m/>
    <m/>
    <m/>
    <m/>
    <m/>
    <m/>
    <m/>
    <m/>
    <m/>
    <m/>
    <m/>
    <n v="2"/>
    <m/>
    <m/>
    <m/>
    <m/>
    <m/>
    <m/>
    <m/>
    <m/>
    <m/>
    <m/>
    <m/>
    <x v="0"/>
    <x v="0"/>
    <m/>
    <m/>
    <m/>
    <m/>
    <m/>
    <m/>
    <m/>
    <m/>
    <m/>
    <n v="8"/>
    <n v="5"/>
    <n v="1350"/>
    <n v="1350"/>
    <m/>
    <n v="33"/>
    <m/>
    <m/>
    <s v="no test"/>
    <s v="no test"/>
    <x v="1"/>
    <n v="0"/>
    <n v="0"/>
    <n v="0"/>
    <n v="0"/>
    <n v="0"/>
    <n v="0"/>
    <n v="0"/>
    <n v="0"/>
    <n v="0"/>
    <n v="0"/>
    <n v="0"/>
    <n v="0"/>
    <n v="0"/>
    <n v="0"/>
    <n v="1"/>
    <n v="6936"/>
    <n v="14"/>
    <n v="14"/>
    <n v="0"/>
    <n v="0"/>
    <n v="0"/>
    <n v="0"/>
    <n v="0"/>
    <n v="347"/>
    <n v="347"/>
    <n v="1"/>
    <n v="0"/>
    <n v="6500"/>
    <n v="6750"/>
    <n v="6750"/>
    <n v="6750"/>
    <n v="6750"/>
    <n v="0.97318339100346019"/>
    <n v="2.6816608996539815E-2"/>
    <n v="0.93713956170703572"/>
    <n v="1"/>
    <n v="1"/>
    <n v="0"/>
    <n v="0"/>
    <n v="0"/>
    <n v="0"/>
    <x v="0"/>
    <s v="Yes"/>
    <n v="0"/>
    <x v="0"/>
    <x v="7"/>
    <x v="3"/>
    <n v="20.181405999999999"/>
    <n v="92.807552000000001"/>
    <s v="MMR012CMP114"/>
    <x v="0"/>
    <m/>
  </r>
  <r>
    <x v="0"/>
    <x v="14"/>
    <x v="15"/>
    <s v="DFID/HARP"/>
    <x v="1"/>
    <x v="18"/>
    <x v="1"/>
    <x v="304"/>
    <n v="2009"/>
    <n v="11625"/>
    <m/>
    <d v="2020-09-30T00:00:00"/>
    <m/>
    <m/>
    <m/>
    <s v=" -   "/>
    <m/>
    <m/>
    <m/>
    <m/>
    <m/>
    <m/>
    <n v="92"/>
    <m/>
    <n v="18"/>
    <n v="67"/>
    <m/>
    <m/>
    <m/>
    <m/>
    <m/>
    <m/>
    <m/>
    <n v="92"/>
    <n v="67"/>
    <n v="4"/>
    <n v="91"/>
    <n v="3"/>
    <m/>
    <m/>
    <m/>
    <n v="498"/>
    <m/>
    <m/>
    <n v="85"/>
    <n v="211"/>
    <n v="239"/>
    <m/>
    <n v="498"/>
    <x v="0"/>
    <x v="0"/>
    <m/>
    <m/>
    <m/>
    <m/>
    <m/>
    <m/>
    <m/>
    <m/>
    <m/>
    <n v="12"/>
    <n v="6"/>
    <n v="2003"/>
    <n v="2003"/>
    <m/>
    <n v="48"/>
    <m/>
    <m/>
    <n v="5.9701492537313432E-2"/>
    <n v="3.2967032967032968E-2"/>
    <x v="0"/>
    <n v="0"/>
    <n v="74"/>
    <n v="0"/>
    <n v="0"/>
    <n v="0"/>
    <n v="1"/>
    <n v="1"/>
    <n v="1"/>
    <n v="11625"/>
    <n v="0"/>
    <n v="0"/>
    <n v="1"/>
    <n v="11625"/>
    <n v="23.25"/>
    <n v="0"/>
    <n v="0"/>
    <n v="0"/>
    <n v="23"/>
    <n v="413"/>
    <n v="0.71053763440860218"/>
    <n v="8260"/>
    <n v="4780"/>
    <n v="0"/>
    <n v="581"/>
    <n v="83"/>
    <n v="0.28946236559139782"/>
    <n v="0.17068273092369479"/>
    <n v="9000"/>
    <n v="10015"/>
    <n v="10015"/>
    <n v="10015"/>
    <n v="10015"/>
    <n v="0.86150537634408597"/>
    <n v="0.13849462365591403"/>
    <n v="0.77419354838709675"/>
    <n v="0.99701343952215027"/>
    <n v="0.99701343952215027"/>
    <n v="0"/>
    <n v="0"/>
    <n v="0"/>
    <n v="0"/>
    <x v="0"/>
    <s v="Yes"/>
    <n v="0"/>
    <x v="0"/>
    <x v="7"/>
    <x v="3"/>
    <n v="20.16846"/>
    <n v="92.827427"/>
    <s v="MMR012CMP041"/>
    <x v="0"/>
    <m/>
  </r>
  <r>
    <x v="0"/>
    <x v="14"/>
    <x v="15"/>
    <s v="DFID/HARP"/>
    <x v="1"/>
    <x v="18"/>
    <x v="1"/>
    <x v="305"/>
    <n v="604"/>
    <n v="3360"/>
    <m/>
    <d v="2020-09-30T00:00:00"/>
    <m/>
    <m/>
    <m/>
    <s v=" -   "/>
    <m/>
    <m/>
    <m/>
    <m/>
    <m/>
    <m/>
    <n v="20"/>
    <m/>
    <n v="1"/>
    <n v="1"/>
    <m/>
    <m/>
    <m/>
    <m/>
    <m/>
    <m/>
    <m/>
    <n v="20"/>
    <n v="21"/>
    <n v="1"/>
    <n v="26"/>
    <n v="1"/>
    <m/>
    <m/>
    <m/>
    <m/>
    <m/>
    <m/>
    <m/>
    <n v="0"/>
    <n v="0"/>
    <m/>
    <m/>
    <x v="0"/>
    <x v="2"/>
    <m/>
    <m/>
    <m/>
    <m/>
    <m/>
    <m/>
    <m/>
    <m/>
    <m/>
    <n v="8"/>
    <n v="3"/>
    <n v="594"/>
    <n v="594"/>
    <m/>
    <n v="35"/>
    <m/>
    <m/>
    <n v="4.7619047619047616E-2"/>
    <n v="3.8461538461538464E-2"/>
    <x v="0"/>
    <n v="0"/>
    <n v="19"/>
    <n v="0"/>
    <n v="0"/>
    <n v="0"/>
    <n v="1"/>
    <n v="1"/>
    <n v="1"/>
    <n v="3360"/>
    <n v="0"/>
    <n v="0"/>
    <n v="1"/>
    <n v="3360"/>
    <n v="6.72"/>
    <n v="0"/>
    <n v="0"/>
    <n v="0.28000000000000025"/>
    <n v="7"/>
    <n v="0"/>
    <n v="0"/>
    <n v="0"/>
    <n v="0"/>
    <n v="0"/>
    <n v="168"/>
    <n v="168"/>
    <n v="1"/>
    <n v="0"/>
    <n v="3360"/>
    <n v="2970"/>
    <n v="2970"/>
    <n v="2970"/>
    <n v="3360"/>
    <n v="1"/>
    <n v="0"/>
    <n v="1"/>
    <n v="0.98344370860927155"/>
    <n v="0.98344370860927155"/>
    <n v="0"/>
    <n v="0"/>
    <n v="0"/>
    <n v="0"/>
    <x v="0"/>
    <s v="Yes"/>
    <n v="0"/>
    <x v="0"/>
    <x v="1"/>
    <x v="3"/>
    <n v="20.167421999999998"/>
    <n v="92.830074999999994"/>
    <s v="MMR012CMP097"/>
    <x v="0"/>
    <m/>
  </r>
  <r>
    <x v="0"/>
    <x v="14"/>
    <x v="15"/>
    <m/>
    <x v="1"/>
    <x v="18"/>
    <x v="1"/>
    <x v="306"/>
    <n v="14"/>
    <n v="93"/>
    <m/>
    <m/>
    <m/>
    <m/>
    <m/>
    <s v=" -   "/>
    <m/>
    <m/>
    <m/>
    <m/>
    <m/>
    <m/>
    <m/>
    <m/>
    <m/>
    <s v=" -   "/>
    <m/>
    <m/>
    <m/>
    <m/>
    <m/>
    <m/>
    <m/>
    <s v=" -   "/>
    <m/>
    <m/>
    <m/>
    <m/>
    <m/>
    <m/>
    <m/>
    <m/>
    <m/>
    <m/>
    <m/>
    <n v="0"/>
    <n v="0"/>
    <m/>
    <m/>
    <x v="0"/>
    <x v="2"/>
    <m/>
    <m/>
    <m/>
    <m/>
    <m/>
    <m/>
    <m/>
    <m/>
    <m/>
    <m/>
    <m/>
    <m/>
    <m/>
    <m/>
    <m/>
    <m/>
    <m/>
    <s v="no test"/>
    <s v="no test"/>
    <x v="1"/>
    <n v="0"/>
    <n v="0"/>
    <n v="0"/>
    <n v="0"/>
    <n v="0"/>
    <n v="0"/>
    <n v="0"/>
    <n v="0"/>
    <n v="0"/>
    <n v="0"/>
    <n v="0"/>
    <n v="0"/>
    <n v="0"/>
    <n v="0"/>
    <n v="1"/>
    <n v="93"/>
    <n v="1"/>
    <n v="1"/>
    <n v="0"/>
    <n v="0"/>
    <n v="0"/>
    <n v="0"/>
    <n v="0"/>
    <n v="5"/>
    <n v="5"/>
    <n v="1"/>
    <n v="0"/>
    <n v="0"/>
    <n v="0"/>
    <n v="0"/>
    <n v="0"/>
    <n v="0"/>
    <n v="0"/>
    <n v="1"/>
    <n v="0"/>
    <n v="0"/>
    <n v="0"/>
    <n v="0"/>
    <n v="0"/>
    <n v="0"/>
    <n v="0"/>
    <x v="0"/>
    <s v="Yes"/>
    <n v="0"/>
    <x v="0"/>
    <x v="1"/>
    <x v="3"/>
    <n v="20.182987000000001"/>
    <n v="92.804803000000007"/>
    <s v="MMR012CMP103"/>
    <x v="0"/>
    <m/>
  </r>
  <r>
    <x v="0"/>
    <x v="18"/>
    <x v="19"/>
    <s v="DFID/HARP,LDS"/>
    <x v="1"/>
    <x v="18"/>
    <x v="1"/>
    <x v="307"/>
    <n v="400"/>
    <n v="2248"/>
    <m/>
    <s v="09/30/2020, 1/30/2019"/>
    <m/>
    <m/>
    <m/>
    <s v=" -   "/>
    <m/>
    <m/>
    <m/>
    <m/>
    <m/>
    <m/>
    <n v="55"/>
    <m/>
    <n v="10"/>
    <s v=" -   "/>
    <m/>
    <m/>
    <m/>
    <m/>
    <m/>
    <m/>
    <m/>
    <n v="55"/>
    <m/>
    <m/>
    <m/>
    <m/>
    <m/>
    <m/>
    <m/>
    <n v="106"/>
    <m/>
    <m/>
    <n v="5"/>
    <n v="0"/>
    <n v="67"/>
    <m/>
    <n v="106"/>
    <x v="0"/>
    <x v="0"/>
    <m/>
    <m/>
    <m/>
    <m/>
    <m/>
    <m/>
    <m/>
    <m/>
    <m/>
    <n v="9"/>
    <m/>
    <n v="400"/>
    <n v="400"/>
    <s v="Yes"/>
    <n v="0"/>
    <m/>
    <m/>
    <s v="no test"/>
    <s v="no test"/>
    <x v="1"/>
    <n v="0"/>
    <n v="45"/>
    <n v="0"/>
    <n v="0"/>
    <n v="0"/>
    <n v="1"/>
    <n v="1"/>
    <n v="1"/>
    <n v="2248"/>
    <n v="0"/>
    <n v="0"/>
    <n v="1"/>
    <n v="2248"/>
    <n v="4.4960000000000004"/>
    <n v="0"/>
    <n v="0"/>
    <n v="0"/>
    <n v="4"/>
    <n v="101"/>
    <n v="0.89857651245551606"/>
    <n v="2020"/>
    <n v="1340"/>
    <n v="0"/>
    <n v="112"/>
    <n v="6"/>
    <n v="0.10142348754448394"/>
    <n v="4.716981132075472E-2"/>
    <n v="2248"/>
    <n v="2248"/>
    <n v="2248"/>
    <n v="2248"/>
    <n v="2248"/>
    <n v="1"/>
    <n v="0"/>
    <n v="1"/>
    <n v="1"/>
    <n v="1"/>
    <n v="0"/>
    <n v="0"/>
    <n v="0"/>
    <n v="0"/>
    <x v="0"/>
    <s v="Yes"/>
    <n v="0"/>
    <x v="0"/>
    <x v="7"/>
    <x v="3"/>
    <n v="20.181778000000001"/>
    <n v="92.823166999999998"/>
    <s v="MMR012CMP042"/>
    <x v="0"/>
    <m/>
  </r>
  <r>
    <x v="0"/>
    <x v="14"/>
    <x v="15"/>
    <s v="DFID/HARP"/>
    <x v="1"/>
    <x v="18"/>
    <x v="1"/>
    <x v="308"/>
    <n v="400"/>
    <n v="2186"/>
    <m/>
    <d v="2020-09-30T00:00:00"/>
    <m/>
    <m/>
    <m/>
    <s v=" -   "/>
    <m/>
    <m/>
    <m/>
    <m/>
    <m/>
    <m/>
    <n v="29"/>
    <m/>
    <n v="2"/>
    <n v="9"/>
    <m/>
    <m/>
    <m/>
    <m/>
    <m/>
    <m/>
    <m/>
    <n v="29"/>
    <m/>
    <m/>
    <m/>
    <n v="4"/>
    <m/>
    <m/>
    <m/>
    <n v="104"/>
    <m/>
    <m/>
    <n v="18"/>
    <n v="1"/>
    <n v="38"/>
    <m/>
    <n v="104"/>
    <x v="0"/>
    <x v="0"/>
    <m/>
    <m/>
    <m/>
    <m/>
    <m/>
    <m/>
    <m/>
    <m/>
    <m/>
    <n v="4"/>
    <n v="2"/>
    <n v="400"/>
    <n v="400"/>
    <m/>
    <n v="30"/>
    <m/>
    <m/>
    <s v="no test"/>
    <s v="no test"/>
    <x v="1"/>
    <n v="0"/>
    <n v="27"/>
    <n v="0"/>
    <n v="0"/>
    <n v="0"/>
    <n v="1"/>
    <n v="1"/>
    <n v="1"/>
    <n v="2186"/>
    <n v="0"/>
    <n v="0"/>
    <n v="1"/>
    <n v="2186"/>
    <n v="4.3719999999999999"/>
    <n v="0"/>
    <n v="0"/>
    <n v="0"/>
    <n v="4"/>
    <n v="86"/>
    <n v="0.78682525160109784"/>
    <n v="1720"/>
    <n v="760"/>
    <n v="0"/>
    <n v="109"/>
    <n v="5"/>
    <n v="0.21317474839890216"/>
    <n v="0.17307692307692307"/>
    <n v="2186"/>
    <n v="2186"/>
    <n v="2186"/>
    <n v="2186"/>
    <n v="2186"/>
    <n v="1"/>
    <n v="0"/>
    <n v="1"/>
    <n v="1"/>
    <n v="1"/>
    <n v="0"/>
    <n v="0"/>
    <n v="0"/>
    <n v="0"/>
    <x v="0"/>
    <n v="0"/>
    <n v="0"/>
    <x v="0"/>
    <x v="7"/>
    <x v="3"/>
    <n v="20.180194"/>
    <n v="92.816638999999995"/>
    <s v="MMR012CMP042"/>
    <x v="0"/>
    <m/>
  </r>
  <r>
    <x v="0"/>
    <x v="17"/>
    <x v="18"/>
    <s v="DFID/HARP"/>
    <x v="1"/>
    <x v="18"/>
    <x v="1"/>
    <x v="309"/>
    <n v="656"/>
    <n v="3486"/>
    <m/>
    <d v="2020-09-30T00:00:00"/>
    <m/>
    <m/>
    <m/>
    <s v=" -   "/>
    <m/>
    <m/>
    <m/>
    <m/>
    <m/>
    <m/>
    <n v="46"/>
    <m/>
    <n v="17"/>
    <n v="13"/>
    <m/>
    <m/>
    <m/>
    <m/>
    <m/>
    <m/>
    <m/>
    <n v="46"/>
    <n v="30"/>
    <n v="2"/>
    <n v="59"/>
    <n v="16"/>
    <m/>
    <m/>
    <m/>
    <n v="241"/>
    <m/>
    <m/>
    <n v="78"/>
    <n v="134"/>
    <n v="114"/>
    <m/>
    <n v="241"/>
    <x v="0"/>
    <x v="0"/>
    <m/>
    <m/>
    <m/>
    <m/>
    <m/>
    <m/>
    <m/>
    <m/>
    <m/>
    <n v="7"/>
    <m/>
    <n v="656"/>
    <n v="656"/>
    <s v="Yes"/>
    <n v="39"/>
    <m/>
    <m/>
    <n v="6.6666666666666666E-2"/>
    <n v="0.2711864406779661"/>
    <x v="0"/>
    <n v="0"/>
    <n v="29"/>
    <n v="0"/>
    <n v="0"/>
    <n v="0"/>
    <n v="1"/>
    <n v="1"/>
    <n v="1"/>
    <n v="3486"/>
    <n v="0"/>
    <n v="0"/>
    <n v="1"/>
    <n v="3486"/>
    <n v="6.9720000000000004"/>
    <n v="0"/>
    <n v="0"/>
    <n v="2.7999999999999581E-2"/>
    <n v="7"/>
    <n v="163"/>
    <n v="0.93516924842226046"/>
    <n v="3260"/>
    <n v="2280"/>
    <n v="0"/>
    <n v="174"/>
    <n v="0"/>
    <n v="6.4830751577739543E-2"/>
    <n v="0.32365145228215769"/>
    <n v="3486"/>
    <n v="3486"/>
    <n v="3486"/>
    <n v="3486"/>
    <n v="3486"/>
    <n v="1"/>
    <n v="0"/>
    <n v="1"/>
    <n v="1"/>
    <n v="1"/>
    <n v="0"/>
    <n v="0"/>
    <n v="0"/>
    <n v="0"/>
    <x v="0"/>
    <s v="Yes"/>
    <n v="0"/>
    <x v="0"/>
    <x v="7"/>
    <x v="3"/>
    <n v="20.185917"/>
    <n v="92.831000000000003"/>
    <s v="MMR012CMP092"/>
    <x v="0"/>
    <m/>
  </r>
  <r>
    <x v="0"/>
    <x v="17"/>
    <x v="18"/>
    <s v="DFID/HARP"/>
    <x v="1"/>
    <x v="18"/>
    <x v="1"/>
    <x v="310"/>
    <n v="673"/>
    <n v="3095"/>
    <m/>
    <d v="2020-09-30T00:00:00"/>
    <m/>
    <m/>
    <m/>
    <s v=" -   "/>
    <m/>
    <m/>
    <m/>
    <m/>
    <m/>
    <m/>
    <n v="80"/>
    <m/>
    <n v="14"/>
    <s v=" -   "/>
    <m/>
    <m/>
    <m/>
    <m/>
    <m/>
    <m/>
    <m/>
    <n v="80"/>
    <n v="2"/>
    <m/>
    <m/>
    <m/>
    <m/>
    <m/>
    <m/>
    <n v="175"/>
    <m/>
    <m/>
    <n v="14"/>
    <n v="0"/>
    <n v="14"/>
    <m/>
    <n v="175"/>
    <x v="0"/>
    <x v="0"/>
    <m/>
    <m/>
    <m/>
    <m/>
    <m/>
    <m/>
    <m/>
    <m/>
    <m/>
    <n v="6"/>
    <m/>
    <n v="705"/>
    <n v="705"/>
    <s v="Yes"/>
    <n v="3"/>
    <m/>
    <m/>
    <n v="0"/>
    <s v="no test"/>
    <x v="0"/>
    <n v="0"/>
    <n v="66"/>
    <n v="0"/>
    <n v="0"/>
    <n v="0"/>
    <n v="1"/>
    <n v="1"/>
    <n v="1"/>
    <n v="3095"/>
    <n v="0"/>
    <n v="0"/>
    <n v="1"/>
    <n v="3095"/>
    <n v="6.19"/>
    <n v="0"/>
    <n v="0"/>
    <n v="0"/>
    <n v="6"/>
    <n v="161"/>
    <n v="1"/>
    <n v="3095"/>
    <n v="280"/>
    <n v="0"/>
    <n v="155"/>
    <n v="0"/>
    <n v="0"/>
    <n v="0.08"/>
    <n v="3000"/>
    <n v="3095"/>
    <n v="3095"/>
    <n v="3095"/>
    <n v="3095"/>
    <n v="1"/>
    <n v="0"/>
    <n v="0.96930533117932149"/>
    <n v="1"/>
    <n v="1"/>
    <n v="0"/>
    <n v="0"/>
    <n v="0"/>
    <n v="0"/>
    <x v="0"/>
    <s v="Yes"/>
    <n v="0"/>
    <x v="0"/>
    <x v="7"/>
    <x v="3"/>
    <n v="20.206778"/>
    <n v="92.774193999999994"/>
    <s v="MMR012CMP098"/>
    <x v="0"/>
    <m/>
  </r>
  <r>
    <x v="0"/>
    <x v="17"/>
    <x v="18"/>
    <s v="DFID/HARP"/>
    <x v="1"/>
    <x v="18"/>
    <x v="1"/>
    <x v="311"/>
    <n v="2428"/>
    <n v="13302"/>
    <m/>
    <d v="2020-09-30T00:00:00"/>
    <m/>
    <m/>
    <m/>
    <s v=" -   "/>
    <m/>
    <m/>
    <m/>
    <m/>
    <m/>
    <m/>
    <n v="226"/>
    <m/>
    <n v="117"/>
    <n v="26"/>
    <m/>
    <m/>
    <m/>
    <m/>
    <m/>
    <m/>
    <m/>
    <n v="226"/>
    <m/>
    <m/>
    <m/>
    <m/>
    <m/>
    <m/>
    <m/>
    <n v="778"/>
    <m/>
    <m/>
    <n v="431"/>
    <n v="242"/>
    <n v="359"/>
    <m/>
    <n v="778"/>
    <x v="0"/>
    <x v="0"/>
    <m/>
    <m/>
    <m/>
    <m/>
    <m/>
    <m/>
    <m/>
    <m/>
    <m/>
    <n v="28"/>
    <m/>
    <n v="2728"/>
    <n v="2728"/>
    <s v="Yes"/>
    <n v="58"/>
    <m/>
    <m/>
    <s v="no test"/>
    <s v="no test"/>
    <x v="1"/>
    <n v="0"/>
    <n v="109"/>
    <n v="0"/>
    <n v="0"/>
    <n v="0"/>
    <n v="1"/>
    <n v="1"/>
    <n v="1"/>
    <n v="13302"/>
    <n v="0"/>
    <n v="0"/>
    <n v="1"/>
    <n v="13302"/>
    <n v="26.603999999999999"/>
    <n v="0"/>
    <n v="0"/>
    <n v="0.3960000000000008"/>
    <n v="27"/>
    <n v="347"/>
    <n v="0.52172605623214552"/>
    <n v="6940"/>
    <n v="7180"/>
    <n v="0"/>
    <n v="665"/>
    <n v="0"/>
    <n v="0.47827394376785448"/>
    <n v="0.55398457583547556"/>
    <n v="13302"/>
    <n v="13302"/>
    <n v="13302"/>
    <n v="13302"/>
    <n v="13302"/>
    <n v="1"/>
    <n v="0"/>
    <n v="1"/>
    <n v="1"/>
    <n v="1"/>
    <n v="0"/>
    <n v="0"/>
    <n v="0"/>
    <n v="0"/>
    <x v="0"/>
    <s v="Yes"/>
    <n v="0"/>
    <x v="0"/>
    <x v="7"/>
    <x v="3"/>
    <n v="20.18994"/>
    <n v="92.798880999999994"/>
    <s v="MMR012CMP115"/>
    <x v="0"/>
    <m/>
  </r>
  <r>
    <x v="0"/>
    <x v="19"/>
    <x v="20"/>
    <s v="MHF,EU"/>
    <x v="1"/>
    <x v="18"/>
    <x v="1"/>
    <x v="312"/>
    <n v="2259"/>
    <n v="11375"/>
    <s v="1-March-2019_x000a_1-March-2019"/>
    <s v="31-July-2019_x000a_31-Oct-2019"/>
    <n v="3256"/>
    <n v="12"/>
    <n v="162"/>
    <n v="0"/>
    <s v="No"/>
    <n v="98"/>
    <n v="76"/>
    <n v="0"/>
    <n v="0"/>
    <n v="0"/>
    <n v="151"/>
    <n v="101"/>
    <n v="42"/>
    <n v="135"/>
    <n v="0"/>
    <n v="0"/>
    <n v="0"/>
    <n v="0"/>
    <n v="0"/>
    <n v="0"/>
    <n v="0"/>
    <n v="2"/>
    <n v="100"/>
    <n v="7"/>
    <n v="120"/>
    <n v="45"/>
    <s v=" -   "/>
    <s v=" -   "/>
    <s v="During this time, the contamination at the water sources are not too serious relative to the usual Sittwe camps WASH situation (34%)_x000a_ but HH level contamination is higher than the water source(71%). Additionally, there are many private handpumps (around 120) which are owned by IDPs, some of which were built by other organisations then privatised - there are maintained by households themselves and we monitor the water quality but water treatment depends on the consultation and agreement, which was mostly accepted, but some households would not alow treatment (shock chlorination)."/>
    <n v="591"/>
    <n v="240"/>
    <m/>
    <n v="225"/>
    <n v="130"/>
    <n v="476"/>
    <s v="Around 18302.2"/>
    <n v="0"/>
    <x v="0"/>
    <x v="2"/>
    <n v="32"/>
    <n v="26"/>
    <n v="2"/>
    <s v="There have been some overflowing latrines in the camp and there are still challenges to cover all the latrine pits due to a high rate of theft/vandalism. The government provided 240 latrines which will be at high risk of flooding during the rainy season. DRC plans to repair 150 latrines and to construct 23 new latrines for people with disabilities (PwD)."/>
    <m/>
    <m/>
    <n v="0"/>
    <n v="0"/>
    <n v="0"/>
    <n v="12"/>
    <n v="10"/>
    <n v="2259"/>
    <n v="2259"/>
    <s v="No"/>
    <n v="0"/>
    <n v="0"/>
    <s v="RDC distributed 2259 kits based on needs identified by PDM (toothpaste,shampoo, _x000a_ jerry cans), and plans to conduct WASH in schools hygiene promotion sessions. According to the PDM results, the amount of sanitary pads is not enough for much female family members, so DRC is trying to identify funding to provide female hygiene kits."/>
    <n v="7.0000000000000007E-2"/>
    <n v="0.375"/>
    <x v="0"/>
    <n v="0"/>
    <n v="210"/>
    <n v="0"/>
    <n v="0"/>
    <n v="0"/>
    <n v="1"/>
    <n v="1"/>
    <n v="1"/>
    <n v="11375"/>
    <n v="0"/>
    <n v="0"/>
    <n v="1"/>
    <n v="11375"/>
    <n v="22.75"/>
    <n v="0"/>
    <n v="0"/>
    <n v="0.25"/>
    <n v="23"/>
    <n v="606"/>
    <n v="1"/>
    <n v="11375"/>
    <n v="9520"/>
    <n v="100"/>
    <n v="569"/>
    <n v="0"/>
    <n v="0"/>
    <n v="0.27075812274368233"/>
    <n v="11000"/>
    <n v="11375"/>
    <n v="11375"/>
    <n v="11375"/>
    <n v="11375"/>
    <n v="1"/>
    <n v="0"/>
    <n v="0.96703296703296704"/>
    <n v="1"/>
    <n v="1"/>
    <n v="0"/>
    <n v="0"/>
    <n v="0"/>
    <n v="0"/>
    <x v="1"/>
    <s v="Yes"/>
    <n v="0"/>
    <x v="0"/>
    <x v="7"/>
    <x v="3"/>
    <n v="20.185092000000001"/>
    <n v="92.802295999999998"/>
    <s v="MMR012CMP116"/>
    <x v="0"/>
    <m/>
  </r>
  <r>
    <x v="0"/>
    <x v="14"/>
    <x v="15"/>
    <s v="DFID/HARP, EU"/>
    <x v="1"/>
    <x v="18"/>
    <x v="2"/>
    <x v="313"/>
    <n v="427"/>
    <n v="2427"/>
    <m/>
    <d v="2020-09-30T00:00:00"/>
    <m/>
    <m/>
    <m/>
    <s v=" -   "/>
    <m/>
    <m/>
    <m/>
    <m/>
    <m/>
    <m/>
    <n v="17"/>
    <m/>
    <n v="0"/>
    <n v="0"/>
    <m/>
    <m/>
    <m/>
    <m/>
    <m/>
    <m/>
    <m/>
    <n v="17"/>
    <m/>
    <m/>
    <m/>
    <m/>
    <m/>
    <m/>
    <m/>
    <m/>
    <m/>
    <m/>
    <m/>
    <n v="0"/>
    <n v="0"/>
    <m/>
    <m/>
    <x v="0"/>
    <x v="2"/>
    <m/>
    <m/>
    <m/>
    <m/>
    <m/>
    <m/>
    <m/>
    <m/>
    <m/>
    <n v="3"/>
    <n v="1"/>
    <n v="423"/>
    <n v="423"/>
    <m/>
    <n v="36"/>
    <m/>
    <m/>
    <s v="no test"/>
    <s v="no test"/>
    <x v="1"/>
    <n v="0"/>
    <n v="17"/>
    <n v="0"/>
    <n v="0"/>
    <n v="0"/>
    <n v="1"/>
    <n v="1"/>
    <n v="1"/>
    <n v="2427"/>
    <n v="0"/>
    <n v="0"/>
    <n v="1"/>
    <n v="2427"/>
    <n v="4.8540000000000001"/>
    <n v="0"/>
    <n v="0"/>
    <n v="0.14599999999999991"/>
    <n v="5"/>
    <n v="0"/>
    <n v="0"/>
    <n v="0"/>
    <s v="N/A"/>
    <s v="NA"/>
    <n v="405"/>
    <n v="405"/>
    <n v="1"/>
    <n v="0"/>
    <n v="2000"/>
    <n v="2115"/>
    <n v="2115"/>
    <n v="2115"/>
    <n v="2115"/>
    <n v="0.87144622991347342"/>
    <n v="0.12855377008652658"/>
    <n v="0.82406262875978575"/>
    <n v="0.99063231850117095"/>
    <n v="0.99063231850117095"/>
    <n v="0"/>
    <n v="0"/>
    <n v="0"/>
    <n v="0"/>
    <x v="0"/>
    <n v="0"/>
    <n v="0"/>
    <x v="2"/>
    <x v="6"/>
    <x v="3"/>
    <n v="20.147863431600001"/>
    <n v="92.846768572000002"/>
    <n v="196209"/>
    <x v="0"/>
    <m/>
  </r>
  <r>
    <x v="0"/>
    <x v="19"/>
    <x v="20"/>
    <s v="MHF,EU"/>
    <x v="1"/>
    <x v="18"/>
    <x v="1"/>
    <x v="314"/>
    <n v="400"/>
    <n v="2285"/>
    <s v="1-March-2019_x000a_1-March-2019"/>
    <s v="31-July-2019_x000a_31-Oct-2019"/>
    <n v="346"/>
    <n v="5"/>
    <n v="43"/>
    <n v="0"/>
    <s v="No"/>
    <n v="31"/>
    <n v="17"/>
    <n v="0"/>
    <n v="0"/>
    <n v="0"/>
    <n v="30"/>
    <n v="14"/>
    <n v="1"/>
    <n v="29"/>
    <n v="0"/>
    <n v="0"/>
    <n v="0"/>
    <n v="0"/>
    <n v="0"/>
    <n v="0"/>
    <n v="0"/>
    <n v="0"/>
    <n v="30"/>
    <n v="7"/>
    <n v="70"/>
    <n v="20"/>
    <s v=" -   "/>
    <s v=" -   "/>
    <s v="During this time, the contamination at the water sources are not too serious relative to the usual Sittwe camps situation (27% were low risk and medium risk and were treated by shock chlorination)_x000a_ but HH level contamination is higher than the water source (86%were low risk,medium risk and high risk). Same issue with private handpumps as in OTG-S."/>
    <n v="100"/>
    <n v="0"/>
    <m/>
    <n v="58"/>
    <n v="100"/>
    <n v="196"/>
    <n v="3769"/>
    <n v="0"/>
    <x v="0"/>
    <x v="2"/>
    <n v="0"/>
    <n v="0"/>
    <n v="0"/>
    <s v="There has been a problem with overflowing latrine pits in the camp due to desludging capacity, and DRC is still having challenges to cover all the latrine pits (due to a hgh rate of theft and vandalism of the concrete covers). Overflowing of latrine pits is likely to be a challenge during the rainy season. DRC plans to repair 50 latrines and construct 12 adult latrines and 10 latrines for people with disabilities (PwD)."/>
    <m/>
    <m/>
    <n v="0"/>
    <n v="0"/>
    <n v="0"/>
    <n v="0"/>
    <n v="7"/>
    <n v="400"/>
    <n v="400"/>
    <s v="No"/>
    <n v="0"/>
    <n v="0"/>
    <s v="400 household kits (jerry cans, shampoo, toothpaste)_x000a_were distributed in repsonse to a PDM. DRC plans to conduct WASH in schools hygiene promotion sessions. According to the PDM result, the amount of sanitary pads is not enough for most female family members, so DRC is trying to identify funding to cover this gap."/>
    <n v="0.23333333333333334"/>
    <n v="0.2857142857142857"/>
    <x v="0"/>
    <n v="0"/>
    <n v="43"/>
    <n v="0"/>
    <n v="0"/>
    <n v="0"/>
    <n v="1"/>
    <n v="1"/>
    <n v="1"/>
    <n v="2285"/>
    <n v="0"/>
    <n v="0"/>
    <n v="1"/>
    <n v="2285"/>
    <n v="4.57"/>
    <n v="0"/>
    <n v="0"/>
    <n v="0.42999999999999972"/>
    <n v="5"/>
    <n v="42"/>
    <n v="0.36761487964989059"/>
    <n v="840"/>
    <n v="2285"/>
    <n v="0"/>
    <n v="114"/>
    <n v="14"/>
    <n v="0.63238512035010941"/>
    <n v="0.57999999999999996"/>
    <n v="2285"/>
    <n v="2285"/>
    <n v="2285"/>
    <n v="2285"/>
    <n v="2285"/>
    <n v="1"/>
    <n v="0"/>
    <n v="1"/>
    <n v="1"/>
    <n v="1"/>
    <n v="0"/>
    <n v="0"/>
    <n v="0"/>
    <n v="0"/>
    <x v="1"/>
    <n v="0"/>
    <n v="0"/>
    <x v="0"/>
    <x v="7"/>
    <x v="3"/>
    <n v="20.207284999999999"/>
    <n v="92.788177000000005"/>
    <s v="MMR012CMP045"/>
    <x v="0"/>
    <m/>
  </r>
  <r>
    <x v="0"/>
    <x v="14"/>
    <x v="15"/>
    <s v="DFID/HARP"/>
    <x v="1"/>
    <x v="18"/>
    <x v="2"/>
    <x v="315"/>
    <n v="249"/>
    <n v="1362"/>
    <m/>
    <d v="2020-09-30T00:00:00"/>
    <m/>
    <m/>
    <m/>
    <s v=" -   "/>
    <m/>
    <m/>
    <m/>
    <m/>
    <m/>
    <m/>
    <n v="28"/>
    <m/>
    <m/>
    <s v=" -   "/>
    <m/>
    <m/>
    <m/>
    <m/>
    <m/>
    <m/>
    <m/>
    <n v="28"/>
    <m/>
    <m/>
    <m/>
    <m/>
    <m/>
    <m/>
    <m/>
    <m/>
    <m/>
    <m/>
    <m/>
    <n v="0"/>
    <n v="0"/>
    <m/>
    <m/>
    <x v="0"/>
    <x v="2"/>
    <m/>
    <m/>
    <m/>
    <m/>
    <m/>
    <m/>
    <m/>
    <m/>
    <m/>
    <n v="1"/>
    <n v="1"/>
    <n v="0"/>
    <n v="0"/>
    <m/>
    <n v="0"/>
    <m/>
    <m/>
    <s v="no test"/>
    <s v="no test"/>
    <x v="1"/>
    <n v="0"/>
    <n v="28"/>
    <n v="0"/>
    <n v="0"/>
    <n v="0"/>
    <n v="1"/>
    <n v="1"/>
    <n v="1"/>
    <n v="1362"/>
    <n v="0"/>
    <n v="0"/>
    <n v="1"/>
    <n v="1362"/>
    <n v="2.7240000000000002"/>
    <n v="0"/>
    <n v="0"/>
    <n v="0.2759999999999998"/>
    <n v="3"/>
    <n v="0"/>
    <n v="0"/>
    <n v="0"/>
    <s v="N/A"/>
    <s v="NA"/>
    <n v="227"/>
    <n v="227"/>
    <n v="1"/>
    <n v="0"/>
    <n v="1000"/>
    <n v="0"/>
    <n v="0"/>
    <n v="0"/>
    <n v="1000"/>
    <n v="0.73421439060205584"/>
    <n v="0.26578560939794416"/>
    <n v="0.73421439060205584"/>
    <n v="0"/>
    <n v="0"/>
    <n v="0"/>
    <n v="0"/>
    <n v="0"/>
    <n v="0"/>
    <x v="0"/>
    <n v="0"/>
    <n v="0"/>
    <x v="2"/>
    <x v="9"/>
    <x v="4"/>
    <n v="20.151471999999998"/>
    <n v="92.887277999999995"/>
    <s v="MMR012CMP111"/>
    <x v="0"/>
    <m/>
  </r>
  <r>
    <x v="0"/>
    <x v="17"/>
    <x v="18"/>
    <s v="DFID/HARP"/>
    <x v="1"/>
    <x v="18"/>
    <x v="2"/>
    <x v="316"/>
    <n v="420"/>
    <n v="2179"/>
    <m/>
    <d v="2020-09-30T00:00:00"/>
    <m/>
    <m/>
    <m/>
    <s v=" -   "/>
    <m/>
    <m/>
    <m/>
    <m/>
    <m/>
    <m/>
    <m/>
    <m/>
    <m/>
    <s v=" -   "/>
    <m/>
    <m/>
    <m/>
    <m/>
    <m/>
    <m/>
    <m/>
    <s v=" -   "/>
    <m/>
    <m/>
    <m/>
    <m/>
    <m/>
    <m/>
    <m/>
    <m/>
    <m/>
    <m/>
    <m/>
    <n v="0"/>
    <n v="0"/>
    <m/>
    <m/>
    <x v="0"/>
    <x v="2"/>
    <m/>
    <m/>
    <m/>
    <m/>
    <m/>
    <m/>
    <m/>
    <m/>
    <m/>
    <n v="1"/>
    <m/>
    <n v="0"/>
    <n v="0"/>
    <m/>
    <n v="0"/>
    <m/>
    <m/>
    <s v="no test"/>
    <s v="no test"/>
    <x v="1"/>
    <n v="0"/>
    <n v="0"/>
    <n v="0"/>
    <n v="0"/>
    <n v="0"/>
    <n v="0"/>
    <n v="0"/>
    <n v="0"/>
    <n v="0"/>
    <n v="0"/>
    <n v="0"/>
    <n v="0"/>
    <n v="0"/>
    <n v="0"/>
    <n v="1"/>
    <n v="2179"/>
    <n v="4"/>
    <n v="4"/>
    <n v="0"/>
    <n v="0"/>
    <n v="0"/>
    <s v="N/A"/>
    <s v="NA"/>
    <n v="363"/>
    <n v="363"/>
    <n v="1"/>
    <n v="0"/>
    <n v="500"/>
    <n v="0"/>
    <n v="0"/>
    <n v="0"/>
    <n v="500"/>
    <n v="0.22946305644791187"/>
    <n v="0.77053694355208813"/>
    <n v="0.22946305644791187"/>
    <n v="0"/>
    <n v="0"/>
    <n v="0"/>
    <n v="0"/>
    <n v="0"/>
    <n v="0"/>
    <x v="0"/>
    <n v="0"/>
    <n v="0"/>
    <x v="2"/>
    <x v="9"/>
    <x v="4"/>
    <n v="20.151471999999998"/>
    <n v="92.887277999999995"/>
    <s v="MMR012CMP112"/>
    <x v="0"/>
    <m/>
  </r>
  <r>
    <x v="0"/>
    <x v="17"/>
    <x v="18"/>
    <s v="DFID/HARP"/>
    <x v="1"/>
    <x v="18"/>
    <x v="1"/>
    <x v="317"/>
    <n v="2280"/>
    <n v="11564"/>
    <m/>
    <d v="2020-09-30T00:00:00"/>
    <m/>
    <m/>
    <m/>
    <s v=" -   "/>
    <m/>
    <m/>
    <m/>
    <m/>
    <m/>
    <m/>
    <n v="198"/>
    <m/>
    <n v="44"/>
    <n v="44"/>
    <m/>
    <m/>
    <m/>
    <m/>
    <m/>
    <m/>
    <m/>
    <n v="198"/>
    <n v="149"/>
    <m/>
    <n v="103"/>
    <n v="7"/>
    <m/>
    <m/>
    <m/>
    <n v="520"/>
    <m/>
    <m/>
    <n v="62"/>
    <n v="152"/>
    <n v="242"/>
    <m/>
    <n v="520"/>
    <x v="0"/>
    <x v="0"/>
    <m/>
    <m/>
    <m/>
    <m/>
    <m/>
    <m/>
    <m/>
    <m/>
    <m/>
    <n v="26"/>
    <m/>
    <n v="2280"/>
    <n v="2280"/>
    <s v="Yes"/>
    <n v="76"/>
    <m/>
    <m/>
    <n v="0"/>
    <n v="6.7961165048543687E-2"/>
    <x v="0"/>
    <n v="0"/>
    <n v="154"/>
    <n v="0"/>
    <n v="0"/>
    <n v="0"/>
    <n v="1"/>
    <n v="1"/>
    <n v="1"/>
    <n v="11564"/>
    <n v="0"/>
    <n v="0"/>
    <n v="1"/>
    <n v="11564"/>
    <n v="23.128"/>
    <n v="0"/>
    <n v="0"/>
    <n v="0"/>
    <n v="23"/>
    <n v="458"/>
    <n v="0.7921134555517122"/>
    <n v="9160"/>
    <n v="4840"/>
    <n v="0"/>
    <n v="578"/>
    <n v="58"/>
    <n v="0.2078865444482878"/>
    <n v="0.11923076923076924"/>
    <n v="11564"/>
    <n v="11564"/>
    <n v="11564"/>
    <n v="11564"/>
    <n v="11564"/>
    <n v="1"/>
    <n v="0"/>
    <n v="1"/>
    <n v="1"/>
    <n v="1"/>
    <n v="0"/>
    <n v="0"/>
    <n v="0"/>
    <n v="0"/>
    <x v="0"/>
    <s v="Yes"/>
    <n v="0"/>
    <x v="0"/>
    <x v="7"/>
    <x v="3"/>
    <n v="20.202525000000001"/>
    <n v="92.792479999999998"/>
    <s v="MMR012CMP045"/>
    <x v="0"/>
    <m/>
  </r>
  <r>
    <x v="0"/>
    <x v="17"/>
    <x v="18"/>
    <s v="DFID/HARP"/>
    <x v="1"/>
    <x v="18"/>
    <x v="2"/>
    <x v="247"/>
    <n v="92"/>
    <n v="695"/>
    <m/>
    <d v="2020-09-30T00:00:00"/>
    <m/>
    <m/>
    <m/>
    <s v=" -   "/>
    <m/>
    <m/>
    <m/>
    <m/>
    <m/>
    <m/>
    <n v="7"/>
    <m/>
    <m/>
    <s v=" -   "/>
    <m/>
    <m/>
    <m/>
    <m/>
    <m/>
    <m/>
    <m/>
    <n v="7"/>
    <n v="13"/>
    <m/>
    <n v="11"/>
    <n v="1"/>
    <m/>
    <m/>
    <m/>
    <m/>
    <m/>
    <m/>
    <m/>
    <n v="0"/>
    <n v="0"/>
    <m/>
    <m/>
    <x v="0"/>
    <x v="2"/>
    <m/>
    <m/>
    <m/>
    <m/>
    <m/>
    <m/>
    <m/>
    <m/>
    <m/>
    <m/>
    <m/>
    <n v="0"/>
    <n v="0"/>
    <m/>
    <n v="0"/>
    <m/>
    <m/>
    <n v="0"/>
    <n v="9.0909090909090912E-2"/>
    <x v="0"/>
    <n v="0"/>
    <n v="7"/>
    <n v="0"/>
    <n v="0"/>
    <n v="0"/>
    <n v="1"/>
    <n v="1"/>
    <n v="1"/>
    <n v="695"/>
    <n v="0"/>
    <n v="0"/>
    <n v="1"/>
    <n v="695"/>
    <n v="1.39"/>
    <n v="0"/>
    <n v="0"/>
    <n v="0"/>
    <n v="1"/>
    <n v="0"/>
    <n v="0"/>
    <n v="0"/>
    <s v="N/A"/>
    <s v="NA"/>
    <n v="116"/>
    <n v="116"/>
    <n v="1"/>
    <n v="0"/>
    <n v="0"/>
    <n v="0"/>
    <n v="0"/>
    <n v="0"/>
    <n v="0"/>
    <n v="0"/>
    <n v="1"/>
    <n v="0"/>
    <n v="0"/>
    <n v="0"/>
    <n v="0"/>
    <n v="0"/>
    <n v="0"/>
    <n v="0"/>
    <x v="0"/>
    <n v="0"/>
    <n v="0"/>
    <x v="2"/>
    <x v="6"/>
    <x v="2"/>
    <n v="0"/>
    <n v="0"/>
    <n v="196154"/>
    <x v="0"/>
    <m/>
  </r>
  <r>
    <x v="0"/>
    <x v="17"/>
    <x v="18"/>
    <s v="DFID/HARP"/>
    <x v="1"/>
    <x v="18"/>
    <x v="2"/>
    <x v="318"/>
    <n v="235"/>
    <n v="1390"/>
    <m/>
    <d v="2020-09-30T00:00:00"/>
    <m/>
    <m/>
    <m/>
    <s v=" -   "/>
    <m/>
    <m/>
    <m/>
    <m/>
    <m/>
    <m/>
    <n v="8"/>
    <m/>
    <m/>
    <s v=" -   "/>
    <m/>
    <m/>
    <m/>
    <m/>
    <m/>
    <m/>
    <m/>
    <n v="8"/>
    <n v="12"/>
    <m/>
    <n v="14"/>
    <m/>
    <m/>
    <m/>
    <m/>
    <m/>
    <m/>
    <m/>
    <m/>
    <n v="0"/>
    <n v="0"/>
    <m/>
    <m/>
    <x v="0"/>
    <x v="2"/>
    <m/>
    <m/>
    <m/>
    <m/>
    <m/>
    <m/>
    <m/>
    <m/>
    <m/>
    <m/>
    <m/>
    <n v="0"/>
    <n v="0"/>
    <m/>
    <n v="0"/>
    <m/>
    <m/>
    <n v="0"/>
    <n v="0"/>
    <x v="0"/>
    <n v="0"/>
    <n v="8"/>
    <n v="0"/>
    <n v="0"/>
    <n v="0"/>
    <n v="1"/>
    <n v="1"/>
    <n v="1"/>
    <n v="1390"/>
    <n v="0"/>
    <n v="0"/>
    <n v="1"/>
    <n v="1390"/>
    <n v="2.78"/>
    <n v="0"/>
    <n v="0"/>
    <n v="0.2200000000000002"/>
    <n v="3"/>
    <n v="0"/>
    <n v="0"/>
    <n v="0"/>
    <s v="N/A"/>
    <s v="NA"/>
    <n v="232"/>
    <n v="232"/>
    <n v="1"/>
    <n v="0"/>
    <n v="0"/>
    <n v="0"/>
    <n v="0"/>
    <n v="0"/>
    <n v="0"/>
    <n v="0"/>
    <n v="1"/>
    <n v="0"/>
    <n v="0"/>
    <n v="0"/>
    <n v="0"/>
    <n v="0"/>
    <n v="0"/>
    <n v="0"/>
    <x v="0"/>
    <n v="0"/>
    <n v="0"/>
    <x v="2"/>
    <x v="6"/>
    <x v="3"/>
    <n v="20.19171906"/>
    <n v="92.808166499999999"/>
    <n v="196155"/>
    <x v="0"/>
    <m/>
  </r>
  <r>
    <x v="0"/>
    <x v="17"/>
    <x v="18"/>
    <s v="DFID/HARP"/>
    <x v="1"/>
    <x v="18"/>
    <x v="2"/>
    <x v="319"/>
    <n v="72"/>
    <n v="442"/>
    <m/>
    <d v="2020-09-30T00:00:00"/>
    <m/>
    <m/>
    <m/>
    <s v=" -   "/>
    <m/>
    <m/>
    <m/>
    <m/>
    <m/>
    <m/>
    <n v="0"/>
    <m/>
    <m/>
    <n v="0"/>
    <m/>
    <m/>
    <m/>
    <m/>
    <m/>
    <m/>
    <m/>
    <n v="0"/>
    <m/>
    <m/>
    <m/>
    <m/>
    <m/>
    <m/>
    <m/>
    <m/>
    <m/>
    <m/>
    <m/>
    <n v="0"/>
    <n v="0"/>
    <m/>
    <m/>
    <x v="0"/>
    <x v="2"/>
    <m/>
    <m/>
    <m/>
    <m/>
    <m/>
    <m/>
    <m/>
    <m/>
    <m/>
    <m/>
    <m/>
    <n v="0"/>
    <n v="0"/>
    <m/>
    <n v="0"/>
    <m/>
    <m/>
    <s v="no test"/>
    <s v="no test"/>
    <x v="1"/>
    <n v="0"/>
    <n v="0"/>
    <n v="0"/>
    <n v="0"/>
    <n v="0"/>
    <n v="0"/>
    <n v="0"/>
    <n v="0"/>
    <n v="0"/>
    <n v="0"/>
    <n v="0"/>
    <n v="0"/>
    <n v="0"/>
    <n v="0"/>
    <n v="1"/>
    <n v="442"/>
    <n v="1"/>
    <n v="1"/>
    <n v="0"/>
    <n v="0"/>
    <n v="0"/>
    <s v="N/A"/>
    <s v="NA"/>
    <n v="74"/>
    <n v="74"/>
    <n v="1"/>
    <n v="0"/>
    <n v="0"/>
    <n v="0"/>
    <n v="0"/>
    <n v="0"/>
    <n v="0"/>
    <n v="0"/>
    <n v="1"/>
    <n v="0"/>
    <n v="0"/>
    <n v="0"/>
    <n v="0"/>
    <n v="0"/>
    <n v="0"/>
    <n v="0"/>
    <x v="0"/>
    <n v="0"/>
    <n v="0"/>
    <x v="2"/>
    <x v="9"/>
    <x v="7"/>
    <n v="20.148584"/>
    <n v="92.880319999999998"/>
    <s v="MMR012CMP056"/>
    <x v="0"/>
    <m/>
  </r>
  <r>
    <x v="0"/>
    <x v="17"/>
    <x v="18"/>
    <s v="DFID/HARP"/>
    <x v="1"/>
    <x v="18"/>
    <x v="2"/>
    <x v="320"/>
    <n v="151"/>
    <n v="625"/>
    <m/>
    <d v="2020-09-30T00:00:00"/>
    <m/>
    <m/>
    <m/>
    <s v=" -   "/>
    <m/>
    <m/>
    <m/>
    <m/>
    <m/>
    <m/>
    <n v="6"/>
    <m/>
    <m/>
    <s v=" -   "/>
    <m/>
    <m/>
    <m/>
    <m/>
    <m/>
    <m/>
    <m/>
    <n v="6"/>
    <m/>
    <m/>
    <m/>
    <m/>
    <m/>
    <m/>
    <m/>
    <m/>
    <m/>
    <m/>
    <m/>
    <n v="0"/>
    <n v="0"/>
    <m/>
    <m/>
    <x v="0"/>
    <x v="2"/>
    <m/>
    <m/>
    <m/>
    <m/>
    <m/>
    <m/>
    <m/>
    <m/>
    <m/>
    <n v="1"/>
    <m/>
    <n v="0"/>
    <n v="0"/>
    <m/>
    <n v="0"/>
    <m/>
    <m/>
    <s v="no test"/>
    <s v="no test"/>
    <x v="1"/>
    <n v="0"/>
    <n v="6"/>
    <n v="0"/>
    <n v="0"/>
    <n v="0"/>
    <n v="1"/>
    <n v="1"/>
    <n v="1"/>
    <n v="625"/>
    <n v="0"/>
    <n v="0"/>
    <n v="1"/>
    <n v="625"/>
    <n v="1.25"/>
    <n v="0"/>
    <n v="0"/>
    <n v="0"/>
    <n v="1"/>
    <n v="0"/>
    <n v="0"/>
    <n v="0"/>
    <s v="N/A"/>
    <s v="NA"/>
    <n v="104"/>
    <n v="104"/>
    <n v="1"/>
    <n v="0"/>
    <n v="500"/>
    <n v="0"/>
    <n v="0"/>
    <n v="0"/>
    <n v="500"/>
    <n v="0.8"/>
    <n v="0.19999999999999996"/>
    <n v="0.8"/>
    <n v="0"/>
    <n v="0"/>
    <n v="0"/>
    <n v="0"/>
    <n v="0"/>
    <n v="0"/>
    <x v="0"/>
    <n v="0"/>
    <n v="0"/>
    <x v="2"/>
    <x v="9"/>
    <x v="4"/>
    <n v="20.155805999999998"/>
    <n v="92.879138999999995"/>
    <s v="MMR012CMP093"/>
    <x v="0"/>
    <m/>
  </r>
  <r>
    <x v="0"/>
    <x v="14"/>
    <x v="15"/>
    <s v="DFID/HARP"/>
    <x v="1"/>
    <x v="18"/>
    <x v="1"/>
    <x v="321"/>
    <n v="1139"/>
    <n v="6016"/>
    <m/>
    <d v="2020-09-30T00:00:00"/>
    <m/>
    <m/>
    <m/>
    <s v=" -   "/>
    <m/>
    <m/>
    <m/>
    <m/>
    <m/>
    <m/>
    <n v="47"/>
    <m/>
    <n v="8"/>
    <n v="37"/>
    <m/>
    <m/>
    <m/>
    <m/>
    <m/>
    <m/>
    <m/>
    <n v="47"/>
    <n v="42"/>
    <m/>
    <n v="95"/>
    <n v="4"/>
    <m/>
    <m/>
    <m/>
    <n v="243"/>
    <m/>
    <m/>
    <n v="56"/>
    <n v="106"/>
    <n v="110"/>
    <m/>
    <n v="243"/>
    <x v="0"/>
    <x v="0"/>
    <m/>
    <m/>
    <m/>
    <m/>
    <m/>
    <m/>
    <m/>
    <m/>
    <m/>
    <n v="9"/>
    <n v="4"/>
    <n v="1134"/>
    <n v="1134"/>
    <m/>
    <n v="49"/>
    <m/>
    <m/>
    <n v="0"/>
    <n v="4.2105263157894736E-2"/>
    <x v="0"/>
    <n v="0"/>
    <n v="39"/>
    <n v="0"/>
    <n v="0"/>
    <n v="0"/>
    <n v="1"/>
    <n v="1"/>
    <n v="1"/>
    <n v="6016"/>
    <n v="0"/>
    <n v="0"/>
    <n v="1"/>
    <n v="6016"/>
    <n v="12.032"/>
    <n v="0"/>
    <n v="0"/>
    <n v="0"/>
    <n v="12"/>
    <n v="187"/>
    <n v="0.62167553191489366"/>
    <n v="3740"/>
    <n v="2200"/>
    <n v="0"/>
    <n v="301"/>
    <n v="58"/>
    <n v="0.37832446808510634"/>
    <n v="0.23045267489711935"/>
    <n v="6016"/>
    <n v="5670"/>
    <n v="5670"/>
    <n v="5670"/>
    <n v="6016"/>
    <n v="1"/>
    <n v="0"/>
    <n v="1"/>
    <n v="0.99561018437225635"/>
    <n v="0.99561018437225635"/>
    <n v="0"/>
    <n v="0"/>
    <n v="0"/>
    <n v="0"/>
    <x v="0"/>
    <s v="Yes"/>
    <n v="0"/>
    <x v="0"/>
    <x v="10"/>
    <x v="3"/>
    <n v="20.1585"/>
    <n v="92.839416999999997"/>
    <s v="MMR012CMP046"/>
    <x v="0"/>
    <m/>
  </r>
  <r>
    <x v="0"/>
    <x v="14"/>
    <x v="15"/>
    <s v="DFID/HARP"/>
    <x v="1"/>
    <x v="18"/>
    <x v="2"/>
    <x v="322"/>
    <n v="155"/>
    <n v="745"/>
    <m/>
    <d v="2020-09-30T00:00:00"/>
    <m/>
    <m/>
    <m/>
    <s v=" -   "/>
    <m/>
    <m/>
    <m/>
    <m/>
    <m/>
    <m/>
    <n v="9"/>
    <m/>
    <n v="0"/>
    <n v="1"/>
    <m/>
    <m/>
    <m/>
    <m/>
    <m/>
    <m/>
    <m/>
    <n v="9"/>
    <m/>
    <m/>
    <m/>
    <m/>
    <m/>
    <m/>
    <m/>
    <m/>
    <m/>
    <m/>
    <m/>
    <n v="0"/>
    <n v="0"/>
    <m/>
    <m/>
    <x v="0"/>
    <x v="2"/>
    <m/>
    <m/>
    <m/>
    <m/>
    <m/>
    <m/>
    <m/>
    <m/>
    <m/>
    <n v="2"/>
    <m/>
    <n v="0"/>
    <n v="0"/>
    <m/>
    <n v="0"/>
    <m/>
    <m/>
    <s v="no test"/>
    <s v="no test"/>
    <x v="1"/>
    <n v="0"/>
    <n v="9"/>
    <n v="0"/>
    <n v="0"/>
    <n v="0"/>
    <n v="1"/>
    <n v="1"/>
    <n v="1"/>
    <n v="745"/>
    <n v="0"/>
    <n v="0"/>
    <n v="1"/>
    <n v="745"/>
    <n v="1.49"/>
    <n v="0"/>
    <n v="0"/>
    <n v="0"/>
    <n v="1"/>
    <n v="0"/>
    <n v="0"/>
    <n v="0"/>
    <s v="N/A"/>
    <s v="NA"/>
    <n v="124"/>
    <n v="124"/>
    <n v="1"/>
    <n v="0"/>
    <n v="745"/>
    <n v="0"/>
    <n v="0"/>
    <n v="0"/>
    <n v="745"/>
    <n v="1"/>
    <n v="0"/>
    <n v="1"/>
    <n v="0"/>
    <n v="0"/>
    <n v="0"/>
    <n v="0"/>
    <n v="0"/>
    <n v="0"/>
    <x v="0"/>
    <n v="0"/>
    <n v="0"/>
    <x v="2"/>
    <x v="6"/>
    <x v="4"/>
    <n v="20.16259956"/>
    <n v="92.834457400000005"/>
    <n v="196210"/>
    <x v="0"/>
    <m/>
  </r>
  <r>
    <x v="0"/>
    <x v="14"/>
    <x v="15"/>
    <m/>
    <x v="1"/>
    <x v="18"/>
    <x v="2"/>
    <x v="323"/>
    <n v="1009"/>
    <n v="5579"/>
    <m/>
    <m/>
    <m/>
    <m/>
    <m/>
    <s v=" -   "/>
    <m/>
    <m/>
    <m/>
    <m/>
    <m/>
    <m/>
    <n v="16"/>
    <m/>
    <n v="2"/>
    <n v="4"/>
    <m/>
    <m/>
    <m/>
    <m/>
    <m/>
    <m/>
    <m/>
    <n v="16"/>
    <m/>
    <m/>
    <m/>
    <m/>
    <m/>
    <m/>
    <m/>
    <m/>
    <m/>
    <m/>
    <m/>
    <n v="0"/>
    <n v="0"/>
    <m/>
    <m/>
    <x v="0"/>
    <x v="2"/>
    <m/>
    <m/>
    <m/>
    <m/>
    <m/>
    <m/>
    <m/>
    <m/>
    <m/>
    <n v="4"/>
    <n v="1"/>
    <n v="757"/>
    <n v="757"/>
    <m/>
    <n v="0"/>
    <m/>
    <m/>
    <s v="no test"/>
    <s v="no test"/>
    <x v="1"/>
    <n v="0"/>
    <n v="14"/>
    <n v="0"/>
    <n v="0"/>
    <n v="0"/>
    <n v="1"/>
    <n v="0.62735257214554585"/>
    <n v="0.62735257214554585"/>
    <n v="3500.0000000000005"/>
    <n v="0"/>
    <n v="0"/>
    <n v="0.62735257214554585"/>
    <n v="3500.0000000000005"/>
    <n v="7.0000000000000009"/>
    <n v="0.37264742785445415"/>
    <n v="2078.9999999999995"/>
    <n v="3.9999999999999991"/>
    <n v="11"/>
    <n v="0"/>
    <n v="0"/>
    <n v="0"/>
    <s v="N/A"/>
    <s v="NA"/>
    <n v="930"/>
    <n v="930"/>
    <n v="1"/>
    <n v="0"/>
    <n v="2500"/>
    <n v="3785"/>
    <n v="3785"/>
    <n v="3785"/>
    <n v="3785"/>
    <n v="0.67843699587739736"/>
    <n v="0.32156300412260264"/>
    <n v="0.44810898010396127"/>
    <n v="0.7502477700693756"/>
    <n v="0.7502477700693756"/>
    <n v="0"/>
    <n v="0"/>
    <n v="0"/>
    <n v="0"/>
    <x v="0"/>
    <n v="0"/>
    <n v="0"/>
    <x v="2"/>
    <x v="6"/>
    <x v="3"/>
    <n v="20.15736008"/>
    <n v="92.838653559999997"/>
    <n v="196211"/>
    <x v="0"/>
    <m/>
  </r>
  <r>
    <x v="0"/>
    <x v="14"/>
    <x v="15"/>
    <m/>
    <x v="1"/>
    <x v="18"/>
    <x v="2"/>
    <x v="313"/>
    <n v="587"/>
    <n v="3558"/>
    <m/>
    <m/>
    <m/>
    <m/>
    <m/>
    <m/>
    <m/>
    <m/>
    <m/>
    <m/>
    <m/>
    <m/>
    <m/>
    <m/>
    <m/>
    <m/>
    <m/>
    <m/>
    <m/>
    <m/>
    <m/>
    <m/>
    <m/>
    <m/>
    <m/>
    <m/>
    <m/>
    <m/>
    <m/>
    <m/>
    <m/>
    <m/>
    <m/>
    <m/>
    <m/>
    <m/>
    <m/>
    <m/>
    <m/>
    <x v="1"/>
    <x v="1"/>
    <m/>
    <m/>
    <m/>
    <m/>
    <m/>
    <m/>
    <m/>
    <m/>
    <m/>
    <m/>
    <m/>
    <m/>
    <m/>
    <m/>
    <m/>
    <m/>
    <m/>
    <s v="no test"/>
    <s v="no test"/>
    <x v="1"/>
    <n v="0"/>
    <n v="0"/>
    <n v="0"/>
    <n v="0"/>
    <n v="0"/>
    <n v="0"/>
    <n v="0"/>
    <n v="0"/>
    <n v="0"/>
    <n v="0"/>
    <n v="0"/>
    <n v="0"/>
    <n v="0"/>
    <n v="0"/>
    <n v="1"/>
    <n v="3558"/>
    <n v="7"/>
    <n v="7"/>
    <n v="0"/>
    <n v="0"/>
    <n v="0"/>
    <s v="N/A"/>
    <s v="NA"/>
    <n v="593"/>
    <n v="593"/>
    <n v="1"/>
    <n v="0"/>
    <n v="0"/>
    <n v="0"/>
    <n v="0"/>
    <n v="0"/>
    <n v="0"/>
    <n v="0"/>
    <n v="1"/>
    <n v="0"/>
    <n v="0"/>
    <n v="0"/>
    <n v="0"/>
    <e v="#REF!"/>
    <n v="0"/>
    <n v="0"/>
    <x v="0"/>
    <n v="0"/>
    <n v="0"/>
    <x v="2"/>
    <x v="6"/>
    <x v="3"/>
    <n v="20.147863431600001"/>
    <n v="92.846768572000002"/>
    <n v="196209"/>
    <x v="0"/>
    <m/>
  </r>
  <r>
    <x v="0"/>
    <x v="16"/>
    <x v="17"/>
    <s v="BMZ"/>
    <x v="1"/>
    <x v="18"/>
    <x v="2"/>
    <x v="324"/>
    <n v="452"/>
    <n v="1901"/>
    <d v="2017-01-01T00:00:00"/>
    <d v="2021-12-21T00:00:00"/>
    <m/>
    <m/>
    <m/>
    <m/>
    <m/>
    <m/>
    <m/>
    <m/>
    <m/>
    <m/>
    <m/>
    <m/>
    <m/>
    <m/>
    <m/>
    <m/>
    <m/>
    <m/>
    <m/>
    <m/>
    <m/>
    <m/>
    <m/>
    <m/>
    <m/>
    <m/>
    <m/>
    <m/>
    <m/>
    <m/>
    <m/>
    <m/>
    <m/>
    <m/>
    <m/>
    <m/>
    <m/>
    <x v="1"/>
    <x v="1"/>
    <m/>
    <m/>
    <m/>
    <m/>
    <m/>
    <m/>
    <m/>
    <m/>
    <m/>
    <m/>
    <m/>
    <m/>
    <m/>
    <m/>
    <m/>
    <m/>
    <m/>
    <s v="no test"/>
    <s v="no test"/>
    <x v="1"/>
    <n v="0"/>
    <n v="0"/>
    <n v="0"/>
    <n v="0"/>
    <n v="0"/>
    <n v="0"/>
    <n v="0"/>
    <n v="0"/>
    <n v="0"/>
    <n v="0"/>
    <n v="0"/>
    <n v="0"/>
    <n v="0"/>
    <n v="0"/>
    <n v="1"/>
    <n v="1901"/>
    <n v="4"/>
    <n v="4"/>
    <n v="0"/>
    <n v="0"/>
    <n v="0"/>
    <s v="N/A"/>
    <s v="NA"/>
    <n v="317"/>
    <n v="317"/>
    <n v="1"/>
    <n v="0"/>
    <n v="0"/>
    <n v="0"/>
    <n v="0"/>
    <n v="0"/>
    <n v="0"/>
    <n v="0"/>
    <n v="1"/>
    <n v="0"/>
    <n v="0"/>
    <n v="0"/>
    <n v="0"/>
    <n v="0"/>
    <n v="0"/>
    <n v="0"/>
    <x v="0"/>
    <n v="0"/>
    <n v="0"/>
    <x v="2"/>
    <x v="6"/>
    <x v="2"/>
    <n v="20.760820389999999"/>
    <n v="92.960083010000005"/>
    <n v="196893"/>
    <x v="0"/>
    <m/>
  </r>
  <r>
    <x v="0"/>
    <x v="18"/>
    <x v="19"/>
    <s v="DFID/HARP,LDS"/>
    <x v="1"/>
    <x v="18"/>
    <x v="1"/>
    <x v="325"/>
    <n v="1013"/>
    <n v="5950"/>
    <m/>
    <s v="9/30/2020,9/30/18"/>
    <m/>
    <m/>
    <m/>
    <s v=" -   "/>
    <m/>
    <m/>
    <m/>
    <m/>
    <m/>
    <m/>
    <n v="93"/>
    <m/>
    <n v="32"/>
    <n v="44"/>
    <m/>
    <m/>
    <m/>
    <m/>
    <m/>
    <m/>
    <m/>
    <n v="93"/>
    <n v="66"/>
    <m/>
    <n v="67"/>
    <m/>
    <m/>
    <m/>
    <m/>
    <n v="360"/>
    <m/>
    <m/>
    <n v="163"/>
    <n v="35"/>
    <n v="125"/>
    <m/>
    <n v="360"/>
    <x v="0"/>
    <x v="0"/>
    <m/>
    <m/>
    <m/>
    <m/>
    <m/>
    <m/>
    <m/>
    <m/>
    <m/>
    <n v="12"/>
    <m/>
    <n v="1013"/>
    <n v="1013"/>
    <s v="Yes"/>
    <n v="65"/>
    <m/>
    <m/>
    <n v="0"/>
    <n v="0"/>
    <x v="0"/>
    <n v="0"/>
    <n v="61"/>
    <n v="0"/>
    <n v="0"/>
    <n v="0"/>
    <n v="1"/>
    <n v="1"/>
    <n v="1"/>
    <n v="5950"/>
    <n v="0"/>
    <n v="0"/>
    <n v="1"/>
    <n v="5950"/>
    <n v="11.9"/>
    <n v="0"/>
    <n v="0"/>
    <n v="9.9999999999999645E-2"/>
    <n v="12"/>
    <n v="197"/>
    <n v="0.66218487394957981"/>
    <n v="3940"/>
    <n v="2500"/>
    <n v="0"/>
    <n v="298"/>
    <n v="0"/>
    <n v="0.33781512605042019"/>
    <n v="0.45277777777777778"/>
    <n v="5950"/>
    <n v="5950"/>
    <n v="5950"/>
    <n v="5950"/>
    <n v="5950"/>
    <n v="1"/>
    <n v="0"/>
    <n v="1"/>
    <n v="1"/>
    <n v="1"/>
    <n v="0"/>
    <n v="0"/>
    <n v="0"/>
    <n v="0"/>
    <x v="0"/>
    <s v="Yes"/>
    <n v="0"/>
    <x v="0"/>
    <x v="7"/>
    <x v="3"/>
    <n v="20.179939999999998"/>
    <n v="92.831879000000001"/>
    <s v="MMR012CMP048"/>
    <x v="0"/>
    <m/>
  </r>
  <r>
    <x v="0"/>
    <x v="17"/>
    <x v="18"/>
    <s v="DFID/HARP"/>
    <x v="1"/>
    <x v="18"/>
    <x v="1"/>
    <x v="326"/>
    <n v="299"/>
    <n v="1670"/>
    <m/>
    <d v="2020-09-30T00:00:00"/>
    <m/>
    <m/>
    <m/>
    <s v=" -   "/>
    <m/>
    <m/>
    <m/>
    <m/>
    <m/>
    <m/>
    <n v="70"/>
    <m/>
    <m/>
    <s v=" -   "/>
    <m/>
    <m/>
    <m/>
    <m/>
    <m/>
    <m/>
    <m/>
    <n v="70"/>
    <m/>
    <m/>
    <m/>
    <m/>
    <m/>
    <m/>
    <m/>
    <m/>
    <m/>
    <m/>
    <m/>
    <n v="0"/>
    <n v="0"/>
    <m/>
    <m/>
    <x v="0"/>
    <x v="2"/>
    <m/>
    <m/>
    <m/>
    <m/>
    <m/>
    <m/>
    <m/>
    <m/>
    <m/>
    <n v="3"/>
    <m/>
    <n v="299"/>
    <n v="299"/>
    <m/>
    <n v="39"/>
    <m/>
    <m/>
    <s v="no test"/>
    <s v="no test"/>
    <x v="1"/>
    <n v="0"/>
    <n v="70"/>
    <n v="0"/>
    <n v="0"/>
    <n v="0"/>
    <n v="1"/>
    <n v="1"/>
    <n v="1"/>
    <n v="1670"/>
    <n v="0"/>
    <n v="0"/>
    <n v="1"/>
    <n v="1670"/>
    <n v="3.34"/>
    <n v="0"/>
    <n v="0"/>
    <n v="0"/>
    <n v="3"/>
    <n v="0"/>
    <n v="0"/>
    <n v="0"/>
    <n v="0"/>
    <n v="0"/>
    <n v="84"/>
    <n v="84"/>
    <n v="1"/>
    <n v="0"/>
    <n v="1500"/>
    <n v="1670"/>
    <n v="1670"/>
    <n v="1670"/>
    <n v="1670"/>
    <n v="1"/>
    <n v="0"/>
    <n v="0.89820359281437123"/>
    <n v="1"/>
    <n v="1"/>
    <n v="0"/>
    <n v="0"/>
    <n v="0"/>
    <n v="0"/>
    <x v="0"/>
    <s v="Yes"/>
    <n v="0"/>
    <x v="0"/>
    <x v="1"/>
    <x v="3"/>
    <n v="20.181742"/>
    <n v="92.842230000000001"/>
    <s v="MMR012CMP091"/>
    <x v="0"/>
    <m/>
  </r>
  <r>
    <x v="0"/>
    <x v="17"/>
    <x v="18"/>
    <s v="DFID/HARP"/>
    <x v="1"/>
    <x v="18"/>
    <x v="2"/>
    <x v="327"/>
    <n v="17"/>
    <n v="74"/>
    <m/>
    <d v="2020-09-30T00:00:00"/>
    <m/>
    <m/>
    <m/>
    <s v=" -   "/>
    <m/>
    <m/>
    <m/>
    <m/>
    <m/>
    <m/>
    <m/>
    <m/>
    <m/>
    <s v=" -   "/>
    <m/>
    <m/>
    <m/>
    <m/>
    <m/>
    <m/>
    <m/>
    <s v=" -   "/>
    <m/>
    <m/>
    <m/>
    <m/>
    <m/>
    <m/>
    <m/>
    <m/>
    <m/>
    <m/>
    <m/>
    <n v="0"/>
    <n v="0"/>
    <m/>
    <m/>
    <x v="0"/>
    <x v="2"/>
    <m/>
    <m/>
    <m/>
    <m/>
    <m/>
    <m/>
    <m/>
    <m/>
    <m/>
    <m/>
    <m/>
    <n v="0"/>
    <n v="0"/>
    <m/>
    <m/>
    <m/>
    <m/>
    <s v="no test"/>
    <s v="no test"/>
    <x v="1"/>
    <n v="0"/>
    <n v="0"/>
    <n v="0"/>
    <n v="0"/>
    <n v="0"/>
    <n v="0"/>
    <n v="0"/>
    <n v="0"/>
    <n v="0"/>
    <n v="0"/>
    <n v="0"/>
    <n v="0"/>
    <n v="0"/>
    <n v="0"/>
    <n v="1"/>
    <n v="74"/>
    <n v="1"/>
    <n v="1"/>
    <n v="0"/>
    <n v="0"/>
    <n v="0"/>
    <s v="N/A"/>
    <s v="NA"/>
    <n v="12"/>
    <n v="12"/>
    <n v="1"/>
    <n v="0"/>
    <n v="0"/>
    <n v="0"/>
    <n v="0"/>
    <n v="0"/>
    <n v="0"/>
    <n v="0"/>
    <n v="1"/>
    <n v="0"/>
    <n v="0"/>
    <n v="0"/>
    <n v="0"/>
    <n v="0"/>
    <n v="0"/>
    <n v="0"/>
    <x v="0"/>
    <n v="0"/>
    <n v="0"/>
    <x v="2"/>
    <x v="6"/>
    <x v="3"/>
    <n v="20.193460460000001"/>
    <n v="92.867782590000004"/>
    <n v="196147"/>
    <x v="0"/>
    <m/>
  </r>
  <r>
    <x v="0"/>
    <x v="20"/>
    <x v="21"/>
    <s v="UNICEF"/>
    <x v="1"/>
    <x v="20"/>
    <x v="1"/>
    <x v="328"/>
    <n v="716"/>
    <n v="2920"/>
    <m/>
    <d v="2020-03-06T00:00:00"/>
    <m/>
    <n v="6"/>
    <n v="20"/>
    <s v=" -   "/>
    <s v="Yes"/>
    <n v="9"/>
    <n v="9"/>
    <m/>
    <m/>
    <m/>
    <m/>
    <m/>
    <m/>
    <m/>
    <n v="68"/>
    <n v="0"/>
    <n v="1"/>
    <n v="67160"/>
    <n v="5"/>
    <m/>
    <m/>
    <m/>
    <n v="7"/>
    <m/>
    <n v="36"/>
    <m/>
    <m/>
    <m/>
    <m/>
    <n v="197"/>
    <m/>
    <m/>
    <m/>
    <n v="1"/>
    <n v="1"/>
    <m/>
    <m/>
    <x v="0"/>
    <x v="0"/>
    <m/>
    <m/>
    <m/>
    <m/>
    <m/>
    <m/>
    <m/>
    <n v="7"/>
    <m/>
    <n v="3"/>
    <n v="5"/>
    <n v="716"/>
    <n v="716"/>
    <m/>
    <m/>
    <m/>
    <m/>
    <n v="0"/>
    <n v="0"/>
    <x v="0"/>
    <n v="0"/>
    <n v="0"/>
    <n v="68"/>
    <n v="67160"/>
    <n v="0"/>
    <n v="1"/>
    <n v="1"/>
    <n v="1"/>
    <n v="2920"/>
    <n v="0.42808219178082191"/>
    <n v="1250"/>
    <n v="1"/>
    <n v="2920"/>
    <n v="5.84"/>
    <n v="0"/>
    <n v="0"/>
    <n v="0.16000000000000014"/>
    <n v="6"/>
    <n v="197"/>
    <n v="1"/>
    <n v="2920"/>
    <n v="20"/>
    <n v="0"/>
    <n v="146"/>
    <n v="0"/>
    <n v="0"/>
    <n v="0"/>
    <n v="2920"/>
    <n v="2920"/>
    <n v="2920"/>
    <n v="2920"/>
    <n v="2920"/>
    <n v="1"/>
    <n v="0"/>
    <n v="1"/>
    <n v="1"/>
    <n v="1"/>
    <n v="0"/>
    <n v="0"/>
    <n v="0"/>
    <n v="0"/>
    <x v="0"/>
    <s v="Yes"/>
    <n v="0"/>
    <x v="0"/>
    <x v="7"/>
    <x v="3"/>
    <n v="20.037655000000001"/>
    <n v="93.370037999999994"/>
    <s v="MMR012CMP014"/>
    <x v="0"/>
    <m/>
  </r>
  <r>
    <x v="0"/>
    <x v="20"/>
    <x v="21"/>
    <s v="UNICEF"/>
    <x v="1"/>
    <x v="20"/>
    <x v="2"/>
    <x v="329"/>
    <n v="40"/>
    <n v="217"/>
    <m/>
    <d v="2020-03-06T00:00:00"/>
    <m/>
    <m/>
    <m/>
    <m/>
    <s v="No"/>
    <m/>
    <m/>
    <m/>
    <m/>
    <m/>
    <m/>
    <m/>
    <m/>
    <m/>
    <m/>
    <m/>
    <m/>
    <m/>
    <m/>
    <m/>
    <m/>
    <m/>
    <m/>
    <m/>
    <m/>
    <m/>
    <m/>
    <m/>
    <m/>
    <m/>
    <m/>
    <m/>
    <m/>
    <m/>
    <m/>
    <m/>
    <m/>
    <x v="1"/>
    <x v="1"/>
    <m/>
    <m/>
    <m/>
    <m/>
    <m/>
    <m/>
    <m/>
    <m/>
    <m/>
    <m/>
    <n v="2"/>
    <n v="40"/>
    <n v="40"/>
    <m/>
    <m/>
    <m/>
    <m/>
    <s v="no test"/>
    <s v="no test"/>
    <x v="1"/>
    <n v="0"/>
    <n v="0"/>
    <n v="0"/>
    <n v="0"/>
    <n v="0"/>
    <n v="0"/>
    <n v="0"/>
    <n v="0"/>
    <n v="0"/>
    <n v="0"/>
    <n v="0"/>
    <n v="0"/>
    <n v="0"/>
    <n v="0"/>
    <n v="1"/>
    <n v="217"/>
    <n v="1"/>
    <n v="1"/>
    <n v="0"/>
    <n v="0"/>
    <n v="0"/>
    <s v="N/A"/>
    <s v="NA"/>
    <n v="36"/>
    <n v="36"/>
    <n v="1"/>
    <n v="0"/>
    <n v="217"/>
    <n v="217"/>
    <n v="217"/>
    <n v="217"/>
    <n v="217"/>
    <n v="1"/>
    <n v="0"/>
    <n v="1"/>
    <n v="1"/>
    <n v="1"/>
    <n v="0"/>
    <n v="0"/>
    <n v="0"/>
    <n v="0"/>
    <x v="0"/>
    <n v="0"/>
    <n v="0"/>
    <x v="2"/>
    <x v="9"/>
    <x v="4"/>
    <n v="20.041981"/>
    <n v="93.373951000000005"/>
    <s v="MMR012CMP013"/>
    <x v="0"/>
    <m/>
  </r>
  <r>
    <x v="0"/>
    <x v="0"/>
    <x v="0"/>
    <s v="UNICEF"/>
    <x v="1"/>
    <x v="13"/>
    <x v="1"/>
    <x v="330"/>
    <n v="1320"/>
    <n v="6042"/>
    <d v="2018-12-01T00:00:00"/>
    <d v="2019-11-30T00:00:00"/>
    <m/>
    <m/>
    <n v="121"/>
    <s v=" -   "/>
    <s v="Yes"/>
    <m/>
    <m/>
    <n v="0"/>
    <n v="0"/>
    <n v="0"/>
    <n v="0"/>
    <n v="0"/>
    <n v="0"/>
    <n v="0"/>
    <n v="29"/>
    <n v="0"/>
    <n v="29"/>
    <n v="0"/>
    <n v="23"/>
    <n v="0"/>
    <m/>
    <n v="0"/>
    <n v="1"/>
    <n v="1"/>
    <n v="16"/>
    <n v="4"/>
    <s v=" -   "/>
    <s v=" -   "/>
    <s v="45 meters cube storage planned to be installed in the next months"/>
    <n v="184"/>
    <n v="0"/>
    <m/>
    <n v="45"/>
    <n v="184"/>
    <m/>
    <m/>
    <m/>
    <x v="0"/>
    <x v="0"/>
    <n v="0"/>
    <n v="0"/>
    <m/>
    <m/>
    <n v="0"/>
    <n v="0"/>
    <n v="0"/>
    <n v="0"/>
    <n v="0"/>
    <n v="12"/>
    <n v="7"/>
    <n v="1320"/>
    <n v="1320"/>
    <s v="No"/>
    <n v="0"/>
    <m/>
    <s v="the HHs use to have bathing place inside the shelter or as shelter extension"/>
    <n v="1"/>
    <n v="0.25"/>
    <x v="0"/>
    <n v="0"/>
    <n v="0"/>
    <n v="29"/>
    <n v="0"/>
    <n v="0"/>
    <n v="0.31998234580161095"/>
    <n v="0.31998234580161095"/>
    <n v="0.31998234580161095"/>
    <n v="1933.3333333333333"/>
    <n v="0.95167163190996362"/>
    <n v="5750"/>
    <n v="1"/>
    <n v="6042"/>
    <n v="12.084"/>
    <n v="0"/>
    <n v="0"/>
    <n v="0"/>
    <n v="12"/>
    <n v="139"/>
    <n v="0.46011254551473024"/>
    <n v="2780"/>
    <n v="0"/>
    <n v="0"/>
    <n v="302"/>
    <n v="118"/>
    <n v="0.53988745448526976"/>
    <n v="0.24456521739130435"/>
    <n v="6042"/>
    <n v="6042"/>
    <n v="6042"/>
    <n v="6042"/>
    <n v="6042"/>
    <n v="1"/>
    <n v="0"/>
    <n v="1"/>
    <n v="1"/>
    <n v="1"/>
    <n v="0"/>
    <n v="0"/>
    <n v="0"/>
    <n v="0"/>
    <x v="0"/>
    <s v="Yes"/>
    <n v="0"/>
    <x v="0"/>
    <x v="7"/>
    <x v="3"/>
    <n v="20.090183"/>
    <n v="93.010368999999997"/>
    <s v="MMR012CMP018"/>
    <x v="0"/>
    <m/>
  </r>
  <r>
    <x v="0"/>
    <x v="0"/>
    <x v="0"/>
    <s v="ECHO, OFDA, MHF"/>
    <x v="1"/>
    <x v="13"/>
    <x v="2"/>
    <x v="331"/>
    <n v="400"/>
    <n v="2050"/>
    <s v="28/02/2018 and 28/02/2019, 01/07/2018, 01/10/2018"/>
    <s v="28/02/2019 and 28/02/2020, 30/06/2019, 30/09/2019"/>
    <m/>
    <m/>
    <m/>
    <s v=" -   "/>
    <s v="Yes"/>
    <n v="2"/>
    <n v="1"/>
    <n v="0"/>
    <n v="0"/>
    <n v="0"/>
    <n v="0"/>
    <n v="0"/>
    <n v="0"/>
    <n v="0"/>
    <m/>
    <m/>
    <m/>
    <m/>
    <n v="3"/>
    <n v="0"/>
    <m/>
    <n v="0"/>
    <m/>
    <m/>
    <n v="0"/>
    <m/>
    <s v=" -   "/>
    <s v=" -   "/>
    <s v="SI does not deliver treated water to ANY village, only CWF and HP sessions"/>
    <n v="400"/>
    <n v="0"/>
    <m/>
    <n v="0"/>
    <n v="0"/>
    <m/>
    <m/>
    <n v="400"/>
    <x v="3"/>
    <x v="2"/>
    <n v="0"/>
    <n v="0"/>
    <m/>
    <s v="HHs latrines distributed in 2017 after Mora cyclone"/>
    <n v="0"/>
    <n v="0"/>
    <n v="0"/>
    <n v="0"/>
    <n v="0"/>
    <n v="2"/>
    <n v="1"/>
    <n v="456"/>
    <n v="456"/>
    <s v="No"/>
    <n v="3"/>
    <m/>
    <s v="the HHs use to have bathing place inside the shelter or as shelter extension"/>
    <s v="no test"/>
    <s v="no test"/>
    <x v="1"/>
    <n v="0"/>
    <n v="0"/>
    <n v="0"/>
    <n v="0"/>
    <n v="0"/>
    <n v="0"/>
    <n v="0"/>
    <n v="0"/>
    <n v="0"/>
    <n v="0.36585365853658536"/>
    <n v="750"/>
    <n v="0.36585365853658536"/>
    <n v="750"/>
    <n v="1.5"/>
    <n v="0.63414634146341464"/>
    <n v="1300"/>
    <n v="2.5"/>
    <n v="4"/>
    <n v="400"/>
    <n v="1"/>
    <n v="2050"/>
    <s v="N/A"/>
    <s v="NA"/>
    <n v="342"/>
    <n v="0"/>
    <n v="0"/>
    <n v="0"/>
    <n v="1500"/>
    <n v="2050"/>
    <n v="2050"/>
    <n v="2050"/>
    <n v="2050"/>
    <n v="1"/>
    <n v="0"/>
    <n v="0.73170731707317072"/>
    <n v="1"/>
    <n v="1"/>
    <n v="0"/>
    <n v="0"/>
    <n v="0"/>
    <n v="0"/>
    <x v="0"/>
    <n v="0"/>
    <n v="0"/>
    <x v="2"/>
    <x v="6"/>
    <x v="3"/>
    <n v="20.099340439999999"/>
    <n v="92.989143369999994"/>
    <n v="197558"/>
    <x v="0"/>
    <m/>
  </r>
  <r>
    <x v="0"/>
    <x v="0"/>
    <x v="0"/>
    <s v="ECHO, OFDA, MHF"/>
    <x v="1"/>
    <x v="13"/>
    <x v="1"/>
    <x v="332"/>
    <n v="1010"/>
    <n v="4645"/>
    <s v="28/02/2018 and 28/02/2019, 01/07/2018, 01/10/2018"/>
    <s v="28/02/2019 and 28/02/2020, 30/06/2019, 30/09/2019"/>
    <m/>
    <m/>
    <m/>
    <s v=" -   "/>
    <s v="Yes"/>
    <n v="8"/>
    <n v="3"/>
    <n v="0"/>
    <n v="0"/>
    <n v="0"/>
    <n v="0"/>
    <n v="0"/>
    <n v="0"/>
    <n v="0"/>
    <n v="73"/>
    <n v="73"/>
    <m/>
    <m/>
    <n v="1"/>
    <n v="0"/>
    <m/>
    <n v="0"/>
    <m/>
    <m/>
    <n v="19"/>
    <n v="6"/>
    <s v=" -   "/>
    <s v=" -   "/>
    <s v="SI does not deliver treated water in NC1, pilot on istallation of sand pond filter in 1 pond + distribution of HH filters"/>
    <n v="132"/>
    <n v="0"/>
    <m/>
    <n v="43"/>
    <n v="132"/>
    <m/>
    <m/>
    <m/>
    <x v="0"/>
    <x v="2"/>
    <n v="33"/>
    <n v="0"/>
    <m/>
    <s v="no drainage possible since NC1 is under the level of the sea"/>
    <n v="0"/>
    <n v="0"/>
    <n v="0"/>
    <n v="0"/>
    <n v="0"/>
    <n v="6"/>
    <n v="3"/>
    <n v="1010"/>
    <n v="1010"/>
    <s v="No"/>
    <n v="48"/>
    <m/>
    <s v="the HHs use to have bathing place inside the shelter or as shelter extension"/>
    <s v="no test"/>
    <n v="0.31578947368421051"/>
    <x v="0"/>
    <n v="0"/>
    <n v="0"/>
    <n v="0"/>
    <n v="0"/>
    <n v="0"/>
    <n v="0"/>
    <n v="0"/>
    <n v="0"/>
    <n v="0"/>
    <n v="5.3821313240043057E-2"/>
    <n v="250"/>
    <n v="5.3821313240043057E-2"/>
    <n v="250"/>
    <n v="0.5"/>
    <n v="0.94617868675995698"/>
    <n v="4395"/>
    <n v="8.5"/>
    <n v="9"/>
    <n v="89"/>
    <n v="0.38320775026910658"/>
    <n v="1780"/>
    <n v="0"/>
    <n v="0"/>
    <n v="232"/>
    <n v="100"/>
    <n v="0.61679224973089342"/>
    <n v="0.32575757575757575"/>
    <n v="4500"/>
    <n v="4645"/>
    <n v="4645"/>
    <n v="4645"/>
    <n v="4645"/>
    <n v="1"/>
    <n v="0"/>
    <n v="0.96878363832077508"/>
    <n v="1"/>
    <n v="1"/>
    <n v="0"/>
    <n v="0"/>
    <n v="0"/>
    <n v="0"/>
    <x v="0"/>
    <s v="Yes"/>
    <n v="0"/>
    <x v="0"/>
    <x v="12"/>
    <x v="3"/>
    <n v="20.073437999999999"/>
    <n v="93.154551999999995"/>
    <s v="MMR012CMP017"/>
    <x v="0"/>
    <m/>
  </r>
  <r>
    <x v="0"/>
    <x v="0"/>
    <x v="0"/>
    <s v="ECHO, OFDA, MHF"/>
    <x v="1"/>
    <x v="13"/>
    <x v="1"/>
    <x v="333"/>
    <n v="905"/>
    <n v="4104"/>
    <s v="28/02/2018 and 28/02/2019, 01/07/2018, 01/10/2018"/>
    <s v="28/02/2019 and 28/02/2020, 30/06/2019, 30/09/2019"/>
    <m/>
    <m/>
    <m/>
    <s v=" -   "/>
    <s v="Yes"/>
    <n v="11"/>
    <n v="2"/>
    <n v="0"/>
    <n v="0"/>
    <n v="0"/>
    <n v="0"/>
    <n v="0"/>
    <n v="0"/>
    <n v="0"/>
    <n v="62"/>
    <m/>
    <n v="62"/>
    <m/>
    <n v="3"/>
    <n v="0"/>
    <m/>
    <n v="0"/>
    <n v="1"/>
    <n v="1"/>
    <n v="22"/>
    <n v="7"/>
    <s v=" -   "/>
    <s v=" -   "/>
    <m/>
    <n v="129"/>
    <n v="0"/>
    <m/>
    <n v="5"/>
    <n v="129"/>
    <m/>
    <m/>
    <m/>
    <x v="0"/>
    <x v="2"/>
    <n v="32"/>
    <n v="0"/>
    <m/>
    <s v="no drainage possible since NC2 is under the level of the sea"/>
    <n v="0"/>
    <n v="0"/>
    <n v="0"/>
    <n v="0"/>
    <n v="0"/>
    <n v="7"/>
    <n v="3"/>
    <n v="905"/>
    <n v="905"/>
    <s v="No"/>
    <n v="24"/>
    <m/>
    <s v="the HHs use to have bathing place inside the shelter or as shelter extension"/>
    <n v="1"/>
    <n v="0.31818181818181818"/>
    <x v="0"/>
    <n v="0"/>
    <n v="0"/>
    <n v="62"/>
    <n v="0"/>
    <n v="0"/>
    <n v="1"/>
    <n v="1"/>
    <n v="1"/>
    <n v="4104"/>
    <n v="0.18274853801169591"/>
    <n v="750"/>
    <n v="1"/>
    <n v="4104"/>
    <n v="8.2080000000000002"/>
    <n v="0"/>
    <n v="0"/>
    <n v="0"/>
    <n v="8"/>
    <n v="124"/>
    <n v="0.6042884990253411"/>
    <n v="2480"/>
    <n v="0"/>
    <n v="0"/>
    <n v="205"/>
    <n v="76"/>
    <n v="0.3957115009746589"/>
    <n v="3.875968992248062E-2"/>
    <n v="4104"/>
    <n v="4104"/>
    <n v="4104"/>
    <n v="4104"/>
    <n v="4104"/>
    <n v="1"/>
    <n v="0"/>
    <n v="1"/>
    <n v="1"/>
    <n v="1"/>
    <n v="0"/>
    <n v="0"/>
    <n v="0"/>
    <n v="0"/>
    <x v="0"/>
    <s v="Yes"/>
    <n v="0"/>
    <x v="0"/>
    <x v="7"/>
    <x v="3"/>
    <n v="20.073437999999999"/>
    <n v="93.154551999999995"/>
    <s v="MMR012CMP017"/>
    <x v="0"/>
    <m/>
  </r>
  <r>
    <x v="0"/>
    <x v="9"/>
    <x v="9"/>
    <s v="BMZ"/>
    <x v="1"/>
    <x v="13"/>
    <x v="2"/>
    <x v="334"/>
    <n v="142"/>
    <n v="582"/>
    <d v="2018-09-16T00:00:00"/>
    <d v="2019-12-31T00:00:00"/>
    <m/>
    <m/>
    <m/>
    <m/>
    <m/>
    <m/>
    <m/>
    <m/>
    <m/>
    <m/>
    <m/>
    <m/>
    <m/>
    <m/>
    <m/>
    <m/>
    <m/>
    <m/>
    <m/>
    <m/>
    <m/>
    <m/>
    <m/>
    <m/>
    <m/>
    <m/>
    <m/>
    <m/>
    <m/>
    <m/>
    <m/>
    <m/>
    <m/>
    <m/>
    <m/>
    <m/>
    <m/>
    <x v="1"/>
    <x v="1"/>
    <m/>
    <m/>
    <m/>
    <m/>
    <m/>
    <m/>
    <m/>
    <m/>
    <m/>
    <m/>
    <m/>
    <m/>
    <m/>
    <m/>
    <m/>
    <m/>
    <m/>
    <s v="no test"/>
    <s v="no test"/>
    <x v="1"/>
    <n v="0"/>
    <n v="0"/>
    <n v="0"/>
    <n v="0"/>
    <n v="0"/>
    <n v="0"/>
    <n v="0"/>
    <n v="0"/>
    <n v="0"/>
    <n v="0"/>
    <n v="0"/>
    <n v="0"/>
    <n v="0"/>
    <n v="0"/>
    <n v="1"/>
    <n v="582"/>
    <n v="1"/>
    <n v="1"/>
    <n v="0"/>
    <n v="0"/>
    <n v="0"/>
    <s v="N/A"/>
    <s v="NA"/>
    <n v="97"/>
    <n v="97"/>
    <n v="1"/>
    <n v="0"/>
    <n v="0"/>
    <n v="0"/>
    <n v="0"/>
    <n v="0"/>
    <n v="0"/>
    <n v="0"/>
    <n v="1"/>
    <n v="0"/>
    <n v="0"/>
    <n v="0"/>
    <n v="0"/>
    <n v="0"/>
    <n v="0"/>
    <n v="0"/>
    <x v="0"/>
    <n v="0"/>
    <n v="0"/>
    <x v="2"/>
    <x v="6"/>
    <x v="2"/>
    <n v="20.068620681762699"/>
    <n v="92.934440612792997"/>
    <n v="197574"/>
    <x v="0"/>
    <m/>
  </r>
  <r>
    <x v="0"/>
    <x v="21"/>
    <x v="22"/>
    <s v="GIZ"/>
    <x v="1"/>
    <x v="16"/>
    <x v="4"/>
    <x v="335"/>
    <n v="73"/>
    <n v="306"/>
    <d v="2017-06-01T00:00:00"/>
    <d v="2019-05-31T00:00:00"/>
    <m/>
    <m/>
    <m/>
    <m/>
    <m/>
    <m/>
    <m/>
    <m/>
    <m/>
    <m/>
    <m/>
    <m/>
    <m/>
    <m/>
    <m/>
    <m/>
    <m/>
    <m/>
    <m/>
    <m/>
    <m/>
    <m/>
    <m/>
    <m/>
    <m/>
    <m/>
    <m/>
    <m/>
    <m/>
    <m/>
    <m/>
    <m/>
    <m/>
    <m/>
    <m/>
    <m/>
    <m/>
    <x v="1"/>
    <x v="1"/>
    <m/>
    <m/>
    <m/>
    <m/>
    <m/>
    <m/>
    <m/>
    <m/>
    <m/>
    <m/>
    <m/>
    <m/>
    <m/>
    <m/>
    <m/>
    <m/>
    <m/>
    <s v="no test"/>
    <s v="no test"/>
    <x v="1"/>
    <n v="0"/>
    <n v="0"/>
    <n v="0"/>
    <n v="0"/>
    <n v="0"/>
    <n v="0"/>
    <n v="0"/>
    <n v="0"/>
    <n v="0"/>
    <n v="0"/>
    <n v="0"/>
    <n v="0"/>
    <n v="0"/>
    <n v="0"/>
    <n v="1"/>
    <n v="306"/>
    <n v="1"/>
    <n v="1"/>
    <n v="0"/>
    <n v="0"/>
    <n v="0"/>
    <s v="N/A"/>
    <s v="NA"/>
    <n v="51"/>
    <n v="51"/>
    <n v="1"/>
    <n v="0"/>
    <n v="0"/>
    <n v="0"/>
    <n v="0"/>
    <n v="0"/>
    <n v="0"/>
    <n v="0"/>
    <n v="1"/>
    <n v="0"/>
    <n v="0"/>
    <n v="0"/>
    <n v="0"/>
    <n v="0"/>
    <n v="0"/>
    <n v="0"/>
    <x v="0"/>
    <n v="0"/>
    <n v="0"/>
    <x v="2"/>
    <x v="13"/>
    <x v="4"/>
    <n v="0"/>
    <n v="0"/>
    <n v="0"/>
    <x v="0"/>
    <m/>
  </r>
  <r>
    <x v="0"/>
    <x v="21"/>
    <x v="22"/>
    <s v="GIZ"/>
    <x v="1"/>
    <x v="16"/>
    <x v="4"/>
    <x v="336"/>
    <n v="168"/>
    <n v="1002"/>
    <d v="2017-06-01T00:00:00"/>
    <d v="2019-05-31T00:00:00"/>
    <m/>
    <m/>
    <m/>
    <m/>
    <m/>
    <m/>
    <m/>
    <m/>
    <m/>
    <m/>
    <m/>
    <m/>
    <m/>
    <m/>
    <m/>
    <m/>
    <m/>
    <m/>
    <n v="2"/>
    <m/>
    <m/>
    <m/>
    <m/>
    <m/>
    <m/>
    <m/>
    <m/>
    <m/>
    <s v="Pond Rehabilition"/>
    <m/>
    <m/>
    <m/>
    <m/>
    <m/>
    <m/>
    <m/>
    <m/>
    <x v="1"/>
    <x v="1"/>
    <m/>
    <m/>
    <m/>
    <m/>
    <m/>
    <m/>
    <m/>
    <m/>
    <m/>
    <m/>
    <m/>
    <m/>
    <m/>
    <m/>
    <m/>
    <m/>
    <m/>
    <s v="no test"/>
    <s v="no test"/>
    <x v="1"/>
    <n v="0"/>
    <n v="0"/>
    <n v="0"/>
    <n v="0"/>
    <n v="0"/>
    <n v="0"/>
    <n v="0"/>
    <n v="0"/>
    <n v="0"/>
    <n v="0.49900199600798401"/>
    <n v="500"/>
    <n v="0.49900199600798401"/>
    <n v="500"/>
    <n v="1"/>
    <n v="0.50099800399201599"/>
    <n v="502"/>
    <n v="1"/>
    <n v="2"/>
    <n v="0"/>
    <n v="0"/>
    <n v="0"/>
    <s v="N/A"/>
    <s v="NA"/>
    <n v="167"/>
    <n v="167"/>
    <n v="1"/>
    <n v="0"/>
    <n v="0"/>
    <n v="0"/>
    <n v="0"/>
    <n v="0"/>
    <n v="0"/>
    <n v="0"/>
    <n v="1"/>
    <n v="0"/>
    <n v="0"/>
    <n v="0"/>
    <n v="0"/>
    <n v="0"/>
    <n v="0"/>
    <n v="0"/>
    <x v="0"/>
    <n v="0"/>
    <n v="0"/>
    <x v="2"/>
    <x v="13"/>
    <x v="3"/>
    <n v="0"/>
    <n v="0"/>
    <n v="196818"/>
    <x v="0"/>
    <m/>
  </r>
  <r>
    <x v="0"/>
    <x v="21"/>
    <x v="22"/>
    <s v="GIZ"/>
    <x v="1"/>
    <x v="16"/>
    <x v="4"/>
    <x v="337"/>
    <n v="45"/>
    <n v="206"/>
    <d v="2017-06-01T00:00:00"/>
    <d v="2019-05-31T00:00:00"/>
    <m/>
    <m/>
    <m/>
    <m/>
    <m/>
    <m/>
    <m/>
    <m/>
    <m/>
    <m/>
    <m/>
    <m/>
    <m/>
    <m/>
    <m/>
    <m/>
    <m/>
    <m/>
    <n v="1"/>
    <m/>
    <m/>
    <m/>
    <m/>
    <m/>
    <m/>
    <m/>
    <m/>
    <m/>
    <s v="Pond Rehabilition"/>
    <m/>
    <m/>
    <m/>
    <m/>
    <m/>
    <m/>
    <m/>
    <m/>
    <x v="1"/>
    <x v="1"/>
    <m/>
    <m/>
    <m/>
    <m/>
    <m/>
    <m/>
    <m/>
    <m/>
    <m/>
    <m/>
    <m/>
    <m/>
    <m/>
    <m/>
    <m/>
    <m/>
    <m/>
    <s v="no test"/>
    <s v="no test"/>
    <x v="1"/>
    <n v="0"/>
    <n v="0"/>
    <n v="0"/>
    <n v="0"/>
    <n v="0"/>
    <n v="0"/>
    <n v="0"/>
    <n v="0"/>
    <n v="0"/>
    <n v="1"/>
    <n v="206"/>
    <n v="1"/>
    <n v="206"/>
    <n v="0.41199999999999998"/>
    <n v="0"/>
    <n v="0"/>
    <n v="0.58800000000000008"/>
    <n v="1"/>
    <n v="0"/>
    <n v="0"/>
    <n v="0"/>
    <s v="N/A"/>
    <s v="NA"/>
    <n v="34"/>
    <n v="34"/>
    <n v="1"/>
    <n v="0"/>
    <n v="0"/>
    <n v="0"/>
    <n v="0"/>
    <n v="0"/>
    <n v="0"/>
    <n v="0"/>
    <n v="1"/>
    <n v="0"/>
    <n v="0"/>
    <n v="0"/>
    <n v="0"/>
    <n v="0"/>
    <n v="0"/>
    <n v="0"/>
    <x v="0"/>
    <n v="0"/>
    <n v="0"/>
    <x v="2"/>
    <x v="13"/>
    <x v="4"/>
    <n v="0"/>
    <n v="0"/>
    <n v="0"/>
    <x v="0"/>
    <m/>
  </r>
  <r>
    <x v="0"/>
    <x v="21"/>
    <x v="22"/>
    <s v="GIZ"/>
    <x v="1"/>
    <x v="16"/>
    <x v="4"/>
    <x v="338"/>
    <n v="513"/>
    <n v="3224"/>
    <d v="2017-06-01T00:00:00"/>
    <d v="2019-05-31T00:00:00"/>
    <m/>
    <m/>
    <m/>
    <m/>
    <m/>
    <m/>
    <m/>
    <m/>
    <m/>
    <m/>
    <m/>
    <m/>
    <m/>
    <m/>
    <m/>
    <m/>
    <m/>
    <m/>
    <n v="3"/>
    <m/>
    <m/>
    <m/>
    <m/>
    <m/>
    <m/>
    <m/>
    <m/>
    <m/>
    <s v="Pond Rehabilition"/>
    <m/>
    <m/>
    <m/>
    <m/>
    <m/>
    <m/>
    <m/>
    <m/>
    <x v="1"/>
    <x v="1"/>
    <m/>
    <m/>
    <m/>
    <m/>
    <m/>
    <m/>
    <m/>
    <m/>
    <m/>
    <m/>
    <m/>
    <m/>
    <m/>
    <m/>
    <m/>
    <m/>
    <m/>
    <s v="no test"/>
    <s v="no test"/>
    <x v="1"/>
    <n v="0"/>
    <n v="0"/>
    <n v="0"/>
    <n v="0"/>
    <n v="0"/>
    <n v="0"/>
    <n v="0"/>
    <n v="0"/>
    <n v="0"/>
    <n v="0.2326302729528536"/>
    <n v="750"/>
    <n v="0.2326302729528536"/>
    <n v="750"/>
    <n v="1.5"/>
    <n v="0.76736972704714645"/>
    <n v="2474"/>
    <n v="4.5"/>
    <n v="6"/>
    <n v="0"/>
    <n v="0"/>
    <n v="0"/>
    <s v="N/A"/>
    <s v="NA"/>
    <n v="537"/>
    <n v="537"/>
    <n v="1"/>
    <n v="0"/>
    <n v="0"/>
    <n v="0"/>
    <n v="0"/>
    <n v="0"/>
    <n v="0"/>
    <n v="0"/>
    <n v="1"/>
    <n v="0"/>
    <n v="0"/>
    <n v="0"/>
    <n v="0"/>
    <n v="0"/>
    <n v="0"/>
    <n v="0"/>
    <x v="0"/>
    <n v="0"/>
    <n v="0"/>
    <x v="2"/>
    <x v="13"/>
    <x v="3"/>
    <n v="20.864519120000001"/>
    <n v="92.940399170000006"/>
    <n v="196817"/>
    <x v="0"/>
    <m/>
  </r>
  <r>
    <x v="0"/>
    <x v="21"/>
    <x v="22"/>
    <s v="GIZ"/>
    <x v="1"/>
    <x v="16"/>
    <x v="4"/>
    <x v="339"/>
    <n v="454"/>
    <n v="3020"/>
    <d v="2017-06-01T00:00:00"/>
    <d v="2019-05-31T00:00:00"/>
    <m/>
    <m/>
    <m/>
    <m/>
    <m/>
    <m/>
    <m/>
    <m/>
    <m/>
    <m/>
    <m/>
    <m/>
    <m/>
    <m/>
    <m/>
    <m/>
    <m/>
    <m/>
    <n v="2"/>
    <m/>
    <m/>
    <m/>
    <m/>
    <m/>
    <m/>
    <m/>
    <m/>
    <m/>
    <s v="Pond Rehabilition"/>
    <m/>
    <m/>
    <m/>
    <m/>
    <m/>
    <m/>
    <m/>
    <m/>
    <x v="1"/>
    <x v="1"/>
    <m/>
    <m/>
    <m/>
    <m/>
    <m/>
    <m/>
    <m/>
    <m/>
    <m/>
    <m/>
    <m/>
    <m/>
    <m/>
    <m/>
    <m/>
    <m/>
    <m/>
    <s v="no test"/>
    <s v="no test"/>
    <x v="1"/>
    <n v="0"/>
    <n v="0"/>
    <n v="0"/>
    <n v="0"/>
    <n v="0"/>
    <n v="0"/>
    <n v="0"/>
    <n v="0"/>
    <n v="0"/>
    <n v="0.16556291390728478"/>
    <n v="500.00000000000006"/>
    <n v="0.16556291390728478"/>
    <n v="500.00000000000006"/>
    <n v="1.0000000000000002"/>
    <n v="0.83443708609271527"/>
    <n v="2520"/>
    <n v="5"/>
    <n v="6"/>
    <n v="0"/>
    <n v="0"/>
    <n v="0"/>
    <s v="N/A"/>
    <s v="NA"/>
    <n v="503"/>
    <n v="503"/>
    <n v="1"/>
    <n v="0"/>
    <n v="0"/>
    <n v="0"/>
    <n v="0"/>
    <n v="0"/>
    <n v="0"/>
    <n v="0"/>
    <n v="1"/>
    <n v="0"/>
    <n v="0"/>
    <n v="0"/>
    <n v="0"/>
    <n v="0"/>
    <n v="0"/>
    <n v="0"/>
    <x v="0"/>
    <n v="0"/>
    <n v="0"/>
    <x v="2"/>
    <x v="13"/>
    <x v="3"/>
    <n v="20.85956955"/>
    <n v="92.941146849999996"/>
    <n v="196823"/>
    <x v="0"/>
    <m/>
  </r>
  <r>
    <x v="0"/>
    <x v="21"/>
    <x v="22"/>
    <s v="GIZ"/>
    <x v="1"/>
    <x v="16"/>
    <x v="4"/>
    <x v="340"/>
    <n v="170"/>
    <n v="825"/>
    <d v="2017-06-01T00:00:00"/>
    <d v="2019-05-31T00:00:00"/>
    <m/>
    <m/>
    <m/>
    <m/>
    <m/>
    <m/>
    <m/>
    <m/>
    <m/>
    <m/>
    <m/>
    <m/>
    <m/>
    <m/>
    <m/>
    <m/>
    <m/>
    <m/>
    <n v="1"/>
    <m/>
    <m/>
    <m/>
    <m/>
    <m/>
    <m/>
    <m/>
    <m/>
    <m/>
    <s v="Pond Rehabilition"/>
    <m/>
    <m/>
    <m/>
    <m/>
    <m/>
    <m/>
    <m/>
    <m/>
    <x v="1"/>
    <x v="1"/>
    <m/>
    <m/>
    <m/>
    <m/>
    <m/>
    <m/>
    <m/>
    <m/>
    <m/>
    <m/>
    <m/>
    <m/>
    <m/>
    <m/>
    <m/>
    <m/>
    <m/>
    <s v="no test"/>
    <s v="no test"/>
    <x v="1"/>
    <n v="0"/>
    <n v="0"/>
    <n v="0"/>
    <n v="0"/>
    <n v="0"/>
    <n v="0"/>
    <n v="0"/>
    <n v="0"/>
    <n v="0"/>
    <n v="0.30303030303030304"/>
    <n v="250"/>
    <n v="0.30303030303030304"/>
    <n v="250"/>
    <n v="0.5"/>
    <n v="0.69696969696969702"/>
    <n v="575"/>
    <n v="1.5"/>
    <n v="2"/>
    <n v="0"/>
    <n v="0"/>
    <n v="0"/>
    <s v="N/A"/>
    <s v="NA"/>
    <n v="138"/>
    <n v="138"/>
    <n v="1"/>
    <n v="0"/>
    <n v="0"/>
    <n v="0"/>
    <n v="0"/>
    <n v="0"/>
    <n v="0"/>
    <n v="0"/>
    <n v="1"/>
    <n v="0"/>
    <n v="0"/>
    <n v="0"/>
    <n v="0"/>
    <n v="0"/>
    <n v="0"/>
    <n v="0"/>
    <x v="0"/>
    <n v="0"/>
    <n v="0"/>
    <x v="2"/>
    <x v="13"/>
    <x v="4"/>
    <n v="20.894269940000001"/>
    <n v="92.920730590000005"/>
    <n v="196814"/>
    <x v="0"/>
    <m/>
  </r>
  <r>
    <x v="0"/>
    <x v="21"/>
    <x v="22"/>
    <s v="GIZ"/>
    <x v="1"/>
    <x v="16"/>
    <x v="4"/>
    <x v="341"/>
    <n v="144"/>
    <n v="792"/>
    <d v="2017-06-01T00:00:00"/>
    <d v="2019-05-31T00:00:00"/>
    <m/>
    <m/>
    <m/>
    <m/>
    <m/>
    <m/>
    <m/>
    <m/>
    <m/>
    <m/>
    <m/>
    <m/>
    <m/>
    <m/>
    <m/>
    <m/>
    <m/>
    <m/>
    <m/>
    <m/>
    <m/>
    <m/>
    <m/>
    <m/>
    <m/>
    <m/>
    <m/>
    <m/>
    <m/>
    <m/>
    <m/>
    <m/>
    <m/>
    <m/>
    <m/>
    <m/>
    <m/>
    <x v="1"/>
    <x v="1"/>
    <m/>
    <m/>
    <m/>
    <m/>
    <m/>
    <m/>
    <m/>
    <m/>
    <m/>
    <m/>
    <m/>
    <m/>
    <m/>
    <m/>
    <m/>
    <m/>
    <m/>
    <s v="no test"/>
    <s v="no test"/>
    <x v="1"/>
    <n v="0"/>
    <n v="0"/>
    <n v="0"/>
    <n v="0"/>
    <n v="0"/>
    <n v="0"/>
    <n v="0"/>
    <n v="0"/>
    <n v="0"/>
    <n v="0"/>
    <n v="0"/>
    <n v="0"/>
    <n v="0"/>
    <n v="0"/>
    <n v="1"/>
    <n v="792"/>
    <n v="2"/>
    <n v="2"/>
    <n v="0"/>
    <n v="0"/>
    <n v="0"/>
    <s v="N/A"/>
    <s v="NA"/>
    <n v="132"/>
    <n v="132"/>
    <n v="1"/>
    <n v="0"/>
    <n v="0"/>
    <n v="0"/>
    <n v="0"/>
    <n v="0"/>
    <n v="0"/>
    <n v="0"/>
    <n v="1"/>
    <n v="0"/>
    <n v="0"/>
    <n v="0"/>
    <n v="0"/>
    <n v="0"/>
    <n v="0"/>
    <n v="0"/>
    <x v="0"/>
    <n v="0"/>
    <n v="0"/>
    <x v="2"/>
    <x v="13"/>
    <x v="8"/>
    <n v="0"/>
    <n v="0"/>
    <n v="196815"/>
    <x v="0"/>
    <m/>
  </r>
  <r>
    <x v="0"/>
    <x v="21"/>
    <x v="22"/>
    <s v="GIZ"/>
    <x v="1"/>
    <x v="16"/>
    <x v="4"/>
    <x v="342"/>
    <n v="50"/>
    <n v="207"/>
    <d v="2017-06-01T00:00:00"/>
    <d v="2019-05-31T00:00:00"/>
    <m/>
    <m/>
    <m/>
    <m/>
    <m/>
    <m/>
    <m/>
    <m/>
    <m/>
    <m/>
    <m/>
    <m/>
    <m/>
    <m/>
    <m/>
    <m/>
    <m/>
    <m/>
    <n v="2"/>
    <m/>
    <m/>
    <m/>
    <m/>
    <m/>
    <m/>
    <m/>
    <m/>
    <m/>
    <s v="Pond Rehabilition"/>
    <m/>
    <m/>
    <m/>
    <m/>
    <m/>
    <m/>
    <m/>
    <m/>
    <x v="1"/>
    <x v="1"/>
    <m/>
    <m/>
    <m/>
    <m/>
    <m/>
    <m/>
    <m/>
    <m/>
    <m/>
    <m/>
    <m/>
    <m/>
    <m/>
    <m/>
    <m/>
    <m/>
    <m/>
    <s v="no test"/>
    <s v="no test"/>
    <x v="1"/>
    <n v="0"/>
    <n v="0"/>
    <n v="0"/>
    <n v="0"/>
    <n v="0"/>
    <n v="0"/>
    <n v="0"/>
    <n v="0"/>
    <n v="0"/>
    <n v="1"/>
    <n v="207"/>
    <n v="1"/>
    <n v="207"/>
    <n v="0.41399999999999998"/>
    <n v="0"/>
    <n v="0"/>
    <n v="0.58600000000000008"/>
    <n v="1"/>
    <n v="0"/>
    <n v="0"/>
    <n v="0"/>
    <s v="N/A"/>
    <s v="NA"/>
    <n v="35"/>
    <n v="35"/>
    <n v="1"/>
    <n v="0"/>
    <n v="0"/>
    <n v="0"/>
    <n v="0"/>
    <n v="0"/>
    <n v="0"/>
    <n v="0"/>
    <n v="1"/>
    <n v="0"/>
    <n v="0"/>
    <n v="0"/>
    <n v="0"/>
    <n v="0"/>
    <n v="0"/>
    <n v="0"/>
    <x v="0"/>
    <n v="0"/>
    <n v="0"/>
    <x v="2"/>
    <x v="13"/>
    <x v="9"/>
    <n v="20.895059589999999"/>
    <n v="92.90735626"/>
    <n v="196807"/>
    <x v="0"/>
    <m/>
  </r>
  <r>
    <x v="0"/>
    <x v="21"/>
    <x v="22"/>
    <s v="GIZ"/>
    <x v="1"/>
    <x v="16"/>
    <x v="4"/>
    <x v="343"/>
    <n v="90"/>
    <n v="375"/>
    <d v="2017-06-01T00:00:00"/>
    <d v="2019-05-31T00:00:00"/>
    <m/>
    <m/>
    <m/>
    <m/>
    <m/>
    <m/>
    <m/>
    <m/>
    <m/>
    <m/>
    <m/>
    <m/>
    <m/>
    <m/>
    <m/>
    <m/>
    <m/>
    <m/>
    <n v="1"/>
    <m/>
    <m/>
    <m/>
    <m/>
    <m/>
    <m/>
    <m/>
    <m/>
    <m/>
    <s v="Pond Rehabilition"/>
    <m/>
    <m/>
    <m/>
    <m/>
    <m/>
    <m/>
    <m/>
    <m/>
    <x v="1"/>
    <x v="1"/>
    <m/>
    <m/>
    <m/>
    <m/>
    <m/>
    <m/>
    <m/>
    <m/>
    <m/>
    <m/>
    <m/>
    <m/>
    <m/>
    <m/>
    <m/>
    <m/>
    <m/>
    <s v="no test"/>
    <s v="no test"/>
    <x v="1"/>
    <n v="0"/>
    <n v="0"/>
    <n v="0"/>
    <n v="0"/>
    <n v="0"/>
    <n v="0"/>
    <n v="0"/>
    <n v="0"/>
    <n v="0"/>
    <n v="0.66666666666666663"/>
    <n v="250"/>
    <n v="0.66666666666666663"/>
    <n v="250"/>
    <n v="0.5"/>
    <n v="0.33333333333333337"/>
    <n v="125.00000000000001"/>
    <n v="0.5"/>
    <n v="1"/>
    <n v="0"/>
    <n v="0"/>
    <n v="0"/>
    <s v="N/A"/>
    <s v="NA"/>
    <n v="63"/>
    <n v="63"/>
    <n v="1"/>
    <n v="0"/>
    <n v="0"/>
    <n v="0"/>
    <n v="0"/>
    <n v="0"/>
    <n v="0"/>
    <n v="0"/>
    <n v="1"/>
    <n v="0"/>
    <n v="0"/>
    <n v="0"/>
    <n v="0"/>
    <n v="0"/>
    <n v="0"/>
    <n v="0"/>
    <x v="0"/>
    <n v="0"/>
    <n v="0"/>
    <x v="2"/>
    <x v="13"/>
    <x v="4"/>
    <n v="20.803710939999998"/>
    <n v="92.946136469999999"/>
    <n v="196886"/>
    <x v="0"/>
    <m/>
  </r>
  <r>
    <x v="0"/>
    <x v="21"/>
    <x v="22"/>
    <s v="GIZ"/>
    <x v="1"/>
    <x v="16"/>
    <x v="4"/>
    <x v="344"/>
    <n v="173"/>
    <n v="867"/>
    <d v="2017-06-01T00:00:00"/>
    <d v="2019-05-31T00:00:00"/>
    <m/>
    <m/>
    <m/>
    <m/>
    <m/>
    <m/>
    <m/>
    <m/>
    <m/>
    <m/>
    <m/>
    <m/>
    <m/>
    <m/>
    <m/>
    <m/>
    <m/>
    <m/>
    <n v="2"/>
    <m/>
    <m/>
    <m/>
    <m/>
    <m/>
    <m/>
    <m/>
    <m/>
    <m/>
    <s v="Pond Rehabilition"/>
    <m/>
    <m/>
    <m/>
    <m/>
    <m/>
    <m/>
    <m/>
    <m/>
    <x v="1"/>
    <x v="1"/>
    <m/>
    <m/>
    <m/>
    <m/>
    <m/>
    <m/>
    <m/>
    <m/>
    <m/>
    <m/>
    <m/>
    <m/>
    <m/>
    <m/>
    <m/>
    <m/>
    <m/>
    <s v="no test"/>
    <s v="no test"/>
    <x v="1"/>
    <n v="0"/>
    <n v="0"/>
    <n v="0"/>
    <n v="0"/>
    <n v="0"/>
    <n v="0"/>
    <n v="0"/>
    <n v="0"/>
    <n v="0"/>
    <n v="0.57670126874279126"/>
    <n v="500"/>
    <n v="0.57670126874279126"/>
    <n v="500"/>
    <n v="1"/>
    <n v="0.42329873125720874"/>
    <n v="367"/>
    <n v="1"/>
    <n v="2"/>
    <n v="0"/>
    <n v="0"/>
    <n v="0"/>
    <s v="N/A"/>
    <s v="NA"/>
    <n v="145"/>
    <n v="145"/>
    <n v="1"/>
    <n v="0"/>
    <n v="0"/>
    <n v="0"/>
    <n v="0"/>
    <n v="0"/>
    <n v="0"/>
    <n v="0"/>
    <n v="1"/>
    <n v="0"/>
    <n v="0"/>
    <n v="0"/>
    <n v="0"/>
    <n v="0"/>
    <n v="0"/>
    <n v="0"/>
    <x v="0"/>
    <n v="0"/>
    <n v="0"/>
    <x v="2"/>
    <x v="13"/>
    <x v="2"/>
    <n v="20.80635071"/>
    <n v="92.948310849999999"/>
    <n v="196885"/>
    <x v="0"/>
    <m/>
  </r>
  <r>
    <x v="0"/>
    <x v="21"/>
    <x v="22"/>
    <s v="GIZ"/>
    <x v="1"/>
    <x v="16"/>
    <x v="4"/>
    <x v="345"/>
    <n v="98"/>
    <n v="418"/>
    <d v="2017-06-01T00:00:00"/>
    <d v="2019-05-31T00:00:00"/>
    <m/>
    <m/>
    <m/>
    <m/>
    <m/>
    <m/>
    <m/>
    <m/>
    <m/>
    <m/>
    <m/>
    <m/>
    <m/>
    <m/>
    <m/>
    <m/>
    <m/>
    <m/>
    <m/>
    <m/>
    <m/>
    <m/>
    <m/>
    <m/>
    <m/>
    <m/>
    <m/>
    <m/>
    <m/>
    <m/>
    <m/>
    <m/>
    <m/>
    <m/>
    <m/>
    <m/>
    <m/>
    <x v="1"/>
    <x v="1"/>
    <m/>
    <m/>
    <m/>
    <m/>
    <m/>
    <m/>
    <m/>
    <m/>
    <m/>
    <m/>
    <m/>
    <m/>
    <m/>
    <m/>
    <m/>
    <m/>
    <m/>
    <s v="no test"/>
    <s v="no test"/>
    <x v="1"/>
    <n v="0"/>
    <n v="0"/>
    <n v="0"/>
    <n v="0"/>
    <n v="0"/>
    <n v="0"/>
    <n v="0"/>
    <n v="0"/>
    <n v="0"/>
    <n v="0"/>
    <n v="0"/>
    <n v="0"/>
    <n v="0"/>
    <n v="0"/>
    <n v="1"/>
    <n v="418"/>
    <n v="1"/>
    <n v="1"/>
    <n v="0"/>
    <n v="0"/>
    <n v="0"/>
    <s v="N/A"/>
    <s v="NA"/>
    <n v="70"/>
    <n v="70"/>
    <n v="1"/>
    <n v="0"/>
    <n v="0"/>
    <n v="0"/>
    <n v="0"/>
    <n v="0"/>
    <n v="0"/>
    <n v="0"/>
    <n v="1"/>
    <n v="0"/>
    <n v="0"/>
    <n v="0"/>
    <n v="0"/>
    <n v="0"/>
    <n v="0"/>
    <n v="0"/>
    <x v="0"/>
    <n v="0"/>
    <n v="0"/>
    <x v="2"/>
    <x v="13"/>
    <x v="9"/>
    <n v="20.831729889999998"/>
    <n v="92.919639590000003"/>
    <n v="196880"/>
    <x v="0"/>
    <m/>
  </r>
  <r>
    <x v="0"/>
    <x v="21"/>
    <x v="22"/>
    <s v="GIZ"/>
    <x v="1"/>
    <x v="16"/>
    <x v="4"/>
    <x v="346"/>
    <n v="47"/>
    <n v="203"/>
    <d v="2017-06-01T00:00:00"/>
    <d v="2019-05-31T00:00:00"/>
    <m/>
    <m/>
    <m/>
    <m/>
    <m/>
    <m/>
    <m/>
    <m/>
    <m/>
    <m/>
    <m/>
    <m/>
    <m/>
    <m/>
    <m/>
    <m/>
    <m/>
    <m/>
    <m/>
    <m/>
    <m/>
    <m/>
    <m/>
    <m/>
    <m/>
    <m/>
    <m/>
    <m/>
    <m/>
    <m/>
    <m/>
    <m/>
    <m/>
    <m/>
    <m/>
    <m/>
    <m/>
    <x v="1"/>
    <x v="1"/>
    <m/>
    <m/>
    <m/>
    <m/>
    <m/>
    <m/>
    <m/>
    <m/>
    <m/>
    <m/>
    <m/>
    <m/>
    <m/>
    <m/>
    <m/>
    <m/>
    <m/>
    <s v="no test"/>
    <s v="no test"/>
    <x v="1"/>
    <n v="0"/>
    <n v="0"/>
    <n v="0"/>
    <n v="0"/>
    <n v="0"/>
    <n v="0"/>
    <n v="0"/>
    <n v="0"/>
    <n v="0"/>
    <n v="0"/>
    <n v="0"/>
    <n v="0"/>
    <n v="0"/>
    <n v="0"/>
    <n v="1"/>
    <n v="203"/>
    <n v="1"/>
    <n v="1"/>
    <n v="0"/>
    <n v="0"/>
    <n v="0"/>
    <s v="N/A"/>
    <s v="NA"/>
    <n v="34"/>
    <n v="34"/>
    <n v="1"/>
    <n v="0"/>
    <n v="0"/>
    <n v="0"/>
    <n v="0"/>
    <n v="0"/>
    <n v="0"/>
    <n v="0"/>
    <n v="1"/>
    <n v="0"/>
    <n v="0"/>
    <n v="0"/>
    <n v="0"/>
    <n v="0"/>
    <n v="0"/>
    <n v="0"/>
    <x v="0"/>
    <n v="0"/>
    <n v="0"/>
    <x v="2"/>
    <x v="13"/>
    <x v="9"/>
    <n v="0"/>
    <n v="0"/>
    <n v="0"/>
    <x v="0"/>
    <m/>
  </r>
  <r>
    <x v="0"/>
    <x v="21"/>
    <x v="22"/>
    <s v="GIZ"/>
    <x v="1"/>
    <x v="16"/>
    <x v="4"/>
    <x v="347"/>
    <n v="131"/>
    <n v="631"/>
    <d v="2017-06-01T00:00:00"/>
    <d v="2019-05-31T00:00:00"/>
    <m/>
    <m/>
    <m/>
    <m/>
    <m/>
    <m/>
    <m/>
    <m/>
    <m/>
    <m/>
    <m/>
    <m/>
    <m/>
    <m/>
    <m/>
    <m/>
    <m/>
    <m/>
    <n v="1"/>
    <m/>
    <m/>
    <m/>
    <m/>
    <m/>
    <m/>
    <m/>
    <m/>
    <m/>
    <s v="Pond Rehabilition"/>
    <m/>
    <m/>
    <m/>
    <m/>
    <m/>
    <m/>
    <m/>
    <m/>
    <x v="1"/>
    <x v="1"/>
    <m/>
    <m/>
    <m/>
    <m/>
    <m/>
    <m/>
    <m/>
    <m/>
    <m/>
    <m/>
    <m/>
    <m/>
    <m/>
    <m/>
    <m/>
    <m/>
    <m/>
    <s v="no test"/>
    <s v="no test"/>
    <x v="1"/>
    <n v="0"/>
    <n v="0"/>
    <n v="0"/>
    <n v="0"/>
    <n v="0"/>
    <n v="0"/>
    <n v="0"/>
    <n v="0"/>
    <n v="0"/>
    <n v="0.39619651347068147"/>
    <n v="250"/>
    <n v="0.39619651347068147"/>
    <n v="250"/>
    <n v="0.5"/>
    <n v="0.60380348652931848"/>
    <n v="380.99999999999994"/>
    <n v="0.5"/>
    <n v="1"/>
    <n v="0"/>
    <n v="0"/>
    <n v="0"/>
    <s v="N/A"/>
    <s v="NA"/>
    <n v="105"/>
    <n v="105"/>
    <n v="1"/>
    <n v="0"/>
    <n v="0"/>
    <n v="0"/>
    <n v="0"/>
    <n v="0"/>
    <n v="0"/>
    <n v="0"/>
    <n v="1"/>
    <n v="0"/>
    <n v="0"/>
    <n v="0"/>
    <n v="0"/>
    <n v="0"/>
    <n v="0"/>
    <n v="0"/>
    <x v="0"/>
    <n v="0"/>
    <n v="0"/>
    <x v="2"/>
    <x v="13"/>
    <x v="9"/>
    <n v="20.809240339999999"/>
    <n v="92.923919679999997"/>
    <n v="196881"/>
    <x v="0"/>
    <m/>
  </r>
  <r>
    <x v="0"/>
    <x v="21"/>
    <x v="22"/>
    <s v="GIZ"/>
    <x v="1"/>
    <x v="16"/>
    <x v="4"/>
    <x v="348"/>
    <n v="42"/>
    <n v="184"/>
    <d v="2017-06-01T00:00:00"/>
    <d v="2019-05-31T00:00:00"/>
    <m/>
    <m/>
    <m/>
    <m/>
    <m/>
    <m/>
    <m/>
    <m/>
    <m/>
    <m/>
    <m/>
    <m/>
    <m/>
    <m/>
    <m/>
    <m/>
    <m/>
    <m/>
    <n v="1"/>
    <m/>
    <m/>
    <m/>
    <m/>
    <m/>
    <m/>
    <m/>
    <m/>
    <m/>
    <s v="Pond Rehabilition"/>
    <m/>
    <m/>
    <m/>
    <m/>
    <m/>
    <m/>
    <m/>
    <m/>
    <x v="1"/>
    <x v="1"/>
    <m/>
    <m/>
    <m/>
    <m/>
    <m/>
    <m/>
    <m/>
    <m/>
    <m/>
    <m/>
    <m/>
    <m/>
    <m/>
    <m/>
    <m/>
    <m/>
    <m/>
    <s v="no test"/>
    <s v="no test"/>
    <x v="1"/>
    <n v="0"/>
    <n v="0"/>
    <n v="0"/>
    <n v="0"/>
    <n v="0"/>
    <n v="0"/>
    <n v="0"/>
    <n v="0"/>
    <n v="0"/>
    <n v="1"/>
    <n v="184"/>
    <n v="1"/>
    <n v="184"/>
    <n v="0.36799999999999999"/>
    <n v="0"/>
    <n v="0"/>
    <n v="0.63200000000000001"/>
    <n v="1"/>
    <n v="0"/>
    <n v="0"/>
    <n v="0"/>
    <s v="N/A"/>
    <s v="NA"/>
    <n v="31"/>
    <n v="31"/>
    <n v="1"/>
    <n v="0"/>
    <n v="0"/>
    <n v="0"/>
    <n v="0"/>
    <n v="0"/>
    <n v="0"/>
    <n v="0"/>
    <n v="1"/>
    <n v="0"/>
    <n v="0"/>
    <n v="0"/>
    <n v="0"/>
    <n v="0"/>
    <n v="0"/>
    <n v="0"/>
    <x v="0"/>
    <n v="0"/>
    <n v="0"/>
    <x v="2"/>
    <x v="13"/>
    <x v="9"/>
    <n v="20.807970050000002"/>
    <n v="92.929046630000002"/>
    <n v="196882"/>
    <x v="0"/>
    <m/>
  </r>
  <r>
    <x v="0"/>
    <x v="21"/>
    <x v="22"/>
    <s v="GIZ"/>
    <x v="1"/>
    <x v="16"/>
    <x v="4"/>
    <x v="349"/>
    <n v="73"/>
    <n v="343"/>
    <d v="2017-06-01T00:00:00"/>
    <d v="2019-05-31T00:00:00"/>
    <m/>
    <m/>
    <m/>
    <m/>
    <m/>
    <m/>
    <m/>
    <m/>
    <m/>
    <m/>
    <m/>
    <m/>
    <m/>
    <m/>
    <m/>
    <m/>
    <m/>
    <m/>
    <m/>
    <m/>
    <m/>
    <m/>
    <m/>
    <m/>
    <m/>
    <m/>
    <m/>
    <m/>
    <m/>
    <m/>
    <m/>
    <m/>
    <m/>
    <m/>
    <m/>
    <m/>
    <m/>
    <x v="1"/>
    <x v="1"/>
    <m/>
    <m/>
    <m/>
    <m/>
    <m/>
    <m/>
    <m/>
    <m/>
    <m/>
    <m/>
    <m/>
    <m/>
    <m/>
    <m/>
    <m/>
    <m/>
    <m/>
    <s v="no test"/>
    <s v="no test"/>
    <x v="1"/>
    <n v="0"/>
    <n v="0"/>
    <n v="0"/>
    <n v="0"/>
    <n v="0"/>
    <n v="0"/>
    <n v="0"/>
    <n v="0"/>
    <n v="0"/>
    <n v="0"/>
    <n v="0"/>
    <n v="0"/>
    <n v="0"/>
    <n v="0"/>
    <n v="1"/>
    <n v="343"/>
    <n v="1"/>
    <n v="1"/>
    <n v="0"/>
    <n v="0"/>
    <n v="0"/>
    <s v="N/A"/>
    <s v="NA"/>
    <n v="57"/>
    <n v="57"/>
    <n v="1"/>
    <n v="0"/>
    <n v="0"/>
    <n v="0"/>
    <n v="0"/>
    <n v="0"/>
    <n v="0"/>
    <n v="0"/>
    <n v="1"/>
    <n v="0"/>
    <n v="0"/>
    <n v="0"/>
    <n v="0"/>
    <n v="0"/>
    <n v="0"/>
    <n v="0"/>
    <x v="0"/>
    <n v="0"/>
    <n v="0"/>
    <x v="2"/>
    <x v="13"/>
    <x v="9"/>
    <n v="20.803529739999998"/>
    <n v="92.929466250000004"/>
    <n v="196883"/>
    <x v="0"/>
    <m/>
  </r>
  <r>
    <x v="0"/>
    <x v="21"/>
    <x v="22"/>
    <s v="GIZ"/>
    <x v="1"/>
    <x v="16"/>
    <x v="2"/>
    <x v="350"/>
    <n v="93"/>
    <n v="415"/>
    <d v="2017-06-01T00:00:00"/>
    <d v="2019-05-31T00:00:00"/>
    <m/>
    <m/>
    <m/>
    <m/>
    <m/>
    <m/>
    <m/>
    <m/>
    <m/>
    <m/>
    <m/>
    <m/>
    <m/>
    <m/>
    <m/>
    <m/>
    <m/>
    <m/>
    <n v="2"/>
    <m/>
    <m/>
    <m/>
    <m/>
    <m/>
    <m/>
    <m/>
    <m/>
    <m/>
    <s v="Pond Rehabilition"/>
    <m/>
    <m/>
    <m/>
    <m/>
    <m/>
    <m/>
    <m/>
    <m/>
    <x v="1"/>
    <x v="1"/>
    <m/>
    <m/>
    <m/>
    <m/>
    <m/>
    <m/>
    <m/>
    <m/>
    <m/>
    <m/>
    <m/>
    <m/>
    <m/>
    <m/>
    <m/>
    <m/>
    <m/>
    <s v="no test"/>
    <s v="no test"/>
    <x v="1"/>
    <n v="0"/>
    <n v="0"/>
    <n v="0"/>
    <n v="0"/>
    <n v="0"/>
    <n v="0"/>
    <n v="0"/>
    <n v="0"/>
    <n v="0"/>
    <n v="1"/>
    <n v="415"/>
    <n v="1"/>
    <n v="415"/>
    <n v="0.83"/>
    <n v="0"/>
    <n v="0"/>
    <n v="0.17000000000000004"/>
    <n v="1"/>
    <n v="0"/>
    <n v="0"/>
    <n v="0"/>
    <s v="N/A"/>
    <s v="NA"/>
    <n v="69"/>
    <n v="69"/>
    <n v="1"/>
    <n v="0"/>
    <n v="0"/>
    <n v="0"/>
    <n v="0"/>
    <n v="0"/>
    <n v="0"/>
    <n v="0"/>
    <n v="1"/>
    <n v="0"/>
    <n v="0"/>
    <n v="0"/>
    <n v="0"/>
    <n v="0"/>
    <n v="0"/>
    <n v="0"/>
    <x v="0"/>
    <n v="0"/>
    <n v="0"/>
    <x v="2"/>
    <x v="6"/>
    <x v="9"/>
    <n v="20.855012890000001"/>
    <n v="92.91"/>
    <n v="196824"/>
    <x v="0"/>
    <m/>
  </r>
  <r>
    <x v="0"/>
    <x v="21"/>
    <x v="22"/>
    <s v="GIZ"/>
    <x v="1"/>
    <x v="16"/>
    <x v="4"/>
    <x v="351"/>
    <n v="73"/>
    <n v="397"/>
    <d v="2017-06-01T00:00:00"/>
    <d v="2019-05-31T00:00:00"/>
    <m/>
    <m/>
    <m/>
    <m/>
    <m/>
    <m/>
    <m/>
    <m/>
    <m/>
    <m/>
    <m/>
    <m/>
    <m/>
    <m/>
    <m/>
    <m/>
    <m/>
    <m/>
    <n v="1"/>
    <m/>
    <m/>
    <m/>
    <m/>
    <m/>
    <m/>
    <m/>
    <m/>
    <m/>
    <s v="Pond Rehabilition"/>
    <m/>
    <m/>
    <m/>
    <m/>
    <m/>
    <m/>
    <m/>
    <m/>
    <x v="1"/>
    <x v="1"/>
    <m/>
    <m/>
    <m/>
    <m/>
    <m/>
    <m/>
    <m/>
    <m/>
    <m/>
    <m/>
    <m/>
    <m/>
    <m/>
    <m/>
    <m/>
    <m/>
    <m/>
    <s v="no test"/>
    <s v="no test"/>
    <x v="1"/>
    <n v="0"/>
    <n v="0"/>
    <n v="0"/>
    <n v="0"/>
    <n v="0"/>
    <n v="0"/>
    <n v="0"/>
    <n v="0"/>
    <n v="0"/>
    <n v="0.62972292191435764"/>
    <n v="249.99999999999997"/>
    <n v="0.62972292191435764"/>
    <n v="249.99999999999997"/>
    <n v="0.49999999999999994"/>
    <n v="0.37027707808564236"/>
    <n v="147.00000000000003"/>
    <n v="0.5"/>
    <n v="1"/>
    <n v="0"/>
    <n v="0"/>
    <n v="0"/>
    <s v="N/A"/>
    <s v="NA"/>
    <n v="66"/>
    <n v="66"/>
    <n v="1"/>
    <n v="0"/>
    <n v="0"/>
    <n v="0"/>
    <n v="0"/>
    <n v="0"/>
    <n v="0"/>
    <n v="0"/>
    <n v="1"/>
    <n v="0"/>
    <n v="0"/>
    <n v="0"/>
    <n v="0"/>
    <n v="0"/>
    <n v="0"/>
    <n v="0"/>
    <x v="0"/>
    <n v="0"/>
    <n v="0"/>
    <x v="2"/>
    <x v="13"/>
    <x v="9"/>
    <n v="20.851089479999999"/>
    <n v="92.916893009999995"/>
    <n v="196825"/>
    <x v="0"/>
    <m/>
  </r>
  <r>
    <x v="0"/>
    <x v="21"/>
    <x v="22"/>
    <s v="GIZ"/>
    <x v="1"/>
    <x v="16"/>
    <x v="4"/>
    <x v="352"/>
    <n v="138"/>
    <n v="609"/>
    <d v="2017-06-01T00:00:00"/>
    <d v="2019-05-31T00:00:00"/>
    <m/>
    <m/>
    <m/>
    <m/>
    <m/>
    <m/>
    <m/>
    <m/>
    <m/>
    <m/>
    <m/>
    <m/>
    <m/>
    <m/>
    <m/>
    <m/>
    <m/>
    <m/>
    <n v="3"/>
    <m/>
    <m/>
    <m/>
    <m/>
    <m/>
    <m/>
    <m/>
    <m/>
    <m/>
    <s v="Pond Rehabilition"/>
    <m/>
    <m/>
    <m/>
    <m/>
    <m/>
    <m/>
    <m/>
    <m/>
    <x v="1"/>
    <x v="1"/>
    <m/>
    <m/>
    <m/>
    <m/>
    <m/>
    <m/>
    <m/>
    <m/>
    <m/>
    <m/>
    <m/>
    <m/>
    <m/>
    <m/>
    <m/>
    <m/>
    <m/>
    <s v="no test"/>
    <s v="no test"/>
    <x v="1"/>
    <n v="0"/>
    <n v="0"/>
    <n v="0"/>
    <n v="0"/>
    <n v="0"/>
    <n v="0"/>
    <n v="0"/>
    <n v="0"/>
    <n v="0"/>
    <n v="1"/>
    <n v="609"/>
    <n v="1"/>
    <n v="609"/>
    <n v="1.218"/>
    <n v="0"/>
    <n v="0"/>
    <n v="0"/>
    <n v="1"/>
    <n v="0"/>
    <n v="0"/>
    <n v="0"/>
    <s v="N/A"/>
    <s v="NA"/>
    <n v="102"/>
    <n v="102"/>
    <n v="1"/>
    <n v="0"/>
    <n v="0"/>
    <n v="0"/>
    <n v="0"/>
    <n v="0"/>
    <n v="0"/>
    <n v="0"/>
    <n v="1"/>
    <n v="0"/>
    <n v="0"/>
    <n v="0"/>
    <n v="0"/>
    <n v="0"/>
    <n v="0"/>
    <n v="0"/>
    <x v="0"/>
    <n v="0"/>
    <n v="0"/>
    <x v="2"/>
    <x v="13"/>
    <x v="4"/>
    <n v="20.67705917"/>
    <n v="92.953247070000003"/>
    <n v="196929"/>
    <x v="0"/>
    <m/>
  </r>
  <r>
    <x v="0"/>
    <x v="21"/>
    <x v="22"/>
    <s v="GIZ"/>
    <x v="1"/>
    <x v="16"/>
    <x v="4"/>
    <x v="353"/>
    <n v="76"/>
    <n v="394"/>
    <d v="2017-06-01T00:00:00"/>
    <d v="2019-05-31T00:00:00"/>
    <m/>
    <m/>
    <m/>
    <m/>
    <m/>
    <m/>
    <m/>
    <m/>
    <m/>
    <m/>
    <m/>
    <m/>
    <m/>
    <m/>
    <m/>
    <m/>
    <m/>
    <m/>
    <n v="2"/>
    <m/>
    <m/>
    <m/>
    <m/>
    <m/>
    <m/>
    <m/>
    <m/>
    <m/>
    <s v="Pond Rehabilition"/>
    <m/>
    <m/>
    <m/>
    <m/>
    <m/>
    <m/>
    <m/>
    <m/>
    <x v="1"/>
    <x v="1"/>
    <m/>
    <m/>
    <m/>
    <m/>
    <m/>
    <m/>
    <m/>
    <m/>
    <m/>
    <m/>
    <m/>
    <m/>
    <m/>
    <m/>
    <m/>
    <m/>
    <m/>
    <s v="no test"/>
    <s v="no test"/>
    <x v="1"/>
    <n v="0"/>
    <n v="0"/>
    <n v="0"/>
    <n v="0"/>
    <n v="0"/>
    <n v="0"/>
    <n v="0"/>
    <n v="0"/>
    <n v="0"/>
    <n v="1"/>
    <n v="394"/>
    <n v="1"/>
    <n v="394"/>
    <n v="0.78800000000000003"/>
    <n v="0"/>
    <n v="0"/>
    <n v="0.21199999999999997"/>
    <n v="1"/>
    <n v="0"/>
    <n v="0"/>
    <n v="0"/>
    <s v="N/A"/>
    <s v="NA"/>
    <n v="66"/>
    <n v="66"/>
    <n v="1"/>
    <n v="0"/>
    <n v="0"/>
    <n v="0"/>
    <n v="0"/>
    <n v="0"/>
    <n v="0"/>
    <n v="0"/>
    <n v="1"/>
    <n v="0"/>
    <n v="0"/>
    <n v="0"/>
    <n v="0"/>
    <n v="0"/>
    <n v="0"/>
    <n v="0"/>
    <x v="0"/>
    <n v="0"/>
    <n v="0"/>
    <x v="2"/>
    <x v="13"/>
    <x v="10"/>
    <n v="20.681715010000001"/>
    <n v="92.94140625"/>
    <n v="196930"/>
    <x v="0"/>
    <m/>
  </r>
  <r>
    <x v="0"/>
    <x v="21"/>
    <x v="22"/>
    <s v="GIZ"/>
    <x v="1"/>
    <x v="16"/>
    <x v="4"/>
    <x v="354"/>
    <n v="185"/>
    <n v="915"/>
    <d v="2017-06-01T00:00:00"/>
    <d v="2019-05-31T00:00:00"/>
    <m/>
    <m/>
    <m/>
    <m/>
    <m/>
    <m/>
    <m/>
    <m/>
    <m/>
    <m/>
    <m/>
    <m/>
    <m/>
    <m/>
    <m/>
    <m/>
    <m/>
    <m/>
    <n v="3"/>
    <m/>
    <m/>
    <m/>
    <m/>
    <m/>
    <m/>
    <m/>
    <m/>
    <m/>
    <s v="Pond Rehabilition"/>
    <m/>
    <m/>
    <m/>
    <m/>
    <m/>
    <m/>
    <m/>
    <m/>
    <x v="1"/>
    <x v="1"/>
    <m/>
    <m/>
    <m/>
    <m/>
    <m/>
    <m/>
    <m/>
    <m/>
    <m/>
    <m/>
    <m/>
    <m/>
    <m/>
    <m/>
    <m/>
    <m/>
    <m/>
    <s v="no test"/>
    <s v="no test"/>
    <x v="1"/>
    <n v="0"/>
    <n v="0"/>
    <n v="0"/>
    <n v="0"/>
    <n v="0"/>
    <n v="0"/>
    <n v="0"/>
    <n v="0"/>
    <n v="0"/>
    <n v="0.81967213114754101"/>
    <n v="750"/>
    <n v="0.81967213114754101"/>
    <n v="750"/>
    <n v="1.5"/>
    <n v="0.18032786885245899"/>
    <n v="164.99999999999997"/>
    <n v="0.5"/>
    <n v="2"/>
    <n v="0"/>
    <n v="0"/>
    <n v="0"/>
    <s v="N/A"/>
    <s v="NA"/>
    <n v="153"/>
    <n v="153"/>
    <n v="1"/>
    <n v="0"/>
    <n v="0"/>
    <n v="0"/>
    <n v="0"/>
    <n v="0"/>
    <n v="0"/>
    <n v="0"/>
    <n v="1"/>
    <n v="0"/>
    <n v="0"/>
    <n v="0"/>
    <n v="0"/>
    <n v="0"/>
    <n v="0"/>
    <n v="0"/>
    <x v="0"/>
    <n v="0"/>
    <n v="0"/>
    <x v="2"/>
    <x v="13"/>
    <x v="4"/>
    <n v="20.786739350000001"/>
    <n v="92.944313050000005"/>
    <n v="196884"/>
    <x v="0"/>
    <m/>
  </r>
  <r>
    <x v="0"/>
    <x v="21"/>
    <x v="22"/>
    <s v="GIZ"/>
    <x v="1"/>
    <x v="16"/>
    <x v="4"/>
    <x v="355"/>
    <n v="293"/>
    <n v="1503"/>
    <d v="2017-06-01T00:00:00"/>
    <d v="2019-05-31T00:00:00"/>
    <m/>
    <m/>
    <m/>
    <m/>
    <m/>
    <m/>
    <m/>
    <m/>
    <m/>
    <m/>
    <m/>
    <m/>
    <m/>
    <m/>
    <m/>
    <m/>
    <m/>
    <m/>
    <n v="4"/>
    <m/>
    <m/>
    <m/>
    <m/>
    <m/>
    <m/>
    <m/>
    <m/>
    <m/>
    <s v="Pond Rehabilition"/>
    <m/>
    <m/>
    <m/>
    <m/>
    <m/>
    <m/>
    <m/>
    <m/>
    <x v="1"/>
    <x v="1"/>
    <m/>
    <m/>
    <m/>
    <m/>
    <m/>
    <m/>
    <m/>
    <m/>
    <m/>
    <m/>
    <m/>
    <m/>
    <m/>
    <m/>
    <m/>
    <m/>
    <m/>
    <s v="no test"/>
    <s v="no test"/>
    <x v="1"/>
    <n v="0"/>
    <n v="0"/>
    <n v="0"/>
    <n v="0"/>
    <n v="0"/>
    <n v="0"/>
    <n v="0"/>
    <n v="0"/>
    <n v="0"/>
    <n v="0.66533599467731208"/>
    <n v="1000.0000000000001"/>
    <n v="0.66533599467731208"/>
    <n v="1000.0000000000001"/>
    <n v="2.0000000000000004"/>
    <n v="0.33466400532268792"/>
    <n v="502.99999999999994"/>
    <n v="0.99999999999999956"/>
    <n v="3"/>
    <n v="0"/>
    <n v="0"/>
    <n v="0"/>
    <s v="N/A"/>
    <s v="NA"/>
    <n v="251"/>
    <n v="251"/>
    <n v="1"/>
    <n v="0"/>
    <n v="0"/>
    <n v="0"/>
    <n v="0"/>
    <n v="0"/>
    <n v="0"/>
    <n v="0"/>
    <n v="1"/>
    <n v="0"/>
    <n v="0"/>
    <n v="0"/>
    <n v="0"/>
    <n v="0"/>
    <n v="0"/>
    <n v="0"/>
    <x v="0"/>
    <n v="0"/>
    <n v="0"/>
    <x v="2"/>
    <x v="13"/>
    <x v="4"/>
    <n v="20.71134949"/>
    <n v="92.980506899999995"/>
    <n v="196944"/>
    <x v="0"/>
    <m/>
  </r>
  <r>
    <x v="0"/>
    <x v="21"/>
    <x v="22"/>
    <s v="GIZ"/>
    <x v="1"/>
    <x v="16"/>
    <x v="4"/>
    <x v="356"/>
    <n v="122"/>
    <n v="486"/>
    <d v="2017-06-01T00:00:00"/>
    <d v="2019-05-31T00:00:00"/>
    <m/>
    <m/>
    <m/>
    <m/>
    <m/>
    <m/>
    <m/>
    <m/>
    <m/>
    <m/>
    <m/>
    <m/>
    <m/>
    <m/>
    <m/>
    <m/>
    <m/>
    <m/>
    <n v="3"/>
    <m/>
    <m/>
    <m/>
    <m/>
    <m/>
    <m/>
    <m/>
    <m/>
    <m/>
    <s v="Pond Rehabilition"/>
    <m/>
    <m/>
    <m/>
    <m/>
    <m/>
    <m/>
    <m/>
    <m/>
    <x v="1"/>
    <x v="1"/>
    <m/>
    <m/>
    <m/>
    <m/>
    <m/>
    <m/>
    <m/>
    <m/>
    <m/>
    <m/>
    <m/>
    <m/>
    <m/>
    <m/>
    <m/>
    <m/>
    <m/>
    <s v="no test"/>
    <s v="no test"/>
    <x v="1"/>
    <n v="0"/>
    <n v="0"/>
    <n v="0"/>
    <n v="0"/>
    <n v="0"/>
    <n v="0"/>
    <n v="0"/>
    <n v="0"/>
    <n v="0"/>
    <n v="1"/>
    <n v="486"/>
    <n v="1"/>
    <n v="486"/>
    <n v="0.97199999999999998"/>
    <n v="0"/>
    <n v="0"/>
    <n v="2.8000000000000025E-2"/>
    <n v="1"/>
    <n v="0"/>
    <n v="0"/>
    <n v="0"/>
    <s v="N/A"/>
    <s v="NA"/>
    <n v="81"/>
    <n v="81"/>
    <n v="1"/>
    <n v="0"/>
    <n v="0"/>
    <n v="0"/>
    <n v="0"/>
    <n v="0"/>
    <n v="0"/>
    <n v="0"/>
    <n v="1"/>
    <n v="0"/>
    <n v="0"/>
    <n v="0"/>
    <n v="0"/>
    <n v="0"/>
    <n v="0"/>
    <n v="0"/>
    <x v="0"/>
    <n v="0"/>
    <n v="0"/>
    <x v="2"/>
    <x v="13"/>
    <x v="9"/>
    <n v="20.785770419999999"/>
    <n v="92.931426999999999"/>
    <n v="196887"/>
    <x v="0"/>
    <m/>
  </r>
  <r>
    <x v="0"/>
    <x v="21"/>
    <x v="22"/>
    <s v="GIZ"/>
    <x v="1"/>
    <x v="16"/>
    <x v="2"/>
    <x v="357"/>
    <n v="326"/>
    <n v="1786"/>
    <d v="2017-06-01T00:00:00"/>
    <d v="2019-05-31T00:00:00"/>
    <m/>
    <m/>
    <m/>
    <m/>
    <m/>
    <m/>
    <m/>
    <m/>
    <m/>
    <m/>
    <m/>
    <m/>
    <m/>
    <m/>
    <m/>
    <m/>
    <m/>
    <m/>
    <n v="2"/>
    <m/>
    <m/>
    <m/>
    <m/>
    <m/>
    <m/>
    <m/>
    <m/>
    <m/>
    <s v="Pond Rehabilition"/>
    <m/>
    <m/>
    <m/>
    <m/>
    <m/>
    <m/>
    <m/>
    <m/>
    <x v="1"/>
    <x v="1"/>
    <m/>
    <m/>
    <m/>
    <m/>
    <m/>
    <m/>
    <m/>
    <m/>
    <m/>
    <m/>
    <m/>
    <m/>
    <m/>
    <m/>
    <m/>
    <m/>
    <m/>
    <s v="no test"/>
    <s v="no test"/>
    <x v="1"/>
    <n v="0"/>
    <n v="0"/>
    <n v="0"/>
    <n v="0"/>
    <n v="0"/>
    <n v="0"/>
    <n v="0"/>
    <n v="0"/>
    <n v="0"/>
    <n v="0.27995520716685329"/>
    <n v="500"/>
    <n v="0.27995520716685329"/>
    <n v="500"/>
    <n v="1"/>
    <n v="0.72004479283314671"/>
    <n v="1286"/>
    <n v="3"/>
    <n v="4"/>
    <n v="0"/>
    <n v="0"/>
    <n v="0"/>
    <s v="N/A"/>
    <s v="NA"/>
    <n v="298"/>
    <n v="298"/>
    <n v="1"/>
    <n v="0"/>
    <n v="0"/>
    <n v="0"/>
    <n v="0"/>
    <n v="0"/>
    <n v="0"/>
    <n v="0"/>
    <n v="1"/>
    <n v="0"/>
    <n v="0"/>
    <n v="0"/>
    <n v="0"/>
    <n v="0"/>
    <n v="0"/>
    <n v="0"/>
    <x v="0"/>
    <n v="0"/>
    <n v="0"/>
    <x v="2"/>
    <x v="11"/>
    <x v="3"/>
    <s v="WASH - resettled, relocated, surrounding communities &amp; host communities "/>
    <n v="93.009900000000002"/>
    <s v="MMR012CMP026"/>
    <x v="0"/>
    <m/>
  </r>
  <r>
    <x v="0"/>
    <x v="21"/>
    <x v="22"/>
    <s v="GIZ"/>
    <x v="1"/>
    <x v="16"/>
    <x v="4"/>
    <x v="358"/>
    <n v="361"/>
    <n v="1669"/>
    <d v="2017-06-01T00:00:00"/>
    <d v="2019-05-31T00:00:00"/>
    <m/>
    <m/>
    <m/>
    <m/>
    <m/>
    <m/>
    <m/>
    <m/>
    <m/>
    <m/>
    <m/>
    <m/>
    <m/>
    <m/>
    <m/>
    <m/>
    <m/>
    <m/>
    <n v="2"/>
    <m/>
    <m/>
    <m/>
    <m/>
    <m/>
    <m/>
    <m/>
    <m/>
    <m/>
    <s v="Pond Rehabilition"/>
    <m/>
    <m/>
    <m/>
    <m/>
    <m/>
    <m/>
    <m/>
    <m/>
    <x v="1"/>
    <x v="1"/>
    <m/>
    <m/>
    <m/>
    <m/>
    <m/>
    <m/>
    <m/>
    <m/>
    <m/>
    <m/>
    <m/>
    <m/>
    <m/>
    <m/>
    <m/>
    <m/>
    <m/>
    <s v="no test"/>
    <s v="no test"/>
    <x v="1"/>
    <n v="0"/>
    <n v="0"/>
    <n v="0"/>
    <n v="0"/>
    <n v="0"/>
    <n v="0"/>
    <n v="0"/>
    <n v="0"/>
    <n v="0"/>
    <n v="0.29958058717795089"/>
    <n v="500"/>
    <n v="0.29958058717795089"/>
    <n v="500"/>
    <n v="1"/>
    <n v="0.70041941282204911"/>
    <n v="1169"/>
    <n v="2"/>
    <n v="3"/>
    <n v="0"/>
    <n v="0"/>
    <n v="0"/>
    <s v="N/A"/>
    <s v="NA"/>
    <n v="278"/>
    <n v="278"/>
    <n v="1"/>
    <n v="0"/>
    <n v="0"/>
    <n v="0"/>
    <n v="0"/>
    <n v="0"/>
    <n v="0"/>
    <n v="0"/>
    <n v="1"/>
    <n v="0"/>
    <n v="0"/>
    <n v="0"/>
    <n v="0"/>
    <n v="0"/>
    <n v="0"/>
    <n v="0"/>
    <x v="0"/>
    <n v="0"/>
    <n v="0"/>
    <x v="2"/>
    <x v="13"/>
    <x v="4"/>
    <n v="20.705930710000001"/>
    <n v="93.001953130000004"/>
    <n v="196943"/>
    <x v="0"/>
    <m/>
  </r>
  <r>
    <x v="0"/>
    <x v="21"/>
    <x v="22"/>
    <s v="MHF"/>
    <x v="1"/>
    <x v="16"/>
    <x v="2"/>
    <x v="359"/>
    <n v="128"/>
    <n v="770"/>
    <d v="2018-10-01T00:00:00"/>
    <d v="2019-09-30T00:00:00"/>
    <m/>
    <m/>
    <m/>
    <m/>
    <m/>
    <m/>
    <m/>
    <m/>
    <m/>
    <m/>
    <m/>
    <m/>
    <m/>
    <m/>
    <m/>
    <m/>
    <m/>
    <m/>
    <m/>
    <m/>
    <m/>
    <m/>
    <m/>
    <m/>
    <m/>
    <m/>
    <m/>
    <m/>
    <m/>
    <m/>
    <m/>
    <m/>
    <m/>
    <m/>
    <m/>
    <m/>
    <m/>
    <x v="1"/>
    <x v="1"/>
    <m/>
    <m/>
    <m/>
    <m/>
    <m/>
    <m/>
    <m/>
    <m/>
    <m/>
    <m/>
    <m/>
    <m/>
    <m/>
    <m/>
    <m/>
    <m/>
    <m/>
    <s v="no test"/>
    <s v="no test"/>
    <x v="1"/>
    <n v="0"/>
    <n v="0"/>
    <n v="0"/>
    <n v="0"/>
    <n v="0"/>
    <n v="0"/>
    <n v="0"/>
    <n v="0"/>
    <n v="0"/>
    <n v="0"/>
    <n v="0"/>
    <n v="0"/>
    <n v="0"/>
    <n v="0"/>
    <n v="1"/>
    <n v="770"/>
    <n v="2"/>
    <n v="2"/>
    <n v="0"/>
    <n v="0"/>
    <n v="0"/>
    <s v="N/A"/>
    <s v="NA"/>
    <n v="128"/>
    <n v="128"/>
    <n v="1"/>
    <n v="0"/>
    <n v="0"/>
    <n v="0"/>
    <n v="0"/>
    <n v="0"/>
    <n v="0"/>
    <n v="0"/>
    <n v="1"/>
    <n v="0"/>
    <n v="0"/>
    <n v="0"/>
    <n v="0"/>
    <n v="0"/>
    <n v="0"/>
    <n v="0"/>
    <x v="0"/>
    <n v="0"/>
    <n v="0"/>
    <x v="2"/>
    <x v="6"/>
    <x v="2"/>
    <n v="20.727590559999999"/>
    <n v="92.969352720000003"/>
    <n v="196816"/>
    <x v="0"/>
    <m/>
  </r>
  <r>
    <x v="0"/>
    <x v="21"/>
    <x v="22"/>
    <s v="MHF"/>
    <x v="1"/>
    <x v="16"/>
    <x v="2"/>
    <x v="360"/>
    <n v="120"/>
    <n v="531"/>
    <d v="2018-10-01T00:00:00"/>
    <d v="2019-09-30T00:00:00"/>
    <m/>
    <m/>
    <m/>
    <m/>
    <m/>
    <m/>
    <m/>
    <m/>
    <m/>
    <m/>
    <m/>
    <m/>
    <m/>
    <m/>
    <m/>
    <m/>
    <m/>
    <m/>
    <m/>
    <m/>
    <m/>
    <m/>
    <m/>
    <m/>
    <m/>
    <m/>
    <m/>
    <m/>
    <m/>
    <m/>
    <m/>
    <m/>
    <m/>
    <m/>
    <m/>
    <m/>
    <m/>
    <x v="1"/>
    <x v="1"/>
    <m/>
    <m/>
    <m/>
    <m/>
    <m/>
    <m/>
    <m/>
    <m/>
    <m/>
    <m/>
    <m/>
    <m/>
    <m/>
    <m/>
    <m/>
    <m/>
    <m/>
    <s v="no test"/>
    <s v="no test"/>
    <x v="1"/>
    <n v="0"/>
    <n v="0"/>
    <n v="0"/>
    <n v="0"/>
    <n v="0"/>
    <n v="0"/>
    <n v="0"/>
    <n v="0"/>
    <n v="0"/>
    <n v="0"/>
    <n v="0"/>
    <n v="0"/>
    <n v="0"/>
    <n v="0"/>
    <n v="1"/>
    <n v="531"/>
    <n v="1"/>
    <n v="1"/>
    <n v="0"/>
    <n v="0"/>
    <n v="0"/>
    <s v="N/A"/>
    <s v="NA"/>
    <n v="89"/>
    <n v="89"/>
    <n v="1"/>
    <n v="0"/>
    <n v="0"/>
    <n v="0"/>
    <n v="0"/>
    <n v="0"/>
    <n v="0"/>
    <n v="0"/>
    <n v="1"/>
    <n v="0"/>
    <n v="0"/>
    <n v="0"/>
    <n v="0"/>
    <n v="0"/>
    <n v="0"/>
    <n v="0"/>
    <x v="0"/>
    <n v="0"/>
    <n v="0"/>
    <x v="2"/>
    <x v="6"/>
    <x v="2"/>
    <n v="20.896429059999999"/>
    <n v="92.940193179999994"/>
    <n v="196804"/>
    <x v="0"/>
    <m/>
  </r>
  <r>
    <x v="0"/>
    <x v="21"/>
    <x v="22"/>
    <s v="MHF"/>
    <x v="1"/>
    <x v="16"/>
    <x v="2"/>
    <x v="361"/>
    <n v="116"/>
    <n v="667"/>
    <d v="2018-10-01T00:00:00"/>
    <d v="2019-09-30T00:00:00"/>
    <m/>
    <m/>
    <m/>
    <m/>
    <m/>
    <m/>
    <m/>
    <m/>
    <m/>
    <m/>
    <m/>
    <m/>
    <m/>
    <m/>
    <m/>
    <m/>
    <m/>
    <m/>
    <m/>
    <m/>
    <m/>
    <m/>
    <m/>
    <m/>
    <m/>
    <m/>
    <m/>
    <m/>
    <m/>
    <m/>
    <m/>
    <m/>
    <m/>
    <m/>
    <m/>
    <m/>
    <m/>
    <x v="1"/>
    <x v="1"/>
    <m/>
    <m/>
    <m/>
    <m/>
    <m/>
    <m/>
    <m/>
    <m/>
    <m/>
    <m/>
    <m/>
    <m/>
    <m/>
    <m/>
    <m/>
    <m/>
    <m/>
    <s v="no test"/>
    <s v="no test"/>
    <x v="1"/>
    <n v="0"/>
    <n v="0"/>
    <n v="0"/>
    <n v="0"/>
    <n v="0"/>
    <n v="0"/>
    <n v="0"/>
    <n v="0"/>
    <n v="0"/>
    <n v="0"/>
    <n v="0"/>
    <n v="0"/>
    <n v="0"/>
    <n v="0"/>
    <n v="1"/>
    <n v="667"/>
    <n v="1"/>
    <n v="1"/>
    <n v="0"/>
    <n v="0"/>
    <n v="0"/>
    <s v="N/A"/>
    <s v="NA"/>
    <n v="111"/>
    <n v="111"/>
    <n v="1"/>
    <n v="0"/>
    <n v="0"/>
    <n v="0"/>
    <n v="0"/>
    <n v="0"/>
    <n v="0"/>
    <n v="0"/>
    <n v="1"/>
    <n v="0"/>
    <n v="0"/>
    <n v="0"/>
    <n v="0"/>
    <n v="0"/>
    <n v="0"/>
    <n v="0"/>
    <x v="0"/>
    <n v="0"/>
    <n v="0"/>
    <x v="2"/>
    <x v="6"/>
    <x v="2"/>
    <n v="20.889249800000002"/>
    <n v="92.939201350000005"/>
    <n v="0"/>
    <x v="0"/>
    <m/>
  </r>
  <r>
    <x v="0"/>
    <x v="21"/>
    <x v="22"/>
    <s v="MHF"/>
    <x v="1"/>
    <x v="16"/>
    <x v="2"/>
    <x v="362"/>
    <n v="173"/>
    <n v="1090"/>
    <d v="2018-10-01T00:00:00"/>
    <d v="2019-09-30T00:00:00"/>
    <m/>
    <m/>
    <m/>
    <m/>
    <m/>
    <m/>
    <m/>
    <m/>
    <m/>
    <m/>
    <m/>
    <m/>
    <m/>
    <m/>
    <m/>
    <m/>
    <m/>
    <m/>
    <m/>
    <m/>
    <m/>
    <m/>
    <m/>
    <m/>
    <m/>
    <m/>
    <m/>
    <m/>
    <m/>
    <m/>
    <m/>
    <m/>
    <m/>
    <m/>
    <m/>
    <m/>
    <m/>
    <x v="1"/>
    <x v="1"/>
    <m/>
    <m/>
    <m/>
    <m/>
    <m/>
    <m/>
    <m/>
    <m/>
    <m/>
    <m/>
    <m/>
    <m/>
    <m/>
    <m/>
    <m/>
    <m/>
    <m/>
    <s v="no test"/>
    <s v="no test"/>
    <x v="1"/>
    <n v="0"/>
    <n v="0"/>
    <n v="0"/>
    <n v="0"/>
    <n v="0"/>
    <n v="0"/>
    <n v="0"/>
    <n v="0"/>
    <n v="0"/>
    <n v="0"/>
    <n v="0"/>
    <n v="0"/>
    <n v="0"/>
    <n v="0"/>
    <n v="1"/>
    <n v="1090"/>
    <n v="2"/>
    <n v="2"/>
    <n v="0"/>
    <n v="0"/>
    <n v="0"/>
    <s v="N/A"/>
    <s v="NA"/>
    <n v="182"/>
    <n v="182"/>
    <n v="1"/>
    <n v="0"/>
    <n v="0"/>
    <n v="0"/>
    <n v="0"/>
    <n v="0"/>
    <n v="0"/>
    <n v="0"/>
    <n v="1"/>
    <n v="0"/>
    <n v="0"/>
    <n v="0"/>
    <n v="0"/>
    <n v="0"/>
    <n v="0"/>
    <n v="0"/>
    <x v="0"/>
    <n v="0"/>
    <n v="0"/>
    <x v="2"/>
    <x v="11"/>
    <x v="3"/>
    <n v="20.727589999999999"/>
    <n v="92.969350000000006"/>
    <s v="MMR012CMP028"/>
    <x v="0"/>
    <m/>
  </r>
  <r>
    <x v="0"/>
    <x v="21"/>
    <x v="22"/>
    <s v="MHF"/>
    <x v="1"/>
    <x v="16"/>
    <x v="2"/>
    <x v="363"/>
    <n v="174"/>
    <n v="665"/>
    <d v="2018-10-01T00:00:00"/>
    <d v="2019-09-30T00:00:00"/>
    <m/>
    <m/>
    <m/>
    <m/>
    <m/>
    <m/>
    <m/>
    <m/>
    <m/>
    <m/>
    <m/>
    <m/>
    <m/>
    <m/>
    <m/>
    <m/>
    <m/>
    <m/>
    <m/>
    <m/>
    <m/>
    <m/>
    <m/>
    <m/>
    <m/>
    <m/>
    <m/>
    <m/>
    <m/>
    <m/>
    <m/>
    <m/>
    <m/>
    <m/>
    <m/>
    <m/>
    <m/>
    <x v="1"/>
    <x v="1"/>
    <m/>
    <m/>
    <m/>
    <m/>
    <m/>
    <m/>
    <m/>
    <m/>
    <m/>
    <m/>
    <m/>
    <m/>
    <m/>
    <m/>
    <m/>
    <m/>
    <m/>
    <s v="no test"/>
    <s v="no test"/>
    <x v="1"/>
    <n v="0"/>
    <n v="0"/>
    <n v="0"/>
    <n v="0"/>
    <n v="0"/>
    <n v="0"/>
    <n v="0"/>
    <n v="0"/>
    <n v="0"/>
    <n v="0"/>
    <n v="0"/>
    <n v="0"/>
    <n v="0"/>
    <n v="0"/>
    <n v="1"/>
    <n v="665"/>
    <n v="1"/>
    <n v="1"/>
    <n v="0"/>
    <n v="0"/>
    <n v="0"/>
    <s v="N/A"/>
    <s v="NA"/>
    <n v="111"/>
    <n v="111"/>
    <n v="1"/>
    <n v="0"/>
    <n v="0"/>
    <n v="0"/>
    <n v="0"/>
    <n v="0"/>
    <n v="0"/>
    <n v="0"/>
    <n v="1"/>
    <n v="0"/>
    <n v="0"/>
    <n v="0"/>
    <n v="0"/>
    <n v="0"/>
    <n v="0"/>
    <n v="0"/>
    <x v="0"/>
    <n v="0"/>
    <n v="0"/>
    <x v="2"/>
    <x v="6"/>
    <x v="2"/>
    <n v="20.883239750000001"/>
    <n v="92.936859130000002"/>
    <n v="196813"/>
    <x v="0"/>
    <m/>
  </r>
  <r>
    <x v="0"/>
    <x v="21"/>
    <x v="22"/>
    <s v="MHF"/>
    <x v="1"/>
    <x v="16"/>
    <x v="2"/>
    <x v="364"/>
    <n v="82"/>
    <n v="304"/>
    <d v="2018-10-01T00:00:00"/>
    <d v="2019-09-30T00:00:00"/>
    <m/>
    <m/>
    <m/>
    <m/>
    <m/>
    <m/>
    <m/>
    <m/>
    <m/>
    <m/>
    <m/>
    <m/>
    <m/>
    <m/>
    <m/>
    <m/>
    <m/>
    <m/>
    <m/>
    <m/>
    <m/>
    <m/>
    <m/>
    <m/>
    <m/>
    <m/>
    <m/>
    <m/>
    <m/>
    <m/>
    <m/>
    <m/>
    <m/>
    <m/>
    <m/>
    <m/>
    <m/>
    <x v="1"/>
    <x v="1"/>
    <m/>
    <m/>
    <m/>
    <m/>
    <m/>
    <m/>
    <m/>
    <m/>
    <m/>
    <m/>
    <m/>
    <m/>
    <m/>
    <m/>
    <m/>
    <m/>
    <m/>
    <s v="no test"/>
    <s v="no test"/>
    <x v="1"/>
    <n v="0"/>
    <n v="0"/>
    <n v="0"/>
    <n v="0"/>
    <n v="0"/>
    <n v="0"/>
    <n v="0"/>
    <n v="0"/>
    <n v="0"/>
    <n v="0"/>
    <n v="0"/>
    <n v="0"/>
    <n v="0"/>
    <n v="0"/>
    <n v="1"/>
    <n v="304"/>
    <n v="1"/>
    <n v="1"/>
    <n v="0"/>
    <n v="0"/>
    <n v="0"/>
    <s v="N/A"/>
    <s v="NA"/>
    <n v="51"/>
    <n v="51"/>
    <n v="1"/>
    <n v="0"/>
    <n v="0"/>
    <n v="0"/>
    <n v="0"/>
    <n v="0"/>
    <n v="0"/>
    <n v="0"/>
    <n v="1"/>
    <n v="0"/>
    <n v="0"/>
    <n v="0"/>
    <n v="0"/>
    <n v="0"/>
    <n v="0"/>
    <n v="0"/>
    <x v="0"/>
    <n v="0"/>
    <n v="0"/>
    <x v="2"/>
    <x v="6"/>
    <x v="2"/>
    <n v="20.932960510000001"/>
    <n v="92.930267330000007"/>
    <n v="196755"/>
    <x v="0"/>
    <m/>
  </r>
  <r>
    <x v="0"/>
    <x v="21"/>
    <x v="22"/>
    <s v="MHF"/>
    <x v="1"/>
    <x v="16"/>
    <x v="2"/>
    <x v="365"/>
    <n v="71"/>
    <n v="292"/>
    <d v="2018-10-01T00:00:00"/>
    <d v="2019-09-30T00:00:00"/>
    <m/>
    <m/>
    <m/>
    <m/>
    <m/>
    <m/>
    <m/>
    <m/>
    <m/>
    <m/>
    <m/>
    <m/>
    <m/>
    <m/>
    <m/>
    <m/>
    <m/>
    <m/>
    <m/>
    <m/>
    <m/>
    <m/>
    <m/>
    <m/>
    <m/>
    <m/>
    <m/>
    <m/>
    <m/>
    <m/>
    <m/>
    <m/>
    <m/>
    <m/>
    <m/>
    <m/>
    <m/>
    <x v="1"/>
    <x v="1"/>
    <m/>
    <m/>
    <m/>
    <m/>
    <m/>
    <m/>
    <m/>
    <m/>
    <m/>
    <m/>
    <m/>
    <m/>
    <m/>
    <m/>
    <m/>
    <m/>
    <m/>
    <s v="no test"/>
    <s v="no test"/>
    <x v="1"/>
    <n v="0"/>
    <n v="0"/>
    <n v="0"/>
    <n v="0"/>
    <n v="0"/>
    <n v="0"/>
    <n v="0"/>
    <n v="0"/>
    <n v="0"/>
    <n v="0"/>
    <n v="0"/>
    <n v="0"/>
    <n v="0"/>
    <n v="0"/>
    <n v="1"/>
    <n v="292"/>
    <n v="1"/>
    <n v="1"/>
    <n v="0"/>
    <n v="0"/>
    <n v="0"/>
    <s v="N/A"/>
    <s v="NA"/>
    <n v="49"/>
    <n v="49"/>
    <n v="1"/>
    <n v="0"/>
    <n v="0"/>
    <n v="0"/>
    <n v="0"/>
    <n v="0"/>
    <n v="0"/>
    <n v="0"/>
    <n v="1"/>
    <n v="0"/>
    <n v="0"/>
    <n v="0"/>
    <n v="0"/>
    <n v="0"/>
    <n v="0"/>
    <n v="0"/>
    <x v="0"/>
    <n v="0"/>
    <n v="0"/>
    <x v="2"/>
    <x v="6"/>
    <x v="2"/>
    <n v="0"/>
    <n v="0"/>
    <n v="220647"/>
    <x v="0"/>
    <m/>
  </r>
  <r>
    <x v="0"/>
    <x v="21"/>
    <x v="22"/>
    <s v="MHF"/>
    <x v="1"/>
    <x v="16"/>
    <x v="2"/>
    <x v="324"/>
    <n v="156"/>
    <n v="677"/>
    <d v="2018-10-01T00:00:00"/>
    <d v="2019-09-30T00:00:00"/>
    <m/>
    <m/>
    <m/>
    <m/>
    <m/>
    <m/>
    <m/>
    <m/>
    <m/>
    <m/>
    <m/>
    <m/>
    <m/>
    <m/>
    <m/>
    <m/>
    <m/>
    <m/>
    <m/>
    <m/>
    <m/>
    <m/>
    <m/>
    <m/>
    <m/>
    <m/>
    <m/>
    <m/>
    <m/>
    <m/>
    <m/>
    <m/>
    <m/>
    <m/>
    <m/>
    <m/>
    <m/>
    <x v="1"/>
    <x v="1"/>
    <m/>
    <m/>
    <m/>
    <m/>
    <m/>
    <m/>
    <m/>
    <m/>
    <m/>
    <m/>
    <m/>
    <m/>
    <m/>
    <m/>
    <m/>
    <m/>
    <m/>
    <s v="no test"/>
    <s v="no test"/>
    <x v="1"/>
    <n v="0"/>
    <n v="0"/>
    <n v="0"/>
    <n v="0"/>
    <n v="0"/>
    <n v="0"/>
    <n v="0"/>
    <n v="0"/>
    <n v="0"/>
    <n v="0"/>
    <n v="0"/>
    <n v="0"/>
    <n v="0"/>
    <n v="0"/>
    <n v="1"/>
    <n v="677"/>
    <n v="1"/>
    <n v="1"/>
    <n v="0"/>
    <n v="0"/>
    <n v="0"/>
    <s v="N/A"/>
    <s v="NA"/>
    <n v="113"/>
    <n v="113"/>
    <n v="1"/>
    <n v="0"/>
    <n v="0"/>
    <n v="0"/>
    <n v="0"/>
    <n v="0"/>
    <n v="0"/>
    <n v="0"/>
    <n v="1"/>
    <n v="0"/>
    <n v="0"/>
    <n v="0"/>
    <n v="0"/>
    <n v="0"/>
    <n v="0"/>
    <n v="0"/>
    <x v="0"/>
    <n v="0"/>
    <n v="0"/>
    <x v="2"/>
    <x v="6"/>
    <x v="2"/>
    <n v="20.760820389999999"/>
    <n v="92.960083010000005"/>
    <n v="196893"/>
    <x v="0"/>
    <m/>
  </r>
  <r>
    <x v="0"/>
    <x v="21"/>
    <x v="22"/>
    <s v="MHF"/>
    <x v="1"/>
    <x v="16"/>
    <x v="2"/>
    <x v="366"/>
    <n v="286"/>
    <n v="1372"/>
    <d v="2018-10-01T00:00:00"/>
    <d v="2019-09-30T00:00:00"/>
    <m/>
    <m/>
    <m/>
    <m/>
    <m/>
    <m/>
    <m/>
    <m/>
    <m/>
    <m/>
    <m/>
    <m/>
    <m/>
    <m/>
    <m/>
    <m/>
    <m/>
    <m/>
    <m/>
    <m/>
    <m/>
    <m/>
    <m/>
    <m/>
    <m/>
    <m/>
    <m/>
    <m/>
    <m/>
    <m/>
    <m/>
    <m/>
    <m/>
    <m/>
    <m/>
    <m/>
    <m/>
    <x v="1"/>
    <x v="1"/>
    <m/>
    <m/>
    <m/>
    <m/>
    <m/>
    <m/>
    <m/>
    <m/>
    <m/>
    <m/>
    <m/>
    <m/>
    <m/>
    <m/>
    <m/>
    <m/>
    <m/>
    <s v="no test"/>
    <s v="no test"/>
    <x v="1"/>
    <n v="0"/>
    <n v="0"/>
    <n v="0"/>
    <n v="0"/>
    <n v="0"/>
    <n v="0"/>
    <n v="0"/>
    <n v="0"/>
    <n v="0"/>
    <n v="0"/>
    <n v="0"/>
    <n v="0"/>
    <n v="0"/>
    <n v="0"/>
    <n v="1"/>
    <n v="1372"/>
    <n v="3"/>
    <n v="3"/>
    <n v="0"/>
    <n v="0"/>
    <n v="0"/>
    <s v="N/A"/>
    <s v="NA"/>
    <n v="229"/>
    <n v="229"/>
    <n v="1"/>
    <n v="0"/>
    <n v="0"/>
    <n v="0"/>
    <n v="0"/>
    <n v="0"/>
    <n v="0"/>
    <n v="0"/>
    <n v="1"/>
    <n v="0"/>
    <n v="0"/>
    <n v="0"/>
    <n v="0"/>
    <n v="0"/>
    <n v="0"/>
    <n v="0"/>
    <x v="0"/>
    <n v="0"/>
    <n v="0"/>
    <x v="2"/>
    <x v="6"/>
    <x v="2"/>
    <n v="20.785549159999999"/>
    <n v="92.971076969999999"/>
    <n v="196889"/>
    <x v="0"/>
    <m/>
  </r>
  <r>
    <x v="0"/>
    <x v="2"/>
    <x v="2"/>
    <m/>
    <x v="1"/>
    <x v="16"/>
    <x v="2"/>
    <x v="367"/>
    <n v="92"/>
    <n v="559"/>
    <m/>
    <m/>
    <m/>
    <m/>
    <m/>
    <m/>
    <m/>
    <m/>
    <m/>
    <m/>
    <m/>
    <m/>
    <m/>
    <m/>
    <m/>
    <m/>
    <m/>
    <m/>
    <m/>
    <m/>
    <m/>
    <m/>
    <m/>
    <m/>
    <m/>
    <m/>
    <m/>
    <m/>
    <m/>
    <m/>
    <m/>
    <m/>
    <m/>
    <m/>
    <m/>
    <m/>
    <m/>
    <m/>
    <m/>
    <x v="1"/>
    <x v="1"/>
    <m/>
    <m/>
    <m/>
    <m/>
    <m/>
    <m/>
    <m/>
    <m/>
    <m/>
    <m/>
    <m/>
    <m/>
    <m/>
    <m/>
    <m/>
    <m/>
    <m/>
    <s v="no test"/>
    <s v="no test"/>
    <x v="1"/>
    <n v="0"/>
    <n v="0"/>
    <n v="0"/>
    <n v="0"/>
    <n v="0"/>
    <n v="0"/>
    <n v="0"/>
    <n v="0"/>
    <n v="0"/>
    <n v="0"/>
    <n v="0"/>
    <n v="0"/>
    <n v="0"/>
    <n v="0"/>
    <n v="1"/>
    <n v="559"/>
    <n v="1"/>
    <n v="1"/>
    <n v="0"/>
    <n v="0"/>
    <n v="0"/>
    <s v="N/A"/>
    <s v="NA"/>
    <n v="93"/>
    <n v="93"/>
    <n v="1"/>
    <n v="0"/>
    <n v="0"/>
    <n v="0"/>
    <n v="0"/>
    <n v="0"/>
    <n v="0"/>
    <n v="0"/>
    <n v="1"/>
    <n v="0"/>
    <n v="0"/>
    <n v="0"/>
    <n v="0"/>
    <n v="0"/>
    <n v="0"/>
    <n v="0"/>
    <x v="0"/>
    <n v="0"/>
    <n v="0"/>
    <x v="2"/>
    <x v="11"/>
    <x v="4"/>
    <n v="20.720213000000001"/>
    <n v="92.961841000000007"/>
    <s v="MMR012CMP024"/>
    <x v="1"/>
    <m/>
  </r>
  <r>
    <x v="0"/>
    <x v="2"/>
    <x v="2"/>
    <m/>
    <x v="1"/>
    <x v="16"/>
    <x v="2"/>
    <x v="368"/>
    <n v="116"/>
    <n v="802"/>
    <m/>
    <m/>
    <m/>
    <m/>
    <m/>
    <m/>
    <m/>
    <m/>
    <m/>
    <m/>
    <m/>
    <m/>
    <m/>
    <m/>
    <m/>
    <m/>
    <m/>
    <m/>
    <m/>
    <m/>
    <m/>
    <m/>
    <m/>
    <m/>
    <m/>
    <m/>
    <m/>
    <m/>
    <m/>
    <m/>
    <m/>
    <m/>
    <m/>
    <m/>
    <m/>
    <m/>
    <m/>
    <m/>
    <m/>
    <x v="1"/>
    <x v="1"/>
    <m/>
    <m/>
    <m/>
    <m/>
    <m/>
    <m/>
    <m/>
    <m/>
    <m/>
    <m/>
    <m/>
    <m/>
    <m/>
    <m/>
    <m/>
    <m/>
    <m/>
    <s v="no test"/>
    <s v="no test"/>
    <x v="1"/>
    <n v="0"/>
    <n v="0"/>
    <n v="0"/>
    <n v="0"/>
    <n v="0"/>
    <n v="0"/>
    <n v="0"/>
    <n v="0"/>
    <n v="0"/>
    <n v="0"/>
    <n v="0"/>
    <n v="0"/>
    <n v="0"/>
    <n v="0"/>
    <n v="1"/>
    <n v="802"/>
    <n v="2"/>
    <n v="2"/>
    <n v="0"/>
    <n v="0"/>
    <n v="0"/>
    <s v="N/A"/>
    <s v="NA"/>
    <n v="134"/>
    <n v="134"/>
    <n v="1"/>
    <n v="0"/>
    <n v="0"/>
    <n v="0"/>
    <n v="0"/>
    <n v="0"/>
    <n v="0"/>
    <n v="0"/>
    <n v="1"/>
    <n v="0"/>
    <n v="0"/>
    <n v="0"/>
    <n v="0"/>
    <n v="0"/>
    <n v="0"/>
    <n v="0"/>
    <x v="0"/>
    <n v="0"/>
    <n v="0"/>
    <x v="2"/>
    <x v="11"/>
    <x v="3"/>
    <n v="20.713259999999998"/>
    <n v="93.014089999999996"/>
    <s v="MMR012CMP027"/>
    <x v="1"/>
    <m/>
  </r>
  <r>
    <x v="0"/>
    <x v="2"/>
    <x v="2"/>
    <m/>
    <x v="1"/>
    <x v="16"/>
    <x v="2"/>
    <x v="369"/>
    <n v="97"/>
    <n v="557"/>
    <m/>
    <m/>
    <m/>
    <m/>
    <m/>
    <m/>
    <m/>
    <m/>
    <m/>
    <m/>
    <m/>
    <m/>
    <m/>
    <m/>
    <m/>
    <m/>
    <m/>
    <m/>
    <m/>
    <m/>
    <m/>
    <m/>
    <m/>
    <m/>
    <m/>
    <m/>
    <m/>
    <m/>
    <m/>
    <m/>
    <m/>
    <m/>
    <m/>
    <m/>
    <m/>
    <m/>
    <m/>
    <m/>
    <m/>
    <x v="1"/>
    <x v="1"/>
    <m/>
    <m/>
    <m/>
    <m/>
    <m/>
    <m/>
    <m/>
    <m/>
    <m/>
    <m/>
    <m/>
    <m/>
    <m/>
    <m/>
    <m/>
    <m/>
    <m/>
    <s v="no test"/>
    <s v="no test"/>
    <x v="1"/>
    <n v="0"/>
    <n v="0"/>
    <n v="0"/>
    <n v="0"/>
    <n v="0"/>
    <n v="0"/>
    <n v="0"/>
    <n v="0"/>
    <n v="0"/>
    <n v="0"/>
    <n v="0"/>
    <n v="0"/>
    <n v="0"/>
    <n v="0"/>
    <n v="1"/>
    <n v="557"/>
    <n v="1"/>
    <n v="1"/>
    <n v="0"/>
    <n v="0"/>
    <n v="0"/>
    <s v="N/A"/>
    <s v="NA"/>
    <n v="93"/>
    <n v="93"/>
    <n v="1"/>
    <n v="0"/>
    <n v="0"/>
    <n v="0"/>
    <n v="0"/>
    <n v="0"/>
    <n v="0"/>
    <n v="0"/>
    <n v="1"/>
    <n v="0"/>
    <n v="0"/>
    <n v="0"/>
    <n v="0"/>
    <n v="0"/>
    <n v="0"/>
    <n v="0"/>
    <x v="0"/>
    <n v="0"/>
    <n v="0"/>
    <x v="2"/>
    <x v="9"/>
    <x v="3"/>
    <n v="20.886997999999998"/>
    <n v="93.006497999999993"/>
    <s v="MMR012CMP030"/>
    <x v="1"/>
    <m/>
  </r>
  <r>
    <x v="0"/>
    <x v="2"/>
    <x v="2"/>
    <m/>
    <x v="1"/>
    <x v="16"/>
    <x v="2"/>
    <x v="370"/>
    <n v="18"/>
    <n v="157"/>
    <m/>
    <m/>
    <m/>
    <m/>
    <m/>
    <m/>
    <m/>
    <m/>
    <m/>
    <m/>
    <m/>
    <m/>
    <m/>
    <m/>
    <m/>
    <m/>
    <m/>
    <m/>
    <m/>
    <m/>
    <m/>
    <m/>
    <m/>
    <m/>
    <m/>
    <m/>
    <m/>
    <m/>
    <m/>
    <m/>
    <m/>
    <m/>
    <m/>
    <m/>
    <m/>
    <m/>
    <m/>
    <m/>
    <m/>
    <x v="1"/>
    <x v="1"/>
    <m/>
    <m/>
    <m/>
    <m/>
    <m/>
    <m/>
    <m/>
    <m/>
    <m/>
    <m/>
    <m/>
    <m/>
    <m/>
    <m/>
    <m/>
    <m/>
    <m/>
    <s v="no test"/>
    <s v="no test"/>
    <x v="1"/>
    <n v="0"/>
    <n v="0"/>
    <n v="0"/>
    <n v="0"/>
    <n v="0"/>
    <n v="0"/>
    <n v="0"/>
    <n v="0"/>
    <n v="0"/>
    <n v="0"/>
    <n v="0"/>
    <n v="0"/>
    <n v="0"/>
    <n v="0"/>
    <n v="1"/>
    <n v="157"/>
    <n v="1"/>
    <n v="1"/>
    <n v="0"/>
    <n v="0"/>
    <n v="0"/>
    <s v="N/A"/>
    <s v="NA"/>
    <n v="26"/>
    <n v="26"/>
    <n v="1"/>
    <n v="0"/>
    <n v="0"/>
    <n v="0"/>
    <n v="0"/>
    <n v="0"/>
    <n v="0"/>
    <n v="0"/>
    <n v="1"/>
    <n v="0"/>
    <n v="0"/>
    <n v="0"/>
    <n v="0"/>
    <n v="0"/>
    <n v="0"/>
    <n v="0"/>
    <x v="0"/>
    <n v="0"/>
    <n v="0"/>
    <x v="2"/>
    <x v="11"/>
    <x v="3"/>
    <n v="20.805734000000001"/>
    <n v="92.982675999999998"/>
    <s v="MMR012CMP020"/>
    <x v="1"/>
    <m/>
  </r>
  <r>
    <x v="0"/>
    <x v="2"/>
    <x v="2"/>
    <m/>
    <x v="1"/>
    <x v="16"/>
    <x v="2"/>
    <x v="371"/>
    <n v="144"/>
    <n v="1006"/>
    <m/>
    <m/>
    <m/>
    <m/>
    <m/>
    <m/>
    <m/>
    <m/>
    <m/>
    <m/>
    <m/>
    <m/>
    <m/>
    <m/>
    <m/>
    <m/>
    <m/>
    <m/>
    <m/>
    <m/>
    <m/>
    <m/>
    <m/>
    <m/>
    <m/>
    <m/>
    <m/>
    <m/>
    <m/>
    <m/>
    <m/>
    <m/>
    <m/>
    <m/>
    <m/>
    <m/>
    <m/>
    <m/>
    <m/>
    <x v="1"/>
    <x v="1"/>
    <m/>
    <m/>
    <m/>
    <m/>
    <m/>
    <m/>
    <m/>
    <m/>
    <m/>
    <m/>
    <m/>
    <m/>
    <m/>
    <m/>
    <m/>
    <m/>
    <m/>
    <s v="no test"/>
    <s v="no test"/>
    <x v="1"/>
    <n v="0"/>
    <n v="0"/>
    <n v="0"/>
    <n v="0"/>
    <n v="0"/>
    <n v="0"/>
    <n v="0"/>
    <n v="0"/>
    <n v="0"/>
    <n v="0"/>
    <n v="0"/>
    <n v="0"/>
    <n v="0"/>
    <n v="0"/>
    <n v="1"/>
    <n v="1006"/>
    <n v="2"/>
    <n v="2"/>
    <n v="0"/>
    <n v="0"/>
    <n v="0"/>
    <s v="N/A"/>
    <s v="NA"/>
    <n v="168"/>
    <n v="168"/>
    <n v="1"/>
    <n v="0"/>
    <n v="0"/>
    <n v="0"/>
    <n v="0"/>
    <n v="0"/>
    <n v="0"/>
    <n v="0"/>
    <n v="1"/>
    <n v="0"/>
    <n v="0"/>
    <n v="0"/>
    <n v="0"/>
    <n v="0"/>
    <n v="0"/>
    <n v="0"/>
    <x v="0"/>
    <n v="0"/>
    <n v="0"/>
    <x v="2"/>
    <x v="11"/>
    <x v="3"/>
    <n v="20.78332"/>
    <n v="92.987399999999994"/>
    <s v="MMR012CMP029"/>
    <x v="1"/>
    <m/>
  </r>
  <r>
    <x v="0"/>
    <x v="22"/>
    <x v="23"/>
    <s v="German (AA/BMZ)"/>
    <x v="2"/>
    <x v="15"/>
    <x v="2"/>
    <x v="372"/>
    <n v="210"/>
    <n v="694"/>
    <d v="2020-10-30T00:00:00"/>
    <m/>
    <m/>
    <m/>
    <m/>
    <m/>
    <m/>
    <m/>
    <m/>
    <m/>
    <m/>
    <m/>
    <m/>
    <m/>
    <m/>
    <m/>
    <m/>
    <m/>
    <m/>
    <m/>
    <m/>
    <m/>
    <m/>
    <m/>
    <m/>
    <m/>
    <m/>
    <m/>
    <m/>
    <m/>
    <m/>
    <m/>
    <m/>
    <m/>
    <m/>
    <m/>
    <m/>
    <m/>
    <m/>
    <x v="1"/>
    <x v="1"/>
    <m/>
    <m/>
    <m/>
    <m/>
    <m/>
    <m/>
    <m/>
    <m/>
    <m/>
    <m/>
    <m/>
    <m/>
    <m/>
    <m/>
    <m/>
    <m/>
    <m/>
    <s v="no test"/>
    <s v="no test"/>
    <x v="1"/>
    <n v="0"/>
    <n v="0"/>
    <n v="0"/>
    <n v="0"/>
    <n v="0"/>
    <n v="0"/>
    <n v="0"/>
    <n v="0"/>
    <n v="0"/>
    <n v="0"/>
    <n v="0"/>
    <n v="0"/>
    <n v="0"/>
    <n v="0"/>
    <n v="1"/>
    <n v="694"/>
    <n v="1"/>
    <n v="1"/>
    <n v="0"/>
    <n v="0"/>
    <n v="0"/>
    <s v="N/A"/>
    <s v="NA"/>
    <n v="116"/>
    <n v="116"/>
    <n v="1"/>
    <n v="0"/>
    <n v="0"/>
    <n v="0"/>
    <n v="0"/>
    <n v="0"/>
    <n v="0"/>
    <n v="0"/>
    <n v="1"/>
    <n v="0"/>
    <n v="0"/>
    <n v="0"/>
    <n v="0"/>
    <n v="0"/>
    <n v="0"/>
    <n v="0"/>
    <x v="0"/>
    <n v="0"/>
    <n v="0"/>
    <x v="2"/>
    <x v="6"/>
    <x v="3"/>
    <n v="21.012830730000001"/>
    <n v="92.338958739999995"/>
    <n v="197878"/>
    <x v="0"/>
    <m/>
  </r>
  <r>
    <x v="0"/>
    <x v="22"/>
    <x v="23"/>
    <s v="German (AA/BMZ)"/>
    <x v="2"/>
    <x v="15"/>
    <x v="2"/>
    <x v="373"/>
    <n v="87"/>
    <n v="412"/>
    <d v="2020-10-30T00:00:00"/>
    <m/>
    <m/>
    <m/>
    <m/>
    <m/>
    <m/>
    <m/>
    <m/>
    <m/>
    <m/>
    <m/>
    <m/>
    <m/>
    <m/>
    <m/>
    <m/>
    <m/>
    <m/>
    <m/>
    <m/>
    <m/>
    <m/>
    <m/>
    <m/>
    <m/>
    <m/>
    <m/>
    <m/>
    <m/>
    <m/>
    <m/>
    <m/>
    <m/>
    <m/>
    <m/>
    <m/>
    <m/>
    <m/>
    <x v="1"/>
    <x v="1"/>
    <m/>
    <m/>
    <m/>
    <m/>
    <m/>
    <m/>
    <m/>
    <m/>
    <m/>
    <m/>
    <m/>
    <m/>
    <m/>
    <m/>
    <m/>
    <m/>
    <m/>
    <s v="no test"/>
    <s v="no test"/>
    <x v="1"/>
    <n v="0"/>
    <n v="0"/>
    <n v="0"/>
    <n v="0"/>
    <n v="0"/>
    <n v="0"/>
    <n v="0"/>
    <n v="0"/>
    <n v="0"/>
    <n v="0"/>
    <n v="0"/>
    <n v="0"/>
    <n v="0"/>
    <n v="0"/>
    <n v="1"/>
    <n v="412"/>
    <n v="1"/>
    <n v="1"/>
    <n v="0"/>
    <n v="0"/>
    <n v="0"/>
    <s v="N/A"/>
    <s v="NA"/>
    <n v="69"/>
    <n v="69"/>
    <n v="1"/>
    <n v="0"/>
    <n v="0"/>
    <n v="0"/>
    <n v="0"/>
    <n v="0"/>
    <n v="0"/>
    <n v="0"/>
    <n v="1"/>
    <n v="0"/>
    <n v="0"/>
    <n v="0"/>
    <n v="0"/>
    <n v="0"/>
    <n v="0"/>
    <n v="0"/>
    <x v="0"/>
    <n v="0"/>
    <n v="0"/>
    <x v="2"/>
    <x v="6"/>
    <x v="4"/>
    <n v="21.218200679999999"/>
    <n v="92.323173519999997"/>
    <n v="197830"/>
    <x v="0"/>
    <m/>
  </r>
  <r>
    <x v="0"/>
    <x v="22"/>
    <x v="23"/>
    <s v="German (AA/BMZ)"/>
    <x v="2"/>
    <x v="15"/>
    <x v="2"/>
    <x v="374"/>
    <n v="34"/>
    <n v="163"/>
    <d v="2020-10-30T00:00:00"/>
    <m/>
    <m/>
    <m/>
    <m/>
    <m/>
    <m/>
    <m/>
    <m/>
    <m/>
    <m/>
    <m/>
    <m/>
    <m/>
    <m/>
    <m/>
    <m/>
    <m/>
    <m/>
    <m/>
    <m/>
    <m/>
    <m/>
    <m/>
    <m/>
    <m/>
    <m/>
    <m/>
    <m/>
    <m/>
    <m/>
    <m/>
    <m/>
    <m/>
    <m/>
    <m/>
    <m/>
    <m/>
    <m/>
    <x v="1"/>
    <x v="1"/>
    <m/>
    <m/>
    <m/>
    <m/>
    <m/>
    <m/>
    <m/>
    <m/>
    <m/>
    <m/>
    <m/>
    <m/>
    <m/>
    <m/>
    <m/>
    <m/>
    <m/>
    <s v="no test"/>
    <s v="no test"/>
    <x v="1"/>
    <n v="0"/>
    <n v="0"/>
    <n v="0"/>
    <n v="0"/>
    <n v="0"/>
    <n v="0"/>
    <n v="0"/>
    <n v="0"/>
    <n v="0"/>
    <n v="0"/>
    <n v="0"/>
    <n v="0"/>
    <n v="0"/>
    <n v="0"/>
    <n v="1"/>
    <n v="163"/>
    <n v="1"/>
    <n v="1"/>
    <n v="0"/>
    <n v="0"/>
    <n v="0"/>
    <s v="N/A"/>
    <s v="NA"/>
    <n v="27"/>
    <n v="27"/>
    <n v="1"/>
    <n v="0"/>
    <n v="0"/>
    <n v="0"/>
    <n v="0"/>
    <n v="0"/>
    <n v="0"/>
    <n v="0"/>
    <n v="1"/>
    <n v="0"/>
    <n v="0"/>
    <n v="0"/>
    <n v="0"/>
    <n v="0"/>
    <n v="0"/>
    <n v="0"/>
    <x v="0"/>
    <n v="0"/>
    <n v="0"/>
    <x v="2"/>
    <x v="6"/>
    <x v="4"/>
    <n v="21.153581620000001"/>
    <n v="92.250885010000005"/>
    <n v="220747"/>
    <x v="0"/>
    <m/>
  </r>
  <r>
    <x v="0"/>
    <x v="22"/>
    <x v="23"/>
    <s v="German (AA/BMZ)"/>
    <x v="2"/>
    <x v="15"/>
    <x v="2"/>
    <x v="375"/>
    <n v="144"/>
    <n v="742"/>
    <d v="2020-10-30T00:00:00"/>
    <m/>
    <m/>
    <m/>
    <m/>
    <m/>
    <m/>
    <m/>
    <m/>
    <m/>
    <m/>
    <m/>
    <m/>
    <m/>
    <m/>
    <m/>
    <m/>
    <m/>
    <m/>
    <m/>
    <m/>
    <m/>
    <m/>
    <m/>
    <m/>
    <m/>
    <m/>
    <m/>
    <m/>
    <m/>
    <m/>
    <m/>
    <m/>
    <m/>
    <m/>
    <m/>
    <m/>
    <m/>
    <m/>
    <x v="1"/>
    <x v="1"/>
    <m/>
    <m/>
    <m/>
    <m/>
    <m/>
    <m/>
    <m/>
    <m/>
    <m/>
    <m/>
    <m/>
    <m/>
    <m/>
    <m/>
    <m/>
    <m/>
    <m/>
    <s v="no test"/>
    <s v="no test"/>
    <x v="1"/>
    <n v="0"/>
    <n v="0"/>
    <n v="0"/>
    <n v="0"/>
    <n v="0"/>
    <n v="0"/>
    <n v="0"/>
    <n v="0"/>
    <n v="0"/>
    <n v="0"/>
    <n v="0"/>
    <n v="0"/>
    <n v="0"/>
    <n v="0"/>
    <n v="1"/>
    <n v="742"/>
    <n v="1"/>
    <n v="1"/>
    <n v="0"/>
    <n v="0"/>
    <n v="0"/>
    <s v="N/A"/>
    <s v="NA"/>
    <n v="124"/>
    <n v="124"/>
    <n v="1"/>
    <n v="0"/>
    <n v="0"/>
    <n v="0"/>
    <n v="0"/>
    <n v="0"/>
    <n v="0"/>
    <n v="0"/>
    <n v="1"/>
    <n v="0"/>
    <n v="0"/>
    <n v="0"/>
    <n v="0"/>
    <n v="0"/>
    <n v="0"/>
    <n v="0"/>
    <x v="0"/>
    <n v="0"/>
    <n v="0"/>
    <x v="2"/>
    <x v="6"/>
    <x v="4"/>
    <n v="21.177719119999999"/>
    <n v="92.239547729999998"/>
    <n v="198101"/>
    <x v="0"/>
    <m/>
  </r>
  <r>
    <x v="0"/>
    <x v="2"/>
    <x v="2"/>
    <m/>
    <x v="1"/>
    <x v="19"/>
    <x v="2"/>
    <x v="376"/>
    <n v="280"/>
    <n v="1423"/>
    <m/>
    <m/>
    <m/>
    <m/>
    <m/>
    <m/>
    <m/>
    <m/>
    <m/>
    <m/>
    <m/>
    <m/>
    <m/>
    <m/>
    <m/>
    <m/>
    <m/>
    <m/>
    <m/>
    <m/>
    <m/>
    <m/>
    <m/>
    <m/>
    <m/>
    <m/>
    <m/>
    <m/>
    <m/>
    <m/>
    <m/>
    <m/>
    <m/>
    <m/>
    <m/>
    <m/>
    <m/>
    <m/>
    <m/>
    <x v="1"/>
    <x v="1"/>
    <m/>
    <m/>
    <m/>
    <m/>
    <m/>
    <m/>
    <m/>
    <m/>
    <m/>
    <m/>
    <m/>
    <m/>
    <m/>
    <m/>
    <m/>
    <m/>
    <m/>
    <s v="no test"/>
    <s v="no test"/>
    <x v="1"/>
    <n v="0"/>
    <n v="0"/>
    <n v="0"/>
    <n v="0"/>
    <n v="0"/>
    <n v="0"/>
    <n v="0"/>
    <n v="0"/>
    <n v="0"/>
    <n v="0"/>
    <n v="0"/>
    <n v="0"/>
    <n v="0"/>
    <n v="0"/>
    <n v="1"/>
    <n v="1423"/>
    <n v="3"/>
    <n v="3"/>
    <n v="0"/>
    <n v="0"/>
    <n v="0"/>
    <s v="N/A"/>
    <s v="NA"/>
    <n v="237"/>
    <n v="237"/>
    <n v="1"/>
    <n v="0"/>
    <n v="0"/>
    <n v="0"/>
    <n v="0"/>
    <n v="0"/>
    <n v="0"/>
    <n v="0"/>
    <n v="1"/>
    <n v="0"/>
    <n v="0"/>
    <n v="0"/>
    <n v="0"/>
    <n v="0"/>
    <n v="0"/>
    <n v="0"/>
    <x v="0"/>
    <n v="0"/>
    <n v="0"/>
    <x v="2"/>
    <x v="11"/>
    <x v="3"/>
    <n v="20.392137999999999"/>
    <n v="93.257272"/>
    <s v="MMR012CMP002"/>
    <x v="1"/>
    <m/>
  </r>
  <r>
    <x v="0"/>
    <x v="2"/>
    <x v="2"/>
    <m/>
    <x v="2"/>
    <x v="21"/>
    <x v="2"/>
    <x v="377"/>
    <n v="425"/>
    <n v="2552"/>
    <m/>
    <m/>
    <m/>
    <m/>
    <m/>
    <m/>
    <m/>
    <m/>
    <m/>
    <m/>
    <m/>
    <m/>
    <m/>
    <m/>
    <m/>
    <m/>
    <m/>
    <m/>
    <m/>
    <m/>
    <m/>
    <m/>
    <m/>
    <m/>
    <m/>
    <m/>
    <m/>
    <m/>
    <m/>
    <m/>
    <m/>
    <m/>
    <m/>
    <m/>
    <m/>
    <m/>
    <m/>
    <m/>
    <m/>
    <x v="1"/>
    <x v="1"/>
    <m/>
    <m/>
    <m/>
    <m/>
    <m/>
    <m/>
    <m/>
    <m/>
    <m/>
    <m/>
    <m/>
    <m/>
    <m/>
    <m/>
    <m/>
    <m/>
    <m/>
    <s v="no test"/>
    <s v="no test"/>
    <x v="1"/>
    <n v="0"/>
    <n v="0"/>
    <n v="0"/>
    <n v="0"/>
    <n v="0"/>
    <n v="0"/>
    <n v="0"/>
    <n v="0"/>
    <n v="0"/>
    <n v="0"/>
    <n v="0"/>
    <n v="0"/>
    <n v="0"/>
    <n v="0"/>
    <n v="1"/>
    <n v="2552"/>
    <n v="5"/>
    <n v="5"/>
    <n v="0"/>
    <n v="0"/>
    <n v="0"/>
    <s v="N/A"/>
    <s v="NA"/>
    <n v="425"/>
    <n v="425"/>
    <n v="1"/>
    <n v="0"/>
    <n v="0"/>
    <n v="0"/>
    <n v="0"/>
    <n v="0"/>
    <n v="0"/>
    <n v="0"/>
    <n v="1"/>
    <n v="0"/>
    <n v="0"/>
    <n v="0"/>
    <n v="0"/>
    <n v="0"/>
    <n v="0"/>
    <n v="0"/>
    <x v="0"/>
    <n v="0"/>
    <n v="0"/>
    <x v="2"/>
    <x v="11"/>
    <x v="3"/>
    <n v="20.399269"/>
    <n v="92.781294000000003"/>
    <s v="MMR012CMP032"/>
    <x v="1"/>
    <m/>
  </r>
  <r>
    <x v="0"/>
    <x v="2"/>
    <x v="2"/>
    <m/>
    <x v="2"/>
    <x v="21"/>
    <x v="2"/>
    <x v="378"/>
    <n v="292"/>
    <n v="1751"/>
    <m/>
    <m/>
    <m/>
    <m/>
    <m/>
    <m/>
    <m/>
    <m/>
    <m/>
    <m/>
    <m/>
    <m/>
    <m/>
    <m/>
    <m/>
    <m/>
    <m/>
    <m/>
    <m/>
    <m/>
    <m/>
    <m/>
    <m/>
    <m/>
    <m/>
    <m/>
    <m/>
    <m/>
    <m/>
    <m/>
    <m/>
    <m/>
    <m/>
    <m/>
    <m/>
    <m/>
    <m/>
    <m/>
    <m/>
    <x v="1"/>
    <x v="1"/>
    <m/>
    <m/>
    <m/>
    <m/>
    <m/>
    <m/>
    <m/>
    <m/>
    <m/>
    <m/>
    <m/>
    <m/>
    <m/>
    <m/>
    <m/>
    <m/>
    <m/>
    <s v="no test"/>
    <s v="no test"/>
    <x v="1"/>
    <n v="0"/>
    <n v="0"/>
    <n v="0"/>
    <n v="0"/>
    <n v="0"/>
    <n v="0"/>
    <n v="0"/>
    <n v="0"/>
    <n v="0"/>
    <n v="0"/>
    <n v="0"/>
    <n v="0"/>
    <n v="0"/>
    <n v="0"/>
    <n v="1"/>
    <n v="1751"/>
    <n v="4"/>
    <n v="4"/>
    <n v="0"/>
    <n v="0"/>
    <n v="0"/>
    <s v="N/A"/>
    <s v="NA"/>
    <n v="292"/>
    <n v="292"/>
    <n v="1"/>
    <n v="0"/>
    <n v="0"/>
    <n v="0"/>
    <n v="0"/>
    <n v="0"/>
    <n v="0"/>
    <n v="0"/>
    <n v="1"/>
    <n v="0"/>
    <n v="0"/>
    <n v="0"/>
    <n v="0"/>
    <n v="0"/>
    <n v="0"/>
    <n v="0"/>
    <x v="0"/>
    <n v="0"/>
    <n v="0"/>
    <x v="2"/>
    <x v="11"/>
    <x v="3"/>
    <n v="20.335864000000001"/>
    <n v="92.785706000000005"/>
    <s v="MMR012CMP031"/>
    <x v="1"/>
    <m/>
  </r>
  <r>
    <x v="0"/>
    <x v="23"/>
    <x v="24"/>
    <m/>
    <x v="1"/>
    <x v="22"/>
    <x v="3"/>
    <x v="379"/>
    <n v="34"/>
    <n v="128"/>
    <m/>
    <m/>
    <m/>
    <m/>
    <m/>
    <m/>
    <m/>
    <m/>
    <m/>
    <m/>
    <m/>
    <m/>
    <m/>
    <m/>
    <m/>
    <m/>
    <m/>
    <m/>
    <m/>
    <m/>
    <m/>
    <m/>
    <m/>
    <m/>
    <m/>
    <m/>
    <m/>
    <m/>
    <m/>
    <m/>
    <m/>
    <n v="10"/>
    <m/>
    <m/>
    <m/>
    <m/>
    <m/>
    <m/>
    <m/>
    <x v="1"/>
    <x v="1"/>
    <m/>
    <m/>
    <m/>
    <m/>
    <m/>
    <m/>
    <m/>
    <m/>
    <m/>
    <m/>
    <m/>
    <n v="179"/>
    <n v="179"/>
    <m/>
    <m/>
    <m/>
    <m/>
    <s v="no test"/>
    <s v="no test"/>
    <x v="1"/>
    <n v="0"/>
    <n v="0"/>
    <n v="0"/>
    <n v="0"/>
    <n v="0"/>
    <n v="0"/>
    <n v="0"/>
    <n v="0"/>
    <n v="0"/>
    <n v="0"/>
    <n v="0"/>
    <n v="0"/>
    <n v="0"/>
    <n v="0"/>
    <n v="1"/>
    <n v="128"/>
    <n v="1"/>
    <n v="1"/>
    <n v="10"/>
    <n v="1"/>
    <n v="128"/>
    <n v="0"/>
    <n v="0"/>
    <n v="3"/>
    <n v="0"/>
    <n v="0"/>
    <n v="0"/>
    <n v="0"/>
    <n v="128"/>
    <n v="128"/>
    <n v="128"/>
    <n v="128"/>
    <n v="1"/>
    <n v="0"/>
    <n v="0"/>
    <n v="1"/>
    <n v="1"/>
    <n v="0"/>
    <e v="#REF!"/>
    <n v="0"/>
    <n v="0"/>
    <x v="0"/>
    <n v="0"/>
    <n v="0"/>
    <x v="3"/>
    <x v="8"/>
    <x v="2"/>
    <n v="20.710781097412099"/>
    <n v="93.127502441406307"/>
    <n v="196610"/>
    <x v="0"/>
    <m/>
  </r>
  <r>
    <x v="0"/>
    <x v="2"/>
    <x v="2"/>
    <m/>
    <x v="1"/>
    <x v="22"/>
    <x v="3"/>
    <x v="380"/>
    <n v="79"/>
    <n v="330"/>
    <m/>
    <m/>
    <m/>
    <m/>
    <m/>
    <m/>
    <m/>
    <m/>
    <m/>
    <m/>
    <m/>
    <m/>
    <m/>
    <m/>
    <m/>
    <m/>
    <m/>
    <m/>
    <m/>
    <m/>
    <m/>
    <m/>
    <m/>
    <m/>
    <m/>
    <m/>
    <m/>
    <m/>
    <m/>
    <m/>
    <m/>
    <m/>
    <m/>
    <m/>
    <m/>
    <m/>
    <m/>
    <m/>
    <m/>
    <x v="1"/>
    <x v="1"/>
    <m/>
    <m/>
    <m/>
    <m/>
    <m/>
    <m/>
    <m/>
    <m/>
    <m/>
    <m/>
    <m/>
    <m/>
    <m/>
    <m/>
    <m/>
    <m/>
    <m/>
    <s v="no test"/>
    <s v="no test"/>
    <x v="1"/>
    <n v="0"/>
    <n v="0"/>
    <n v="0"/>
    <n v="0"/>
    <n v="0"/>
    <n v="0"/>
    <n v="0"/>
    <n v="0"/>
    <n v="0"/>
    <n v="0"/>
    <n v="0"/>
    <n v="0"/>
    <n v="0"/>
    <n v="0"/>
    <n v="1"/>
    <n v="330"/>
    <n v="1"/>
    <n v="1"/>
    <n v="0"/>
    <n v="0"/>
    <n v="0"/>
    <n v="0"/>
    <n v="0"/>
    <n v="7"/>
    <n v="7"/>
    <n v="1"/>
    <n v="0"/>
    <n v="0"/>
    <n v="0"/>
    <n v="0"/>
    <n v="0"/>
    <n v="0"/>
    <n v="0"/>
    <n v="1"/>
    <n v="0"/>
    <n v="0"/>
    <n v="0"/>
    <n v="0"/>
    <e v="#REF!"/>
    <n v="0"/>
    <n v="0"/>
    <x v="0"/>
    <n v="0"/>
    <n v="0"/>
    <x v="3"/>
    <x v="8"/>
    <x v="2"/>
    <n v="0"/>
    <n v="0"/>
    <s v="MMR012003701505"/>
    <x v="1"/>
    <m/>
  </r>
  <r>
    <x v="0"/>
    <x v="23"/>
    <x v="24"/>
    <m/>
    <x v="1"/>
    <x v="22"/>
    <x v="3"/>
    <x v="381"/>
    <n v="70"/>
    <n v="272"/>
    <m/>
    <m/>
    <m/>
    <m/>
    <m/>
    <m/>
    <m/>
    <m/>
    <m/>
    <m/>
    <m/>
    <m/>
    <m/>
    <m/>
    <m/>
    <m/>
    <m/>
    <m/>
    <m/>
    <m/>
    <m/>
    <m/>
    <m/>
    <m/>
    <m/>
    <m/>
    <m/>
    <m/>
    <m/>
    <m/>
    <m/>
    <n v="4"/>
    <m/>
    <m/>
    <m/>
    <m/>
    <m/>
    <m/>
    <m/>
    <x v="1"/>
    <x v="1"/>
    <m/>
    <m/>
    <m/>
    <m/>
    <m/>
    <m/>
    <m/>
    <m/>
    <m/>
    <m/>
    <m/>
    <m/>
    <m/>
    <m/>
    <m/>
    <m/>
    <m/>
    <s v="no test"/>
    <s v="no test"/>
    <x v="1"/>
    <n v="0"/>
    <n v="0"/>
    <n v="0"/>
    <n v="0"/>
    <n v="0"/>
    <n v="0"/>
    <n v="0"/>
    <n v="0"/>
    <n v="0"/>
    <n v="0"/>
    <n v="0"/>
    <n v="0"/>
    <n v="0"/>
    <n v="0"/>
    <n v="1"/>
    <n v="272"/>
    <n v="1"/>
    <n v="1"/>
    <n v="4"/>
    <n v="0.73529411764705888"/>
    <n v="200"/>
    <n v="0"/>
    <n v="0"/>
    <n v="5"/>
    <n v="1"/>
    <n v="0.26470588235294112"/>
    <n v="0"/>
    <n v="0"/>
    <n v="0"/>
    <n v="0"/>
    <n v="0"/>
    <n v="0"/>
    <n v="0"/>
    <n v="1"/>
    <n v="0"/>
    <n v="0"/>
    <n v="0"/>
    <n v="0"/>
    <e v="#REF!"/>
    <n v="0"/>
    <n v="0"/>
    <x v="0"/>
    <n v="0"/>
    <n v="0"/>
    <x v="3"/>
    <x v="8"/>
    <x v="2"/>
    <n v="0"/>
    <n v="0"/>
    <s v="MMR012003701505"/>
    <x v="0"/>
    <m/>
  </r>
  <r>
    <x v="0"/>
    <x v="2"/>
    <x v="2"/>
    <m/>
    <x v="1"/>
    <x v="22"/>
    <x v="3"/>
    <x v="382"/>
    <n v="27"/>
    <n v="119"/>
    <m/>
    <m/>
    <m/>
    <m/>
    <m/>
    <m/>
    <m/>
    <m/>
    <m/>
    <m/>
    <m/>
    <m/>
    <m/>
    <m/>
    <m/>
    <m/>
    <m/>
    <m/>
    <m/>
    <m/>
    <m/>
    <m/>
    <m/>
    <m/>
    <m/>
    <m/>
    <m/>
    <m/>
    <m/>
    <m/>
    <m/>
    <m/>
    <m/>
    <m/>
    <m/>
    <m/>
    <m/>
    <m/>
    <m/>
    <x v="1"/>
    <x v="1"/>
    <m/>
    <m/>
    <m/>
    <m/>
    <m/>
    <m/>
    <m/>
    <m/>
    <m/>
    <m/>
    <m/>
    <m/>
    <m/>
    <m/>
    <m/>
    <m/>
    <m/>
    <s v="no test"/>
    <s v="no test"/>
    <x v="1"/>
    <n v="0"/>
    <n v="0"/>
    <n v="0"/>
    <n v="0"/>
    <n v="0"/>
    <n v="0"/>
    <n v="0"/>
    <n v="0"/>
    <n v="0"/>
    <n v="0"/>
    <n v="0"/>
    <n v="0"/>
    <n v="0"/>
    <n v="0"/>
    <n v="1"/>
    <n v="119"/>
    <n v="1"/>
    <n v="1"/>
    <n v="0"/>
    <n v="0"/>
    <n v="0"/>
    <n v="0"/>
    <n v="0"/>
    <n v="2"/>
    <n v="2"/>
    <n v="1"/>
    <n v="0"/>
    <n v="0"/>
    <n v="0"/>
    <n v="0"/>
    <n v="0"/>
    <n v="0"/>
    <n v="0"/>
    <n v="1"/>
    <n v="0"/>
    <n v="0"/>
    <n v="0"/>
    <n v="0"/>
    <e v="#REF!"/>
    <n v="0"/>
    <n v="0"/>
    <x v="0"/>
    <n v="0"/>
    <n v="0"/>
    <x v="3"/>
    <x v="8"/>
    <x v="2"/>
    <n v="0"/>
    <n v="0"/>
    <s v="MMR012003701505"/>
    <x v="1"/>
    <m/>
  </r>
  <r>
    <x v="0"/>
    <x v="2"/>
    <x v="2"/>
    <m/>
    <x v="1"/>
    <x v="22"/>
    <x v="3"/>
    <x v="383"/>
    <n v="132"/>
    <n v="549"/>
    <m/>
    <m/>
    <m/>
    <m/>
    <m/>
    <m/>
    <m/>
    <m/>
    <m/>
    <m/>
    <m/>
    <m/>
    <m/>
    <m/>
    <m/>
    <m/>
    <m/>
    <m/>
    <m/>
    <m/>
    <m/>
    <m/>
    <m/>
    <m/>
    <m/>
    <m/>
    <m/>
    <m/>
    <m/>
    <m/>
    <m/>
    <m/>
    <m/>
    <m/>
    <m/>
    <m/>
    <m/>
    <m/>
    <m/>
    <x v="1"/>
    <x v="1"/>
    <m/>
    <m/>
    <m/>
    <m/>
    <m/>
    <m/>
    <m/>
    <m/>
    <m/>
    <m/>
    <m/>
    <m/>
    <m/>
    <m/>
    <m/>
    <m/>
    <m/>
    <s v="no test"/>
    <s v="no test"/>
    <x v="1"/>
    <n v="0"/>
    <n v="0"/>
    <n v="0"/>
    <n v="0"/>
    <n v="0"/>
    <n v="0"/>
    <n v="0"/>
    <n v="0"/>
    <n v="0"/>
    <n v="0"/>
    <n v="0"/>
    <n v="0"/>
    <n v="0"/>
    <n v="0"/>
    <n v="1"/>
    <n v="549"/>
    <n v="1"/>
    <n v="1"/>
    <n v="0"/>
    <n v="0"/>
    <n v="0"/>
    <n v="0"/>
    <n v="0"/>
    <n v="11"/>
    <n v="11"/>
    <n v="1"/>
    <n v="0"/>
    <n v="0"/>
    <n v="0"/>
    <n v="0"/>
    <n v="0"/>
    <n v="0"/>
    <n v="0"/>
    <n v="1"/>
    <n v="0"/>
    <n v="0"/>
    <n v="0"/>
    <n v="0"/>
    <e v="#REF!"/>
    <n v="0"/>
    <n v="0"/>
    <x v="0"/>
    <n v="0"/>
    <n v="0"/>
    <x v="3"/>
    <x v="8"/>
    <x v="2"/>
    <n v="0"/>
    <n v="0"/>
    <s v="MMR012003701505"/>
    <x v="1"/>
    <m/>
  </r>
  <r>
    <x v="0"/>
    <x v="2"/>
    <x v="2"/>
    <m/>
    <x v="1"/>
    <x v="22"/>
    <x v="3"/>
    <x v="384"/>
    <n v="39"/>
    <n v="139"/>
    <m/>
    <m/>
    <m/>
    <m/>
    <m/>
    <m/>
    <m/>
    <m/>
    <m/>
    <m/>
    <m/>
    <m/>
    <m/>
    <m/>
    <m/>
    <m/>
    <m/>
    <m/>
    <m/>
    <m/>
    <m/>
    <m/>
    <m/>
    <m/>
    <m/>
    <m/>
    <m/>
    <m/>
    <m/>
    <m/>
    <m/>
    <m/>
    <m/>
    <m/>
    <m/>
    <m/>
    <m/>
    <m/>
    <m/>
    <x v="1"/>
    <x v="1"/>
    <m/>
    <m/>
    <m/>
    <m/>
    <m/>
    <m/>
    <m/>
    <m/>
    <m/>
    <m/>
    <m/>
    <m/>
    <m/>
    <m/>
    <m/>
    <m/>
    <m/>
    <s v="no test"/>
    <s v="no test"/>
    <x v="1"/>
    <n v="0"/>
    <n v="0"/>
    <n v="0"/>
    <n v="0"/>
    <n v="0"/>
    <n v="0"/>
    <n v="0"/>
    <n v="0"/>
    <n v="0"/>
    <n v="0"/>
    <n v="0"/>
    <n v="0"/>
    <n v="0"/>
    <n v="0"/>
    <n v="1"/>
    <n v="139"/>
    <n v="1"/>
    <n v="1"/>
    <n v="0"/>
    <n v="0"/>
    <n v="0"/>
    <n v="0"/>
    <n v="0"/>
    <n v="3"/>
    <n v="3"/>
    <n v="1"/>
    <n v="0"/>
    <n v="0"/>
    <n v="0"/>
    <n v="0"/>
    <n v="0"/>
    <n v="0"/>
    <n v="0"/>
    <n v="1"/>
    <n v="0"/>
    <n v="0"/>
    <n v="0"/>
    <n v="0"/>
    <e v="#REF!"/>
    <n v="0"/>
    <n v="0"/>
    <x v="0"/>
    <n v="0"/>
    <n v="0"/>
    <x v="3"/>
    <x v="8"/>
    <x v="2"/>
    <n v="0"/>
    <n v="0"/>
    <s v="MMR012003701505"/>
    <x v="1"/>
    <m/>
  </r>
  <r>
    <x v="0"/>
    <x v="24"/>
    <x v="25"/>
    <m/>
    <x v="1"/>
    <x v="22"/>
    <x v="3"/>
    <x v="385"/>
    <n v="53"/>
    <n v="230"/>
    <m/>
    <m/>
    <m/>
    <m/>
    <m/>
    <m/>
    <m/>
    <m/>
    <m/>
    <m/>
    <m/>
    <m/>
    <m/>
    <m/>
    <m/>
    <m/>
    <m/>
    <m/>
    <m/>
    <m/>
    <m/>
    <m/>
    <m/>
    <m/>
    <m/>
    <m/>
    <m/>
    <m/>
    <m/>
    <m/>
    <m/>
    <n v="5"/>
    <m/>
    <m/>
    <m/>
    <m/>
    <m/>
    <m/>
    <m/>
    <x v="1"/>
    <x v="1"/>
    <m/>
    <m/>
    <m/>
    <m/>
    <m/>
    <m/>
    <m/>
    <m/>
    <m/>
    <m/>
    <m/>
    <n v="272"/>
    <n v="272"/>
    <m/>
    <m/>
    <m/>
    <m/>
    <s v="no test"/>
    <s v="no test"/>
    <x v="1"/>
    <n v="0"/>
    <n v="0"/>
    <n v="0"/>
    <n v="0"/>
    <n v="0"/>
    <n v="0"/>
    <n v="0"/>
    <n v="0"/>
    <n v="0"/>
    <n v="0"/>
    <n v="0"/>
    <n v="0"/>
    <n v="0"/>
    <n v="0"/>
    <n v="1"/>
    <n v="230"/>
    <n v="1"/>
    <n v="1"/>
    <n v="5"/>
    <n v="1"/>
    <n v="230"/>
    <n v="0"/>
    <n v="0"/>
    <n v="5"/>
    <n v="0"/>
    <n v="0"/>
    <n v="0"/>
    <n v="0"/>
    <n v="230"/>
    <n v="230"/>
    <n v="230"/>
    <n v="230"/>
    <n v="1"/>
    <n v="0"/>
    <n v="0"/>
    <n v="1"/>
    <n v="1"/>
    <n v="0"/>
    <e v="#REF!"/>
    <n v="0"/>
    <n v="0"/>
    <x v="0"/>
    <n v="0"/>
    <n v="0"/>
    <x v="3"/>
    <x v="8"/>
    <x v="2"/>
    <n v="0"/>
    <n v="0"/>
    <n v="0"/>
    <x v="0"/>
    <m/>
  </r>
  <r>
    <x v="0"/>
    <x v="2"/>
    <x v="2"/>
    <m/>
    <x v="1"/>
    <x v="22"/>
    <x v="3"/>
    <x v="386"/>
    <n v="87"/>
    <n v="397"/>
    <m/>
    <m/>
    <m/>
    <m/>
    <m/>
    <m/>
    <m/>
    <m/>
    <m/>
    <m/>
    <m/>
    <m/>
    <m/>
    <m/>
    <m/>
    <m/>
    <m/>
    <m/>
    <m/>
    <m/>
    <m/>
    <m/>
    <m/>
    <m/>
    <m/>
    <m/>
    <m/>
    <m/>
    <m/>
    <m/>
    <m/>
    <m/>
    <m/>
    <m/>
    <m/>
    <m/>
    <m/>
    <m/>
    <m/>
    <x v="1"/>
    <x v="1"/>
    <m/>
    <m/>
    <m/>
    <m/>
    <m/>
    <m/>
    <m/>
    <m/>
    <m/>
    <m/>
    <m/>
    <m/>
    <m/>
    <m/>
    <m/>
    <m/>
    <m/>
    <s v="no test"/>
    <s v="no test"/>
    <x v="1"/>
    <n v="0"/>
    <n v="0"/>
    <n v="0"/>
    <n v="0"/>
    <n v="0"/>
    <n v="0"/>
    <n v="0"/>
    <n v="0"/>
    <n v="0"/>
    <n v="0"/>
    <n v="0"/>
    <n v="0"/>
    <n v="0"/>
    <n v="0"/>
    <n v="1"/>
    <n v="397"/>
    <n v="1"/>
    <n v="1"/>
    <n v="0"/>
    <n v="0"/>
    <n v="0"/>
    <n v="0"/>
    <n v="0"/>
    <n v="8"/>
    <n v="8"/>
    <n v="1"/>
    <n v="0"/>
    <n v="0"/>
    <n v="0"/>
    <n v="0"/>
    <n v="0"/>
    <n v="0"/>
    <n v="0"/>
    <n v="1"/>
    <n v="0"/>
    <n v="0"/>
    <n v="0"/>
    <n v="0"/>
    <e v="#REF!"/>
    <n v="0"/>
    <n v="0"/>
    <x v="0"/>
    <n v="0"/>
    <n v="0"/>
    <x v="3"/>
    <x v="8"/>
    <x v="2"/>
    <n v="0"/>
    <n v="0"/>
    <n v="0"/>
    <x v="1"/>
    <m/>
  </r>
  <r>
    <x v="0"/>
    <x v="2"/>
    <x v="2"/>
    <m/>
    <x v="1"/>
    <x v="22"/>
    <x v="3"/>
    <x v="387"/>
    <n v="22"/>
    <n v="69"/>
    <m/>
    <m/>
    <m/>
    <m/>
    <m/>
    <m/>
    <m/>
    <m/>
    <m/>
    <m/>
    <m/>
    <m/>
    <m/>
    <m/>
    <m/>
    <m/>
    <m/>
    <m/>
    <m/>
    <m/>
    <m/>
    <m/>
    <m/>
    <m/>
    <m/>
    <m/>
    <m/>
    <m/>
    <m/>
    <m/>
    <m/>
    <m/>
    <m/>
    <m/>
    <m/>
    <m/>
    <m/>
    <m/>
    <m/>
    <x v="1"/>
    <x v="1"/>
    <m/>
    <m/>
    <m/>
    <m/>
    <m/>
    <m/>
    <m/>
    <m/>
    <m/>
    <m/>
    <m/>
    <m/>
    <m/>
    <m/>
    <m/>
    <m/>
    <m/>
    <s v="no test"/>
    <s v="no test"/>
    <x v="1"/>
    <n v="0"/>
    <n v="0"/>
    <n v="0"/>
    <n v="0"/>
    <n v="0"/>
    <n v="0"/>
    <n v="0"/>
    <n v="0"/>
    <n v="0"/>
    <n v="0"/>
    <n v="0"/>
    <n v="0"/>
    <n v="0"/>
    <n v="0"/>
    <n v="1"/>
    <n v="69"/>
    <n v="1"/>
    <n v="1"/>
    <n v="0"/>
    <n v="0"/>
    <n v="0"/>
    <n v="0"/>
    <n v="0"/>
    <n v="1"/>
    <n v="1"/>
    <n v="1"/>
    <n v="0"/>
    <n v="0"/>
    <n v="0"/>
    <n v="0"/>
    <n v="0"/>
    <n v="0"/>
    <n v="0"/>
    <n v="1"/>
    <n v="0"/>
    <n v="0"/>
    <n v="0"/>
    <n v="0"/>
    <e v="#REF!"/>
    <n v="0"/>
    <n v="0"/>
    <x v="0"/>
    <n v="0"/>
    <n v="0"/>
    <x v="3"/>
    <x v="8"/>
    <x v="2"/>
    <n v="0"/>
    <n v="0"/>
    <n v="196475"/>
    <x v="1"/>
    <m/>
  </r>
  <r>
    <x v="0"/>
    <x v="2"/>
    <x v="2"/>
    <m/>
    <x v="1"/>
    <x v="22"/>
    <x v="3"/>
    <x v="388"/>
    <n v="20"/>
    <n v="61"/>
    <m/>
    <m/>
    <m/>
    <m/>
    <m/>
    <m/>
    <m/>
    <m/>
    <m/>
    <m/>
    <m/>
    <m/>
    <m/>
    <m/>
    <m/>
    <m/>
    <m/>
    <m/>
    <m/>
    <m/>
    <m/>
    <m/>
    <m/>
    <m/>
    <m/>
    <m/>
    <m/>
    <m/>
    <m/>
    <m/>
    <m/>
    <m/>
    <m/>
    <m/>
    <m/>
    <m/>
    <m/>
    <m/>
    <m/>
    <x v="1"/>
    <x v="1"/>
    <m/>
    <m/>
    <m/>
    <m/>
    <m/>
    <m/>
    <m/>
    <m/>
    <m/>
    <m/>
    <m/>
    <m/>
    <m/>
    <m/>
    <m/>
    <m/>
    <m/>
    <s v="no test"/>
    <s v="no test"/>
    <x v="1"/>
    <n v="0"/>
    <n v="0"/>
    <n v="0"/>
    <n v="0"/>
    <n v="0"/>
    <n v="0"/>
    <n v="0"/>
    <n v="0"/>
    <n v="0"/>
    <n v="0"/>
    <n v="0"/>
    <n v="0"/>
    <n v="0"/>
    <n v="0"/>
    <n v="1"/>
    <n v="61"/>
    <n v="1"/>
    <n v="1"/>
    <n v="0"/>
    <n v="0"/>
    <n v="0"/>
    <n v="0"/>
    <n v="0"/>
    <n v="1"/>
    <n v="1"/>
    <n v="1"/>
    <n v="0"/>
    <n v="0"/>
    <n v="0"/>
    <n v="0"/>
    <n v="0"/>
    <n v="0"/>
    <n v="0"/>
    <n v="1"/>
    <n v="0"/>
    <n v="0"/>
    <n v="0"/>
    <n v="0"/>
    <e v="#REF!"/>
    <n v="0"/>
    <n v="0"/>
    <x v="0"/>
    <n v="0"/>
    <n v="0"/>
    <x v="3"/>
    <x v="8"/>
    <x v="2"/>
    <n v="0"/>
    <n v="0"/>
    <n v="0"/>
    <x v="1"/>
    <m/>
  </r>
  <r>
    <x v="0"/>
    <x v="25"/>
    <x v="26"/>
    <m/>
    <x v="1"/>
    <x v="22"/>
    <x v="3"/>
    <x v="389"/>
    <n v="96"/>
    <n v="384"/>
    <m/>
    <m/>
    <m/>
    <m/>
    <m/>
    <m/>
    <m/>
    <m/>
    <m/>
    <m/>
    <m/>
    <m/>
    <m/>
    <m/>
    <m/>
    <m/>
    <m/>
    <m/>
    <m/>
    <m/>
    <m/>
    <m/>
    <m/>
    <m/>
    <m/>
    <m/>
    <m/>
    <m/>
    <m/>
    <m/>
    <m/>
    <n v="4"/>
    <m/>
    <m/>
    <m/>
    <m/>
    <m/>
    <m/>
    <m/>
    <x v="1"/>
    <x v="1"/>
    <m/>
    <m/>
    <m/>
    <m/>
    <m/>
    <m/>
    <m/>
    <m/>
    <m/>
    <m/>
    <m/>
    <n v="326"/>
    <n v="326"/>
    <m/>
    <m/>
    <m/>
    <m/>
    <s v="no test"/>
    <s v="no test"/>
    <x v="1"/>
    <n v="0"/>
    <n v="0"/>
    <n v="0"/>
    <n v="0"/>
    <n v="0"/>
    <n v="0"/>
    <n v="0"/>
    <n v="0"/>
    <n v="0"/>
    <n v="0"/>
    <n v="0"/>
    <n v="0"/>
    <n v="0"/>
    <n v="0"/>
    <n v="1"/>
    <n v="384"/>
    <n v="1"/>
    <n v="1"/>
    <n v="4"/>
    <n v="0.52083333333333337"/>
    <n v="200"/>
    <n v="0"/>
    <n v="0"/>
    <n v="8"/>
    <n v="4"/>
    <n v="0.47916666666666663"/>
    <n v="0"/>
    <n v="0"/>
    <n v="384"/>
    <n v="384"/>
    <n v="384"/>
    <n v="384"/>
    <n v="1"/>
    <n v="0"/>
    <n v="0"/>
    <n v="1"/>
    <n v="1"/>
    <n v="0"/>
    <e v="#REF!"/>
    <n v="0"/>
    <n v="0"/>
    <x v="0"/>
    <n v="0"/>
    <n v="0"/>
    <x v="3"/>
    <x v="14"/>
    <x v="2"/>
    <n v="0"/>
    <n v="0"/>
    <n v="0"/>
    <x v="0"/>
    <m/>
  </r>
  <r>
    <x v="0"/>
    <x v="26"/>
    <x v="27"/>
    <m/>
    <x v="1"/>
    <x v="22"/>
    <x v="3"/>
    <x v="390"/>
    <n v="107"/>
    <n v="373"/>
    <m/>
    <m/>
    <m/>
    <m/>
    <m/>
    <m/>
    <m/>
    <m/>
    <m/>
    <m/>
    <m/>
    <m/>
    <m/>
    <m/>
    <m/>
    <m/>
    <m/>
    <m/>
    <m/>
    <m/>
    <m/>
    <m/>
    <m/>
    <m/>
    <m/>
    <m/>
    <m/>
    <m/>
    <m/>
    <m/>
    <m/>
    <m/>
    <m/>
    <m/>
    <m/>
    <m/>
    <m/>
    <m/>
    <m/>
    <x v="1"/>
    <x v="1"/>
    <m/>
    <m/>
    <m/>
    <m/>
    <m/>
    <m/>
    <m/>
    <m/>
    <m/>
    <m/>
    <m/>
    <n v="222"/>
    <n v="222"/>
    <m/>
    <m/>
    <m/>
    <m/>
    <s v="no test"/>
    <s v="no test"/>
    <x v="1"/>
    <n v="0"/>
    <n v="0"/>
    <n v="0"/>
    <n v="0"/>
    <n v="0"/>
    <n v="0"/>
    <n v="0"/>
    <n v="0"/>
    <n v="0"/>
    <n v="0"/>
    <n v="0"/>
    <n v="0"/>
    <n v="0"/>
    <n v="0"/>
    <n v="1"/>
    <n v="373"/>
    <n v="1"/>
    <n v="1"/>
    <n v="0"/>
    <n v="0"/>
    <n v="0"/>
    <n v="0"/>
    <n v="0"/>
    <n v="7"/>
    <n v="7"/>
    <n v="1"/>
    <n v="0"/>
    <n v="0"/>
    <n v="373"/>
    <n v="373"/>
    <n v="373"/>
    <n v="373"/>
    <n v="1"/>
    <n v="0"/>
    <n v="0"/>
    <n v="1"/>
    <n v="1"/>
    <n v="0"/>
    <e v="#REF!"/>
    <n v="0"/>
    <n v="0"/>
    <x v="0"/>
    <n v="0"/>
    <n v="0"/>
    <x v="3"/>
    <x v="14"/>
    <x v="2"/>
    <n v="0"/>
    <n v="0"/>
    <n v="0"/>
    <x v="0"/>
    <m/>
  </r>
  <r>
    <x v="0"/>
    <x v="27"/>
    <x v="28"/>
    <m/>
    <x v="1"/>
    <x v="22"/>
    <x v="3"/>
    <x v="391"/>
    <n v="48"/>
    <n v="176"/>
    <m/>
    <m/>
    <m/>
    <m/>
    <m/>
    <m/>
    <m/>
    <m/>
    <m/>
    <m/>
    <m/>
    <m/>
    <m/>
    <m/>
    <m/>
    <m/>
    <m/>
    <m/>
    <m/>
    <m/>
    <m/>
    <m/>
    <m/>
    <m/>
    <m/>
    <m/>
    <m/>
    <m/>
    <m/>
    <m/>
    <m/>
    <m/>
    <m/>
    <m/>
    <m/>
    <m/>
    <m/>
    <m/>
    <m/>
    <x v="1"/>
    <x v="1"/>
    <m/>
    <m/>
    <m/>
    <m/>
    <m/>
    <m/>
    <m/>
    <m/>
    <m/>
    <m/>
    <m/>
    <n v="48"/>
    <n v="48"/>
    <m/>
    <m/>
    <m/>
    <m/>
    <s v="no test"/>
    <s v="no test"/>
    <x v="1"/>
    <n v="0"/>
    <n v="0"/>
    <n v="0"/>
    <n v="0"/>
    <n v="0"/>
    <n v="0"/>
    <n v="0"/>
    <n v="0"/>
    <n v="0"/>
    <n v="0"/>
    <n v="0"/>
    <n v="0"/>
    <n v="0"/>
    <n v="0"/>
    <n v="1"/>
    <n v="176"/>
    <n v="1"/>
    <n v="1"/>
    <n v="0"/>
    <n v="0"/>
    <n v="0"/>
    <n v="0"/>
    <n v="0"/>
    <n v="4"/>
    <n v="4"/>
    <n v="1"/>
    <n v="0"/>
    <n v="0"/>
    <n v="176"/>
    <n v="176"/>
    <n v="176"/>
    <n v="176"/>
    <n v="1"/>
    <n v="0"/>
    <n v="0"/>
    <n v="1"/>
    <n v="1"/>
    <n v="0"/>
    <e v="#REF!"/>
    <n v="0"/>
    <n v="0"/>
    <x v="0"/>
    <n v="0"/>
    <n v="0"/>
    <x v="3"/>
    <x v="8"/>
    <x v="2"/>
    <n v="0"/>
    <n v="0"/>
    <n v="0"/>
    <x v="0"/>
    <m/>
  </r>
  <r>
    <x v="0"/>
    <x v="2"/>
    <x v="2"/>
    <m/>
    <x v="1"/>
    <x v="22"/>
    <x v="3"/>
    <x v="392"/>
    <n v="17"/>
    <n v="103"/>
    <m/>
    <m/>
    <m/>
    <m/>
    <m/>
    <m/>
    <m/>
    <m/>
    <m/>
    <m/>
    <m/>
    <m/>
    <m/>
    <m/>
    <m/>
    <m/>
    <m/>
    <m/>
    <m/>
    <m/>
    <m/>
    <m/>
    <m/>
    <m/>
    <m/>
    <m/>
    <m/>
    <m/>
    <m/>
    <m/>
    <m/>
    <m/>
    <m/>
    <m/>
    <m/>
    <m/>
    <m/>
    <m/>
    <m/>
    <x v="1"/>
    <x v="1"/>
    <m/>
    <m/>
    <m/>
    <m/>
    <m/>
    <m/>
    <m/>
    <m/>
    <m/>
    <m/>
    <m/>
    <m/>
    <m/>
    <m/>
    <m/>
    <m/>
    <m/>
    <s v="no test"/>
    <s v="no test"/>
    <x v="1"/>
    <n v="0"/>
    <n v="0"/>
    <n v="0"/>
    <n v="0"/>
    <n v="0"/>
    <n v="0"/>
    <n v="0"/>
    <n v="0"/>
    <n v="0"/>
    <n v="0"/>
    <n v="0"/>
    <n v="0"/>
    <n v="0"/>
    <n v="0"/>
    <n v="1"/>
    <n v="103"/>
    <n v="1"/>
    <n v="1"/>
    <n v="0"/>
    <n v="0"/>
    <n v="0"/>
    <n v="0"/>
    <n v="0"/>
    <n v="2"/>
    <n v="2"/>
    <n v="1"/>
    <n v="0"/>
    <n v="0"/>
    <n v="0"/>
    <n v="0"/>
    <n v="0"/>
    <n v="0"/>
    <n v="0"/>
    <n v="1"/>
    <n v="0"/>
    <n v="0"/>
    <n v="0"/>
    <n v="0"/>
    <e v="#REF!"/>
    <n v="0"/>
    <n v="0"/>
    <x v="0"/>
    <n v="0"/>
    <n v="0"/>
    <x v="3"/>
    <x v="8"/>
    <x v="2"/>
    <n v="20.6728000640869"/>
    <n v="93.243469238281307"/>
    <n v="196448"/>
    <x v="1"/>
    <m/>
  </r>
  <r>
    <x v="0"/>
    <x v="25"/>
    <x v="26"/>
    <m/>
    <x v="1"/>
    <x v="22"/>
    <x v="3"/>
    <x v="393"/>
    <n v="62"/>
    <n v="217"/>
    <m/>
    <m/>
    <m/>
    <m/>
    <m/>
    <m/>
    <m/>
    <m/>
    <m/>
    <m/>
    <m/>
    <m/>
    <m/>
    <m/>
    <m/>
    <m/>
    <m/>
    <m/>
    <m/>
    <m/>
    <m/>
    <m/>
    <m/>
    <m/>
    <m/>
    <m/>
    <m/>
    <m/>
    <m/>
    <m/>
    <m/>
    <n v="2"/>
    <m/>
    <m/>
    <m/>
    <m/>
    <m/>
    <m/>
    <m/>
    <x v="1"/>
    <x v="1"/>
    <m/>
    <m/>
    <m/>
    <m/>
    <m/>
    <m/>
    <m/>
    <m/>
    <m/>
    <m/>
    <m/>
    <n v="108"/>
    <n v="108"/>
    <m/>
    <m/>
    <m/>
    <m/>
    <s v="no test"/>
    <s v="no test"/>
    <x v="1"/>
    <n v="0"/>
    <n v="0"/>
    <n v="0"/>
    <n v="0"/>
    <n v="0"/>
    <n v="0"/>
    <n v="0"/>
    <n v="0"/>
    <n v="0"/>
    <n v="0"/>
    <n v="0"/>
    <n v="0"/>
    <n v="0"/>
    <n v="0"/>
    <n v="1"/>
    <n v="217"/>
    <n v="1"/>
    <n v="1"/>
    <n v="2"/>
    <n v="0.46082949308755761"/>
    <n v="100"/>
    <n v="0"/>
    <n v="0"/>
    <n v="4"/>
    <n v="2"/>
    <n v="0.53917050691244239"/>
    <n v="0"/>
    <n v="0"/>
    <n v="217"/>
    <n v="217"/>
    <n v="217"/>
    <n v="217"/>
    <n v="1"/>
    <n v="0"/>
    <n v="0"/>
    <n v="1"/>
    <n v="1"/>
    <n v="0"/>
    <e v="#REF!"/>
    <n v="0"/>
    <n v="0"/>
    <x v="0"/>
    <n v="0"/>
    <n v="0"/>
    <x v="3"/>
    <x v="14"/>
    <x v="2"/>
    <n v="0"/>
    <n v="0"/>
    <n v="0"/>
    <x v="0"/>
    <m/>
  </r>
  <r>
    <x v="0"/>
    <x v="27"/>
    <x v="28"/>
    <m/>
    <x v="1"/>
    <x v="22"/>
    <x v="3"/>
    <x v="394"/>
    <n v="33"/>
    <n v="101"/>
    <m/>
    <m/>
    <m/>
    <m/>
    <m/>
    <m/>
    <m/>
    <m/>
    <m/>
    <m/>
    <m/>
    <m/>
    <m/>
    <m/>
    <m/>
    <m/>
    <m/>
    <m/>
    <m/>
    <m/>
    <m/>
    <m/>
    <m/>
    <m/>
    <m/>
    <m/>
    <m/>
    <m/>
    <m/>
    <m/>
    <m/>
    <m/>
    <m/>
    <m/>
    <m/>
    <m/>
    <m/>
    <m/>
    <m/>
    <x v="1"/>
    <x v="1"/>
    <m/>
    <m/>
    <m/>
    <m/>
    <m/>
    <m/>
    <m/>
    <m/>
    <m/>
    <m/>
    <m/>
    <n v="33"/>
    <n v="33"/>
    <m/>
    <m/>
    <m/>
    <m/>
    <s v="no test"/>
    <s v="no test"/>
    <x v="1"/>
    <n v="0"/>
    <n v="0"/>
    <n v="0"/>
    <n v="0"/>
    <n v="0"/>
    <n v="0"/>
    <n v="0"/>
    <n v="0"/>
    <n v="0"/>
    <n v="0"/>
    <n v="0"/>
    <n v="0"/>
    <n v="0"/>
    <n v="0"/>
    <n v="1"/>
    <n v="101"/>
    <n v="1"/>
    <n v="1"/>
    <n v="0"/>
    <n v="0"/>
    <n v="0"/>
    <n v="0"/>
    <n v="0"/>
    <n v="2"/>
    <n v="2"/>
    <n v="1"/>
    <n v="0"/>
    <n v="0"/>
    <n v="101"/>
    <n v="101"/>
    <n v="101"/>
    <n v="101"/>
    <n v="1"/>
    <n v="0"/>
    <n v="0"/>
    <n v="1"/>
    <n v="1"/>
    <n v="0"/>
    <e v="#REF!"/>
    <n v="0"/>
    <n v="0"/>
    <x v="0"/>
    <n v="0"/>
    <n v="0"/>
    <x v="3"/>
    <x v="14"/>
    <x v="2"/>
    <n v="0"/>
    <n v="0"/>
    <n v="0"/>
    <x v="0"/>
    <m/>
  </r>
  <r>
    <x v="0"/>
    <x v="2"/>
    <x v="2"/>
    <m/>
    <x v="1"/>
    <x v="22"/>
    <x v="3"/>
    <x v="395"/>
    <n v="147"/>
    <n v="455"/>
    <m/>
    <m/>
    <m/>
    <m/>
    <m/>
    <m/>
    <m/>
    <m/>
    <m/>
    <m/>
    <m/>
    <m/>
    <m/>
    <m/>
    <m/>
    <m/>
    <m/>
    <m/>
    <m/>
    <m/>
    <m/>
    <m/>
    <m/>
    <m/>
    <m/>
    <m/>
    <m/>
    <m/>
    <m/>
    <m/>
    <m/>
    <m/>
    <m/>
    <m/>
    <m/>
    <m/>
    <m/>
    <m/>
    <m/>
    <x v="1"/>
    <x v="1"/>
    <m/>
    <m/>
    <m/>
    <m/>
    <m/>
    <m/>
    <m/>
    <m/>
    <m/>
    <m/>
    <m/>
    <m/>
    <m/>
    <m/>
    <m/>
    <m/>
    <m/>
    <s v="no test"/>
    <s v="no test"/>
    <x v="1"/>
    <n v="0"/>
    <n v="0"/>
    <n v="0"/>
    <n v="0"/>
    <n v="0"/>
    <n v="0"/>
    <n v="0"/>
    <n v="0"/>
    <n v="0"/>
    <n v="0"/>
    <n v="0"/>
    <n v="0"/>
    <n v="0"/>
    <n v="0"/>
    <n v="1"/>
    <n v="455"/>
    <n v="1"/>
    <n v="1"/>
    <n v="0"/>
    <n v="0"/>
    <n v="0"/>
    <n v="0"/>
    <n v="0"/>
    <n v="9"/>
    <n v="9"/>
    <n v="1"/>
    <n v="0"/>
    <n v="0"/>
    <n v="0"/>
    <n v="0"/>
    <n v="0"/>
    <n v="0"/>
    <n v="0"/>
    <n v="1"/>
    <n v="0"/>
    <n v="0"/>
    <n v="0"/>
    <n v="0"/>
    <e v="#REF!"/>
    <n v="0"/>
    <n v="0"/>
    <x v="0"/>
    <n v="0"/>
    <n v="0"/>
    <x v="3"/>
    <x v="8"/>
    <x v="2"/>
    <n v="0"/>
    <n v="0"/>
    <n v="0"/>
    <x v="1"/>
    <m/>
  </r>
  <r>
    <x v="0"/>
    <x v="24"/>
    <x v="25"/>
    <m/>
    <x v="1"/>
    <x v="22"/>
    <x v="3"/>
    <x v="396"/>
    <n v="45"/>
    <n v="191"/>
    <m/>
    <m/>
    <m/>
    <m/>
    <m/>
    <m/>
    <m/>
    <m/>
    <m/>
    <m/>
    <m/>
    <m/>
    <m/>
    <m/>
    <m/>
    <m/>
    <m/>
    <m/>
    <m/>
    <m/>
    <m/>
    <m/>
    <m/>
    <m/>
    <m/>
    <m/>
    <m/>
    <m/>
    <m/>
    <m/>
    <m/>
    <n v="9"/>
    <m/>
    <m/>
    <m/>
    <m/>
    <m/>
    <m/>
    <m/>
    <x v="1"/>
    <x v="1"/>
    <m/>
    <m/>
    <m/>
    <m/>
    <m/>
    <m/>
    <m/>
    <m/>
    <m/>
    <m/>
    <m/>
    <n v="40"/>
    <n v="40"/>
    <m/>
    <m/>
    <m/>
    <m/>
    <s v="no test"/>
    <s v="no test"/>
    <x v="1"/>
    <n v="0"/>
    <n v="0"/>
    <n v="0"/>
    <n v="0"/>
    <n v="0"/>
    <n v="0"/>
    <n v="0"/>
    <n v="0"/>
    <n v="0"/>
    <n v="0"/>
    <n v="0"/>
    <n v="0"/>
    <n v="0"/>
    <n v="0"/>
    <n v="1"/>
    <n v="191"/>
    <n v="1"/>
    <n v="1"/>
    <n v="9"/>
    <n v="1"/>
    <n v="191"/>
    <n v="0"/>
    <n v="0"/>
    <n v="4"/>
    <n v="0"/>
    <n v="0"/>
    <n v="0"/>
    <n v="0"/>
    <n v="191"/>
    <n v="191"/>
    <n v="191"/>
    <n v="191"/>
    <n v="1"/>
    <n v="0"/>
    <n v="0"/>
    <n v="0.88888888888888884"/>
    <n v="0.88888888888888884"/>
    <n v="0"/>
    <e v="#REF!"/>
    <n v="0"/>
    <n v="0"/>
    <x v="0"/>
    <n v="0"/>
    <n v="0"/>
    <x v="3"/>
    <x v="8"/>
    <x v="2"/>
    <n v="20.829959869384801"/>
    <n v="93.073478698730497"/>
    <n v="196661"/>
    <x v="0"/>
    <m/>
  </r>
  <r>
    <x v="0"/>
    <x v="27"/>
    <x v="28"/>
    <m/>
    <x v="1"/>
    <x v="22"/>
    <x v="3"/>
    <x v="397"/>
    <n v="41"/>
    <n v="164"/>
    <m/>
    <m/>
    <m/>
    <m/>
    <m/>
    <m/>
    <m/>
    <m/>
    <m/>
    <m/>
    <m/>
    <m/>
    <m/>
    <m/>
    <m/>
    <m/>
    <m/>
    <m/>
    <m/>
    <m/>
    <m/>
    <m/>
    <m/>
    <m/>
    <m/>
    <m/>
    <m/>
    <m/>
    <m/>
    <m/>
    <m/>
    <m/>
    <m/>
    <m/>
    <m/>
    <m/>
    <m/>
    <m/>
    <m/>
    <x v="1"/>
    <x v="1"/>
    <m/>
    <m/>
    <m/>
    <m/>
    <m/>
    <m/>
    <m/>
    <m/>
    <m/>
    <m/>
    <m/>
    <n v="25"/>
    <n v="25"/>
    <m/>
    <m/>
    <m/>
    <m/>
    <s v="no test"/>
    <s v="no test"/>
    <x v="1"/>
    <n v="0"/>
    <n v="0"/>
    <n v="0"/>
    <n v="0"/>
    <n v="0"/>
    <n v="0"/>
    <n v="0"/>
    <n v="0"/>
    <n v="0"/>
    <n v="0"/>
    <n v="0"/>
    <n v="0"/>
    <n v="0"/>
    <n v="0"/>
    <n v="1"/>
    <n v="164"/>
    <n v="1"/>
    <n v="1"/>
    <n v="0"/>
    <n v="0"/>
    <n v="0"/>
    <n v="0"/>
    <n v="0"/>
    <n v="3"/>
    <n v="3"/>
    <n v="1"/>
    <n v="0"/>
    <n v="0"/>
    <n v="125"/>
    <n v="125"/>
    <n v="125"/>
    <n v="125"/>
    <n v="0.76219512195121952"/>
    <n v="0.23780487804878048"/>
    <n v="0"/>
    <n v="0.6097560975609756"/>
    <n v="0.6097560975609756"/>
    <n v="0"/>
    <e v="#REF!"/>
    <n v="0"/>
    <n v="0"/>
    <x v="0"/>
    <n v="0"/>
    <n v="0"/>
    <x v="3"/>
    <x v="8"/>
    <x v="2"/>
    <n v="20.7270202636719"/>
    <n v="93.249069213867202"/>
    <n v="196465"/>
    <x v="0"/>
    <m/>
  </r>
  <r>
    <x v="0"/>
    <x v="25"/>
    <x v="26"/>
    <m/>
    <x v="1"/>
    <x v="22"/>
    <x v="3"/>
    <x v="398"/>
    <n v="103"/>
    <n v="318"/>
    <m/>
    <m/>
    <m/>
    <m/>
    <m/>
    <m/>
    <m/>
    <m/>
    <m/>
    <m/>
    <m/>
    <m/>
    <m/>
    <m/>
    <m/>
    <m/>
    <m/>
    <m/>
    <m/>
    <m/>
    <m/>
    <m/>
    <m/>
    <m/>
    <m/>
    <m/>
    <m/>
    <m/>
    <m/>
    <m/>
    <m/>
    <n v="4"/>
    <m/>
    <m/>
    <m/>
    <m/>
    <m/>
    <m/>
    <m/>
    <x v="1"/>
    <x v="1"/>
    <m/>
    <m/>
    <m/>
    <m/>
    <m/>
    <m/>
    <m/>
    <m/>
    <m/>
    <m/>
    <m/>
    <n v="303"/>
    <n v="303"/>
    <m/>
    <m/>
    <m/>
    <m/>
    <s v="no test"/>
    <s v="no test"/>
    <x v="1"/>
    <n v="0"/>
    <n v="0"/>
    <n v="0"/>
    <n v="0"/>
    <n v="0"/>
    <n v="0"/>
    <n v="0"/>
    <n v="0"/>
    <n v="0"/>
    <n v="0"/>
    <n v="0"/>
    <n v="0"/>
    <n v="0"/>
    <n v="0"/>
    <n v="1"/>
    <n v="318"/>
    <n v="1"/>
    <n v="1"/>
    <n v="4"/>
    <n v="0.62893081761006286"/>
    <n v="200"/>
    <n v="0"/>
    <n v="0"/>
    <n v="6"/>
    <n v="2"/>
    <n v="0.37106918238993714"/>
    <n v="0"/>
    <n v="0"/>
    <n v="318"/>
    <n v="318"/>
    <n v="318"/>
    <n v="318"/>
    <n v="1"/>
    <n v="0"/>
    <n v="0"/>
    <n v="1"/>
    <n v="1"/>
    <n v="0"/>
    <e v="#REF!"/>
    <n v="0"/>
    <n v="0"/>
    <x v="0"/>
    <n v="0"/>
    <n v="0"/>
    <x v="3"/>
    <x v="14"/>
    <x v="2"/>
    <n v="0"/>
    <n v="0"/>
    <n v="0"/>
    <x v="0"/>
    <m/>
  </r>
  <r>
    <x v="0"/>
    <x v="25"/>
    <x v="26"/>
    <m/>
    <x v="1"/>
    <x v="22"/>
    <x v="3"/>
    <x v="399"/>
    <n v="39"/>
    <n v="157"/>
    <m/>
    <m/>
    <m/>
    <m/>
    <m/>
    <m/>
    <m/>
    <m/>
    <m/>
    <m/>
    <m/>
    <m/>
    <m/>
    <m/>
    <m/>
    <m/>
    <m/>
    <m/>
    <m/>
    <m/>
    <m/>
    <m/>
    <m/>
    <m/>
    <m/>
    <m/>
    <m/>
    <m/>
    <m/>
    <m/>
    <m/>
    <n v="3"/>
    <m/>
    <m/>
    <m/>
    <m/>
    <m/>
    <m/>
    <m/>
    <x v="1"/>
    <x v="1"/>
    <m/>
    <m/>
    <m/>
    <m/>
    <m/>
    <m/>
    <m/>
    <m/>
    <m/>
    <m/>
    <m/>
    <n v="129"/>
    <n v="129"/>
    <m/>
    <m/>
    <m/>
    <m/>
    <s v="no test"/>
    <s v="no test"/>
    <x v="1"/>
    <n v="0"/>
    <n v="0"/>
    <n v="0"/>
    <n v="0"/>
    <n v="0"/>
    <n v="0"/>
    <n v="0"/>
    <n v="0"/>
    <n v="0"/>
    <n v="0"/>
    <n v="0"/>
    <n v="0"/>
    <n v="0"/>
    <n v="0"/>
    <n v="1"/>
    <n v="157"/>
    <n v="1"/>
    <n v="1"/>
    <n v="3"/>
    <n v="0.95541401273885351"/>
    <n v="150"/>
    <n v="0"/>
    <n v="0"/>
    <n v="3"/>
    <n v="0"/>
    <n v="4.4585987261146487E-2"/>
    <n v="0"/>
    <n v="0"/>
    <n v="157"/>
    <n v="157"/>
    <n v="157"/>
    <n v="157"/>
    <n v="1"/>
    <n v="0"/>
    <n v="0"/>
    <n v="1"/>
    <n v="1"/>
    <n v="0"/>
    <e v="#REF!"/>
    <n v="0"/>
    <n v="0"/>
    <x v="0"/>
    <n v="0"/>
    <n v="0"/>
    <x v="3"/>
    <x v="8"/>
    <x v="2"/>
    <n v="0"/>
    <n v="0"/>
    <n v="0"/>
    <x v="0"/>
    <m/>
  </r>
  <r>
    <x v="0"/>
    <x v="27"/>
    <x v="28"/>
    <m/>
    <x v="1"/>
    <x v="22"/>
    <x v="3"/>
    <x v="400"/>
    <n v="56"/>
    <n v="285"/>
    <m/>
    <m/>
    <m/>
    <m/>
    <m/>
    <m/>
    <m/>
    <m/>
    <m/>
    <m/>
    <m/>
    <m/>
    <m/>
    <m/>
    <m/>
    <m/>
    <m/>
    <m/>
    <m/>
    <m/>
    <m/>
    <m/>
    <m/>
    <m/>
    <m/>
    <m/>
    <m/>
    <m/>
    <m/>
    <m/>
    <m/>
    <m/>
    <m/>
    <m/>
    <m/>
    <m/>
    <m/>
    <m/>
    <m/>
    <x v="1"/>
    <x v="1"/>
    <m/>
    <m/>
    <m/>
    <m/>
    <m/>
    <m/>
    <m/>
    <m/>
    <m/>
    <m/>
    <m/>
    <n v="81"/>
    <n v="81"/>
    <m/>
    <m/>
    <m/>
    <m/>
    <s v="no test"/>
    <s v="no test"/>
    <x v="1"/>
    <n v="0"/>
    <n v="0"/>
    <n v="0"/>
    <n v="0"/>
    <n v="0"/>
    <n v="0"/>
    <n v="0"/>
    <n v="0"/>
    <n v="0"/>
    <n v="0"/>
    <n v="0"/>
    <n v="0"/>
    <n v="0"/>
    <n v="0"/>
    <n v="1"/>
    <n v="285"/>
    <n v="1"/>
    <n v="1"/>
    <n v="0"/>
    <n v="0"/>
    <n v="0"/>
    <n v="0"/>
    <n v="0"/>
    <n v="6"/>
    <n v="6"/>
    <n v="1"/>
    <n v="0"/>
    <n v="0"/>
    <n v="285"/>
    <n v="285"/>
    <n v="285"/>
    <n v="285"/>
    <n v="1"/>
    <n v="0"/>
    <n v="0"/>
    <n v="1"/>
    <n v="1"/>
    <n v="0"/>
    <e v="#REF!"/>
    <n v="0"/>
    <n v="0"/>
    <x v="0"/>
    <n v="0"/>
    <n v="0"/>
    <x v="3"/>
    <x v="8"/>
    <x v="2"/>
    <n v="20.7529296875"/>
    <n v="93.267311096191406"/>
    <n v="196464"/>
    <x v="0"/>
    <m/>
  </r>
  <r>
    <x v="0"/>
    <x v="27"/>
    <x v="28"/>
    <m/>
    <x v="1"/>
    <x v="22"/>
    <x v="3"/>
    <x v="401"/>
    <n v="245"/>
    <n v="1169"/>
    <m/>
    <m/>
    <m/>
    <m/>
    <m/>
    <m/>
    <m/>
    <m/>
    <m/>
    <m/>
    <m/>
    <m/>
    <m/>
    <m/>
    <m/>
    <m/>
    <m/>
    <m/>
    <m/>
    <m/>
    <m/>
    <m/>
    <m/>
    <m/>
    <m/>
    <m/>
    <m/>
    <m/>
    <m/>
    <m/>
    <m/>
    <m/>
    <m/>
    <m/>
    <m/>
    <m/>
    <m/>
    <m/>
    <m/>
    <x v="1"/>
    <x v="1"/>
    <m/>
    <m/>
    <m/>
    <m/>
    <m/>
    <m/>
    <m/>
    <m/>
    <m/>
    <m/>
    <m/>
    <n v="245"/>
    <n v="245"/>
    <m/>
    <m/>
    <m/>
    <m/>
    <s v="no test"/>
    <s v="no test"/>
    <x v="1"/>
    <n v="0"/>
    <n v="0"/>
    <n v="0"/>
    <n v="0"/>
    <n v="0"/>
    <n v="0"/>
    <n v="0"/>
    <n v="0"/>
    <n v="0"/>
    <n v="0"/>
    <n v="0"/>
    <n v="0"/>
    <n v="0"/>
    <n v="0"/>
    <n v="1"/>
    <n v="1169"/>
    <n v="2"/>
    <n v="2"/>
    <n v="0"/>
    <n v="0"/>
    <n v="0"/>
    <n v="0"/>
    <n v="0"/>
    <n v="23"/>
    <n v="23"/>
    <n v="1"/>
    <n v="0"/>
    <n v="0"/>
    <n v="1169"/>
    <n v="1169"/>
    <n v="1169"/>
    <n v="1169"/>
    <n v="1"/>
    <n v="0"/>
    <n v="0"/>
    <n v="1"/>
    <n v="1"/>
    <n v="0"/>
    <e v="#REF!"/>
    <n v="0"/>
    <n v="0"/>
    <x v="0"/>
    <n v="0"/>
    <n v="0"/>
    <x v="3"/>
    <x v="8"/>
    <x v="2"/>
    <n v="0"/>
    <n v="0"/>
    <n v="0"/>
    <x v="0"/>
    <m/>
  </r>
  <r>
    <x v="0"/>
    <x v="2"/>
    <x v="2"/>
    <m/>
    <x v="1"/>
    <x v="22"/>
    <x v="3"/>
    <x v="402"/>
    <n v="41"/>
    <n v="154"/>
    <m/>
    <m/>
    <m/>
    <m/>
    <m/>
    <m/>
    <m/>
    <m/>
    <m/>
    <m/>
    <m/>
    <m/>
    <m/>
    <m/>
    <m/>
    <m/>
    <m/>
    <m/>
    <m/>
    <m/>
    <m/>
    <m/>
    <m/>
    <m/>
    <m/>
    <m/>
    <m/>
    <m/>
    <m/>
    <m/>
    <m/>
    <m/>
    <m/>
    <m/>
    <m/>
    <m/>
    <m/>
    <m/>
    <m/>
    <x v="1"/>
    <x v="1"/>
    <m/>
    <m/>
    <m/>
    <m/>
    <m/>
    <m/>
    <m/>
    <m/>
    <m/>
    <m/>
    <m/>
    <m/>
    <m/>
    <m/>
    <m/>
    <m/>
    <m/>
    <s v="no test"/>
    <s v="no test"/>
    <x v="1"/>
    <n v="0"/>
    <n v="0"/>
    <n v="0"/>
    <n v="0"/>
    <n v="0"/>
    <n v="0"/>
    <n v="0"/>
    <n v="0"/>
    <n v="0"/>
    <n v="0"/>
    <n v="0"/>
    <n v="0"/>
    <n v="0"/>
    <n v="0"/>
    <n v="1"/>
    <n v="154"/>
    <n v="1"/>
    <n v="1"/>
    <n v="0"/>
    <n v="0"/>
    <n v="0"/>
    <n v="0"/>
    <n v="0"/>
    <n v="3"/>
    <n v="3"/>
    <n v="1"/>
    <n v="0"/>
    <n v="0"/>
    <n v="0"/>
    <n v="0"/>
    <n v="0"/>
    <n v="0"/>
    <n v="0"/>
    <n v="1"/>
    <n v="0"/>
    <n v="0"/>
    <n v="0"/>
    <n v="0"/>
    <e v="#REF!"/>
    <n v="0"/>
    <n v="0"/>
    <x v="0"/>
    <n v="0"/>
    <n v="0"/>
    <x v="3"/>
    <x v="8"/>
    <x v="2"/>
    <n v="20.718429565429702"/>
    <n v="93.059432983398395"/>
    <n v="196645"/>
    <x v="1"/>
    <m/>
  </r>
  <r>
    <x v="0"/>
    <x v="23"/>
    <x v="24"/>
    <m/>
    <x v="1"/>
    <x v="22"/>
    <x v="3"/>
    <x v="403"/>
    <n v="250"/>
    <n v="981"/>
    <m/>
    <m/>
    <m/>
    <m/>
    <m/>
    <m/>
    <m/>
    <m/>
    <m/>
    <m/>
    <m/>
    <m/>
    <m/>
    <m/>
    <m/>
    <m/>
    <m/>
    <m/>
    <m/>
    <m/>
    <m/>
    <m/>
    <m/>
    <m/>
    <m/>
    <m/>
    <m/>
    <m/>
    <m/>
    <m/>
    <m/>
    <n v="5"/>
    <m/>
    <m/>
    <m/>
    <m/>
    <m/>
    <m/>
    <m/>
    <x v="1"/>
    <x v="1"/>
    <m/>
    <m/>
    <m/>
    <m/>
    <m/>
    <m/>
    <m/>
    <m/>
    <m/>
    <m/>
    <m/>
    <m/>
    <m/>
    <m/>
    <m/>
    <m/>
    <m/>
    <s v="no test"/>
    <s v="no test"/>
    <x v="1"/>
    <n v="0"/>
    <n v="0"/>
    <n v="0"/>
    <n v="0"/>
    <n v="0"/>
    <n v="0"/>
    <n v="0"/>
    <n v="0"/>
    <n v="0"/>
    <n v="0"/>
    <n v="0"/>
    <n v="0"/>
    <n v="0"/>
    <n v="0"/>
    <n v="1"/>
    <n v="981"/>
    <n v="2"/>
    <n v="2"/>
    <n v="5"/>
    <n v="0.254841997961264"/>
    <n v="250"/>
    <n v="0"/>
    <n v="0"/>
    <n v="20"/>
    <n v="15"/>
    <n v="0.74515800203873606"/>
    <n v="0"/>
    <n v="0"/>
    <n v="0"/>
    <n v="0"/>
    <n v="0"/>
    <n v="0"/>
    <n v="0"/>
    <n v="1"/>
    <n v="0"/>
    <n v="0"/>
    <n v="0"/>
    <n v="0"/>
    <e v="#REF!"/>
    <n v="0"/>
    <n v="0"/>
    <x v="0"/>
    <n v="0"/>
    <n v="0"/>
    <x v="3"/>
    <x v="8"/>
    <x v="2"/>
    <n v="0"/>
    <n v="0"/>
    <n v="0"/>
    <x v="0"/>
    <m/>
  </r>
  <r>
    <x v="0"/>
    <x v="2"/>
    <x v="2"/>
    <m/>
    <x v="1"/>
    <x v="22"/>
    <x v="3"/>
    <x v="404"/>
    <n v="31"/>
    <n v="151"/>
    <m/>
    <m/>
    <m/>
    <m/>
    <m/>
    <m/>
    <m/>
    <m/>
    <m/>
    <m/>
    <m/>
    <m/>
    <m/>
    <m/>
    <m/>
    <m/>
    <m/>
    <m/>
    <m/>
    <m/>
    <m/>
    <m/>
    <m/>
    <m/>
    <m/>
    <m/>
    <m/>
    <m/>
    <m/>
    <m/>
    <m/>
    <m/>
    <m/>
    <m/>
    <m/>
    <m/>
    <m/>
    <m/>
    <m/>
    <x v="1"/>
    <x v="1"/>
    <m/>
    <m/>
    <m/>
    <m/>
    <m/>
    <m/>
    <m/>
    <m/>
    <m/>
    <m/>
    <m/>
    <m/>
    <m/>
    <m/>
    <m/>
    <m/>
    <m/>
    <s v="no test"/>
    <s v="no test"/>
    <x v="1"/>
    <n v="0"/>
    <n v="0"/>
    <n v="0"/>
    <n v="0"/>
    <n v="0"/>
    <n v="0"/>
    <n v="0"/>
    <n v="0"/>
    <n v="0"/>
    <n v="0"/>
    <n v="0"/>
    <n v="0"/>
    <n v="0"/>
    <n v="0"/>
    <n v="1"/>
    <n v="151"/>
    <n v="1"/>
    <n v="1"/>
    <n v="0"/>
    <n v="0"/>
    <n v="0"/>
    <n v="0"/>
    <n v="0"/>
    <n v="3"/>
    <n v="3"/>
    <n v="1"/>
    <n v="0"/>
    <n v="0"/>
    <n v="0"/>
    <n v="0"/>
    <n v="0"/>
    <n v="0"/>
    <n v="0"/>
    <n v="1"/>
    <n v="0"/>
    <n v="0"/>
    <n v="0"/>
    <n v="0"/>
    <e v="#REF!"/>
    <n v="0"/>
    <n v="0"/>
    <x v="0"/>
    <n v="0"/>
    <n v="0"/>
    <x v="3"/>
    <x v="8"/>
    <x v="2"/>
    <n v="20.648319244384801"/>
    <n v="93.085273742675795"/>
    <n v="196626"/>
    <x v="1"/>
    <m/>
  </r>
  <r>
    <x v="0"/>
    <x v="23"/>
    <x v="24"/>
    <m/>
    <x v="1"/>
    <x v="22"/>
    <x v="3"/>
    <x v="405"/>
    <n v="12"/>
    <n v="62"/>
    <m/>
    <m/>
    <m/>
    <m/>
    <m/>
    <m/>
    <m/>
    <m/>
    <m/>
    <m/>
    <m/>
    <m/>
    <m/>
    <m/>
    <m/>
    <m/>
    <m/>
    <m/>
    <m/>
    <m/>
    <m/>
    <m/>
    <m/>
    <m/>
    <m/>
    <m/>
    <m/>
    <m/>
    <m/>
    <m/>
    <m/>
    <n v="1"/>
    <m/>
    <m/>
    <m/>
    <m/>
    <m/>
    <m/>
    <m/>
    <x v="1"/>
    <x v="1"/>
    <m/>
    <m/>
    <m/>
    <m/>
    <m/>
    <m/>
    <m/>
    <m/>
    <m/>
    <m/>
    <m/>
    <m/>
    <m/>
    <m/>
    <m/>
    <m/>
    <m/>
    <s v="no test"/>
    <s v="no test"/>
    <x v="1"/>
    <n v="0"/>
    <n v="0"/>
    <n v="0"/>
    <n v="0"/>
    <n v="0"/>
    <n v="0"/>
    <n v="0"/>
    <n v="0"/>
    <n v="0"/>
    <n v="0"/>
    <n v="0"/>
    <n v="0"/>
    <n v="0"/>
    <n v="0"/>
    <n v="1"/>
    <n v="62"/>
    <n v="1"/>
    <n v="1"/>
    <n v="1"/>
    <n v="0.80645161290322576"/>
    <n v="50"/>
    <n v="0"/>
    <n v="0"/>
    <n v="1"/>
    <n v="0"/>
    <n v="0.19354838709677424"/>
    <n v="0"/>
    <n v="0"/>
    <n v="0"/>
    <n v="0"/>
    <n v="0"/>
    <n v="0"/>
    <n v="0"/>
    <n v="1"/>
    <n v="0"/>
    <n v="0"/>
    <n v="0"/>
    <n v="0"/>
    <e v="#REF!"/>
    <n v="0"/>
    <n v="0"/>
    <x v="0"/>
    <n v="0"/>
    <n v="0"/>
    <x v="3"/>
    <x v="8"/>
    <x v="2"/>
    <n v="0"/>
    <n v="0"/>
    <n v="0"/>
    <x v="0"/>
    <m/>
  </r>
  <r>
    <x v="0"/>
    <x v="2"/>
    <x v="2"/>
    <m/>
    <x v="1"/>
    <x v="22"/>
    <x v="3"/>
    <x v="406"/>
    <n v="261"/>
    <n v="798"/>
    <m/>
    <m/>
    <m/>
    <m/>
    <m/>
    <m/>
    <m/>
    <m/>
    <m/>
    <m/>
    <m/>
    <m/>
    <m/>
    <m/>
    <m/>
    <m/>
    <m/>
    <m/>
    <m/>
    <m/>
    <m/>
    <m/>
    <m/>
    <m/>
    <m/>
    <m/>
    <m/>
    <m/>
    <m/>
    <m/>
    <m/>
    <m/>
    <m/>
    <m/>
    <m/>
    <m/>
    <m/>
    <m/>
    <m/>
    <x v="1"/>
    <x v="1"/>
    <m/>
    <m/>
    <m/>
    <m/>
    <m/>
    <m/>
    <m/>
    <m/>
    <m/>
    <m/>
    <m/>
    <m/>
    <m/>
    <m/>
    <m/>
    <m/>
    <m/>
    <s v="no test"/>
    <s v="no test"/>
    <x v="1"/>
    <n v="0"/>
    <n v="0"/>
    <n v="0"/>
    <n v="0"/>
    <n v="0"/>
    <n v="0"/>
    <n v="0"/>
    <n v="0"/>
    <n v="0"/>
    <n v="0"/>
    <n v="0"/>
    <n v="0"/>
    <n v="0"/>
    <n v="0"/>
    <n v="1"/>
    <n v="798"/>
    <n v="2"/>
    <n v="2"/>
    <n v="0"/>
    <n v="0"/>
    <n v="0"/>
    <n v="0"/>
    <n v="0"/>
    <n v="16"/>
    <n v="16"/>
    <n v="1"/>
    <n v="0"/>
    <n v="0"/>
    <n v="0"/>
    <n v="0"/>
    <n v="0"/>
    <n v="0"/>
    <n v="0"/>
    <n v="1"/>
    <n v="0"/>
    <n v="0"/>
    <n v="0"/>
    <n v="0"/>
    <e v="#REF!"/>
    <n v="0"/>
    <n v="0"/>
    <x v="0"/>
    <n v="0"/>
    <n v="0"/>
    <x v="3"/>
    <x v="8"/>
    <x v="2"/>
    <n v="20.675979614257798"/>
    <n v="93.098922729492202"/>
    <n v="196621"/>
    <x v="1"/>
    <m/>
  </r>
  <r>
    <x v="0"/>
    <x v="27"/>
    <x v="28"/>
    <m/>
    <x v="1"/>
    <x v="22"/>
    <x v="3"/>
    <x v="407"/>
    <n v="36"/>
    <n v="140"/>
    <m/>
    <m/>
    <m/>
    <m/>
    <m/>
    <m/>
    <m/>
    <m/>
    <m/>
    <m/>
    <m/>
    <m/>
    <m/>
    <m/>
    <m/>
    <m/>
    <m/>
    <m/>
    <m/>
    <m/>
    <m/>
    <m/>
    <m/>
    <m/>
    <m/>
    <m/>
    <m/>
    <m/>
    <m/>
    <m/>
    <m/>
    <m/>
    <m/>
    <m/>
    <m/>
    <m/>
    <m/>
    <m/>
    <m/>
    <x v="1"/>
    <x v="1"/>
    <m/>
    <m/>
    <m/>
    <m/>
    <m/>
    <m/>
    <m/>
    <m/>
    <m/>
    <m/>
    <m/>
    <n v="36"/>
    <n v="36"/>
    <m/>
    <m/>
    <m/>
    <m/>
    <s v="no test"/>
    <s v="no test"/>
    <x v="1"/>
    <n v="0"/>
    <n v="0"/>
    <n v="0"/>
    <n v="0"/>
    <n v="0"/>
    <n v="0"/>
    <n v="0"/>
    <n v="0"/>
    <n v="0"/>
    <n v="0"/>
    <n v="0"/>
    <n v="0"/>
    <n v="0"/>
    <n v="0"/>
    <n v="1"/>
    <n v="140"/>
    <n v="1"/>
    <n v="1"/>
    <n v="0"/>
    <n v="0"/>
    <n v="0"/>
    <n v="0"/>
    <n v="0"/>
    <n v="3"/>
    <n v="3"/>
    <n v="1"/>
    <n v="0"/>
    <n v="0"/>
    <n v="140"/>
    <n v="140"/>
    <n v="140"/>
    <n v="140"/>
    <n v="1"/>
    <n v="0"/>
    <n v="0"/>
    <n v="1"/>
    <n v="1"/>
    <n v="0"/>
    <e v="#REF!"/>
    <n v="0"/>
    <n v="0"/>
    <x v="0"/>
    <n v="0"/>
    <n v="0"/>
    <x v="3"/>
    <x v="8"/>
    <x v="2"/>
    <n v="0"/>
    <n v="0"/>
    <n v="0"/>
    <x v="0"/>
    <m/>
  </r>
  <r>
    <x v="0"/>
    <x v="2"/>
    <x v="2"/>
    <m/>
    <x v="1"/>
    <x v="22"/>
    <x v="3"/>
    <x v="408"/>
    <n v="11"/>
    <n v="46"/>
    <m/>
    <m/>
    <m/>
    <m/>
    <m/>
    <m/>
    <m/>
    <m/>
    <m/>
    <m/>
    <m/>
    <m/>
    <m/>
    <m/>
    <m/>
    <m/>
    <m/>
    <m/>
    <m/>
    <m/>
    <m/>
    <m/>
    <m/>
    <m/>
    <m/>
    <m/>
    <m/>
    <m/>
    <m/>
    <m/>
    <m/>
    <m/>
    <m/>
    <m/>
    <m/>
    <m/>
    <m/>
    <m/>
    <m/>
    <x v="1"/>
    <x v="1"/>
    <m/>
    <m/>
    <m/>
    <m/>
    <m/>
    <m/>
    <m/>
    <m/>
    <m/>
    <m/>
    <m/>
    <m/>
    <m/>
    <m/>
    <m/>
    <m/>
    <m/>
    <s v="no test"/>
    <s v="no test"/>
    <x v="1"/>
    <n v="0"/>
    <n v="0"/>
    <n v="0"/>
    <n v="0"/>
    <n v="0"/>
    <n v="0"/>
    <n v="0"/>
    <n v="0"/>
    <n v="0"/>
    <n v="0"/>
    <n v="0"/>
    <n v="0"/>
    <n v="0"/>
    <n v="0"/>
    <n v="1"/>
    <n v="46"/>
    <n v="1"/>
    <n v="1"/>
    <n v="0"/>
    <n v="0"/>
    <n v="0"/>
    <n v="0"/>
    <n v="0"/>
    <n v="1"/>
    <n v="1"/>
    <n v="1"/>
    <n v="0"/>
    <n v="0"/>
    <n v="0"/>
    <n v="0"/>
    <n v="0"/>
    <n v="0"/>
    <n v="0"/>
    <n v="1"/>
    <n v="0"/>
    <n v="0"/>
    <n v="0"/>
    <n v="0"/>
    <e v="#REF!"/>
    <n v="0"/>
    <n v="0"/>
    <x v="0"/>
    <n v="0"/>
    <n v="0"/>
    <x v="3"/>
    <x v="8"/>
    <x v="2"/>
    <n v="0"/>
    <n v="0"/>
    <n v="0"/>
    <x v="1"/>
    <m/>
  </r>
  <r>
    <x v="0"/>
    <x v="2"/>
    <x v="2"/>
    <m/>
    <x v="1"/>
    <x v="22"/>
    <x v="3"/>
    <x v="409"/>
    <n v="120"/>
    <n v="472"/>
    <m/>
    <m/>
    <m/>
    <m/>
    <m/>
    <m/>
    <m/>
    <m/>
    <m/>
    <m/>
    <m/>
    <m/>
    <m/>
    <m/>
    <m/>
    <m/>
    <m/>
    <m/>
    <m/>
    <m/>
    <m/>
    <m/>
    <m/>
    <m/>
    <m/>
    <m/>
    <m/>
    <m/>
    <m/>
    <m/>
    <m/>
    <m/>
    <m/>
    <m/>
    <m/>
    <m/>
    <m/>
    <m/>
    <m/>
    <x v="1"/>
    <x v="1"/>
    <m/>
    <m/>
    <m/>
    <m/>
    <m/>
    <m/>
    <m/>
    <m/>
    <m/>
    <m/>
    <m/>
    <m/>
    <m/>
    <m/>
    <m/>
    <m/>
    <m/>
    <s v="no test"/>
    <s v="no test"/>
    <x v="1"/>
    <n v="0"/>
    <n v="0"/>
    <n v="0"/>
    <n v="0"/>
    <n v="0"/>
    <n v="0"/>
    <n v="0"/>
    <n v="0"/>
    <n v="0"/>
    <n v="0"/>
    <n v="0"/>
    <n v="0"/>
    <n v="0"/>
    <n v="0"/>
    <n v="1"/>
    <n v="472"/>
    <n v="1"/>
    <n v="1"/>
    <n v="0"/>
    <n v="0"/>
    <n v="0"/>
    <n v="0"/>
    <n v="0"/>
    <n v="9"/>
    <n v="9"/>
    <n v="1"/>
    <n v="0"/>
    <n v="0"/>
    <n v="0"/>
    <n v="0"/>
    <n v="0"/>
    <n v="0"/>
    <n v="0"/>
    <n v="1"/>
    <n v="0"/>
    <n v="0"/>
    <n v="0"/>
    <n v="0"/>
    <e v="#REF!"/>
    <n v="0"/>
    <n v="0"/>
    <x v="0"/>
    <n v="0"/>
    <n v="0"/>
    <x v="3"/>
    <x v="8"/>
    <x v="2"/>
    <n v="20.6698608398438"/>
    <n v="93.087516784667997"/>
    <n v="196636"/>
    <x v="1"/>
    <m/>
  </r>
  <r>
    <x v="0"/>
    <x v="2"/>
    <x v="2"/>
    <m/>
    <x v="1"/>
    <x v="22"/>
    <x v="3"/>
    <x v="410"/>
    <n v="132"/>
    <n v="492"/>
    <m/>
    <m/>
    <m/>
    <m/>
    <m/>
    <m/>
    <m/>
    <m/>
    <m/>
    <m/>
    <m/>
    <m/>
    <m/>
    <m/>
    <m/>
    <m/>
    <m/>
    <m/>
    <m/>
    <m/>
    <m/>
    <m/>
    <m/>
    <m/>
    <m/>
    <m/>
    <m/>
    <m/>
    <m/>
    <m/>
    <m/>
    <m/>
    <m/>
    <m/>
    <m/>
    <m/>
    <m/>
    <m/>
    <m/>
    <x v="1"/>
    <x v="1"/>
    <m/>
    <m/>
    <m/>
    <m/>
    <m/>
    <m/>
    <m/>
    <m/>
    <m/>
    <m/>
    <m/>
    <m/>
    <m/>
    <m/>
    <m/>
    <m/>
    <m/>
    <s v="no test"/>
    <s v="no test"/>
    <x v="1"/>
    <n v="0"/>
    <n v="0"/>
    <n v="0"/>
    <n v="0"/>
    <n v="0"/>
    <n v="0"/>
    <n v="0"/>
    <n v="0"/>
    <n v="0"/>
    <n v="0"/>
    <n v="0"/>
    <n v="0"/>
    <n v="0"/>
    <n v="0"/>
    <n v="1"/>
    <n v="492"/>
    <n v="1"/>
    <n v="1"/>
    <n v="0"/>
    <n v="0"/>
    <n v="0"/>
    <n v="0"/>
    <n v="0"/>
    <n v="10"/>
    <n v="10"/>
    <n v="1"/>
    <n v="0"/>
    <n v="0"/>
    <n v="0"/>
    <n v="0"/>
    <n v="0"/>
    <n v="0"/>
    <n v="0"/>
    <n v="1"/>
    <n v="0"/>
    <n v="0"/>
    <n v="0"/>
    <n v="0"/>
    <e v="#REF!"/>
    <n v="0"/>
    <n v="0"/>
    <x v="0"/>
    <n v="0"/>
    <n v="0"/>
    <x v="3"/>
    <x v="8"/>
    <x v="2"/>
    <n v="20.666166305541999"/>
    <n v="93.094825744628906"/>
    <n v="196622"/>
    <x v="1"/>
    <m/>
  </r>
  <r>
    <x v="0"/>
    <x v="28"/>
    <x v="29"/>
    <m/>
    <x v="1"/>
    <x v="19"/>
    <x v="3"/>
    <x v="411"/>
    <n v="107"/>
    <n v="487"/>
    <m/>
    <m/>
    <m/>
    <m/>
    <m/>
    <m/>
    <m/>
    <m/>
    <m/>
    <m/>
    <m/>
    <m/>
    <m/>
    <m/>
    <m/>
    <m/>
    <m/>
    <m/>
    <m/>
    <m/>
    <m/>
    <m/>
    <m/>
    <m/>
    <m/>
    <m/>
    <m/>
    <m/>
    <m/>
    <m/>
    <m/>
    <m/>
    <m/>
    <m/>
    <m/>
    <m/>
    <m/>
    <m/>
    <m/>
    <x v="1"/>
    <x v="1"/>
    <m/>
    <m/>
    <m/>
    <m/>
    <m/>
    <m/>
    <m/>
    <m/>
    <m/>
    <m/>
    <m/>
    <n v="377"/>
    <n v="377"/>
    <m/>
    <m/>
    <m/>
    <m/>
    <s v="no test"/>
    <s v="no test"/>
    <x v="1"/>
    <n v="0"/>
    <n v="0"/>
    <n v="0"/>
    <n v="0"/>
    <n v="0"/>
    <n v="0"/>
    <n v="0"/>
    <n v="0"/>
    <n v="0"/>
    <n v="0"/>
    <n v="0"/>
    <n v="0"/>
    <n v="0"/>
    <n v="0"/>
    <n v="1"/>
    <n v="487"/>
    <n v="1"/>
    <n v="1"/>
    <n v="0"/>
    <n v="0"/>
    <n v="0"/>
    <n v="0"/>
    <n v="0"/>
    <n v="10"/>
    <n v="10"/>
    <n v="1"/>
    <n v="0"/>
    <n v="0"/>
    <n v="487"/>
    <n v="487"/>
    <n v="487"/>
    <n v="487"/>
    <n v="1"/>
    <n v="0"/>
    <n v="0"/>
    <n v="1"/>
    <n v="1"/>
    <n v="0"/>
    <e v="#REF!"/>
    <n v="0"/>
    <n v="0"/>
    <x v="0"/>
    <n v="0"/>
    <n v="0"/>
    <x v="3"/>
    <x v="8"/>
    <x v="2"/>
    <n v="20.599809646606399"/>
    <n v="93.265541076660199"/>
    <n v="197051"/>
    <x v="0"/>
    <m/>
  </r>
  <r>
    <x v="0"/>
    <x v="24"/>
    <x v="25"/>
    <m/>
    <x v="1"/>
    <x v="19"/>
    <x v="3"/>
    <x v="412"/>
    <n v="467"/>
    <n v="1663"/>
    <m/>
    <m/>
    <m/>
    <m/>
    <m/>
    <m/>
    <m/>
    <m/>
    <m/>
    <m/>
    <m/>
    <m/>
    <m/>
    <m/>
    <m/>
    <m/>
    <m/>
    <m/>
    <m/>
    <m/>
    <m/>
    <m/>
    <m/>
    <m/>
    <m/>
    <m/>
    <m/>
    <m/>
    <m/>
    <m/>
    <m/>
    <m/>
    <m/>
    <m/>
    <m/>
    <m/>
    <m/>
    <m/>
    <m/>
    <x v="1"/>
    <x v="1"/>
    <m/>
    <m/>
    <m/>
    <m/>
    <m/>
    <m/>
    <m/>
    <m/>
    <m/>
    <m/>
    <m/>
    <n v="737"/>
    <n v="737"/>
    <m/>
    <m/>
    <m/>
    <m/>
    <s v="no test"/>
    <s v="no test"/>
    <x v="1"/>
    <n v="0"/>
    <n v="0"/>
    <n v="0"/>
    <n v="0"/>
    <n v="0"/>
    <n v="0"/>
    <n v="0"/>
    <n v="0"/>
    <n v="0"/>
    <n v="0"/>
    <n v="0"/>
    <n v="0"/>
    <n v="0"/>
    <n v="0"/>
    <n v="1"/>
    <n v="1663"/>
    <n v="3"/>
    <n v="3"/>
    <n v="0"/>
    <n v="0"/>
    <n v="0"/>
    <n v="0"/>
    <n v="0"/>
    <n v="33"/>
    <n v="33"/>
    <n v="1"/>
    <n v="0"/>
    <n v="0"/>
    <n v="1663"/>
    <n v="1663"/>
    <n v="1663"/>
    <n v="1663"/>
    <n v="1"/>
    <n v="0"/>
    <n v="0"/>
    <n v="1"/>
    <n v="1"/>
    <n v="0"/>
    <e v="#REF!"/>
    <n v="0"/>
    <n v="0"/>
    <x v="0"/>
    <n v="0"/>
    <n v="0"/>
    <x v="3"/>
    <x v="8"/>
    <x v="2"/>
    <n v="20.593980789184599"/>
    <n v="93.261528015136705"/>
    <n v="197065"/>
    <x v="0"/>
    <m/>
  </r>
  <r>
    <x v="0"/>
    <x v="2"/>
    <x v="2"/>
    <m/>
    <x v="1"/>
    <x v="19"/>
    <x v="3"/>
    <x v="413"/>
    <n v="50"/>
    <n v="200"/>
    <m/>
    <m/>
    <m/>
    <m/>
    <m/>
    <m/>
    <m/>
    <m/>
    <m/>
    <m/>
    <m/>
    <m/>
    <m/>
    <m/>
    <m/>
    <m/>
    <m/>
    <m/>
    <m/>
    <m/>
    <m/>
    <m/>
    <m/>
    <m/>
    <m/>
    <m/>
    <m/>
    <m/>
    <m/>
    <m/>
    <m/>
    <m/>
    <m/>
    <m/>
    <m/>
    <m/>
    <m/>
    <m/>
    <m/>
    <x v="1"/>
    <x v="1"/>
    <m/>
    <m/>
    <m/>
    <m/>
    <m/>
    <m/>
    <m/>
    <m/>
    <m/>
    <m/>
    <m/>
    <m/>
    <m/>
    <m/>
    <m/>
    <m/>
    <m/>
    <s v="no test"/>
    <s v="no test"/>
    <x v="1"/>
    <n v="0"/>
    <n v="0"/>
    <n v="0"/>
    <n v="0"/>
    <n v="0"/>
    <n v="0"/>
    <n v="0"/>
    <n v="0"/>
    <n v="0"/>
    <n v="0"/>
    <n v="0"/>
    <n v="0"/>
    <n v="0"/>
    <n v="0"/>
    <n v="1"/>
    <n v="200"/>
    <n v="1"/>
    <n v="1"/>
    <n v="0"/>
    <n v="0"/>
    <n v="0"/>
    <n v="0"/>
    <n v="0"/>
    <n v="4"/>
    <n v="4"/>
    <n v="1"/>
    <n v="0"/>
    <n v="0"/>
    <n v="0"/>
    <n v="0"/>
    <n v="0"/>
    <n v="0"/>
    <n v="0"/>
    <n v="1"/>
    <n v="0"/>
    <n v="0"/>
    <n v="0"/>
    <n v="0"/>
    <e v="#REF!"/>
    <n v="0"/>
    <n v="0"/>
    <x v="0"/>
    <n v="0"/>
    <n v="0"/>
    <x v="3"/>
    <x v="8"/>
    <x v="2"/>
    <n v="0"/>
    <n v="0"/>
    <n v="0"/>
    <x v="1"/>
    <m/>
  </r>
  <r>
    <x v="0"/>
    <x v="2"/>
    <x v="2"/>
    <m/>
    <x v="1"/>
    <x v="19"/>
    <x v="3"/>
    <x v="414"/>
    <n v="207"/>
    <n v="929"/>
    <m/>
    <m/>
    <m/>
    <m/>
    <m/>
    <m/>
    <m/>
    <m/>
    <m/>
    <m/>
    <m/>
    <m/>
    <m/>
    <m/>
    <m/>
    <m/>
    <m/>
    <m/>
    <m/>
    <m/>
    <m/>
    <m/>
    <m/>
    <m/>
    <m/>
    <m/>
    <m/>
    <m/>
    <m/>
    <m/>
    <m/>
    <m/>
    <m/>
    <m/>
    <m/>
    <m/>
    <m/>
    <m/>
    <m/>
    <x v="1"/>
    <x v="1"/>
    <m/>
    <m/>
    <m/>
    <m/>
    <m/>
    <m/>
    <m/>
    <m/>
    <m/>
    <m/>
    <m/>
    <m/>
    <m/>
    <m/>
    <m/>
    <m/>
    <m/>
    <s v="no test"/>
    <s v="no test"/>
    <x v="1"/>
    <n v="0"/>
    <n v="0"/>
    <n v="0"/>
    <n v="0"/>
    <n v="0"/>
    <n v="0"/>
    <n v="0"/>
    <n v="0"/>
    <n v="0"/>
    <n v="0"/>
    <n v="0"/>
    <n v="0"/>
    <n v="0"/>
    <n v="0"/>
    <n v="1"/>
    <n v="929"/>
    <n v="2"/>
    <n v="2"/>
    <n v="0"/>
    <n v="0"/>
    <n v="0"/>
    <n v="0"/>
    <n v="0"/>
    <n v="19"/>
    <n v="19"/>
    <n v="1"/>
    <n v="0"/>
    <n v="0"/>
    <n v="0"/>
    <n v="0"/>
    <n v="0"/>
    <n v="0"/>
    <n v="0"/>
    <n v="1"/>
    <n v="0"/>
    <n v="0"/>
    <n v="0"/>
    <n v="0"/>
    <e v="#REF!"/>
    <n v="0"/>
    <n v="0"/>
    <x v="0"/>
    <n v="0"/>
    <n v="0"/>
    <x v="3"/>
    <x v="8"/>
    <x v="2"/>
    <n v="20.599809646606399"/>
    <n v="93.265541076660199"/>
    <n v="197051"/>
    <x v="1"/>
    <m/>
  </r>
  <r>
    <x v="0"/>
    <x v="11"/>
    <x v="17"/>
    <m/>
    <x v="1"/>
    <x v="19"/>
    <x v="3"/>
    <x v="415"/>
    <n v="467"/>
    <n v="1663"/>
    <m/>
    <m/>
    <m/>
    <m/>
    <m/>
    <m/>
    <m/>
    <m/>
    <m/>
    <m/>
    <m/>
    <m/>
    <m/>
    <m/>
    <m/>
    <m/>
    <m/>
    <m/>
    <m/>
    <m/>
    <m/>
    <m/>
    <m/>
    <m/>
    <m/>
    <m/>
    <m/>
    <m/>
    <m/>
    <m/>
    <m/>
    <m/>
    <m/>
    <m/>
    <m/>
    <m/>
    <m/>
    <m/>
    <m/>
    <x v="1"/>
    <x v="1"/>
    <m/>
    <m/>
    <m/>
    <m/>
    <m/>
    <m/>
    <m/>
    <m/>
    <m/>
    <m/>
    <m/>
    <n v="467"/>
    <n v="467"/>
    <m/>
    <m/>
    <m/>
    <m/>
    <s v="no test"/>
    <s v="no test"/>
    <x v="1"/>
    <n v="0"/>
    <n v="0"/>
    <n v="0"/>
    <n v="0"/>
    <n v="0"/>
    <n v="0"/>
    <n v="0"/>
    <n v="0"/>
    <n v="0"/>
    <n v="0"/>
    <n v="0"/>
    <n v="0"/>
    <n v="0"/>
    <n v="0"/>
    <n v="1"/>
    <n v="1663"/>
    <n v="3"/>
    <n v="3"/>
    <n v="0"/>
    <n v="0"/>
    <n v="0"/>
    <n v="0"/>
    <n v="0"/>
    <n v="33"/>
    <n v="33"/>
    <n v="1"/>
    <n v="0"/>
    <n v="0"/>
    <n v="1663"/>
    <n v="1663"/>
    <n v="1663"/>
    <n v="1663"/>
    <n v="1"/>
    <n v="0"/>
    <n v="0"/>
    <n v="1"/>
    <n v="1"/>
    <n v="0"/>
    <e v="#REF!"/>
    <n v="0"/>
    <n v="0"/>
    <x v="0"/>
    <n v="0"/>
    <n v="0"/>
    <x v="3"/>
    <x v="8"/>
    <x v="2"/>
    <n v="0"/>
    <n v="0"/>
    <n v="0"/>
    <x v="0"/>
    <m/>
  </r>
  <r>
    <x v="0"/>
    <x v="29"/>
    <x v="30"/>
    <m/>
    <x v="1"/>
    <x v="19"/>
    <x v="3"/>
    <x v="416"/>
    <n v="36"/>
    <n v="144"/>
    <m/>
    <m/>
    <m/>
    <m/>
    <m/>
    <m/>
    <m/>
    <m/>
    <m/>
    <m/>
    <m/>
    <m/>
    <m/>
    <m/>
    <m/>
    <m/>
    <m/>
    <m/>
    <m/>
    <m/>
    <m/>
    <m/>
    <m/>
    <m/>
    <m/>
    <m/>
    <m/>
    <m/>
    <m/>
    <m/>
    <m/>
    <m/>
    <m/>
    <m/>
    <m/>
    <m/>
    <m/>
    <m/>
    <m/>
    <x v="1"/>
    <x v="1"/>
    <m/>
    <m/>
    <m/>
    <m/>
    <m/>
    <m/>
    <m/>
    <m/>
    <m/>
    <m/>
    <m/>
    <n v="36"/>
    <n v="36"/>
    <m/>
    <m/>
    <m/>
    <m/>
    <s v="no test"/>
    <s v="no test"/>
    <x v="1"/>
    <n v="0"/>
    <n v="0"/>
    <n v="0"/>
    <n v="0"/>
    <n v="0"/>
    <n v="0"/>
    <n v="0"/>
    <n v="0"/>
    <n v="0"/>
    <n v="0"/>
    <n v="0"/>
    <n v="0"/>
    <n v="0"/>
    <n v="0"/>
    <n v="1"/>
    <n v="144"/>
    <n v="1"/>
    <n v="1"/>
    <n v="0"/>
    <n v="0"/>
    <n v="0"/>
    <n v="0"/>
    <n v="0"/>
    <n v="3"/>
    <n v="3"/>
    <n v="1"/>
    <n v="0"/>
    <n v="0"/>
    <n v="144"/>
    <n v="144"/>
    <n v="144"/>
    <n v="144"/>
    <n v="1"/>
    <n v="0"/>
    <n v="0"/>
    <n v="1"/>
    <n v="1"/>
    <n v="0"/>
    <e v="#REF!"/>
    <n v="0"/>
    <n v="0"/>
    <x v="0"/>
    <n v="0"/>
    <n v="0"/>
    <x v="3"/>
    <x v="8"/>
    <x v="2"/>
    <n v="20.454280853271499"/>
    <n v="93.281562805175795"/>
    <n v="197047"/>
    <x v="0"/>
    <m/>
  </r>
  <r>
    <x v="0"/>
    <x v="30"/>
    <x v="31"/>
    <m/>
    <x v="1"/>
    <x v="23"/>
    <x v="3"/>
    <x v="417"/>
    <n v="116"/>
    <n v="508"/>
    <m/>
    <m/>
    <m/>
    <m/>
    <m/>
    <m/>
    <m/>
    <m/>
    <m/>
    <m/>
    <m/>
    <m/>
    <m/>
    <m/>
    <m/>
    <m/>
    <m/>
    <m/>
    <m/>
    <m/>
    <m/>
    <m/>
    <m/>
    <m/>
    <m/>
    <m/>
    <m/>
    <m/>
    <m/>
    <m/>
    <m/>
    <n v="10"/>
    <m/>
    <m/>
    <m/>
    <m/>
    <m/>
    <m/>
    <m/>
    <x v="1"/>
    <x v="1"/>
    <m/>
    <m/>
    <m/>
    <m/>
    <m/>
    <m/>
    <m/>
    <m/>
    <m/>
    <m/>
    <m/>
    <n v="232"/>
    <n v="232"/>
    <m/>
    <m/>
    <m/>
    <m/>
    <s v="no test"/>
    <s v="no test"/>
    <x v="1"/>
    <n v="0"/>
    <n v="0"/>
    <n v="0"/>
    <n v="0"/>
    <n v="0"/>
    <n v="0"/>
    <n v="0"/>
    <n v="0"/>
    <n v="0"/>
    <n v="0"/>
    <n v="0"/>
    <n v="0"/>
    <n v="0"/>
    <n v="0"/>
    <n v="1"/>
    <n v="508"/>
    <n v="1"/>
    <n v="1"/>
    <n v="10"/>
    <n v="0.98425196850393704"/>
    <n v="500"/>
    <n v="0"/>
    <n v="0"/>
    <n v="10"/>
    <n v="0"/>
    <n v="1.5748031496062964E-2"/>
    <n v="0"/>
    <n v="0"/>
    <n v="508"/>
    <n v="508"/>
    <n v="508"/>
    <n v="508"/>
    <n v="1"/>
    <n v="0"/>
    <n v="0"/>
    <n v="1"/>
    <n v="1"/>
    <n v="0"/>
    <e v="#REF!"/>
    <n v="0"/>
    <n v="0"/>
    <x v="0"/>
    <n v="0"/>
    <n v="0"/>
    <x v="3"/>
    <x v="8"/>
    <x v="11"/>
    <n v="20.61741065979"/>
    <n v="92.932502746582003"/>
    <n v="196310"/>
    <x v="0"/>
    <m/>
  </r>
  <r>
    <x v="0"/>
    <x v="31"/>
    <x v="32"/>
    <m/>
    <x v="1"/>
    <x v="23"/>
    <x v="3"/>
    <x v="418"/>
    <n v="58"/>
    <n v="332"/>
    <m/>
    <m/>
    <m/>
    <m/>
    <m/>
    <m/>
    <m/>
    <m/>
    <m/>
    <m/>
    <m/>
    <m/>
    <m/>
    <m/>
    <m/>
    <m/>
    <m/>
    <m/>
    <m/>
    <m/>
    <m/>
    <m/>
    <m/>
    <m/>
    <m/>
    <m/>
    <m/>
    <m/>
    <m/>
    <m/>
    <m/>
    <n v="47"/>
    <m/>
    <m/>
    <m/>
    <m/>
    <m/>
    <m/>
    <m/>
    <x v="1"/>
    <x v="1"/>
    <m/>
    <m/>
    <m/>
    <m/>
    <m/>
    <m/>
    <m/>
    <m/>
    <m/>
    <m/>
    <m/>
    <n v="58"/>
    <n v="58"/>
    <m/>
    <m/>
    <m/>
    <m/>
    <s v="no test"/>
    <s v="no test"/>
    <x v="1"/>
    <n v="0"/>
    <n v="0"/>
    <n v="0"/>
    <n v="0"/>
    <n v="0"/>
    <n v="0"/>
    <n v="0"/>
    <n v="0"/>
    <n v="0"/>
    <n v="0"/>
    <n v="0"/>
    <n v="0"/>
    <n v="0"/>
    <n v="0"/>
    <n v="1"/>
    <n v="332"/>
    <n v="1"/>
    <n v="1"/>
    <n v="47"/>
    <n v="1"/>
    <n v="332"/>
    <n v="0"/>
    <n v="0"/>
    <n v="7"/>
    <n v="0"/>
    <n v="0"/>
    <n v="0"/>
    <n v="0"/>
    <n v="332"/>
    <n v="332"/>
    <n v="332"/>
    <n v="332"/>
    <n v="1"/>
    <n v="0"/>
    <n v="0"/>
    <n v="1"/>
    <n v="1"/>
    <n v="0"/>
    <e v="#REF!"/>
    <n v="0"/>
    <n v="0"/>
    <x v="0"/>
    <n v="0"/>
    <n v="0"/>
    <x v="3"/>
    <x v="8"/>
    <x v="2"/>
    <n v="20.643140792846701"/>
    <n v="92.851875305175795"/>
    <n v="196217"/>
    <x v="0"/>
    <m/>
  </r>
  <r>
    <x v="0"/>
    <x v="23"/>
    <x v="24"/>
    <m/>
    <x v="1"/>
    <x v="23"/>
    <x v="3"/>
    <x v="419"/>
    <n v="94"/>
    <n v="376"/>
    <m/>
    <m/>
    <m/>
    <m/>
    <m/>
    <m/>
    <m/>
    <m/>
    <m/>
    <m/>
    <m/>
    <m/>
    <m/>
    <m/>
    <m/>
    <m/>
    <m/>
    <m/>
    <m/>
    <m/>
    <m/>
    <m/>
    <m/>
    <m/>
    <m/>
    <m/>
    <m/>
    <m/>
    <m/>
    <m/>
    <m/>
    <n v="14"/>
    <m/>
    <m/>
    <m/>
    <m/>
    <m/>
    <m/>
    <m/>
    <x v="1"/>
    <x v="1"/>
    <m/>
    <m/>
    <m/>
    <m/>
    <m/>
    <m/>
    <m/>
    <m/>
    <m/>
    <m/>
    <m/>
    <m/>
    <m/>
    <m/>
    <m/>
    <m/>
    <m/>
    <s v="no test"/>
    <s v="no test"/>
    <x v="1"/>
    <n v="0"/>
    <n v="0"/>
    <n v="0"/>
    <n v="0"/>
    <n v="0"/>
    <n v="0"/>
    <n v="0"/>
    <n v="0"/>
    <n v="0"/>
    <n v="0"/>
    <n v="0"/>
    <n v="0"/>
    <n v="0"/>
    <n v="0"/>
    <n v="1"/>
    <n v="376"/>
    <n v="1"/>
    <n v="1"/>
    <n v="14"/>
    <n v="1"/>
    <n v="376"/>
    <n v="0"/>
    <n v="0"/>
    <n v="8"/>
    <n v="0"/>
    <n v="0"/>
    <n v="0"/>
    <n v="0"/>
    <n v="0"/>
    <n v="0"/>
    <n v="0"/>
    <n v="0"/>
    <n v="0"/>
    <n v="1"/>
    <n v="0"/>
    <n v="0"/>
    <n v="0"/>
    <n v="0"/>
    <e v="#REF!"/>
    <n v="0"/>
    <n v="0"/>
    <x v="0"/>
    <n v="0"/>
    <n v="0"/>
    <x v="3"/>
    <x v="8"/>
    <x v="2"/>
    <n v="20.623949050903299"/>
    <n v="92.950813293457003"/>
    <n v="196309"/>
    <x v="0"/>
    <m/>
  </r>
  <r>
    <x v="0"/>
    <x v="11"/>
    <x v="11"/>
    <m/>
    <x v="1"/>
    <x v="23"/>
    <x v="3"/>
    <x v="420"/>
    <n v="107"/>
    <n v="609"/>
    <m/>
    <m/>
    <m/>
    <m/>
    <m/>
    <m/>
    <m/>
    <m/>
    <m/>
    <m/>
    <m/>
    <m/>
    <m/>
    <m/>
    <m/>
    <m/>
    <m/>
    <m/>
    <m/>
    <m/>
    <m/>
    <m/>
    <m/>
    <m/>
    <m/>
    <m/>
    <m/>
    <m/>
    <m/>
    <m/>
    <m/>
    <m/>
    <m/>
    <m/>
    <m/>
    <m/>
    <m/>
    <m/>
    <m/>
    <x v="1"/>
    <x v="1"/>
    <m/>
    <m/>
    <m/>
    <m/>
    <m/>
    <m/>
    <m/>
    <m/>
    <m/>
    <m/>
    <m/>
    <n v="107"/>
    <n v="107"/>
    <m/>
    <m/>
    <m/>
    <m/>
    <s v="no test"/>
    <s v="no test"/>
    <x v="1"/>
    <n v="0"/>
    <n v="0"/>
    <n v="0"/>
    <n v="0"/>
    <n v="0"/>
    <n v="0"/>
    <n v="0"/>
    <n v="0"/>
    <n v="0"/>
    <n v="0"/>
    <n v="0"/>
    <n v="0"/>
    <n v="0"/>
    <n v="0"/>
    <n v="1"/>
    <n v="609"/>
    <n v="1"/>
    <n v="1"/>
    <n v="0"/>
    <n v="0"/>
    <n v="0"/>
    <n v="0"/>
    <n v="0"/>
    <n v="12"/>
    <n v="12"/>
    <n v="1"/>
    <n v="0"/>
    <n v="0"/>
    <n v="609"/>
    <n v="609"/>
    <n v="609"/>
    <n v="609"/>
    <n v="1"/>
    <n v="0"/>
    <n v="0"/>
    <n v="1"/>
    <n v="1"/>
    <n v="0"/>
    <e v="#REF!"/>
    <n v="0"/>
    <n v="0"/>
    <x v="0"/>
    <n v="0"/>
    <n v="0"/>
    <x v="3"/>
    <x v="8"/>
    <x v="11"/>
    <n v="0"/>
    <n v="0"/>
    <n v="220611"/>
    <x v="0"/>
    <m/>
  </r>
  <r>
    <x v="0"/>
    <x v="2"/>
    <x v="2"/>
    <m/>
    <x v="1"/>
    <x v="23"/>
    <x v="3"/>
    <x v="421"/>
    <n v="17"/>
    <n v="65"/>
    <m/>
    <m/>
    <m/>
    <m/>
    <m/>
    <m/>
    <m/>
    <m/>
    <m/>
    <m/>
    <m/>
    <m/>
    <m/>
    <m/>
    <m/>
    <m/>
    <m/>
    <m/>
    <m/>
    <m/>
    <m/>
    <m/>
    <m/>
    <m/>
    <m/>
    <m/>
    <m/>
    <m/>
    <m/>
    <m/>
    <m/>
    <m/>
    <m/>
    <m/>
    <m/>
    <m/>
    <m/>
    <m/>
    <m/>
    <x v="1"/>
    <x v="1"/>
    <m/>
    <m/>
    <m/>
    <m/>
    <m/>
    <m/>
    <m/>
    <m/>
    <m/>
    <m/>
    <m/>
    <m/>
    <m/>
    <m/>
    <m/>
    <m/>
    <m/>
    <s v="no test"/>
    <s v="no test"/>
    <x v="1"/>
    <n v="0"/>
    <n v="0"/>
    <n v="0"/>
    <n v="0"/>
    <n v="0"/>
    <n v="0"/>
    <n v="0"/>
    <n v="0"/>
    <n v="0"/>
    <n v="0"/>
    <n v="0"/>
    <n v="0"/>
    <n v="0"/>
    <n v="0"/>
    <n v="1"/>
    <n v="65"/>
    <n v="1"/>
    <n v="1"/>
    <n v="0"/>
    <n v="0"/>
    <n v="0"/>
    <n v="0"/>
    <n v="0"/>
    <n v="1"/>
    <n v="1"/>
    <n v="1"/>
    <n v="0"/>
    <n v="0"/>
    <n v="0"/>
    <n v="0"/>
    <n v="0"/>
    <n v="0"/>
    <n v="0"/>
    <n v="1"/>
    <n v="0"/>
    <n v="0"/>
    <n v="0"/>
    <n v="0"/>
    <e v="#REF!"/>
    <n v="0"/>
    <n v="0"/>
    <x v="0"/>
    <n v="0"/>
    <n v="0"/>
    <x v="3"/>
    <x v="8"/>
    <x v="2"/>
    <n v="0"/>
    <n v="0"/>
    <n v="0"/>
    <x v="1"/>
    <m/>
  </r>
  <r>
    <x v="0"/>
    <x v="2"/>
    <x v="2"/>
    <m/>
    <x v="1"/>
    <x v="23"/>
    <x v="3"/>
    <x v="422"/>
    <n v="21"/>
    <n v="80"/>
    <m/>
    <m/>
    <m/>
    <m/>
    <m/>
    <m/>
    <m/>
    <m/>
    <m/>
    <m/>
    <m/>
    <m/>
    <m/>
    <m/>
    <m/>
    <m/>
    <m/>
    <m/>
    <m/>
    <m/>
    <m/>
    <m/>
    <m/>
    <m/>
    <m/>
    <m/>
    <m/>
    <m/>
    <m/>
    <m/>
    <m/>
    <m/>
    <m/>
    <m/>
    <m/>
    <m/>
    <m/>
    <m/>
    <m/>
    <x v="1"/>
    <x v="1"/>
    <m/>
    <m/>
    <m/>
    <m/>
    <m/>
    <m/>
    <m/>
    <m/>
    <m/>
    <m/>
    <m/>
    <m/>
    <m/>
    <m/>
    <m/>
    <m/>
    <m/>
    <s v="no test"/>
    <s v="no test"/>
    <x v="1"/>
    <n v="0"/>
    <n v="0"/>
    <n v="0"/>
    <n v="0"/>
    <n v="0"/>
    <n v="0"/>
    <n v="0"/>
    <n v="0"/>
    <n v="0"/>
    <n v="0"/>
    <n v="0"/>
    <n v="0"/>
    <n v="0"/>
    <n v="0"/>
    <n v="1"/>
    <n v="80"/>
    <n v="1"/>
    <n v="1"/>
    <n v="0"/>
    <n v="0"/>
    <n v="0"/>
    <n v="0"/>
    <n v="0"/>
    <n v="2"/>
    <n v="2"/>
    <n v="1"/>
    <n v="0"/>
    <n v="0"/>
    <n v="0"/>
    <n v="0"/>
    <n v="0"/>
    <n v="0"/>
    <n v="0"/>
    <n v="1"/>
    <n v="0"/>
    <n v="0"/>
    <n v="0"/>
    <n v="0"/>
    <e v="#REF!"/>
    <n v="0"/>
    <n v="0"/>
    <x v="0"/>
    <n v="0"/>
    <n v="0"/>
    <x v="3"/>
    <x v="8"/>
    <x v="2"/>
    <n v="20.5511798858643"/>
    <n v="93.065322875976605"/>
    <n v="196329"/>
    <x v="1"/>
    <m/>
  </r>
  <r>
    <x v="0"/>
    <x v="2"/>
    <x v="2"/>
    <m/>
    <x v="1"/>
    <x v="23"/>
    <x v="3"/>
    <x v="423"/>
    <n v="36"/>
    <n v="207"/>
    <m/>
    <m/>
    <m/>
    <m/>
    <m/>
    <m/>
    <m/>
    <m/>
    <m/>
    <m/>
    <m/>
    <m/>
    <m/>
    <m/>
    <m/>
    <m/>
    <m/>
    <m/>
    <m/>
    <m/>
    <m/>
    <m/>
    <m/>
    <m/>
    <m/>
    <m/>
    <m/>
    <m/>
    <m/>
    <m/>
    <m/>
    <m/>
    <m/>
    <m/>
    <m/>
    <m/>
    <m/>
    <m/>
    <m/>
    <x v="1"/>
    <x v="1"/>
    <m/>
    <m/>
    <m/>
    <m/>
    <m/>
    <m/>
    <m/>
    <m/>
    <m/>
    <m/>
    <m/>
    <m/>
    <m/>
    <m/>
    <m/>
    <m/>
    <m/>
    <s v="no test"/>
    <s v="no test"/>
    <x v="1"/>
    <n v="0"/>
    <n v="0"/>
    <n v="0"/>
    <n v="0"/>
    <n v="0"/>
    <n v="0"/>
    <n v="0"/>
    <n v="0"/>
    <n v="0"/>
    <n v="0"/>
    <n v="0"/>
    <n v="0"/>
    <n v="0"/>
    <n v="0"/>
    <n v="1"/>
    <n v="207"/>
    <n v="1"/>
    <n v="1"/>
    <n v="0"/>
    <n v="0"/>
    <n v="0"/>
    <n v="0"/>
    <n v="0"/>
    <n v="4"/>
    <n v="4"/>
    <n v="1"/>
    <n v="0"/>
    <n v="0"/>
    <n v="0"/>
    <n v="0"/>
    <n v="0"/>
    <n v="0"/>
    <n v="0"/>
    <n v="1"/>
    <n v="0"/>
    <n v="0"/>
    <n v="0"/>
    <n v="0"/>
    <e v="#REF!"/>
    <n v="0"/>
    <n v="0"/>
    <x v="0"/>
    <n v="0"/>
    <n v="0"/>
    <x v="3"/>
    <x v="8"/>
    <x v="2"/>
    <n v="20.709392547607401"/>
    <n v="92.815086364746094"/>
    <n v="196218"/>
    <x v="1"/>
    <m/>
  </r>
  <r>
    <x v="0"/>
    <x v="2"/>
    <x v="2"/>
    <m/>
    <x v="1"/>
    <x v="23"/>
    <x v="3"/>
    <x v="424"/>
    <n v="6"/>
    <n v="30"/>
    <m/>
    <m/>
    <m/>
    <m/>
    <m/>
    <m/>
    <m/>
    <m/>
    <m/>
    <m/>
    <m/>
    <m/>
    <m/>
    <m/>
    <m/>
    <m/>
    <m/>
    <m/>
    <m/>
    <m/>
    <m/>
    <m/>
    <m/>
    <m/>
    <m/>
    <m/>
    <m/>
    <m/>
    <m/>
    <m/>
    <m/>
    <m/>
    <m/>
    <m/>
    <m/>
    <m/>
    <m/>
    <m/>
    <m/>
    <x v="1"/>
    <x v="1"/>
    <m/>
    <m/>
    <m/>
    <m/>
    <m/>
    <m/>
    <m/>
    <m/>
    <m/>
    <m/>
    <m/>
    <m/>
    <m/>
    <m/>
    <m/>
    <m/>
    <m/>
    <s v="no test"/>
    <s v="no test"/>
    <x v="1"/>
    <n v="0"/>
    <n v="0"/>
    <n v="0"/>
    <n v="0"/>
    <n v="0"/>
    <n v="0"/>
    <n v="0"/>
    <n v="0"/>
    <n v="0"/>
    <n v="0"/>
    <n v="0"/>
    <n v="0"/>
    <n v="0"/>
    <n v="0"/>
    <n v="1"/>
    <n v="30"/>
    <n v="1"/>
    <n v="1"/>
    <n v="0"/>
    <n v="0"/>
    <n v="0"/>
    <n v="0"/>
    <n v="0"/>
    <n v="1"/>
    <n v="1"/>
    <n v="1"/>
    <n v="0"/>
    <n v="0"/>
    <n v="0"/>
    <n v="0"/>
    <n v="0"/>
    <n v="0"/>
    <n v="0"/>
    <n v="1"/>
    <n v="0"/>
    <n v="0"/>
    <n v="0"/>
    <n v="0"/>
    <e v="#REF!"/>
    <n v="0"/>
    <n v="0"/>
    <x v="0"/>
    <n v="0"/>
    <n v="0"/>
    <x v="3"/>
    <x v="8"/>
    <x v="2"/>
    <n v="20.303350448608398"/>
    <n v="92.927062988281307"/>
    <n v="196403"/>
    <x v="1"/>
    <m/>
  </r>
  <r>
    <x v="0"/>
    <x v="27"/>
    <x v="28"/>
    <m/>
    <x v="1"/>
    <x v="23"/>
    <x v="3"/>
    <x v="425"/>
    <n v="70"/>
    <n v="245"/>
    <m/>
    <m/>
    <m/>
    <m/>
    <m/>
    <m/>
    <m/>
    <m/>
    <m/>
    <m/>
    <m/>
    <m/>
    <m/>
    <m/>
    <m/>
    <m/>
    <m/>
    <m/>
    <m/>
    <m/>
    <m/>
    <m/>
    <m/>
    <m/>
    <m/>
    <m/>
    <m/>
    <m/>
    <m/>
    <m/>
    <m/>
    <m/>
    <m/>
    <m/>
    <m/>
    <m/>
    <m/>
    <m/>
    <m/>
    <x v="1"/>
    <x v="1"/>
    <m/>
    <m/>
    <m/>
    <m/>
    <m/>
    <m/>
    <m/>
    <m/>
    <m/>
    <m/>
    <m/>
    <n v="70"/>
    <n v="70"/>
    <m/>
    <m/>
    <m/>
    <m/>
    <s v="no test"/>
    <s v="no test"/>
    <x v="1"/>
    <n v="0"/>
    <n v="0"/>
    <n v="0"/>
    <n v="0"/>
    <n v="0"/>
    <n v="0"/>
    <n v="0"/>
    <n v="0"/>
    <n v="0"/>
    <n v="0"/>
    <n v="0"/>
    <n v="0"/>
    <n v="0"/>
    <n v="0"/>
    <n v="1"/>
    <n v="245"/>
    <n v="1"/>
    <n v="1"/>
    <n v="0"/>
    <n v="0"/>
    <n v="0"/>
    <n v="0"/>
    <n v="0"/>
    <n v="5"/>
    <n v="5"/>
    <n v="1"/>
    <n v="0"/>
    <n v="0"/>
    <n v="245"/>
    <n v="245"/>
    <n v="245"/>
    <n v="245"/>
    <n v="1"/>
    <n v="0"/>
    <n v="0"/>
    <n v="1"/>
    <n v="1"/>
    <n v="0"/>
    <e v="#REF!"/>
    <n v="0"/>
    <n v="0"/>
    <x v="0"/>
    <n v="0"/>
    <n v="0"/>
    <x v="3"/>
    <x v="8"/>
    <x v="2"/>
    <n v="20.5702304840088"/>
    <n v="92.977378845214801"/>
    <n v="196302"/>
    <x v="0"/>
    <m/>
  </r>
  <r>
    <x v="0"/>
    <x v="2"/>
    <x v="2"/>
    <m/>
    <x v="1"/>
    <x v="23"/>
    <x v="3"/>
    <x v="426"/>
    <n v="28"/>
    <n v="143"/>
    <m/>
    <m/>
    <m/>
    <m/>
    <m/>
    <m/>
    <m/>
    <m/>
    <m/>
    <m/>
    <m/>
    <m/>
    <m/>
    <m/>
    <m/>
    <m/>
    <m/>
    <m/>
    <m/>
    <m/>
    <m/>
    <m/>
    <m/>
    <m/>
    <m/>
    <m/>
    <m/>
    <m/>
    <m/>
    <m/>
    <m/>
    <m/>
    <m/>
    <m/>
    <m/>
    <m/>
    <m/>
    <m/>
    <m/>
    <x v="1"/>
    <x v="1"/>
    <m/>
    <m/>
    <m/>
    <m/>
    <m/>
    <m/>
    <m/>
    <m/>
    <m/>
    <m/>
    <m/>
    <m/>
    <m/>
    <m/>
    <m/>
    <m/>
    <m/>
    <s v="no test"/>
    <s v="no test"/>
    <x v="1"/>
    <n v="0"/>
    <n v="0"/>
    <n v="0"/>
    <n v="0"/>
    <n v="0"/>
    <n v="0"/>
    <n v="0"/>
    <n v="0"/>
    <n v="0"/>
    <n v="0"/>
    <n v="0"/>
    <n v="0"/>
    <n v="0"/>
    <n v="0"/>
    <n v="1"/>
    <n v="143"/>
    <n v="1"/>
    <n v="1"/>
    <n v="0"/>
    <n v="0"/>
    <n v="0"/>
    <n v="0"/>
    <n v="0"/>
    <n v="3"/>
    <n v="3"/>
    <n v="1"/>
    <n v="0"/>
    <n v="0"/>
    <n v="0"/>
    <n v="0"/>
    <n v="0"/>
    <n v="0"/>
    <n v="0"/>
    <n v="1"/>
    <n v="0"/>
    <n v="0"/>
    <n v="0"/>
    <n v="0"/>
    <e v="#REF!"/>
    <n v="0"/>
    <n v="0"/>
    <x v="0"/>
    <n v="0"/>
    <n v="0"/>
    <x v="3"/>
    <x v="8"/>
    <x v="2"/>
    <n v="20.616569519043001"/>
    <n v="92.991638183593807"/>
    <n v="196317"/>
    <x v="1"/>
    <m/>
  </r>
  <r>
    <x v="0"/>
    <x v="2"/>
    <x v="2"/>
    <m/>
    <x v="1"/>
    <x v="23"/>
    <x v="3"/>
    <x v="427"/>
    <n v="34"/>
    <n v="124"/>
    <m/>
    <m/>
    <m/>
    <m/>
    <m/>
    <m/>
    <m/>
    <m/>
    <m/>
    <m/>
    <m/>
    <m/>
    <m/>
    <m/>
    <m/>
    <m/>
    <m/>
    <m/>
    <m/>
    <m/>
    <m/>
    <m/>
    <m/>
    <m/>
    <m/>
    <m/>
    <m/>
    <m/>
    <m/>
    <m/>
    <m/>
    <m/>
    <m/>
    <m/>
    <m/>
    <m/>
    <m/>
    <m/>
    <m/>
    <x v="1"/>
    <x v="1"/>
    <m/>
    <m/>
    <m/>
    <m/>
    <m/>
    <m/>
    <m/>
    <m/>
    <m/>
    <m/>
    <m/>
    <m/>
    <m/>
    <m/>
    <m/>
    <m/>
    <m/>
    <s v="no test"/>
    <s v="no test"/>
    <x v="1"/>
    <n v="0"/>
    <n v="0"/>
    <n v="0"/>
    <n v="0"/>
    <n v="0"/>
    <n v="0"/>
    <n v="0"/>
    <n v="0"/>
    <n v="0"/>
    <n v="0"/>
    <n v="0"/>
    <n v="0"/>
    <n v="0"/>
    <n v="0"/>
    <n v="1"/>
    <n v="124"/>
    <n v="1"/>
    <n v="1"/>
    <n v="0"/>
    <n v="0"/>
    <n v="0"/>
    <n v="0"/>
    <n v="0"/>
    <n v="2"/>
    <n v="2"/>
    <n v="1"/>
    <n v="0"/>
    <n v="0"/>
    <n v="0"/>
    <n v="0"/>
    <n v="0"/>
    <n v="0"/>
    <n v="0"/>
    <n v="1"/>
    <n v="0"/>
    <n v="0"/>
    <n v="0"/>
    <n v="0"/>
    <e v="#REF!"/>
    <n v="0"/>
    <n v="0"/>
    <x v="0"/>
    <n v="0"/>
    <n v="0"/>
    <x v="3"/>
    <x v="8"/>
    <x v="2"/>
    <n v="20.622760772705099"/>
    <n v="92.954826354980497"/>
    <n v="196315"/>
    <x v="1"/>
    <m/>
  </r>
  <r>
    <x v="0"/>
    <x v="31"/>
    <x v="32"/>
    <m/>
    <x v="1"/>
    <x v="23"/>
    <x v="3"/>
    <x v="428"/>
    <n v="25"/>
    <n v="117"/>
    <m/>
    <m/>
    <m/>
    <m/>
    <m/>
    <m/>
    <m/>
    <m/>
    <m/>
    <m/>
    <m/>
    <m/>
    <m/>
    <m/>
    <m/>
    <m/>
    <m/>
    <m/>
    <m/>
    <m/>
    <m/>
    <m/>
    <m/>
    <m/>
    <m/>
    <m/>
    <m/>
    <m/>
    <m/>
    <m/>
    <m/>
    <n v="6"/>
    <m/>
    <m/>
    <m/>
    <m/>
    <m/>
    <m/>
    <m/>
    <x v="1"/>
    <x v="1"/>
    <m/>
    <m/>
    <m/>
    <m/>
    <m/>
    <m/>
    <m/>
    <m/>
    <m/>
    <m/>
    <m/>
    <n v="39"/>
    <n v="39"/>
    <m/>
    <m/>
    <m/>
    <m/>
    <s v="no test"/>
    <s v="no test"/>
    <x v="1"/>
    <n v="0"/>
    <n v="0"/>
    <n v="0"/>
    <n v="0"/>
    <n v="0"/>
    <n v="0"/>
    <n v="0"/>
    <n v="0"/>
    <n v="0"/>
    <n v="0"/>
    <n v="0"/>
    <n v="0"/>
    <n v="0"/>
    <n v="0"/>
    <n v="1"/>
    <n v="117"/>
    <n v="1"/>
    <n v="1"/>
    <n v="6"/>
    <n v="1"/>
    <n v="117"/>
    <n v="0"/>
    <n v="0"/>
    <n v="2"/>
    <n v="0"/>
    <n v="0"/>
    <n v="0"/>
    <n v="0"/>
    <n v="117"/>
    <n v="117"/>
    <n v="117"/>
    <n v="117"/>
    <n v="1"/>
    <n v="0"/>
    <n v="0"/>
    <n v="1"/>
    <n v="1"/>
    <n v="0"/>
    <e v="#REF!"/>
    <n v="0"/>
    <n v="0"/>
    <x v="0"/>
    <n v="0"/>
    <n v="0"/>
    <x v="3"/>
    <x v="8"/>
    <x v="2"/>
    <n v="20.580810546875"/>
    <n v="92.869346618652301"/>
    <n v="196234"/>
    <x v="0"/>
    <m/>
  </r>
  <r>
    <x v="0"/>
    <x v="2"/>
    <x v="2"/>
    <m/>
    <x v="1"/>
    <x v="23"/>
    <x v="3"/>
    <x v="429"/>
    <n v="10"/>
    <n v="45"/>
    <m/>
    <m/>
    <m/>
    <m/>
    <m/>
    <m/>
    <m/>
    <m/>
    <m/>
    <m/>
    <m/>
    <m/>
    <m/>
    <m/>
    <m/>
    <m/>
    <m/>
    <m/>
    <m/>
    <m/>
    <m/>
    <m/>
    <m/>
    <m/>
    <m/>
    <m/>
    <m/>
    <m/>
    <m/>
    <m/>
    <m/>
    <m/>
    <m/>
    <m/>
    <m/>
    <m/>
    <m/>
    <m/>
    <m/>
    <x v="1"/>
    <x v="1"/>
    <m/>
    <m/>
    <m/>
    <m/>
    <m/>
    <m/>
    <m/>
    <m/>
    <m/>
    <m/>
    <m/>
    <m/>
    <m/>
    <m/>
    <m/>
    <m/>
    <m/>
    <s v="no test"/>
    <s v="no test"/>
    <x v="1"/>
    <n v="0"/>
    <n v="0"/>
    <n v="0"/>
    <n v="0"/>
    <n v="0"/>
    <n v="0"/>
    <n v="0"/>
    <n v="0"/>
    <n v="0"/>
    <n v="0"/>
    <n v="0"/>
    <n v="0"/>
    <n v="0"/>
    <n v="0"/>
    <n v="1"/>
    <n v="45"/>
    <n v="1"/>
    <n v="1"/>
    <n v="0"/>
    <n v="0"/>
    <n v="0"/>
    <n v="0"/>
    <n v="0"/>
    <n v="1"/>
    <n v="1"/>
    <n v="1"/>
    <n v="0"/>
    <n v="0"/>
    <n v="0"/>
    <n v="0"/>
    <n v="0"/>
    <n v="0"/>
    <n v="0"/>
    <n v="1"/>
    <n v="0"/>
    <n v="0"/>
    <n v="0"/>
    <n v="0"/>
    <e v="#REF!"/>
    <n v="0"/>
    <n v="0"/>
    <x v="0"/>
    <n v="0"/>
    <n v="0"/>
    <x v="3"/>
    <x v="8"/>
    <x v="2"/>
    <n v="20.337610244751001"/>
    <n v="92.969711303710895"/>
    <n v="196369"/>
    <x v="1"/>
    <m/>
  </r>
  <r>
    <x v="0"/>
    <x v="2"/>
    <x v="2"/>
    <m/>
    <x v="1"/>
    <x v="23"/>
    <x v="3"/>
    <x v="430"/>
    <n v="10"/>
    <n v="45"/>
    <m/>
    <m/>
    <m/>
    <m/>
    <m/>
    <m/>
    <m/>
    <m/>
    <m/>
    <m/>
    <m/>
    <m/>
    <m/>
    <m/>
    <m/>
    <m/>
    <m/>
    <m/>
    <m/>
    <m/>
    <m/>
    <m/>
    <m/>
    <m/>
    <m/>
    <m/>
    <m/>
    <m/>
    <m/>
    <m/>
    <m/>
    <m/>
    <m/>
    <m/>
    <m/>
    <m/>
    <m/>
    <m/>
    <m/>
    <x v="1"/>
    <x v="1"/>
    <m/>
    <m/>
    <m/>
    <m/>
    <m/>
    <m/>
    <m/>
    <m/>
    <m/>
    <m/>
    <m/>
    <m/>
    <m/>
    <m/>
    <m/>
    <m/>
    <m/>
    <s v="no test"/>
    <s v="no test"/>
    <x v="1"/>
    <n v="0"/>
    <n v="0"/>
    <n v="0"/>
    <n v="0"/>
    <n v="0"/>
    <n v="0"/>
    <n v="0"/>
    <n v="0"/>
    <n v="0"/>
    <n v="0"/>
    <n v="0"/>
    <n v="0"/>
    <n v="0"/>
    <n v="0"/>
    <n v="1"/>
    <n v="45"/>
    <n v="1"/>
    <n v="1"/>
    <n v="0"/>
    <n v="0"/>
    <n v="0"/>
    <n v="0"/>
    <n v="0"/>
    <n v="1"/>
    <n v="1"/>
    <n v="1"/>
    <n v="0"/>
    <n v="0"/>
    <n v="0"/>
    <n v="0"/>
    <n v="0"/>
    <n v="0"/>
    <n v="0"/>
    <n v="1"/>
    <n v="0"/>
    <n v="0"/>
    <n v="0"/>
    <n v="0"/>
    <e v="#REF!"/>
    <n v="0"/>
    <n v="0"/>
    <x v="0"/>
    <n v="0"/>
    <n v="0"/>
    <x v="3"/>
    <x v="8"/>
    <x v="2"/>
    <n v="20.337610244751001"/>
    <n v="92.969711303710895"/>
    <n v="196369"/>
    <x v="1"/>
    <m/>
  </r>
  <r>
    <x v="0"/>
    <x v="2"/>
    <x v="2"/>
    <m/>
    <x v="1"/>
    <x v="16"/>
    <x v="3"/>
    <x v="431"/>
    <n v="15"/>
    <n v="32"/>
    <m/>
    <m/>
    <m/>
    <m/>
    <m/>
    <m/>
    <m/>
    <m/>
    <m/>
    <m/>
    <m/>
    <m/>
    <m/>
    <m/>
    <m/>
    <m/>
    <m/>
    <m/>
    <m/>
    <m/>
    <m/>
    <m/>
    <m/>
    <m/>
    <m/>
    <m/>
    <m/>
    <m/>
    <m/>
    <m/>
    <m/>
    <m/>
    <m/>
    <m/>
    <m/>
    <m/>
    <m/>
    <m/>
    <m/>
    <x v="1"/>
    <x v="1"/>
    <m/>
    <m/>
    <m/>
    <m/>
    <m/>
    <m/>
    <m/>
    <m/>
    <m/>
    <m/>
    <m/>
    <m/>
    <m/>
    <m/>
    <m/>
    <m/>
    <m/>
    <s v="no test"/>
    <s v="no test"/>
    <x v="1"/>
    <n v="0"/>
    <n v="0"/>
    <n v="0"/>
    <n v="0"/>
    <n v="0"/>
    <n v="0"/>
    <n v="0"/>
    <n v="0"/>
    <n v="0"/>
    <n v="0"/>
    <n v="0"/>
    <n v="0"/>
    <n v="0"/>
    <n v="0"/>
    <n v="1"/>
    <n v="32"/>
    <n v="1"/>
    <n v="1"/>
    <n v="0"/>
    <n v="0"/>
    <n v="0"/>
    <n v="0"/>
    <n v="0"/>
    <n v="1"/>
    <n v="1"/>
    <n v="1"/>
    <n v="0"/>
    <n v="0"/>
    <n v="0"/>
    <n v="0"/>
    <n v="0"/>
    <n v="0"/>
    <n v="0"/>
    <n v="1"/>
    <n v="0"/>
    <n v="0"/>
    <n v="0"/>
    <n v="0"/>
    <e v="#REF!"/>
    <n v="0"/>
    <n v="0"/>
    <x v="0"/>
    <n v="0"/>
    <n v="0"/>
    <x v="3"/>
    <x v="8"/>
    <x v="2"/>
    <n v="0"/>
    <n v="0"/>
    <n v="0"/>
    <x v="1"/>
    <m/>
  </r>
  <r>
    <x v="0"/>
    <x v="2"/>
    <x v="2"/>
    <m/>
    <x v="1"/>
    <x v="16"/>
    <x v="3"/>
    <x v="432"/>
    <n v="22"/>
    <n v="42"/>
    <m/>
    <m/>
    <m/>
    <m/>
    <m/>
    <m/>
    <m/>
    <m/>
    <m/>
    <m/>
    <m/>
    <m/>
    <m/>
    <m/>
    <m/>
    <m/>
    <m/>
    <m/>
    <m/>
    <m/>
    <m/>
    <m/>
    <m/>
    <m/>
    <m/>
    <m/>
    <m/>
    <m/>
    <m/>
    <m/>
    <m/>
    <m/>
    <m/>
    <m/>
    <m/>
    <m/>
    <m/>
    <m/>
    <m/>
    <x v="1"/>
    <x v="1"/>
    <m/>
    <m/>
    <m/>
    <m/>
    <m/>
    <m/>
    <m/>
    <m/>
    <m/>
    <m/>
    <m/>
    <m/>
    <m/>
    <m/>
    <m/>
    <m/>
    <m/>
    <s v="no test"/>
    <s v="no test"/>
    <x v="1"/>
    <n v="0"/>
    <n v="0"/>
    <n v="0"/>
    <n v="0"/>
    <n v="0"/>
    <n v="0"/>
    <n v="0"/>
    <n v="0"/>
    <n v="0"/>
    <n v="0"/>
    <n v="0"/>
    <n v="0"/>
    <n v="0"/>
    <n v="0"/>
    <n v="1"/>
    <n v="42"/>
    <n v="1"/>
    <n v="1"/>
    <n v="0"/>
    <n v="0"/>
    <n v="0"/>
    <n v="0"/>
    <n v="0"/>
    <n v="1"/>
    <n v="1"/>
    <n v="1"/>
    <n v="0"/>
    <n v="0"/>
    <n v="0"/>
    <n v="0"/>
    <n v="0"/>
    <n v="0"/>
    <n v="0"/>
    <n v="1"/>
    <n v="0"/>
    <n v="0"/>
    <n v="0"/>
    <n v="0"/>
    <e v="#REF!"/>
    <n v="0"/>
    <n v="0"/>
    <x v="0"/>
    <n v="0"/>
    <n v="0"/>
    <x v="3"/>
    <x v="8"/>
    <x v="2"/>
    <n v="20.746028900146499"/>
    <n v="92.839714050292997"/>
    <n v="220632"/>
    <x v="1"/>
    <m/>
  </r>
  <r>
    <x v="0"/>
    <x v="30"/>
    <x v="31"/>
    <m/>
    <x v="1"/>
    <x v="16"/>
    <x v="3"/>
    <x v="433"/>
    <n v="22"/>
    <n v="82"/>
    <m/>
    <m/>
    <m/>
    <m/>
    <m/>
    <m/>
    <m/>
    <m/>
    <m/>
    <m/>
    <m/>
    <m/>
    <m/>
    <m/>
    <m/>
    <m/>
    <m/>
    <m/>
    <m/>
    <m/>
    <m/>
    <m/>
    <m/>
    <m/>
    <m/>
    <m/>
    <m/>
    <m/>
    <m/>
    <m/>
    <m/>
    <m/>
    <m/>
    <m/>
    <m/>
    <m/>
    <m/>
    <m/>
    <m/>
    <x v="1"/>
    <x v="1"/>
    <m/>
    <m/>
    <m/>
    <m/>
    <m/>
    <m/>
    <m/>
    <m/>
    <m/>
    <m/>
    <m/>
    <n v="22"/>
    <n v="22"/>
    <m/>
    <m/>
    <m/>
    <m/>
    <s v="no test"/>
    <s v="no test"/>
    <x v="1"/>
    <n v="0"/>
    <n v="0"/>
    <n v="0"/>
    <n v="0"/>
    <n v="0"/>
    <n v="0"/>
    <n v="0"/>
    <n v="0"/>
    <n v="0"/>
    <n v="0"/>
    <n v="0"/>
    <n v="0"/>
    <n v="0"/>
    <n v="0"/>
    <n v="1"/>
    <n v="82"/>
    <n v="1"/>
    <n v="1"/>
    <n v="0"/>
    <n v="0"/>
    <n v="0"/>
    <n v="0"/>
    <n v="0"/>
    <n v="2"/>
    <n v="2"/>
    <n v="1"/>
    <n v="0"/>
    <n v="0"/>
    <n v="82"/>
    <n v="82"/>
    <n v="82"/>
    <n v="82"/>
    <n v="1"/>
    <n v="0"/>
    <n v="0"/>
    <n v="1"/>
    <n v="1"/>
    <n v="0"/>
    <e v="#REF!"/>
    <n v="0"/>
    <n v="0"/>
    <x v="0"/>
    <n v="0"/>
    <n v="0"/>
    <x v="3"/>
    <x v="8"/>
    <x v="2"/>
    <n v="0"/>
    <n v="0"/>
    <n v="196673"/>
    <x v="0"/>
    <m/>
  </r>
  <r>
    <x v="0"/>
    <x v="11"/>
    <x v="11"/>
    <m/>
    <x v="1"/>
    <x v="16"/>
    <x v="3"/>
    <x v="434"/>
    <n v="232"/>
    <n v="1228"/>
    <m/>
    <m/>
    <m/>
    <m/>
    <m/>
    <m/>
    <m/>
    <m/>
    <m/>
    <m/>
    <m/>
    <m/>
    <m/>
    <m/>
    <m/>
    <m/>
    <m/>
    <m/>
    <m/>
    <m/>
    <m/>
    <m/>
    <m/>
    <m/>
    <m/>
    <m/>
    <m/>
    <m/>
    <m/>
    <m/>
    <m/>
    <m/>
    <m/>
    <m/>
    <m/>
    <m/>
    <m/>
    <m/>
    <m/>
    <x v="1"/>
    <x v="1"/>
    <m/>
    <m/>
    <m/>
    <m/>
    <m/>
    <m/>
    <m/>
    <m/>
    <m/>
    <m/>
    <m/>
    <n v="232"/>
    <n v="232"/>
    <m/>
    <m/>
    <m/>
    <m/>
    <s v="no test"/>
    <s v="no test"/>
    <x v="1"/>
    <n v="0"/>
    <n v="0"/>
    <n v="0"/>
    <n v="0"/>
    <n v="0"/>
    <n v="0"/>
    <n v="0"/>
    <n v="0"/>
    <n v="0"/>
    <n v="0"/>
    <n v="0"/>
    <n v="0"/>
    <n v="0"/>
    <n v="0"/>
    <n v="1"/>
    <n v="1228"/>
    <n v="2"/>
    <n v="2"/>
    <n v="0"/>
    <n v="0"/>
    <n v="0"/>
    <n v="0"/>
    <n v="0"/>
    <n v="25"/>
    <n v="25"/>
    <n v="1"/>
    <n v="0"/>
    <n v="0"/>
    <n v="1228"/>
    <n v="1228"/>
    <n v="1228"/>
    <n v="1228"/>
    <n v="1"/>
    <n v="0"/>
    <n v="0"/>
    <n v="1"/>
    <n v="1"/>
    <n v="0"/>
    <e v="#REF!"/>
    <n v="0"/>
    <n v="0"/>
    <x v="0"/>
    <n v="0"/>
    <n v="0"/>
    <x v="3"/>
    <x v="8"/>
    <x v="2"/>
    <n v="20.675489425659201"/>
    <n v="92.916961669921903"/>
    <n v="196923"/>
    <x v="0"/>
    <m/>
  </r>
  <r>
    <x v="0"/>
    <x v="24"/>
    <x v="25"/>
    <m/>
    <x v="1"/>
    <x v="16"/>
    <x v="3"/>
    <x v="435"/>
    <n v="167"/>
    <n v="586"/>
    <m/>
    <m/>
    <m/>
    <m/>
    <m/>
    <m/>
    <m/>
    <m/>
    <m/>
    <m/>
    <m/>
    <m/>
    <m/>
    <m/>
    <m/>
    <m/>
    <m/>
    <m/>
    <m/>
    <m/>
    <m/>
    <m/>
    <m/>
    <m/>
    <m/>
    <m/>
    <m/>
    <m/>
    <m/>
    <m/>
    <m/>
    <n v="31"/>
    <m/>
    <m/>
    <m/>
    <m/>
    <m/>
    <m/>
    <m/>
    <x v="1"/>
    <x v="1"/>
    <m/>
    <m/>
    <m/>
    <m/>
    <m/>
    <m/>
    <m/>
    <m/>
    <m/>
    <m/>
    <m/>
    <m/>
    <m/>
    <m/>
    <m/>
    <m/>
    <m/>
    <s v="no test"/>
    <s v="no test"/>
    <x v="1"/>
    <n v="0"/>
    <n v="0"/>
    <n v="0"/>
    <n v="0"/>
    <n v="0"/>
    <n v="0"/>
    <n v="0"/>
    <n v="0"/>
    <n v="0"/>
    <n v="0"/>
    <n v="0"/>
    <n v="0"/>
    <n v="0"/>
    <n v="0"/>
    <n v="1"/>
    <n v="586"/>
    <n v="1"/>
    <n v="1"/>
    <n v="31"/>
    <n v="1"/>
    <n v="586"/>
    <n v="0"/>
    <n v="0"/>
    <n v="12"/>
    <n v="0"/>
    <n v="0"/>
    <n v="0"/>
    <n v="0"/>
    <n v="0"/>
    <n v="0"/>
    <n v="0"/>
    <n v="0"/>
    <n v="0"/>
    <n v="1"/>
    <n v="0"/>
    <n v="0"/>
    <n v="0"/>
    <n v="0"/>
    <e v="#REF!"/>
    <n v="0"/>
    <n v="0"/>
    <x v="0"/>
    <n v="0"/>
    <n v="0"/>
    <x v="3"/>
    <x v="8"/>
    <x v="2"/>
    <n v="20.680830001831101"/>
    <n v="92.917633056640597"/>
    <n v="196906"/>
    <x v="0"/>
    <m/>
  </r>
  <r>
    <x v="0"/>
    <x v="24"/>
    <x v="25"/>
    <m/>
    <x v="1"/>
    <x v="16"/>
    <x v="3"/>
    <x v="436"/>
    <n v="138"/>
    <n v="637"/>
    <m/>
    <m/>
    <m/>
    <m/>
    <m/>
    <m/>
    <m/>
    <m/>
    <m/>
    <m/>
    <m/>
    <m/>
    <m/>
    <m/>
    <m/>
    <m/>
    <m/>
    <m/>
    <m/>
    <m/>
    <m/>
    <m/>
    <m/>
    <m/>
    <m/>
    <m/>
    <m/>
    <m/>
    <m/>
    <m/>
    <m/>
    <n v="32"/>
    <m/>
    <m/>
    <m/>
    <m/>
    <m/>
    <m/>
    <m/>
    <x v="1"/>
    <x v="1"/>
    <m/>
    <m/>
    <m/>
    <m/>
    <m/>
    <m/>
    <m/>
    <m/>
    <m/>
    <m/>
    <m/>
    <m/>
    <m/>
    <m/>
    <m/>
    <m/>
    <m/>
    <s v="no test"/>
    <s v="no test"/>
    <x v="1"/>
    <n v="0"/>
    <n v="0"/>
    <n v="0"/>
    <n v="0"/>
    <n v="0"/>
    <n v="0"/>
    <n v="0"/>
    <n v="0"/>
    <n v="0"/>
    <n v="0"/>
    <n v="0"/>
    <n v="0"/>
    <n v="0"/>
    <n v="0"/>
    <n v="1"/>
    <n v="637"/>
    <n v="1"/>
    <n v="1"/>
    <n v="32"/>
    <n v="1"/>
    <n v="637"/>
    <n v="0"/>
    <n v="0"/>
    <n v="13"/>
    <n v="0"/>
    <n v="0"/>
    <n v="0"/>
    <n v="0"/>
    <n v="0"/>
    <n v="0"/>
    <n v="0"/>
    <n v="0"/>
    <n v="0"/>
    <n v="1"/>
    <n v="0"/>
    <n v="0"/>
    <n v="0"/>
    <n v="0"/>
    <e v="#REF!"/>
    <n v="0"/>
    <n v="0"/>
    <x v="0"/>
    <n v="0"/>
    <n v="0"/>
    <x v="3"/>
    <x v="8"/>
    <x v="2"/>
    <n v="20.674160003662099"/>
    <n v="92.9078369140625"/>
    <n v="196911"/>
    <x v="0"/>
    <m/>
  </r>
  <r>
    <x v="0"/>
    <x v="2"/>
    <x v="2"/>
    <m/>
    <x v="1"/>
    <x v="16"/>
    <x v="3"/>
    <x v="437"/>
    <n v="3"/>
    <n v="16"/>
    <m/>
    <m/>
    <m/>
    <m/>
    <m/>
    <m/>
    <m/>
    <m/>
    <m/>
    <m/>
    <m/>
    <m/>
    <m/>
    <m/>
    <m/>
    <m/>
    <m/>
    <m/>
    <m/>
    <m/>
    <m/>
    <m/>
    <m/>
    <m/>
    <m/>
    <m/>
    <m/>
    <m/>
    <m/>
    <m/>
    <m/>
    <m/>
    <m/>
    <m/>
    <m/>
    <m/>
    <m/>
    <m/>
    <m/>
    <x v="1"/>
    <x v="1"/>
    <m/>
    <m/>
    <m/>
    <m/>
    <m/>
    <m/>
    <m/>
    <m/>
    <m/>
    <m/>
    <m/>
    <m/>
    <m/>
    <m/>
    <m/>
    <m/>
    <m/>
    <s v="no test"/>
    <s v="no test"/>
    <x v="1"/>
    <n v="0"/>
    <n v="0"/>
    <n v="0"/>
    <n v="0"/>
    <n v="0"/>
    <n v="0"/>
    <n v="0"/>
    <n v="0"/>
    <n v="0"/>
    <n v="0"/>
    <n v="0"/>
    <n v="0"/>
    <n v="0"/>
    <n v="0"/>
    <n v="1"/>
    <n v="16"/>
    <n v="1"/>
    <n v="1"/>
    <n v="0"/>
    <n v="0"/>
    <n v="0"/>
    <n v="0"/>
    <n v="0"/>
    <n v="0"/>
    <n v="0"/>
    <n v="1"/>
    <n v="0"/>
    <n v="0"/>
    <n v="0"/>
    <n v="0"/>
    <n v="0"/>
    <n v="0"/>
    <n v="0"/>
    <n v="1"/>
    <n v="0"/>
    <n v="0"/>
    <n v="0"/>
    <n v="0"/>
    <e v="#REF!"/>
    <n v="0"/>
    <n v="0"/>
    <x v="0"/>
    <n v="0"/>
    <n v="0"/>
    <x v="3"/>
    <x v="8"/>
    <x v="2"/>
    <n v="0"/>
    <n v="0"/>
    <n v="0"/>
    <x v="1"/>
    <m/>
  </r>
  <r>
    <x v="0"/>
    <x v="2"/>
    <x v="2"/>
    <m/>
    <x v="1"/>
    <x v="16"/>
    <x v="3"/>
    <x v="438"/>
    <n v="28"/>
    <n v="116"/>
    <m/>
    <m/>
    <m/>
    <m/>
    <m/>
    <m/>
    <m/>
    <m/>
    <m/>
    <m/>
    <m/>
    <m/>
    <m/>
    <m/>
    <m/>
    <m/>
    <m/>
    <m/>
    <m/>
    <m/>
    <m/>
    <m/>
    <m/>
    <m/>
    <m/>
    <m/>
    <m/>
    <m/>
    <m/>
    <m/>
    <m/>
    <m/>
    <m/>
    <m/>
    <m/>
    <m/>
    <m/>
    <m/>
    <m/>
    <x v="1"/>
    <x v="1"/>
    <m/>
    <m/>
    <m/>
    <m/>
    <m/>
    <m/>
    <m/>
    <m/>
    <m/>
    <m/>
    <m/>
    <m/>
    <m/>
    <m/>
    <m/>
    <m/>
    <m/>
    <s v="no test"/>
    <s v="no test"/>
    <x v="1"/>
    <n v="0"/>
    <n v="0"/>
    <n v="0"/>
    <n v="0"/>
    <n v="0"/>
    <n v="0"/>
    <n v="0"/>
    <n v="0"/>
    <n v="0"/>
    <n v="0"/>
    <n v="0"/>
    <n v="0"/>
    <n v="0"/>
    <n v="0"/>
    <n v="1"/>
    <n v="116"/>
    <n v="1"/>
    <n v="1"/>
    <n v="0"/>
    <n v="0"/>
    <n v="0"/>
    <n v="0"/>
    <n v="0"/>
    <n v="2"/>
    <n v="2"/>
    <n v="1"/>
    <n v="0"/>
    <n v="0"/>
    <n v="0"/>
    <n v="0"/>
    <n v="0"/>
    <n v="0"/>
    <n v="0"/>
    <n v="1"/>
    <n v="0"/>
    <n v="0"/>
    <n v="0"/>
    <n v="0"/>
    <e v="#REF!"/>
    <n v="0"/>
    <n v="0"/>
    <x v="0"/>
    <n v="0"/>
    <n v="0"/>
    <x v="3"/>
    <x v="8"/>
    <x v="2"/>
    <n v="20.705930710000001"/>
    <n v="93.001953130000004"/>
    <n v="196943"/>
    <x v="1"/>
    <m/>
  </r>
  <r>
    <x v="0"/>
    <x v="2"/>
    <x v="2"/>
    <m/>
    <x v="1"/>
    <x v="16"/>
    <x v="3"/>
    <x v="439"/>
    <n v="34"/>
    <n v="137"/>
    <m/>
    <m/>
    <m/>
    <m/>
    <m/>
    <m/>
    <m/>
    <m/>
    <m/>
    <m/>
    <m/>
    <m/>
    <m/>
    <m/>
    <m/>
    <m/>
    <m/>
    <m/>
    <m/>
    <m/>
    <m/>
    <m/>
    <m/>
    <m/>
    <m/>
    <m/>
    <m/>
    <m/>
    <m/>
    <m/>
    <m/>
    <m/>
    <m/>
    <m/>
    <m/>
    <m/>
    <m/>
    <m/>
    <m/>
    <x v="1"/>
    <x v="1"/>
    <m/>
    <m/>
    <m/>
    <m/>
    <m/>
    <m/>
    <m/>
    <m/>
    <m/>
    <m/>
    <m/>
    <m/>
    <m/>
    <m/>
    <m/>
    <m/>
    <m/>
    <s v="no test"/>
    <s v="no test"/>
    <x v="1"/>
    <n v="0"/>
    <n v="0"/>
    <n v="0"/>
    <n v="0"/>
    <n v="0"/>
    <n v="0"/>
    <n v="0"/>
    <n v="0"/>
    <n v="0"/>
    <n v="0"/>
    <n v="0"/>
    <n v="0"/>
    <n v="0"/>
    <n v="0"/>
    <n v="1"/>
    <n v="137"/>
    <n v="1"/>
    <n v="1"/>
    <n v="0"/>
    <n v="0"/>
    <n v="0"/>
    <n v="0"/>
    <n v="0"/>
    <n v="3"/>
    <n v="3"/>
    <n v="1"/>
    <n v="0"/>
    <n v="0"/>
    <n v="0"/>
    <n v="0"/>
    <n v="0"/>
    <n v="0"/>
    <n v="0"/>
    <n v="1"/>
    <n v="0"/>
    <n v="0"/>
    <n v="0"/>
    <n v="0"/>
    <e v="#REF!"/>
    <n v="0"/>
    <n v="0"/>
    <x v="0"/>
    <n v="0"/>
    <n v="0"/>
    <x v="3"/>
    <x v="8"/>
    <x v="2"/>
    <n v="0"/>
    <n v="0"/>
    <s v="MMR012004701502"/>
    <x v="1"/>
    <m/>
  </r>
  <r>
    <x v="0"/>
    <x v="2"/>
    <x v="2"/>
    <m/>
    <x v="1"/>
    <x v="16"/>
    <x v="3"/>
    <x v="440"/>
    <n v="49"/>
    <n v="148"/>
    <m/>
    <m/>
    <m/>
    <m/>
    <m/>
    <m/>
    <m/>
    <m/>
    <m/>
    <m/>
    <m/>
    <m/>
    <m/>
    <m/>
    <m/>
    <m/>
    <m/>
    <m/>
    <m/>
    <m/>
    <m/>
    <m/>
    <m/>
    <m/>
    <m/>
    <m/>
    <m/>
    <m/>
    <m/>
    <m/>
    <m/>
    <m/>
    <m/>
    <m/>
    <m/>
    <m/>
    <m/>
    <m/>
    <m/>
    <x v="1"/>
    <x v="1"/>
    <m/>
    <m/>
    <m/>
    <m/>
    <m/>
    <m/>
    <m/>
    <m/>
    <m/>
    <m/>
    <m/>
    <m/>
    <m/>
    <m/>
    <m/>
    <m/>
    <m/>
    <s v="no test"/>
    <s v="no test"/>
    <x v="1"/>
    <n v="0"/>
    <n v="0"/>
    <n v="0"/>
    <n v="0"/>
    <n v="0"/>
    <n v="0"/>
    <n v="0"/>
    <n v="0"/>
    <n v="0"/>
    <n v="0"/>
    <n v="0"/>
    <n v="0"/>
    <n v="0"/>
    <n v="0"/>
    <n v="1"/>
    <n v="148"/>
    <n v="1"/>
    <n v="1"/>
    <n v="0"/>
    <n v="0"/>
    <n v="0"/>
    <n v="0"/>
    <n v="0"/>
    <n v="3"/>
    <n v="3"/>
    <n v="1"/>
    <n v="0"/>
    <n v="0"/>
    <n v="0"/>
    <n v="0"/>
    <n v="0"/>
    <n v="0"/>
    <n v="0"/>
    <n v="1"/>
    <n v="0"/>
    <n v="0"/>
    <n v="0"/>
    <n v="0"/>
    <e v="#REF!"/>
    <n v="0"/>
    <n v="0"/>
    <x v="0"/>
    <n v="0"/>
    <n v="0"/>
    <x v="3"/>
    <x v="8"/>
    <x v="2"/>
    <n v="0"/>
    <n v="0"/>
    <s v="MMR012004701505"/>
    <x v="1"/>
    <m/>
  </r>
  <r>
    <x v="0"/>
    <x v="2"/>
    <x v="2"/>
    <m/>
    <x v="1"/>
    <x v="16"/>
    <x v="3"/>
    <x v="441"/>
    <n v="93"/>
    <n v="372"/>
    <m/>
    <m/>
    <m/>
    <m/>
    <m/>
    <m/>
    <m/>
    <m/>
    <m/>
    <m/>
    <m/>
    <m/>
    <m/>
    <m/>
    <m/>
    <m/>
    <m/>
    <m/>
    <m/>
    <m/>
    <m/>
    <m/>
    <m/>
    <m/>
    <m/>
    <m/>
    <m/>
    <m/>
    <m/>
    <m/>
    <m/>
    <m/>
    <m/>
    <m/>
    <m/>
    <m/>
    <m/>
    <m/>
    <m/>
    <x v="1"/>
    <x v="1"/>
    <m/>
    <m/>
    <m/>
    <m/>
    <m/>
    <m/>
    <m/>
    <m/>
    <m/>
    <m/>
    <m/>
    <m/>
    <m/>
    <m/>
    <m/>
    <m/>
    <m/>
    <s v="no test"/>
    <s v="no test"/>
    <x v="1"/>
    <n v="0"/>
    <n v="0"/>
    <n v="0"/>
    <n v="0"/>
    <n v="0"/>
    <n v="0"/>
    <n v="0"/>
    <n v="0"/>
    <n v="0"/>
    <n v="0"/>
    <n v="0"/>
    <n v="0"/>
    <n v="0"/>
    <n v="0"/>
    <n v="1"/>
    <n v="372"/>
    <n v="1"/>
    <n v="1"/>
    <n v="0"/>
    <n v="0"/>
    <n v="0"/>
    <n v="0"/>
    <n v="0"/>
    <n v="7"/>
    <n v="7"/>
    <n v="1"/>
    <n v="0"/>
    <n v="0"/>
    <n v="0"/>
    <n v="0"/>
    <n v="0"/>
    <n v="0"/>
    <n v="0"/>
    <n v="1"/>
    <n v="0"/>
    <n v="0"/>
    <n v="0"/>
    <n v="0"/>
    <e v="#REF!"/>
    <n v="0"/>
    <n v="0"/>
    <x v="0"/>
    <n v="0"/>
    <n v="0"/>
    <x v="3"/>
    <x v="8"/>
    <x v="2"/>
    <n v="20.6715202331543"/>
    <n v="92.998092651367202"/>
    <n v="196942"/>
    <x v="1"/>
    <m/>
  </r>
  <r>
    <x v="0"/>
    <x v="2"/>
    <x v="2"/>
    <m/>
    <x v="1"/>
    <x v="16"/>
    <x v="3"/>
    <x v="442"/>
    <n v="97"/>
    <n v="281"/>
    <m/>
    <m/>
    <m/>
    <m/>
    <m/>
    <m/>
    <m/>
    <m/>
    <m/>
    <m/>
    <m/>
    <m/>
    <m/>
    <m/>
    <m/>
    <m/>
    <m/>
    <m/>
    <m/>
    <m/>
    <m/>
    <m/>
    <m/>
    <m/>
    <m/>
    <m/>
    <m/>
    <m/>
    <m/>
    <m/>
    <m/>
    <m/>
    <m/>
    <m/>
    <m/>
    <m/>
    <m/>
    <m/>
    <m/>
    <x v="1"/>
    <x v="1"/>
    <m/>
    <m/>
    <m/>
    <m/>
    <m/>
    <m/>
    <m/>
    <m/>
    <m/>
    <m/>
    <m/>
    <m/>
    <m/>
    <m/>
    <m/>
    <m/>
    <m/>
    <s v="no test"/>
    <s v="no test"/>
    <x v="1"/>
    <n v="0"/>
    <n v="0"/>
    <n v="0"/>
    <n v="0"/>
    <n v="0"/>
    <n v="0"/>
    <n v="0"/>
    <n v="0"/>
    <n v="0"/>
    <n v="0"/>
    <n v="0"/>
    <n v="0"/>
    <n v="0"/>
    <n v="0"/>
    <n v="1"/>
    <n v="281"/>
    <n v="1"/>
    <n v="1"/>
    <n v="0"/>
    <n v="0"/>
    <n v="0"/>
    <n v="0"/>
    <n v="0"/>
    <n v="6"/>
    <n v="6"/>
    <n v="1"/>
    <n v="0"/>
    <n v="0"/>
    <n v="0"/>
    <n v="0"/>
    <n v="0"/>
    <n v="0"/>
    <n v="0"/>
    <n v="1"/>
    <n v="0"/>
    <n v="0"/>
    <n v="0"/>
    <n v="0"/>
    <e v="#REF!"/>
    <n v="0"/>
    <n v="0"/>
    <x v="0"/>
    <n v="0"/>
    <n v="0"/>
    <x v="3"/>
    <x v="8"/>
    <x v="2"/>
    <n v="20.64656067"/>
    <n v="92.976043700000005"/>
    <n v="196937"/>
    <x v="1"/>
    <m/>
  </r>
  <r>
    <x v="0"/>
    <x v="2"/>
    <x v="2"/>
    <m/>
    <x v="1"/>
    <x v="16"/>
    <x v="3"/>
    <x v="443"/>
    <n v="42"/>
    <n v="169"/>
    <m/>
    <m/>
    <m/>
    <m/>
    <m/>
    <m/>
    <m/>
    <m/>
    <m/>
    <m/>
    <m/>
    <m/>
    <m/>
    <m/>
    <m/>
    <m/>
    <m/>
    <m/>
    <m/>
    <m/>
    <m/>
    <m/>
    <m/>
    <m/>
    <m/>
    <m/>
    <m/>
    <m/>
    <m/>
    <m/>
    <m/>
    <m/>
    <m/>
    <m/>
    <m/>
    <m/>
    <m/>
    <m/>
    <m/>
    <x v="1"/>
    <x v="1"/>
    <m/>
    <m/>
    <m/>
    <m/>
    <m/>
    <m/>
    <m/>
    <m/>
    <m/>
    <m/>
    <m/>
    <m/>
    <m/>
    <m/>
    <m/>
    <m/>
    <m/>
    <s v="no test"/>
    <s v="no test"/>
    <x v="1"/>
    <n v="0"/>
    <n v="0"/>
    <n v="0"/>
    <n v="0"/>
    <n v="0"/>
    <n v="0"/>
    <n v="0"/>
    <n v="0"/>
    <n v="0"/>
    <n v="0"/>
    <n v="0"/>
    <n v="0"/>
    <n v="0"/>
    <n v="0"/>
    <n v="1"/>
    <n v="169"/>
    <n v="1"/>
    <n v="1"/>
    <n v="0"/>
    <n v="0"/>
    <n v="0"/>
    <n v="0"/>
    <n v="0"/>
    <n v="3"/>
    <n v="3"/>
    <n v="1"/>
    <n v="0"/>
    <n v="0"/>
    <n v="0"/>
    <n v="0"/>
    <n v="0"/>
    <n v="0"/>
    <n v="0"/>
    <n v="1"/>
    <n v="0"/>
    <n v="0"/>
    <n v="0"/>
    <n v="0"/>
    <e v="#REF!"/>
    <n v="0"/>
    <n v="0"/>
    <x v="0"/>
    <n v="0"/>
    <n v="0"/>
    <x v="3"/>
    <x v="8"/>
    <x v="2"/>
    <n v="20.6563606262207"/>
    <n v="92.998542785644503"/>
    <n v="196940"/>
    <x v="1"/>
    <m/>
  </r>
  <r>
    <x v="0"/>
    <x v="2"/>
    <x v="2"/>
    <m/>
    <x v="1"/>
    <x v="16"/>
    <x v="3"/>
    <x v="444"/>
    <n v="4"/>
    <n v="20"/>
    <m/>
    <m/>
    <m/>
    <m/>
    <m/>
    <m/>
    <m/>
    <m/>
    <m/>
    <m/>
    <m/>
    <m/>
    <m/>
    <m/>
    <m/>
    <m/>
    <m/>
    <m/>
    <m/>
    <m/>
    <m/>
    <m/>
    <m/>
    <m/>
    <m/>
    <m/>
    <m/>
    <m/>
    <m/>
    <m/>
    <m/>
    <m/>
    <m/>
    <m/>
    <m/>
    <m/>
    <m/>
    <m/>
    <m/>
    <x v="1"/>
    <x v="1"/>
    <m/>
    <m/>
    <m/>
    <m/>
    <m/>
    <m/>
    <m/>
    <m/>
    <m/>
    <m/>
    <m/>
    <m/>
    <m/>
    <m/>
    <m/>
    <m/>
    <m/>
    <s v="no test"/>
    <s v="no test"/>
    <x v="1"/>
    <n v="0"/>
    <n v="0"/>
    <n v="0"/>
    <n v="0"/>
    <n v="0"/>
    <n v="0"/>
    <n v="0"/>
    <n v="0"/>
    <n v="0"/>
    <n v="0"/>
    <n v="0"/>
    <n v="0"/>
    <n v="0"/>
    <n v="0"/>
    <n v="1"/>
    <n v="20"/>
    <n v="1"/>
    <n v="1"/>
    <n v="0"/>
    <n v="0"/>
    <n v="0"/>
    <n v="0"/>
    <n v="0"/>
    <n v="0"/>
    <n v="0"/>
    <n v="1"/>
    <n v="0"/>
    <n v="0"/>
    <n v="0"/>
    <n v="0"/>
    <n v="0"/>
    <n v="0"/>
    <n v="0"/>
    <n v="1"/>
    <n v="0"/>
    <n v="0"/>
    <n v="0"/>
    <n v="0"/>
    <e v="#REF!"/>
    <n v="0"/>
    <n v="0"/>
    <x v="0"/>
    <n v="0"/>
    <n v="0"/>
    <x v="3"/>
    <x v="8"/>
    <x v="2"/>
    <n v="20.8122158050537"/>
    <n v="93.061012268066406"/>
    <n v="196865"/>
    <x v="1"/>
    <m/>
  </r>
  <r>
    <x v="0"/>
    <x v="2"/>
    <x v="2"/>
    <m/>
    <x v="1"/>
    <x v="16"/>
    <x v="3"/>
    <x v="445"/>
    <n v="22"/>
    <n v="100"/>
    <m/>
    <m/>
    <m/>
    <m/>
    <m/>
    <m/>
    <m/>
    <m/>
    <m/>
    <m/>
    <m/>
    <m/>
    <m/>
    <m/>
    <m/>
    <m/>
    <m/>
    <m/>
    <m/>
    <m/>
    <m/>
    <m/>
    <m/>
    <m/>
    <m/>
    <m/>
    <m/>
    <m/>
    <m/>
    <m/>
    <m/>
    <m/>
    <m/>
    <m/>
    <m/>
    <m/>
    <m/>
    <m/>
    <m/>
    <x v="1"/>
    <x v="1"/>
    <m/>
    <m/>
    <m/>
    <m/>
    <m/>
    <m/>
    <m/>
    <m/>
    <m/>
    <m/>
    <m/>
    <m/>
    <m/>
    <m/>
    <m/>
    <m/>
    <m/>
    <s v="no test"/>
    <s v="no test"/>
    <x v="1"/>
    <n v="0"/>
    <n v="0"/>
    <n v="0"/>
    <n v="0"/>
    <n v="0"/>
    <n v="0"/>
    <n v="0"/>
    <n v="0"/>
    <n v="0"/>
    <n v="0"/>
    <n v="0"/>
    <n v="0"/>
    <n v="0"/>
    <n v="0"/>
    <n v="1"/>
    <n v="100"/>
    <n v="1"/>
    <n v="1"/>
    <n v="0"/>
    <n v="0"/>
    <n v="0"/>
    <n v="0"/>
    <n v="0"/>
    <n v="2"/>
    <n v="2"/>
    <n v="1"/>
    <n v="0"/>
    <n v="0"/>
    <n v="0"/>
    <n v="0"/>
    <n v="0"/>
    <n v="0"/>
    <n v="0"/>
    <n v="1"/>
    <n v="0"/>
    <n v="0"/>
    <n v="0"/>
    <n v="0"/>
    <e v="#REF!"/>
    <n v="0"/>
    <n v="0"/>
    <x v="0"/>
    <n v="0"/>
    <n v="0"/>
    <x v="3"/>
    <x v="8"/>
    <x v="2"/>
    <n v="20.656810760498001"/>
    <n v="93.029953002929702"/>
    <n v="196981"/>
    <x v="1"/>
    <m/>
  </r>
  <r>
    <x v="0"/>
    <x v="2"/>
    <x v="2"/>
    <m/>
    <x v="2"/>
    <x v="14"/>
    <x v="3"/>
    <x v="446"/>
    <n v="25"/>
    <n v="100"/>
    <m/>
    <m/>
    <m/>
    <m/>
    <m/>
    <m/>
    <m/>
    <m/>
    <m/>
    <m/>
    <m/>
    <m/>
    <m/>
    <m/>
    <m/>
    <m/>
    <m/>
    <m/>
    <m/>
    <m/>
    <m/>
    <m/>
    <m/>
    <m/>
    <m/>
    <m/>
    <m/>
    <m/>
    <m/>
    <m/>
    <m/>
    <m/>
    <m/>
    <m/>
    <m/>
    <m/>
    <m/>
    <m/>
    <m/>
    <x v="1"/>
    <x v="1"/>
    <m/>
    <m/>
    <m/>
    <m/>
    <m/>
    <m/>
    <m/>
    <m/>
    <m/>
    <m/>
    <m/>
    <m/>
    <m/>
    <m/>
    <m/>
    <m/>
    <m/>
    <s v="no test"/>
    <s v="no test"/>
    <x v="1"/>
    <n v="0"/>
    <n v="0"/>
    <n v="0"/>
    <n v="0"/>
    <n v="0"/>
    <n v="0"/>
    <n v="0"/>
    <n v="0"/>
    <n v="0"/>
    <n v="0"/>
    <n v="0"/>
    <n v="0"/>
    <n v="0"/>
    <n v="0"/>
    <n v="1"/>
    <n v="100"/>
    <n v="1"/>
    <n v="1"/>
    <n v="0"/>
    <n v="0"/>
    <n v="0"/>
    <n v="0"/>
    <n v="0"/>
    <n v="2"/>
    <n v="2"/>
    <n v="1"/>
    <n v="0"/>
    <n v="0"/>
    <n v="0"/>
    <n v="0"/>
    <n v="0"/>
    <n v="0"/>
    <n v="0"/>
    <n v="1"/>
    <n v="0"/>
    <n v="0"/>
    <n v="0"/>
    <n v="0"/>
    <e v="#REF!"/>
    <n v="0"/>
    <n v="0"/>
    <x v="0"/>
    <n v="0"/>
    <n v="0"/>
    <x v="3"/>
    <x v="8"/>
    <x v="2"/>
    <n v="20.734859466552699"/>
    <n v="92.657089233398395"/>
    <n v="198415"/>
    <x v="1"/>
    <m/>
  </r>
  <r>
    <x v="0"/>
    <x v="11"/>
    <x v="11"/>
    <m/>
    <x v="2"/>
    <x v="14"/>
    <x v="3"/>
    <x v="447"/>
    <n v="31"/>
    <n v="127"/>
    <m/>
    <m/>
    <m/>
    <m/>
    <m/>
    <m/>
    <m/>
    <m/>
    <m/>
    <m/>
    <m/>
    <m/>
    <m/>
    <m/>
    <m/>
    <m/>
    <m/>
    <m/>
    <m/>
    <m/>
    <m/>
    <m/>
    <m/>
    <m/>
    <m/>
    <m/>
    <m/>
    <m/>
    <m/>
    <m/>
    <m/>
    <m/>
    <m/>
    <m/>
    <m/>
    <m/>
    <m/>
    <m/>
    <m/>
    <x v="1"/>
    <x v="1"/>
    <m/>
    <m/>
    <m/>
    <m/>
    <m/>
    <m/>
    <m/>
    <m/>
    <m/>
    <m/>
    <m/>
    <n v="31"/>
    <n v="31"/>
    <m/>
    <m/>
    <m/>
    <m/>
    <s v="no test"/>
    <s v="no test"/>
    <x v="1"/>
    <n v="0"/>
    <n v="0"/>
    <n v="0"/>
    <n v="0"/>
    <n v="0"/>
    <n v="0"/>
    <n v="0"/>
    <n v="0"/>
    <n v="0"/>
    <n v="0"/>
    <n v="0"/>
    <n v="0"/>
    <n v="0"/>
    <n v="0"/>
    <n v="1"/>
    <n v="127"/>
    <n v="1"/>
    <n v="1"/>
    <n v="0"/>
    <n v="0"/>
    <n v="0"/>
    <n v="0"/>
    <n v="0"/>
    <n v="3"/>
    <n v="3"/>
    <n v="1"/>
    <n v="0"/>
    <n v="0"/>
    <n v="127"/>
    <n v="127"/>
    <n v="127"/>
    <n v="127"/>
    <n v="1"/>
    <n v="0"/>
    <n v="0"/>
    <n v="1"/>
    <n v="1"/>
    <n v="0"/>
    <e v="#REF!"/>
    <n v="0"/>
    <n v="0"/>
    <x v="0"/>
    <n v="0"/>
    <n v="0"/>
    <x v="3"/>
    <x v="8"/>
    <x v="2"/>
    <n v="0"/>
    <n v="0"/>
    <n v="198369"/>
    <x v="0"/>
    <m/>
  </r>
  <r>
    <x v="0"/>
    <x v="10"/>
    <x v="10"/>
    <s v="IOM"/>
    <x v="2"/>
    <x v="14"/>
    <x v="3"/>
    <x v="448"/>
    <n v="30"/>
    <n v="123"/>
    <d v="2019-01-15T00:00:00"/>
    <d v="2019-09-15T00:00:00"/>
    <m/>
    <m/>
    <m/>
    <m/>
    <m/>
    <m/>
    <m/>
    <m/>
    <m/>
    <m/>
    <m/>
    <m/>
    <m/>
    <m/>
    <m/>
    <m/>
    <m/>
    <m/>
    <m/>
    <m/>
    <m/>
    <m/>
    <m/>
    <m/>
    <m/>
    <m/>
    <m/>
    <m/>
    <m/>
    <m/>
    <m/>
    <m/>
    <m/>
    <m/>
    <m/>
    <m/>
    <m/>
    <x v="1"/>
    <x v="1"/>
    <m/>
    <m/>
    <m/>
    <m/>
    <m/>
    <m/>
    <m/>
    <m/>
    <m/>
    <n v="30"/>
    <n v="30"/>
    <m/>
    <m/>
    <m/>
    <m/>
    <m/>
    <m/>
    <s v="no test"/>
    <s v="no test"/>
    <x v="1"/>
    <n v="0"/>
    <n v="0"/>
    <n v="0"/>
    <n v="0"/>
    <n v="0"/>
    <n v="0"/>
    <n v="0"/>
    <n v="0"/>
    <n v="0"/>
    <n v="0"/>
    <n v="0"/>
    <n v="0"/>
    <n v="0"/>
    <n v="0"/>
    <n v="1"/>
    <n v="123"/>
    <n v="1"/>
    <n v="1"/>
    <n v="0"/>
    <n v="0"/>
    <n v="0"/>
    <n v="0"/>
    <n v="0"/>
    <n v="2"/>
    <n v="2"/>
    <n v="1"/>
    <n v="0"/>
    <n v="123"/>
    <n v="0"/>
    <n v="0"/>
    <n v="0"/>
    <n v="123"/>
    <n v="1"/>
    <n v="0"/>
    <n v="1"/>
    <n v="0"/>
    <n v="0"/>
    <n v="0"/>
    <n v="0"/>
    <n v="0"/>
    <n v="0"/>
    <x v="0"/>
    <n v="0"/>
    <n v="0"/>
    <x v="3"/>
    <x v="8"/>
    <x v="4"/>
    <n v="20.769779209999999"/>
    <n v="92.604240419999996"/>
    <n v="198404"/>
    <x v="0"/>
    <m/>
  </r>
  <r>
    <x v="0"/>
    <x v="2"/>
    <x v="2"/>
    <m/>
    <x v="2"/>
    <x v="14"/>
    <x v="3"/>
    <x v="449"/>
    <n v="58"/>
    <n v="302"/>
    <m/>
    <m/>
    <m/>
    <m/>
    <m/>
    <m/>
    <m/>
    <m/>
    <m/>
    <m/>
    <m/>
    <m/>
    <m/>
    <m/>
    <m/>
    <m/>
    <m/>
    <m/>
    <m/>
    <m/>
    <m/>
    <m/>
    <m/>
    <m/>
    <m/>
    <m/>
    <m/>
    <m/>
    <m/>
    <m/>
    <m/>
    <m/>
    <m/>
    <m/>
    <m/>
    <m/>
    <m/>
    <m/>
    <m/>
    <x v="1"/>
    <x v="1"/>
    <m/>
    <m/>
    <m/>
    <m/>
    <m/>
    <m/>
    <m/>
    <m/>
    <m/>
    <m/>
    <m/>
    <m/>
    <m/>
    <m/>
    <m/>
    <m/>
    <m/>
    <s v="no test"/>
    <s v="no test"/>
    <x v="1"/>
    <n v="0"/>
    <n v="0"/>
    <n v="0"/>
    <n v="0"/>
    <n v="0"/>
    <n v="0"/>
    <n v="0"/>
    <n v="0"/>
    <n v="0"/>
    <n v="0"/>
    <n v="0"/>
    <n v="0"/>
    <n v="0"/>
    <n v="0"/>
    <n v="1"/>
    <n v="302"/>
    <n v="1"/>
    <n v="1"/>
    <n v="0"/>
    <n v="0"/>
    <n v="0"/>
    <n v="0"/>
    <n v="0"/>
    <n v="6"/>
    <n v="6"/>
    <n v="1"/>
    <n v="0"/>
    <n v="0"/>
    <n v="0"/>
    <n v="0"/>
    <n v="0"/>
    <n v="0"/>
    <n v="0"/>
    <n v="1"/>
    <n v="0"/>
    <n v="0"/>
    <n v="0"/>
    <n v="0"/>
    <e v="#REF!"/>
    <n v="0"/>
    <n v="0"/>
    <x v="0"/>
    <n v="0"/>
    <n v="0"/>
    <x v="3"/>
    <x v="8"/>
    <x v="2"/>
    <n v="20.838279724121101"/>
    <n v="92.610900878906307"/>
    <n v="198289"/>
    <x v="1"/>
    <m/>
  </r>
  <r>
    <x v="0"/>
    <x v="11"/>
    <x v="11"/>
    <m/>
    <x v="2"/>
    <x v="14"/>
    <x v="3"/>
    <x v="450"/>
    <n v="57"/>
    <n v="280"/>
    <m/>
    <m/>
    <m/>
    <m/>
    <m/>
    <m/>
    <m/>
    <m/>
    <m/>
    <m/>
    <m/>
    <m/>
    <m/>
    <m/>
    <m/>
    <m/>
    <m/>
    <m/>
    <m/>
    <m/>
    <m/>
    <m/>
    <m/>
    <m/>
    <m/>
    <m/>
    <m/>
    <m/>
    <m/>
    <m/>
    <m/>
    <m/>
    <m/>
    <m/>
    <m/>
    <m/>
    <m/>
    <m/>
    <m/>
    <x v="1"/>
    <x v="1"/>
    <m/>
    <m/>
    <m/>
    <m/>
    <m/>
    <m/>
    <m/>
    <m/>
    <m/>
    <m/>
    <m/>
    <n v="57"/>
    <n v="57"/>
    <m/>
    <m/>
    <m/>
    <m/>
    <s v="no test"/>
    <s v="no test"/>
    <x v="1"/>
    <n v="0"/>
    <n v="0"/>
    <n v="0"/>
    <n v="0"/>
    <n v="0"/>
    <n v="0"/>
    <n v="0"/>
    <n v="0"/>
    <n v="0"/>
    <n v="0"/>
    <n v="0"/>
    <n v="0"/>
    <n v="0"/>
    <n v="0"/>
    <n v="1"/>
    <n v="280"/>
    <n v="1"/>
    <n v="1"/>
    <n v="0"/>
    <n v="0"/>
    <n v="0"/>
    <n v="0"/>
    <n v="0"/>
    <n v="6"/>
    <n v="6"/>
    <n v="1"/>
    <n v="0"/>
    <n v="0"/>
    <n v="280"/>
    <n v="280"/>
    <n v="280"/>
    <n v="280"/>
    <n v="1"/>
    <n v="0"/>
    <n v="0"/>
    <n v="1"/>
    <n v="1"/>
    <n v="0"/>
    <e v="#REF!"/>
    <n v="0"/>
    <n v="0"/>
    <x v="0"/>
    <n v="0"/>
    <n v="0"/>
    <x v="3"/>
    <x v="8"/>
    <x v="2"/>
    <n v="0"/>
    <n v="0"/>
    <n v="0"/>
    <x v="0"/>
    <m/>
  </r>
  <r>
    <x v="0"/>
    <x v="11"/>
    <x v="33"/>
    <m/>
    <x v="2"/>
    <x v="14"/>
    <x v="3"/>
    <x v="451"/>
    <n v="200"/>
    <n v="1891"/>
    <m/>
    <m/>
    <m/>
    <m/>
    <m/>
    <m/>
    <m/>
    <m/>
    <m/>
    <m/>
    <m/>
    <m/>
    <m/>
    <m/>
    <m/>
    <m/>
    <m/>
    <m/>
    <m/>
    <m/>
    <m/>
    <m/>
    <m/>
    <m/>
    <m/>
    <m/>
    <m/>
    <m/>
    <m/>
    <m/>
    <m/>
    <m/>
    <m/>
    <m/>
    <m/>
    <m/>
    <m/>
    <m/>
    <m/>
    <x v="1"/>
    <x v="1"/>
    <m/>
    <m/>
    <m/>
    <m/>
    <m/>
    <m/>
    <m/>
    <m/>
    <m/>
    <m/>
    <m/>
    <n v="82"/>
    <n v="82"/>
    <m/>
    <m/>
    <m/>
    <m/>
    <s v="no test"/>
    <s v="no test"/>
    <x v="1"/>
    <n v="0"/>
    <n v="0"/>
    <n v="0"/>
    <n v="0"/>
    <n v="0"/>
    <n v="0"/>
    <n v="0"/>
    <n v="0"/>
    <n v="0"/>
    <n v="0"/>
    <n v="0"/>
    <n v="0"/>
    <n v="0"/>
    <n v="0"/>
    <n v="1"/>
    <n v="1891"/>
    <n v="4"/>
    <n v="4"/>
    <n v="0"/>
    <n v="0"/>
    <n v="0"/>
    <n v="0"/>
    <n v="0"/>
    <n v="38"/>
    <n v="38"/>
    <n v="1"/>
    <n v="0"/>
    <n v="0"/>
    <n v="410"/>
    <n v="410"/>
    <n v="410"/>
    <n v="410"/>
    <n v="0.2168164992067689"/>
    <n v="0.78318350079323107"/>
    <n v="0"/>
    <n v="0.41"/>
    <n v="0.41"/>
    <n v="0"/>
    <e v="#REF!"/>
    <n v="0"/>
    <n v="0"/>
    <x v="0"/>
    <n v="0"/>
    <n v="0"/>
    <x v="3"/>
    <x v="8"/>
    <x v="2"/>
    <n v="20.765670776367202"/>
    <n v="92.577812194824205"/>
    <n v="198401"/>
    <x v="0"/>
    <m/>
  </r>
  <r>
    <x v="0"/>
    <x v="11"/>
    <x v="11"/>
    <m/>
    <x v="2"/>
    <x v="14"/>
    <x v="3"/>
    <x v="452"/>
    <n v="10"/>
    <n v="61"/>
    <m/>
    <m/>
    <m/>
    <m/>
    <m/>
    <m/>
    <m/>
    <m/>
    <m/>
    <m/>
    <m/>
    <m/>
    <m/>
    <m/>
    <m/>
    <m/>
    <m/>
    <m/>
    <m/>
    <m/>
    <m/>
    <m/>
    <m/>
    <m/>
    <m/>
    <m/>
    <m/>
    <m/>
    <m/>
    <m/>
    <m/>
    <m/>
    <m/>
    <m/>
    <m/>
    <m/>
    <m/>
    <m/>
    <m/>
    <x v="1"/>
    <x v="1"/>
    <m/>
    <m/>
    <m/>
    <m/>
    <m/>
    <m/>
    <m/>
    <m/>
    <m/>
    <m/>
    <m/>
    <n v="10"/>
    <n v="10"/>
    <m/>
    <m/>
    <m/>
    <m/>
    <s v="no test"/>
    <s v="no test"/>
    <x v="1"/>
    <n v="0"/>
    <n v="0"/>
    <n v="0"/>
    <n v="0"/>
    <n v="0"/>
    <n v="0"/>
    <n v="0"/>
    <n v="0"/>
    <n v="0"/>
    <n v="0"/>
    <n v="0"/>
    <n v="0"/>
    <n v="0"/>
    <n v="0"/>
    <n v="1"/>
    <n v="61"/>
    <n v="1"/>
    <n v="1"/>
    <n v="0"/>
    <n v="0"/>
    <n v="0"/>
    <n v="0"/>
    <n v="0"/>
    <n v="1"/>
    <n v="1"/>
    <n v="1"/>
    <n v="0"/>
    <n v="0"/>
    <n v="61"/>
    <n v="61"/>
    <n v="61"/>
    <n v="61"/>
    <n v="1"/>
    <n v="0"/>
    <n v="0"/>
    <n v="1"/>
    <n v="1"/>
    <n v="0"/>
    <e v="#REF!"/>
    <n v="0"/>
    <n v="0"/>
    <x v="0"/>
    <n v="0"/>
    <n v="0"/>
    <x v="3"/>
    <x v="8"/>
    <x v="2"/>
    <n v="0"/>
    <n v="0"/>
    <n v="198362"/>
    <x v="0"/>
    <m/>
  </r>
  <r>
    <x v="0"/>
    <x v="11"/>
    <x v="33"/>
    <m/>
    <x v="2"/>
    <x v="14"/>
    <x v="3"/>
    <x v="453"/>
    <n v="41"/>
    <n v="166"/>
    <m/>
    <m/>
    <m/>
    <m/>
    <m/>
    <m/>
    <m/>
    <m/>
    <m/>
    <m/>
    <m/>
    <m/>
    <m/>
    <m/>
    <m/>
    <m/>
    <m/>
    <m/>
    <m/>
    <m/>
    <m/>
    <m/>
    <m/>
    <m/>
    <m/>
    <m/>
    <m/>
    <m/>
    <m/>
    <m/>
    <m/>
    <m/>
    <m/>
    <m/>
    <m/>
    <m/>
    <m/>
    <m/>
    <m/>
    <x v="1"/>
    <x v="1"/>
    <m/>
    <m/>
    <m/>
    <m/>
    <m/>
    <m/>
    <m/>
    <m/>
    <m/>
    <m/>
    <m/>
    <m/>
    <m/>
    <m/>
    <m/>
    <m/>
    <m/>
    <s v="no test"/>
    <s v="no test"/>
    <x v="1"/>
    <n v="0"/>
    <n v="0"/>
    <n v="0"/>
    <n v="0"/>
    <n v="0"/>
    <n v="0"/>
    <n v="0"/>
    <n v="0"/>
    <n v="0"/>
    <n v="0"/>
    <n v="0"/>
    <n v="0"/>
    <n v="0"/>
    <n v="0"/>
    <n v="1"/>
    <n v="166"/>
    <n v="1"/>
    <n v="1"/>
    <n v="0"/>
    <n v="0"/>
    <n v="0"/>
    <n v="0"/>
    <n v="0"/>
    <n v="3"/>
    <n v="3"/>
    <n v="1"/>
    <n v="0"/>
    <n v="0"/>
    <n v="0"/>
    <n v="0"/>
    <n v="0"/>
    <n v="0"/>
    <n v="0"/>
    <n v="1"/>
    <n v="0"/>
    <n v="0"/>
    <n v="0"/>
    <n v="0"/>
    <e v="#REF!"/>
    <n v="0"/>
    <n v="0"/>
    <x v="0"/>
    <n v="0"/>
    <n v="0"/>
    <x v="3"/>
    <x v="8"/>
    <x v="2"/>
    <n v="0"/>
    <n v="0"/>
    <n v="0"/>
    <x v="0"/>
    <m/>
  </r>
  <r>
    <x v="0"/>
    <x v="11"/>
    <x v="11"/>
    <m/>
    <x v="2"/>
    <x v="14"/>
    <x v="3"/>
    <x v="454"/>
    <n v="55"/>
    <n v="314"/>
    <m/>
    <m/>
    <m/>
    <m/>
    <m/>
    <m/>
    <m/>
    <m/>
    <m/>
    <m/>
    <m/>
    <m/>
    <m/>
    <m/>
    <m/>
    <m/>
    <m/>
    <m/>
    <m/>
    <m/>
    <m/>
    <m/>
    <m/>
    <m/>
    <m/>
    <m/>
    <m/>
    <m/>
    <m/>
    <m/>
    <m/>
    <m/>
    <m/>
    <m/>
    <m/>
    <m/>
    <m/>
    <m/>
    <m/>
    <x v="1"/>
    <x v="1"/>
    <m/>
    <m/>
    <m/>
    <m/>
    <m/>
    <m/>
    <m/>
    <m/>
    <m/>
    <m/>
    <m/>
    <n v="55"/>
    <n v="55"/>
    <m/>
    <m/>
    <m/>
    <m/>
    <s v="no test"/>
    <s v="no test"/>
    <x v="1"/>
    <n v="0"/>
    <n v="0"/>
    <n v="0"/>
    <n v="0"/>
    <n v="0"/>
    <n v="0"/>
    <n v="0"/>
    <n v="0"/>
    <n v="0"/>
    <n v="0"/>
    <n v="0"/>
    <n v="0"/>
    <n v="0"/>
    <n v="0"/>
    <n v="1"/>
    <n v="314"/>
    <n v="1"/>
    <n v="1"/>
    <n v="0"/>
    <n v="0"/>
    <n v="0"/>
    <n v="0"/>
    <n v="0"/>
    <n v="6"/>
    <n v="6"/>
    <n v="1"/>
    <n v="0"/>
    <n v="0"/>
    <n v="314"/>
    <n v="314"/>
    <n v="314"/>
    <n v="314"/>
    <n v="1"/>
    <n v="0"/>
    <n v="0"/>
    <n v="1"/>
    <n v="1"/>
    <n v="0"/>
    <e v="#REF!"/>
    <n v="0"/>
    <n v="0"/>
    <x v="0"/>
    <n v="0"/>
    <n v="0"/>
    <x v="3"/>
    <x v="8"/>
    <x v="2"/>
    <n v="0"/>
    <n v="0"/>
    <n v="0"/>
    <x v="0"/>
    <m/>
  </r>
  <r>
    <x v="0"/>
    <x v="11"/>
    <x v="33"/>
    <m/>
    <x v="2"/>
    <x v="14"/>
    <x v="3"/>
    <x v="455"/>
    <n v="521"/>
    <n v="1995"/>
    <m/>
    <m/>
    <m/>
    <m/>
    <m/>
    <m/>
    <m/>
    <m/>
    <m/>
    <m/>
    <m/>
    <m/>
    <m/>
    <m/>
    <m/>
    <m/>
    <m/>
    <m/>
    <m/>
    <m/>
    <m/>
    <m/>
    <m/>
    <m/>
    <m/>
    <m/>
    <m/>
    <m/>
    <m/>
    <m/>
    <m/>
    <m/>
    <m/>
    <m/>
    <m/>
    <m/>
    <m/>
    <m/>
    <m/>
    <x v="1"/>
    <x v="1"/>
    <m/>
    <m/>
    <m/>
    <m/>
    <m/>
    <m/>
    <m/>
    <m/>
    <m/>
    <m/>
    <m/>
    <n v="75"/>
    <n v="75"/>
    <m/>
    <m/>
    <m/>
    <m/>
    <s v="no test"/>
    <s v="no test"/>
    <x v="1"/>
    <n v="0"/>
    <n v="0"/>
    <n v="0"/>
    <n v="0"/>
    <n v="0"/>
    <n v="0"/>
    <n v="0"/>
    <n v="0"/>
    <n v="0"/>
    <n v="0"/>
    <n v="0"/>
    <n v="0"/>
    <n v="0"/>
    <n v="0"/>
    <n v="1"/>
    <n v="1995"/>
    <n v="4"/>
    <n v="4"/>
    <n v="0"/>
    <n v="0"/>
    <n v="0"/>
    <n v="0"/>
    <n v="0"/>
    <n v="40"/>
    <n v="40"/>
    <n v="1"/>
    <n v="0"/>
    <n v="0"/>
    <n v="375"/>
    <n v="375"/>
    <n v="375"/>
    <n v="375"/>
    <n v="0.18796992481203006"/>
    <n v="0.81203007518796988"/>
    <n v="0"/>
    <n v="0.14395393474088292"/>
    <n v="0.14395393474088292"/>
    <n v="0"/>
    <e v="#REF!"/>
    <n v="0"/>
    <n v="0"/>
    <x v="0"/>
    <n v="0"/>
    <n v="0"/>
    <x v="3"/>
    <x v="8"/>
    <x v="2"/>
    <n v="20.8608493804932"/>
    <n v="92.539390563964801"/>
    <n v="198326"/>
    <x v="0"/>
    <m/>
  </r>
  <r>
    <x v="0"/>
    <x v="23"/>
    <x v="24"/>
    <m/>
    <x v="2"/>
    <x v="21"/>
    <x v="3"/>
    <x v="456"/>
    <n v="103"/>
    <n v="534"/>
    <m/>
    <m/>
    <m/>
    <m/>
    <m/>
    <m/>
    <m/>
    <m/>
    <m/>
    <m/>
    <m/>
    <m/>
    <m/>
    <m/>
    <m/>
    <m/>
    <m/>
    <m/>
    <m/>
    <m/>
    <m/>
    <m/>
    <m/>
    <m/>
    <m/>
    <m/>
    <m/>
    <m/>
    <m/>
    <m/>
    <m/>
    <n v="30"/>
    <m/>
    <m/>
    <m/>
    <m/>
    <m/>
    <m/>
    <m/>
    <x v="1"/>
    <x v="1"/>
    <m/>
    <m/>
    <m/>
    <m/>
    <m/>
    <m/>
    <m/>
    <m/>
    <m/>
    <m/>
    <m/>
    <m/>
    <m/>
    <m/>
    <m/>
    <m/>
    <m/>
    <s v="no test"/>
    <s v="no test"/>
    <x v="1"/>
    <n v="0"/>
    <n v="0"/>
    <n v="0"/>
    <n v="0"/>
    <n v="0"/>
    <n v="0"/>
    <n v="0"/>
    <n v="0"/>
    <n v="0"/>
    <n v="0"/>
    <n v="0"/>
    <n v="0"/>
    <n v="0"/>
    <n v="0"/>
    <n v="1"/>
    <n v="534"/>
    <n v="1"/>
    <n v="1"/>
    <n v="30"/>
    <n v="1"/>
    <n v="534"/>
    <n v="0"/>
    <n v="0"/>
    <n v="11"/>
    <n v="0"/>
    <n v="0"/>
    <n v="0"/>
    <n v="0"/>
    <n v="0"/>
    <n v="0"/>
    <n v="0"/>
    <n v="0"/>
    <n v="0"/>
    <n v="1"/>
    <n v="0"/>
    <n v="0"/>
    <n v="0"/>
    <n v="0"/>
    <e v="#REF!"/>
    <n v="0"/>
    <n v="0"/>
    <x v="0"/>
    <n v="0"/>
    <n v="0"/>
    <x v="3"/>
    <x v="8"/>
    <x v="4"/>
    <n v="20.688629150000001"/>
    <n v="92.652481080000001"/>
    <n v="197669"/>
    <x v="0"/>
    <m/>
  </r>
  <r>
    <x v="0"/>
    <x v="2"/>
    <x v="2"/>
    <m/>
    <x v="2"/>
    <x v="21"/>
    <x v="3"/>
    <x v="457"/>
    <n v="8"/>
    <n v="16"/>
    <m/>
    <m/>
    <m/>
    <m/>
    <m/>
    <m/>
    <m/>
    <m/>
    <m/>
    <m/>
    <m/>
    <m/>
    <m/>
    <m/>
    <m/>
    <m/>
    <m/>
    <m/>
    <m/>
    <m/>
    <m/>
    <m/>
    <m/>
    <m/>
    <m/>
    <m/>
    <m/>
    <m/>
    <m/>
    <m/>
    <m/>
    <m/>
    <m/>
    <m/>
    <m/>
    <m/>
    <m/>
    <m/>
    <m/>
    <x v="1"/>
    <x v="1"/>
    <m/>
    <m/>
    <m/>
    <m/>
    <m/>
    <m/>
    <m/>
    <m/>
    <m/>
    <m/>
    <m/>
    <m/>
    <m/>
    <m/>
    <m/>
    <m/>
    <m/>
    <s v="no test"/>
    <s v="no test"/>
    <x v="1"/>
    <n v="0"/>
    <n v="0"/>
    <n v="0"/>
    <n v="0"/>
    <n v="0"/>
    <n v="0"/>
    <n v="0"/>
    <n v="0"/>
    <n v="0"/>
    <n v="0"/>
    <n v="0"/>
    <n v="0"/>
    <n v="0"/>
    <n v="0"/>
    <n v="1"/>
    <n v="16"/>
    <n v="1"/>
    <n v="1"/>
    <n v="0"/>
    <n v="0"/>
    <n v="0"/>
    <n v="0"/>
    <n v="0"/>
    <n v="0"/>
    <n v="0"/>
    <n v="1"/>
    <n v="0"/>
    <n v="0"/>
    <n v="0"/>
    <n v="0"/>
    <n v="0"/>
    <n v="0"/>
    <n v="0"/>
    <n v="1"/>
    <n v="0"/>
    <n v="0"/>
    <n v="0"/>
    <n v="0"/>
    <e v="#REF!"/>
    <n v="0"/>
    <n v="0"/>
    <x v="0"/>
    <n v="0"/>
    <n v="0"/>
    <x v="3"/>
    <x v="8"/>
    <x v="2"/>
    <n v="20.575780868530298"/>
    <n v="92.670402526855497"/>
    <n v="197589"/>
    <x v="1"/>
    <m/>
  </r>
  <r>
    <x v="0"/>
    <x v="2"/>
    <x v="2"/>
    <m/>
    <x v="2"/>
    <x v="21"/>
    <x v="3"/>
    <x v="458"/>
    <n v="59"/>
    <n v="255"/>
    <m/>
    <m/>
    <m/>
    <m/>
    <m/>
    <m/>
    <m/>
    <m/>
    <m/>
    <m/>
    <m/>
    <m/>
    <m/>
    <m/>
    <m/>
    <m/>
    <m/>
    <m/>
    <m/>
    <m/>
    <m/>
    <m/>
    <m/>
    <m/>
    <m/>
    <m/>
    <m/>
    <m/>
    <m/>
    <m/>
    <m/>
    <m/>
    <m/>
    <m/>
    <m/>
    <m/>
    <m/>
    <m/>
    <m/>
    <x v="1"/>
    <x v="1"/>
    <m/>
    <m/>
    <m/>
    <m/>
    <m/>
    <m/>
    <m/>
    <m/>
    <m/>
    <m/>
    <m/>
    <m/>
    <m/>
    <m/>
    <m/>
    <m/>
    <m/>
    <s v="no test"/>
    <s v="no test"/>
    <x v="1"/>
    <n v="0"/>
    <n v="0"/>
    <n v="0"/>
    <n v="0"/>
    <n v="0"/>
    <n v="0"/>
    <n v="0"/>
    <n v="0"/>
    <n v="0"/>
    <n v="0"/>
    <n v="0"/>
    <n v="0"/>
    <n v="0"/>
    <n v="0"/>
    <n v="1"/>
    <n v="255"/>
    <n v="1"/>
    <n v="1"/>
    <n v="0"/>
    <n v="0"/>
    <n v="0"/>
    <n v="0"/>
    <n v="0"/>
    <n v="5"/>
    <n v="5"/>
    <n v="1"/>
    <n v="0"/>
    <n v="0"/>
    <n v="0"/>
    <n v="0"/>
    <n v="0"/>
    <n v="0"/>
    <n v="0"/>
    <n v="1"/>
    <n v="0"/>
    <n v="0"/>
    <n v="0"/>
    <n v="0"/>
    <e v="#REF!"/>
    <n v="0"/>
    <n v="0"/>
    <x v="0"/>
    <n v="0"/>
    <n v="0"/>
    <x v="3"/>
    <x v="8"/>
    <x v="4"/>
    <n v="20.66592979"/>
    <n v="92.672691349999994"/>
    <n v="197673"/>
    <x v="1"/>
    <m/>
  </r>
  <r>
    <x v="0"/>
    <x v="2"/>
    <x v="2"/>
    <m/>
    <x v="2"/>
    <x v="21"/>
    <x v="3"/>
    <x v="459"/>
    <n v="103"/>
    <n v="347"/>
    <m/>
    <m/>
    <m/>
    <m/>
    <m/>
    <m/>
    <m/>
    <m/>
    <m/>
    <m/>
    <m/>
    <m/>
    <m/>
    <m/>
    <m/>
    <m/>
    <m/>
    <m/>
    <m/>
    <m/>
    <m/>
    <m/>
    <m/>
    <m/>
    <m/>
    <m/>
    <m/>
    <m/>
    <m/>
    <m/>
    <m/>
    <m/>
    <m/>
    <m/>
    <m/>
    <m/>
    <m/>
    <m/>
    <m/>
    <x v="1"/>
    <x v="1"/>
    <m/>
    <m/>
    <m/>
    <m/>
    <m/>
    <m/>
    <m/>
    <m/>
    <m/>
    <m/>
    <m/>
    <m/>
    <m/>
    <m/>
    <m/>
    <m/>
    <m/>
    <s v="no test"/>
    <s v="no test"/>
    <x v="1"/>
    <n v="0"/>
    <n v="0"/>
    <n v="0"/>
    <n v="0"/>
    <n v="0"/>
    <n v="0"/>
    <n v="0"/>
    <n v="0"/>
    <n v="0"/>
    <n v="0"/>
    <n v="0"/>
    <n v="0"/>
    <n v="0"/>
    <n v="0"/>
    <n v="1"/>
    <n v="347"/>
    <n v="1"/>
    <n v="1"/>
    <n v="0"/>
    <n v="0"/>
    <n v="0"/>
    <n v="0"/>
    <n v="0"/>
    <n v="7"/>
    <n v="7"/>
    <n v="1"/>
    <n v="0"/>
    <n v="0"/>
    <n v="0"/>
    <n v="0"/>
    <n v="0"/>
    <n v="0"/>
    <n v="0"/>
    <n v="1"/>
    <n v="0"/>
    <n v="0"/>
    <n v="0"/>
    <n v="0"/>
    <e v="#REF!"/>
    <n v="0"/>
    <n v="0"/>
    <x v="0"/>
    <n v="0"/>
    <n v="0"/>
    <x v="3"/>
    <x v="8"/>
    <x v="4"/>
    <n v="20.670539860000002"/>
    <n v="92.703033450000007"/>
    <n v="197675"/>
    <x v="1"/>
    <m/>
  </r>
  <r>
    <x v="0"/>
    <x v="2"/>
    <x v="2"/>
    <m/>
    <x v="2"/>
    <x v="21"/>
    <x v="3"/>
    <x v="460"/>
    <n v="16"/>
    <n v="54"/>
    <m/>
    <m/>
    <m/>
    <m/>
    <m/>
    <m/>
    <m/>
    <m/>
    <m/>
    <m/>
    <m/>
    <m/>
    <m/>
    <m/>
    <m/>
    <m/>
    <m/>
    <m/>
    <m/>
    <m/>
    <m/>
    <m/>
    <m/>
    <m/>
    <m/>
    <m/>
    <m/>
    <m/>
    <m/>
    <m/>
    <m/>
    <m/>
    <m/>
    <m/>
    <m/>
    <m/>
    <m/>
    <m/>
    <m/>
    <x v="1"/>
    <x v="1"/>
    <m/>
    <m/>
    <m/>
    <m/>
    <m/>
    <m/>
    <m/>
    <m/>
    <m/>
    <m/>
    <m/>
    <m/>
    <m/>
    <m/>
    <m/>
    <m/>
    <m/>
    <s v="no test"/>
    <s v="no test"/>
    <x v="1"/>
    <n v="0"/>
    <n v="0"/>
    <n v="0"/>
    <n v="0"/>
    <n v="0"/>
    <n v="0"/>
    <n v="0"/>
    <n v="0"/>
    <n v="0"/>
    <n v="0"/>
    <n v="0"/>
    <n v="0"/>
    <n v="0"/>
    <n v="0"/>
    <n v="1"/>
    <n v="54"/>
    <n v="1"/>
    <n v="1"/>
    <n v="0"/>
    <n v="0"/>
    <n v="0"/>
    <n v="0"/>
    <n v="0"/>
    <n v="1"/>
    <n v="1"/>
    <n v="1"/>
    <n v="0"/>
    <n v="0"/>
    <n v="0"/>
    <n v="0"/>
    <n v="0"/>
    <n v="0"/>
    <n v="0"/>
    <n v="1"/>
    <n v="0"/>
    <n v="0"/>
    <n v="0"/>
    <n v="0"/>
    <e v="#REF!"/>
    <n v="0"/>
    <n v="0"/>
    <x v="0"/>
    <n v="0"/>
    <n v="0"/>
    <x v="3"/>
    <x v="8"/>
    <x v="2"/>
    <n v="0"/>
    <n v="0"/>
    <n v="0"/>
    <x v="1"/>
    <m/>
  </r>
  <r>
    <x v="0"/>
    <x v="2"/>
    <x v="2"/>
    <m/>
    <x v="2"/>
    <x v="21"/>
    <x v="3"/>
    <x v="461"/>
    <n v="13"/>
    <n v="56"/>
    <m/>
    <m/>
    <m/>
    <m/>
    <m/>
    <m/>
    <m/>
    <m/>
    <m/>
    <m/>
    <m/>
    <m/>
    <m/>
    <m/>
    <m/>
    <m/>
    <m/>
    <m/>
    <m/>
    <m/>
    <m/>
    <m/>
    <m/>
    <m/>
    <m/>
    <m/>
    <m/>
    <m/>
    <m/>
    <m/>
    <m/>
    <m/>
    <m/>
    <m/>
    <m/>
    <m/>
    <m/>
    <m/>
    <m/>
    <x v="1"/>
    <x v="1"/>
    <m/>
    <m/>
    <m/>
    <m/>
    <m/>
    <m/>
    <m/>
    <m/>
    <m/>
    <m/>
    <m/>
    <m/>
    <m/>
    <m/>
    <m/>
    <m/>
    <m/>
    <s v="no test"/>
    <s v="no test"/>
    <x v="1"/>
    <n v="0"/>
    <n v="0"/>
    <n v="0"/>
    <n v="0"/>
    <n v="0"/>
    <n v="0"/>
    <n v="0"/>
    <n v="0"/>
    <n v="0"/>
    <n v="0"/>
    <n v="0"/>
    <n v="0"/>
    <n v="0"/>
    <n v="0"/>
    <n v="1"/>
    <n v="56"/>
    <n v="1"/>
    <n v="1"/>
    <n v="0"/>
    <n v="0"/>
    <n v="0"/>
    <n v="0"/>
    <n v="0"/>
    <n v="1"/>
    <n v="1"/>
    <n v="1"/>
    <n v="0"/>
    <n v="0"/>
    <n v="0"/>
    <n v="0"/>
    <n v="0"/>
    <n v="0"/>
    <n v="0"/>
    <n v="1"/>
    <n v="0"/>
    <n v="0"/>
    <n v="0"/>
    <n v="0"/>
    <e v="#REF!"/>
    <n v="0"/>
    <n v="0"/>
    <x v="0"/>
    <n v="0"/>
    <n v="0"/>
    <x v="3"/>
    <x v="8"/>
    <x v="2"/>
    <n v="20.631229400634801"/>
    <n v="92.641532897949205"/>
    <n v="197581"/>
    <x v="1"/>
    <m/>
  </r>
  <r>
    <x v="0"/>
    <x v="23"/>
    <x v="24"/>
    <m/>
    <x v="2"/>
    <x v="21"/>
    <x v="3"/>
    <x v="462"/>
    <n v="121"/>
    <n v="624"/>
    <m/>
    <m/>
    <m/>
    <m/>
    <m/>
    <m/>
    <m/>
    <m/>
    <m/>
    <m/>
    <m/>
    <m/>
    <m/>
    <m/>
    <m/>
    <m/>
    <m/>
    <m/>
    <m/>
    <m/>
    <m/>
    <m/>
    <m/>
    <m/>
    <m/>
    <m/>
    <m/>
    <m/>
    <m/>
    <m/>
    <m/>
    <n v="20"/>
    <m/>
    <m/>
    <m/>
    <m/>
    <m/>
    <m/>
    <m/>
    <x v="1"/>
    <x v="1"/>
    <m/>
    <m/>
    <m/>
    <m/>
    <m/>
    <m/>
    <m/>
    <m/>
    <m/>
    <m/>
    <m/>
    <m/>
    <m/>
    <m/>
    <m/>
    <m/>
    <m/>
    <s v="no test"/>
    <s v="no test"/>
    <x v="1"/>
    <n v="0"/>
    <n v="0"/>
    <n v="0"/>
    <n v="0"/>
    <n v="0"/>
    <n v="0"/>
    <n v="0"/>
    <n v="0"/>
    <n v="0"/>
    <n v="0"/>
    <n v="0"/>
    <n v="0"/>
    <n v="0"/>
    <n v="0"/>
    <n v="1"/>
    <n v="624"/>
    <n v="1"/>
    <n v="1"/>
    <n v="20"/>
    <n v="1"/>
    <n v="624"/>
    <n v="0"/>
    <n v="0"/>
    <n v="12"/>
    <n v="0"/>
    <n v="0"/>
    <n v="0"/>
    <n v="0"/>
    <n v="0"/>
    <n v="0"/>
    <n v="0"/>
    <n v="0"/>
    <n v="0"/>
    <n v="1"/>
    <n v="0"/>
    <n v="0"/>
    <n v="0"/>
    <n v="0"/>
    <e v="#REF!"/>
    <n v="0"/>
    <n v="0"/>
    <x v="0"/>
    <n v="0"/>
    <n v="0"/>
    <x v="3"/>
    <x v="8"/>
    <x v="2"/>
    <n v="20.586620330810501"/>
    <n v="92.689620971679702"/>
    <n v="220693"/>
    <x v="0"/>
    <m/>
  </r>
  <r>
    <x v="0"/>
    <x v="2"/>
    <x v="2"/>
    <m/>
    <x v="2"/>
    <x v="21"/>
    <x v="3"/>
    <x v="463"/>
    <n v="54"/>
    <n v="193"/>
    <m/>
    <m/>
    <m/>
    <m/>
    <m/>
    <m/>
    <m/>
    <m/>
    <m/>
    <m/>
    <m/>
    <m/>
    <m/>
    <m/>
    <m/>
    <m/>
    <m/>
    <m/>
    <m/>
    <m/>
    <m/>
    <m/>
    <m/>
    <m/>
    <m/>
    <m/>
    <m/>
    <m/>
    <m/>
    <m/>
    <m/>
    <m/>
    <m/>
    <m/>
    <m/>
    <m/>
    <m/>
    <m/>
    <m/>
    <x v="1"/>
    <x v="1"/>
    <m/>
    <m/>
    <m/>
    <m/>
    <m/>
    <m/>
    <m/>
    <m/>
    <m/>
    <m/>
    <m/>
    <m/>
    <m/>
    <m/>
    <m/>
    <m/>
    <m/>
    <s v="no test"/>
    <s v="no test"/>
    <x v="1"/>
    <n v="0"/>
    <n v="0"/>
    <n v="0"/>
    <n v="0"/>
    <n v="0"/>
    <n v="0"/>
    <n v="0"/>
    <n v="0"/>
    <n v="0"/>
    <n v="0"/>
    <n v="0"/>
    <n v="0"/>
    <n v="0"/>
    <n v="0"/>
    <n v="1"/>
    <n v="193"/>
    <n v="1"/>
    <n v="1"/>
    <n v="0"/>
    <n v="0"/>
    <n v="0"/>
    <n v="0"/>
    <n v="0"/>
    <n v="4"/>
    <n v="4"/>
    <n v="1"/>
    <n v="0"/>
    <n v="0"/>
    <n v="0"/>
    <n v="0"/>
    <n v="0"/>
    <n v="0"/>
    <n v="0"/>
    <n v="1"/>
    <n v="0"/>
    <n v="0"/>
    <n v="0"/>
    <n v="0"/>
    <e v="#REF!"/>
    <n v="0"/>
    <n v="0"/>
    <x v="0"/>
    <n v="0"/>
    <n v="0"/>
    <x v="3"/>
    <x v="8"/>
    <x v="2"/>
    <n v="0"/>
    <n v="0"/>
    <s v="MMR012008701503"/>
    <x v="1"/>
    <m/>
  </r>
  <r>
    <x v="0"/>
    <x v="30"/>
    <x v="31"/>
    <m/>
    <x v="2"/>
    <x v="21"/>
    <x v="3"/>
    <x v="464"/>
    <n v="33"/>
    <n v="188"/>
    <m/>
    <m/>
    <m/>
    <m/>
    <m/>
    <m/>
    <m/>
    <m/>
    <m/>
    <m/>
    <m/>
    <m/>
    <m/>
    <m/>
    <m/>
    <m/>
    <m/>
    <m/>
    <m/>
    <m/>
    <m/>
    <m/>
    <m/>
    <m/>
    <m/>
    <m/>
    <m/>
    <m/>
    <m/>
    <m/>
    <m/>
    <n v="10"/>
    <m/>
    <m/>
    <m/>
    <m/>
    <m/>
    <m/>
    <m/>
    <x v="1"/>
    <x v="1"/>
    <m/>
    <m/>
    <m/>
    <m/>
    <m/>
    <m/>
    <m/>
    <m/>
    <m/>
    <m/>
    <m/>
    <m/>
    <m/>
    <m/>
    <m/>
    <m/>
    <m/>
    <s v="no test"/>
    <s v="no test"/>
    <x v="1"/>
    <n v="0"/>
    <n v="0"/>
    <n v="0"/>
    <n v="0"/>
    <n v="0"/>
    <n v="0"/>
    <n v="0"/>
    <n v="0"/>
    <n v="0"/>
    <n v="0"/>
    <n v="0"/>
    <n v="0"/>
    <n v="0"/>
    <n v="0"/>
    <n v="1"/>
    <n v="188"/>
    <n v="1"/>
    <n v="1"/>
    <n v="10"/>
    <n v="1"/>
    <n v="188"/>
    <n v="0"/>
    <n v="0"/>
    <n v="4"/>
    <n v="0"/>
    <n v="0"/>
    <n v="0"/>
    <n v="0"/>
    <n v="0"/>
    <n v="0"/>
    <n v="0"/>
    <n v="0"/>
    <n v="0"/>
    <n v="1"/>
    <n v="0"/>
    <n v="0"/>
    <n v="0"/>
    <n v="0"/>
    <e v="#REF!"/>
    <n v="0"/>
    <n v="0"/>
    <x v="0"/>
    <n v="0"/>
    <n v="0"/>
    <x v="3"/>
    <x v="8"/>
    <x v="4"/>
    <n v="20.678159709999999"/>
    <n v="92.713821409999994"/>
    <n v="197683"/>
    <x v="0"/>
    <m/>
  </r>
  <r>
    <x v="0"/>
    <x v="32"/>
    <x v="34"/>
    <m/>
    <x v="2"/>
    <x v="21"/>
    <x v="3"/>
    <x v="465"/>
    <n v="84"/>
    <n v="423"/>
    <m/>
    <m/>
    <m/>
    <m/>
    <m/>
    <m/>
    <m/>
    <m/>
    <m/>
    <m/>
    <m/>
    <m/>
    <m/>
    <m/>
    <m/>
    <m/>
    <m/>
    <m/>
    <m/>
    <m/>
    <m/>
    <m/>
    <m/>
    <m/>
    <m/>
    <m/>
    <m/>
    <m/>
    <m/>
    <m/>
    <m/>
    <m/>
    <m/>
    <m/>
    <m/>
    <m/>
    <m/>
    <m/>
    <m/>
    <x v="1"/>
    <x v="1"/>
    <m/>
    <m/>
    <m/>
    <m/>
    <m/>
    <m/>
    <m/>
    <m/>
    <m/>
    <m/>
    <m/>
    <m/>
    <m/>
    <m/>
    <m/>
    <m/>
    <m/>
    <s v="no test"/>
    <s v="no test"/>
    <x v="1"/>
    <n v="0"/>
    <n v="0"/>
    <n v="0"/>
    <n v="0"/>
    <n v="0"/>
    <n v="0"/>
    <n v="0"/>
    <n v="0"/>
    <n v="0"/>
    <n v="0"/>
    <n v="0"/>
    <n v="0"/>
    <n v="0"/>
    <n v="0"/>
    <n v="1"/>
    <n v="423"/>
    <n v="1"/>
    <n v="1"/>
    <n v="0"/>
    <n v="0"/>
    <n v="0"/>
    <n v="0"/>
    <n v="0"/>
    <n v="8"/>
    <n v="8"/>
    <n v="1"/>
    <n v="0"/>
    <n v="0"/>
    <n v="0"/>
    <n v="0"/>
    <n v="0"/>
    <n v="0"/>
    <n v="0"/>
    <n v="1"/>
    <n v="0"/>
    <n v="0"/>
    <n v="0"/>
    <n v="0"/>
    <e v="#REF!"/>
    <n v="0"/>
    <n v="0"/>
    <x v="0"/>
    <n v="0"/>
    <n v="0"/>
    <x v="3"/>
    <x v="8"/>
    <x v="2"/>
    <n v="20.660871505737301"/>
    <n v="92.683090209960895"/>
    <n v="197677"/>
    <x v="0"/>
    <m/>
  </r>
  <r>
    <x v="0"/>
    <x v="32"/>
    <x v="34"/>
    <m/>
    <x v="2"/>
    <x v="21"/>
    <x v="3"/>
    <x v="466"/>
    <n v="20"/>
    <n v="113"/>
    <m/>
    <m/>
    <m/>
    <m/>
    <m/>
    <m/>
    <m/>
    <m/>
    <m/>
    <m/>
    <m/>
    <m/>
    <m/>
    <m/>
    <m/>
    <m/>
    <m/>
    <m/>
    <m/>
    <m/>
    <m/>
    <m/>
    <m/>
    <m/>
    <m/>
    <m/>
    <m/>
    <m/>
    <m/>
    <m/>
    <m/>
    <m/>
    <m/>
    <m/>
    <m/>
    <m/>
    <m/>
    <m/>
    <m/>
    <x v="1"/>
    <x v="1"/>
    <m/>
    <m/>
    <m/>
    <m/>
    <m/>
    <m/>
    <m/>
    <m/>
    <m/>
    <m/>
    <m/>
    <m/>
    <m/>
    <m/>
    <m/>
    <m/>
    <m/>
    <s v="no test"/>
    <s v="no test"/>
    <x v="1"/>
    <n v="0"/>
    <n v="0"/>
    <n v="0"/>
    <n v="0"/>
    <n v="0"/>
    <n v="0"/>
    <n v="0"/>
    <n v="0"/>
    <n v="0"/>
    <n v="0"/>
    <n v="0"/>
    <n v="0"/>
    <n v="0"/>
    <n v="0"/>
    <n v="1"/>
    <n v="113"/>
    <n v="1"/>
    <n v="1"/>
    <n v="0"/>
    <n v="0"/>
    <n v="0"/>
    <n v="0"/>
    <n v="0"/>
    <n v="2"/>
    <n v="2"/>
    <n v="1"/>
    <n v="0"/>
    <n v="0"/>
    <n v="0"/>
    <n v="0"/>
    <n v="0"/>
    <n v="0"/>
    <n v="0"/>
    <n v="1"/>
    <n v="0"/>
    <n v="0"/>
    <n v="0"/>
    <n v="0"/>
    <e v="#REF!"/>
    <n v="0"/>
    <n v="0"/>
    <x v="0"/>
    <n v="0"/>
    <n v="0"/>
    <x v="3"/>
    <x v="8"/>
    <x v="2"/>
    <n v="0"/>
    <n v="0"/>
    <n v="0"/>
    <x v="0"/>
    <m/>
  </r>
  <r>
    <x v="0"/>
    <x v="33"/>
    <x v="35"/>
    <m/>
    <x v="2"/>
    <x v="21"/>
    <x v="3"/>
    <x v="467"/>
    <n v="298"/>
    <n v="1260"/>
    <m/>
    <m/>
    <m/>
    <m/>
    <m/>
    <m/>
    <m/>
    <m/>
    <m/>
    <m/>
    <m/>
    <m/>
    <m/>
    <m/>
    <m/>
    <m/>
    <m/>
    <m/>
    <m/>
    <m/>
    <m/>
    <m/>
    <m/>
    <m/>
    <m/>
    <m/>
    <m/>
    <m/>
    <m/>
    <m/>
    <m/>
    <n v="20"/>
    <m/>
    <m/>
    <m/>
    <m/>
    <m/>
    <m/>
    <m/>
    <x v="1"/>
    <x v="1"/>
    <m/>
    <m/>
    <m/>
    <m/>
    <m/>
    <m/>
    <m/>
    <m/>
    <m/>
    <m/>
    <m/>
    <m/>
    <m/>
    <m/>
    <m/>
    <m/>
    <m/>
    <s v="no test"/>
    <s v="no test"/>
    <x v="1"/>
    <n v="0"/>
    <n v="0"/>
    <n v="0"/>
    <n v="0"/>
    <n v="0"/>
    <n v="0"/>
    <n v="0"/>
    <n v="0"/>
    <n v="0"/>
    <n v="0"/>
    <n v="0"/>
    <n v="0"/>
    <n v="0"/>
    <n v="0"/>
    <n v="1"/>
    <n v="1260"/>
    <n v="3"/>
    <n v="3"/>
    <n v="20"/>
    <n v="0.79365079365079361"/>
    <n v="1000"/>
    <n v="0"/>
    <n v="0"/>
    <n v="25"/>
    <n v="5"/>
    <n v="0.20634920634920639"/>
    <n v="0"/>
    <n v="0"/>
    <n v="0"/>
    <n v="0"/>
    <n v="0"/>
    <n v="0"/>
    <n v="0"/>
    <n v="1"/>
    <n v="0"/>
    <n v="0"/>
    <n v="0"/>
    <n v="0"/>
    <e v="#REF!"/>
    <n v="0"/>
    <n v="0"/>
    <x v="0"/>
    <n v="0"/>
    <n v="0"/>
    <x v="3"/>
    <x v="8"/>
    <x v="2"/>
    <n v="0"/>
    <n v="0"/>
    <n v="0"/>
    <x v="0"/>
    <m/>
  </r>
  <r>
    <x v="0"/>
    <x v="2"/>
    <x v="2"/>
    <m/>
    <x v="1"/>
    <x v="13"/>
    <x v="3"/>
    <x v="468"/>
    <n v="10"/>
    <n v="25"/>
    <m/>
    <m/>
    <m/>
    <m/>
    <m/>
    <m/>
    <m/>
    <m/>
    <m/>
    <m/>
    <m/>
    <m/>
    <m/>
    <m/>
    <m/>
    <m/>
    <m/>
    <m/>
    <m/>
    <m/>
    <m/>
    <m/>
    <m/>
    <m/>
    <m/>
    <m/>
    <m/>
    <m/>
    <m/>
    <m/>
    <m/>
    <m/>
    <m/>
    <m/>
    <m/>
    <m/>
    <m/>
    <m/>
    <m/>
    <x v="1"/>
    <x v="1"/>
    <m/>
    <m/>
    <m/>
    <m/>
    <m/>
    <m/>
    <m/>
    <m/>
    <m/>
    <m/>
    <m/>
    <m/>
    <m/>
    <m/>
    <m/>
    <m/>
    <m/>
    <s v="no test"/>
    <s v="no test"/>
    <x v="1"/>
    <n v="0"/>
    <n v="0"/>
    <n v="0"/>
    <n v="0"/>
    <n v="0"/>
    <n v="0"/>
    <n v="0"/>
    <n v="0"/>
    <n v="0"/>
    <n v="0"/>
    <n v="0"/>
    <n v="0"/>
    <n v="0"/>
    <n v="0"/>
    <n v="1"/>
    <n v="25"/>
    <n v="1"/>
    <n v="1"/>
    <n v="0"/>
    <n v="0"/>
    <n v="0"/>
    <n v="0"/>
    <n v="0"/>
    <n v="1"/>
    <n v="1"/>
    <n v="1"/>
    <n v="0"/>
    <n v="0"/>
    <n v="0"/>
    <n v="0"/>
    <n v="0"/>
    <n v="0"/>
    <n v="0"/>
    <n v="1"/>
    <n v="0"/>
    <n v="0"/>
    <n v="0"/>
    <n v="0"/>
    <e v="#REF!"/>
    <n v="0"/>
    <n v="0"/>
    <x v="0"/>
    <n v="0"/>
    <n v="0"/>
    <x v="3"/>
    <x v="8"/>
    <x v="2"/>
    <n v="20.343349456787099"/>
    <n v="93.121322631835895"/>
    <n v="197470"/>
    <x v="1"/>
    <m/>
  </r>
  <r>
    <x v="0"/>
    <x v="2"/>
    <x v="2"/>
    <m/>
    <x v="1"/>
    <x v="13"/>
    <x v="3"/>
    <x v="469"/>
    <n v="19"/>
    <n v="45"/>
    <m/>
    <m/>
    <m/>
    <m/>
    <m/>
    <m/>
    <m/>
    <m/>
    <m/>
    <m/>
    <m/>
    <m/>
    <m/>
    <m/>
    <m/>
    <m/>
    <m/>
    <m/>
    <m/>
    <m/>
    <m/>
    <m/>
    <m/>
    <m/>
    <m/>
    <m/>
    <m/>
    <m/>
    <m/>
    <m/>
    <m/>
    <m/>
    <m/>
    <m/>
    <m/>
    <m/>
    <m/>
    <m/>
    <m/>
    <x v="1"/>
    <x v="1"/>
    <m/>
    <m/>
    <m/>
    <m/>
    <m/>
    <m/>
    <m/>
    <m/>
    <m/>
    <m/>
    <m/>
    <m/>
    <m/>
    <m/>
    <m/>
    <m/>
    <m/>
    <s v="no test"/>
    <s v="no test"/>
    <x v="1"/>
    <n v="0"/>
    <n v="0"/>
    <n v="0"/>
    <n v="0"/>
    <n v="0"/>
    <n v="0"/>
    <n v="0"/>
    <n v="0"/>
    <n v="0"/>
    <n v="0"/>
    <n v="0"/>
    <n v="0"/>
    <n v="0"/>
    <n v="0"/>
    <n v="1"/>
    <n v="45"/>
    <n v="1"/>
    <n v="1"/>
    <n v="0"/>
    <n v="0"/>
    <n v="0"/>
    <n v="0"/>
    <n v="0"/>
    <n v="1"/>
    <n v="1"/>
    <n v="1"/>
    <n v="0"/>
    <n v="0"/>
    <n v="0"/>
    <n v="0"/>
    <n v="0"/>
    <n v="0"/>
    <n v="0"/>
    <n v="1"/>
    <n v="0"/>
    <n v="0"/>
    <n v="0"/>
    <n v="0"/>
    <e v="#REF!"/>
    <n v="0"/>
    <n v="0"/>
    <x v="0"/>
    <n v="0"/>
    <n v="0"/>
    <x v="3"/>
    <x v="8"/>
    <x v="2"/>
    <n v="0"/>
    <n v="0"/>
    <s v="MMR012007701505"/>
    <x v="1"/>
    <m/>
  </r>
  <r>
    <x v="0"/>
    <x v="34"/>
    <x v="36"/>
    <m/>
    <x v="1"/>
    <x v="22"/>
    <x v="3"/>
    <x v="470"/>
    <n v="417"/>
    <n v="2027"/>
    <m/>
    <m/>
    <m/>
    <m/>
    <m/>
    <m/>
    <m/>
    <m/>
    <m/>
    <m/>
    <m/>
    <m/>
    <m/>
    <m/>
    <m/>
    <m/>
    <m/>
    <m/>
    <m/>
    <m/>
    <m/>
    <m/>
    <m/>
    <m/>
    <m/>
    <m/>
    <m/>
    <m/>
    <m/>
    <m/>
    <m/>
    <n v="30"/>
    <m/>
    <m/>
    <m/>
    <m/>
    <m/>
    <m/>
    <m/>
    <x v="1"/>
    <x v="1"/>
    <m/>
    <m/>
    <m/>
    <m/>
    <m/>
    <m/>
    <m/>
    <m/>
    <m/>
    <m/>
    <m/>
    <n v="122"/>
    <n v="122"/>
    <m/>
    <m/>
    <m/>
    <m/>
    <s v="no test"/>
    <s v="no test"/>
    <x v="1"/>
    <n v="0"/>
    <n v="0"/>
    <n v="0"/>
    <n v="0"/>
    <n v="0"/>
    <n v="0"/>
    <n v="0"/>
    <n v="0"/>
    <n v="0"/>
    <n v="0"/>
    <n v="0"/>
    <n v="0"/>
    <n v="0"/>
    <n v="0"/>
    <n v="1"/>
    <n v="2027"/>
    <n v="4"/>
    <n v="4"/>
    <n v="30"/>
    <n v="0.740009866798224"/>
    <n v="1500"/>
    <n v="0"/>
    <n v="0"/>
    <n v="41"/>
    <n v="11"/>
    <n v="0.259990133201776"/>
    <n v="0"/>
    <n v="0"/>
    <n v="610"/>
    <n v="610"/>
    <n v="610"/>
    <n v="610"/>
    <n v="0.30093734583127774"/>
    <n v="0.69906265416872226"/>
    <n v="0"/>
    <n v="0.29256594724220625"/>
    <n v="0.29256594724220625"/>
    <n v="0"/>
    <e v="#REF!"/>
    <n v="0"/>
    <n v="0"/>
    <x v="0"/>
    <n v="0"/>
    <n v="0"/>
    <x v="3"/>
    <x v="8"/>
    <x v="2"/>
    <n v="20.686229705810501"/>
    <n v="93.220001220703097"/>
    <n v="196453"/>
    <x v="0"/>
    <m/>
  </r>
  <r>
    <x v="0"/>
    <x v="35"/>
    <x v="37"/>
    <m/>
    <x v="1"/>
    <x v="22"/>
    <x v="3"/>
    <x v="471"/>
    <n v="446"/>
    <n v="2290"/>
    <m/>
    <m/>
    <m/>
    <m/>
    <m/>
    <m/>
    <m/>
    <m/>
    <m/>
    <m/>
    <m/>
    <m/>
    <m/>
    <m/>
    <m/>
    <m/>
    <m/>
    <m/>
    <m/>
    <m/>
    <m/>
    <m/>
    <m/>
    <m/>
    <m/>
    <m/>
    <m/>
    <m/>
    <m/>
    <m/>
    <m/>
    <m/>
    <m/>
    <m/>
    <m/>
    <m/>
    <m/>
    <m/>
    <m/>
    <x v="1"/>
    <x v="1"/>
    <m/>
    <m/>
    <m/>
    <m/>
    <m/>
    <m/>
    <m/>
    <m/>
    <m/>
    <m/>
    <m/>
    <n v="100"/>
    <n v="100"/>
    <m/>
    <m/>
    <m/>
    <m/>
    <s v="no test"/>
    <s v="no test"/>
    <x v="1"/>
    <n v="0"/>
    <n v="0"/>
    <n v="0"/>
    <n v="0"/>
    <n v="0"/>
    <n v="0"/>
    <n v="0"/>
    <n v="0"/>
    <n v="0"/>
    <n v="0"/>
    <n v="0"/>
    <n v="0"/>
    <n v="0"/>
    <n v="0"/>
    <n v="1"/>
    <n v="2290"/>
    <n v="5"/>
    <n v="5"/>
    <n v="0"/>
    <n v="0"/>
    <n v="0"/>
    <n v="0"/>
    <n v="0"/>
    <n v="46"/>
    <n v="46"/>
    <n v="1"/>
    <n v="0"/>
    <n v="0"/>
    <n v="500"/>
    <n v="500"/>
    <n v="500"/>
    <n v="500"/>
    <n v="0.2183406113537118"/>
    <n v="0.78165938864628814"/>
    <n v="0"/>
    <n v="0.22421524663677131"/>
    <n v="0.22421524663677131"/>
    <n v="0"/>
    <e v="#REF!"/>
    <n v="0"/>
    <n v="0"/>
    <x v="0"/>
    <n v="0"/>
    <n v="0"/>
    <x v="3"/>
    <x v="8"/>
    <x v="2"/>
    <n v="20.686229705810501"/>
    <n v="93.220001220703097"/>
    <n v="196453"/>
    <x v="0"/>
    <m/>
  </r>
  <r>
    <x v="0"/>
    <x v="36"/>
    <x v="10"/>
    <s v="OFDA"/>
    <x v="2"/>
    <x v="14"/>
    <x v="2"/>
    <x v="472"/>
    <n v="38"/>
    <n v="184"/>
    <d v="2018-05-31T00:00:00"/>
    <d v="2019-07-31T00:00:00"/>
    <m/>
    <m/>
    <m/>
    <m/>
    <m/>
    <m/>
    <m/>
    <n v="0"/>
    <n v="0"/>
    <n v="0"/>
    <n v="1"/>
    <n v="2"/>
    <n v="0"/>
    <n v="0"/>
    <n v="0"/>
    <n v="0"/>
    <n v="0"/>
    <m/>
    <n v="1"/>
    <m/>
    <m/>
    <n v="0"/>
    <n v="1"/>
    <n v="0"/>
    <n v="1"/>
    <n v="1"/>
    <n v="0"/>
    <n v="1"/>
    <m/>
    <n v="24"/>
    <n v="0"/>
    <m/>
    <m/>
    <m/>
    <m/>
    <m/>
    <n v="24"/>
    <x v="0"/>
    <x v="4"/>
    <n v="0"/>
    <m/>
    <n v="0"/>
    <m/>
    <m/>
    <m/>
    <m/>
    <m/>
    <m/>
    <n v="1"/>
    <n v="0"/>
    <n v="38"/>
    <n v="38"/>
    <s v="No"/>
    <n v="2"/>
    <m/>
    <m/>
    <n v="0"/>
    <n v="1"/>
    <x v="0"/>
    <n v="0"/>
    <n v="3"/>
    <n v="0"/>
    <n v="0"/>
    <n v="0"/>
    <n v="1"/>
    <n v="1"/>
    <n v="1"/>
    <n v="184"/>
    <n v="1"/>
    <n v="184"/>
    <n v="1"/>
    <n v="184"/>
    <n v="0.36799999999999999"/>
    <n v="0"/>
    <n v="0"/>
    <n v="0.63200000000000001"/>
    <n v="1"/>
    <n v="24"/>
    <n v="0.78260869565217395"/>
    <n v="144"/>
    <s v="N/A"/>
    <s v="NA"/>
    <n v="31"/>
    <n v="7"/>
    <n v="0.21739130434782605"/>
    <n v="0"/>
    <n v="184"/>
    <n v="184"/>
    <n v="184"/>
    <n v="184"/>
    <n v="184"/>
    <n v="1"/>
    <n v="0"/>
    <n v="1"/>
    <n v="1"/>
    <n v="1"/>
    <n v="0"/>
    <e v="#REF!"/>
    <n v="0"/>
    <n v="0"/>
    <x v="0"/>
    <n v="0"/>
    <n v="0"/>
    <x v="2"/>
    <x v="6"/>
    <x v="2"/>
    <n v="20.813840866088899"/>
    <n v="92.599952697753906"/>
    <n v="198357"/>
    <x v="0"/>
    <m/>
  </r>
  <r>
    <x v="0"/>
    <x v="36"/>
    <x v="10"/>
    <s v="OFDA"/>
    <x v="2"/>
    <x v="14"/>
    <x v="3"/>
    <x v="473"/>
    <n v="41"/>
    <n v="172"/>
    <d v="2018-05-31T00:00:00"/>
    <d v="2019-07-31T00:00:00"/>
    <m/>
    <m/>
    <m/>
    <m/>
    <m/>
    <m/>
    <m/>
    <n v="0"/>
    <n v="0"/>
    <n v="0"/>
    <n v="2"/>
    <n v="0"/>
    <n v="0"/>
    <n v="0"/>
    <n v="0"/>
    <n v="1"/>
    <n v="0"/>
    <m/>
    <n v="2"/>
    <m/>
    <m/>
    <n v="0"/>
    <n v="1"/>
    <n v="0"/>
    <n v="1"/>
    <n v="1"/>
    <n v="1"/>
    <n v="1"/>
    <m/>
    <n v="0"/>
    <n v="0"/>
    <m/>
    <m/>
    <m/>
    <m/>
    <m/>
    <n v="0"/>
    <x v="2"/>
    <x v="4"/>
    <n v="0"/>
    <m/>
    <n v="6"/>
    <m/>
    <m/>
    <m/>
    <m/>
    <m/>
    <m/>
    <n v="1"/>
    <n v="1"/>
    <n v="41"/>
    <n v="0"/>
    <s v="No"/>
    <n v="2"/>
    <m/>
    <m/>
    <n v="0"/>
    <n v="1"/>
    <x v="0"/>
    <n v="0"/>
    <n v="2"/>
    <n v="-1"/>
    <n v="0"/>
    <n v="0"/>
    <n v="1"/>
    <n v="1"/>
    <n v="1"/>
    <n v="172"/>
    <n v="1"/>
    <n v="172"/>
    <n v="1"/>
    <n v="172"/>
    <n v="0.34399999999999997"/>
    <n v="0"/>
    <n v="0"/>
    <n v="0.65600000000000003"/>
    <n v="1"/>
    <n v="0"/>
    <n v="0"/>
    <n v="0"/>
    <n v="0"/>
    <n v="0"/>
    <n v="3"/>
    <n v="3"/>
    <n v="1"/>
    <n v="0"/>
    <n v="172"/>
    <n v="172"/>
    <n v="0"/>
    <n v="172"/>
    <n v="172"/>
    <n v="1"/>
    <n v="0"/>
    <n v="1"/>
    <n v="1"/>
    <n v="0"/>
    <n v="0"/>
    <e v="#REF!"/>
    <n v="0"/>
    <n v="0"/>
    <x v="0"/>
    <n v="0"/>
    <n v="0"/>
    <x v="3"/>
    <x v="8"/>
    <x v="4"/>
    <n v="20.818290709999999"/>
    <n v="92.594978330000004"/>
    <n v="217876"/>
    <x v="0"/>
    <m/>
  </r>
  <r>
    <x v="0"/>
    <x v="36"/>
    <x v="10"/>
    <s v="OFDA"/>
    <x v="2"/>
    <x v="14"/>
    <x v="2"/>
    <x v="474"/>
    <n v="105"/>
    <n v="523"/>
    <d v="2018-05-31T00:00:00"/>
    <d v="2019-07-31T00:00:00"/>
    <m/>
    <m/>
    <m/>
    <m/>
    <m/>
    <m/>
    <m/>
    <n v="0"/>
    <n v="0"/>
    <n v="0"/>
    <n v="2"/>
    <n v="1"/>
    <n v="0"/>
    <n v="0"/>
    <n v="0"/>
    <n v="0"/>
    <n v="0"/>
    <m/>
    <n v="1"/>
    <m/>
    <m/>
    <n v="0"/>
    <n v="1"/>
    <n v="0"/>
    <n v="1"/>
    <n v="1"/>
    <n v="0"/>
    <n v="0"/>
    <m/>
    <n v="0"/>
    <n v="0"/>
    <m/>
    <m/>
    <m/>
    <m/>
    <m/>
    <n v="0"/>
    <x v="2"/>
    <x v="2"/>
    <n v="0"/>
    <m/>
    <n v="0"/>
    <m/>
    <m/>
    <m/>
    <m/>
    <m/>
    <m/>
    <n v="1"/>
    <n v="0"/>
    <n v="105"/>
    <n v="0"/>
    <s v="No"/>
    <n v="1"/>
    <m/>
    <m/>
    <n v="0"/>
    <n v="1"/>
    <x v="0"/>
    <n v="0"/>
    <n v="3"/>
    <n v="0"/>
    <n v="0"/>
    <n v="0"/>
    <n v="1"/>
    <n v="1"/>
    <n v="1"/>
    <n v="523"/>
    <n v="0.47801147227533458"/>
    <n v="250"/>
    <n v="1"/>
    <n v="523"/>
    <n v="1.046"/>
    <n v="0"/>
    <n v="0"/>
    <n v="0"/>
    <n v="1"/>
    <n v="0"/>
    <n v="0"/>
    <n v="0"/>
    <s v="N/A"/>
    <s v="NA"/>
    <n v="87"/>
    <n v="87"/>
    <n v="1"/>
    <n v="0"/>
    <n v="500"/>
    <n v="523"/>
    <n v="0"/>
    <n v="523"/>
    <n v="523"/>
    <n v="1"/>
    <n v="0"/>
    <n v="0.95602294455066916"/>
    <n v="1"/>
    <n v="0"/>
    <n v="0"/>
    <e v="#REF!"/>
    <n v="0"/>
    <n v="0"/>
    <x v="0"/>
    <n v="0"/>
    <n v="0"/>
    <x v="2"/>
    <x v="6"/>
    <x v="3"/>
    <n v="20.806030270000001"/>
    <n v="92.601951600000007"/>
    <n v="198369"/>
    <x v="0"/>
    <m/>
  </r>
  <r>
    <x v="0"/>
    <x v="36"/>
    <x v="10"/>
    <s v="OFDA"/>
    <x v="2"/>
    <x v="14"/>
    <x v="2"/>
    <x v="475"/>
    <n v="311"/>
    <n v="1713"/>
    <d v="2018-05-31T00:00:00"/>
    <d v="2019-07-31T00:00:00"/>
    <m/>
    <m/>
    <m/>
    <m/>
    <m/>
    <m/>
    <m/>
    <n v="3"/>
    <n v="0"/>
    <n v="0"/>
    <n v="0"/>
    <n v="0"/>
    <n v="0"/>
    <n v="0"/>
    <n v="1"/>
    <n v="0"/>
    <n v="1"/>
    <m/>
    <n v="2"/>
    <m/>
    <m/>
    <n v="1"/>
    <n v="1"/>
    <n v="0"/>
    <n v="1"/>
    <n v="1"/>
    <n v="1"/>
    <n v="1"/>
    <m/>
    <n v="0"/>
    <n v="2"/>
    <m/>
    <m/>
    <m/>
    <m/>
    <m/>
    <n v="0"/>
    <x v="2"/>
    <x v="3"/>
    <n v="2"/>
    <m/>
    <n v="8"/>
    <m/>
    <m/>
    <m/>
    <m/>
    <m/>
    <m/>
    <n v="1"/>
    <n v="2"/>
    <n v="311"/>
    <n v="0"/>
    <s v="No"/>
    <n v="1"/>
    <m/>
    <m/>
    <n v="0"/>
    <n v="1"/>
    <x v="0"/>
    <n v="3"/>
    <n v="0"/>
    <n v="1"/>
    <n v="0"/>
    <n v="0"/>
    <n v="0.73944347149250833"/>
    <n v="0.47674644872543293"/>
    <n v="0.47674644872543293"/>
    <n v="816.66666666666663"/>
    <n v="0.29188558085230587"/>
    <n v="499.99999999999994"/>
    <n v="0.7686320295777388"/>
    <n v="1316.6666666666665"/>
    <n v="2.6333333333333329"/>
    <n v="0.2313679704222612"/>
    <n v="396.33333333333343"/>
    <n v="0.36666666666666714"/>
    <n v="3"/>
    <n v="2"/>
    <n v="7.0052539404553416E-3"/>
    <n v="12"/>
    <s v="N/A"/>
    <s v="NA"/>
    <n v="286"/>
    <n v="284"/>
    <n v="0.99299474605954463"/>
    <n v="0"/>
    <n v="1500"/>
    <n v="1713"/>
    <n v="0"/>
    <n v="1713"/>
    <n v="1713"/>
    <n v="1"/>
    <n v="0"/>
    <n v="0.87565674255691772"/>
    <n v="1"/>
    <n v="0"/>
    <n v="0"/>
    <e v="#REF!"/>
    <n v="0"/>
    <n v="0"/>
    <x v="0"/>
    <n v="0"/>
    <n v="0"/>
    <x v="2"/>
    <x v="6"/>
    <x v="2"/>
    <n v="0"/>
    <n v="0"/>
    <n v="0"/>
    <x v="0"/>
    <m/>
  </r>
  <r>
    <x v="0"/>
    <x v="36"/>
    <x v="10"/>
    <s v="OFDA"/>
    <x v="2"/>
    <x v="14"/>
    <x v="2"/>
    <x v="476"/>
    <n v="20"/>
    <n v="96"/>
    <d v="2018-05-31T00:00:00"/>
    <d v="2019-07-31T00:00:00"/>
    <m/>
    <m/>
    <m/>
    <m/>
    <m/>
    <m/>
    <m/>
    <n v="0"/>
    <n v="0"/>
    <n v="0"/>
    <n v="0"/>
    <n v="0"/>
    <n v="0"/>
    <n v="0"/>
    <n v="0"/>
    <n v="0"/>
    <n v="0"/>
    <m/>
    <n v="1"/>
    <m/>
    <m/>
    <n v="0"/>
    <n v="1"/>
    <n v="0"/>
    <n v="1"/>
    <n v="1"/>
    <n v="0"/>
    <n v="0"/>
    <m/>
    <n v="17"/>
    <n v="0"/>
    <m/>
    <m/>
    <m/>
    <m/>
    <m/>
    <n v="17"/>
    <x v="2"/>
    <x v="4"/>
    <n v="0"/>
    <m/>
    <n v="0"/>
    <m/>
    <m/>
    <m/>
    <m/>
    <m/>
    <m/>
    <n v="1"/>
    <n v="0"/>
    <n v="20"/>
    <n v="20"/>
    <s v="No"/>
    <n v="0"/>
    <m/>
    <m/>
    <n v="0"/>
    <n v="1"/>
    <x v="0"/>
    <n v="0"/>
    <n v="0"/>
    <n v="0"/>
    <n v="0"/>
    <n v="0"/>
    <n v="0"/>
    <n v="0"/>
    <n v="0"/>
    <n v="0"/>
    <n v="1"/>
    <n v="96"/>
    <n v="1"/>
    <n v="96"/>
    <n v="0.192"/>
    <n v="0"/>
    <n v="0"/>
    <n v="0.80800000000000005"/>
    <n v="1"/>
    <n v="17"/>
    <n v="1"/>
    <n v="96"/>
    <s v="N/A"/>
    <s v="NA"/>
    <n v="16"/>
    <n v="0"/>
    <n v="0"/>
    <n v="0"/>
    <n v="96"/>
    <n v="96"/>
    <n v="96"/>
    <n v="96"/>
    <n v="96"/>
    <n v="1"/>
    <n v="0"/>
    <n v="1"/>
    <n v="1"/>
    <n v="1"/>
    <n v="0"/>
    <e v="#REF!"/>
    <n v="0"/>
    <n v="0"/>
    <x v="0"/>
    <n v="0"/>
    <n v="0"/>
    <x v="2"/>
    <x v="6"/>
    <x v="2"/>
    <n v="0"/>
    <n v="0"/>
    <n v="0"/>
    <x v="0"/>
    <m/>
  </r>
  <r>
    <x v="0"/>
    <x v="36"/>
    <x v="10"/>
    <s v="OFDA"/>
    <x v="2"/>
    <x v="14"/>
    <x v="2"/>
    <x v="477"/>
    <n v="24"/>
    <n v="91"/>
    <d v="2018-05-31T00:00:00"/>
    <d v="2019-07-31T00:00:00"/>
    <m/>
    <m/>
    <m/>
    <m/>
    <m/>
    <m/>
    <m/>
    <n v="2"/>
    <n v="0"/>
    <n v="0"/>
    <n v="2"/>
    <n v="0"/>
    <n v="0"/>
    <n v="2"/>
    <n v="0"/>
    <n v="0"/>
    <n v="0"/>
    <m/>
    <n v="1"/>
    <m/>
    <m/>
    <n v="1"/>
    <n v="1"/>
    <n v="0"/>
    <n v="1"/>
    <n v="1"/>
    <n v="0"/>
    <n v="0"/>
    <m/>
    <n v="25"/>
    <n v="25"/>
    <m/>
    <m/>
    <m/>
    <m/>
    <m/>
    <n v="15"/>
    <x v="0"/>
    <x v="0"/>
    <n v="0"/>
    <m/>
    <n v="0"/>
    <m/>
    <m/>
    <m/>
    <m/>
    <m/>
    <m/>
    <n v="1"/>
    <n v="1"/>
    <n v="25"/>
    <n v="25"/>
    <s v="No"/>
    <n v="0"/>
    <m/>
    <m/>
    <n v="0"/>
    <n v="1"/>
    <x v="0"/>
    <n v="2"/>
    <n v="2"/>
    <n v="0"/>
    <n v="0"/>
    <n v="0"/>
    <n v="1"/>
    <n v="1"/>
    <n v="1"/>
    <n v="91"/>
    <n v="1"/>
    <n v="91"/>
    <n v="1"/>
    <n v="91"/>
    <n v="0.182"/>
    <n v="0"/>
    <n v="0"/>
    <n v="0.81800000000000006"/>
    <n v="1"/>
    <n v="50"/>
    <n v="1"/>
    <n v="91"/>
    <s v="N/A"/>
    <s v="NA"/>
    <n v="15"/>
    <n v="0"/>
    <n v="0"/>
    <n v="0"/>
    <n v="91"/>
    <n v="91"/>
    <n v="91"/>
    <n v="91"/>
    <n v="91"/>
    <n v="1"/>
    <n v="0"/>
    <n v="1"/>
    <n v="1"/>
    <n v="1"/>
    <n v="0"/>
    <e v="#REF!"/>
    <n v="0"/>
    <n v="0"/>
    <x v="0"/>
    <n v="0"/>
    <n v="0"/>
    <x v="2"/>
    <x v="6"/>
    <x v="4"/>
    <n v="20.849060059999999"/>
    <n v="92.497413640000005"/>
    <n v="198313"/>
    <x v="0"/>
    <m/>
  </r>
  <r>
    <x v="0"/>
    <x v="36"/>
    <x v="10"/>
    <s v="OFDA"/>
    <x v="2"/>
    <x v="14"/>
    <x v="2"/>
    <x v="478"/>
    <n v="115"/>
    <n v="658"/>
    <d v="2018-05-31T00:00:00"/>
    <d v="2019-07-31T00:00:00"/>
    <m/>
    <m/>
    <m/>
    <m/>
    <m/>
    <m/>
    <m/>
    <n v="0"/>
    <n v="0"/>
    <n v="0"/>
    <n v="0"/>
    <n v="0"/>
    <n v="0"/>
    <n v="0"/>
    <n v="0"/>
    <n v="0"/>
    <n v="0"/>
    <m/>
    <n v="2"/>
    <m/>
    <m/>
    <n v="2"/>
    <n v="1"/>
    <n v="0"/>
    <n v="1"/>
    <n v="1"/>
    <n v="0"/>
    <n v="1"/>
    <m/>
    <n v="70"/>
    <n v="0"/>
    <m/>
    <m/>
    <m/>
    <m/>
    <m/>
    <n v="70"/>
    <x v="2"/>
    <x v="4"/>
    <n v="4"/>
    <m/>
    <n v="4"/>
    <m/>
    <m/>
    <m/>
    <m/>
    <m/>
    <m/>
    <n v="1"/>
    <n v="0"/>
    <n v="115"/>
    <n v="115"/>
    <s v="No"/>
    <n v="2"/>
    <m/>
    <m/>
    <n v="0"/>
    <n v="1"/>
    <x v="0"/>
    <n v="0"/>
    <n v="0"/>
    <n v="0"/>
    <n v="0"/>
    <n v="0"/>
    <n v="0"/>
    <n v="0"/>
    <n v="0"/>
    <n v="0"/>
    <n v="0.75987841945288759"/>
    <n v="500.00000000000006"/>
    <n v="0.75987841945288759"/>
    <n v="500.00000000000006"/>
    <n v="1.0000000000000002"/>
    <n v="0.24012158054711241"/>
    <n v="157.99999999999997"/>
    <n v="0"/>
    <n v="1"/>
    <n v="70"/>
    <n v="0.63829787234042556"/>
    <n v="420"/>
    <s v="N/A"/>
    <s v="NA"/>
    <n v="110"/>
    <n v="40"/>
    <n v="0.36170212765957444"/>
    <n v="0"/>
    <n v="500"/>
    <n v="658"/>
    <n v="658"/>
    <n v="658"/>
    <n v="658"/>
    <n v="1"/>
    <n v="0"/>
    <n v="0.75987841945288759"/>
    <n v="1"/>
    <n v="1"/>
    <n v="0"/>
    <e v="#REF!"/>
    <n v="0"/>
    <n v="0"/>
    <x v="0"/>
    <n v="0"/>
    <n v="0"/>
    <x v="2"/>
    <x v="6"/>
    <x v="3"/>
    <n v="20.876710889999998"/>
    <n v="92.537406919999995"/>
    <n v="198301"/>
    <x v="0"/>
    <m/>
  </r>
  <r>
    <x v="0"/>
    <x v="36"/>
    <x v="10"/>
    <s v="OFDA"/>
    <x v="2"/>
    <x v="14"/>
    <x v="2"/>
    <x v="479"/>
    <n v="11"/>
    <n v="69"/>
    <d v="2018-05-31T00:00:00"/>
    <d v="2019-07-31T00:00:00"/>
    <m/>
    <m/>
    <m/>
    <m/>
    <m/>
    <m/>
    <m/>
    <n v="0"/>
    <n v="0"/>
    <n v="0"/>
    <n v="0"/>
    <n v="0"/>
    <n v="0"/>
    <n v="0"/>
    <n v="0"/>
    <n v="0"/>
    <n v="0"/>
    <m/>
    <n v="1"/>
    <m/>
    <m/>
    <n v="0"/>
    <n v="1"/>
    <n v="0"/>
    <n v="1"/>
    <n v="1"/>
    <n v="0"/>
    <n v="0"/>
    <m/>
    <n v="10"/>
    <n v="10"/>
    <m/>
    <m/>
    <m/>
    <m/>
    <m/>
    <n v="10"/>
    <x v="2"/>
    <x v="4"/>
    <n v="0"/>
    <m/>
    <n v="0"/>
    <m/>
    <m/>
    <m/>
    <m/>
    <m/>
    <m/>
    <n v="1"/>
    <n v="0"/>
    <n v="11"/>
    <n v="11"/>
    <s v="No"/>
    <n v="2"/>
    <m/>
    <m/>
    <n v="0"/>
    <n v="1"/>
    <x v="0"/>
    <n v="0"/>
    <n v="0"/>
    <n v="0"/>
    <n v="0"/>
    <n v="0"/>
    <n v="0"/>
    <n v="0"/>
    <n v="0"/>
    <n v="0"/>
    <n v="1"/>
    <n v="69"/>
    <n v="1"/>
    <n v="69"/>
    <n v="0.13800000000000001"/>
    <n v="0"/>
    <n v="0"/>
    <n v="0.86199999999999999"/>
    <n v="1"/>
    <n v="20"/>
    <n v="1"/>
    <n v="69"/>
    <s v="N/A"/>
    <s v="NA"/>
    <n v="12"/>
    <n v="0"/>
    <n v="0"/>
    <n v="0"/>
    <n v="69"/>
    <n v="69"/>
    <n v="69"/>
    <n v="69"/>
    <n v="69"/>
    <n v="1"/>
    <n v="0"/>
    <n v="1"/>
    <n v="1"/>
    <n v="1"/>
    <n v="0"/>
    <e v="#REF!"/>
    <n v="0"/>
    <n v="0"/>
    <x v="0"/>
    <n v="0"/>
    <n v="0"/>
    <x v="2"/>
    <x v="6"/>
    <x v="3"/>
    <n v="20.887029649999999"/>
    <n v="92.556823730000005"/>
    <n v="217871"/>
    <x v="0"/>
    <m/>
  </r>
  <r>
    <x v="0"/>
    <x v="36"/>
    <x v="10"/>
    <s v="OFDA"/>
    <x v="2"/>
    <x v="14"/>
    <x v="2"/>
    <x v="480"/>
    <n v="250"/>
    <n v="1012"/>
    <d v="2018-05-31T00:00:00"/>
    <d v="2019-07-31T00:00:00"/>
    <m/>
    <m/>
    <m/>
    <m/>
    <m/>
    <m/>
    <m/>
    <n v="3"/>
    <n v="0"/>
    <n v="0"/>
    <n v="3"/>
    <n v="0"/>
    <n v="0"/>
    <n v="3"/>
    <n v="1"/>
    <n v="0"/>
    <n v="0"/>
    <m/>
    <n v="2"/>
    <m/>
    <m/>
    <n v="1"/>
    <n v="1"/>
    <n v="0"/>
    <n v="1"/>
    <n v="1"/>
    <n v="0"/>
    <n v="1"/>
    <m/>
    <n v="0"/>
    <n v="0"/>
    <m/>
    <m/>
    <m/>
    <m/>
    <m/>
    <n v="0"/>
    <x v="2"/>
    <x v="3"/>
    <n v="0"/>
    <m/>
    <n v="4"/>
    <m/>
    <m/>
    <m/>
    <m/>
    <m/>
    <m/>
    <n v="1"/>
    <n v="1"/>
    <n v="0"/>
    <n v="0"/>
    <s v="No"/>
    <n v="0"/>
    <m/>
    <m/>
    <n v="0"/>
    <n v="1"/>
    <x v="0"/>
    <n v="3"/>
    <n v="3"/>
    <n v="1"/>
    <n v="0"/>
    <n v="0"/>
    <n v="1"/>
    <n v="1"/>
    <n v="1"/>
    <n v="1012"/>
    <n v="0.49407114624505927"/>
    <n v="500"/>
    <n v="1"/>
    <n v="1012"/>
    <n v="2.024"/>
    <n v="0"/>
    <n v="0"/>
    <n v="0"/>
    <n v="2"/>
    <n v="0"/>
    <n v="0"/>
    <n v="0"/>
    <s v="N/A"/>
    <s v="NA"/>
    <n v="169"/>
    <n v="169"/>
    <n v="1"/>
    <n v="0"/>
    <n v="1000"/>
    <n v="0"/>
    <n v="0"/>
    <n v="0"/>
    <n v="1000"/>
    <n v="0.98814229249011853"/>
    <n v="1.1857707509881465E-2"/>
    <n v="0.98814229249011853"/>
    <n v="0"/>
    <n v="0"/>
    <n v="0"/>
    <e v="#REF!"/>
    <n v="0"/>
    <n v="0"/>
    <x v="0"/>
    <n v="0"/>
    <n v="0"/>
    <x v="2"/>
    <x v="6"/>
    <x v="2"/>
    <n v="20.735639572143601"/>
    <n v="92.638076782226605"/>
    <n v="198424"/>
    <x v="0"/>
    <m/>
  </r>
  <r>
    <x v="0"/>
    <x v="36"/>
    <x v="10"/>
    <s v="OFDA"/>
    <x v="2"/>
    <x v="14"/>
    <x v="2"/>
    <x v="481"/>
    <n v="260"/>
    <n v="2652"/>
    <d v="2018-05-31T00:00:00"/>
    <d v="2019-07-31T00:00:00"/>
    <m/>
    <m/>
    <m/>
    <m/>
    <m/>
    <m/>
    <m/>
    <n v="0"/>
    <n v="0"/>
    <n v="0"/>
    <n v="9"/>
    <n v="0"/>
    <n v="9"/>
    <n v="9"/>
    <n v="2"/>
    <n v="0"/>
    <n v="2"/>
    <m/>
    <n v="5"/>
    <m/>
    <m/>
    <n v="2"/>
    <n v="1"/>
    <n v="0"/>
    <n v="1"/>
    <n v="1"/>
    <n v="0"/>
    <n v="1"/>
    <m/>
    <n v="0"/>
    <n v="0"/>
    <m/>
    <m/>
    <m/>
    <m/>
    <m/>
    <n v="0"/>
    <x v="2"/>
    <x v="4"/>
    <n v="0"/>
    <m/>
    <n v="4"/>
    <m/>
    <m/>
    <m/>
    <m/>
    <m/>
    <m/>
    <n v="0"/>
    <n v="0"/>
    <n v="260"/>
    <n v="0"/>
    <s v="No"/>
    <n v="1"/>
    <m/>
    <m/>
    <n v="0"/>
    <n v="1"/>
    <x v="0"/>
    <n v="0"/>
    <n v="0"/>
    <n v="2"/>
    <n v="0"/>
    <n v="0"/>
    <n v="5.0276520864756161E-2"/>
    <n v="5.0276520864756161E-2"/>
    <n v="5.0276520864756161E-2"/>
    <n v="133.33333333333334"/>
    <n v="0.47134238310708898"/>
    <n v="1250"/>
    <n v="0.52161890397184518"/>
    <n v="1383.3333333333333"/>
    <n v="2.7666666666666666"/>
    <n v="0.47838109602815482"/>
    <n v="1268.6666666666665"/>
    <n v="2.2333333333333334"/>
    <n v="5"/>
    <n v="0"/>
    <n v="0"/>
    <n v="0"/>
    <s v="N/A"/>
    <s v="NA"/>
    <n v="442"/>
    <n v="442"/>
    <n v="1"/>
    <n v="0"/>
    <n v="0"/>
    <n v="2652"/>
    <n v="0"/>
    <n v="2652"/>
    <n v="2652"/>
    <n v="1"/>
    <n v="0"/>
    <n v="0"/>
    <n v="1"/>
    <n v="0"/>
    <n v="0"/>
    <e v="#REF!"/>
    <n v="0"/>
    <n v="0"/>
    <x v="0"/>
    <n v="0"/>
    <n v="0"/>
    <x v="2"/>
    <x v="6"/>
    <x v="3"/>
    <n v="20.775840759277301"/>
    <n v="92.613082885742202"/>
    <n v="198407"/>
    <x v="0"/>
    <m/>
  </r>
  <r>
    <x v="0"/>
    <x v="36"/>
    <x v="10"/>
    <s v="OFDA"/>
    <x v="2"/>
    <x v="14"/>
    <x v="2"/>
    <x v="482"/>
    <n v="55"/>
    <n v="233"/>
    <d v="2018-05-31T00:00:00"/>
    <d v="2019-07-31T00:00:00"/>
    <m/>
    <m/>
    <m/>
    <m/>
    <m/>
    <m/>
    <m/>
    <n v="0"/>
    <n v="0"/>
    <n v="0"/>
    <n v="2"/>
    <n v="0"/>
    <n v="0"/>
    <n v="2"/>
    <n v="0"/>
    <n v="0"/>
    <n v="0"/>
    <m/>
    <n v="1"/>
    <m/>
    <m/>
    <n v="2"/>
    <n v="1"/>
    <n v="0"/>
    <n v="1"/>
    <n v="1"/>
    <n v="0"/>
    <n v="0"/>
    <m/>
    <n v="45"/>
    <n v="45"/>
    <m/>
    <m/>
    <m/>
    <m/>
    <m/>
    <n v="0"/>
    <x v="2"/>
    <x v="4"/>
    <n v="0"/>
    <m/>
    <n v="0"/>
    <m/>
    <m/>
    <m/>
    <m/>
    <m/>
    <m/>
    <n v="0"/>
    <n v="0"/>
    <n v="55"/>
    <n v="0"/>
    <s v="No"/>
    <n v="2"/>
    <m/>
    <m/>
    <n v="0"/>
    <n v="1"/>
    <x v="0"/>
    <n v="0"/>
    <n v="2"/>
    <n v="0"/>
    <n v="0"/>
    <n v="0"/>
    <n v="1"/>
    <n v="1"/>
    <n v="1"/>
    <n v="233"/>
    <n v="1"/>
    <n v="233"/>
    <n v="1"/>
    <n v="233"/>
    <n v="0.46600000000000003"/>
    <n v="0"/>
    <n v="0"/>
    <n v="0.53400000000000003"/>
    <n v="1"/>
    <n v="90"/>
    <n v="1"/>
    <n v="233"/>
    <s v="N/A"/>
    <s v="NA"/>
    <n v="39"/>
    <n v="0"/>
    <n v="0"/>
    <n v="0"/>
    <n v="0"/>
    <n v="233"/>
    <n v="0"/>
    <n v="233"/>
    <n v="233"/>
    <n v="1"/>
    <n v="0"/>
    <n v="0"/>
    <n v="1"/>
    <n v="0"/>
    <n v="0"/>
    <e v="#REF!"/>
    <n v="0"/>
    <n v="0"/>
    <x v="0"/>
    <n v="0"/>
    <n v="0"/>
    <x v="2"/>
    <x v="6"/>
    <x v="4"/>
    <n v="20.76407051"/>
    <n v="92.631126399999999"/>
    <n v="198408"/>
    <x v="0"/>
    <m/>
  </r>
  <r>
    <x v="0"/>
    <x v="36"/>
    <x v="10"/>
    <s v="OFDA"/>
    <x v="2"/>
    <x v="14"/>
    <x v="2"/>
    <x v="483"/>
    <n v="166"/>
    <n v="854"/>
    <d v="2018-05-31T00:00:00"/>
    <d v="2019-07-31T00:00:00"/>
    <m/>
    <m/>
    <m/>
    <m/>
    <m/>
    <m/>
    <m/>
    <n v="1"/>
    <n v="0"/>
    <n v="0"/>
    <n v="3"/>
    <n v="1"/>
    <n v="3"/>
    <n v="3"/>
    <n v="2"/>
    <n v="0"/>
    <n v="0"/>
    <m/>
    <n v="2"/>
    <m/>
    <m/>
    <n v="0"/>
    <n v="1"/>
    <n v="0"/>
    <n v="1"/>
    <n v="1"/>
    <n v="1"/>
    <n v="1"/>
    <m/>
    <n v="0"/>
    <n v="0"/>
    <m/>
    <m/>
    <m/>
    <m/>
    <m/>
    <n v="0"/>
    <x v="2"/>
    <x v="4"/>
    <n v="6"/>
    <m/>
    <n v="6"/>
    <m/>
    <m/>
    <m/>
    <m/>
    <m/>
    <m/>
    <n v="2"/>
    <n v="2"/>
    <n v="166"/>
    <n v="166"/>
    <s v="No"/>
    <n v="1"/>
    <m/>
    <m/>
    <n v="0"/>
    <n v="1"/>
    <x v="0"/>
    <n v="1"/>
    <n v="1"/>
    <n v="2"/>
    <n v="0"/>
    <n v="0"/>
    <n v="1"/>
    <n v="0.74160811865729903"/>
    <n v="0.74160811865729903"/>
    <n v="633.33333333333337"/>
    <n v="0.58548009367681497"/>
    <n v="500"/>
    <n v="1"/>
    <n v="854"/>
    <n v="1.708"/>
    <n v="0"/>
    <n v="0"/>
    <n v="0.29200000000000004"/>
    <n v="2"/>
    <n v="0"/>
    <n v="0"/>
    <n v="0"/>
    <s v="N/A"/>
    <s v="NA"/>
    <n v="142"/>
    <n v="142"/>
    <n v="1"/>
    <n v="0"/>
    <n v="854"/>
    <n v="854"/>
    <n v="854"/>
    <n v="854"/>
    <n v="854"/>
    <n v="1"/>
    <n v="0"/>
    <n v="1"/>
    <n v="1"/>
    <n v="1"/>
    <n v="0"/>
    <e v="#REF!"/>
    <n v="0"/>
    <n v="0"/>
    <x v="0"/>
    <n v="0"/>
    <n v="0"/>
    <x v="2"/>
    <x v="6"/>
    <x v="4"/>
    <n v="20.756410599999999"/>
    <n v="92.63580322"/>
    <n v="198413"/>
    <x v="0"/>
    <m/>
  </r>
  <r>
    <x v="0"/>
    <x v="36"/>
    <x v="10"/>
    <s v="OFDA"/>
    <x v="2"/>
    <x v="14"/>
    <x v="2"/>
    <x v="484"/>
    <n v="192"/>
    <n v="1690"/>
    <d v="2018-05-31T00:00:00"/>
    <d v="2019-07-31T00:00:00"/>
    <m/>
    <m/>
    <m/>
    <m/>
    <m/>
    <m/>
    <m/>
    <n v="0"/>
    <n v="0"/>
    <n v="0"/>
    <n v="3"/>
    <n v="3"/>
    <n v="0"/>
    <n v="3"/>
    <n v="0"/>
    <n v="0"/>
    <n v="0"/>
    <m/>
    <n v="2"/>
    <m/>
    <m/>
    <n v="2"/>
    <n v="1"/>
    <n v="0"/>
    <n v="1"/>
    <n v="1"/>
    <n v="0"/>
    <n v="0"/>
    <m/>
    <n v="94"/>
    <n v="94"/>
    <m/>
    <m/>
    <m/>
    <m/>
    <m/>
    <n v="94"/>
    <x v="2"/>
    <x v="4"/>
    <n v="0"/>
    <m/>
    <n v="0"/>
    <m/>
    <m/>
    <m/>
    <m/>
    <m/>
    <m/>
    <n v="2"/>
    <n v="1"/>
    <n v="282"/>
    <n v="282"/>
    <s v="No"/>
    <n v="2"/>
    <m/>
    <m/>
    <n v="0"/>
    <n v="1"/>
    <x v="0"/>
    <n v="0"/>
    <n v="6"/>
    <n v="0"/>
    <n v="0"/>
    <n v="0"/>
    <n v="1"/>
    <n v="0.8875739644970414"/>
    <n v="0.8875739644970414"/>
    <n v="1500"/>
    <n v="0.29585798816568049"/>
    <n v="500"/>
    <n v="1"/>
    <n v="1690"/>
    <n v="3.38"/>
    <n v="0"/>
    <n v="0"/>
    <n v="0"/>
    <n v="3"/>
    <n v="188"/>
    <n v="0.66745562130177516"/>
    <n v="1128"/>
    <s v="N/A"/>
    <s v="NA"/>
    <n v="282"/>
    <n v="94"/>
    <n v="0.33254437869822484"/>
    <n v="0"/>
    <n v="1500"/>
    <n v="1410"/>
    <n v="1410"/>
    <n v="1410"/>
    <n v="1500"/>
    <n v="0.8875739644970414"/>
    <n v="0.1124260355029586"/>
    <n v="0.8875739644970414"/>
    <n v="1"/>
    <n v="1"/>
    <n v="0"/>
    <e v="#REF!"/>
    <n v="0"/>
    <n v="0"/>
    <x v="0"/>
    <n v="0"/>
    <n v="0"/>
    <x v="2"/>
    <x v="6"/>
    <x v="3"/>
    <n v="20.741249079999999"/>
    <n v="92.610519409999995"/>
    <n v="198398"/>
    <x v="0"/>
    <m/>
  </r>
  <r>
    <x v="0"/>
    <x v="36"/>
    <x v="10"/>
    <s v="OFDA"/>
    <x v="2"/>
    <x v="14"/>
    <x v="2"/>
    <x v="485"/>
    <n v="80"/>
    <n v="300"/>
    <d v="2018-05-31T00:00:00"/>
    <d v="2019-07-31T00:00:00"/>
    <m/>
    <m/>
    <m/>
    <m/>
    <m/>
    <m/>
    <m/>
    <n v="0"/>
    <n v="0"/>
    <n v="0"/>
    <n v="0"/>
    <n v="0"/>
    <n v="0"/>
    <n v="0"/>
    <n v="0"/>
    <n v="0"/>
    <n v="0"/>
    <m/>
    <n v="3"/>
    <m/>
    <m/>
    <n v="3"/>
    <n v="1"/>
    <n v="0"/>
    <n v="1"/>
    <n v="1"/>
    <n v="0"/>
    <n v="0"/>
    <m/>
    <n v="41"/>
    <n v="41"/>
    <m/>
    <m/>
    <m/>
    <m/>
    <m/>
    <n v="41"/>
    <x v="2"/>
    <x v="4"/>
    <n v="4"/>
    <m/>
    <n v="4"/>
    <m/>
    <m/>
    <m/>
    <m/>
    <m/>
    <m/>
    <n v="1"/>
    <n v="1"/>
    <n v="80"/>
    <n v="80"/>
    <s v="No"/>
    <n v="2"/>
    <m/>
    <m/>
    <n v="0"/>
    <n v="1"/>
    <x v="0"/>
    <n v="0"/>
    <n v="0"/>
    <n v="0"/>
    <n v="0"/>
    <n v="0"/>
    <n v="0"/>
    <n v="0"/>
    <n v="0"/>
    <n v="0"/>
    <n v="1"/>
    <n v="300"/>
    <n v="1"/>
    <n v="300"/>
    <n v="0.6"/>
    <n v="0"/>
    <n v="0"/>
    <n v="0.4"/>
    <n v="1"/>
    <n v="82"/>
    <n v="1"/>
    <n v="300"/>
    <s v="N/A"/>
    <s v="NA"/>
    <n v="50"/>
    <n v="0"/>
    <n v="0"/>
    <n v="0"/>
    <n v="300"/>
    <n v="300"/>
    <n v="300"/>
    <n v="300"/>
    <n v="300"/>
    <n v="1"/>
    <n v="0"/>
    <n v="1"/>
    <n v="1"/>
    <n v="1"/>
    <n v="0"/>
    <e v="#REF!"/>
    <n v="0"/>
    <n v="0"/>
    <x v="0"/>
    <n v="0"/>
    <n v="0"/>
    <x v="2"/>
    <x v="6"/>
    <x v="4"/>
    <n v="20.739839549999999"/>
    <n v="92.613456729999996"/>
    <n v="198399"/>
    <x v="0"/>
    <m/>
  </r>
  <r>
    <x v="0"/>
    <x v="36"/>
    <x v="10"/>
    <s v="OFDA"/>
    <x v="2"/>
    <x v="15"/>
    <x v="2"/>
    <x v="486"/>
    <n v="60"/>
    <n v="266"/>
    <d v="2018-05-31T00:00:00"/>
    <d v="2019-07-31T00:00:00"/>
    <m/>
    <m/>
    <m/>
    <m/>
    <m/>
    <m/>
    <m/>
    <n v="1"/>
    <n v="1"/>
    <n v="1"/>
    <n v="0"/>
    <n v="0"/>
    <n v="0"/>
    <n v="0"/>
    <n v="0"/>
    <n v="0"/>
    <n v="0"/>
    <m/>
    <n v="2"/>
    <m/>
    <m/>
    <n v="2"/>
    <n v="0"/>
    <n v="0"/>
    <n v="0"/>
    <n v="0"/>
    <n v="0"/>
    <n v="0"/>
    <m/>
    <n v="41"/>
    <n v="41"/>
    <m/>
    <m/>
    <m/>
    <m/>
    <m/>
    <n v="41"/>
    <x v="2"/>
    <x v="4"/>
    <n v="0"/>
    <m/>
    <n v="0"/>
    <m/>
    <m/>
    <m/>
    <m/>
    <m/>
    <m/>
    <n v="1"/>
    <n v="0"/>
    <n v="60"/>
    <n v="60"/>
    <s v="No"/>
    <n v="2"/>
    <m/>
    <m/>
    <s v="no test"/>
    <s v="no test"/>
    <x v="1"/>
    <n v="0"/>
    <n v="0"/>
    <n v="0"/>
    <n v="0"/>
    <n v="0"/>
    <n v="0"/>
    <n v="0"/>
    <n v="0"/>
    <n v="0"/>
    <n v="1"/>
    <n v="266"/>
    <n v="1"/>
    <n v="266"/>
    <n v="0.53200000000000003"/>
    <n v="0"/>
    <n v="0"/>
    <n v="0.46799999999999997"/>
    <n v="1"/>
    <n v="82"/>
    <n v="1"/>
    <n v="266"/>
    <s v="N/A"/>
    <s v="NA"/>
    <n v="44"/>
    <n v="0"/>
    <n v="0"/>
    <n v="0"/>
    <n v="266"/>
    <n v="266"/>
    <n v="266"/>
    <n v="266"/>
    <n v="266"/>
    <n v="1"/>
    <n v="0"/>
    <n v="1"/>
    <n v="1"/>
    <n v="1"/>
    <n v="0"/>
    <e v="#REF!"/>
    <n v="0"/>
    <n v="0"/>
    <x v="0"/>
    <n v="0"/>
    <n v="0"/>
    <x v="2"/>
    <x v="6"/>
    <x v="4"/>
    <n v="20.991559980000002"/>
    <n v="92.290878300000003"/>
    <n v="197896"/>
    <x v="0"/>
    <m/>
  </r>
  <r>
    <x v="0"/>
    <x v="36"/>
    <x v="10"/>
    <s v="OFDA"/>
    <x v="2"/>
    <x v="15"/>
    <x v="2"/>
    <x v="487"/>
    <n v="24"/>
    <n v="93"/>
    <d v="2018-05-31T00:00:00"/>
    <d v="2019-07-31T00:00:00"/>
    <m/>
    <m/>
    <m/>
    <m/>
    <m/>
    <m/>
    <m/>
    <n v="0"/>
    <n v="0"/>
    <n v="0"/>
    <n v="4"/>
    <n v="2"/>
    <n v="2"/>
    <n v="4"/>
    <n v="0"/>
    <n v="0"/>
    <n v="0"/>
    <m/>
    <n v="2"/>
    <m/>
    <m/>
    <n v="2"/>
    <n v="0"/>
    <n v="0"/>
    <n v="0"/>
    <n v="0"/>
    <n v="0"/>
    <n v="0"/>
    <m/>
    <n v="10"/>
    <n v="10"/>
    <m/>
    <m/>
    <m/>
    <m/>
    <m/>
    <n v="10"/>
    <x v="2"/>
    <x v="4"/>
    <n v="2"/>
    <m/>
    <n v="2"/>
    <m/>
    <m/>
    <m/>
    <m/>
    <m/>
    <m/>
    <n v="0"/>
    <n v="0"/>
    <n v="42"/>
    <n v="42"/>
    <s v="No"/>
    <n v="2"/>
    <m/>
    <m/>
    <s v="no test"/>
    <s v="no test"/>
    <x v="1"/>
    <n v="0"/>
    <n v="4"/>
    <n v="0"/>
    <n v="0"/>
    <n v="0"/>
    <n v="1"/>
    <n v="1"/>
    <n v="1"/>
    <n v="93"/>
    <n v="1"/>
    <n v="93"/>
    <n v="1"/>
    <n v="93"/>
    <n v="0.186"/>
    <n v="0"/>
    <n v="0"/>
    <n v="0.81400000000000006"/>
    <n v="1"/>
    <n v="20"/>
    <n v="1"/>
    <n v="93"/>
    <s v="N/A"/>
    <s v="NA"/>
    <n v="16"/>
    <n v="0"/>
    <n v="0"/>
    <n v="0"/>
    <n v="0"/>
    <n v="93"/>
    <n v="93"/>
    <n v="93"/>
    <n v="93"/>
    <n v="1"/>
    <n v="0"/>
    <n v="0"/>
    <n v="1"/>
    <n v="1"/>
    <n v="0"/>
    <e v="#REF!"/>
    <n v="0"/>
    <n v="0"/>
    <x v="0"/>
    <n v="0"/>
    <n v="0"/>
    <x v="2"/>
    <x v="6"/>
    <x v="4"/>
    <n v="21.004550930000001"/>
    <n v="92.294601439999994"/>
    <n v="197897"/>
    <x v="0"/>
    <m/>
  </r>
  <r>
    <x v="0"/>
    <x v="36"/>
    <x v="10"/>
    <s v="OFDA"/>
    <x v="2"/>
    <x v="15"/>
    <x v="2"/>
    <x v="488"/>
    <n v="170"/>
    <n v="989"/>
    <d v="2018-05-31T00:00:00"/>
    <d v="2019-07-31T00:00:00"/>
    <m/>
    <m/>
    <m/>
    <m/>
    <m/>
    <m/>
    <m/>
    <n v="6"/>
    <n v="4"/>
    <n v="2"/>
    <n v="5"/>
    <n v="2"/>
    <n v="0"/>
    <n v="3"/>
    <n v="0"/>
    <n v="0"/>
    <n v="0"/>
    <m/>
    <n v="4"/>
    <m/>
    <m/>
    <n v="3"/>
    <n v="0"/>
    <n v="0"/>
    <n v="0"/>
    <n v="0"/>
    <n v="1"/>
    <n v="1"/>
    <m/>
    <n v="102"/>
    <n v="102"/>
    <m/>
    <m/>
    <m/>
    <m/>
    <m/>
    <n v="102"/>
    <x v="2"/>
    <x v="4"/>
    <n v="0"/>
    <m/>
    <n v="6"/>
    <m/>
    <m/>
    <m/>
    <m/>
    <m/>
    <m/>
    <n v="4"/>
    <n v="0"/>
    <n v="170"/>
    <n v="170"/>
    <s v="No"/>
    <n v="2"/>
    <m/>
    <m/>
    <s v="no test"/>
    <s v="no test"/>
    <x v="1"/>
    <n v="2"/>
    <n v="7"/>
    <n v="0"/>
    <n v="0"/>
    <n v="0"/>
    <n v="1"/>
    <n v="1"/>
    <n v="1"/>
    <n v="989"/>
    <n v="1"/>
    <n v="989"/>
    <n v="1"/>
    <n v="989"/>
    <n v="1.978"/>
    <n v="0"/>
    <n v="0"/>
    <n v="2.200000000000002E-2"/>
    <n v="2"/>
    <n v="204"/>
    <n v="1"/>
    <n v="989"/>
    <s v="N/A"/>
    <s v="NA"/>
    <n v="165"/>
    <n v="0"/>
    <n v="0"/>
    <n v="0"/>
    <n v="989"/>
    <n v="989"/>
    <n v="989"/>
    <n v="989"/>
    <n v="989"/>
    <n v="1"/>
    <n v="0"/>
    <n v="1"/>
    <n v="1"/>
    <n v="1"/>
    <n v="0"/>
    <e v="#REF!"/>
    <n v="0"/>
    <n v="0"/>
    <x v="0"/>
    <n v="0"/>
    <n v="0"/>
    <x v="2"/>
    <x v="6"/>
    <x v="3"/>
    <n v="20.914119719999999"/>
    <n v="92.3506012"/>
    <n v="197950"/>
    <x v="0"/>
    <m/>
  </r>
  <r>
    <x v="0"/>
    <x v="36"/>
    <x v="10"/>
    <s v="OFDA"/>
    <x v="2"/>
    <x v="15"/>
    <x v="2"/>
    <x v="489"/>
    <n v="150"/>
    <n v="626"/>
    <d v="2018-05-31T00:00:00"/>
    <d v="2019-07-31T00:00:00"/>
    <m/>
    <m/>
    <m/>
    <m/>
    <m/>
    <m/>
    <m/>
    <n v="1"/>
    <n v="1"/>
    <n v="0"/>
    <n v="16"/>
    <n v="9"/>
    <n v="7"/>
    <n v="9"/>
    <n v="0"/>
    <n v="0"/>
    <n v="0"/>
    <m/>
    <n v="3"/>
    <m/>
    <m/>
    <n v="2"/>
    <n v="0"/>
    <n v="0"/>
    <n v="0"/>
    <n v="0"/>
    <n v="0"/>
    <n v="0"/>
    <m/>
    <n v="82"/>
    <n v="82"/>
    <m/>
    <m/>
    <m/>
    <m/>
    <m/>
    <n v="82"/>
    <x v="2"/>
    <x v="4"/>
    <n v="0"/>
    <m/>
    <n v="0"/>
    <m/>
    <m/>
    <m/>
    <m/>
    <m/>
    <m/>
    <n v="1"/>
    <n v="0"/>
    <n v="150"/>
    <n v="150"/>
    <s v="No"/>
    <n v="2"/>
    <m/>
    <m/>
    <s v="no test"/>
    <s v="no test"/>
    <x v="1"/>
    <n v="0"/>
    <n v="18"/>
    <n v="0"/>
    <n v="0"/>
    <n v="0"/>
    <n v="1"/>
    <n v="1"/>
    <n v="1"/>
    <n v="626"/>
    <n v="1"/>
    <n v="626"/>
    <n v="1"/>
    <n v="626"/>
    <n v="1.252"/>
    <n v="0"/>
    <n v="0"/>
    <n v="0"/>
    <n v="1"/>
    <n v="164"/>
    <n v="1"/>
    <n v="626"/>
    <s v="N/A"/>
    <s v="NA"/>
    <n v="104"/>
    <n v="0"/>
    <n v="0"/>
    <n v="0"/>
    <n v="500"/>
    <n v="626"/>
    <n v="626"/>
    <n v="626"/>
    <n v="626"/>
    <n v="1"/>
    <n v="0"/>
    <n v="0.79872204472843455"/>
    <n v="1"/>
    <n v="1"/>
    <n v="0"/>
    <e v="#REF!"/>
    <n v="0"/>
    <n v="0"/>
    <x v="0"/>
    <n v="0"/>
    <n v="0"/>
    <x v="2"/>
    <x v="6"/>
    <x v="3"/>
    <n v="20.900329589999998"/>
    <n v="92.362213130000001"/>
    <n v="197957"/>
    <x v="0"/>
    <m/>
  </r>
  <r>
    <x v="0"/>
    <x v="36"/>
    <x v="10"/>
    <s v="OFDA"/>
    <x v="2"/>
    <x v="15"/>
    <x v="2"/>
    <x v="490"/>
    <n v="87"/>
    <n v="361"/>
    <d v="2018-05-31T00:00:00"/>
    <d v="2019-07-31T00:00:00"/>
    <m/>
    <m/>
    <m/>
    <m/>
    <m/>
    <m/>
    <m/>
    <n v="3"/>
    <n v="1"/>
    <n v="2"/>
    <n v="0"/>
    <n v="0"/>
    <n v="0"/>
    <n v="0"/>
    <n v="0"/>
    <n v="0"/>
    <n v="0"/>
    <m/>
    <n v="5"/>
    <m/>
    <m/>
    <n v="1"/>
    <n v="0"/>
    <n v="0"/>
    <n v="0"/>
    <n v="0"/>
    <n v="0"/>
    <n v="0"/>
    <m/>
    <n v="0"/>
    <n v="0"/>
    <m/>
    <m/>
    <m/>
    <m/>
    <m/>
    <n v="0"/>
    <x v="2"/>
    <x v="4"/>
    <n v="4"/>
    <m/>
    <n v="4"/>
    <m/>
    <m/>
    <m/>
    <m/>
    <m/>
    <m/>
    <n v="1"/>
    <n v="0"/>
    <n v="87"/>
    <n v="0"/>
    <s v="No"/>
    <n v="1"/>
    <m/>
    <m/>
    <s v="no test"/>
    <s v="no test"/>
    <x v="1"/>
    <n v="2"/>
    <n v="0"/>
    <n v="0"/>
    <n v="0"/>
    <n v="0"/>
    <n v="1"/>
    <n v="1"/>
    <n v="1"/>
    <n v="361"/>
    <n v="1"/>
    <n v="361"/>
    <n v="1"/>
    <n v="361"/>
    <n v="0.72199999999999998"/>
    <n v="0"/>
    <n v="0"/>
    <n v="0.27800000000000002"/>
    <n v="1"/>
    <n v="0"/>
    <n v="0"/>
    <n v="0"/>
    <s v="N/A"/>
    <s v="NA"/>
    <n v="60"/>
    <n v="60"/>
    <n v="1"/>
    <n v="0"/>
    <n v="361"/>
    <n v="361"/>
    <n v="0"/>
    <n v="361"/>
    <n v="361"/>
    <n v="1"/>
    <n v="0"/>
    <n v="1"/>
    <n v="1"/>
    <n v="0"/>
    <n v="0"/>
    <e v="#REF!"/>
    <n v="0"/>
    <n v="0"/>
    <x v="0"/>
    <n v="0"/>
    <n v="0"/>
    <x v="2"/>
    <x v="6"/>
    <x v="4"/>
    <n v="20.651159289999999"/>
    <n v="92.605712890000007"/>
    <n v="0"/>
    <x v="0"/>
    <m/>
  </r>
  <r>
    <x v="0"/>
    <x v="36"/>
    <x v="10"/>
    <s v="OFDA"/>
    <x v="2"/>
    <x v="15"/>
    <x v="2"/>
    <x v="491"/>
    <n v="55"/>
    <n v="241"/>
    <d v="2018-05-31T00:00:00"/>
    <d v="2019-07-31T00:00:00"/>
    <m/>
    <m/>
    <m/>
    <m/>
    <m/>
    <m/>
    <m/>
    <n v="3"/>
    <n v="0"/>
    <n v="0"/>
    <n v="3"/>
    <n v="0"/>
    <n v="0"/>
    <n v="1"/>
    <n v="0"/>
    <n v="0"/>
    <n v="0"/>
    <m/>
    <n v="1"/>
    <m/>
    <m/>
    <n v="1"/>
    <n v="0"/>
    <n v="0"/>
    <n v="0"/>
    <n v="0"/>
    <n v="0"/>
    <n v="0"/>
    <m/>
    <n v="0"/>
    <n v="0"/>
    <m/>
    <m/>
    <m/>
    <m/>
    <m/>
    <n v="0"/>
    <x v="2"/>
    <x v="4"/>
    <n v="4"/>
    <m/>
    <n v="4"/>
    <m/>
    <m/>
    <m/>
    <m/>
    <m/>
    <m/>
    <n v="0"/>
    <n v="1"/>
    <n v="55"/>
    <n v="0"/>
    <s v="No"/>
    <n v="2"/>
    <m/>
    <m/>
    <s v="no test"/>
    <s v="no test"/>
    <x v="1"/>
    <n v="3"/>
    <n v="3"/>
    <n v="0"/>
    <n v="0"/>
    <n v="0"/>
    <n v="1"/>
    <n v="1"/>
    <n v="1"/>
    <n v="241"/>
    <n v="1"/>
    <n v="241"/>
    <n v="1"/>
    <n v="241"/>
    <n v="0.48199999999999998"/>
    <n v="0"/>
    <n v="0"/>
    <n v="0.51800000000000002"/>
    <n v="1"/>
    <n v="0"/>
    <n v="0"/>
    <n v="0"/>
    <s v="N/A"/>
    <s v="NA"/>
    <n v="40"/>
    <n v="40"/>
    <n v="1"/>
    <n v="0"/>
    <n v="241"/>
    <n v="241"/>
    <n v="0"/>
    <n v="241"/>
    <n v="241"/>
    <n v="1"/>
    <n v="0"/>
    <n v="1"/>
    <n v="1"/>
    <n v="0"/>
    <n v="0"/>
    <e v="#REF!"/>
    <n v="0"/>
    <n v="0"/>
    <x v="0"/>
    <n v="0"/>
    <n v="0"/>
    <x v="2"/>
    <x v="6"/>
    <x v="4"/>
    <n v="20.8013000488281"/>
    <n v="92.423202514648395"/>
    <n v="217895"/>
    <x v="0"/>
    <m/>
  </r>
  <r>
    <x v="0"/>
    <x v="36"/>
    <x v="10"/>
    <s v="OFDA"/>
    <x v="2"/>
    <x v="15"/>
    <x v="2"/>
    <x v="492"/>
    <n v="54"/>
    <n v="249"/>
    <d v="2018-05-31T00:00:00"/>
    <d v="2019-07-31T00:00:00"/>
    <m/>
    <m/>
    <m/>
    <m/>
    <m/>
    <m/>
    <m/>
    <n v="3"/>
    <n v="0"/>
    <n v="2"/>
    <n v="3"/>
    <n v="1"/>
    <n v="2"/>
    <n v="3"/>
    <n v="0"/>
    <n v="0"/>
    <n v="0"/>
    <m/>
    <n v="2"/>
    <m/>
    <m/>
    <n v="2"/>
    <n v="0"/>
    <n v="0"/>
    <n v="0"/>
    <n v="0"/>
    <n v="1"/>
    <n v="1"/>
    <m/>
    <n v="0"/>
    <n v="2"/>
    <m/>
    <m/>
    <m/>
    <m/>
    <m/>
    <n v="0"/>
    <x v="2"/>
    <x v="4"/>
    <n v="2"/>
    <m/>
    <n v="2"/>
    <m/>
    <m/>
    <m/>
    <m/>
    <m/>
    <m/>
    <n v="1"/>
    <n v="1"/>
    <n v="54"/>
    <n v="0"/>
    <s v="No"/>
    <n v="2"/>
    <m/>
    <m/>
    <s v="no test"/>
    <s v="no test"/>
    <x v="1"/>
    <n v="3"/>
    <n v="2"/>
    <n v="0"/>
    <n v="0"/>
    <n v="0"/>
    <n v="1"/>
    <n v="1"/>
    <n v="1"/>
    <n v="249"/>
    <n v="1"/>
    <n v="249"/>
    <n v="1"/>
    <n v="249"/>
    <n v="0.498"/>
    <n v="0"/>
    <n v="0"/>
    <n v="0.502"/>
    <n v="1"/>
    <n v="2"/>
    <n v="4.8192771084337352E-2"/>
    <n v="12"/>
    <s v="N/A"/>
    <s v="NA"/>
    <n v="42"/>
    <n v="40"/>
    <n v="0.95180722891566261"/>
    <n v="0"/>
    <n v="249"/>
    <n v="249"/>
    <n v="0"/>
    <n v="249"/>
    <n v="249"/>
    <n v="1"/>
    <n v="0"/>
    <n v="1"/>
    <n v="1"/>
    <n v="0"/>
    <n v="0"/>
    <e v="#REF!"/>
    <n v="0"/>
    <n v="0"/>
    <x v="0"/>
    <n v="0"/>
    <n v="0"/>
    <x v="2"/>
    <x v="6"/>
    <x v="2"/>
    <n v="0"/>
    <n v="0"/>
    <n v="0"/>
    <x v="0"/>
    <m/>
  </r>
  <r>
    <x v="0"/>
    <x v="36"/>
    <x v="10"/>
    <s v="OFDA"/>
    <x v="2"/>
    <x v="15"/>
    <x v="2"/>
    <x v="493"/>
    <n v="62"/>
    <n v="332"/>
    <d v="2018-05-31T00:00:00"/>
    <d v="2019-07-31T00:00:00"/>
    <m/>
    <m/>
    <m/>
    <m/>
    <m/>
    <m/>
    <m/>
    <n v="0"/>
    <n v="0"/>
    <n v="0"/>
    <n v="2"/>
    <n v="1"/>
    <n v="1"/>
    <n v="2"/>
    <n v="0"/>
    <n v="0"/>
    <n v="0"/>
    <m/>
    <n v="2"/>
    <m/>
    <m/>
    <n v="2"/>
    <n v="0"/>
    <n v="0"/>
    <n v="0"/>
    <n v="0"/>
    <n v="0"/>
    <n v="0"/>
    <m/>
    <n v="0"/>
    <n v="0"/>
    <m/>
    <m/>
    <m/>
    <m/>
    <m/>
    <n v="0"/>
    <x v="2"/>
    <x v="4"/>
    <n v="0"/>
    <m/>
    <n v="0"/>
    <m/>
    <m/>
    <m/>
    <m/>
    <m/>
    <m/>
    <n v="0"/>
    <n v="0"/>
    <n v="62"/>
    <n v="0"/>
    <s v="No"/>
    <n v="0"/>
    <m/>
    <m/>
    <s v="no test"/>
    <s v="no test"/>
    <x v="1"/>
    <n v="0"/>
    <n v="2"/>
    <n v="0"/>
    <n v="0"/>
    <n v="0"/>
    <n v="1"/>
    <n v="1"/>
    <n v="1"/>
    <n v="332"/>
    <n v="1"/>
    <n v="332"/>
    <n v="1"/>
    <n v="332"/>
    <n v="0.66400000000000003"/>
    <n v="0"/>
    <n v="0"/>
    <n v="0.33599999999999997"/>
    <n v="1"/>
    <n v="0"/>
    <n v="0"/>
    <n v="0"/>
    <s v="N/A"/>
    <s v="NA"/>
    <n v="55"/>
    <n v="55"/>
    <n v="1"/>
    <n v="0"/>
    <n v="0"/>
    <n v="332"/>
    <n v="0"/>
    <n v="332"/>
    <n v="332"/>
    <n v="1"/>
    <n v="0"/>
    <n v="0"/>
    <n v="1"/>
    <n v="0"/>
    <n v="0"/>
    <e v="#REF!"/>
    <n v="0"/>
    <n v="0"/>
    <x v="0"/>
    <n v="0"/>
    <n v="0"/>
    <x v="2"/>
    <x v="6"/>
    <x v="3"/>
    <n v="20.7818698883057"/>
    <n v="92.393142700195298"/>
    <n v="198002"/>
    <x v="0"/>
    <m/>
  </r>
  <r>
    <x v="0"/>
    <x v="2"/>
    <x v="2"/>
    <m/>
    <x v="3"/>
    <x v="24"/>
    <x v="1"/>
    <x v="494"/>
    <n v="86"/>
    <n v="496"/>
    <m/>
    <m/>
    <m/>
    <m/>
    <m/>
    <m/>
    <m/>
    <m/>
    <m/>
    <m/>
    <m/>
    <m/>
    <m/>
    <m/>
    <m/>
    <m/>
    <m/>
    <m/>
    <m/>
    <m/>
    <m/>
    <m/>
    <m/>
    <m/>
    <m/>
    <m/>
    <m/>
    <m/>
    <m/>
    <m/>
    <m/>
    <m/>
    <m/>
    <m/>
    <m/>
    <m/>
    <m/>
    <m/>
    <m/>
    <x v="1"/>
    <x v="1"/>
    <m/>
    <m/>
    <m/>
    <m/>
    <m/>
    <m/>
    <m/>
    <m/>
    <m/>
    <m/>
    <m/>
    <m/>
    <m/>
    <m/>
    <m/>
    <m/>
    <m/>
    <s v="no test"/>
    <s v="no test"/>
    <x v="1"/>
    <n v="0"/>
    <n v="0"/>
    <n v="0"/>
    <n v="0"/>
    <n v="0"/>
    <n v="0"/>
    <n v="0"/>
    <n v="0"/>
    <n v="0"/>
    <n v="0"/>
    <n v="0"/>
    <n v="0"/>
    <n v="0"/>
    <n v="0"/>
    <n v="1"/>
    <n v="496"/>
    <n v="1"/>
    <n v="1"/>
    <n v="0"/>
    <n v="0"/>
    <n v="0"/>
    <n v="0"/>
    <n v="0"/>
    <n v="25"/>
    <n v="25"/>
    <n v="1"/>
    <n v="0"/>
    <n v="0"/>
    <n v="0"/>
    <n v="0"/>
    <n v="0"/>
    <n v="0"/>
    <n v="0"/>
    <n v="1"/>
    <n v="0"/>
    <n v="0"/>
    <n v="0"/>
    <n v="0"/>
    <n v="0"/>
    <n v="0"/>
    <n v="0"/>
    <x v="0"/>
    <n v="0"/>
    <s v="uncovered"/>
    <x v="0"/>
    <x v="2"/>
    <x v="0"/>
    <n v="0"/>
    <n v="0"/>
    <s v="MMR015CMP212"/>
    <x v="1"/>
    <m/>
  </r>
  <r>
    <x v="0"/>
    <x v="37"/>
    <x v="38"/>
    <s v="GFFO, (UNICEF, WHH(AA))"/>
    <x v="3"/>
    <x v="25"/>
    <x v="1"/>
    <x v="495"/>
    <n v="146"/>
    <n v="494"/>
    <s v="12/1/2017,(1/2/19,1/10/18)"/>
    <s v="11/30/2019,(31/1/20,30/9/20)"/>
    <m/>
    <m/>
    <m/>
    <m/>
    <s v="Yes"/>
    <n v="2"/>
    <n v="7"/>
    <n v="0"/>
    <n v="0"/>
    <n v="0"/>
    <n v="0"/>
    <n v="0"/>
    <n v="0"/>
    <n v="0"/>
    <n v="20"/>
    <n v="0"/>
    <n v="0"/>
    <n v="0"/>
    <m/>
    <n v="0"/>
    <n v="1"/>
    <n v="1"/>
    <n v="1"/>
    <n v="0"/>
    <n v="15"/>
    <n v="0"/>
    <m/>
    <m/>
    <m/>
    <n v="40"/>
    <n v="0"/>
    <m/>
    <n v="0"/>
    <n v="6"/>
    <n v="0"/>
    <m/>
    <m/>
    <x v="2"/>
    <x v="3"/>
    <n v="0"/>
    <n v="0"/>
    <m/>
    <m/>
    <n v="2"/>
    <n v="0"/>
    <n v="0"/>
    <n v="6"/>
    <n v="0"/>
    <n v="0"/>
    <n v="2"/>
    <n v="153"/>
    <m/>
    <m/>
    <m/>
    <n v="0.5"/>
    <m/>
    <n v="0"/>
    <n v="0"/>
    <x v="0"/>
    <n v="0"/>
    <n v="0"/>
    <n v="20"/>
    <n v="0"/>
    <n v="0"/>
    <n v="1"/>
    <n v="1"/>
    <n v="1"/>
    <n v="494"/>
    <n v="0"/>
    <n v="0"/>
    <n v="1"/>
    <n v="494"/>
    <n v="0.98799999999999999"/>
    <n v="0"/>
    <n v="0"/>
    <n v="1.2000000000000011E-2"/>
    <n v="1"/>
    <n v="40"/>
    <n v="1"/>
    <n v="494"/>
    <n v="0"/>
    <n v="0"/>
    <n v="25"/>
    <n v="0"/>
    <n v="0"/>
    <n v="0"/>
    <n v="494"/>
    <n v="494"/>
    <n v="0"/>
    <n v="494"/>
    <n v="494"/>
    <n v="1"/>
    <n v="0"/>
    <n v="1"/>
    <n v="1"/>
    <n v="0"/>
    <n v="2"/>
    <n v="40"/>
    <n v="0"/>
    <n v="200"/>
    <x v="0"/>
    <s v="Yes"/>
    <s v="KBC-NSS"/>
    <x v="0"/>
    <x v="0"/>
    <x v="0"/>
    <n v="24.08738"/>
    <n v="98.115809999999996"/>
    <s v="MMR015CMP247"/>
    <x v="0"/>
    <m/>
  </r>
  <r>
    <x v="0"/>
    <x v="1"/>
    <x v="1"/>
    <s v="UNICEF, WHH(AA)"/>
    <x v="3"/>
    <x v="25"/>
    <x v="1"/>
    <x v="496"/>
    <n v="154"/>
    <n v="779"/>
    <s v="1/2/19,1/10/18"/>
    <s v="31/1/20,30/9/20"/>
    <n v="189"/>
    <m/>
    <m/>
    <m/>
    <s v="Yes"/>
    <m/>
    <m/>
    <m/>
    <m/>
    <m/>
    <m/>
    <m/>
    <m/>
    <m/>
    <m/>
    <m/>
    <m/>
    <m/>
    <m/>
    <m/>
    <m/>
    <m/>
    <m/>
    <m/>
    <m/>
    <m/>
    <m/>
    <m/>
    <m/>
    <n v="60"/>
    <m/>
    <m/>
    <m/>
    <m/>
    <m/>
    <m/>
    <m/>
    <x v="0"/>
    <x v="0"/>
    <m/>
    <m/>
    <m/>
    <m/>
    <m/>
    <m/>
    <m/>
    <n v="11"/>
    <m/>
    <m/>
    <m/>
    <n v="0"/>
    <n v="0"/>
    <m/>
    <m/>
    <m/>
    <m/>
    <s v="no test"/>
    <s v="no test"/>
    <x v="1"/>
    <n v="0"/>
    <n v="0"/>
    <n v="0"/>
    <n v="0"/>
    <n v="0"/>
    <n v="0"/>
    <n v="0"/>
    <n v="0"/>
    <n v="0"/>
    <n v="0"/>
    <n v="0"/>
    <n v="0"/>
    <n v="0"/>
    <n v="0"/>
    <n v="1"/>
    <n v="779"/>
    <n v="2"/>
    <n v="2"/>
    <n v="60"/>
    <n v="1"/>
    <n v="779"/>
    <n v="0"/>
    <n v="0"/>
    <n v="39"/>
    <n v="0"/>
    <n v="0"/>
    <n v="0"/>
    <n v="0"/>
    <n v="0"/>
    <n v="0"/>
    <n v="0"/>
    <n v="0"/>
    <n v="0"/>
    <n v="1"/>
    <n v="0"/>
    <n v="0"/>
    <n v="0"/>
    <n v="0"/>
    <n v="0"/>
    <n v="0"/>
    <n v="0"/>
    <x v="1"/>
    <n v="0"/>
    <n v="0"/>
    <x v="0"/>
    <x v="4"/>
    <x v="0"/>
    <n v="24.08738"/>
    <n v="98.115809999999996"/>
    <s v="MMR015CMP022"/>
    <x v="0"/>
    <m/>
  </r>
  <r>
    <x v="0"/>
    <x v="9"/>
    <x v="9"/>
    <s v="GFFO"/>
    <x v="3"/>
    <x v="24"/>
    <x v="1"/>
    <x v="497"/>
    <n v="32"/>
    <n v="154"/>
    <d v="2017-12-01T00:00:00"/>
    <d v="2019-11-30T00:00:00"/>
    <m/>
    <m/>
    <m/>
    <m/>
    <s v="Yes"/>
    <n v="4"/>
    <n v="5"/>
    <n v="0"/>
    <n v="0"/>
    <n v="0"/>
    <n v="0"/>
    <n v="0"/>
    <n v="0"/>
    <n v="0"/>
    <n v="54"/>
    <n v="0"/>
    <n v="0"/>
    <n v="0"/>
    <m/>
    <n v="0"/>
    <n v="1"/>
    <m/>
    <n v="1"/>
    <n v="0"/>
    <n v="15"/>
    <n v="0"/>
    <m/>
    <m/>
    <m/>
    <n v="32"/>
    <n v="0"/>
    <m/>
    <n v="0"/>
    <n v="0"/>
    <n v="0"/>
    <m/>
    <m/>
    <x v="2"/>
    <x v="0"/>
    <n v="0"/>
    <n v="0"/>
    <m/>
    <m/>
    <n v="0"/>
    <n v="0"/>
    <n v="0"/>
    <n v="0"/>
    <n v="0"/>
    <n v="0"/>
    <n v="1"/>
    <n v="32"/>
    <m/>
    <m/>
    <m/>
    <n v="0.5"/>
    <m/>
    <n v="0"/>
    <n v="0"/>
    <x v="0"/>
    <n v="0"/>
    <n v="0"/>
    <n v="54"/>
    <n v="0"/>
    <n v="0"/>
    <n v="1"/>
    <n v="1"/>
    <n v="1"/>
    <n v="154"/>
    <n v="0"/>
    <n v="0"/>
    <n v="1"/>
    <n v="154"/>
    <n v="0.308"/>
    <n v="0"/>
    <n v="0"/>
    <n v="0.69199999999999995"/>
    <n v="1"/>
    <n v="32"/>
    <n v="1"/>
    <n v="154"/>
    <n v="0"/>
    <n v="0"/>
    <n v="8"/>
    <n v="0"/>
    <n v="0"/>
    <n v="0"/>
    <n v="154"/>
    <n v="154"/>
    <n v="0"/>
    <n v="154"/>
    <n v="154"/>
    <n v="1"/>
    <n v="0"/>
    <n v="1"/>
    <n v="1"/>
    <n v="0"/>
    <n v="0"/>
    <n v="0"/>
    <n v="0"/>
    <n v="0"/>
    <x v="0"/>
    <s v="Yes"/>
    <s v="KMSS-LSO"/>
    <x v="0"/>
    <x v="0"/>
    <x v="0"/>
    <n v="0"/>
    <n v="0"/>
    <s v="MMR015CMP250"/>
    <x v="0"/>
    <m/>
  </r>
  <r>
    <x v="0"/>
    <x v="9"/>
    <x v="9"/>
    <s v="GFFO"/>
    <x v="3"/>
    <x v="24"/>
    <x v="1"/>
    <x v="498"/>
    <n v="86"/>
    <n v="442"/>
    <d v="2017-12-01T00:00:00"/>
    <d v="2019-11-30T00:00:00"/>
    <m/>
    <m/>
    <m/>
    <m/>
    <s v="Yes"/>
    <n v="8"/>
    <n v="1"/>
    <n v="0"/>
    <n v="0"/>
    <n v="0"/>
    <n v="0"/>
    <n v="0"/>
    <n v="0"/>
    <n v="0"/>
    <n v="21"/>
    <n v="0"/>
    <n v="0"/>
    <n v="0"/>
    <m/>
    <n v="0"/>
    <n v="1"/>
    <m/>
    <n v="1"/>
    <n v="0"/>
    <n v="15"/>
    <n v="0"/>
    <m/>
    <m/>
    <m/>
    <n v="86"/>
    <n v="0"/>
    <m/>
    <n v="0"/>
    <n v="0"/>
    <n v="0"/>
    <m/>
    <m/>
    <x v="2"/>
    <x v="4"/>
    <n v="0"/>
    <n v="0"/>
    <m/>
    <m/>
    <n v="0"/>
    <n v="0"/>
    <n v="0"/>
    <n v="0"/>
    <n v="0"/>
    <n v="0"/>
    <n v="1"/>
    <n v="86"/>
    <m/>
    <m/>
    <m/>
    <n v="0.5"/>
    <m/>
    <n v="0"/>
    <n v="0"/>
    <x v="0"/>
    <n v="0"/>
    <n v="0"/>
    <n v="21"/>
    <n v="0"/>
    <n v="0"/>
    <n v="1"/>
    <n v="1"/>
    <n v="1"/>
    <n v="442"/>
    <n v="0"/>
    <n v="0"/>
    <n v="1"/>
    <n v="442"/>
    <n v="0.88400000000000001"/>
    <n v="0"/>
    <n v="0"/>
    <n v="0.11599999999999999"/>
    <n v="1"/>
    <n v="86"/>
    <n v="1"/>
    <n v="442"/>
    <n v="0"/>
    <n v="0"/>
    <n v="74"/>
    <n v="0"/>
    <n v="0"/>
    <n v="0"/>
    <n v="442"/>
    <n v="442"/>
    <n v="0"/>
    <n v="442"/>
    <n v="442"/>
    <n v="1"/>
    <n v="0"/>
    <n v="1"/>
    <n v="1"/>
    <n v="0"/>
    <n v="0"/>
    <n v="0"/>
    <n v="0"/>
    <n v="0"/>
    <x v="0"/>
    <s v="Yes"/>
    <s v="KBC"/>
    <x v="1"/>
    <x v="4"/>
    <x v="0"/>
    <n v="23.4008"/>
    <n v="97.848529999999997"/>
    <s v="MMR015CMP015"/>
    <x v="0"/>
    <m/>
  </r>
  <r>
    <x v="0"/>
    <x v="1"/>
    <x v="1"/>
    <s v="UNICEF, WHH(AA)"/>
    <x v="3"/>
    <x v="24"/>
    <x v="1"/>
    <x v="499"/>
    <n v="61"/>
    <n v="292"/>
    <s v="1/2/19,1/10/18"/>
    <s v="31/1/20,30/9/20"/>
    <n v="126"/>
    <m/>
    <m/>
    <m/>
    <s v="Yes"/>
    <m/>
    <m/>
    <m/>
    <m/>
    <m/>
    <n v="1"/>
    <m/>
    <m/>
    <m/>
    <m/>
    <m/>
    <m/>
    <m/>
    <m/>
    <m/>
    <m/>
    <m/>
    <m/>
    <m/>
    <m/>
    <m/>
    <m/>
    <m/>
    <m/>
    <n v="12"/>
    <m/>
    <m/>
    <m/>
    <m/>
    <m/>
    <m/>
    <m/>
    <x v="0"/>
    <x v="0"/>
    <m/>
    <m/>
    <m/>
    <m/>
    <m/>
    <m/>
    <m/>
    <n v="1"/>
    <m/>
    <m/>
    <n v="1"/>
    <n v="0"/>
    <n v="0"/>
    <m/>
    <m/>
    <m/>
    <m/>
    <s v="no test"/>
    <s v="no test"/>
    <x v="1"/>
    <n v="0"/>
    <n v="1"/>
    <n v="0"/>
    <n v="0"/>
    <n v="0"/>
    <n v="1"/>
    <n v="0.85616438356164382"/>
    <n v="1"/>
    <n v="292"/>
    <n v="0"/>
    <n v="0"/>
    <n v="1"/>
    <n v="292"/>
    <n v="0.58399999999999996"/>
    <n v="0"/>
    <n v="0"/>
    <n v="0.41600000000000004"/>
    <n v="1"/>
    <n v="12"/>
    <n v="0.82191780821917804"/>
    <n v="240"/>
    <n v="0"/>
    <n v="0"/>
    <n v="15"/>
    <n v="3"/>
    <n v="0.17808219178082196"/>
    <n v="0"/>
    <n v="292"/>
    <n v="0"/>
    <n v="0"/>
    <n v="0"/>
    <n v="292"/>
    <n v="1"/>
    <n v="0"/>
    <n v="1"/>
    <n v="0"/>
    <n v="0"/>
    <n v="0"/>
    <n v="0"/>
    <n v="0"/>
    <n v="0"/>
    <x v="1"/>
    <s v="Yes"/>
    <s v="KBC-NSS"/>
    <x v="0"/>
    <x v="0"/>
    <x v="0"/>
    <n v="23.450914000000001"/>
    <n v="97.926813999999993"/>
    <s v="MMR015CMP016"/>
    <x v="0"/>
    <m/>
  </r>
  <r>
    <x v="0"/>
    <x v="37"/>
    <x v="38"/>
    <s v="GFFO, (UNICEF, WHH(AA))"/>
    <x v="3"/>
    <x v="24"/>
    <x v="1"/>
    <x v="500"/>
    <n v="46"/>
    <n v="156"/>
    <s v="12/1/2017,(1/2/19,1/10/18)"/>
    <s v="11/30/2019,(31/1/20,30/9/20)"/>
    <n v="64"/>
    <m/>
    <m/>
    <m/>
    <s v="Yes"/>
    <n v="3"/>
    <n v="6"/>
    <n v="1"/>
    <m/>
    <m/>
    <n v="1"/>
    <m/>
    <m/>
    <n v="1"/>
    <n v="7"/>
    <m/>
    <m/>
    <m/>
    <m/>
    <m/>
    <n v="1"/>
    <m/>
    <n v="1"/>
    <m/>
    <n v="15"/>
    <m/>
    <m/>
    <m/>
    <m/>
    <n v="12"/>
    <m/>
    <m/>
    <m/>
    <m/>
    <m/>
    <m/>
    <m/>
    <x v="0"/>
    <x v="0"/>
    <m/>
    <m/>
    <m/>
    <m/>
    <n v="6"/>
    <m/>
    <m/>
    <n v="2"/>
    <m/>
    <m/>
    <n v="1"/>
    <n v="46"/>
    <n v="0"/>
    <m/>
    <m/>
    <n v="0.5"/>
    <m/>
    <n v="0"/>
    <n v="0"/>
    <x v="0"/>
    <n v="1"/>
    <n v="1"/>
    <n v="7"/>
    <n v="0"/>
    <n v="0"/>
    <n v="1"/>
    <n v="1"/>
    <n v="1"/>
    <n v="156"/>
    <n v="0"/>
    <n v="0"/>
    <n v="1"/>
    <n v="156"/>
    <n v="0.312"/>
    <n v="0"/>
    <n v="0"/>
    <n v="0.68799999999999994"/>
    <n v="1"/>
    <n v="12"/>
    <n v="1"/>
    <n v="156"/>
    <n v="0"/>
    <n v="0"/>
    <n v="8"/>
    <n v="0"/>
    <n v="0"/>
    <n v="0"/>
    <n v="156"/>
    <n v="156"/>
    <n v="0"/>
    <n v="156"/>
    <n v="156"/>
    <n v="1"/>
    <n v="0"/>
    <n v="1"/>
    <n v="1"/>
    <n v="0"/>
    <n v="6"/>
    <n v="46"/>
    <n v="0"/>
    <n v="156"/>
    <x v="1"/>
    <s v="Yes"/>
    <s v="KBC-NSS"/>
    <x v="0"/>
    <x v="0"/>
    <x v="0"/>
    <n v="23.460349999999998"/>
    <n v="97.947360000000003"/>
    <s v="MMR015CMP245"/>
    <x v="0"/>
    <m/>
  </r>
  <r>
    <x v="0"/>
    <x v="1"/>
    <x v="1"/>
    <s v="UNICEF, WHH(AA)"/>
    <x v="3"/>
    <x v="24"/>
    <x v="1"/>
    <x v="501"/>
    <n v="30"/>
    <n v="138"/>
    <s v="1/2/19,1/10/18"/>
    <s v="31/1/20,30/9/20"/>
    <n v="59"/>
    <m/>
    <m/>
    <m/>
    <s v="Yes"/>
    <m/>
    <m/>
    <m/>
    <m/>
    <m/>
    <m/>
    <m/>
    <m/>
    <m/>
    <m/>
    <m/>
    <m/>
    <m/>
    <m/>
    <m/>
    <m/>
    <m/>
    <m/>
    <m/>
    <m/>
    <m/>
    <m/>
    <m/>
    <m/>
    <m/>
    <m/>
    <m/>
    <m/>
    <m/>
    <m/>
    <m/>
    <m/>
    <x v="0"/>
    <x v="0"/>
    <m/>
    <m/>
    <m/>
    <m/>
    <m/>
    <m/>
    <m/>
    <m/>
    <m/>
    <m/>
    <m/>
    <n v="0"/>
    <n v="0"/>
    <m/>
    <m/>
    <m/>
    <m/>
    <s v="no test"/>
    <s v="no test"/>
    <x v="1"/>
    <n v="0"/>
    <n v="0"/>
    <n v="0"/>
    <n v="0"/>
    <n v="0"/>
    <n v="0"/>
    <n v="0"/>
    <n v="0"/>
    <n v="0"/>
    <n v="0"/>
    <n v="0"/>
    <n v="0"/>
    <n v="0"/>
    <n v="0"/>
    <n v="1"/>
    <n v="138"/>
    <n v="1"/>
    <n v="1"/>
    <n v="0"/>
    <n v="0"/>
    <n v="0"/>
    <n v="0"/>
    <n v="0"/>
    <n v="7"/>
    <n v="7"/>
    <n v="1"/>
    <n v="0"/>
    <n v="0"/>
    <n v="0"/>
    <n v="0"/>
    <n v="0"/>
    <n v="0"/>
    <n v="0"/>
    <n v="1"/>
    <n v="0"/>
    <n v="0"/>
    <n v="0"/>
    <n v="0"/>
    <n v="0"/>
    <n v="0"/>
    <n v="0"/>
    <x v="1"/>
    <s v="Yes"/>
    <s v="KMSS-LSO"/>
    <x v="0"/>
    <x v="0"/>
    <x v="0"/>
    <n v="23.460349999999998"/>
    <n v="97.947360000000003"/>
    <s v="MMR015CMP017"/>
    <x v="0"/>
    <m/>
  </r>
  <r>
    <x v="0"/>
    <x v="2"/>
    <x v="2"/>
    <m/>
    <x v="3"/>
    <x v="26"/>
    <x v="1"/>
    <x v="502"/>
    <n v="63"/>
    <n v="290"/>
    <m/>
    <m/>
    <m/>
    <m/>
    <m/>
    <m/>
    <m/>
    <m/>
    <m/>
    <m/>
    <m/>
    <m/>
    <m/>
    <m/>
    <m/>
    <m/>
    <m/>
    <m/>
    <m/>
    <m/>
    <m/>
    <m/>
    <m/>
    <m/>
    <m/>
    <m/>
    <m/>
    <m/>
    <m/>
    <m/>
    <m/>
    <m/>
    <m/>
    <m/>
    <m/>
    <m/>
    <m/>
    <m/>
    <m/>
    <x v="1"/>
    <x v="1"/>
    <m/>
    <m/>
    <m/>
    <m/>
    <m/>
    <m/>
    <m/>
    <m/>
    <m/>
    <m/>
    <m/>
    <m/>
    <m/>
    <m/>
    <m/>
    <m/>
    <m/>
    <s v="no test"/>
    <s v="no test"/>
    <x v="1"/>
    <n v="0"/>
    <n v="0"/>
    <n v="0"/>
    <n v="0"/>
    <n v="0"/>
    <n v="0"/>
    <n v="0"/>
    <n v="0"/>
    <n v="0"/>
    <n v="0"/>
    <n v="0"/>
    <n v="0"/>
    <n v="0"/>
    <n v="0"/>
    <n v="1"/>
    <n v="290"/>
    <n v="1"/>
    <n v="1"/>
    <n v="0"/>
    <n v="0"/>
    <n v="0"/>
    <n v="0"/>
    <n v="0"/>
    <n v="15"/>
    <n v="15"/>
    <n v="1"/>
    <n v="0"/>
    <n v="0"/>
    <n v="0"/>
    <n v="0"/>
    <n v="0"/>
    <n v="0"/>
    <n v="0"/>
    <n v="1"/>
    <n v="0"/>
    <n v="0"/>
    <n v="0"/>
    <n v="0"/>
    <n v="0"/>
    <n v="0"/>
    <n v="0"/>
    <x v="0"/>
    <s v="Yes"/>
    <s v="KMSS-LSO"/>
    <x v="0"/>
    <x v="0"/>
    <x v="0"/>
    <n v="23.099304"/>
    <n v="97.400671000000003"/>
    <s v="MMR015CMP248"/>
    <x v="1"/>
    <m/>
  </r>
  <r>
    <x v="0"/>
    <x v="2"/>
    <x v="2"/>
    <m/>
    <x v="3"/>
    <x v="26"/>
    <x v="0"/>
    <x v="503"/>
    <n v="58"/>
    <n v="257"/>
    <m/>
    <m/>
    <m/>
    <m/>
    <m/>
    <m/>
    <m/>
    <m/>
    <m/>
    <m/>
    <m/>
    <m/>
    <m/>
    <m/>
    <m/>
    <m/>
    <m/>
    <m/>
    <m/>
    <m/>
    <m/>
    <m/>
    <m/>
    <m/>
    <m/>
    <m/>
    <m/>
    <m/>
    <m/>
    <m/>
    <m/>
    <m/>
    <m/>
    <m/>
    <m/>
    <m/>
    <m/>
    <m/>
    <m/>
    <x v="1"/>
    <x v="1"/>
    <m/>
    <m/>
    <m/>
    <m/>
    <m/>
    <m/>
    <m/>
    <m/>
    <m/>
    <m/>
    <m/>
    <m/>
    <m/>
    <m/>
    <m/>
    <m/>
    <m/>
    <s v="no test"/>
    <s v="no test"/>
    <x v="1"/>
    <n v="0"/>
    <n v="0"/>
    <n v="0"/>
    <n v="0"/>
    <n v="0"/>
    <n v="0"/>
    <n v="0"/>
    <n v="0"/>
    <n v="0"/>
    <n v="0"/>
    <n v="0"/>
    <n v="0"/>
    <n v="0"/>
    <n v="0"/>
    <n v="1"/>
    <n v="257"/>
    <n v="1"/>
    <n v="1"/>
    <n v="0"/>
    <n v="0"/>
    <n v="0"/>
    <n v="0"/>
    <n v="0"/>
    <n v="13"/>
    <n v="13"/>
    <n v="1"/>
    <n v="0"/>
    <n v="0"/>
    <n v="0"/>
    <n v="0"/>
    <n v="0"/>
    <n v="0"/>
    <n v="0"/>
    <n v="1"/>
    <n v="0"/>
    <n v="0"/>
    <n v="0"/>
    <n v="0"/>
    <n v="0"/>
    <n v="0"/>
    <n v="0"/>
    <x v="0"/>
    <n v="0"/>
    <n v="0"/>
    <x v="0"/>
    <x v="0"/>
    <x v="0"/>
    <n v="0"/>
    <n v="0"/>
    <n v="0"/>
    <x v="1"/>
    <m/>
  </r>
  <r>
    <x v="0"/>
    <x v="1"/>
    <x v="1"/>
    <s v="UNICEF, WHH(AA)"/>
    <x v="3"/>
    <x v="26"/>
    <x v="1"/>
    <x v="504"/>
    <n v="34"/>
    <n v="182"/>
    <s v="1/2/19,1/10/18"/>
    <s v="31/1/20,30/9/20"/>
    <n v="36"/>
    <m/>
    <m/>
    <m/>
    <s v="No"/>
    <m/>
    <m/>
    <m/>
    <m/>
    <m/>
    <m/>
    <m/>
    <m/>
    <m/>
    <m/>
    <m/>
    <m/>
    <m/>
    <m/>
    <n v="1"/>
    <m/>
    <m/>
    <m/>
    <m/>
    <m/>
    <m/>
    <m/>
    <m/>
    <m/>
    <n v="12"/>
    <m/>
    <m/>
    <n v="4"/>
    <m/>
    <m/>
    <m/>
    <m/>
    <x v="0"/>
    <x v="0"/>
    <m/>
    <m/>
    <m/>
    <m/>
    <m/>
    <m/>
    <m/>
    <n v="2"/>
    <m/>
    <m/>
    <n v="1"/>
    <n v="0"/>
    <n v="0"/>
    <m/>
    <m/>
    <m/>
    <m/>
    <s v="no test"/>
    <s v="no test"/>
    <x v="1"/>
    <n v="0"/>
    <n v="0"/>
    <n v="0"/>
    <n v="0"/>
    <n v="1"/>
    <n v="3.663003663003663E-4"/>
    <n v="3.663003663003663E-4"/>
    <n v="3.663003663003663E-4"/>
    <n v="6.6666666666666666E-2"/>
    <n v="0"/>
    <n v="0"/>
    <n v="3.663003663003663E-4"/>
    <n v="6.6666666666666666E-2"/>
    <n v="1.3333333333333334E-4"/>
    <n v="0.99963369963369964"/>
    <n v="181.93333333333334"/>
    <n v="0.99986666666666668"/>
    <n v="1"/>
    <n v="8"/>
    <n v="0.87912087912087911"/>
    <n v="160"/>
    <n v="0"/>
    <n v="0"/>
    <n v="9"/>
    <n v="0"/>
    <n v="0.12087912087912089"/>
    <n v="0.33333333333333331"/>
    <n v="182"/>
    <n v="0"/>
    <n v="0"/>
    <n v="0"/>
    <n v="182"/>
    <n v="1"/>
    <n v="0"/>
    <n v="1"/>
    <n v="0"/>
    <n v="0"/>
    <n v="0"/>
    <n v="0"/>
    <n v="0"/>
    <n v="0"/>
    <x v="1"/>
    <s v="Yes"/>
    <s v="KMSS-LSO"/>
    <x v="0"/>
    <x v="0"/>
    <x v="0"/>
    <n v="0"/>
    <n v="0"/>
    <s v="MMR015CMP232"/>
    <x v="0"/>
    <m/>
  </r>
  <r>
    <x v="0"/>
    <x v="37"/>
    <x v="38"/>
    <s v="GFFO, (UNICEF, WHH(AA))"/>
    <x v="3"/>
    <x v="24"/>
    <x v="1"/>
    <x v="505"/>
    <n v="82"/>
    <n v="426"/>
    <s v="12/1/2017,(1/2/19,1/10/18)"/>
    <s v="11/30/2019,(31/1/20,30/9/20)"/>
    <n v="102"/>
    <m/>
    <m/>
    <m/>
    <s v="Yes"/>
    <n v="6"/>
    <n v="3"/>
    <m/>
    <m/>
    <m/>
    <m/>
    <m/>
    <m/>
    <m/>
    <n v="54"/>
    <m/>
    <m/>
    <m/>
    <m/>
    <m/>
    <n v="1"/>
    <m/>
    <n v="1"/>
    <m/>
    <n v="15"/>
    <m/>
    <m/>
    <m/>
    <m/>
    <n v="15"/>
    <m/>
    <m/>
    <m/>
    <n v="2"/>
    <m/>
    <m/>
    <m/>
    <x v="0"/>
    <x v="3"/>
    <m/>
    <m/>
    <m/>
    <m/>
    <m/>
    <m/>
    <m/>
    <m/>
    <m/>
    <m/>
    <n v="1"/>
    <n v="63"/>
    <n v="0"/>
    <m/>
    <m/>
    <n v="0.5"/>
    <m/>
    <n v="0"/>
    <n v="0"/>
    <x v="0"/>
    <n v="0"/>
    <n v="0"/>
    <n v="54"/>
    <n v="0"/>
    <n v="0"/>
    <n v="1"/>
    <n v="1"/>
    <n v="1"/>
    <n v="426"/>
    <n v="0"/>
    <n v="0"/>
    <n v="1"/>
    <n v="426"/>
    <n v="0.85199999999999998"/>
    <n v="0"/>
    <n v="0"/>
    <n v="0.14800000000000002"/>
    <n v="1"/>
    <n v="15"/>
    <n v="0.70422535211267601"/>
    <n v="300"/>
    <n v="0"/>
    <n v="0"/>
    <n v="21"/>
    <n v="6"/>
    <n v="0.29577464788732399"/>
    <n v="0"/>
    <n v="426"/>
    <n v="315"/>
    <n v="0"/>
    <n v="315"/>
    <n v="426"/>
    <n v="1"/>
    <n v="0"/>
    <n v="1"/>
    <n v="0.76829268292682928"/>
    <n v="0"/>
    <n v="0"/>
    <n v="0"/>
    <n v="0"/>
    <n v="0"/>
    <x v="1"/>
    <s v="Yes"/>
    <s v="KMSS-LSO"/>
    <x v="0"/>
    <x v="0"/>
    <x v="0"/>
    <n v="23.591999999999999"/>
    <n v="97.796999999999997"/>
    <s v="MMR015CMP220"/>
    <x v="0"/>
    <m/>
  </r>
  <r>
    <x v="0"/>
    <x v="2"/>
    <x v="2"/>
    <m/>
    <x v="3"/>
    <x v="27"/>
    <x v="1"/>
    <x v="506"/>
    <n v="37"/>
    <n v="120"/>
    <m/>
    <m/>
    <m/>
    <m/>
    <m/>
    <m/>
    <m/>
    <m/>
    <m/>
    <m/>
    <m/>
    <m/>
    <m/>
    <m/>
    <m/>
    <m/>
    <m/>
    <m/>
    <m/>
    <m/>
    <m/>
    <m/>
    <m/>
    <m/>
    <m/>
    <m/>
    <m/>
    <m/>
    <m/>
    <m/>
    <m/>
    <m/>
    <m/>
    <m/>
    <m/>
    <m/>
    <m/>
    <m/>
    <m/>
    <x v="1"/>
    <x v="1"/>
    <m/>
    <m/>
    <m/>
    <m/>
    <m/>
    <m/>
    <m/>
    <m/>
    <m/>
    <m/>
    <m/>
    <m/>
    <m/>
    <m/>
    <m/>
    <m/>
    <m/>
    <s v="no test"/>
    <s v="no test"/>
    <x v="1"/>
    <n v="0"/>
    <n v="0"/>
    <n v="0"/>
    <n v="0"/>
    <n v="0"/>
    <n v="0"/>
    <n v="0"/>
    <n v="0"/>
    <n v="0"/>
    <n v="0"/>
    <n v="0"/>
    <n v="0"/>
    <n v="0"/>
    <n v="0"/>
    <n v="1"/>
    <n v="120"/>
    <n v="1"/>
    <n v="1"/>
    <n v="0"/>
    <n v="0"/>
    <n v="0"/>
    <n v="0"/>
    <n v="0"/>
    <n v="6"/>
    <n v="6"/>
    <n v="1"/>
    <n v="0"/>
    <n v="0"/>
    <n v="0"/>
    <n v="0"/>
    <n v="0"/>
    <n v="0"/>
    <n v="0"/>
    <n v="1"/>
    <n v="0"/>
    <n v="0"/>
    <n v="0"/>
    <n v="0"/>
    <n v="0"/>
    <n v="0"/>
    <n v="0"/>
    <x v="0"/>
    <n v="0"/>
    <s v="uncovered"/>
    <x v="0"/>
    <x v="2"/>
    <x v="0"/>
    <n v="22.677008000000001"/>
    <n v="97.314762999999999"/>
    <s v="MMR015CMP244"/>
    <x v="1"/>
    <m/>
  </r>
  <r>
    <x v="0"/>
    <x v="2"/>
    <x v="2"/>
    <m/>
    <x v="3"/>
    <x v="24"/>
    <x v="1"/>
    <x v="507"/>
    <n v="24"/>
    <n v="86"/>
    <m/>
    <m/>
    <m/>
    <m/>
    <m/>
    <m/>
    <m/>
    <m/>
    <m/>
    <m/>
    <m/>
    <m/>
    <m/>
    <m/>
    <m/>
    <m/>
    <m/>
    <m/>
    <m/>
    <m/>
    <m/>
    <m/>
    <m/>
    <m/>
    <m/>
    <m/>
    <m/>
    <m/>
    <m/>
    <m/>
    <m/>
    <m/>
    <m/>
    <m/>
    <m/>
    <m/>
    <m/>
    <m/>
    <m/>
    <x v="1"/>
    <x v="1"/>
    <m/>
    <m/>
    <m/>
    <m/>
    <m/>
    <m/>
    <m/>
    <m/>
    <m/>
    <m/>
    <m/>
    <m/>
    <m/>
    <m/>
    <m/>
    <m/>
    <m/>
    <s v="no test"/>
    <s v="no test"/>
    <x v="1"/>
    <n v="0"/>
    <n v="0"/>
    <n v="0"/>
    <n v="0"/>
    <n v="0"/>
    <n v="0"/>
    <n v="0"/>
    <n v="0"/>
    <n v="0"/>
    <n v="0"/>
    <n v="0"/>
    <n v="0"/>
    <n v="0"/>
    <n v="0"/>
    <n v="1"/>
    <n v="86"/>
    <n v="1"/>
    <n v="1"/>
    <n v="0"/>
    <n v="0"/>
    <n v="0"/>
    <n v="0"/>
    <n v="0"/>
    <n v="4"/>
    <n v="4"/>
    <n v="1"/>
    <n v="0"/>
    <n v="0"/>
    <n v="0"/>
    <n v="0"/>
    <n v="0"/>
    <n v="0"/>
    <n v="0"/>
    <n v="1"/>
    <n v="0"/>
    <n v="0"/>
    <n v="0"/>
    <n v="0"/>
    <n v="0"/>
    <n v="0"/>
    <n v="0"/>
    <x v="0"/>
    <n v="0"/>
    <s v="uncovered"/>
    <x v="0"/>
    <x v="2"/>
    <x v="0"/>
    <n v="0"/>
    <n v="0"/>
    <s v="MMR015CMP246"/>
    <x v="1"/>
    <m/>
  </r>
  <r>
    <x v="0"/>
    <x v="1"/>
    <x v="1"/>
    <s v="UNICEF, WHH(AA)"/>
    <x v="3"/>
    <x v="28"/>
    <x v="1"/>
    <x v="508"/>
    <n v="33"/>
    <n v="147"/>
    <s v="1/2/19,1/10/18"/>
    <s v="31/1/20,30/9/20"/>
    <n v="19"/>
    <m/>
    <m/>
    <m/>
    <s v="Yes"/>
    <m/>
    <m/>
    <m/>
    <m/>
    <m/>
    <n v="1"/>
    <m/>
    <m/>
    <m/>
    <m/>
    <m/>
    <m/>
    <m/>
    <m/>
    <m/>
    <m/>
    <m/>
    <m/>
    <m/>
    <m/>
    <m/>
    <m/>
    <m/>
    <m/>
    <n v="18"/>
    <m/>
    <m/>
    <m/>
    <m/>
    <m/>
    <m/>
    <m/>
    <x v="0"/>
    <x v="0"/>
    <m/>
    <m/>
    <m/>
    <m/>
    <m/>
    <m/>
    <m/>
    <n v="5"/>
    <m/>
    <m/>
    <n v="1"/>
    <n v="0"/>
    <n v="0"/>
    <m/>
    <m/>
    <m/>
    <m/>
    <s v="no test"/>
    <s v="no test"/>
    <x v="1"/>
    <n v="0"/>
    <n v="1"/>
    <n v="0"/>
    <n v="0"/>
    <n v="0"/>
    <n v="1"/>
    <n v="1"/>
    <n v="1"/>
    <n v="147"/>
    <n v="0"/>
    <n v="0"/>
    <n v="1"/>
    <n v="147"/>
    <n v="0.29399999999999998"/>
    <n v="0"/>
    <n v="0"/>
    <n v="0.70599999999999996"/>
    <n v="1"/>
    <n v="18"/>
    <n v="1"/>
    <n v="147"/>
    <n v="0"/>
    <n v="0"/>
    <n v="7"/>
    <n v="0"/>
    <n v="0"/>
    <n v="0"/>
    <n v="147"/>
    <n v="0"/>
    <n v="0"/>
    <n v="0"/>
    <n v="147"/>
    <n v="1"/>
    <n v="0"/>
    <n v="1"/>
    <n v="0"/>
    <n v="0"/>
    <n v="0"/>
    <n v="0"/>
    <n v="0"/>
    <n v="0"/>
    <x v="1"/>
    <s v="Yes"/>
    <s v="KBC-NSS"/>
    <x v="0"/>
    <x v="0"/>
    <x v="0"/>
    <n v="23.250678000000001"/>
    <n v="97.124403000000001"/>
    <s v="MMR015CMP009"/>
    <x v="0"/>
    <m/>
  </r>
  <r>
    <x v="0"/>
    <x v="3"/>
    <x v="3"/>
    <s v="HARP"/>
    <x v="3"/>
    <x v="28"/>
    <x v="1"/>
    <x v="509"/>
    <n v="30"/>
    <n v="170"/>
    <m/>
    <d v="2018-12-31T00:00:00"/>
    <m/>
    <m/>
    <m/>
    <m/>
    <m/>
    <m/>
    <m/>
    <n v="0"/>
    <m/>
    <m/>
    <n v="1"/>
    <m/>
    <m/>
    <m/>
    <m/>
    <m/>
    <m/>
    <m/>
    <n v="1"/>
    <m/>
    <m/>
    <m/>
    <m/>
    <m/>
    <m/>
    <m/>
    <m/>
    <m/>
    <m/>
    <n v="8"/>
    <m/>
    <m/>
    <m/>
    <m/>
    <m/>
    <m/>
    <m/>
    <x v="0"/>
    <x v="3"/>
    <m/>
    <m/>
    <n v="0"/>
    <m/>
    <m/>
    <m/>
    <n v="0"/>
    <n v="2"/>
    <m/>
    <m/>
    <n v="2"/>
    <m/>
    <m/>
    <m/>
    <m/>
    <m/>
    <m/>
    <s v="no test"/>
    <s v="no test"/>
    <x v="1"/>
    <n v="0"/>
    <n v="1"/>
    <n v="0"/>
    <n v="0"/>
    <n v="0"/>
    <n v="1"/>
    <n v="1"/>
    <n v="1"/>
    <n v="170"/>
    <n v="1"/>
    <n v="170"/>
    <n v="1"/>
    <n v="170"/>
    <n v="0.34"/>
    <n v="0"/>
    <n v="0"/>
    <n v="0.65999999999999992"/>
    <n v="1"/>
    <n v="8"/>
    <n v="0.94117647058823528"/>
    <n v="160"/>
    <n v="0"/>
    <n v="0"/>
    <n v="9"/>
    <n v="1"/>
    <n v="5.8823529411764719E-2"/>
    <n v="0"/>
    <n v="170"/>
    <n v="0"/>
    <n v="0"/>
    <n v="0"/>
    <n v="170"/>
    <n v="1"/>
    <n v="0"/>
    <n v="1"/>
    <n v="0"/>
    <n v="0"/>
    <n v="0"/>
    <n v="0"/>
    <n v="0"/>
    <n v="0"/>
    <x v="0"/>
    <s v="Yes"/>
    <s v="KMSS-LSO"/>
    <x v="0"/>
    <x v="0"/>
    <x v="0"/>
    <n v="23.24661"/>
    <n v="97.116680000000002"/>
    <s v="MMR015CMP209"/>
    <x v="0"/>
    <m/>
  </r>
  <r>
    <x v="0"/>
    <x v="37"/>
    <x v="38"/>
    <s v="GFFO, (UNICEF, WHH(AA))"/>
    <x v="3"/>
    <x v="24"/>
    <x v="1"/>
    <x v="510"/>
    <n v="76"/>
    <n v="344"/>
    <s v="12/1/2017,(1/2/19,1/10/18)"/>
    <s v="11/30/2019,(31/1/20,30/9/20)"/>
    <n v="79"/>
    <m/>
    <m/>
    <m/>
    <s v="Yes"/>
    <n v="4"/>
    <n v="5"/>
    <m/>
    <m/>
    <m/>
    <m/>
    <m/>
    <m/>
    <m/>
    <n v="436"/>
    <m/>
    <m/>
    <m/>
    <m/>
    <m/>
    <n v="1"/>
    <n v="1"/>
    <n v="1"/>
    <m/>
    <n v="15"/>
    <m/>
    <m/>
    <m/>
    <m/>
    <n v="81"/>
    <m/>
    <m/>
    <m/>
    <n v="15"/>
    <m/>
    <m/>
    <m/>
    <x v="2"/>
    <x v="3"/>
    <m/>
    <m/>
    <m/>
    <m/>
    <n v="2"/>
    <m/>
    <m/>
    <n v="3"/>
    <m/>
    <n v="1"/>
    <m/>
    <n v="76"/>
    <n v="0"/>
    <m/>
    <m/>
    <n v="0.5"/>
    <m/>
    <n v="0"/>
    <n v="0"/>
    <x v="0"/>
    <n v="0"/>
    <n v="0"/>
    <n v="436"/>
    <n v="0"/>
    <n v="0"/>
    <n v="1"/>
    <n v="1"/>
    <n v="1"/>
    <n v="344"/>
    <n v="0"/>
    <n v="0"/>
    <n v="1"/>
    <n v="344"/>
    <n v="0.68799999999999994"/>
    <n v="0"/>
    <n v="0"/>
    <n v="0.31200000000000006"/>
    <n v="1"/>
    <n v="81"/>
    <n v="1"/>
    <n v="344"/>
    <n v="0"/>
    <n v="0"/>
    <n v="57"/>
    <n v="0"/>
    <n v="0"/>
    <n v="0"/>
    <n v="344"/>
    <n v="344"/>
    <n v="0"/>
    <n v="344"/>
    <n v="344"/>
    <n v="1"/>
    <n v="0"/>
    <n v="1"/>
    <n v="1"/>
    <n v="0"/>
    <n v="2"/>
    <n v="40"/>
    <n v="0"/>
    <n v="200"/>
    <x v="1"/>
    <s v="Yes"/>
    <s v="KMSS-LSO"/>
    <x v="1"/>
    <x v="0"/>
    <x v="0"/>
    <n v="23.588920000000002"/>
    <n v="97.793019999999999"/>
    <s v="MMR015CMP018"/>
    <x v="0"/>
    <m/>
  </r>
  <r>
    <x v="0"/>
    <x v="9"/>
    <x v="9"/>
    <s v="GFFO"/>
    <x v="3"/>
    <x v="29"/>
    <x v="1"/>
    <x v="511"/>
    <n v="62"/>
    <n v="276"/>
    <d v="2017-12-01T00:00:00"/>
    <d v="2019-11-30T00:00:00"/>
    <m/>
    <m/>
    <m/>
    <m/>
    <s v="Yes"/>
    <n v="3"/>
    <n v="6"/>
    <n v="0"/>
    <n v="0"/>
    <n v="0"/>
    <n v="0"/>
    <n v="0"/>
    <n v="0"/>
    <n v="0"/>
    <n v="16"/>
    <n v="0"/>
    <n v="0"/>
    <n v="0"/>
    <m/>
    <n v="0"/>
    <n v="1"/>
    <m/>
    <n v="1"/>
    <n v="0"/>
    <n v="15"/>
    <n v="0"/>
    <m/>
    <m/>
    <m/>
    <n v="10"/>
    <n v="0"/>
    <m/>
    <n v="0"/>
    <n v="0"/>
    <n v="0"/>
    <m/>
    <m/>
    <x v="0"/>
    <x v="0"/>
    <n v="0"/>
    <n v="0"/>
    <m/>
    <m/>
    <n v="0"/>
    <n v="0"/>
    <n v="0"/>
    <n v="2"/>
    <n v="0"/>
    <n v="0"/>
    <n v="1"/>
    <n v="62"/>
    <m/>
    <m/>
    <m/>
    <n v="0.5"/>
    <m/>
    <n v="0"/>
    <n v="0"/>
    <x v="0"/>
    <n v="0"/>
    <n v="0"/>
    <n v="16"/>
    <n v="0"/>
    <n v="0"/>
    <n v="1"/>
    <n v="1"/>
    <n v="1"/>
    <n v="276"/>
    <n v="0"/>
    <n v="0"/>
    <n v="1"/>
    <n v="276"/>
    <n v="0.55200000000000005"/>
    <n v="0"/>
    <n v="0"/>
    <n v="0.44799999999999995"/>
    <n v="1"/>
    <n v="10"/>
    <n v="0.72463768115942029"/>
    <n v="200"/>
    <n v="0"/>
    <n v="0"/>
    <n v="14"/>
    <n v="4"/>
    <n v="0.27536231884057971"/>
    <n v="0"/>
    <n v="276"/>
    <n v="276"/>
    <n v="0"/>
    <n v="276"/>
    <n v="276"/>
    <n v="1"/>
    <n v="0"/>
    <n v="1"/>
    <n v="1"/>
    <n v="0"/>
    <n v="0"/>
    <n v="0"/>
    <n v="0"/>
    <n v="0"/>
    <x v="0"/>
    <n v="0"/>
    <s v="uncovered"/>
    <x v="0"/>
    <x v="2"/>
    <x v="0"/>
    <n v="23.611999999999998"/>
    <n v="97.506"/>
    <s v="MMR015CMP224"/>
    <x v="0"/>
    <m/>
  </r>
  <r>
    <x v="0"/>
    <x v="9"/>
    <x v="9"/>
    <s v="GFFO"/>
    <x v="3"/>
    <x v="24"/>
    <x v="1"/>
    <x v="512"/>
    <n v="30"/>
    <n v="180"/>
    <d v="2017-12-01T00:00:00"/>
    <d v="2019-11-30T00:00:00"/>
    <m/>
    <m/>
    <m/>
    <m/>
    <s v="Yes"/>
    <n v="5"/>
    <n v="4"/>
    <n v="0"/>
    <n v="0"/>
    <n v="0"/>
    <n v="0"/>
    <n v="0"/>
    <n v="0"/>
    <n v="0"/>
    <n v="12"/>
    <n v="0"/>
    <n v="0"/>
    <n v="0"/>
    <m/>
    <n v="0"/>
    <n v="1"/>
    <m/>
    <n v="1"/>
    <n v="0"/>
    <n v="15"/>
    <n v="0"/>
    <m/>
    <m/>
    <m/>
    <n v="30"/>
    <n v="0"/>
    <m/>
    <n v="0"/>
    <n v="0"/>
    <n v="0"/>
    <m/>
    <m/>
    <x v="3"/>
    <x v="0"/>
    <n v="0"/>
    <n v="0"/>
    <m/>
    <m/>
    <n v="2"/>
    <n v="0"/>
    <n v="0"/>
    <n v="2"/>
    <n v="0"/>
    <n v="0"/>
    <n v="1"/>
    <n v="30"/>
    <m/>
    <m/>
    <m/>
    <n v="0.1"/>
    <m/>
    <n v="0"/>
    <n v="0"/>
    <x v="0"/>
    <n v="0"/>
    <n v="0"/>
    <n v="12"/>
    <n v="0"/>
    <n v="0"/>
    <n v="1"/>
    <n v="1"/>
    <n v="1"/>
    <n v="180"/>
    <n v="0"/>
    <n v="0"/>
    <n v="1"/>
    <n v="180"/>
    <n v="0.36"/>
    <n v="0"/>
    <n v="0"/>
    <n v="0.64"/>
    <n v="1"/>
    <n v="30"/>
    <n v="1"/>
    <n v="180"/>
    <n v="0"/>
    <n v="0"/>
    <n v="9"/>
    <n v="0"/>
    <n v="0"/>
    <n v="0"/>
    <n v="180"/>
    <n v="180"/>
    <n v="0"/>
    <n v="180"/>
    <n v="180"/>
    <n v="1"/>
    <n v="0"/>
    <n v="1"/>
    <n v="1"/>
    <n v="0"/>
    <n v="2"/>
    <n v="30"/>
    <n v="0"/>
    <n v="180"/>
    <x v="0"/>
    <n v="0"/>
    <s v="uncovered"/>
    <x v="0"/>
    <x v="2"/>
    <x v="0"/>
    <n v="23.850999999999999"/>
    <n v="98.337999999999994"/>
    <s v="MMR015CMP227"/>
    <x v="0"/>
    <m/>
  </r>
  <r>
    <x v="0"/>
    <x v="2"/>
    <x v="2"/>
    <m/>
    <x v="3"/>
    <x v="24"/>
    <x v="1"/>
    <x v="513"/>
    <n v="44"/>
    <n v="265"/>
    <m/>
    <m/>
    <m/>
    <m/>
    <m/>
    <m/>
    <m/>
    <m/>
    <m/>
    <m/>
    <m/>
    <m/>
    <m/>
    <m/>
    <m/>
    <m/>
    <m/>
    <m/>
    <m/>
    <m/>
    <m/>
    <m/>
    <m/>
    <m/>
    <m/>
    <m/>
    <m/>
    <m/>
    <m/>
    <m/>
    <m/>
    <m/>
    <m/>
    <m/>
    <m/>
    <m/>
    <m/>
    <m/>
    <m/>
    <x v="0"/>
    <x v="4"/>
    <m/>
    <m/>
    <m/>
    <m/>
    <m/>
    <m/>
    <m/>
    <m/>
    <m/>
    <m/>
    <m/>
    <m/>
    <m/>
    <m/>
    <m/>
    <m/>
    <m/>
    <s v="no test"/>
    <s v="no test"/>
    <x v="1"/>
    <n v="0"/>
    <n v="0"/>
    <n v="0"/>
    <n v="0"/>
    <n v="0"/>
    <n v="0"/>
    <n v="0"/>
    <n v="0"/>
    <n v="0"/>
    <n v="0"/>
    <n v="0"/>
    <n v="0"/>
    <n v="0"/>
    <n v="0"/>
    <n v="1"/>
    <n v="265"/>
    <n v="1"/>
    <n v="1"/>
    <n v="0"/>
    <n v="0"/>
    <n v="0"/>
    <n v="0"/>
    <n v="0"/>
    <n v="44"/>
    <n v="44"/>
    <n v="1"/>
    <n v="0"/>
    <n v="0"/>
    <n v="0"/>
    <n v="0"/>
    <n v="0"/>
    <n v="0"/>
    <n v="0"/>
    <n v="1"/>
    <n v="0"/>
    <n v="0"/>
    <n v="0"/>
    <n v="0"/>
    <n v="0"/>
    <n v="0"/>
    <n v="0"/>
    <x v="0"/>
    <s v="Yes"/>
    <s v="KBC-NSS"/>
    <x v="1"/>
    <x v="0"/>
    <x v="0"/>
    <n v="23.400155999999999"/>
    <n v="98.220614999999995"/>
    <s v="MMR015CMP006"/>
    <x v="1"/>
    <m/>
  </r>
  <r>
    <x v="0"/>
    <x v="3"/>
    <x v="3"/>
    <s v="HARP"/>
    <x v="3"/>
    <x v="24"/>
    <x v="1"/>
    <x v="514"/>
    <n v="30"/>
    <n v="138"/>
    <m/>
    <d v="2018-12-31T00:00:00"/>
    <m/>
    <m/>
    <m/>
    <m/>
    <m/>
    <m/>
    <m/>
    <n v="0"/>
    <m/>
    <m/>
    <n v="0"/>
    <m/>
    <m/>
    <m/>
    <m/>
    <m/>
    <m/>
    <m/>
    <n v="1"/>
    <m/>
    <m/>
    <m/>
    <m/>
    <m/>
    <m/>
    <m/>
    <m/>
    <m/>
    <m/>
    <n v="8"/>
    <m/>
    <m/>
    <m/>
    <m/>
    <m/>
    <m/>
    <m/>
    <x v="0"/>
    <x v="0"/>
    <m/>
    <m/>
    <n v="0"/>
    <m/>
    <m/>
    <m/>
    <n v="0"/>
    <n v="2"/>
    <m/>
    <m/>
    <n v="0"/>
    <m/>
    <m/>
    <m/>
    <m/>
    <m/>
    <m/>
    <s v="no test"/>
    <s v="no test"/>
    <x v="1"/>
    <n v="0"/>
    <n v="0"/>
    <n v="0"/>
    <n v="0"/>
    <n v="0"/>
    <n v="0"/>
    <n v="0"/>
    <n v="0"/>
    <n v="0"/>
    <n v="1"/>
    <n v="138"/>
    <n v="1"/>
    <n v="138"/>
    <n v="0.27600000000000002"/>
    <n v="0"/>
    <n v="0"/>
    <n v="0.72399999999999998"/>
    <n v="1"/>
    <n v="8"/>
    <n v="1"/>
    <n v="138"/>
    <n v="0"/>
    <n v="0"/>
    <n v="7"/>
    <n v="0"/>
    <n v="0"/>
    <n v="0"/>
    <n v="0"/>
    <n v="0"/>
    <n v="0"/>
    <n v="0"/>
    <n v="0"/>
    <n v="0"/>
    <n v="1"/>
    <n v="0"/>
    <n v="0"/>
    <n v="0"/>
    <n v="0"/>
    <n v="0"/>
    <n v="0"/>
    <n v="0"/>
    <x v="0"/>
    <s v="Yes"/>
    <s v="KMSS-LSO"/>
    <x v="0"/>
    <x v="0"/>
    <x v="0"/>
    <n v="23.463000000000001"/>
    <n v="98.248999999999995"/>
    <s v="MMR015CMP217"/>
    <x v="0"/>
    <m/>
  </r>
  <r>
    <x v="0"/>
    <x v="1"/>
    <x v="1"/>
    <s v="UNICEF, WHH(AA)"/>
    <x v="3"/>
    <x v="25"/>
    <x v="1"/>
    <x v="515"/>
    <n v="51"/>
    <n v="207"/>
    <s v="1/2/19,1/10/18"/>
    <s v="31/1/20,30/9/20"/>
    <m/>
    <m/>
    <m/>
    <m/>
    <s v="Yes"/>
    <m/>
    <m/>
    <m/>
    <m/>
    <m/>
    <m/>
    <m/>
    <m/>
    <m/>
    <m/>
    <m/>
    <m/>
    <m/>
    <m/>
    <m/>
    <m/>
    <m/>
    <m/>
    <m/>
    <m/>
    <m/>
    <m/>
    <m/>
    <m/>
    <n v="12"/>
    <m/>
    <m/>
    <m/>
    <m/>
    <m/>
    <m/>
    <m/>
    <x v="0"/>
    <x v="0"/>
    <m/>
    <m/>
    <m/>
    <m/>
    <m/>
    <m/>
    <m/>
    <n v="3"/>
    <m/>
    <m/>
    <m/>
    <n v="0"/>
    <n v="0"/>
    <m/>
    <m/>
    <m/>
    <m/>
    <s v="no test"/>
    <s v="no test"/>
    <x v="1"/>
    <n v="0"/>
    <n v="0"/>
    <n v="0"/>
    <n v="0"/>
    <n v="0"/>
    <n v="0"/>
    <n v="0"/>
    <n v="0"/>
    <n v="0"/>
    <n v="0"/>
    <n v="0"/>
    <n v="0"/>
    <n v="0"/>
    <n v="0"/>
    <n v="1"/>
    <n v="207"/>
    <n v="1"/>
    <n v="1"/>
    <n v="12"/>
    <n v="1"/>
    <n v="207"/>
    <n v="0"/>
    <n v="0"/>
    <n v="10"/>
    <n v="0"/>
    <n v="0"/>
    <n v="0"/>
    <n v="0"/>
    <n v="0"/>
    <n v="0"/>
    <n v="0"/>
    <n v="0"/>
    <n v="0"/>
    <n v="1"/>
    <n v="0"/>
    <n v="0"/>
    <n v="0"/>
    <n v="0"/>
    <n v="0"/>
    <n v="0"/>
    <n v="0"/>
    <x v="0"/>
    <n v="0"/>
    <s v="uncovered"/>
    <x v="0"/>
    <x v="0"/>
    <x v="0"/>
    <n v="24.006319999999999"/>
    <n v="97.909400000000005"/>
    <s v="MMR015CMP213"/>
    <x v="0"/>
    <m/>
  </r>
  <r>
    <x v="0"/>
    <x v="3"/>
    <x v="3"/>
    <s v="HARP"/>
    <x v="3"/>
    <x v="25"/>
    <x v="1"/>
    <x v="516"/>
    <n v="24"/>
    <n v="114"/>
    <m/>
    <d v="2018-12-31T00:00:00"/>
    <m/>
    <m/>
    <m/>
    <m/>
    <m/>
    <m/>
    <m/>
    <n v="1"/>
    <m/>
    <m/>
    <n v="1"/>
    <m/>
    <m/>
    <m/>
    <m/>
    <m/>
    <m/>
    <m/>
    <m/>
    <m/>
    <m/>
    <m/>
    <m/>
    <m/>
    <m/>
    <m/>
    <m/>
    <m/>
    <m/>
    <n v="8"/>
    <m/>
    <m/>
    <m/>
    <m/>
    <m/>
    <m/>
    <m/>
    <x v="0"/>
    <x v="3"/>
    <m/>
    <m/>
    <n v="1"/>
    <m/>
    <m/>
    <m/>
    <n v="1"/>
    <n v="2"/>
    <m/>
    <m/>
    <n v="2"/>
    <m/>
    <m/>
    <m/>
    <m/>
    <m/>
    <m/>
    <s v="no test"/>
    <s v="no test"/>
    <x v="1"/>
    <n v="1"/>
    <n v="1"/>
    <n v="0"/>
    <n v="0"/>
    <n v="0"/>
    <n v="1"/>
    <n v="1"/>
    <n v="1"/>
    <n v="114"/>
    <n v="0"/>
    <n v="0"/>
    <n v="1"/>
    <n v="114"/>
    <n v="0.22800000000000001"/>
    <n v="0"/>
    <n v="0"/>
    <n v="0.77200000000000002"/>
    <n v="1"/>
    <n v="8"/>
    <n v="1"/>
    <n v="114"/>
    <n v="0"/>
    <n v="0"/>
    <n v="6"/>
    <n v="0"/>
    <n v="0"/>
    <n v="0"/>
    <n v="114"/>
    <n v="0"/>
    <n v="0"/>
    <n v="0"/>
    <n v="114"/>
    <n v="1"/>
    <n v="0"/>
    <n v="1"/>
    <n v="0"/>
    <n v="0"/>
    <n v="0"/>
    <n v="0"/>
    <n v="0"/>
    <n v="0"/>
    <x v="0"/>
    <s v="Yes"/>
    <s v="KMSS-LSO"/>
    <x v="0"/>
    <x v="0"/>
    <x v="0"/>
    <n v="24.006789000000001"/>
    <n v="97.911647000000002"/>
    <s v="MMR015CMP216"/>
    <x v="0"/>
    <m/>
  </r>
  <r>
    <x v="0"/>
    <x v="3"/>
    <x v="3"/>
    <s v="HARP"/>
    <x v="3"/>
    <x v="29"/>
    <x v="1"/>
    <x v="517"/>
    <n v="120"/>
    <n v="570"/>
    <m/>
    <d v="2018-12-31T00:00:00"/>
    <m/>
    <m/>
    <m/>
    <m/>
    <m/>
    <m/>
    <m/>
    <n v="0"/>
    <m/>
    <m/>
    <n v="1"/>
    <m/>
    <m/>
    <m/>
    <m/>
    <m/>
    <m/>
    <m/>
    <m/>
    <m/>
    <m/>
    <m/>
    <m/>
    <m/>
    <m/>
    <m/>
    <m/>
    <m/>
    <m/>
    <n v="17"/>
    <m/>
    <m/>
    <m/>
    <m/>
    <m/>
    <m/>
    <m/>
    <x v="0"/>
    <x v="0"/>
    <m/>
    <m/>
    <m/>
    <m/>
    <m/>
    <m/>
    <n v="0"/>
    <n v="2"/>
    <m/>
    <m/>
    <n v="2"/>
    <m/>
    <m/>
    <m/>
    <m/>
    <m/>
    <m/>
    <s v="no test"/>
    <s v="no test"/>
    <x v="1"/>
    <n v="0"/>
    <n v="1"/>
    <n v="0"/>
    <n v="0"/>
    <n v="0"/>
    <n v="0.8771929824561403"/>
    <n v="0.43859649122807015"/>
    <n v="0.8771929824561403"/>
    <n v="500"/>
    <n v="0"/>
    <n v="0"/>
    <n v="0.8771929824561403"/>
    <n v="500"/>
    <n v="1"/>
    <n v="0.1228070175438597"/>
    <n v="70.000000000000028"/>
    <n v="0"/>
    <n v="1"/>
    <n v="17"/>
    <n v="0.59649122807017541"/>
    <n v="340"/>
    <n v="0"/>
    <n v="0"/>
    <n v="29"/>
    <n v="12"/>
    <n v="0.40350877192982459"/>
    <n v="0"/>
    <n v="570"/>
    <n v="0"/>
    <n v="0"/>
    <n v="0"/>
    <n v="570"/>
    <n v="1"/>
    <n v="0"/>
    <n v="1"/>
    <n v="0"/>
    <n v="0"/>
    <n v="0"/>
    <n v="0"/>
    <n v="0"/>
    <n v="0"/>
    <x v="0"/>
    <s v="Yes"/>
    <s v="KBC-NSS"/>
    <x v="0"/>
    <x v="0"/>
    <x v="0"/>
    <n v="23.821380000000001"/>
    <n v="97.681970000000007"/>
    <s v="MMR015CMP004"/>
    <x v="0"/>
    <m/>
  </r>
  <r>
    <x v="0"/>
    <x v="2"/>
    <x v="2"/>
    <m/>
    <x v="3"/>
    <x v="29"/>
    <x v="1"/>
    <x v="518"/>
    <n v="68"/>
    <n v="350"/>
    <m/>
    <m/>
    <m/>
    <m/>
    <m/>
    <m/>
    <m/>
    <m/>
    <m/>
    <m/>
    <m/>
    <m/>
    <m/>
    <m/>
    <m/>
    <m/>
    <m/>
    <m/>
    <m/>
    <m/>
    <m/>
    <m/>
    <m/>
    <m/>
    <m/>
    <m/>
    <m/>
    <m/>
    <m/>
    <m/>
    <m/>
    <m/>
    <m/>
    <m/>
    <m/>
    <m/>
    <m/>
    <m/>
    <m/>
    <x v="1"/>
    <x v="1"/>
    <m/>
    <m/>
    <m/>
    <m/>
    <m/>
    <m/>
    <m/>
    <m/>
    <m/>
    <m/>
    <m/>
    <m/>
    <m/>
    <m/>
    <m/>
    <m/>
    <m/>
    <s v="no test"/>
    <s v="no test"/>
    <x v="1"/>
    <n v="0"/>
    <n v="0"/>
    <n v="0"/>
    <n v="0"/>
    <n v="0"/>
    <n v="0"/>
    <n v="0"/>
    <n v="0"/>
    <n v="0"/>
    <n v="0"/>
    <n v="0"/>
    <n v="0"/>
    <n v="0"/>
    <n v="0"/>
    <n v="1"/>
    <n v="350"/>
    <n v="1"/>
    <n v="1"/>
    <n v="0"/>
    <n v="0"/>
    <n v="0"/>
    <n v="0"/>
    <n v="0"/>
    <n v="18"/>
    <n v="18"/>
    <n v="1"/>
    <n v="0"/>
    <n v="0"/>
    <n v="0"/>
    <n v="0"/>
    <n v="0"/>
    <n v="0"/>
    <n v="0"/>
    <n v="1"/>
    <n v="0"/>
    <n v="0"/>
    <n v="0"/>
    <n v="0"/>
    <n v="0"/>
    <n v="0"/>
    <n v="0"/>
    <x v="0"/>
    <s v="Yes"/>
    <s v="KBC-NSS"/>
    <x v="0"/>
    <x v="0"/>
    <x v="0"/>
    <n v="23.828520000000001"/>
    <n v="97.669557999999995"/>
    <s v="MMR015CMP001"/>
    <x v="1"/>
    <m/>
  </r>
  <r>
    <x v="0"/>
    <x v="2"/>
    <x v="2"/>
    <m/>
    <x v="3"/>
    <x v="29"/>
    <x v="1"/>
    <x v="519"/>
    <n v="34"/>
    <n v="176"/>
    <m/>
    <m/>
    <m/>
    <m/>
    <m/>
    <m/>
    <m/>
    <m/>
    <m/>
    <m/>
    <m/>
    <m/>
    <m/>
    <m/>
    <m/>
    <m/>
    <m/>
    <m/>
    <m/>
    <m/>
    <m/>
    <m/>
    <m/>
    <m/>
    <m/>
    <m/>
    <m/>
    <m/>
    <m/>
    <m/>
    <m/>
    <m/>
    <m/>
    <m/>
    <m/>
    <m/>
    <m/>
    <m/>
    <m/>
    <x v="1"/>
    <x v="1"/>
    <m/>
    <m/>
    <m/>
    <m/>
    <m/>
    <m/>
    <m/>
    <m/>
    <m/>
    <m/>
    <m/>
    <m/>
    <m/>
    <m/>
    <m/>
    <m/>
    <m/>
    <s v="no test"/>
    <s v="no test"/>
    <x v="1"/>
    <n v="0"/>
    <n v="0"/>
    <n v="0"/>
    <n v="0"/>
    <n v="0"/>
    <n v="0"/>
    <n v="0"/>
    <n v="0"/>
    <n v="0"/>
    <n v="0"/>
    <n v="0"/>
    <n v="0"/>
    <n v="0"/>
    <n v="0"/>
    <n v="1"/>
    <n v="176"/>
    <n v="1"/>
    <n v="1"/>
    <n v="0"/>
    <n v="0"/>
    <n v="0"/>
    <n v="0"/>
    <n v="0"/>
    <n v="9"/>
    <n v="9"/>
    <n v="1"/>
    <n v="0"/>
    <n v="0"/>
    <n v="0"/>
    <n v="0"/>
    <n v="0"/>
    <n v="0"/>
    <n v="0"/>
    <n v="1"/>
    <n v="0"/>
    <n v="0"/>
    <n v="0"/>
    <n v="0"/>
    <n v="0"/>
    <n v="0"/>
    <n v="0"/>
    <x v="0"/>
    <s v="Yes"/>
    <s v="KBC-NSS"/>
    <x v="0"/>
    <x v="0"/>
    <x v="0"/>
    <n v="23.841646999999998"/>
    <n v="97.700940000000003"/>
    <s v="MMR015CMP214"/>
    <x v="1"/>
    <m/>
  </r>
  <r>
    <x v="0"/>
    <x v="3"/>
    <x v="3"/>
    <s v="HARP"/>
    <x v="3"/>
    <x v="29"/>
    <x v="1"/>
    <x v="520"/>
    <n v="44"/>
    <n v="209"/>
    <m/>
    <d v="2018-12-31T00:00:00"/>
    <m/>
    <m/>
    <m/>
    <m/>
    <m/>
    <m/>
    <m/>
    <n v="1"/>
    <m/>
    <m/>
    <n v="1"/>
    <m/>
    <m/>
    <m/>
    <m/>
    <m/>
    <m/>
    <m/>
    <m/>
    <m/>
    <m/>
    <m/>
    <m/>
    <m/>
    <m/>
    <m/>
    <m/>
    <m/>
    <m/>
    <n v="15"/>
    <m/>
    <m/>
    <m/>
    <m/>
    <m/>
    <m/>
    <m/>
    <x v="0"/>
    <x v="0"/>
    <m/>
    <m/>
    <m/>
    <m/>
    <m/>
    <m/>
    <n v="0"/>
    <n v="2"/>
    <m/>
    <m/>
    <n v="2"/>
    <m/>
    <m/>
    <m/>
    <m/>
    <m/>
    <m/>
    <s v="no test"/>
    <s v="no test"/>
    <x v="1"/>
    <n v="1"/>
    <n v="1"/>
    <n v="0"/>
    <n v="0"/>
    <n v="0"/>
    <n v="1"/>
    <n v="1"/>
    <n v="1"/>
    <n v="209"/>
    <n v="0"/>
    <n v="0"/>
    <n v="1"/>
    <n v="209"/>
    <n v="0.41799999999999998"/>
    <n v="0"/>
    <n v="0"/>
    <n v="0.58200000000000007"/>
    <n v="1"/>
    <n v="15"/>
    <n v="1"/>
    <n v="209"/>
    <n v="0"/>
    <n v="0"/>
    <n v="10"/>
    <n v="0"/>
    <n v="0"/>
    <n v="0"/>
    <n v="209"/>
    <n v="0"/>
    <n v="0"/>
    <n v="0"/>
    <n v="209"/>
    <n v="1"/>
    <n v="0"/>
    <n v="1"/>
    <n v="0"/>
    <n v="0"/>
    <n v="0"/>
    <n v="0"/>
    <n v="0"/>
    <n v="0"/>
    <x v="0"/>
    <s v="Yes"/>
    <s v="KMSS-LSO"/>
    <x v="0"/>
    <x v="0"/>
    <x v="0"/>
    <n v="23.828150000000001"/>
    <n v="97.670360000000002"/>
    <s v="MMR015CMP003"/>
    <x v="0"/>
    <m/>
  </r>
  <r>
    <x v="0"/>
    <x v="37"/>
    <x v="38"/>
    <s v="GFFO, (UNICEF, WHH(AA))"/>
    <x v="3"/>
    <x v="24"/>
    <x v="1"/>
    <x v="521"/>
    <n v="57"/>
    <n v="266"/>
    <s v="12/1/2017,(1/2/19,1/10/18)"/>
    <s v="11/30/2019,(31/1/20,30/9/20)"/>
    <n v="139"/>
    <m/>
    <m/>
    <m/>
    <s v="Yes"/>
    <n v="5"/>
    <n v="4"/>
    <m/>
    <m/>
    <m/>
    <m/>
    <m/>
    <m/>
    <m/>
    <n v="16"/>
    <m/>
    <m/>
    <m/>
    <m/>
    <m/>
    <n v="1"/>
    <m/>
    <n v="1"/>
    <m/>
    <n v="15"/>
    <m/>
    <m/>
    <m/>
    <m/>
    <n v="15"/>
    <m/>
    <m/>
    <n v="4"/>
    <n v="4"/>
    <n v="6"/>
    <m/>
    <m/>
    <x v="0"/>
    <x v="0"/>
    <m/>
    <m/>
    <m/>
    <m/>
    <n v="4"/>
    <n v="3"/>
    <m/>
    <n v="1"/>
    <m/>
    <m/>
    <n v="1"/>
    <n v="57"/>
    <n v="0"/>
    <m/>
    <m/>
    <n v="0.5"/>
    <m/>
    <n v="0"/>
    <n v="0"/>
    <x v="0"/>
    <n v="0"/>
    <n v="0"/>
    <n v="16"/>
    <n v="0"/>
    <n v="0"/>
    <n v="1"/>
    <n v="1"/>
    <n v="1"/>
    <n v="266"/>
    <n v="0"/>
    <n v="0"/>
    <n v="1"/>
    <n v="266"/>
    <n v="0.53200000000000003"/>
    <n v="0"/>
    <n v="0"/>
    <n v="0.46799999999999997"/>
    <n v="1"/>
    <n v="11"/>
    <n v="0.82706766917293228"/>
    <n v="220"/>
    <n v="120"/>
    <n v="0"/>
    <n v="13"/>
    <n v="0"/>
    <n v="0.17293233082706772"/>
    <n v="0.26666666666666666"/>
    <n v="266"/>
    <n v="266"/>
    <n v="0"/>
    <n v="266"/>
    <n v="266"/>
    <n v="1"/>
    <n v="0"/>
    <n v="1"/>
    <n v="1"/>
    <n v="0"/>
    <n v="1"/>
    <n v="20"/>
    <n v="0"/>
    <n v="100"/>
    <x v="1"/>
    <s v="Yes"/>
    <s v="KBC-NSS"/>
    <x v="0"/>
    <x v="0"/>
    <x v="0"/>
    <n v="23.694130000000001"/>
    <n v="97.818979999999996"/>
    <s v="MMR015CMP007"/>
    <x v="0"/>
    <m/>
  </r>
  <r>
    <x v="0"/>
    <x v="37"/>
    <x v="38"/>
    <s v="GFFO, (UNICEF, WHH(AA))"/>
    <x v="3"/>
    <x v="24"/>
    <x v="1"/>
    <x v="522"/>
    <n v="36"/>
    <n v="121"/>
    <s v="12/1/2017,(1/2/19,1/10/18)"/>
    <s v="11/30/2019,(31/1/20,30/9/20)"/>
    <n v="37"/>
    <m/>
    <m/>
    <m/>
    <s v="Yes"/>
    <n v="5"/>
    <n v="4"/>
    <m/>
    <m/>
    <m/>
    <n v="1"/>
    <n v="1"/>
    <m/>
    <m/>
    <m/>
    <m/>
    <m/>
    <m/>
    <m/>
    <m/>
    <n v="1"/>
    <m/>
    <n v="1"/>
    <m/>
    <n v="15"/>
    <m/>
    <m/>
    <m/>
    <m/>
    <n v="10"/>
    <m/>
    <m/>
    <n v="4"/>
    <n v="4"/>
    <n v="4"/>
    <m/>
    <m/>
    <x v="0"/>
    <x v="4"/>
    <m/>
    <m/>
    <m/>
    <m/>
    <n v="4"/>
    <n v="2"/>
    <m/>
    <n v="0"/>
    <m/>
    <m/>
    <n v="1"/>
    <n v="36"/>
    <n v="0"/>
    <m/>
    <m/>
    <n v="0.5"/>
    <m/>
    <n v="0"/>
    <n v="0"/>
    <x v="0"/>
    <n v="0"/>
    <n v="2"/>
    <n v="0"/>
    <n v="0"/>
    <n v="0"/>
    <n v="1"/>
    <n v="1"/>
    <n v="1"/>
    <n v="121"/>
    <n v="0"/>
    <n v="0"/>
    <n v="1"/>
    <n v="121"/>
    <n v="0.24199999999999999"/>
    <n v="0"/>
    <n v="0"/>
    <n v="0.75800000000000001"/>
    <n v="1"/>
    <n v="6"/>
    <n v="0.99173553719008267"/>
    <n v="120"/>
    <n v="80"/>
    <n v="0"/>
    <n v="6"/>
    <n v="0"/>
    <n v="8.2644628099173278E-3"/>
    <n v="0.4"/>
    <n v="121"/>
    <n v="121"/>
    <n v="0"/>
    <n v="121"/>
    <n v="121"/>
    <n v="1"/>
    <n v="0"/>
    <n v="1"/>
    <n v="1"/>
    <n v="0"/>
    <n v="2"/>
    <n v="36"/>
    <n v="0"/>
    <n v="121"/>
    <x v="1"/>
    <s v="Yes"/>
    <s v="KMSS-LSO"/>
    <x v="0"/>
    <x v="0"/>
    <x v="0"/>
    <n v="23.682887999999998"/>
    <n v="97.810101000000003"/>
    <s v="MMR015CMP225"/>
    <x v="0"/>
    <m/>
  </r>
  <r>
    <x v="0"/>
    <x v="1"/>
    <x v="1"/>
    <s v="UNICEF, WHH(AA)"/>
    <x v="3"/>
    <x v="30"/>
    <x v="1"/>
    <x v="523"/>
    <n v="36"/>
    <n v="166"/>
    <s v="1/2/19,1/10/18"/>
    <s v="31/1/20,30/9/20"/>
    <n v="57"/>
    <m/>
    <m/>
    <m/>
    <s v="Yes"/>
    <m/>
    <m/>
    <n v="3"/>
    <n v="1"/>
    <m/>
    <n v="1"/>
    <m/>
    <m/>
    <m/>
    <m/>
    <m/>
    <m/>
    <m/>
    <m/>
    <m/>
    <m/>
    <m/>
    <m/>
    <m/>
    <m/>
    <m/>
    <m/>
    <m/>
    <m/>
    <n v="20"/>
    <m/>
    <m/>
    <n v="2"/>
    <m/>
    <m/>
    <m/>
    <m/>
    <x v="0"/>
    <x v="0"/>
    <m/>
    <m/>
    <m/>
    <m/>
    <m/>
    <m/>
    <m/>
    <n v="2"/>
    <m/>
    <m/>
    <n v="1"/>
    <n v="0"/>
    <n v="0"/>
    <s v="No"/>
    <m/>
    <m/>
    <m/>
    <s v="no test"/>
    <s v="no test"/>
    <x v="1"/>
    <n v="2"/>
    <n v="1"/>
    <n v="0"/>
    <n v="0"/>
    <n v="0"/>
    <n v="1"/>
    <n v="1"/>
    <n v="1"/>
    <n v="166"/>
    <n v="0"/>
    <n v="0"/>
    <n v="1"/>
    <n v="166"/>
    <n v="0.33200000000000002"/>
    <n v="0"/>
    <n v="0"/>
    <n v="0.66799999999999993"/>
    <n v="1"/>
    <n v="18"/>
    <n v="1"/>
    <n v="166"/>
    <n v="0"/>
    <n v="0"/>
    <n v="8"/>
    <n v="0"/>
    <n v="0"/>
    <n v="0.1"/>
    <n v="166"/>
    <n v="0"/>
    <n v="0"/>
    <n v="0"/>
    <n v="166"/>
    <n v="1"/>
    <n v="0"/>
    <n v="1"/>
    <n v="0"/>
    <n v="0"/>
    <n v="0"/>
    <n v="0"/>
    <n v="0"/>
    <n v="0"/>
    <x v="1"/>
    <s v="Yes"/>
    <s v="KBC-NSS"/>
    <x v="0"/>
    <x v="0"/>
    <x v="0"/>
    <n v="23.354268999999999"/>
    <n v="98.218626999999998"/>
    <s v="MMR015CMP218"/>
    <x v="0"/>
    <m/>
  </r>
  <r>
    <x v="0"/>
    <x v="1"/>
    <x v="1"/>
    <s v="UNICEF, WHH(AA)"/>
    <x v="3"/>
    <x v="26"/>
    <x v="1"/>
    <x v="524"/>
    <n v="57"/>
    <n v="263"/>
    <s v="1/2/19,1/10/18"/>
    <s v="31/1/20,30/9/20"/>
    <n v="65"/>
    <m/>
    <m/>
    <m/>
    <s v="Yes"/>
    <m/>
    <m/>
    <m/>
    <m/>
    <m/>
    <m/>
    <m/>
    <m/>
    <m/>
    <m/>
    <m/>
    <m/>
    <m/>
    <m/>
    <n v="1"/>
    <m/>
    <m/>
    <m/>
    <m/>
    <m/>
    <m/>
    <m/>
    <m/>
    <m/>
    <n v="8"/>
    <m/>
    <m/>
    <m/>
    <m/>
    <m/>
    <m/>
    <m/>
    <x v="0"/>
    <x v="4"/>
    <m/>
    <m/>
    <m/>
    <s v="ေရႏႈတ္ေျမာင္းတူးရန္ အစီစဥ္ရွိသည္။"/>
    <n v="4"/>
    <m/>
    <m/>
    <n v="3"/>
    <m/>
    <m/>
    <n v="1"/>
    <n v="0"/>
    <n v="0"/>
    <m/>
    <m/>
    <m/>
    <m/>
    <s v="no test"/>
    <s v="no test"/>
    <x v="1"/>
    <n v="0"/>
    <n v="0"/>
    <n v="0"/>
    <n v="0"/>
    <n v="1"/>
    <n v="2.5348542458808617E-4"/>
    <n v="2.5348542458808617E-4"/>
    <n v="2.5348542458808617E-4"/>
    <n v="6.6666666666666666E-2"/>
    <n v="0"/>
    <n v="0"/>
    <n v="2.5348542458808617E-4"/>
    <n v="6.6666666666666666E-2"/>
    <n v="1.3333333333333334E-4"/>
    <n v="0.99974651457541186"/>
    <n v="262.93333333333334"/>
    <n v="0.99986666666666668"/>
    <n v="1"/>
    <n v="8"/>
    <n v="0.60836501901140683"/>
    <n v="160"/>
    <n v="0"/>
    <n v="0"/>
    <n v="13"/>
    <n v="5"/>
    <n v="0.39163498098859317"/>
    <n v="0"/>
    <n v="263"/>
    <n v="0"/>
    <n v="0"/>
    <n v="0"/>
    <n v="263"/>
    <n v="1"/>
    <n v="0"/>
    <n v="1"/>
    <n v="0"/>
    <n v="0"/>
    <n v="4"/>
    <n v="57"/>
    <n v="0"/>
    <n v="263"/>
    <x v="1"/>
    <s v="Yes"/>
    <s v="KBC-NSS"/>
    <x v="0"/>
    <x v="0"/>
    <x v="0"/>
    <n v="23.094290000000001"/>
    <n v="97.404089999999997"/>
    <s v="MMR015CMP014"/>
    <x v="0"/>
    <m/>
  </r>
  <r>
    <x v="0"/>
    <x v="2"/>
    <x v="2"/>
    <m/>
    <x v="3"/>
    <x v="29"/>
    <x v="1"/>
    <x v="525"/>
    <n v="118"/>
    <n v="568"/>
    <m/>
    <m/>
    <m/>
    <m/>
    <m/>
    <m/>
    <m/>
    <m/>
    <m/>
    <m/>
    <m/>
    <m/>
    <m/>
    <m/>
    <m/>
    <m/>
    <m/>
    <m/>
    <m/>
    <m/>
    <m/>
    <m/>
    <m/>
    <m/>
    <m/>
    <m/>
    <m/>
    <m/>
    <m/>
    <m/>
    <m/>
    <m/>
    <m/>
    <m/>
    <m/>
    <m/>
    <m/>
    <m/>
    <m/>
    <x v="1"/>
    <x v="1"/>
    <m/>
    <m/>
    <m/>
    <m/>
    <m/>
    <m/>
    <m/>
    <m/>
    <m/>
    <m/>
    <m/>
    <m/>
    <m/>
    <m/>
    <m/>
    <m/>
    <m/>
    <s v="no test"/>
    <s v="no test"/>
    <x v="1"/>
    <n v="0"/>
    <n v="0"/>
    <n v="0"/>
    <n v="0"/>
    <n v="0"/>
    <n v="0"/>
    <n v="0"/>
    <n v="0"/>
    <n v="0"/>
    <n v="0"/>
    <n v="0"/>
    <n v="0"/>
    <n v="0"/>
    <n v="0"/>
    <n v="1"/>
    <n v="568"/>
    <n v="1"/>
    <n v="1"/>
    <n v="0"/>
    <n v="0"/>
    <n v="0"/>
    <n v="0"/>
    <n v="0"/>
    <n v="28"/>
    <n v="28"/>
    <n v="1"/>
    <n v="0"/>
    <n v="0"/>
    <n v="0"/>
    <n v="0"/>
    <n v="0"/>
    <n v="0"/>
    <n v="0"/>
    <n v="1"/>
    <n v="0"/>
    <n v="0"/>
    <n v="0"/>
    <n v="0"/>
    <n v="0"/>
    <n v="0"/>
    <n v="0"/>
    <x v="0"/>
    <s v="Yes"/>
    <s v="KBC-NSS"/>
    <x v="0"/>
    <x v="0"/>
    <x v="0"/>
    <n v="23.838190000000001"/>
    <n v="97.709879999999998"/>
    <s v="MMR015CMP215"/>
    <x v="1"/>
    <m/>
  </r>
  <r>
    <x v="0"/>
    <x v="37"/>
    <x v="38"/>
    <s v="GFFO, (UNICEF, WHH(AA))"/>
    <x v="3"/>
    <x v="24"/>
    <x v="1"/>
    <x v="526"/>
    <n v="103"/>
    <n v="632"/>
    <s v="12/1/2017,(1/2/19,1/10/18)"/>
    <s v="11/30/2019,(31/1/20,30/9/20)"/>
    <m/>
    <m/>
    <m/>
    <m/>
    <s v="Yes"/>
    <n v="4"/>
    <n v="5"/>
    <m/>
    <m/>
    <m/>
    <m/>
    <m/>
    <m/>
    <m/>
    <n v="11"/>
    <m/>
    <m/>
    <m/>
    <m/>
    <m/>
    <n v="1"/>
    <m/>
    <n v="1"/>
    <m/>
    <n v="15"/>
    <m/>
    <m/>
    <m/>
    <m/>
    <n v="103"/>
    <m/>
    <m/>
    <m/>
    <m/>
    <m/>
    <m/>
    <m/>
    <x v="3"/>
    <x v="0"/>
    <m/>
    <m/>
    <m/>
    <m/>
    <n v="2"/>
    <m/>
    <m/>
    <m/>
    <m/>
    <m/>
    <n v="1"/>
    <n v="103"/>
    <n v="0"/>
    <m/>
    <m/>
    <n v="0.5"/>
    <m/>
    <n v="0"/>
    <n v="0"/>
    <x v="0"/>
    <n v="0"/>
    <n v="0"/>
    <n v="11"/>
    <n v="0"/>
    <n v="0"/>
    <n v="1"/>
    <n v="1"/>
    <n v="1"/>
    <n v="632"/>
    <n v="0"/>
    <n v="0"/>
    <n v="1"/>
    <n v="632"/>
    <n v="1.264"/>
    <n v="0"/>
    <n v="0"/>
    <n v="0"/>
    <n v="1"/>
    <n v="103"/>
    <n v="0.97784810126582278"/>
    <n v="618"/>
    <n v="0"/>
    <n v="0"/>
    <n v="105"/>
    <n v="2"/>
    <n v="2.2151898734177222E-2"/>
    <n v="0"/>
    <n v="500"/>
    <n v="632"/>
    <n v="0"/>
    <n v="632"/>
    <n v="632"/>
    <n v="1"/>
    <n v="0"/>
    <n v="0.79113924050632911"/>
    <n v="1"/>
    <n v="0"/>
    <n v="2"/>
    <n v="40"/>
    <n v="0"/>
    <n v="200"/>
    <x v="0"/>
    <s v="Yes"/>
    <s v="KMSS-LSO"/>
    <x v="1"/>
    <x v="0"/>
    <x v="0"/>
    <n v="23.447111"/>
    <n v="97.868876999999998"/>
    <s v="MMR015CMP219"/>
    <x v="0"/>
    <m/>
  </r>
  <r>
    <x v="0"/>
    <x v="37"/>
    <x v="38"/>
    <s v="GFFO, (UNICEF, WHH(AA))"/>
    <x v="3"/>
    <x v="24"/>
    <x v="1"/>
    <x v="527"/>
    <n v="36"/>
    <n v="191"/>
    <s v="12/1/2017,(1/2/19,1/10/18)"/>
    <s v="11/30/2019,(31/1/20,30/9/20)"/>
    <n v="44"/>
    <m/>
    <m/>
    <m/>
    <s v="Yes"/>
    <n v="5"/>
    <n v="4"/>
    <m/>
    <m/>
    <m/>
    <m/>
    <m/>
    <m/>
    <m/>
    <n v="16"/>
    <m/>
    <m/>
    <m/>
    <m/>
    <m/>
    <n v="1"/>
    <n v="1"/>
    <n v="1"/>
    <m/>
    <n v="15"/>
    <m/>
    <m/>
    <m/>
    <m/>
    <n v="36"/>
    <m/>
    <m/>
    <m/>
    <m/>
    <m/>
    <m/>
    <m/>
    <x v="3"/>
    <x v="3"/>
    <m/>
    <m/>
    <m/>
    <m/>
    <m/>
    <m/>
    <m/>
    <m/>
    <m/>
    <m/>
    <n v="1"/>
    <n v="36"/>
    <n v="0"/>
    <m/>
    <m/>
    <n v="0.5"/>
    <m/>
    <n v="0"/>
    <n v="0"/>
    <x v="0"/>
    <n v="0"/>
    <n v="0"/>
    <n v="16"/>
    <n v="0"/>
    <n v="0"/>
    <n v="1"/>
    <n v="1"/>
    <n v="1"/>
    <n v="191"/>
    <n v="0"/>
    <n v="0"/>
    <n v="1"/>
    <n v="191"/>
    <n v="0.38200000000000001"/>
    <n v="0"/>
    <n v="0"/>
    <n v="0.61799999999999999"/>
    <n v="1"/>
    <n v="36"/>
    <n v="1"/>
    <n v="191"/>
    <n v="0"/>
    <n v="0"/>
    <n v="10"/>
    <n v="0"/>
    <n v="0"/>
    <n v="0"/>
    <n v="191"/>
    <n v="191"/>
    <n v="0"/>
    <n v="191"/>
    <n v="191"/>
    <n v="1"/>
    <n v="0"/>
    <n v="1"/>
    <n v="1"/>
    <n v="0"/>
    <n v="0"/>
    <n v="0"/>
    <n v="0"/>
    <n v="0"/>
    <x v="1"/>
    <s v="Yes"/>
    <s v="KMSS-LSO"/>
    <x v="0"/>
    <x v="0"/>
    <x v="0"/>
    <n v="0"/>
    <n v="0"/>
    <s v="MMR015CMP249"/>
    <x v="0"/>
    <m/>
  </r>
  <r>
    <x v="0"/>
    <x v="1"/>
    <x v="1"/>
    <s v="UNICEF, WHH(AA)"/>
    <x v="3"/>
    <x v="26"/>
    <x v="1"/>
    <x v="528"/>
    <n v="6"/>
    <n v="27"/>
    <s v="1/2/19,1/10/18"/>
    <s v="31/1/20,30/9/20"/>
    <m/>
    <m/>
    <m/>
    <m/>
    <m/>
    <m/>
    <m/>
    <m/>
    <m/>
    <m/>
    <m/>
    <m/>
    <m/>
    <m/>
    <m/>
    <m/>
    <m/>
    <m/>
    <m/>
    <m/>
    <m/>
    <m/>
    <m/>
    <m/>
    <m/>
    <m/>
    <m/>
    <m/>
    <m/>
    <m/>
    <m/>
    <m/>
    <m/>
    <m/>
    <m/>
    <m/>
    <m/>
    <x v="2"/>
    <x v="4"/>
    <m/>
    <m/>
    <m/>
    <m/>
    <m/>
    <m/>
    <m/>
    <m/>
    <m/>
    <m/>
    <m/>
    <n v="0"/>
    <n v="0"/>
    <m/>
    <m/>
    <m/>
    <m/>
    <s v="no test"/>
    <s v="no test"/>
    <x v="1"/>
    <n v="0"/>
    <n v="0"/>
    <n v="0"/>
    <n v="0"/>
    <n v="0"/>
    <n v="0"/>
    <n v="0"/>
    <n v="0"/>
    <n v="0"/>
    <n v="0"/>
    <n v="0"/>
    <n v="0"/>
    <n v="0"/>
    <n v="0"/>
    <n v="1"/>
    <n v="27"/>
    <n v="1"/>
    <n v="1"/>
    <n v="0"/>
    <n v="0"/>
    <n v="0"/>
    <n v="0"/>
    <n v="0"/>
    <n v="1"/>
    <n v="1"/>
    <n v="1"/>
    <n v="0"/>
    <n v="0"/>
    <n v="0"/>
    <n v="0"/>
    <n v="0"/>
    <n v="0"/>
    <n v="0"/>
    <n v="1"/>
    <n v="0"/>
    <n v="0"/>
    <n v="0"/>
    <n v="0"/>
    <n v="0"/>
    <n v="0"/>
    <n v="0"/>
    <x v="0"/>
    <n v="0"/>
    <s v="uncovered"/>
    <x v="0"/>
    <x v="2"/>
    <x v="0"/>
    <n v="22.765999999999998"/>
    <n v="97.358999999999995"/>
    <s v="MMR015CMP221"/>
    <x v="0"/>
    <m/>
  </r>
  <r>
    <x v="0"/>
    <x v="37"/>
    <x v="38"/>
    <s v="GFFO, (UNICEF, WHH(AA))"/>
    <x v="3"/>
    <x v="30"/>
    <x v="1"/>
    <x v="529"/>
    <n v="36"/>
    <n v="175"/>
    <s v="12/1/2017,(1/2/19,1/10/18)"/>
    <s v="11/30/2019,(31/1/20,30/9/20)"/>
    <n v="63"/>
    <m/>
    <m/>
    <m/>
    <s v="Yes"/>
    <n v="4"/>
    <n v="4"/>
    <n v="1"/>
    <m/>
    <m/>
    <n v="1"/>
    <m/>
    <m/>
    <m/>
    <n v="13"/>
    <n v="13"/>
    <m/>
    <m/>
    <m/>
    <m/>
    <n v="1"/>
    <m/>
    <n v="1"/>
    <m/>
    <n v="15"/>
    <m/>
    <m/>
    <m/>
    <m/>
    <n v="27"/>
    <n v="9"/>
    <m/>
    <m/>
    <m/>
    <m/>
    <m/>
    <m/>
    <x v="2"/>
    <x v="4"/>
    <m/>
    <m/>
    <m/>
    <s v="Drinking water problem"/>
    <m/>
    <m/>
    <m/>
    <n v="2"/>
    <m/>
    <m/>
    <n v="1"/>
    <n v="36"/>
    <n v="0"/>
    <m/>
    <m/>
    <n v="0.5"/>
    <m/>
    <n v="0"/>
    <n v="0"/>
    <x v="0"/>
    <n v="1"/>
    <n v="1"/>
    <n v="0"/>
    <n v="0"/>
    <n v="0"/>
    <n v="1"/>
    <n v="1"/>
    <n v="1"/>
    <n v="175"/>
    <n v="0"/>
    <n v="0"/>
    <n v="1"/>
    <n v="175"/>
    <n v="0.35"/>
    <n v="0"/>
    <n v="0"/>
    <n v="0.65"/>
    <n v="1"/>
    <n v="36"/>
    <n v="1"/>
    <n v="175"/>
    <n v="0"/>
    <n v="0"/>
    <n v="9"/>
    <n v="0"/>
    <n v="0"/>
    <n v="0"/>
    <n v="175"/>
    <n v="175"/>
    <n v="0"/>
    <n v="175"/>
    <n v="175"/>
    <n v="1"/>
    <n v="0"/>
    <n v="1"/>
    <n v="1"/>
    <n v="0"/>
    <n v="0"/>
    <n v="0"/>
    <n v="0"/>
    <n v="0"/>
    <x v="1"/>
    <n v="0"/>
    <n v="0"/>
    <x v="0"/>
    <x v="4"/>
    <x v="0"/>
    <n v="23.353999999999999"/>
    <n v="98.221000000000004"/>
    <s v="MMR015CMP226"/>
    <x v="0"/>
    <m/>
  </r>
  <r>
    <x v="0"/>
    <x v="37"/>
    <x v="38"/>
    <s v="GFFO, (UNICEF, WHH(AA))"/>
    <x v="3"/>
    <x v="24"/>
    <x v="1"/>
    <x v="530"/>
    <n v="205"/>
    <n v="1077"/>
    <s v="12/1/2017,(1/2/19,1/10/18)"/>
    <s v="11/30/2019,(31/1/20,30/9/20)"/>
    <n v="269"/>
    <m/>
    <m/>
    <m/>
    <s v="Yes"/>
    <n v="5"/>
    <n v="4"/>
    <m/>
    <m/>
    <m/>
    <m/>
    <m/>
    <m/>
    <m/>
    <n v="99"/>
    <m/>
    <m/>
    <m/>
    <m/>
    <m/>
    <n v="1"/>
    <m/>
    <n v="1"/>
    <m/>
    <n v="15"/>
    <m/>
    <m/>
    <m/>
    <m/>
    <n v="179"/>
    <n v="26"/>
    <m/>
    <m/>
    <n v="26"/>
    <m/>
    <m/>
    <m/>
    <x v="2"/>
    <x v="4"/>
    <m/>
    <m/>
    <m/>
    <s v="most of the lartines are needed to repair"/>
    <n v="2"/>
    <m/>
    <m/>
    <n v="2"/>
    <m/>
    <m/>
    <n v="1"/>
    <n v="205"/>
    <n v="0"/>
    <m/>
    <m/>
    <n v="0.5"/>
    <m/>
    <n v="0"/>
    <n v="0"/>
    <x v="0"/>
    <n v="0"/>
    <n v="0"/>
    <n v="99"/>
    <n v="0"/>
    <n v="0"/>
    <n v="1"/>
    <n v="1"/>
    <n v="1"/>
    <n v="1077"/>
    <n v="0"/>
    <n v="0"/>
    <n v="1"/>
    <n v="1077"/>
    <n v="2.1539999999999999"/>
    <n v="0"/>
    <n v="0"/>
    <n v="0"/>
    <n v="2"/>
    <n v="205"/>
    <n v="1"/>
    <n v="1077"/>
    <n v="0"/>
    <n v="0"/>
    <n v="180"/>
    <n v="0"/>
    <n v="0"/>
    <n v="0"/>
    <n v="500"/>
    <n v="1077"/>
    <n v="0"/>
    <n v="1077"/>
    <n v="1077"/>
    <n v="1"/>
    <n v="0"/>
    <n v="0.46425255338904364"/>
    <n v="1"/>
    <n v="0"/>
    <n v="2"/>
    <n v="40"/>
    <n v="0"/>
    <n v="200"/>
    <x v="1"/>
    <s v="Yes"/>
    <s v="KBC-NSS"/>
    <x v="1"/>
    <x v="0"/>
    <x v="0"/>
    <n v="23.38503"/>
    <n v="97.837040000000002"/>
    <s v="MMR015CMP020"/>
    <x v="0"/>
    <m/>
  </r>
  <r>
    <x v="0"/>
    <x v="9"/>
    <x v="9"/>
    <m/>
    <x v="3"/>
    <x v="27"/>
    <x v="3"/>
    <x v="531"/>
    <n v="53"/>
    <n v="194"/>
    <m/>
    <m/>
    <m/>
    <m/>
    <m/>
    <m/>
    <m/>
    <m/>
    <m/>
    <m/>
    <m/>
    <m/>
    <m/>
    <m/>
    <m/>
    <m/>
    <m/>
    <m/>
    <m/>
    <m/>
    <m/>
    <m/>
    <m/>
    <m/>
    <m/>
    <m/>
    <m/>
    <m/>
    <m/>
    <m/>
    <m/>
    <m/>
    <m/>
    <m/>
    <m/>
    <m/>
    <m/>
    <m/>
    <m/>
    <x v="1"/>
    <x v="1"/>
    <m/>
    <m/>
    <m/>
    <m/>
    <m/>
    <m/>
    <m/>
    <m/>
    <m/>
    <m/>
    <m/>
    <n v="53"/>
    <n v="53"/>
    <m/>
    <m/>
    <m/>
    <m/>
    <s v="no test"/>
    <s v="no test"/>
    <x v="1"/>
    <n v="0"/>
    <n v="0"/>
    <n v="0"/>
    <n v="0"/>
    <n v="0"/>
    <n v="0"/>
    <n v="0"/>
    <n v="0"/>
    <n v="0"/>
    <n v="0"/>
    <n v="0"/>
    <n v="0"/>
    <n v="0"/>
    <n v="0"/>
    <n v="1"/>
    <n v="194"/>
    <n v="1"/>
    <n v="1"/>
    <n v="0"/>
    <n v="0"/>
    <n v="0"/>
    <n v="0"/>
    <n v="0"/>
    <n v="4"/>
    <n v="4"/>
    <n v="1"/>
    <n v="0"/>
    <n v="0"/>
    <n v="194"/>
    <n v="194"/>
    <n v="194"/>
    <n v="194"/>
    <n v="1"/>
    <n v="0"/>
    <n v="0"/>
    <n v="1"/>
    <n v="1"/>
    <n v="0"/>
    <n v="0"/>
    <n v="0"/>
    <n v="0"/>
    <x v="0"/>
    <n v="0"/>
    <n v="0"/>
    <x v="3"/>
    <x v="8"/>
    <x v="0"/>
    <n v="0"/>
    <n v="0"/>
    <n v="0"/>
    <x v="0"/>
    <m/>
  </r>
  <r>
    <x v="0"/>
    <x v="9"/>
    <x v="9"/>
    <m/>
    <x v="3"/>
    <x v="27"/>
    <x v="3"/>
    <x v="532"/>
    <n v="133"/>
    <n v="373"/>
    <m/>
    <m/>
    <m/>
    <m/>
    <m/>
    <m/>
    <m/>
    <m/>
    <m/>
    <m/>
    <m/>
    <m/>
    <m/>
    <m/>
    <m/>
    <m/>
    <m/>
    <m/>
    <m/>
    <m/>
    <m/>
    <m/>
    <m/>
    <m/>
    <m/>
    <m/>
    <m/>
    <m/>
    <m/>
    <m/>
    <m/>
    <m/>
    <m/>
    <m/>
    <m/>
    <m/>
    <m/>
    <m/>
    <m/>
    <x v="1"/>
    <x v="1"/>
    <m/>
    <m/>
    <m/>
    <m/>
    <m/>
    <m/>
    <m/>
    <n v="1"/>
    <m/>
    <m/>
    <m/>
    <m/>
    <m/>
    <m/>
    <m/>
    <m/>
    <m/>
    <s v="no test"/>
    <s v="no test"/>
    <x v="1"/>
    <n v="0"/>
    <n v="0"/>
    <n v="0"/>
    <n v="0"/>
    <n v="0"/>
    <n v="0"/>
    <n v="0"/>
    <n v="0"/>
    <n v="0"/>
    <n v="0"/>
    <n v="0"/>
    <n v="0"/>
    <n v="0"/>
    <n v="0"/>
    <n v="1"/>
    <n v="373"/>
    <n v="1"/>
    <n v="1"/>
    <n v="0"/>
    <n v="0"/>
    <n v="0"/>
    <n v="0"/>
    <n v="0"/>
    <n v="7"/>
    <n v="7"/>
    <n v="1"/>
    <n v="0"/>
    <n v="0"/>
    <n v="0"/>
    <n v="0"/>
    <n v="0"/>
    <n v="0"/>
    <n v="0"/>
    <n v="1"/>
    <n v="0"/>
    <n v="0"/>
    <n v="0"/>
    <n v="0"/>
    <n v="0"/>
    <n v="0"/>
    <n v="0"/>
    <x v="0"/>
    <n v="0"/>
    <n v="0"/>
    <x v="3"/>
    <x v="8"/>
    <x v="0"/>
    <n v="0"/>
    <n v="0"/>
    <n v="0"/>
    <x v="0"/>
    <m/>
  </r>
  <r>
    <x v="0"/>
    <x v="9"/>
    <x v="9"/>
    <m/>
    <x v="3"/>
    <x v="27"/>
    <x v="3"/>
    <x v="533"/>
    <n v="125"/>
    <n v="1360"/>
    <m/>
    <m/>
    <m/>
    <m/>
    <m/>
    <m/>
    <m/>
    <m/>
    <m/>
    <m/>
    <m/>
    <m/>
    <m/>
    <m/>
    <m/>
    <m/>
    <m/>
    <m/>
    <m/>
    <m/>
    <m/>
    <m/>
    <m/>
    <m/>
    <m/>
    <m/>
    <m/>
    <m/>
    <m/>
    <m/>
    <m/>
    <n v="20"/>
    <m/>
    <m/>
    <m/>
    <m/>
    <m/>
    <m/>
    <m/>
    <x v="1"/>
    <x v="1"/>
    <m/>
    <m/>
    <m/>
    <m/>
    <n v="4"/>
    <m/>
    <m/>
    <m/>
    <m/>
    <m/>
    <m/>
    <n v="134"/>
    <n v="134"/>
    <m/>
    <m/>
    <m/>
    <m/>
    <s v="no test"/>
    <s v="no test"/>
    <x v="1"/>
    <n v="0"/>
    <n v="0"/>
    <n v="0"/>
    <n v="0"/>
    <n v="0"/>
    <n v="0"/>
    <n v="0"/>
    <n v="0"/>
    <n v="0"/>
    <n v="0"/>
    <n v="0"/>
    <n v="0"/>
    <n v="0"/>
    <n v="0"/>
    <n v="1"/>
    <n v="1360"/>
    <n v="3"/>
    <n v="3"/>
    <n v="20"/>
    <n v="0.73529411764705888"/>
    <n v="1000"/>
    <n v="0"/>
    <n v="0"/>
    <n v="27"/>
    <n v="7"/>
    <n v="0.26470588235294112"/>
    <n v="0"/>
    <n v="0"/>
    <n v="670"/>
    <n v="670"/>
    <n v="670"/>
    <n v="670"/>
    <n v="0.49264705882352944"/>
    <n v="0.50735294117647056"/>
    <n v="0"/>
    <n v="1"/>
    <n v="1"/>
    <n v="4"/>
    <n v="80"/>
    <n v="0"/>
    <n v="400"/>
    <x v="0"/>
    <n v="0"/>
    <n v="0"/>
    <x v="3"/>
    <x v="8"/>
    <x v="0"/>
    <n v="0"/>
    <n v="0"/>
    <n v="0"/>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3BFB650-FD09-4A47-AF0C-14B2320699E5}"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C12" firstHeaderRow="0" firstDataRow="1" firstDataCol="1" rowPageCount="2" colPageCount="1"/>
  <pivotFields count="131">
    <pivotField showAll="0"/>
    <pivotField showAll="0"/>
    <pivotField showAll="0"/>
    <pivotField showAll="0"/>
    <pivotField axis="axisPage" multipleItemSelectionAllowed="1" showAll="0">
      <items count="7">
        <item x="1"/>
        <item h="1" x="0"/>
        <item x="2"/>
        <item m="1" x="5"/>
        <item h="1" x="3"/>
        <item m="1" x="4"/>
        <item t="default"/>
      </items>
    </pivotField>
    <pivotField axis="axisRow" showAll="0">
      <items count="42">
        <item m="1" x="36"/>
        <item x="0"/>
        <item x="14"/>
        <item m="1" x="38"/>
        <item x="5"/>
        <item x="6"/>
        <item x="30"/>
        <item x="27"/>
        <item x="24"/>
        <item x="17"/>
        <item x="16"/>
        <item m="1" x="35"/>
        <item m="1" x="39"/>
        <item x="9"/>
        <item x="28"/>
        <item x="15"/>
        <item x="19"/>
        <item x="7"/>
        <item x="8"/>
        <item m="1" x="32"/>
        <item x="1"/>
        <item x="22"/>
        <item x="25"/>
        <item x="20"/>
        <item x="3"/>
        <item m="1" x="37"/>
        <item x="29"/>
        <item x="26"/>
        <item m="1" x="33"/>
        <item m="1" x="34"/>
        <item x="13"/>
        <item x="23"/>
        <item x="10"/>
        <item m="1" x="40"/>
        <item x="21"/>
        <item x="4"/>
        <item x="18"/>
        <item x="11"/>
        <item x="12"/>
        <item x="2"/>
        <item m="1" x="31"/>
        <item t="default"/>
      </items>
    </pivotField>
    <pivotField axis="axisPage" showAll="0">
      <items count="11">
        <item x="1"/>
        <item x="0"/>
        <item m="1" x="9"/>
        <item x="3"/>
        <item m="1" x="6"/>
        <item m="1" x="5"/>
        <item x="2"/>
        <item m="1" x="8"/>
        <item x="4"/>
        <item m="1" x="7"/>
        <item t="default"/>
      </items>
    </pivotField>
    <pivotField dataField="1" showAll="0"/>
    <pivotField numFmtId="164" showAll="0"/>
    <pivotField dataField="1"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 showAll="0"/>
    <pivotField numFmtId="1" showAll="0"/>
    <pivotField numFmtId="1" showAll="0"/>
    <pivotField numFmtId="1" showAll="0"/>
    <pivotField numFmtId="9" showAll="0"/>
    <pivotField numFmtId="9" showAll="0"/>
    <pivotField numFmtId="9" showAll="0"/>
    <pivotField numFmtId="1" showAll="0"/>
    <pivotField numFmtId="9" showAll="0"/>
    <pivotField numFmtId="1" showAll="0"/>
    <pivotField numFmtId="9" showAll="0"/>
    <pivotField numFmtId="1" showAll="0"/>
    <pivotField numFmtId="1" showAll="0"/>
    <pivotField numFmtId="9" showAll="0"/>
    <pivotField numFmtId="1" showAll="0"/>
    <pivotField numFmtId="1" showAll="0"/>
    <pivotField numFmtId="1" showAll="0"/>
    <pivotField numFmtId="1" showAll="0"/>
    <pivotField numFmtId="9" showAll="0"/>
    <pivotField numFmtId="1" showAll="0"/>
    <pivotField showAll="0"/>
    <pivotField showAll="0"/>
    <pivotField numFmtId="1" showAll="0"/>
    <pivotField numFmtId="1" showAll="0"/>
    <pivotField numFmtId="9" showAll="0"/>
    <pivotField numFmtId="9" showAll="0"/>
    <pivotField numFmtId="1" showAll="0"/>
    <pivotField numFmtId="1" showAll="0"/>
    <pivotField numFmtId="1" showAll="0"/>
    <pivotField numFmtId="1" showAll="0"/>
    <pivotField numFmtId="1" showAll="0"/>
    <pivotField numFmtId="9" showAll="0"/>
    <pivotField numFmtId="9" showAll="0"/>
    <pivotField numFmtId="9" showAll="0"/>
    <pivotField numFmtId="9" showAll="0"/>
    <pivotField numFmtId="9" showAll="0"/>
    <pivotField numFmtId="1" showAll="0"/>
    <pivotField showAll="0"/>
    <pivotField numFmtId="1" showAll="0"/>
    <pivotField numFmtId="1"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8">
    <i>
      <x v="2"/>
    </i>
    <i>
      <x v="10"/>
    </i>
    <i>
      <x v="16"/>
    </i>
    <i>
      <x v="21"/>
    </i>
    <i>
      <x v="30"/>
    </i>
    <i>
      <x v="31"/>
    </i>
    <i>
      <x v="34"/>
    </i>
    <i t="grand">
      <x/>
    </i>
  </rowItems>
  <colFields count="1">
    <field x="-2"/>
  </colFields>
  <colItems count="2">
    <i>
      <x/>
    </i>
    <i i="1">
      <x v="1"/>
    </i>
  </colItems>
  <pageFields count="2">
    <pageField fld="4" hier="-1"/>
    <pageField fld="6" item="3" hier="-1"/>
  </pageFields>
  <dataFields count="2">
    <dataField name="Count of Site Name" fld="7" subtotal="count" baseField="0" baseItem="0"/>
    <dataField name="Sum of Total PoP "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700-00000B000000}" name="PivotTable7" cacheId="0" applyNumberFormats="0" applyBorderFormats="0" applyFontFormats="0" applyPatternFormats="0" applyAlignmentFormats="0" applyWidthHeightFormats="1" dataCaption="Values" updatedVersion="6" minRefreshableVersion="3" showDrill="0" itemPrintTitles="1" createdVersion="6" indent="0" showHeaders="0" compact="0" compactData="0" multipleFieldFilters="0">
  <location ref="M6:Q8" firstHeaderRow="0" firstDataRow="1" firstDataCol="1" rowPageCount="3" colPageCount="1"/>
  <pivotFields count="131">
    <pivotField axis="axisRow" compact="0" outline="0" subtotalTop="0" showAll="0">
      <items count="12">
        <item m="1" x="9"/>
        <item m="1" x="4"/>
        <item m="1" x="1"/>
        <item m="1" x="3"/>
        <item m="1" x="10"/>
        <item m="1" x="2"/>
        <item m="1" x="8"/>
        <item m="1" x="5"/>
        <item m="1" x="6"/>
        <item m="1" x="7"/>
        <item x="0"/>
        <item t="default"/>
      </items>
    </pivotField>
    <pivotField compact="0" outline="0" showAll="0" defaultSubtotal="0"/>
    <pivotField compact="0" outline="0" showAll="0" defaultSubtotal="0"/>
    <pivotField compact="0" outline="0" subtotalTop="0" showAll="0"/>
    <pivotField axis="axisPage" compact="0" outline="0" subtotalTop="0" multipleItemSelectionAllowed="1" showAll="0">
      <items count="7">
        <item x="0"/>
        <item h="1" m="1" x="5"/>
        <item h="1" x="3"/>
        <item h="1" m="1" x="4"/>
        <item h="1" x="1"/>
        <item h="1" x="2"/>
        <item t="default"/>
      </items>
    </pivotField>
    <pivotField compact="0" outline="0" subtotalTop="0" showAll="0"/>
    <pivotField axis="axisPage" compact="0" outline="0" multipleItemSelectionAllowed="1" showAll="0" defaultSubtotal="0">
      <items count="10">
        <item x="1"/>
        <item x="0"/>
        <item m="1" x="9"/>
        <item x="2"/>
        <item h="1" x="4"/>
        <item h="1" m="1" x="6"/>
        <item h="1" m="1" x="8"/>
        <item h="1" m="1" x="5"/>
        <item h="1" m="1" x="7"/>
        <item h="1" x="3"/>
      </items>
    </pivotField>
    <pivotField compact="0" outline="0" subtotalTop="0" showAll="0"/>
    <pivotField compact="0" outline="0" subtotalTop="0" showAll="0"/>
    <pivotField dataField="1"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outline="0" subtotalTop="0" showAll="0"/>
    <pivotField compact="0" numFmtId="9" outline="0" subtotalTop="0" showAll="0"/>
    <pivotField compact="0" outline="0" subtotalTop="0" showAll="0"/>
    <pivotField compact="0" outline="0" showAll="0" defaultSubtotal="0"/>
    <pivotField compact="0" outline="0" showAll="0"/>
    <pivotField compact="0" outline="0" subtotalTop="0" showAll="0"/>
    <pivotField compact="0" outline="0" showAll="0" defaultSubtotal="0"/>
    <pivotField dataField="1" compact="0" outline="0" showAll="0" defaultSubtotal="0"/>
    <pivotField compact="0" outline="0" subtotalTop="0" showAll="0"/>
    <pivotField compact="0" outline="0" subtotalTop="0" showAll="0"/>
    <pivotField compact="0" outline="0" showAll="0" defaultSubtotal="0"/>
    <pivotField compact="0" outline="0" subtotalTop="0" showAll="0"/>
    <pivotField compact="0" numFmtId="1" outline="0" subtotalTop="0" showAll="0"/>
    <pivotField compact="0" numFmtId="1" outline="0" showAll="0" defaultSubtotal="0"/>
    <pivotField compact="0" numFmtId="9" outline="0" showAll="0"/>
    <pivotField dataField="1" compact="0" numFmtId="1" outline="0" showAll="0" defaultSubtotal="0"/>
    <pivotField compact="0" outline="0" showAll="0" defaultSubtotal="0"/>
    <pivotField compact="0" outline="0" showAll="0" defaultSubtotal="0"/>
    <pivotField compact="0" outline="0" subtotalTop="0" showAll="0"/>
    <pivotField compact="0" outline="0" subtotalTop="0" showAll="0"/>
    <pivotField compact="0" outline="0" subtotalTop="0" showAll="0"/>
    <pivotField compact="0" numFmtId="9"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dataField="1" compact="0" numFmtId="1"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howAll="0" defaultSubtotal="0"/>
    <pivotField compact="0" numFmtId="1" outline="0" subtotalTop="0" showAll="0"/>
    <pivotField compact="0" numFmtId="1" outline="0" showAll="0" defaultSubtotal="0"/>
    <pivotField compact="0" numFmtId="1" outline="0" showAll="0"/>
    <pivotField compact="0" outline="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showAll="0">
      <items count="5">
        <item x="0"/>
        <item x="1"/>
        <item m="1" x="2"/>
        <item m="1" x="3"/>
        <item t="default"/>
      </items>
    </pivotField>
    <pivotField compact="0" outline="0" subtotalTop="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0"/>
  </rowFields>
  <rowItems count="2">
    <i>
      <x v="10"/>
    </i>
    <i t="grand">
      <x/>
    </i>
  </rowItems>
  <colFields count="1">
    <field x="-2"/>
  </colFields>
  <colItems count="4">
    <i>
      <x/>
    </i>
    <i i="1">
      <x v="1"/>
    </i>
    <i i="2">
      <x v="2"/>
    </i>
    <i i="3">
      <x v="3"/>
    </i>
  </colItems>
  <pageFields count="3">
    <pageField fld="121" item="0" hier="-1"/>
    <pageField fld="4" hier="-1"/>
    <pageField fld="6" hier="-1"/>
  </pageFields>
  <dataFields count="4">
    <dataField name="Total Population reached" fld="9" baseField="2" baseItem="0" numFmtId="3"/>
    <dataField name=" HRP1" fld="83" baseField="0" baseItem="10"/>
    <dataField name=" HRP2" fld="91" baseField="0" baseItem="0"/>
    <dataField name=" HRP3" fld="102" baseField="0" baseItem="0"/>
  </dataFields>
  <formats count="17">
    <format dxfId="975">
      <pivotArea field="4" type="button" dataOnly="0" labelOnly="1" outline="0" axis="axisPage" fieldPosition="1"/>
    </format>
    <format dxfId="974">
      <pivotArea type="all" dataOnly="0" outline="0" fieldPosition="0"/>
    </format>
    <format dxfId="973">
      <pivotArea field="4" type="button" dataOnly="0" labelOnly="1" outline="0" axis="axisPage" fieldPosition="1"/>
    </format>
    <format dxfId="972">
      <pivotArea outline="0" fieldPosition="0">
        <references count="1">
          <reference field="4294967294" count="1">
            <x v="0"/>
          </reference>
        </references>
      </pivotArea>
    </format>
    <format dxfId="971">
      <pivotArea dataOnly="0" labelOnly="1" outline="0" fieldPosition="0">
        <references count="1">
          <reference field="4294967294" count="1">
            <x v="0"/>
          </reference>
        </references>
      </pivotArea>
    </format>
    <format dxfId="970">
      <pivotArea type="all" dataOnly="0" outline="0" fieldPosition="0"/>
    </format>
    <format dxfId="969">
      <pivotArea outline="0" collapsedLevelsAreSubtotals="1" fieldPosition="0"/>
    </format>
    <format dxfId="968">
      <pivotArea dataOnly="0" labelOnly="1" fieldPosition="0">
        <references count="1">
          <reference field="4" count="0"/>
        </references>
      </pivotArea>
    </format>
    <format dxfId="967">
      <pivotArea dataOnly="0" labelOnly="1" grandRow="1" outline="0" fieldPosition="0"/>
    </format>
    <format dxfId="966">
      <pivotArea dataOnly="0" labelOnly="1" outline="0" fieldPosition="0">
        <references count="1">
          <reference field="4294967294" count="1">
            <x v="0"/>
          </reference>
        </references>
      </pivotArea>
    </format>
    <format dxfId="965">
      <pivotArea type="all" dataOnly="0" outline="0" fieldPosition="0"/>
    </format>
    <format dxfId="964">
      <pivotArea outline="0" collapsedLevelsAreSubtotals="1" fieldPosition="0"/>
    </format>
    <format dxfId="963">
      <pivotArea dataOnly="0" labelOnly="1" fieldPosition="0">
        <references count="1">
          <reference field="4" count="0"/>
        </references>
      </pivotArea>
    </format>
    <format dxfId="962">
      <pivotArea dataOnly="0" labelOnly="1" grandRow="1" outline="0" fieldPosition="0"/>
    </format>
    <format dxfId="961">
      <pivotArea dataOnly="0" labelOnly="1" outline="0" fieldPosition="0">
        <references count="1">
          <reference field="4294967294" count="1">
            <x v="0"/>
          </reference>
        </references>
      </pivotArea>
    </format>
    <format dxfId="960">
      <pivotArea dataOnly="0" labelOnly="1" outline="0" fieldPosition="0">
        <references count="1">
          <reference field="4294967294" count="1">
            <x v="1"/>
          </reference>
        </references>
      </pivotArea>
    </format>
    <format dxfId="959">
      <pivotArea field="0" grandRow="1" outline="0" axis="axisRow" fieldPosition="0">
        <references count="1">
          <reference field="4294967294" count="1" selected="0">
            <x v="1"/>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8000000}" name="PivotTable4" cacheId="0" dataOnRows="1" applyNumberFormats="0" applyBorderFormats="0" applyFontFormats="0" applyPatternFormats="0" applyAlignmentFormats="0" applyWidthHeightFormats="1" dataCaption="Values" updatedVersion="6" minRefreshableVersion="3" colGrandTotals="0" itemPrintTitles="1" createdVersion="6" indent="0" showHeaders="0" outline="1" outlineData="1" multipleFieldFilters="0">
  <location ref="C129:D131" firstHeaderRow="0" firstDataRow="0" firstDataCol="1" rowPageCount="4" colPageCount="1"/>
  <pivotFields count="131">
    <pivotField axis="axisPage" subtotalTop="0" showAll="0">
      <items count="12">
        <item m="1" x="9"/>
        <item m="1" x="4"/>
        <item m="1" x="1"/>
        <item m="1" x="3"/>
        <item m="1" x="10"/>
        <item m="1" x="2"/>
        <item m="1" x="8"/>
        <item m="1" x="5"/>
        <item m="1" x="6"/>
        <item m="1" x="7"/>
        <item x="0"/>
        <item t="default"/>
      </items>
    </pivotField>
    <pivotField showAll="0" defaultSubtotal="0"/>
    <pivotField showAll="0" defaultSubtotal="0"/>
    <pivotField subtotalTop="0" showAll="0"/>
    <pivotField axis="axisPage" subtotalTop="0" multipleItemSelectionAllowed="1" showAll="0">
      <items count="7">
        <item h="1" x="0"/>
        <item m="1" x="5"/>
        <item h="1" x="3"/>
        <item m="1" x="4"/>
        <item x="1"/>
        <item x="2"/>
        <item t="default"/>
      </items>
    </pivotField>
    <pivotField subtotalTop="0" showAll="0"/>
    <pivotField axis="axisPage" multipleItemSelectionAllowed="1" showAll="0" defaultSubtotal="0">
      <items count="10">
        <item x="1"/>
        <item x="0"/>
        <item m="1" x="9"/>
        <item h="1" x="2"/>
        <item h="1" x="4"/>
        <item h="1" m="1" x="6"/>
        <item h="1" m="1" x="8"/>
        <item h="1" m="1" x="5"/>
        <item h="1" m="1" x="7"/>
        <item h="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numFmtId="9" subtotalTop="0" showAll="0"/>
    <pivotField subtotalTop="0" showAll="0"/>
    <pivotField showAll="0" defaultSubtotal="0"/>
    <pivotField showAll="0"/>
    <pivotField subtotalTop="0" showAll="0"/>
    <pivotField showAll="0" defaultSubtotal="0"/>
    <pivotField dataField="1" showAll="0" defaultSubtotal="0"/>
    <pivotField subtotalTop="0" showAll="0"/>
    <pivotField subtotalTop="0" showAll="0"/>
    <pivotField showAll="0" defaultSubtotal="0"/>
    <pivotField subtotalTop="0" showAll="0"/>
    <pivotField numFmtId="1" subtotalTop="0" showAll="0"/>
    <pivotField numFmtId="1" showAll="0" defaultSubtotal="0"/>
    <pivotField numFmtId="9" showAll="0"/>
    <pivotField dataField="1" numFmtId="1" showAll="0" defaultSubtotal="0"/>
    <pivotField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dataField="1" numFmtId="1" showAll="0" defaultSubtotal="0"/>
    <pivotField subtotalTop="0" showAll="0"/>
    <pivotField subtotalTop="0" showAll="0"/>
    <pivotField subtotalTop="0" showAll="0"/>
    <pivotField subtotalTop="0" showAll="0"/>
    <pivotField subtotalTop="0" showAll="0"/>
    <pivotField numFmtId="1" showAll="0" defaultSubtotal="0"/>
    <pivotField numFmtId="1"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3">
    <i>
      <x/>
    </i>
    <i i="1">
      <x v="1"/>
    </i>
    <i i="2">
      <x v="2"/>
    </i>
  </rowItems>
  <colItems count="1">
    <i/>
  </colItems>
  <pageFields count="4">
    <pageField fld="0" item="10" hier="-1"/>
    <pageField fld="121" item="0" hier="-1"/>
    <pageField fld="4" hier="-1"/>
    <pageField fld="6" hier="-1"/>
  </pageFields>
  <dataFields count="3">
    <dataField name=" HRP1" fld="83" baseField="0" baseItem="0"/>
    <dataField name=" HRP2" fld="91" baseField="0" baseItem="0"/>
    <dataField name=" HRP3" fld="102" baseField="0" baseItem="0"/>
  </dataFields>
  <formats count="18">
    <format dxfId="993">
      <pivotArea field="4" type="button" dataOnly="0" labelOnly="1" outline="0" axis="axisPage" fieldPosition="2"/>
    </format>
    <format dxfId="992">
      <pivotArea type="all" dataOnly="0" outline="0" fieldPosition="0"/>
    </format>
    <format dxfId="991">
      <pivotArea field="4" type="button" dataOnly="0" labelOnly="1" outline="0" axis="axisPage" fieldPosition="2"/>
    </format>
    <format dxfId="990">
      <pivotArea type="all" dataOnly="0" outline="0" fieldPosition="0"/>
    </format>
    <format dxfId="989">
      <pivotArea outline="0" collapsedLevelsAreSubtotals="1" fieldPosition="0"/>
    </format>
    <format dxfId="988">
      <pivotArea dataOnly="0" labelOnly="1" grandRow="1" outline="0" fieldPosition="0"/>
    </format>
    <format dxfId="987">
      <pivotArea type="all" dataOnly="0" outline="0" fieldPosition="0"/>
    </format>
    <format dxfId="986">
      <pivotArea outline="0" collapsedLevelsAreSubtotals="1" fieldPosition="0"/>
    </format>
    <format dxfId="985">
      <pivotArea dataOnly="0" labelOnly="1" grandRow="1" outline="0" fieldPosition="0"/>
    </format>
    <format dxfId="984">
      <pivotArea field="4" type="button" dataOnly="0" labelOnly="1" outline="0" axis="axisPage" fieldPosition="2"/>
    </format>
    <format dxfId="983">
      <pivotArea dataOnly="0" labelOnly="1" outline="0" fieldPosition="0">
        <references count="1">
          <reference field="4294967294" count="1">
            <x v="0"/>
          </reference>
        </references>
      </pivotArea>
    </format>
    <format dxfId="982">
      <pivotArea dataOnly="0" labelOnly="1" outline="0" fieldPosition="0">
        <references count="1">
          <reference field="4294967294" count="1">
            <x v="1"/>
          </reference>
        </references>
      </pivotArea>
    </format>
    <format dxfId="981">
      <pivotArea fieldPosition="0">
        <references count="1">
          <reference field="4294967294" count="1">
            <x v="0"/>
          </reference>
        </references>
      </pivotArea>
    </format>
    <format dxfId="980">
      <pivotArea outline="0" collapsedLevelsAreSubtotals="1" fieldPosition="0"/>
    </format>
    <format dxfId="979">
      <pivotArea fieldPosition="0">
        <references count="1">
          <reference field="4294967294" count="1">
            <x v="0"/>
          </reference>
        </references>
      </pivotArea>
    </format>
    <format dxfId="978">
      <pivotArea collapsedLevelsAreSubtotals="1" fieldPosition="0">
        <references count="1">
          <reference field="4294967294" count="1">
            <x v="2"/>
          </reference>
        </references>
      </pivotArea>
    </format>
    <format dxfId="977">
      <pivotArea dataOnly="0" labelOnly="1" outline="0" fieldPosition="0">
        <references count="1">
          <reference field="4294967294" count="1">
            <x v="2"/>
          </reference>
        </references>
      </pivotArea>
    </format>
    <format dxfId="976">
      <pivotArea collapsedLevelsAreSubtotals="1" fieldPosition="0">
        <references count="1">
          <reference field="4294967294" count="1">
            <x v="1"/>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C5A8730-AF66-4894-A228-8993E0EEC1D0}" name="PivotTable14" cacheId="0" applyNumberFormats="0" applyBorderFormats="0" applyFontFormats="0" applyPatternFormats="0" applyAlignmentFormats="0" applyWidthHeightFormats="1" dataCaption="Values" updatedVersion="6" minRefreshableVersion="3" showDrill="0" itemPrintTitles="1" createdVersion="6" indent="0" showHeaders="0" compact="0" compactData="0" multipleFieldFilters="0">
  <location ref="Y6:AC7" firstHeaderRow="0" firstDataRow="1" firstDataCol="1" rowPageCount="3" colPageCount="1"/>
  <pivotFields count="131">
    <pivotField axis="axisRow" compact="0" outline="0" subtotalTop="0" showAll="0">
      <items count="12">
        <item m="1" x="9"/>
        <item m="1" x="4"/>
        <item m="1" x="1"/>
        <item m="1" x="3"/>
        <item m="1" x="10"/>
        <item m="1" x="2"/>
        <item m="1" x="8"/>
        <item m="1" x="5"/>
        <item m="1" x="6"/>
        <item m="1" x="7"/>
        <item x="0"/>
        <item t="default"/>
      </items>
    </pivotField>
    <pivotField compact="0" outline="0" showAll="0" defaultSubtotal="0"/>
    <pivotField compact="0" outline="0" showAll="0" defaultSubtotal="0"/>
    <pivotField compact="0" outline="0" subtotalTop="0" showAll="0"/>
    <pivotField axis="axisPage" compact="0" outline="0" subtotalTop="0" showAll="0">
      <items count="7">
        <item x="0"/>
        <item m="1" x="5"/>
        <item x="3"/>
        <item m="1" x="4"/>
        <item x="1"/>
        <item x="2"/>
        <item t="default"/>
      </items>
    </pivotField>
    <pivotField compact="0" outline="0" subtotalTop="0" showAll="0"/>
    <pivotField axis="axisPage" compact="0" outline="0" multipleItemSelectionAllowed="1" showAll="0" defaultSubtotal="0">
      <items count="10">
        <item h="1" x="1"/>
        <item h="1" x="0"/>
        <item m="1" x="9"/>
        <item h="1" x="2"/>
        <item h="1" x="4"/>
        <item h="1" m="1" x="6"/>
        <item m="1" x="8"/>
        <item m="1" x="5"/>
        <item h="1" m="1" x="7"/>
        <item h="1" x="3"/>
      </items>
    </pivotField>
    <pivotField compact="0" outline="0" subtotalTop="0" showAll="0"/>
    <pivotField compact="0" outline="0" subtotalTop="0" showAll="0"/>
    <pivotField dataField="1"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outline="0" subtotalTop="0" showAll="0"/>
    <pivotField compact="0" numFmtId="9" outline="0" subtotalTop="0" showAll="0"/>
    <pivotField compact="0" outline="0" subtotalTop="0" showAll="0"/>
    <pivotField compact="0" outline="0" showAll="0" defaultSubtotal="0"/>
    <pivotField compact="0" outline="0" showAll="0"/>
    <pivotField compact="0" outline="0" subtotalTop="0" showAll="0"/>
    <pivotField compact="0" outline="0" showAll="0" defaultSubtotal="0"/>
    <pivotField dataField="1" compact="0" outline="0" showAll="0" defaultSubtotal="0"/>
    <pivotField compact="0" outline="0" subtotalTop="0" showAll="0"/>
    <pivotField compact="0" outline="0" subtotalTop="0" showAll="0"/>
    <pivotField compact="0" outline="0" showAll="0" defaultSubtotal="0"/>
    <pivotField compact="0" outline="0" subtotalTop="0" showAll="0"/>
    <pivotField compact="0" numFmtId="1" outline="0" subtotalTop="0" showAll="0"/>
    <pivotField compact="0" numFmtId="1" outline="0" showAll="0" defaultSubtotal="0"/>
    <pivotField compact="0" numFmtId="9" outline="0" showAll="0"/>
    <pivotField dataField="1" compact="0" numFmtId="1" outline="0" showAll="0" defaultSubtotal="0"/>
    <pivotField compact="0" outline="0" showAll="0" defaultSubtotal="0"/>
    <pivotField compact="0" outline="0" showAll="0" defaultSubtotal="0"/>
    <pivotField compact="0" outline="0" subtotalTop="0" showAll="0"/>
    <pivotField compact="0" outline="0" subtotalTop="0" showAll="0"/>
    <pivotField compact="0" outline="0" subtotalTop="0" showAll="0"/>
    <pivotField compact="0" numFmtId="9"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dataField="1" compact="0" numFmtId="1"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howAll="0" defaultSubtotal="0"/>
    <pivotField compact="0" numFmtId="1" outline="0" subtotalTop="0" showAll="0"/>
    <pivotField compact="0" numFmtId="1" outline="0" showAll="0" defaultSubtotal="0"/>
    <pivotField compact="0" numFmtId="1" outline="0" showAll="0"/>
    <pivotField compact="0" outline="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showAll="0">
      <items count="5">
        <item x="0"/>
        <item x="1"/>
        <item m="1" x="2"/>
        <item m="1" x="3"/>
        <item t="default"/>
      </items>
    </pivotField>
    <pivotField compact="0" outline="0" subtotalTop="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0"/>
  </rowFields>
  <rowItems count="1">
    <i t="grand">
      <x/>
    </i>
  </rowItems>
  <colFields count="1">
    <field x="-2"/>
  </colFields>
  <colItems count="4">
    <i>
      <x/>
    </i>
    <i i="1">
      <x v="1"/>
    </i>
    <i i="2">
      <x v="2"/>
    </i>
    <i i="3">
      <x v="3"/>
    </i>
  </colItems>
  <pageFields count="3">
    <pageField fld="121" item="0" hier="-1"/>
    <pageField fld="4" item="2" hier="-1"/>
    <pageField fld="6" hier="-1"/>
  </pageFields>
  <dataFields count="4">
    <dataField name="Total Population reached" fld="9" baseField="2" baseItem="0" numFmtId="3"/>
    <dataField name=" HRP1" fld="83" baseField="0" baseItem="9"/>
    <dataField name=" HRP2" fld="91" baseField="0" baseItem="9"/>
    <dataField name=" HRP3" fld="102" baseField="0" baseItem="9"/>
  </dataFields>
  <formats count="17">
    <format dxfId="1010">
      <pivotArea field="4" type="button" dataOnly="0" labelOnly="1" outline="0" axis="axisPage" fieldPosition="1"/>
    </format>
    <format dxfId="1009">
      <pivotArea type="all" dataOnly="0" outline="0" fieldPosition="0"/>
    </format>
    <format dxfId="1008">
      <pivotArea field="4" type="button" dataOnly="0" labelOnly="1" outline="0" axis="axisPage" fieldPosition="1"/>
    </format>
    <format dxfId="1007">
      <pivotArea outline="0" fieldPosition="0">
        <references count="1">
          <reference field="4294967294" count="1">
            <x v="0"/>
          </reference>
        </references>
      </pivotArea>
    </format>
    <format dxfId="1006">
      <pivotArea dataOnly="0" labelOnly="1" outline="0" fieldPosition="0">
        <references count="1">
          <reference field="4294967294" count="1">
            <x v="0"/>
          </reference>
        </references>
      </pivotArea>
    </format>
    <format dxfId="1005">
      <pivotArea type="all" dataOnly="0" outline="0" fieldPosition="0"/>
    </format>
    <format dxfId="1004">
      <pivotArea outline="0" collapsedLevelsAreSubtotals="1" fieldPosition="0"/>
    </format>
    <format dxfId="1003">
      <pivotArea dataOnly="0" labelOnly="1" fieldPosition="0">
        <references count="1">
          <reference field="4" count="0"/>
        </references>
      </pivotArea>
    </format>
    <format dxfId="1002">
      <pivotArea dataOnly="0" labelOnly="1" grandRow="1" outline="0" fieldPosition="0"/>
    </format>
    <format dxfId="1001">
      <pivotArea dataOnly="0" labelOnly="1" outline="0" fieldPosition="0">
        <references count="1">
          <reference field="4294967294" count="1">
            <x v="0"/>
          </reference>
        </references>
      </pivotArea>
    </format>
    <format dxfId="1000">
      <pivotArea type="all" dataOnly="0" outline="0" fieldPosition="0"/>
    </format>
    <format dxfId="999">
      <pivotArea outline="0" collapsedLevelsAreSubtotals="1" fieldPosition="0"/>
    </format>
    <format dxfId="998">
      <pivotArea dataOnly="0" labelOnly="1" fieldPosition="0">
        <references count="1">
          <reference field="4" count="0"/>
        </references>
      </pivotArea>
    </format>
    <format dxfId="997">
      <pivotArea dataOnly="0" labelOnly="1" grandRow="1" outline="0" fieldPosition="0"/>
    </format>
    <format dxfId="996">
      <pivotArea dataOnly="0" labelOnly="1" outline="0" fieldPosition="0">
        <references count="1">
          <reference field="4294967294" count="1">
            <x v="0"/>
          </reference>
        </references>
      </pivotArea>
    </format>
    <format dxfId="995">
      <pivotArea dataOnly="0" labelOnly="1" outline="0" fieldPosition="0">
        <references count="1">
          <reference field="4294967294" count="1">
            <x v="1"/>
          </reference>
        </references>
      </pivotArea>
    </format>
    <format dxfId="994">
      <pivotArea field="0" grandRow="1" outline="0" axis="axisRow" fieldPosition="0">
        <references count="1">
          <reference field="4294967294" count="1" selected="0">
            <x v="1"/>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700-000004000000}" name="PivotTable11" cacheId="0" dataOnRows="1" applyNumberFormats="0" applyBorderFormats="0" applyFontFormats="0" applyPatternFormats="0" applyAlignmentFormats="0" applyWidthHeightFormats="1" dataCaption="Values" updatedVersion="6" minRefreshableVersion="3" colGrandTotals="0" itemPrintTitles="1" createdVersion="6" indent="0" showHeaders="0" outline="1" outlineData="1" multipleFieldFilters="0">
  <location ref="AP101:AQ103" firstHeaderRow="0" firstDataRow="0" firstDataCol="1" rowPageCount="3" colPageCount="1"/>
  <pivotFields count="131">
    <pivotField axis="axisPage" subtotalTop="0" showAll="0">
      <items count="12">
        <item m="1" x="9"/>
        <item m="1" x="4"/>
        <item m="1" x="1"/>
        <item m="1" x="3"/>
        <item m="1" x="10"/>
        <item m="1" x="2"/>
        <item m="1" x="8"/>
        <item m="1" x="5"/>
        <item m="1" x="6"/>
        <item m="1" x="7"/>
        <item x="0"/>
        <item t="default"/>
      </items>
    </pivotField>
    <pivotField showAll="0" defaultSubtotal="0"/>
    <pivotField showAll="0" defaultSubtotal="0"/>
    <pivotField subtotalTop="0" showAll="0"/>
    <pivotField subtotalTop="0" showAll="0">
      <items count="7">
        <item x="0"/>
        <item m="1" x="5"/>
        <item x="3"/>
        <item m="1" x="4"/>
        <item x="1"/>
        <item x="2"/>
        <item t="default"/>
      </items>
    </pivotField>
    <pivotField subtotalTop="0" showAll="0"/>
    <pivotField axis="axisPage" multipleItemSelectionAllowed="1" showAll="0" defaultSubtotal="0">
      <items count="10">
        <item x="1"/>
        <item x="0"/>
        <item m="1" x="9"/>
        <item x="2"/>
        <item h="1" x="4"/>
        <item h="1" m="1" x="6"/>
        <item m="1" x="8"/>
        <item m="1" x="5"/>
        <item h="1" m="1" x="7"/>
        <item h="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numFmtId="9" subtotalTop="0" showAll="0"/>
    <pivotField subtotalTop="0" showAll="0"/>
    <pivotField showAll="0" defaultSubtotal="0"/>
    <pivotField showAll="0"/>
    <pivotField subtotalTop="0" showAll="0"/>
    <pivotField showAll="0" defaultSubtotal="0"/>
    <pivotField dataField="1" showAll="0" defaultSubtotal="0"/>
    <pivotField subtotalTop="0" showAll="0"/>
    <pivotField subtotalTop="0" showAll="0"/>
    <pivotField showAll="0" defaultSubtotal="0"/>
    <pivotField subtotalTop="0" showAll="0"/>
    <pivotField numFmtId="1" subtotalTop="0" showAll="0"/>
    <pivotField numFmtId="1" showAll="0" defaultSubtotal="0"/>
    <pivotField numFmtId="9" showAll="0"/>
    <pivotField dataField="1" numFmtId="1" showAll="0" defaultSubtotal="0"/>
    <pivotField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dataField="1" numFmtId="1" showAll="0" defaultSubtotal="0"/>
    <pivotField subtotalTop="0" showAll="0"/>
    <pivotField subtotalTop="0" showAll="0"/>
    <pivotField subtotalTop="0" showAll="0"/>
    <pivotField subtotalTop="0" showAll="0"/>
    <pivotField subtotalTop="0" showAll="0"/>
    <pivotField numFmtId="1" showAll="0" defaultSubtotal="0"/>
    <pivotField numFmtId="1"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3">
    <i>
      <x/>
    </i>
    <i i="1">
      <x v="1"/>
    </i>
    <i i="2">
      <x v="2"/>
    </i>
  </rowItems>
  <colItems count="1">
    <i/>
  </colItems>
  <pageFields count="3">
    <pageField fld="0" item="10" hier="-1"/>
    <pageField fld="121" item="0" hier="-1"/>
    <pageField fld="6" hier="-1"/>
  </pageFields>
  <dataFields count="3">
    <dataField name=" HRP1" fld="83" baseField="0" baseItem="16"/>
    <dataField name=" HRP2" fld="91" baseField="0" baseItem="16"/>
    <dataField name=" HRP3" fld="102" baseField="0" baseItem="0"/>
  </dataFields>
  <formats count="23">
    <format dxfId="1033">
      <pivotArea field="4" type="button" dataOnly="0" labelOnly="1" outline="0"/>
    </format>
    <format dxfId="1032">
      <pivotArea type="all" dataOnly="0" outline="0" fieldPosition="0"/>
    </format>
    <format dxfId="1031">
      <pivotArea field="4" type="button" dataOnly="0" labelOnly="1" outline="0"/>
    </format>
    <format dxfId="1030">
      <pivotArea type="all" dataOnly="0" outline="0" fieldPosition="0"/>
    </format>
    <format dxfId="1029">
      <pivotArea outline="0" collapsedLevelsAreSubtotals="1" fieldPosition="0"/>
    </format>
    <format dxfId="1028">
      <pivotArea dataOnly="0" labelOnly="1" grandRow="1" outline="0" fieldPosition="0"/>
    </format>
    <format dxfId="1027">
      <pivotArea type="all" dataOnly="0" outline="0" fieldPosition="0"/>
    </format>
    <format dxfId="1026">
      <pivotArea outline="0" collapsedLevelsAreSubtotals="1" fieldPosition="0"/>
    </format>
    <format dxfId="1025">
      <pivotArea dataOnly="0" labelOnly="1" grandRow="1" outline="0" fieldPosition="0"/>
    </format>
    <format dxfId="1024">
      <pivotArea dataOnly="0" labelOnly="1" outline="0" fieldPosition="0">
        <references count="1">
          <reference field="4294967294" count="1">
            <x v="0"/>
          </reference>
        </references>
      </pivotArea>
    </format>
    <format dxfId="1023">
      <pivotArea dataOnly="0" labelOnly="1" outline="0" fieldPosition="0">
        <references count="1">
          <reference field="4294967294" count="1">
            <x v="0"/>
          </reference>
        </references>
      </pivotArea>
    </format>
    <format dxfId="1022">
      <pivotArea dataOnly="0" labelOnly="1" outline="0" fieldPosition="0">
        <references count="1">
          <reference field="4294967294" count="1">
            <x v="1"/>
          </reference>
        </references>
      </pivotArea>
    </format>
    <format dxfId="1021">
      <pivotArea dataOnly="0" labelOnly="1" outline="0" fieldPosition="0">
        <references count="1">
          <reference field="4294967294" count="1">
            <x v="2"/>
          </reference>
        </references>
      </pivotArea>
    </format>
    <format dxfId="1020">
      <pivotArea dataOnly="0" labelOnly="1" outline="0" fieldPosition="0">
        <references count="1">
          <reference field="4294967294" count="1">
            <x v="0"/>
          </reference>
        </references>
      </pivotArea>
    </format>
    <format dxfId="1019">
      <pivotArea dataOnly="0" labelOnly="1" outline="0" fieldPosition="0">
        <references count="1">
          <reference field="4294967294" count="1">
            <x v="0"/>
          </reference>
        </references>
      </pivotArea>
    </format>
    <format dxfId="1018">
      <pivotArea fieldPosition="0">
        <references count="1">
          <reference field="4294967294" count="1">
            <x v="0"/>
          </reference>
        </references>
      </pivotArea>
    </format>
    <format dxfId="1017">
      <pivotArea collapsedLevelsAreSubtotals="1" fieldPosition="0">
        <references count="1">
          <reference field="4294967294" count="1">
            <x v="1"/>
          </reference>
        </references>
      </pivotArea>
    </format>
    <format dxfId="1016">
      <pivotArea collapsedLevelsAreSubtotals="1" fieldPosition="0">
        <references count="1">
          <reference field="4294967294" count="1">
            <x v="2"/>
          </reference>
        </references>
      </pivotArea>
    </format>
    <format dxfId="1015">
      <pivotArea fieldPosition="0">
        <references count="1">
          <reference field="4294967294" count="1">
            <x v="0"/>
          </reference>
        </references>
      </pivotArea>
    </format>
    <format dxfId="1014">
      <pivotArea fieldPosition="0">
        <references count="1">
          <reference field="4294967294" count="1">
            <x v="0"/>
          </reference>
        </references>
      </pivotArea>
    </format>
    <format dxfId="1013">
      <pivotArea fieldPosition="0">
        <references count="1">
          <reference field="4294967294" count="1">
            <x v="0"/>
          </reference>
        </references>
      </pivotArea>
    </format>
    <format dxfId="1012">
      <pivotArea outline="0" collapsedLevelsAreSubtotals="1" fieldPosition="0"/>
    </format>
    <format dxfId="1011">
      <pivotArea fieldPosition="0">
        <references count="1">
          <reference field="4294967294" count="1">
            <x v="0"/>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700-000002000000}" name="PivotTable1" cacheId="0" applyNumberFormats="0" applyBorderFormats="0" applyFontFormats="0" applyPatternFormats="0" applyAlignmentFormats="0" applyWidthHeightFormats="1" dataCaption="Values" updatedVersion="6" minRefreshableVersion="3" showDrill="0" itemPrintTitles="1" createdVersion="6" indent="0" showHeaders="0" compact="0" compactData="0" multipleFieldFilters="0">
  <location ref="S17:W19" firstHeaderRow="0" firstDataRow="1" firstDataCol="1" rowPageCount="3" colPageCount="1"/>
  <pivotFields count="131">
    <pivotField axis="axisRow" compact="0" outline="0" subtotalTop="0" showAll="0">
      <items count="12">
        <item m="1" x="9"/>
        <item m="1" x="4"/>
        <item m="1" x="1"/>
        <item m="1" x="3"/>
        <item m="1" x="10"/>
        <item m="1" x="2"/>
        <item m="1" x="8"/>
        <item m="1" x="5"/>
        <item m="1" x="6"/>
        <item m="1" x="7"/>
        <item x="0"/>
        <item t="default"/>
      </items>
    </pivotField>
    <pivotField compact="0" outline="0" showAll="0" defaultSubtotal="0"/>
    <pivotField compact="0" outline="0" showAll="0" defaultSubtotal="0"/>
    <pivotField compact="0" outline="0" subtotalTop="0" showAll="0"/>
    <pivotField axis="axisPage" compact="0" outline="0" subtotalTop="0" multipleItemSelectionAllowed="1" showAll="0">
      <items count="7">
        <item h="1" x="0"/>
        <item m="1" x="5"/>
        <item h="1" x="3"/>
        <item h="1" m="1" x="4"/>
        <item x="1"/>
        <item x="2"/>
        <item t="default"/>
      </items>
    </pivotField>
    <pivotField compact="0" outline="0" subtotalTop="0" showAll="0"/>
    <pivotField axis="axisPage" compact="0" outline="0" multipleItemSelectionAllowed="1" showAll="0" defaultSubtotal="0">
      <items count="10">
        <item x="1"/>
        <item x="0"/>
        <item m="1" x="9"/>
        <item h="1" x="2"/>
        <item h="1" x="4"/>
        <item h="1" m="1" x="6"/>
        <item h="1" m="1" x="8"/>
        <item h="1" m="1" x="5"/>
        <item h="1" m="1" x="7"/>
        <item h="1" x="3"/>
      </items>
    </pivotField>
    <pivotField compact="0" outline="0" subtotalTop="0" showAll="0"/>
    <pivotField compact="0" outline="0" subtotalTop="0" showAll="0"/>
    <pivotField dataField="1"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outline="0" subtotalTop="0" showAll="0"/>
    <pivotField compact="0" numFmtId="9" outline="0" subtotalTop="0" showAll="0"/>
    <pivotField compact="0" outline="0" subtotalTop="0" showAll="0"/>
    <pivotField compact="0" outline="0" showAll="0" defaultSubtotal="0"/>
    <pivotField compact="0" outline="0" showAll="0"/>
    <pivotField compact="0" outline="0" subtotalTop="0" showAll="0"/>
    <pivotField compact="0" outline="0" showAll="0" defaultSubtotal="0"/>
    <pivotField dataField="1" compact="0" outline="0" showAll="0" defaultSubtotal="0"/>
    <pivotField compact="0" outline="0" subtotalTop="0" showAll="0"/>
    <pivotField compact="0" outline="0" subtotalTop="0" showAll="0"/>
    <pivotField compact="0" outline="0" showAll="0" defaultSubtotal="0"/>
    <pivotField compact="0" outline="0" subtotalTop="0" showAll="0"/>
    <pivotField compact="0" numFmtId="1" outline="0" subtotalTop="0" showAll="0"/>
    <pivotField compact="0" numFmtId="1" outline="0" showAll="0" defaultSubtotal="0"/>
    <pivotField compact="0" numFmtId="9" outline="0" showAll="0"/>
    <pivotField dataField="1" compact="0" numFmtId="1" outline="0" showAll="0" defaultSubtotal="0"/>
    <pivotField compact="0" outline="0" showAll="0" defaultSubtotal="0"/>
    <pivotField compact="0" outline="0" showAll="0" defaultSubtotal="0"/>
    <pivotField compact="0" outline="0" subtotalTop="0" showAll="0"/>
    <pivotField compact="0" outline="0" subtotalTop="0" showAll="0"/>
    <pivotField compact="0" outline="0" subtotalTop="0" showAll="0"/>
    <pivotField compact="0" numFmtId="9"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dataField="1" compact="0" numFmtId="1"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howAll="0" defaultSubtotal="0"/>
    <pivotField compact="0" numFmtId="1" outline="0" subtotalTop="0" showAll="0"/>
    <pivotField compact="0" numFmtId="1" outline="0" showAll="0" defaultSubtotal="0"/>
    <pivotField compact="0" numFmtId="1" outline="0" showAll="0"/>
    <pivotField compact="0" outline="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showAll="0">
      <items count="5">
        <item x="0"/>
        <item x="1"/>
        <item m="1" x="2"/>
        <item m="1" x="3"/>
        <item t="default"/>
      </items>
    </pivotField>
    <pivotField compact="0" outline="0" subtotalTop="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0"/>
  </rowFields>
  <rowItems count="2">
    <i>
      <x v="10"/>
    </i>
    <i t="grand">
      <x/>
    </i>
  </rowItems>
  <colFields count="1">
    <field x="-2"/>
  </colFields>
  <colItems count="4">
    <i>
      <x/>
    </i>
    <i i="1">
      <x v="1"/>
    </i>
    <i i="2">
      <x v="2"/>
    </i>
    <i i="3">
      <x v="3"/>
    </i>
  </colItems>
  <pageFields count="3">
    <pageField fld="121" item="0" hier="-1"/>
    <pageField fld="4" hier="-1"/>
    <pageField fld="6" hier="-1"/>
  </pageFields>
  <dataFields count="4">
    <dataField name="Total Population reached" fld="9" baseField="2" baseItem="0" numFmtId="3"/>
    <dataField name=" HRP1" fld="83" baseField="0" baseItem="9"/>
    <dataField name=" HRP2" fld="91" baseField="0" baseItem="9"/>
    <dataField name=" HRP3" fld="102" baseField="0" baseItem="9"/>
  </dataFields>
  <formats count="16">
    <format dxfId="1049">
      <pivotArea field="4" type="button" dataOnly="0" labelOnly="1" outline="0" axis="axisPage" fieldPosition="1"/>
    </format>
    <format dxfId="1048">
      <pivotArea type="all" dataOnly="0" outline="0" fieldPosition="0"/>
    </format>
    <format dxfId="1047">
      <pivotArea field="4" type="button" dataOnly="0" labelOnly="1" outline="0" axis="axisPage" fieldPosition="1"/>
    </format>
    <format dxfId="1046">
      <pivotArea outline="0" fieldPosition="0">
        <references count="1">
          <reference field="4294967294" count="1">
            <x v="0"/>
          </reference>
        </references>
      </pivotArea>
    </format>
    <format dxfId="1045">
      <pivotArea dataOnly="0" labelOnly="1" outline="0" fieldPosition="0">
        <references count="1">
          <reference field="4294967294" count="1">
            <x v="0"/>
          </reference>
        </references>
      </pivotArea>
    </format>
    <format dxfId="1044">
      <pivotArea type="all" dataOnly="0" outline="0" fieldPosition="0"/>
    </format>
    <format dxfId="1043">
      <pivotArea outline="0" collapsedLevelsAreSubtotals="1" fieldPosition="0"/>
    </format>
    <format dxfId="1042">
      <pivotArea dataOnly="0" labelOnly="1" fieldPosition="0">
        <references count="1">
          <reference field="4" count="0"/>
        </references>
      </pivotArea>
    </format>
    <format dxfId="1041">
      <pivotArea dataOnly="0" labelOnly="1" grandRow="1" outline="0" fieldPosition="0"/>
    </format>
    <format dxfId="1040">
      <pivotArea dataOnly="0" labelOnly="1" outline="0" fieldPosition="0">
        <references count="1">
          <reference field="4294967294" count="1">
            <x v="0"/>
          </reference>
        </references>
      </pivotArea>
    </format>
    <format dxfId="1039">
      <pivotArea type="all" dataOnly="0" outline="0" fieldPosition="0"/>
    </format>
    <format dxfId="1038">
      <pivotArea outline="0" collapsedLevelsAreSubtotals="1" fieldPosition="0"/>
    </format>
    <format dxfId="1037">
      <pivotArea dataOnly="0" labelOnly="1" fieldPosition="0">
        <references count="1">
          <reference field="4" count="0"/>
        </references>
      </pivotArea>
    </format>
    <format dxfId="1036">
      <pivotArea dataOnly="0" labelOnly="1" grandRow="1" outline="0" fieldPosition="0"/>
    </format>
    <format dxfId="1035">
      <pivotArea dataOnly="0" labelOnly="1" outline="0" fieldPosition="0">
        <references count="1">
          <reference field="4294967294" count="1">
            <x v="0"/>
          </reference>
        </references>
      </pivotArea>
    </format>
    <format dxfId="1034">
      <pivotArea dataOnly="0" labelOnly="1" outline="0" fieldPosition="0">
        <references count="1">
          <reference field="4294967294" count="1">
            <x v="1"/>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700-000006000000}" name="PivotTable2" cacheId="0" dataOnRows="1" applyNumberFormats="0" applyBorderFormats="0" applyFontFormats="0" applyPatternFormats="0" applyAlignmentFormats="0" applyWidthHeightFormats="1" dataCaption="Values" updatedVersion="6" minRefreshableVersion="3" colGrandTotals="0" itemPrintTitles="1" createdVersion="6" indent="0" showHeaders="0" outline="1" outlineData="1" multipleFieldFilters="0">
  <location ref="C101:D103" firstHeaderRow="0" firstDataRow="0" firstDataCol="1" rowPageCount="3" colPageCount="1"/>
  <pivotFields count="131">
    <pivotField axis="axisPage" subtotalTop="0" showAll="0">
      <items count="12">
        <item m="1" x="9"/>
        <item m="1" x="4"/>
        <item m="1" x="1"/>
        <item m="1" x="3"/>
        <item m="1" x="10"/>
        <item m="1" x="2"/>
        <item m="1" x="8"/>
        <item m="1" x="5"/>
        <item m="1" x="6"/>
        <item m="1" x="7"/>
        <item x="0"/>
        <item t="default"/>
      </items>
    </pivotField>
    <pivotField showAll="0" defaultSubtotal="0"/>
    <pivotField showAll="0" defaultSubtotal="0"/>
    <pivotField subtotalTop="0" showAll="0"/>
    <pivotField subtotalTop="0" showAll="0">
      <items count="7">
        <item x="0"/>
        <item m="1" x="5"/>
        <item x="3"/>
        <item m="1" x="4"/>
        <item x="1"/>
        <item x="2"/>
        <item t="default"/>
      </items>
    </pivotField>
    <pivotField subtotalTop="0" showAll="0"/>
    <pivotField axis="axisPage" multipleItemSelectionAllowed="1" showAll="0" defaultSubtotal="0">
      <items count="10">
        <item x="1"/>
        <item x="0"/>
        <item m="1" x="9"/>
        <item h="1" x="2"/>
        <item h="1" x="4"/>
        <item h="1" m="1" x="6"/>
        <item h="1" m="1" x="8"/>
        <item h="1" m="1" x="5"/>
        <item h="1" m="1" x="7"/>
        <item h="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numFmtId="9" subtotalTop="0" showAll="0"/>
    <pivotField subtotalTop="0" showAll="0"/>
    <pivotField showAll="0" defaultSubtotal="0"/>
    <pivotField showAll="0"/>
    <pivotField subtotalTop="0" showAll="0"/>
    <pivotField showAll="0" defaultSubtotal="0"/>
    <pivotField dataField="1" showAll="0" defaultSubtotal="0"/>
    <pivotField subtotalTop="0" showAll="0"/>
    <pivotField subtotalTop="0" showAll="0"/>
    <pivotField showAll="0" defaultSubtotal="0"/>
    <pivotField subtotalTop="0" showAll="0"/>
    <pivotField numFmtId="1" subtotalTop="0" showAll="0"/>
    <pivotField numFmtId="1" showAll="0" defaultSubtotal="0"/>
    <pivotField numFmtId="9" showAll="0"/>
    <pivotField dataField="1" numFmtId="1" showAll="0" defaultSubtotal="0"/>
    <pivotField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dataField="1" numFmtId="1" showAll="0" defaultSubtotal="0"/>
    <pivotField subtotalTop="0" showAll="0"/>
    <pivotField subtotalTop="0" showAll="0"/>
    <pivotField subtotalTop="0" showAll="0"/>
    <pivotField subtotalTop="0" showAll="0"/>
    <pivotField subtotalTop="0" showAll="0"/>
    <pivotField numFmtId="1" showAll="0" defaultSubtotal="0"/>
    <pivotField numFmtId="1"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3">
    <i>
      <x/>
    </i>
    <i i="1">
      <x v="1"/>
    </i>
    <i i="2">
      <x v="2"/>
    </i>
  </rowItems>
  <colItems count="1">
    <i/>
  </colItems>
  <pageFields count="3">
    <pageField fld="0" item="10" hier="-1"/>
    <pageField fld="121" item="0" hier="-1"/>
    <pageField fld="6" hier="-1"/>
  </pageFields>
  <dataFields count="3">
    <dataField name=" HRP1" fld="83" baseField="0" baseItem="0"/>
    <dataField name=" HRP2" fld="91" baseField="0" baseItem="0"/>
    <dataField name=" HRP3" fld="102" baseField="0" baseItem="0"/>
  </dataFields>
  <formats count="27">
    <format dxfId="1076">
      <pivotArea field="4" type="button" dataOnly="0" labelOnly="1" outline="0"/>
    </format>
    <format dxfId="1075">
      <pivotArea type="all" dataOnly="0" outline="0" fieldPosition="0"/>
    </format>
    <format dxfId="1074">
      <pivotArea field="4" type="button" dataOnly="0" labelOnly="1" outline="0"/>
    </format>
    <format dxfId="1073">
      <pivotArea type="all" dataOnly="0" outline="0" fieldPosition="0"/>
    </format>
    <format dxfId="1072">
      <pivotArea outline="0" collapsedLevelsAreSubtotals="1" fieldPosition="0"/>
    </format>
    <format dxfId="1071">
      <pivotArea dataOnly="0" labelOnly="1" grandRow="1" outline="0" fieldPosition="0"/>
    </format>
    <format dxfId="1070">
      <pivotArea type="all" dataOnly="0" outline="0" fieldPosition="0"/>
    </format>
    <format dxfId="1069">
      <pivotArea outline="0" collapsedLevelsAreSubtotals="1" fieldPosition="0"/>
    </format>
    <format dxfId="1068">
      <pivotArea dataOnly="0" labelOnly="1" grandRow="1" outline="0" fieldPosition="0"/>
    </format>
    <format dxfId="1067">
      <pivotArea dataOnly="0" labelOnly="1" outline="0" fieldPosition="0">
        <references count="1">
          <reference field="4294967294" count="1">
            <x v="0"/>
          </reference>
        </references>
      </pivotArea>
    </format>
    <format dxfId="1066">
      <pivotArea fieldPosition="0">
        <references count="1">
          <reference field="4294967294" count="1">
            <x v="0"/>
          </reference>
        </references>
      </pivotArea>
    </format>
    <format dxfId="1065">
      <pivotArea collapsedLevelsAreSubtotals="1" fieldPosition="0">
        <references count="1">
          <reference field="4294967294" count="2">
            <x v="1"/>
            <x v="2"/>
          </reference>
        </references>
      </pivotArea>
    </format>
    <format dxfId="1064">
      <pivotArea dataOnly="0" labelOnly="1" outline="0" fieldPosition="0">
        <references count="1">
          <reference field="4294967294" count="2">
            <x v="1"/>
            <x v="2"/>
          </reference>
        </references>
      </pivotArea>
    </format>
    <format dxfId="1063">
      <pivotArea collapsedLevelsAreSubtotals="1" fieldPosition="0">
        <references count="1">
          <reference field="4294967294" count="1">
            <x v="2"/>
          </reference>
        </references>
      </pivotArea>
    </format>
    <format dxfId="1062">
      <pivotArea dataOnly="0" labelOnly="1" outline="0" fieldPosition="0">
        <references count="1">
          <reference field="4294967294" count="1">
            <x v="2"/>
          </reference>
        </references>
      </pivotArea>
    </format>
    <format dxfId="1061">
      <pivotArea collapsedLevelsAreSubtotals="1" fieldPosition="0">
        <references count="1">
          <reference field="4294967294" count="1">
            <x v="2"/>
          </reference>
        </references>
      </pivotArea>
    </format>
    <format dxfId="1060">
      <pivotArea dataOnly="0" labelOnly="1" outline="0" fieldPosition="0">
        <references count="1">
          <reference field="4294967294" count="1">
            <x v="2"/>
          </reference>
        </references>
      </pivotArea>
    </format>
    <format dxfId="1059">
      <pivotArea fieldPosition="0">
        <references count="1">
          <reference field="4294967294" count="1">
            <x v="0"/>
          </reference>
        </references>
      </pivotArea>
    </format>
    <format dxfId="1058">
      <pivotArea fieldPosition="0">
        <references count="1">
          <reference field="4294967294" count="1">
            <x v="0"/>
          </reference>
        </references>
      </pivotArea>
    </format>
    <format dxfId="1057">
      <pivotArea fieldPosition="0">
        <references count="1">
          <reference field="4294967294" count="1">
            <x v="0"/>
          </reference>
        </references>
      </pivotArea>
    </format>
    <format dxfId="1056">
      <pivotArea dataOnly="0" labelOnly="1" outline="0" fieldPosition="0">
        <references count="1">
          <reference field="4294967294" count="1">
            <x v="0"/>
          </reference>
        </references>
      </pivotArea>
    </format>
    <format dxfId="1055">
      <pivotArea dataOnly="0" labelOnly="1" outline="0" fieldPosition="0">
        <references count="1">
          <reference field="4294967294" count="1">
            <x v="0"/>
          </reference>
        </references>
      </pivotArea>
    </format>
    <format dxfId="1054">
      <pivotArea fieldPosition="0">
        <references count="1">
          <reference field="4294967294" count="1">
            <x v="0"/>
          </reference>
        </references>
      </pivotArea>
    </format>
    <format dxfId="1053">
      <pivotArea type="all" dataOnly="0" outline="0" fieldPosition="0"/>
    </format>
    <format dxfId="1052">
      <pivotArea outline="0" collapsedLevelsAreSubtotals="1" fieldPosition="0"/>
    </format>
    <format dxfId="1051">
      <pivotArea dataOnly="0" labelOnly="1" outline="0" fieldPosition="0">
        <references count="1">
          <reference field="4294967294" count="3">
            <x v="0"/>
            <x v="1"/>
            <x v="2"/>
          </reference>
        </references>
      </pivotArea>
    </format>
    <format dxfId="1050">
      <pivotArea fieldPosition="0">
        <references count="1">
          <reference field="4294967294" count="1">
            <x v="0"/>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0293607-F637-409C-BAB3-4E7AF4041C55}" name="PivotTable15" cacheId="0" dataOnRows="1" applyNumberFormats="0" applyBorderFormats="0" applyFontFormats="0" applyPatternFormats="0" applyAlignmentFormats="0" applyWidthHeightFormats="1" dataCaption="Values" updatedVersion="6" minRefreshableVersion="3" colGrandTotals="0" itemPrintTitles="1" createdVersion="6" indent="0" showHeaders="0" outline="1" outlineData="1" multipleFieldFilters="0">
  <location ref="S142:T144" firstHeaderRow="0" firstDataRow="0" firstDataCol="1" rowPageCount="4" colPageCount="1"/>
  <pivotFields count="131">
    <pivotField axis="axisPage" subtotalTop="0" showAll="0">
      <items count="12">
        <item m="1" x="9"/>
        <item m="1" x="4"/>
        <item m="1" x="1"/>
        <item m="1" x="3"/>
        <item m="1" x="10"/>
        <item m="1" x="2"/>
        <item m="1" x="8"/>
        <item m="1" x="5"/>
        <item m="1" x="6"/>
        <item m="1" x="7"/>
        <item x="0"/>
        <item t="default"/>
      </items>
    </pivotField>
    <pivotField showAll="0" defaultSubtotal="0"/>
    <pivotField showAll="0" defaultSubtotal="0"/>
    <pivotField subtotalTop="0" showAll="0"/>
    <pivotField axis="axisPage" subtotalTop="0" showAll="0">
      <items count="7">
        <item x="0"/>
        <item m="1" x="5"/>
        <item x="3"/>
        <item m="1" x="4"/>
        <item x="1"/>
        <item x="2"/>
        <item t="default"/>
      </items>
    </pivotField>
    <pivotField subtotalTop="0" showAll="0"/>
    <pivotField axis="axisPage" multipleItemSelectionAllowed="1" showAll="0" defaultSubtotal="0">
      <items count="10">
        <item h="1" x="1"/>
        <item h="1" x="0"/>
        <item m="1" x="9"/>
        <item m="1" x="6"/>
        <item m="1" x="5"/>
        <item h="1" x="2"/>
        <item m="1" x="8"/>
        <item h="1" x="4"/>
        <item h="1" m="1" x="7"/>
        <item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numFmtId="9" subtotalTop="0" showAll="0"/>
    <pivotField subtotalTop="0" showAll="0"/>
    <pivotField showAll="0" defaultSubtotal="0"/>
    <pivotField showAll="0"/>
    <pivotField subtotalTop="0" showAll="0"/>
    <pivotField showAll="0" defaultSubtotal="0"/>
    <pivotField dataField="1" showAll="0" defaultSubtotal="0"/>
    <pivotField subtotalTop="0" showAll="0"/>
    <pivotField subtotalTop="0" showAll="0"/>
    <pivotField showAll="0" defaultSubtotal="0"/>
    <pivotField subtotalTop="0" showAll="0"/>
    <pivotField numFmtId="1" subtotalTop="0" showAll="0"/>
    <pivotField numFmtId="1" showAll="0" defaultSubtotal="0"/>
    <pivotField numFmtId="9" showAll="0"/>
    <pivotField dataField="1" numFmtId="1" showAll="0" defaultSubtotal="0"/>
    <pivotField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dataField="1" numFmtId="1" showAll="0" defaultSubtotal="0"/>
    <pivotField subtotalTop="0" showAll="0"/>
    <pivotField subtotalTop="0" showAll="0"/>
    <pivotField subtotalTop="0" showAll="0"/>
    <pivotField subtotalTop="0" showAll="0"/>
    <pivotField subtotalTop="0" showAll="0"/>
    <pivotField numFmtId="1" showAll="0" defaultSubtotal="0"/>
    <pivotField numFmtId="1"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3">
    <i>
      <x/>
    </i>
    <i i="1">
      <x v="1"/>
    </i>
    <i i="2">
      <x v="2"/>
    </i>
  </rowItems>
  <colItems count="1">
    <i/>
  </colItems>
  <pageFields count="4">
    <pageField fld="0" item="10" hier="-1"/>
    <pageField fld="121" item="0" hier="-1"/>
    <pageField fld="4" item="2" hier="-1"/>
    <pageField fld="6" hier="-1"/>
  </pageFields>
  <dataFields count="3">
    <dataField name=" HRP1" fld="83" baseField="0" baseItem="80"/>
    <dataField name=" HRP2" fld="91" baseField="0" baseItem="0"/>
    <dataField name=" HRP3" fld="102" baseField="0" baseItem="0"/>
  </dataFields>
  <formats count="13">
    <format dxfId="1089">
      <pivotArea field="4" type="button" dataOnly="0" labelOnly="1" outline="0" axis="axisPage" fieldPosition="2"/>
    </format>
    <format dxfId="1088">
      <pivotArea type="all" dataOnly="0" outline="0" fieldPosition="0"/>
    </format>
    <format dxfId="1087">
      <pivotArea field="4" type="button" dataOnly="0" labelOnly="1" outline="0" axis="axisPage" fieldPosition="2"/>
    </format>
    <format dxfId="1086">
      <pivotArea type="all" dataOnly="0" outline="0" fieldPosition="0"/>
    </format>
    <format dxfId="1085">
      <pivotArea outline="0" collapsedLevelsAreSubtotals="1" fieldPosition="0"/>
    </format>
    <format dxfId="1084">
      <pivotArea dataOnly="0" labelOnly="1" grandRow="1" outline="0" fieldPosition="0"/>
    </format>
    <format dxfId="1083">
      <pivotArea type="all" dataOnly="0" outline="0" fieldPosition="0"/>
    </format>
    <format dxfId="1082">
      <pivotArea outline="0" collapsedLevelsAreSubtotals="1" fieldPosition="0"/>
    </format>
    <format dxfId="1081">
      <pivotArea dataOnly="0" labelOnly="1" grandRow="1" outline="0" fieldPosition="0"/>
    </format>
    <format dxfId="1080">
      <pivotArea field="4" type="button" dataOnly="0" labelOnly="1" outline="0" axis="axisPage" fieldPosition="2"/>
    </format>
    <format dxfId="1079">
      <pivotArea dataOnly="0" labelOnly="1" outline="0" fieldPosition="0">
        <references count="1">
          <reference field="4294967294" count="1">
            <x v="0"/>
          </reference>
        </references>
      </pivotArea>
    </format>
    <format dxfId="1078">
      <pivotArea dataOnly="0" labelOnly="1" outline="0" fieldPosition="0">
        <references count="1">
          <reference field="4294967294" count="1">
            <x v="1"/>
          </reference>
        </references>
      </pivotArea>
    </format>
    <format dxfId="1077">
      <pivotArea dataOnly="0" labelOnly="1" outline="0" fieldPosition="0">
        <references count="1">
          <reference field="4294967294" count="1">
            <x v="2"/>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700-000003000000}" name="PivotTable10" cacheId="0" dataOnRows="1" applyNumberFormats="0" applyBorderFormats="0" applyFontFormats="0" applyPatternFormats="0" applyAlignmentFormats="0" applyWidthHeightFormats="1" dataCaption="Values" updatedVersion="6" minRefreshableVersion="3" colGrandTotals="0" itemPrintTitles="1" createdVersion="6" indent="0" showHeaders="0" outline="1" outlineData="1" multipleFieldFilters="0">
  <location ref="S129:T131" firstHeaderRow="0" firstDataRow="0" firstDataCol="1" rowPageCount="4" colPageCount="1"/>
  <pivotFields count="131">
    <pivotField axis="axisPage" subtotalTop="0" showAll="0">
      <items count="12">
        <item m="1" x="9"/>
        <item m="1" x="4"/>
        <item m="1" x="1"/>
        <item m="1" x="3"/>
        <item m="1" x="10"/>
        <item m="1" x="2"/>
        <item m="1" x="8"/>
        <item m="1" x="5"/>
        <item m="1" x="6"/>
        <item m="1" x="7"/>
        <item x="0"/>
        <item t="default"/>
      </items>
    </pivotField>
    <pivotField showAll="0" defaultSubtotal="0"/>
    <pivotField showAll="0" defaultSubtotal="0"/>
    <pivotField subtotalTop="0" showAll="0"/>
    <pivotField axis="axisPage" subtotalTop="0" multipleItemSelectionAllowed="1" showAll="0">
      <items count="7">
        <item h="1" x="0"/>
        <item m="1" x="5"/>
        <item h="1" x="3"/>
        <item m="1" x="4"/>
        <item x="1"/>
        <item x="2"/>
        <item t="default"/>
      </items>
    </pivotField>
    <pivotField subtotalTop="0" showAll="0"/>
    <pivotField axis="axisPage" multipleItemSelectionAllowed="1" showAll="0" defaultSubtotal="0">
      <items count="10">
        <item h="1" x="1"/>
        <item h="1" x="0"/>
        <item m="1" x="9"/>
        <item x="2"/>
        <item h="1" x="4"/>
        <item h="1" m="1" x="6"/>
        <item m="1" x="8"/>
        <item m="1" x="5"/>
        <item h="1" m="1" x="7"/>
        <item h="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numFmtId="9" subtotalTop="0" showAll="0"/>
    <pivotField subtotalTop="0" showAll="0"/>
    <pivotField showAll="0" defaultSubtotal="0"/>
    <pivotField showAll="0"/>
    <pivotField subtotalTop="0" showAll="0"/>
    <pivotField showAll="0" defaultSubtotal="0"/>
    <pivotField dataField="1" showAll="0" defaultSubtotal="0"/>
    <pivotField subtotalTop="0" showAll="0"/>
    <pivotField subtotalTop="0" showAll="0"/>
    <pivotField showAll="0" defaultSubtotal="0"/>
    <pivotField subtotalTop="0" showAll="0"/>
    <pivotField numFmtId="1" subtotalTop="0" showAll="0"/>
    <pivotField numFmtId="1" showAll="0" defaultSubtotal="0"/>
    <pivotField numFmtId="9" showAll="0"/>
    <pivotField dataField="1" numFmtId="1" showAll="0" defaultSubtotal="0"/>
    <pivotField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dataField="1" numFmtId="1" showAll="0" defaultSubtotal="0"/>
    <pivotField subtotalTop="0" showAll="0"/>
    <pivotField subtotalTop="0" showAll="0"/>
    <pivotField subtotalTop="0" showAll="0"/>
    <pivotField subtotalTop="0" showAll="0"/>
    <pivotField subtotalTop="0" showAll="0"/>
    <pivotField numFmtId="1" showAll="0" defaultSubtotal="0"/>
    <pivotField numFmtId="1"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3">
    <i>
      <x/>
    </i>
    <i i="1">
      <x v="1"/>
    </i>
    <i i="2">
      <x v="2"/>
    </i>
  </rowItems>
  <colItems count="1">
    <i/>
  </colItems>
  <pageFields count="4">
    <pageField fld="0" item="10" hier="-1"/>
    <pageField fld="121" item="0" hier="-1"/>
    <pageField fld="4" hier="-1"/>
    <pageField fld="6" hier="-1"/>
  </pageFields>
  <dataFields count="3">
    <dataField name=" HRP1" fld="83" baseField="0" baseItem="0"/>
    <dataField name=" HRP2" fld="91" baseField="0" baseItem="0"/>
    <dataField name=" HRP3" fld="102" baseField="0" baseItem="0"/>
  </dataFields>
  <formats count="16">
    <format dxfId="1105">
      <pivotArea field="4" type="button" dataOnly="0" labelOnly="1" outline="0" axis="axisPage" fieldPosition="2"/>
    </format>
    <format dxfId="1104">
      <pivotArea type="all" dataOnly="0" outline="0" fieldPosition="0"/>
    </format>
    <format dxfId="1103">
      <pivotArea field="4" type="button" dataOnly="0" labelOnly="1" outline="0" axis="axisPage" fieldPosition="2"/>
    </format>
    <format dxfId="1102">
      <pivotArea type="all" dataOnly="0" outline="0" fieldPosition="0"/>
    </format>
    <format dxfId="1101">
      <pivotArea outline="0" collapsedLevelsAreSubtotals="1" fieldPosition="0"/>
    </format>
    <format dxfId="1100">
      <pivotArea dataOnly="0" labelOnly="1" grandRow="1" outline="0" fieldPosition="0"/>
    </format>
    <format dxfId="1099">
      <pivotArea type="all" dataOnly="0" outline="0" fieldPosition="0"/>
    </format>
    <format dxfId="1098">
      <pivotArea outline="0" collapsedLevelsAreSubtotals="1" fieldPosition="0"/>
    </format>
    <format dxfId="1097">
      <pivotArea dataOnly="0" labelOnly="1" grandRow="1" outline="0" fieldPosition="0"/>
    </format>
    <format dxfId="1096">
      <pivotArea dataOnly="0" labelOnly="1" outline="0" fieldPosition="0">
        <references count="1">
          <reference field="4294967294" count="1">
            <x v="0"/>
          </reference>
        </references>
      </pivotArea>
    </format>
    <format dxfId="1095">
      <pivotArea dataOnly="0" labelOnly="1" outline="0" fieldPosition="0">
        <references count="1">
          <reference field="4294967294" count="1">
            <x v="2"/>
          </reference>
        </references>
      </pivotArea>
    </format>
    <format dxfId="1094">
      <pivotArea dataOnly="0" labelOnly="1" outline="0" fieldPosition="0">
        <references count="1">
          <reference field="4294967294" count="1">
            <x v="0"/>
          </reference>
        </references>
      </pivotArea>
    </format>
    <format dxfId="1093">
      <pivotArea collapsedLevelsAreSubtotals="1" fieldPosition="0">
        <references count="1">
          <reference field="4294967294" count="1">
            <x v="1"/>
          </reference>
        </references>
      </pivotArea>
    </format>
    <format dxfId="1092">
      <pivotArea dataOnly="0" labelOnly="1" outline="0" fieldPosition="0">
        <references count="1">
          <reference field="4294967294" count="1">
            <x v="1"/>
          </reference>
        </references>
      </pivotArea>
    </format>
    <format dxfId="1091">
      <pivotArea fieldPosition="0">
        <references count="1">
          <reference field="4294967294" count="1">
            <x v="0"/>
          </reference>
        </references>
      </pivotArea>
    </format>
    <format dxfId="1090">
      <pivotArea collapsedLevelsAreSubtotals="1" fieldPosition="0">
        <references count="1">
          <reference field="4294967294" count="1">
            <x v="2"/>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700-000007000000}" name="PivotTable3" cacheId="0" dataOnRows="1" applyNumberFormats="0" applyBorderFormats="0" applyFontFormats="0" applyPatternFormats="0" applyAlignmentFormats="0" applyWidthHeightFormats="1" dataCaption="Values" updatedVersion="6" minRefreshableVersion="3" colGrandTotals="0" itemPrintTitles="1" createdVersion="6" indent="0" showHeaders="0" outline="1" outlineData="1" multipleFieldFilters="0">
  <location ref="C115:D117" firstHeaderRow="0" firstDataRow="0" firstDataCol="1" rowPageCount="4" colPageCount="1"/>
  <pivotFields count="131">
    <pivotField axis="axisPage" subtotalTop="0" showAll="0">
      <items count="12">
        <item m="1" x="9"/>
        <item m="1" x="4"/>
        <item m="1" x="1"/>
        <item m="1" x="3"/>
        <item m="1" x="10"/>
        <item m="1" x="2"/>
        <item m="1" x="8"/>
        <item m="1" x="5"/>
        <item m="1" x="6"/>
        <item m="1" x="7"/>
        <item x="0"/>
        <item t="default"/>
      </items>
    </pivotField>
    <pivotField showAll="0" defaultSubtotal="0"/>
    <pivotField showAll="0" defaultSubtotal="0"/>
    <pivotField subtotalTop="0" showAll="0"/>
    <pivotField axis="axisPage" subtotalTop="0" showAll="0">
      <items count="7">
        <item x="0"/>
        <item m="1" x="5"/>
        <item x="3"/>
        <item m="1" x="4"/>
        <item x="1"/>
        <item x="2"/>
        <item t="default"/>
      </items>
    </pivotField>
    <pivotField subtotalTop="0" showAll="0"/>
    <pivotField axis="axisPage" multipleItemSelectionAllowed="1" showAll="0" defaultSubtotal="0">
      <items count="10">
        <item x="1"/>
        <item x="0"/>
        <item m="1" x="9"/>
        <item h="1" x="2"/>
        <item h="1" x="4"/>
        <item h="1" m="1" x="6"/>
        <item h="1" m="1" x="8"/>
        <item h="1" m="1" x="5"/>
        <item h="1" m="1" x="7"/>
        <item h="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numFmtId="9" subtotalTop="0" showAll="0"/>
    <pivotField subtotalTop="0" showAll="0"/>
    <pivotField showAll="0" defaultSubtotal="0"/>
    <pivotField showAll="0"/>
    <pivotField subtotalTop="0" showAll="0"/>
    <pivotField showAll="0" defaultSubtotal="0"/>
    <pivotField dataField="1" showAll="0" defaultSubtotal="0"/>
    <pivotField subtotalTop="0" showAll="0"/>
    <pivotField subtotalTop="0" showAll="0"/>
    <pivotField showAll="0" defaultSubtotal="0"/>
    <pivotField subtotalTop="0" showAll="0"/>
    <pivotField numFmtId="1" subtotalTop="0" showAll="0"/>
    <pivotField numFmtId="1" showAll="0" defaultSubtotal="0"/>
    <pivotField numFmtId="9" showAll="0"/>
    <pivotField dataField="1" numFmtId="1" showAll="0" defaultSubtotal="0"/>
    <pivotField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dataField="1" numFmtId="1" showAll="0" defaultSubtotal="0"/>
    <pivotField subtotalTop="0" showAll="0"/>
    <pivotField subtotalTop="0" showAll="0"/>
    <pivotField subtotalTop="0" showAll="0"/>
    <pivotField subtotalTop="0" showAll="0"/>
    <pivotField subtotalTop="0" showAll="0"/>
    <pivotField numFmtId="1" showAll="0" defaultSubtotal="0"/>
    <pivotField numFmtId="1"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3">
    <i>
      <x/>
    </i>
    <i i="1">
      <x v="1"/>
    </i>
    <i i="2">
      <x v="2"/>
    </i>
  </rowItems>
  <colItems count="1">
    <i/>
  </colItems>
  <pageFields count="4">
    <pageField fld="0" item="10" hier="-1"/>
    <pageField fld="121" item="0" hier="-1"/>
    <pageField fld="4" item="0" hier="-1"/>
    <pageField fld="6" hier="-1"/>
  </pageFields>
  <dataFields count="3">
    <dataField name=" HRP1" fld="83" baseField="0" baseItem="16"/>
    <dataField name=" HRP2" fld="91" baseField="0" baseItem="0"/>
    <dataField name=" HRP3" fld="102" baseField="0" baseItem="0"/>
  </dataFields>
  <formats count="23">
    <format dxfId="1128">
      <pivotArea field="4" type="button" dataOnly="0" labelOnly="1" outline="0" axis="axisPage" fieldPosition="2"/>
    </format>
    <format dxfId="1127">
      <pivotArea type="all" dataOnly="0" outline="0" fieldPosition="0"/>
    </format>
    <format dxfId="1126">
      <pivotArea field="4" type="button" dataOnly="0" labelOnly="1" outline="0" axis="axisPage" fieldPosition="2"/>
    </format>
    <format dxfId="1125">
      <pivotArea type="all" dataOnly="0" outline="0" fieldPosition="0"/>
    </format>
    <format dxfId="1124">
      <pivotArea outline="0" collapsedLevelsAreSubtotals="1" fieldPosition="0"/>
    </format>
    <format dxfId="1123">
      <pivotArea dataOnly="0" labelOnly="1" grandRow="1" outline="0" fieldPosition="0"/>
    </format>
    <format dxfId="1122">
      <pivotArea type="all" dataOnly="0" outline="0" fieldPosition="0"/>
    </format>
    <format dxfId="1121">
      <pivotArea outline="0" collapsedLevelsAreSubtotals="1" fieldPosition="0"/>
    </format>
    <format dxfId="1120">
      <pivotArea dataOnly="0" labelOnly="1" grandRow="1" outline="0" fieldPosition="0"/>
    </format>
    <format dxfId="1119">
      <pivotArea dataOnly="0" labelOnly="1" outline="0" fieldPosition="0">
        <references count="1">
          <reference field="4294967294" count="1">
            <x v="0"/>
          </reference>
        </references>
      </pivotArea>
    </format>
    <format dxfId="1118">
      <pivotArea dataOnly="0" labelOnly="1" outline="0" fieldPosition="0">
        <references count="1">
          <reference field="4294967294" count="1">
            <x v="1"/>
          </reference>
        </references>
      </pivotArea>
    </format>
    <format dxfId="1117">
      <pivotArea dataOnly="0" labelOnly="1" outline="0" fieldPosition="0">
        <references count="1">
          <reference field="4294967294" count="1">
            <x v="2"/>
          </reference>
        </references>
      </pivotArea>
    </format>
    <format dxfId="1116">
      <pivotArea fieldPosition="0">
        <references count="1">
          <reference field="4294967294" count="1">
            <x v="0"/>
          </reference>
        </references>
      </pivotArea>
    </format>
    <format dxfId="1115">
      <pivotArea outline="0" collapsedLevelsAreSubtotals="1" fieldPosition="0"/>
    </format>
    <format dxfId="1114">
      <pivotArea fieldPosition="0">
        <references count="1">
          <reference field="4294967294" count="1">
            <x v="0"/>
          </reference>
        </references>
      </pivotArea>
    </format>
    <format dxfId="1113">
      <pivotArea collapsedLevelsAreSubtotals="1" fieldPosition="0">
        <references count="1">
          <reference field="4294967294" count="1">
            <x v="1"/>
          </reference>
        </references>
      </pivotArea>
    </format>
    <format dxfId="1112">
      <pivotArea dataOnly="0" labelOnly="1" outline="0" fieldPosition="0">
        <references count="1">
          <reference field="4294967294" count="1">
            <x v="1"/>
          </reference>
        </references>
      </pivotArea>
    </format>
    <format dxfId="1111">
      <pivotArea collapsedLevelsAreSubtotals="1" fieldPosition="0">
        <references count="1">
          <reference field="4294967294" count="1">
            <x v="1"/>
          </reference>
        </references>
      </pivotArea>
    </format>
    <format dxfId="1110">
      <pivotArea dataOnly="0" labelOnly="1" outline="0" fieldPosition="0">
        <references count="1">
          <reference field="4294967294" count="1">
            <x v="1"/>
          </reference>
        </references>
      </pivotArea>
    </format>
    <format dxfId="1109">
      <pivotArea collapsedLevelsAreSubtotals="1" fieldPosition="0">
        <references count="1">
          <reference field="4294967294" count="1">
            <x v="1"/>
          </reference>
        </references>
      </pivotArea>
    </format>
    <format dxfId="1108">
      <pivotArea dataOnly="0" labelOnly="1" outline="0" fieldPosition="0">
        <references count="1">
          <reference field="4294967294" count="1">
            <x v="1"/>
          </reference>
        </references>
      </pivotArea>
    </format>
    <format dxfId="1107">
      <pivotArea collapsedLevelsAreSubtotals="1" fieldPosition="0">
        <references count="1">
          <reference field="4294967294" count="1">
            <x v="2"/>
          </reference>
        </references>
      </pivotArea>
    </format>
    <format dxfId="1106">
      <pivotArea collapsedLevelsAreSubtotals="1" fieldPosition="0">
        <references count="1">
          <reference field="4294967294" count="1">
            <x v="2"/>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700-000009000000}" name="PivotTable5" cacheId="0" dataOnRows="1" applyNumberFormats="0" applyBorderFormats="0" applyFontFormats="0" applyPatternFormats="0" applyAlignmentFormats="0" applyWidthHeightFormats="1" dataCaption="Values" updatedVersion="6" minRefreshableVersion="3" colGrandTotals="0" itemPrintTitles="1" createdVersion="6" indent="0" showHeaders="0" outline="1" outlineData="1" multipleFieldFilters="0">
  <location ref="C142:D144" firstHeaderRow="0" firstDataRow="0" firstDataCol="1" rowPageCount="4" colPageCount="1"/>
  <pivotFields count="131">
    <pivotField axis="axisPage" subtotalTop="0" showAll="0">
      <items count="12">
        <item m="1" x="9"/>
        <item m="1" x="4"/>
        <item m="1" x="1"/>
        <item m="1" x="3"/>
        <item m="1" x="10"/>
        <item m="1" x="2"/>
        <item m="1" x="8"/>
        <item m="1" x="5"/>
        <item m="1" x="6"/>
        <item m="1" x="7"/>
        <item x="0"/>
        <item t="default"/>
      </items>
    </pivotField>
    <pivotField showAll="0" defaultSubtotal="0"/>
    <pivotField showAll="0" defaultSubtotal="0"/>
    <pivotField subtotalTop="0" showAll="0"/>
    <pivotField axis="axisPage" subtotalTop="0" showAll="0">
      <items count="7">
        <item x="0"/>
        <item m="1" x="5"/>
        <item x="3"/>
        <item m="1" x="4"/>
        <item x="1"/>
        <item x="2"/>
        <item t="default"/>
      </items>
    </pivotField>
    <pivotField subtotalTop="0" showAll="0"/>
    <pivotField axis="axisPage" multipleItemSelectionAllowed="1" showAll="0" defaultSubtotal="0">
      <items count="10">
        <item x="1"/>
        <item x="0"/>
        <item m="1" x="9"/>
        <item m="1" x="6"/>
        <item h="1" m="1" x="5"/>
        <item h="1" x="2"/>
        <item h="1" m="1" x="8"/>
        <item h="1" x="4"/>
        <item h="1" m="1" x="7"/>
        <item h="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numFmtId="9" subtotalTop="0" showAll="0"/>
    <pivotField subtotalTop="0" showAll="0"/>
    <pivotField showAll="0" defaultSubtotal="0"/>
    <pivotField showAll="0"/>
    <pivotField subtotalTop="0" showAll="0"/>
    <pivotField showAll="0" defaultSubtotal="0"/>
    <pivotField dataField="1" showAll="0" defaultSubtotal="0"/>
    <pivotField subtotalTop="0" showAll="0"/>
    <pivotField subtotalTop="0" showAll="0"/>
    <pivotField showAll="0" defaultSubtotal="0"/>
    <pivotField subtotalTop="0" showAll="0"/>
    <pivotField numFmtId="1" subtotalTop="0" showAll="0"/>
    <pivotField numFmtId="1" showAll="0" defaultSubtotal="0"/>
    <pivotField numFmtId="9" showAll="0"/>
    <pivotField dataField="1" numFmtId="1" showAll="0" defaultSubtotal="0"/>
    <pivotField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dataField="1" numFmtId="1" showAll="0" defaultSubtotal="0"/>
    <pivotField subtotalTop="0" showAll="0"/>
    <pivotField subtotalTop="0" showAll="0"/>
    <pivotField subtotalTop="0" showAll="0"/>
    <pivotField subtotalTop="0" showAll="0"/>
    <pivotField subtotalTop="0" showAll="0"/>
    <pivotField numFmtId="1" showAll="0" defaultSubtotal="0"/>
    <pivotField numFmtId="1"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3">
    <i>
      <x/>
    </i>
    <i i="1">
      <x v="1"/>
    </i>
    <i i="2">
      <x v="2"/>
    </i>
  </rowItems>
  <colItems count="1">
    <i/>
  </colItems>
  <pageFields count="4">
    <pageField fld="0" item="10" hier="-1"/>
    <pageField fld="121" item="0" hier="-1"/>
    <pageField fld="4" item="2" hier="-1"/>
    <pageField fld="6" hier="-1"/>
  </pageFields>
  <dataFields count="3">
    <dataField name=" HRP1" fld="83" baseField="0" baseItem="80"/>
    <dataField name=" HRP2" fld="91" baseField="0" baseItem="0"/>
    <dataField name=" HRP3" fld="102" baseField="0" baseItem="0"/>
  </dataFields>
  <formats count="16">
    <format dxfId="1144">
      <pivotArea field="4" type="button" dataOnly="0" labelOnly="1" outline="0" axis="axisPage" fieldPosition="2"/>
    </format>
    <format dxfId="1143">
      <pivotArea type="all" dataOnly="0" outline="0" fieldPosition="0"/>
    </format>
    <format dxfId="1142">
      <pivotArea field="4" type="button" dataOnly="0" labelOnly="1" outline="0" axis="axisPage" fieldPosition="2"/>
    </format>
    <format dxfId="1141">
      <pivotArea type="all" dataOnly="0" outline="0" fieldPosition="0"/>
    </format>
    <format dxfId="1140">
      <pivotArea outline="0" collapsedLevelsAreSubtotals="1" fieldPosition="0"/>
    </format>
    <format dxfId="1139">
      <pivotArea dataOnly="0" labelOnly="1" grandRow="1" outline="0" fieldPosition="0"/>
    </format>
    <format dxfId="1138">
      <pivotArea type="all" dataOnly="0" outline="0" fieldPosition="0"/>
    </format>
    <format dxfId="1137">
      <pivotArea outline="0" collapsedLevelsAreSubtotals="1" fieldPosition="0"/>
    </format>
    <format dxfId="1136">
      <pivotArea dataOnly="0" labelOnly="1" grandRow="1" outline="0" fieldPosition="0"/>
    </format>
    <format dxfId="1135">
      <pivotArea field="4" type="button" dataOnly="0" labelOnly="1" outline="0" axis="axisPage" fieldPosition="2"/>
    </format>
    <format dxfId="1134">
      <pivotArea dataOnly="0" labelOnly="1" outline="0" fieldPosition="0">
        <references count="1">
          <reference field="4294967294" count="1">
            <x v="0"/>
          </reference>
        </references>
      </pivotArea>
    </format>
    <format dxfId="1133">
      <pivotArea collapsedLevelsAreSubtotals="1" fieldPosition="0">
        <references count="1">
          <reference field="4294967294" count="1">
            <x v="1"/>
          </reference>
        </references>
      </pivotArea>
    </format>
    <format dxfId="1132">
      <pivotArea dataOnly="0" labelOnly="1" outline="0" fieldPosition="0">
        <references count="1">
          <reference field="4294967294" count="1">
            <x v="1"/>
          </reference>
        </references>
      </pivotArea>
    </format>
    <format dxfId="1131">
      <pivotArea collapsedLevelsAreSubtotals="1" fieldPosition="0">
        <references count="1">
          <reference field="4294967294" count="1">
            <x v="2"/>
          </reference>
        </references>
      </pivotArea>
    </format>
    <format dxfId="1130">
      <pivotArea dataOnly="0" labelOnly="1" outline="0" fieldPosition="0">
        <references count="1">
          <reference field="4294967294" count="1">
            <x v="2"/>
          </reference>
        </references>
      </pivotArea>
    </format>
    <format dxfId="1129">
      <pivotArea fieldPosition="0">
        <references count="1">
          <reference field="4294967294" count="1">
            <x v="0"/>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700-00000D000000}" name="PivotTable9" cacheId="0" applyNumberFormats="0" applyBorderFormats="0" applyFontFormats="0" applyPatternFormats="0" applyAlignmentFormats="0" applyWidthHeightFormats="1" dataCaption="Values" updatedVersion="6" minRefreshableVersion="3" showDrill="0" itemPrintTitles="1" createdVersion="6" indent="0" showHeaders="0" compact="0" compactData="0" multipleFieldFilters="0">
  <location ref="M17:Q19" firstHeaderRow="0" firstDataRow="1" firstDataCol="1" rowPageCount="3" colPageCount="1"/>
  <pivotFields count="131">
    <pivotField axis="axisRow" compact="0" outline="0" subtotalTop="0" showAll="0">
      <items count="12">
        <item m="1" x="9"/>
        <item m="1" x="4"/>
        <item m="1" x="1"/>
        <item m="1" x="3"/>
        <item m="1" x="10"/>
        <item m="1" x="2"/>
        <item m="1" x="8"/>
        <item m="1" x="5"/>
        <item m="1" x="6"/>
        <item m="1" x="7"/>
        <item x="0"/>
        <item t="default"/>
      </items>
    </pivotField>
    <pivotField compact="0" outline="0" showAll="0" defaultSubtotal="0"/>
    <pivotField compact="0" outline="0" showAll="0" defaultSubtotal="0"/>
    <pivotField compact="0" outline="0" subtotalTop="0" showAll="0"/>
    <pivotField axis="axisPage" compact="0" outline="0" subtotalTop="0" multipleItemSelectionAllowed="1" showAll="0">
      <items count="7">
        <item h="1" x="0"/>
        <item m="1" x="5"/>
        <item h="1" x="3"/>
        <item h="1" m="1" x="4"/>
        <item x="1"/>
        <item x="2"/>
        <item t="default"/>
      </items>
    </pivotField>
    <pivotField compact="0" outline="0" subtotalTop="0" showAll="0"/>
    <pivotField axis="axisPage" compact="0" outline="0" multipleItemSelectionAllowed="1" showAll="0" defaultSubtotal="0">
      <items count="10">
        <item x="1"/>
        <item x="0"/>
        <item m="1" x="9"/>
        <item x="2"/>
        <item h="1" x="4"/>
        <item h="1" m="1" x="6"/>
        <item m="1" x="8"/>
        <item m="1" x="5"/>
        <item h="1" m="1" x="7"/>
        <item h="1" x="3"/>
      </items>
    </pivotField>
    <pivotField compact="0" outline="0" subtotalTop="0" showAll="0"/>
    <pivotField compact="0" outline="0" subtotalTop="0" showAll="0"/>
    <pivotField dataField="1"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outline="0" subtotalTop="0" showAll="0"/>
    <pivotField compact="0" numFmtId="9" outline="0" subtotalTop="0" showAll="0"/>
    <pivotField compact="0" outline="0" subtotalTop="0" showAll="0"/>
    <pivotField compact="0" outline="0" showAll="0" defaultSubtotal="0"/>
    <pivotField compact="0" outline="0" showAll="0"/>
    <pivotField compact="0" outline="0" subtotalTop="0" showAll="0"/>
    <pivotField compact="0" outline="0" showAll="0" defaultSubtotal="0"/>
    <pivotField dataField="1" compact="0" outline="0" showAll="0" defaultSubtotal="0"/>
    <pivotField compact="0" outline="0" subtotalTop="0" showAll="0"/>
    <pivotField compact="0" outline="0" subtotalTop="0" showAll="0"/>
    <pivotField compact="0" outline="0" showAll="0" defaultSubtotal="0"/>
    <pivotField compact="0" outline="0" subtotalTop="0" showAll="0"/>
    <pivotField compact="0" numFmtId="1" outline="0" subtotalTop="0" showAll="0"/>
    <pivotField compact="0" numFmtId="1" outline="0" showAll="0" defaultSubtotal="0"/>
    <pivotField compact="0" numFmtId="9" outline="0" showAll="0"/>
    <pivotField dataField="1" compact="0" numFmtId="1" outline="0" showAll="0" defaultSubtotal="0"/>
    <pivotField compact="0" outline="0" showAll="0" defaultSubtotal="0"/>
    <pivotField compact="0" outline="0" showAll="0" defaultSubtotal="0"/>
    <pivotField compact="0" outline="0" subtotalTop="0" showAll="0"/>
    <pivotField compact="0" outline="0" subtotalTop="0" showAll="0"/>
    <pivotField compact="0" outline="0" subtotalTop="0" showAll="0"/>
    <pivotField compact="0" numFmtId="9"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dataField="1" compact="0" numFmtId="1"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howAll="0" defaultSubtotal="0"/>
    <pivotField compact="0" numFmtId="1" outline="0" subtotalTop="0" showAll="0"/>
    <pivotField compact="0" numFmtId="1" outline="0" showAll="0" defaultSubtotal="0"/>
    <pivotField compact="0" numFmtId="1" outline="0" showAll="0"/>
    <pivotField compact="0" outline="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showAll="0">
      <items count="5">
        <item x="0"/>
        <item x="1"/>
        <item m="1" x="2"/>
        <item m="1" x="3"/>
        <item t="default"/>
      </items>
    </pivotField>
    <pivotField compact="0" outline="0" subtotalTop="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0"/>
  </rowFields>
  <rowItems count="2">
    <i>
      <x v="10"/>
    </i>
    <i t="grand">
      <x/>
    </i>
  </rowItems>
  <colFields count="1">
    <field x="-2"/>
  </colFields>
  <colItems count="4">
    <i>
      <x/>
    </i>
    <i i="1">
      <x v="1"/>
    </i>
    <i i="2">
      <x v="2"/>
    </i>
    <i i="3">
      <x v="3"/>
    </i>
  </colItems>
  <pageFields count="3">
    <pageField fld="121" item="0" hier="-1"/>
    <pageField fld="4" hier="-1"/>
    <pageField fld="6" hier="-1"/>
  </pageFields>
  <dataFields count="4">
    <dataField name="Total Population reached" fld="9" baseField="2" baseItem="0" numFmtId="3"/>
    <dataField name=" HRP1" fld="83" baseField="0" baseItem="9"/>
    <dataField name=" HRP2" fld="91" baseField="0" baseItem="9"/>
    <dataField name=" HRP3" fld="102" baseField="0" baseItem="9"/>
  </dataFields>
  <formats count="17">
    <format dxfId="1161">
      <pivotArea field="4" type="button" dataOnly="0" labelOnly="1" outline="0" axis="axisPage" fieldPosition="1"/>
    </format>
    <format dxfId="1160">
      <pivotArea type="all" dataOnly="0" outline="0" fieldPosition="0"/>
    </format>
    <format dxfId="1159">
      <pivotArea field="4" type="button" dataOnly="0" labelOnly="1" outline="0" axis="axisPage" fieldPosition="1"/>
    </format>
    <format dxfId="1158">
      <pivotArea outline="0" fieldPosition="0">
        <references count="1">
          <reference field="4294967294" count="1">
            <x v="0"/>
          </reference>
        </references>
      </pivotArea>
    </format>
    <format dxfId="1157">
      <pivotArea dataOnly="0" labelOnly="1" outline="0" fieldPosition="0">
        <references count="1">
          <reference field="4294967294" count="1">
            <x v="0"/>
          </reference>
        </references>
      </pivotArea>
    </format>
    <format dxfId="1156">
      <pivotArea type="all" dataOnly="0" outline="0" fieldPosition="0"/>
    </format>
    <format dxfId="1155">
      <pivotArea outline="0" collapsedLevelsAreSubtotals="1" fieldPosition="0"/>
    </format>
    <format dxfId="1154">
      <pivotArea dataOnly="0" labelOnly="1" fieldPosition="0">
        <references count="1">
          <reference field="4" count="0"/>
        </references>
      </pivotArea>
    </format>
    <format dxfId="1153">
      <pivotArea dataOnly="0" labelOnly="1" grandRow="1" outline="0" fieldPosition="0"/>
    </format>
    <format dxfId="1152">
      <pivotArea dataOnly="0" labelOnly="1" outline="0" fieldPosition="0">
        <references count="1">
          <reference field="4294967294" count="1">
            <x v="0"/>
          </reference>
        </references>
      </pivotArea>
    </format>
    <format dxfId="1151">
      <pivotArea type="all" dataOnly="0" outline="0" fieldPosition="0"/>
    </format>
    <format dxfId="1150">
      <pivotArea outline="0" collapsedLevelsAreSubtotals="1" fieldPosition="0"/>
    </format>
    <format dxfId="1149">
      <pivotArea dataOnly="0" labelOnly="1" fieldPosition="0">
        <references count="1">
          <reference field="4" count="0"/>
        </references>
      </pivotArea>
    </format>
    <format dxfId="1148">
      <pivotArea dataOnly="0" labelOnly="1" grandRow="1" outline="0" fieldPosition="0"/>
    </format>
    <format dxfId="1147">
      <pivotArea dataOnly="0" labelOnly="1" outline="0" fieldPosition="0">
        <references count="1">
          <reference field="4294967294" count="1">
            <x v="0"/>
          </reference>
        </references>
      </pivotArea>
    </format>
    <format dxfId="1146">
      <pivotArea dataOnly="0" labelOnly="1" outline="0" fieldPosition="0">
        <references count="1">
          <reference field="4294967294" count="1">
            <x v="1"/>
          </reference>
        </references>
      </pivotArea>
    </format>
    <format dxfId="1145">
      <pivotArea field="0" grandRow="1" outline="0" axis="axisRow" fieldPosition="0">
        <references count="1">
          <reference field="4294967294" count="1" selected="0">
            <x v="1"/>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700-000005000000}" name="PivotTable12" cacheId="0" applyNumberFormats="0" applyBorderFormats="0" applyFontFormats="0" applyPatternFormats="0" applyAlignmentFormats="0" applyWidthHeightFormats="1" dataCaption="Values" updatedVersion="6" minRefreshableVersion="3" showDrill="0" itemPrintTitles="1" createdVersion="6" indent="0" showHeaders="0" compact="0" compactData="0" multipleFieldFilters="0">
  <location ref="Y17:AC19" firstHeaderRow="0" firstDataRow="1" firstDataCol="1" rowPageCount="3" colPageCount="1"/>
  <pivotFields count="131">
    <pivotField axis="axisRow" compact="0" outline="0" subtotalTop="0" showAll="0">
      <items count="12">
        <item m="1" x="9"/>
        <item m="1" x="4"/>
        <item m="1" x="1"/>
        <item m="1" x="3"/>
        <item m="1" x="10"/>
        <item m="1" x="2"/>
        <item m="1" x="8"/>
        <item m="1" x="5"/>
        <item m="1" x="6"/>
        <item m="1" x="7"/>
        <item x="0"/>
        <item t="default"/>
      </items>
    </pivotField>
    <pivotField compact="0" outline="0" showAll="0" defaultSubtotal="0"/>
    <pivotField compact="0" outline="0" showAll="0" defaultSubtotal="0"/>
    <pivotField compact="0" outline="0" subtotalTop="0" showAll="0"/>
    <pivotField axis="axisPage" compact="0" outline="0" subtotalTop="0" multipleItemSelectionAllowed="1" showAll="0">
      <items count="7">
        <item h="1" x="0"/>
        <item m="1" x="5"/>
        <item h="1" x="3"/>
        <item h="1" m="1" x="4"/>
        <item x="1"/>
        <item x="2"/>
        <item t="default"/>
      </items>
    </pivotField>
    <pivotField compact="0" outline="0" subtotalTop="0" showAll="0"/>
    <pivotField axis="axisPage" compact="0" outline="0" multipleItemSelectionAllowed="1" showAll="0" defaultSubtotal="0">
      <items count="10">
        <item h="1" x="1"/>
        <item h="1" x="0"/>
        <item m="1" x="9"/>
        <item x="2"/>
        <item h="1" x="4"/>
        <item m="1" x="6"/>
        <item m="1" x="8"/>
        <item m="1" x="5"/>
        <item h="1" m="1" x="7"/>
        <item h="1" x="3"/>
      </items>
    </pivotField>
    <pivotField compact="0" outline="0" subtotalTop="0" showAll="0"/>
    <pivotField compact="0" outline="0" subtotalTop="0" showAll="0"/>
    <pivotField dataField="1"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outline="0" subtotalTop="0" showAll="0"/>
    <pivotField compact="0" numFmtId="9" outline="0" subtotalTop="0" showAll="0"/>
    <pivotField compact="0" outline="0" subtotalTop="0" showAll="0"/>
    <pivotField compact="0" outline="0" showAll="0" defaultSubtotal="0"/>
    <pivotField compact="0" outline="0" showAll="0"/>
    <pivotField compact="0" outline="0" subtotalTop="0" showAll="0"/>
    <pivotField compact="0" outline="0" showAll="0" defaultSubtotal="0"/>
    <pivotField dataField="1" compact="0" outline="0" showAll="0" defaultSubtotal="0"/>
    <pivotField compact="0" outline="0" subtotalTop="0" showAll="0"/>
    <pivotField compact="0" outline="0" subtotalTop="0" showAll="0"/>
    <pivotField compact="0" outline="0" showAll="0" defaultSubtotal="0"/>
    <pivotField compact="0" outline="0" subtotalTop="0" showAll="0"/>
    <pivotField compact="0" numFmtId="1" outline="0" subtotalTop="0" showAll="0"/>
    <pivotField compact="0" numFmtId="1" outline="0" showAll="0" defaultSubtotal="0"/>
    <pivotField compact="0" numFmtId="9" outline="0" showAll="0"/>
    <pivotField dataField="1" compact="0" numFmtId="1" outline="0" showAll="0" defaultSubtotal="0"/>
    <pivotField compact="0" outline="0" showAll="0" defaultSubtotal="0"/>
    <pivotField compact="0" outline="0" showAll="0" defaultSubtotal="0"/>
    <pivotField compact="0" outline="0" subtotalTop="0" showAll="0"/>
    <pivotField compact="0" outline="0" subtotalTop="0" showAll="0"/>
    <pivotField compact="0" outline="0" subtotalTop="0" showAll="0"/>
    <pivotField compact="0" numFmtId="9"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dataField="1" compact="0" numFmtId="1"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howAll="0" defaultSubtotal="0"/>
    <pivotField compact="0" numFmtId="1" outline="0" subtotalTop="0" showAll="0"/>
    <pivotField compact="0" numFmtId="1" outline="0" showAll="0" defaultSubtotal="0"/>
    <pivotField compact="0" numFmtId="1" outline="0" showAll="0"/>
    <pivotField compact="0" outline="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showAll="0">
      <items count="5">
        <item x="0"/>
        <item x="1"/>
        <item m="1" x="2"/>
        <item m="1" x="3"/>
        <item t="default"/>
      </items>
    </pivotField>
    <pivotField compact="0" outline="0" subtotalTop="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0"/>
  </rowFields>
  <rowItems count="2">
    <i>
      <x v="10"/>
    </i>
    <i t="grand">
      <x/>
    </i>
  </rowItems>
  <colFields count="1">
    <field x="-2"/>
  </colFields>
  <colItems count="4">
    <i>
      <x/>
    </i>
    <i i="1">
      <x v="1"/>
    </i>
    <i i="2">
      <x v="2"/>
    </i>
    <i i="3">
      <x v="3"/>
    </i>
  </colItems>
  <pageFields count="3">
    <pageField fld="121" item="0" hier="-1"/>
    <pageField fld="4" hier="-1"/>
    <pageField fld="6" hier="-1"/>
  </pageFields>
  <dataFields count="4">
    <dataField name="Total Population reached" fld="9" baseField="2" baseItem="0" numFmtId="3"/>
    <dataField name=" HRP1" fld="83" baseField="0" baseItem="9"/>
    <dataField name=" HRP2" fld="91" baseField="0" baseItem="9"/>
    <dataField name=" HRP3" fld="102" baseField="0" baseItem="9"/>
  </dataFields>
  <formats count="16">
    <format dxfId="1177">
      <pivotArea field="4" type="button" dataOnly="0" labelOnly="1" outline="0" axis="axisPage" fieldPosition="1"/>
    </format>
    <format dxfId="1176">
      <pivotArea type="all" dataOnly="0" outline="0" fieldPosition="0"/>
    </format>
    <format dxfId="1175">
      <pivotArea field="4" type="button" dataOnly="0" labelOnly="1" outline="0" axis="axisPage" fieldPosition="1"/>
    </format>
    <format dxfId="1174">
      <pivotArea outline="0" fieldPosition="0">
        <references count="1">
          <reference field="4294967294" count="1">
            <x v="0"/>
          </reference>
        </references>
      </pivotArea>
    </format>
    <format dxfId="1173">
      <pivotArea dataOnly="0" labelOnly="1" outline="0" fieldPosition="0">
        <references count="1">
          <reference field="4294967294" count="1">
            <x v="0"/>
          </reference>
        </references>
      </pivotArea>
    </format>
    <format dxfId="1172">
      <pivotArea type="all" dataOnly="0" outline="0" fieldPosition="0"/>
    </format>
    <format dxfId="1171">
      <pivotArea outline="0" collapsedLevelsAreSubtotals="1" fieldPosition="0"/>
    </format>
    <format dxfId="1170">
      <pivotArea dataOnly="0" labelOnly="1" fieldPosition="0">
        <references count="1">
          <reference field="4" count="0"/>
        </references>
      </pivotArea>
    </format>
    <format dxfId="1169">
      <pivotArea dataOnly="0" labelOnly="1" grandRow="1" outline="0" fieldPosition="0"/>
    </format>
    <format dxfId="1168">
      <pivotArea dataOnly="0" labelOnly="1" outline="0" fieldPosition="0">
        <references count="1">
          <reference field="4294967294" count="1">
            <x v="0"/>
          </reference>
        </references>
      </pivotArea>
    </format>
    <format dxfId="1167">
      <pivotArea type="all" dataOnly="0" outline="0" fieldPosition="0"/>
    </format>
    <format dxfId="1166">
      <pivotArea outline="0" collapsedLevelsAreSubtotals="1" fieldPosition="0"/>
    </format>
    <format dxfId="1165">
      <pivotArea dataOnly="0" labelOnly="1" fieldPosition="0">
        <references count="1">
          <reference field="4" count="0"/>
        </references>
      </pivotArea>
    </format>
    <format dxfId="1164">
      <pivotArea dataOnly="0" labelOnly="1" grandRow="1" outline="0" fieldPosition="0"/>
    </format>
    <format dxfId="1163">
      <pivotArea dataOnly="0" labelOnly="1" outline="0" fieldPosition="0">
        <references count="1">
          <reference field="4294967294" count="1">
            <x v="0"/>
          </reference>
        </references>
      </pivotArea>
    </format>
    <format dxfId="1162">
      <pivotArea dataOnly="0" labelOnly="1" outline="0" fieldPosition="0">
        <references count="1">
          <reference field="4294967294" count="1">
            <x v="1"/>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700-00000A000000}" name="PivotTable6" cacheId="0" dataOnRows="1" applyNumberFormats="0" applyBorderFormats="0" applyFontFormats="0" applyPatternFormats="0" applyAlignmentFormats="0" applyWidthHeightFormats="1" dataCaption="Values" updatedVersion="6" minRefreshableVersion="3" colGrandTotals="0" itemPrintTitles="1" createdVersion="6" indent="0" showHeaders="0" outline="1" outlineData="1" multipleFieldFilters="0">
  <location ref="S101:T103" firstHeaderRow="0" firstDataRow="0" firstDataCol="1" rowPageCount="3" colPageCount="1"/>
  <pivotFields count="131">
    <pivotField axis="axisPage" subtotalTop="0" showAll="0">
      <items count="12">
        <item m="1" x="9"/>
        <item m="1" x="4"/>
        <item m="1" x="1"/>
        <item m="1" x="3"/>
        <item m="1" x="10"/>
        <item m="1" x="2"/>
        <item m="1" x="8"/>
        <item m="1" x="5"/>
        <item m="1" x="6"/>
        <item m="1" x="7"/>
        <item x="0"/>
        <item t="default"/>
      </items>
    </pivotField>
    <pivotField showAll="0" defaultSubtotal="0"/>
    <pivotField showAll="0" defaultSubtotal="0"/>
    <pivotField subtotalTop="0" showAll="0"/>
    <pivotField subtotalTop="0" showAll="0">
      <items count="7">
        <item x="0"/>
        <item m="1" x="5"/>
        <item x="3"/>
        <item m="1" x="4"/>
        <item x="1"/>
        <item x="2"/>
        <item t="default"/>
      </items>
    </pivotField>
    <pivotField subtotalTop="0" showAll="0"/>
    <pivotField axis="axisPage" multipleItemSelectionAllowed="1" showAll="0" defaultSubtotal="0">
      <items count="10">
        <item h="1" x="1"/>
        <item h="1" x="0"/>
        <item m="1" x="9"/>
        <item x="2"/>
        <item h="1" x="4"/>
        <item m="1" x="6"/>
        <item m="1" x="8"/>
        <item m="1" x="5"/>
        <item h="1" m="1" x="7"/>
        <item h="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numFmtId="9" subtotalTop="0" showAll="0"/>
    <pivotField subtotalTop="0" showAll="0"/>
    <pivotField showAll="0" defaultSubtotal="0"/>
    <pivotField showAll="0"/>
    <pivotField subtotalTop="0" showAll="0"/>
    <pivotField showAll="0" defaultSubtotal="0"/>
    <pivotField dataField="1" showAll="0" defaultSubtotal="0"/>
    <pivotField subtotalTop="0" showAll="0"/>
    <pivotField subtotalTop="0" showAll="0"/>
    <pivotField showAll="0" defaultSubtotal="0"/>
    <pivotField subtotalTop="0" showAll="0"/>
    <pivotField numFmtId="1" subtotalTop="0" showAll="0"/>
    <pivotField numFmtId="1" showAll="0" defaultSubtotal="0"/>
    <pivotField numFmtId="9" showAll="0"/>
    <pivotField dataField="1" numFmtId="1" showAll="0" defaultSubtotal="0"/>
    <pivotField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dataField="1" numFmtId="1" showAll="0" defaultSubtotal="0"/>
    <pivotField subtotalTop="0" showAll="0"/>
    <pivotField subtotalTop="0" showAll="0"/>
    <pivotField subtotalTop="0" showAll="0"/>
    <pivotField subtotalTop="0" showAll="0"/>
    <pivotField subtotalTop="0" showAll="0"/>
    <pivotField numFmtId="1" showAll="0" defaultSubtotal="0"/>
    <pivotField numFmtId="1"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3">
    <i>
      <x/>
    </i>
    <i i="1">
      <x v="1"/>
    </i>
    <i i="2">
      <x v="2"/>
    </i>
  </rowItems>
  <colItems count="1">
    <i/>
  </colItems>
  <pageFields count="3">
    <pageField fld="0" item="10" hier="-1"/>
    <pageField fld="121" item="0" hier="-1"/>
    <pageField fld="6" hier="-1"/>
  </pageFields>
  <dataFields count="3">
    <dataField name=" HRP1" fld="83" baseField="0" baseItem="16"/>
    <dataField name=" HRP2" fld="91" baseField="0" baseItem="0"/>
    <dataField name=" HRP3" fld="102" baseField="0" baseItem="0"/>
  </dataFields>
  <formats count="16">
    <format dxfId="1193">
      <pivotArea field="4" type="button" dataOnly="0" labelOnly="1" outline="0"/>
    </format>
    <format dxfId="1192">
      <pivotArea type="all" dataOnly="0" outline="0" fieldPosition="0"/>
    </format>
    <format dxfId="1191">
      <pivotArea field="4" type="button" dataOnly="0" labelOnly="1" outline="0"/>
    </format>
    <format dxfId="1190">
      <pivotArea type="all" dataOnly="0" outline="0" fieldPosition="0"/>
    </format>
    <format dxfId="1189">
      <pivotArea outline="0" collapsedLevelsAreSubtotals="1" fieldPosition="0"/>
    </format>
    <format dxfId="1188">
      <pivotArea dataOnly="0" labelOnly="1" grandRow="1" outline="0" fieldPosition="0"/>
    </format>
    <format dxfId="1187">
      <pivotArea type="all" dataOnly="0" outline="0" fieldPosition="0"/>
    </format>
    <format dxfId="1186">
      <pivotArea outline="0" collapsedLevelsAreSubtotals="1" fieldPosition="0"/>
    </format>
    <format dxfId="1185">
      <pivotArea dataOnly="0" labelOnly="1" grandRow="1" outline="0" fieldPosition="0"/>
    </format>
    <format dxfId="1184">
      <pivotArea dataOnly="0" labelOnly="1" outline="0" fieldPosition="0">
        <references count="1">
          <reference field="4294967294" count="1">
            <x v="0"/>
          </reference>
        </references>
      </pivotArea>
    </format>
    <format dxfId="1183">
      <pivotArea dataOnly="0" labelOnly="1" outline="0" fieldPosition="0">
        <references count="1">
          <reference field="4294967294" count="1">
            <x v="1"/>
          </reference>
        </references>
      </pivotArea>
    </format>
    <format dxfId="1182">
      <pivotArea dataOnly="0" labelOnly="1" outline="0" fieldPosition="0">
        <references count="1">
          <reference field="4294967294" count="1">
            <x v="2"/>
          </reference>
        </references>
      </pivotArea>
    </format>
    <format dxfId="1181">
      <pivotArea dataOnly="0" labelOnly="1" outline="0" fieldPosition="0">
        <references count="1">
          <reference field="4294967294" count="1">
            <x v="0"/>
          </reference>
        </references>
      </pivotArea>
    </format>
    <format dxfId="1180">
      <pivotArea fieldPosition="0">
        <references count="1">
          <reference field="4294967294" count="1">
            <x v="0"/>
          </reference>
        </references>
      </pivotArea>
    </format>
    <format dxfId="1179">
      <pivotArea fieldPosition="0">
        <references count="1">
          <reference field="4294967294" count="1">
            <x v="0"/>
          </reference>
        </references>
      </pivotArea>
    </format>
    <format dxfId="1178">
      <pivotArea collapsedLevelsAreSubtotals="1" fieldPosition="0">
        <references count="1">
          <reference field="4294967294" count="2">
            <x v="1"/>
            <x v="2"/>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700-000001000000}" name="HRP_2" cacheId="0"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17:J21" firstHeaderRow="0" firstDataRow="1" firstDataCol="1" rowPageCount="3" colPageCount="1"/>
  <pivotFields count="131">
    <pivotField axis="axisPage" subtotalTop="0" showAll="0">
      <items count="12">
        <item m="1" x="9"/>
        <item m="1" x="4"/>
        <item m="1" x="1"/>
        <item m="1" x="3"/>
        <item m="1" x="10"/>
        <item m="1" x="2"/>
        <item m="1" x="8"/>
        <item m="1" x="5"/>
        <item m="1" x="6"/>
        <item m="1" x="7"/>
        <item x="0"/>
        <item t="default"/>
      </items>
    </pivotField>
    <pivotField showAll="0" defaultSubtotal="0"/>
    <pivotField showAll="0" defaultSubtotal="0"/>
    <pivotField subtotalTop="0" showAll="0"/>
    <pivotField axis="axisRow" subtotalTop="0" showAll="0">
      <items count="7">
        <item x="0"/>
        <item m="1" x="5"/>
        <item x="3"/>
        <item m="1" x="4"/>
        <item x="1"/>
        <item x="2"/>
        <item t="default"/>
      </items>
    </pivotField>
    <pivotField subtotalTop="0" showAll="0"/>
    <pivotField axis="axisPage" multipleItemSelectionAllowed="1" showAll="0" defaultSubtotal="0">
      <items count="10">
        <item h="1" x="1"/>
        <item h="1" x="0"/>
        <item h="1" m="1" x="9"/>
        <item x="2"/>
        <item h="1" x="4"/>
        <item h="1" m="1" x="6"/>
        <item m="1" x="8"/>
        <item m="1" x="5"/>
        <item h="1" m="1" x="7"/>
        <item x="3"/>
      </items>
    </pivotField>
    <pivotField subtotalTop="0" showAll="0"/>
    <pivotField subtotalTop="0" showAll="0"/>
    <pivotField dataField="1" subtotalTop="0" showAll="0"/>
    <pivotField showAll="0" defaultSubtotal="0"/>
    <pivotField showAll="0" defaultSubtotal="0"/>
    <pivotField dataField="1"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numFmtId="9" subtotalTop="0" showAll="0"/>
    <pivotField subtotalTop="0" showAll="0"/>
    <pivotField showAll="0" defaultSubtotal="0"/>
    <pivotField showAll="0"/>
    <pivotField subtotalTop="0" showAll="0"/>
    <pivotField showAll="0" defaultSubtotal="0"/>
    <pivotField dataField="1" showAll="0" defaultSubtotal="0"/>
    <pivotField subtotalTop="0" showAll="0"/>
    <pivotField subtotalTop="0" showAll="0"/>
    <pivotField showAll="0" defaultSubtotal="0"/>
    <pivotField subtotalTop="0" showAll="0"/>
    <pivotField numFmtId="1" subtotalTop="0" showAll="0"/>
    <pivotField numFmtId="1" showAll="0" defaultSubtotal="0"/>
    <pivotField numFmtId="9" showAll="0"/>
    <pivotField dataField="1" numFmtId="1" showAll="0" defaultSubtotal="0"/>
    <pivotField showAll="0" defaultSubtotal="0"/>
    <pivotField showAll="0" defaultSubtotal="0"/>
    <pivotField subtotalTop="0" showAll="0"/>
    <pivotField subtotalTop="0" showAll="0"/>
    <pivotField subtotalTop="0" showAll="0"/>
    <pivotField numFmtId="9" showAll="0" defaultSubtotal="0"/>
    <pivotField dataField="1" numFmtId="1" showAll="0" defaultSubtotal="0"/>
    <pivotField numFmtId="1" showAll="0" defaultSubtotal="0"/>
    <pivotField numFmtId="1" showAll="0" defaultSubtotal="0"/>
    <pivotField dataField="1" numFmtId="1" showAll="0" defaultSubtotal="0"/>
    <pivotField dataField="1" numFmtId="1" showAll="0" defaultSubtotal="0"/>
    <pivotField subtotalTop="0" showAll="0"/>
    <pivotField subtotalTop="0" showAll="0"/>
    <pivotField subtotalTop="0" showAll="0"/>
    <pivotField subtotalTop="0" showAll="0"/>
    <pivotField subtotalTop="0" showAll="0"/>
    <pivotField numFmtId="1" showAll="0" defaultSubtotal="0"/>
    <pivotField numFmtId="1" subtotalTop="0" showAll="0"/>
    <pivotField numFmtId="1" showAll="0" defaultSubtotal="0"/>
    <pivotField dataField="1"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4">
    <i>
      <x v="2"/>
    </i>
    <i>
      <x v="4"/>
    </i>
    <i>
      <x v="5"/>
    </i>
    <i t="grand">
      <x/>
    </i>
  </rowItems>
  <colFields count="1">
    <field x="-2"/>
  </colFields>
  <colItems count="8">
    <i>
      <x/>
    </i>
    <i i="1">
      <x v="1"/>
    </i>
    <i i="2">
      <x v="2"/>
    </i>
    <i i="3">
      <x v="3"/>
    </i>
    <i i="4">
      <x v="4"/>
    </i>
    <i i="5">
      <x v="5"/>
    </i>
    <i i="6">
      <x v="6"/>
    </i>
    <i i="7">
      <x v="7"/>
    </i>
  </colItems>
  <pageFields count="3">
    <pageField fld="0" item="10" hier="-1"/>
    <pageField fld="121" item="0" hier="-1"/>
    <pageField fld="6" hier="-1"/>
  </pageFields>
  <dataFields count="8">
    <dataField name="Total Population reached" fld="9" baseField="2" baseItem="0" numFmtId="164"/>
    <dataField name=" HRP1" fld="83" baseField="4" baseItem="0" numFmtId="164"/>
    <dataField name=" HRP2" fld="91" baseField="4" baseItem="0" numFmtId="164"/>
    <dataField name=" HRP3" fld="102" baseField="4" baseItem="0" numFmtId="164"/>
    <dataField name=" # People received regular supply of hygiene items" fld="101" baseField="4" baseItem="2" numFmtId="164"/>
    <dataField name=" # people reached by regular dedicated hygiene promotion" fld="98" baseField="0" baseItem="0" numFmtId="164"/>
    <dataField name=" # People access to Handwashing Station" fld="111" baseField="0" baseItem="0" numFmtId="164"/>
    <dataField name=" #_students at TLS_CFS" fld="12" baseField="0" baseItem="0" numFmtId="164"/>
  </dataFields>
  <formats count="38">
    <format dxfId="1231">
      <pivotArea field="4" type="button" dataOnly="0" labelOnly="1" outline="0" axis="axisRow" fieldPosition="0"/>
    </format>
    <format dxfId="1230">
      <pivotArea type="all" dataOnly="0" outline="0" fieldPosition="0"/>
    </format>
    <format dxfId="1229">
      <pivotArea outline="0" fieldPosition="0">
        <references count="1">
          <reference field="4294967294" count="1">
            <x v="0"/>
          </reference>
        </references>
      </pivotArea>
    </format>
    <format dxfId="1228">
      <pivotArea dataOnly="0" labelOnly="1" outline="0" fieldPosition="0">
        <references count="1">
          <reference field="4294967294" count="1">
            <x v="0"/>
          </reference>
        </references>
      </pivotArea>
    </format>
    <format dxfId="1227">
      <pivotArea type="all" dataOnly="0" outline="0" fieldPosition="0"/>
    </format>
    <format dxfId="1226">
      <pivotArea outline="0" collapsedLevelsAreSubtotals="1" fieldPosition="0"/>
    </format>
    <format dxfId="1225">
      <pivotArea field="4" type="button" dataOnly="0" labelOnly="1" outline="0" axis="axisRow" fieldPosition="0"/>
    </format>
    <format dxfId="1224">
      <pivotArea dataOnly="0" labelOnly="1" fieldPosition="0">
        <references count="1">
          <reference field="4" count="1">
            <x v="1"/>
          </reference>
        </references>
      </pivotArea>
    </format>
    <format dxfId="1223">
      <pivotArea dataOnly="0" labelOnly="1" grandRow="1" outline="0" fieldPosition="0"/>
    </format>
    <format dxfId="1222">
      <pivotArea dataOnly="0" labelOnly="1" outline="0" fieldPosition="0">
        <references count="1">
          <reference field="4294967294" count="1">
            <x v="0"/>
          </reference>
        </references>
      </pivotArea>
    </format>
    <format dxfId="1221">
      <pivotArea type="all" dataOnly="0" outline="0" fieldPosition="0"/>
    </format>
    <format dxfId="1220">
      <pivotArea outline="0" collapsedLevelsAreSubtotals="1" fieldPosition="0"/>
    </format>
    <format dxfId="1219">
      <pivotArea field="4" type="button" dataOnly="0" labelOnly="1" outline="0" axis="axisRow" fieldPosition="0"/>
    </format>
    <format dxfId="1218">
      <pivotArea dataOnly="0" labelOnly="1" fieldPosition="0">
        <references count="1">
          <reference field="4" count="1">
            <x v="1"/>
          </reference>
        </references>
      </pivotArea>
    </format>
    <format dxfId="1217">
      <pivotArea dataOnly="0" labelOnly="1" grandRow="1" outline="0" fieldPosition="0"/>
    </format>
    <format dxfId="1216">
      <pivotArea dataOnly="0" labelOnly="1" outline="0" fieldPosition="0">
        <references count="1">
          <reference field="4294967294" count="1">
            <x v="0"/>
          </reference>
        </references>
      </pivotArea>
    </format>
    <format dxfId="1215">
      <pivotArea field="0" type="button" dataOnly="0" labelOnly="1" outline="0" axis="axisPage" fieldPosition="0"/>
    </format>
    <format dxfId="1214">
      <pivotArea field="0" type="button" dataOnly="0" labelOnly="1" outline="0" axis="axisPage" fieldPosition="0"/>
    </format>
    <format dxfId="1213">
      <pivotArea outline="0" collapsedLevelsAreSubtotals="1" fieldPosition="0">
        <references count="1">
          <reference field="4294967294" count="3" selected="0">
            <x v="1"/>
            <x v="2"/>
            <x v="3"/>
          </reference>
        </references>
      </pivotArea>
    </format>
    <format dxfId="1212">
      <pivotArea dataOnly="0" labelOnly="1" outline="0" fieldPosition="0">
        <references count="1">
          <reference field="4294967294" count="1">
            <x v="0"/>
          </reference>
        </references>
      </pivotArea>
    </format>
    <format dxfId="1211">
      <pivotArea outline="0" collapsedLevelsAreSubtotals="1" fieldPosition="0">
        <references count="1">
          <reference field="4294967294" count="3" selected="0">
            <x v="1"/>
            <x v="2"/>
            <x v="3"/>
          </reference>
        </references>
      </pivotArea>
    </format>
    <format dxfId="1210">
      <pivotArea dataOnly="0" labelOnly="1" outline="0" fieldPosition="0">
        <references count="1">
          <reference field="4294967294" count="3">
            <x v="1"/>
            <x v="2"/>
            <x v="3"/>
          </reference>
        </references>
      </pivotArea>
    </format>
    <format dxfId="1209">
      <pivotArea outline="0" collapsedLevelsAreSubtotals="1" fieldPosition="0">
        <references count="1">
          <reference field="4294967294" count="1" selected="0">
            <x v="0"/>
          </reference>
        </references>
      </pivotArea>
    </format>
    <format dxfId="1208">
      <pivotArea outline="0" collapsedLevelsAreSubtotals="1" fieldPosition="0">
        <references count="1">
          <reference field="4294967294" count="3" selected="0">
            <x v="1"/>
            <x v="2"/>
            <x v="3"/>
          </reference>
        </references>
      </pivotArea>
    </format>
    <format dxfId="1207">
      <pivotArea dataOnly="0" labelOnly="1" outline="0" fieldPosition="0">
        <references count="1">
          <reference field="4294967294" count="5">
            <x v="0"/>
            <x v="1"/>
            <x v="2"/>
            <x v="3"/>
            <x v="7"/>
          </reference>
        </references>
      </pivotArea>
    </format>
    <format dxfId="1206">
      <pivotArea dataOnly="0" labelOnly="1" outline="0" fieldPosition="0">
        <references count="1">
          <reference field="4294967294" count="1">
            <x v="7"/>
          </reference>
        </references>
      </pivotArea>
    </format>
    <format dxfId="1205">
      <pivotArea dataOnly="0" labelOnly="1" outline="0" fieldPosition="0">
        <references count="1">
          <reference field="4294967294" count="1">
            <x v="7"/>
          </reference>
        </references>
      </pivotArea>
    </format>
    <format dxfId="1204">
      <pivotArea collapsedLevelsAreSubtotals="1" fieldPosition="0">
        <references count="2">
          <reference field="4294967294" count="1" selected="0">
            <x v="7"/>
          </reference>
          <reference field="4" count="1">
            <x v="2"/>
          </reference>
        </references>
      </pivotArea>
    </format>
    <format dxfId="1203">
      <pivotArea field="4" grandRow="1" outline="0" collapsedLevelsAreSubtotals="1" axis="axisRow" fieldPosition="0">
        <references count="1">
          <reference field="4294967294" count="1" selected="0">
            <x v="7"/>
          </reference>
        </references>
      </pivotArea>
    </format>
    <format dxfId="1202">
      <pivotArea dataOnly="0" labelOnly="1" outline="0" fieldPosition="0">
        <references count="1">
          <reference field="4294967294" count="1">
            <x v="3"/>
          </reference>
        </references>
      </pivotArea>
    </format>
    <format dxfId="1201">
      <pivotArea dataOnly="0" labelOnly="1" outline="0" fieldPosition="0">
        <references count="1">
          <reference field="4294967294" count="1">
            <x v="2"/>
          </reference>
        </references>
      </pivotArea>
    </format>
    <format dxfId="1200">
      <pivotArea dataOnly="0" labelOnly="1" outline="0" fieldPosition="0">
        <references count="1">
          <reference field="4294967294" count="1">
            <x v="4"/>
          </reference>
        </references>
      </pivotArea>
    </format>
    <format dxfId="1199">
      <pivotArea outline="0" collapsedLevelsAreSubtotals="1" fieldPosition="0">
        <references count="1">
          <reference field="4294967294" count="4" selected="0">
            <x v="4"/>
            <x v="5"/>
            <x v="6"/>
            <x v="7"/>
          </reference>
        </references>
      </pivotArea>
    </format>
    <format dxfId="1198">
      <pivotArea dataOnly="0" labelOnly="1" outline="0" fieldPosition="0">
        <references count="1">
          <reference field="4294967294" count="4">
            <x v="4"/>
            <x v="5"/>
            <x v="6"/>
            <x v="7"/>
          </reference>
        </references>
      </pivotArea>
    </format>
    <format dxfId="1197">
      <pivotArea outline="0" collapsedLevelsAreSubtotals="1" fieldPosition="0">
        <references count="1">
          <reference field="4294967294" count="4" selected="0">
            <x v="4"/>
            <x v="5"/>
            <x v="6"/>
            <x v="7"/>
          </reference>
        </references>
      </pivotArea>
    </format>
    <format dxfId="1196">
      <pivotArea dataOnly="0" labelOnly="1" outline="0" fieldPosition="0">
        <references count="1">
          <reference field="4294967294" count="4">
            <x v="4"/>
            <x v="5"/>
            <x v="6"/>
            <x v="7"/>
          </reference>
        </references>
      </pivotArea>
    </format>
    <format dxfId="1195">
      <pivotArea dataOnly="0" labelOnly="1" outline="0" fieldPosition="0">
        <references count="1">
          <reference field="4294967294" count="2">
            <x v="5"/>
            <x v="6"/>
          </reference>
        </references>
      </pivotArea>
    </format>
    <format dxfId="1194">
      <pivotArea outline="0" collapsedLevelsAreSubtotals="1" fieldPosition="0">
        <references count="1">
          <reference field="4294967294" count="4" selected="0">
            <x v="4"/>
            <x v="5"/>
            <x v="6"/>
            <x v="7"/>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HRP_1" cacheId="0" applyNumberFormats="0" applyBorderFormats="0" applyFontFormats="0" applyPatternFormats="0" applyAlignmentFormats="0" applyWidthHeightFormats="1" dataCaption="Values" updatedVersion="6" minRefreshableVersion="3" colGrandTotals="0" itemPrintTitles="1" createdVersion="6" indent="0" showHeaders="0" outline="1" outlineData="1" multipleFieldFilters="0">
  <location ref="B6:J10" firstHeaderRow="0" firstDataRow="1" firstDataCol="1" rowPageCount="3" colPageCount="1"/>
  <pivotFields count="131">
    <pivotField axis="axisPage" subtotalTop="0" showAll="0">
      <items count="12">
        <item m="1" x="9"/>
        <item m="1" x="4"/>
        <item m="1" x="1"/>
        <item m="1" x="3"/>
        <item m="1" x="10"/>
        <item m="1" x="2"/>
        <item m="1" x="8"/>
        <item m="1" x="5"/>
        <item m="1" x="6"/>
        <item m="1" x="7"/>
        <item x="0"/>
        <item t="default"/>
      </items>
    </pivotField>
    <pivotField showAll="0" defaultSubtotal="0"/>
    <pivotField showAll="0" defaultSubtotal="0"/>
    <pivotField subtotalTop="0" showAll="0"/>
    <pivotField axis="axisRow" subtotalTop="0" showAll="0">
      <items count="7">
        <item x="0"/>
        <item m="1" x="5"/>
        <item x="3"/>
        <item m="1" x="4"/>
        <item x="1"/>
        <item x="2"/>
        <item t="default"/>
      </items>
    </pivotField>
    <pivotField subtotalTop="0" showAll="0"/>
    <pivotField axis="axisPage" multipleItemSelectionAllowed="1" showAll="0" defaultSubtotal="0">
      <items count="10">
        <item x="1"/>
        <item x="0"/>
        <item m="1" x="9"/>
        <item h="1" x="2"/>
        <item h="1" x="4"/>
        <item h="1" m="1" x="6"/>
        <item h="1" m="1" x="8"/>
        <item h="1" m="1" x="5"/>
        <item h="1" m="1" x="7"/>
        <item h="1" x="3"/>
      </items>
    </pivotField>
    <pivotField subtotalTop="0" showAll="0"/>
    <pivotField subtotalTop="0" showAll="0"/>
    <pivotField dataField="1" subtotalTop="0" showAll="0"/>
    <pivotField showAll="0" defaultSubtotal="0"/>
    <pivotField showAll="0" defaultSubtotal="0"/>
    <pivotField dataField="1"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numFmtId="9" subtotalTop="0" showAll="0"/>
    <pivotField subtotalTop="0" showAll="0"/>
    <pivotField showAll="0" defaultSubtotal="0"/>
    <pivotField showAll="0"/>
    <pivotField subtotalTop="0" showAll="0"/>
    <pivotField showAll="0" defaultSubtotal="0"/>
    <pivotField dataField="1" showAll="0" defaultSubtotal="0"/>
    <pivotField subtotalTop="0" showAll="0"/>
    <pivotField subtotalTop="0" showAll="0"/>
    <pivotField showAll="0" defaultSubtotal="0"/>
    <pivotField subtotalTop="0" showAll="0"/>
    <pivotField numFmtId="1" subtotalTop="0" showAll="0"/>
    <pivotField numFmtId="1" showAll="0" defaultSubtotal="0"/>
    <pivotField numFmtId="9" showAll="0"/>
    <pivotField dataField="1" numFmtId="1" showAll="0" defaultSubtotal="0"/>
    <pivotField showAll="0" defaultSubtotal="0"/>
    <pivotField showAll="0" defaultSubtotal="0"/>
    <pivotField subtotalTop="0" showAll="0"/>
    <pivotField subtotalTop="0" showAll="0"/>
    <pivotField subtotalTop="0" showAll="0"/>
    <pivotField numFmtId="9" showAll="0" defaultSubtotal="0"/>
    <pivotField dataField="1" numFmtId="1" showAll="0" defaultSubtotal="0"/>
    <pivotField numFmtId="1" showAll="0" defaultSubtotal="0"/>
    <pivotField numFmtId="1" showAll="0" defaultSubtotal="0"/>
    <pivotField dataField="1" numFmtId="1" showAll="0" defaultSubtotal="0"/>
    <pivotField dataField="1" numFmtId="1" showAll="0" defaultSubtotal="0"/>
    <pivotField subtotalTop="0" showAll="0"/>
    <pivotField subtotalTop="0" showAll="0"/>
    <pivotField subtotalTop="0" showAll="0"/>
    <pivotField subtotalTop="0" showAll="0"/>
    <pivotField subtotalTop="0" showAll="0"/>
    <pivotField numFmtId="1" showAll="0" defaultSubtotal="0"/>
    <pivotField numFmtId="1" subtotalTop="0" showAll="0"/>
    <pivotField numFmtId="1" showAll="0" defaultSubtotal="0"/>
    <pivotField dataField="1"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4">
    <i>
      <x/>
    </i>
    <i>
      <x v="2"/>
    </i>
    <i>
      <x v="4"/>
    </i>
    <i t="grand">
      <x/>
    </i>
  </rowItems>
  <colFields count="1">
    <field x="-2"/>
  </colFields>
  <colItems count="8">
    <i>
      <x/>
    </i>
    <i i="1">
      <x v="1"/>
    </i>
    <i i="2">
      <x v="2"/>
    </i>
    <i i="3">
      <x v="3"/>
    </i>
    <i i="4">
      <x v="4"/>
    </i>
    <i i="5">
      <x v="5"/>
    </i>
    <i i="6">
      <x v="6"/>
    </i>
    <i i="7">
      <x v="7"/>
    </i>
  </colItems>
  <pageFields count="3">
    <pageField fld="0" item="10" hier="-1"/>
    <pageField fld="121" item="0" hier="-1"/>
    <pageField fld="6" hier="-1"/>
  </pageFields>
  <dataFields count="8">
    <dataField name="Total Population reached" fld="9" baseField="2" baseItem="0" numFmtId="3"/>
    <dataField name=" HRP1" fld="83" baseField="4" baseItem="0"/>
    <dataField name=" HRP2" fld="91" baseField="0" baseItem="0"/>
    <dataField name=" HRP3" fld="102" baseField="0" baseItem="0"/>
    <dataField name=" # People received regular supply of hygiene items" fld="101" baseField="0" baseItem="0"/>
    <dataField name=" # people reached by regular dedicated hygiene promotion" fld="98" baseField="0" baseItem="0"/>
    <dataField name=" # People access to Handwashing Station" fld="111" baseField="0" baseItem="0"/>
    <dataField name=" #_students at TLS_CFS" fld="12" baseField="0" baseItem="0"/>
  </dataFields>
  <formats count="47">
    <format dxfId="1278">
      <pivotArea field="4" type="button" dataOnly="0" labelOnly="1" outline="0" axis="axisRow" fieldPosition="0"/>
    </format>
    <format dxfId="1277">
      <pivotArea type="all" dataOnly="0" outline="0" fieldPosition="0"/>
    </format>
    <format dxfId="1276">
      <pivotArea field="4" type="button" dataOnly="0" labelOnly="1" outline="0" axis="axisRow" fieldPosition="0"/>
    </format>
    <format dxfId="1275">
      <pivotArea outline="0" fieldPosition="0">
        <references count="1">
          <reference field="4294967294" count="1">
            <x v="0"/>
          </reference>
        </references>
      </pivotArea>
    </format>
    <format dxfId="1274">
      <pivotArea dataOnly="0" labelOnly="1" outline="0" fieldPosition="0">
        <references count="1">
          <reference field="4294967294" count="1">
            <x v="0"/>
          </reference>
        </references>
      </pivotArea>
    </format>
    <format dxfId="1273">
      <pivotArea type="all" dataOnly="0" outline="0" fieldPosition="0"/>
    </format>
    <format dxfId="1272">
      <pivotArea outline="0" collapsedLevelsAreSubtotals="1" fieldPosition="0"/>
    </format>
    <format dxfId="1271">
      <pivotArea dataOnly="0" labelOnly="1" fieldPosition="0">
        <references count="1">
          <reference field="4" count="0"/>
        </references>
      </pivotArea>
    </format>
    <format dxfId="1270">
      <pivotArea dataOnly="0" labelOnly="1" grandRow="1" outline="0" fieldPosition="0"/>
    </format>
    <format dxfId="1269">
      <pivotArea dataOnly="0" labelOnly="1" outline="0" fieldPosition="0">
        <references count="1">
          <reference field="4294967294" count="1">
            <x v="0"/>
          </reference>
        </references>
      </pivotArea>
    </format>
    <format dxfId="1268">
      <pivotArea type="all" dataOnly="0" outline="0" fieldPosition="0"/>
    </format>
    <format dxfId="1267">
      <pivotArea outline="0" collapsedLevelsAreSubtotals="1" fieldPosition="0"/>
    </format>
    <format dxfId="1266">
      <pivotArea dataOnly="0" labelOnly="1" fieldPosition="0">
        <references count="1">
          <reference field="4" count="0"/>
        </references>
      </pivotArea>
    </format>
    <format dxfId="1265">
      <pivotArea dataOnly="0" labelOnly="1" grandRow="1" outline="0" fieldPosition="0"/>
    </format>
    <format dxfId="1264">
      <pivotArea dataOnly="0" labelOnly="1" outline="0" fieldPosition="0">
        <references count="1">
          <reference field="4294967294" count="1">
            <x v="0"/>
          </reference>
        </references>
      </pivotArea>
    </format>
    <format dxfId="1263">
      <pivotArea outline="0" collapsedLevelsAreSubtotals="1" fieldPosition="0"/>
    </format>
    <format dxfId="1262">
      <pivotArea outline="0" collapsedLevelsAreSubtotals="1" fieldPosition="0">
        <references count="1">
          <reference field="4294967294" count="1" selected="0">
            <x v="1"/>
          </reference>
        </references>
      </pivotArea>
    </format>
    <format dxfId="1261">
      <pivotArea dataOnly="0" labelOnly="1" outline="0" fieldPosition="0">
        <references count="1">
          <reference field="4294967294" count="1">
            <x v="1"/>
          </reference>
        </references>
      </pivotArea>
    </format>
    <format dxfId="1260">
      <pivotArea outline="0" collapsedLevelsAreSubtotals="1" fieldPosition="0">
        <references count="1">
          <reference field="4294967294" count="1" selected="0">
            <x v="1"/>
          </reference>
        </references>
      </pivotArea>
    </format>
    <format dxfId="1259">
      <pivotArea dataOnly="0" labelOnly="1" outline="0" fieldPosition="0">
        <references count="1">
          <reference field="4294967294" count="1">
            <x v="1"/>
          </reference>
        </references>
      </pivotArea>
    </format>
    <format dxfId="1258">
      <pivotArea outline="0" collapsedLevelsAreSubtotals="1" fieldPosition="0">
        <references count="1">
          <reference field="4294967294" count="1" selected="0">
            <x v="2"/>
          </reference>
        </references>
      </pivotArea>
    </format>
    <format dxfId="1257">
      <pivotArea dataOnly="0" labelOnly="1" outline="0" fieldPosition="0">
        <references count="1">
          <reference field="4294967294" count="1">
            <x v="2"/>
          </reference>
        </references>
      </pivotArea>
    </format>
    <format dxfId="1256">
      <pivotArea outline="0" collapsedLevelsAreSubtotals="1" fieldPosition="0">
        <references count="1">
          <reference field="4294967294" count="1" selected="0">
            <x v="2"/>
          </reference>
        </references>
      </pivotArea>
    </format>
    <format dxfId="1255">
      <pivotArea dataOnly="0" labelOnly="1" outline="0" fieldPosition="0">
        <references count="1">
          <reference field="4294967294" count="1">
            <x v="2"/>
          </reference>
        </references>
      </pivotArea>
    </format>
    <format dxfId="1254">
      <pivotArea outline="0" collapsedLevelsAreSubtotals="1" fieldPosition="0">
        <references count="1">
          <reference field="4294967294" count="1" selected="0">
            <x v="3"/>
          </reference>
        </references>
      </pivotArea>
    </format>
    <format dxfId="1253">
      <pivotArea dataOnly="0" labelOnly="1" outline="0" fieldPosition="0">
        <references count="1">
          <reference field="4294967294" count="1">
            <x v="3"/>
          </reference>
        </references>
      </pivotArea>
    </format>
    <format dxfId="1252">
      <pivotArea outline="0" collapsedLevelsAreSubtotals="1" fieldPosition="0">
        <references count="1">
          <reference field="4294967294" count="1" selected="0">
            <x v="3"/>
          </reference>
        </references>
      </pivotArea>
    </format>
    <format dxfId="1251">
      <pivotArea dataOnly="0" labelOnly="1" outline="0" fieldPosition="0">
        <references count="1">
          <reference field="4294967294" count="1">
            <x v="3"/>
          </reference>
        </references>
      </pivotArea>
    </format>
    <format dxfId="1250">
      <pivotArea outline="0" collapsedLevelsAreSubtotals="1" fieldPosition="0">
        <references count="1">
          <reference field="4294967294" count="1" selected="0">
            <x v="0"/>
          </reference>
        </references>
      </pivotArea>
    </format>
    <format dxfId="1249">
      <pivotArea dataOnly="0" labelOnly="1" outline="0" fieldPosition="0">
        <references count="1">
          <reference field="4294967294" count="1">
            <x v="0"/>
          </reference>
        </references>
      </pivotArea>
    </format>
    <format dxfId="1248">
      <pivotArea outline="0" collapsedLevelsAreSubtotals="1" fieldPosition="0">
        <references count="1">
          <reference field="4294967294" count="1" selected="0">
            <x v="0"/>
          </reference>
        </references>
      </pivotArea>
    </format>
    <format dxfId="1247">
      <pivotArea dataOnly="0" labelOnly="1" outline="0" fieldPosition="0">
        <references count="1">
          <reference field="4294967294" count="1">
            <x v="0"/>
          </reference>
        </references>
      </pivotArea>
    </format>
    <format dxfId="1246">
      <pivotArea dataOnly="0" labelOnly="1" outline="0" fieldPosition="0">
        <references count="1">
          <reference field="4294967294" count="4">
            <x v="0"/>
            <x v="1"/>
            <x v="2"/>
            <x v="3"/>
          </reference>
        </references>
      </pivotArea>
    </format>
    <format dxfId="1245">
      <pivotArea dataOnly="0" labelOnly="1" outline="0" fieldPosition="0">
        <references count="1">
          <reference field="4294967294" count="5">
            <x v="0"/>
            <x v="1"/>
            <x v="2"/>
            <x v="3"/>
            <x v="7"/>
          </reference>
        </references>
      </pivotArea>
    </format>
    <format dxfId="1244">
      <pivotArea dataOnly="0" outline="0" fieldPosition="0">
        <references count="3">
          <reference field="4294967294" count="1">
            <x v="7"/>
          </reference>
          <reference field="0" count="0" selected="0"/>
          <reference field="121" count="1" selected="0">
            <x v="0"/>
          </reference>
        </references>
      </pivotArea>
    </format>
    <format dxfId="1243">
      <pivotArea dataOnly="0" outline="0" fieldPosition="0">
        <references count="3">
          <reference field="4294967294" count="1">
            <x v="7"/>
          </reference>
          <reference field="0" count="0" selected="0"/>
          <reference field="121" count="1" selected="0">
            <x v="0"/>
          </reference>
        </references>
      </pivotArea>
    </format>
    <format dxfId="1242">
      <pivotArea dataOnly="0" labelOnly="1" outline="0" fieldPosition="0">
        <references count="1">
          <reference field="4294967294" count="1">
            <x v="7"/>
          </reference>
        </references>
      </pivotArea>
    </format>
    <format dxfId="1241">
      <pivotArea dataOnly="0" labelOnly="1" outline="0" fieldPosition="0">
        <references count="1">
          <reference field="4294967294" count="1">
            <x v="4"/>
          </reference>
        </references>
      </pivotArea>
    </format>
    <format dxfId="1240">
      <pivotArea dataOnly="0" labelOnly="1" outline="0" fieldPosition="0">
        <references count="1">
          <reference field="4294967294" count="1">
            <x v="4"/>
          </reference>
        </references>
      </pivotArea>
    </format>
    <format dxfId="1239">
      <pivotArea dataOnly="0" labelOnly="1" outline="0" fieldPosition="0">
        <references count="1">
          <reference field="4294967294" count="1">
            <x v="6"/>
          </reference>
        </references>
      </pivotArea>
    </format>
    <format dxfId="1238">
      <pivotArea outline="0" collapsedLevelsAreSubtotals="1" fieldPosition="0">
        <references count="1">
          <reference field="4294967294" count="2" selected="0">
            <x v="4"/>
            <x v="6"/>
          </reference>
        </references>
      </pivotArea>
    </format>
    <format dxfId="1237">
      <pivotArea dataOnly="0" labelOnly="1" outline="0" fieldPosition="0">
        <references count="1">
          <reference field="4294967294" count="1">
            <x v="5"/>
          </reference>
        </references>
      </pivotArea>
    </format>
    <format dxfId="1236">
      <pivotArea collapsedLevelsAreSubtotals="1" fieldPosition="0">
        <references count="2">
          <reference field="4294967294" count="1" selected="0">
            <x v="5"/>
          </reference>
          <reference field="4" count="1">
            <x v="0"/>
          </reference>
        </references>
      </pivotArea>
    </format>
    <format dxfId="1235">
      <pivotArea outline="0" collapsedLevelsAreSubtotals="1" fieldPosition="0">
        <references count="1">
          <reference field="4294967294" count="4" selected="0">
            <x v="4"/>
            <x v="5"/>
            <x v="6"/>
            <x v="7"/>
          </reference>
        </references>
      </pivotArea>
    </format>
    <format dxfId="1234">
      <pivotArea dataOnly="0" labelOnly="1" outline="0" fieldPosition="0">
        <references count="1">
          <reference field="4294967294" count="4">
            <x v="4"/>
            <x v="5"/>
            <x v="6"/>
            <x v="7"/>
          </reference>
        </references>
      </pivotArea>
    </format>
    <format dxfId="1233">
      <pivotArea outline="0" collapsedLevelsAreSubtotals="1" fieldPosition="0">
        <references count="1">
          <reference field="4294967294" count="4" selected="0">
            <x v="4"/>
            <x v="5"/>
            <x v="6"/>
            <x v="7"/>
          </reference>
        </references>
      </pivotArea>
    </format>
    <format dxfId="1232">
      <pivotArea dataOnly="0" labelOnly="1" outline="0" fieldPosition="0">
        <references count="1">
          <reference field="4294967294" count="4">
            <x v="4"/>
            <x v="5"/>
            <x v="6"/>
            <x v="7"/>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0700-00000C000000}" name="PivotTable8" cacheId="0" applyNumberFormats="0" applyBorderFormats="0" applyFontFormats="0" applyPatternFormats="0" applyAlignmentFormats="0" applyWidthHeightFormats="1" dataCaption="Values" updatedVersion="6" minRefreshableVersion="3" showDrill="0" itemPrintTitles="1" createdVersion="6" indent="0" showHeaders="0" compact="0" compactData="0" multipleFieldFilters="0">
  <location ref="S6:W8" firstHeaderRow="0" firstDataRow="1" firstDataCol="1" rowPageCount="3" colPageCount="1"/>
  <pivotFields count="131">
    <pivotField axis="axisRow" compact="0" outline="0" subtotalTop="0" showAll="0">
      <items count="12">
        <item m="1" x="9"/>
        <item m="1" x="4"/>
        <item m="1" x="1"/>
        <item m="1" x="3"/>
        <item m="1" x="10"/>
        <item m="1" x="2"/>
        <item m="1" x="8"/>
        <item m="1" x="5"/>
        <item m="1" x="6"/>
        <item m="1" x="7"/>
        <item x="0"/>
        <item t="default"/>
      </items>
    </pivotField>
    <pivotField compact="0" outline="0" showAll="0" defaultSubtotal="0"/>
    <pivotField compact="0" outline="0" showAll="0" defaultSubtotal="0"/>
    <pivotField compact="0" outline="0" subtotalTop="0" showAll="0"/>
    <pivotField axis="axisPage" compact="0" outline="0" subtotalTop="0" showAll="0">
      <items count="7">
        <item x="0"/>
        <item m="1" x="5"/>
        <item x="3"/>
        <item m="1" x="4"/>
        <item x="1"/>
        <item x="2"/>
        <item t="default"/>
      </items>
    </pivotField>
    <pivotField compact="0" outline="0" subtotalTop="0" showAll="0"/>
    <pivotField axis="axisPage" compact="0" outline="0" multipleItemSelectionAllowed="1" showAll="0" defaultSubtotal="0">
      <items count="10">
        <item x="1"/>
        <item x="0"/>
        <item m="1" x="9"/>
        <item h="1" x="2"/>
        <item h="1" x="4"/>
        <item h="1" m="1" x="6"/>
        <item h="1" m="1" x="8"/>
        <item h="1" m="1" x="5"/>
        <item h="1" m="1" x="7"/>
        <item h="1" x="3"/>
      </items>
    </pivotField>
    <pivotField compact="0" outline="0" subtotalTop="0" showAll="0"/>
    <pivotField compact="0" outline="0" subtotalTop="0" showAll="0"/>
    <pivotField dataField="1"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outline="0" subtotalTop="0" showAll="0"/>
    <pivotField compact="0" numFmtId="9" outline="0" subtotalTop="0" showAll="0"/>
    <pivotField compact="0" outline="0" subtotalTop="0" showAll="0"/>
    <pivotField compact="0" outline="0" showAll="0" defaultSubtotal="0"/>
    <pivotField compact="0" outline="0" showAll="0"/>
    <pivotField compact="0" outline="0" subtotalTop="0" showAll="0"/>
    <pivotField compact="0" outline="0" showAll="0" defaultSubtotal="0"/>
    <pivotField dataField="1" compact="0" outline="0" showAll="0" defaultSubtotal="0"/>
    <pivotField compact="0" outline="0" subtotalTop="0" showAll="0"/>
    <pivotField compact="0" outline="0" subtotalTop="0" showAll="0"/>
    <pivotField compact="0" outline="0" showAll="0" defaultSubtotal="0"/>
    <pivotField compact="0" outline="0" subtotalTop="0" showAll="0"/>
    <pivotField compact="0" numFmtId="1" outline="0" subtotalTop="0" showAll="0"/>
    <pivotField compact="0" numFmtId="1" outline="0" showAll="0" defaultSubtotal="0"/>
    <pivotField compact="0" numFmtId="9" outline="0" showAll="0"/>
    <pivotField dataField="1" compact="0" numFmtId="1" outline="0" showAll="0" defaultSubtotal="0"/>
    <pivotField compact="0" outline="0" showAll="0" defaultSubtotal="0"/>
    <pivotField compact="0" outline="0" showAll="0" defaultSubtotal="0"/>
    <pivotField compact="0" outline="0" subtotalTop="0" showAll="0"/>
    <pivotField compact="0" outline="0" subtotalTop="0" showAll="0"/>
    <pivotField compact="0" outline="0" subtotalTop="0" showAll="0"/>
    <pivotField compact="0" numFmtId="9"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dataField="1" compact="0" numFmtId="1"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howAll="0" defaultSubtotal="0"/>
    <pivotField compact="0" numFmtId="1" outline="0" subtotalTop="0" showAll="0"/>
    <pivotField compact="0" numFmtId="1" outline="0" showAll="0" defaultSubtotal="0"/>
    <pivotField compact="0" numFmtId="1" outline="0" showAll="0"/>
    <pivotField compact="0" outline="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showAll="0">
      <items count="5">
        <item x="0"/>
        <item x="1"/>
        <item m="1" x="2"/>
        <item m="1" x="3"/>
        <item t="default"/>
      </items>
    </pivotField>
    <pivotField compact="0" outline="0" subtotalTop="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0"/>
  </rowFields>
  <rowItems count="2">
    <i>
      <x v="10"/>
    </i>
    <i t="grand">
      <x/>
    </i>
  </rowItems>
  <colFields count="1">
    <field x="-2"/>
  </colFields>
  <colItems count="4">
    <i>
      <x/>
    </i>
    <i i="1">
      <x v="1"/>
    </i>
    <i i="2">
      <x v="2"/>
    </i>
    <i i="3">
      <x v="3"/>
    </i>
  </colItems>
  <pageFields count="3">
    <pageField fld="121" item="0" hier="-1"/>
    <pageField fld="4" item="2" hier="-1"/>
    <pageField fld="6" hier="-1"/>
  </pageFields>
  <dataFields count="4">
    <dataField name="Total Population reached" fld="9" baseField="2" baseItem="0" numFmtId="3"/>
    <dataField name=" HRP1" fld="83" baseField="0" baseItem="9"/>
    <dataField name=" HRP2" fld="91" baseField="0" baseItem="9"/>
    <dataField name=" HRP3" fld="102" baseField="0" baseItem="9"/>
  </dataFields>
  <formats count="17">
    <format dxfId="1295">
      <pivotArea field="4" type="button" dataOnly="0" labelOnly="1" outline="0" axis="axisPage" fieldPosition="1"/>
    </format>
    <format dxfId="1294">
      <pivotArea type="all" dataOnly="0" outline="0" fieldPosition="0"/>
    </format>
    <format dxfId="1293">
      <pivotArea field="4" type="button" dataOnly="0" labelOnly="1" outline="0" axis="axisPage" fieldPosition="1"/>
    </format>
    <format dxfId="1292">
      <pivotArea outline="0" fieldPosition="0">
        <references count="1">
          <reference field="4294967294" count="1">
            <x v="0"/>
          </reference>
        </references>
      </pivotArea>
    </format>
    <format dxfId="1291">
      <pivotArea dataOnly="0" labelOnly="1" outline="0" fieldPosition="0">
        <references count="1">
          <reference field="4294967294" count="1">
            <x v="0"/>
          </reference>
        </references>
      </pivotArea>
    </format>
    <format dxfId="1290">
      <pivotArea type="all" dataOnly="0" outline="0" fieldPosition="0"/>
    </format>
    <format dxfId="1289">
      <pivotArea outline="0" collapsedLevelsAreSubtotals="1" fieldPosition="0"/>
    </format>
    <format dxfId="1288">
      <pivotArea dataOnly="0" labelOnly="1" fieldPosition="0">
        <references count="1">
          <reference field="4" count="0"/>
        </references>
      </pivotArea>
    </format>
    <format dxfId="1287">
      <pivotArea dataOnly="0" labelOnly="1" grandRow="1" outline="0" fieldPosition="0"/>
    </format>
    <format dxfId="1286">
      <pivotArea dataOnly="0" labelOnly="1" outline="0" fieldPosition="0">
        <references count="1">
          <reference field="4294967294" count="1">
            <x v="0"/>
          </reference>
        </references>
      </pivotArea>
    </format>
    <format dxfId="1285">
      <pivotArea type="all" dataOnly="0" outline="0" fieldPosition="0"/>
    </format>
    <format dxfId="1284">
      <pivotArea outline="0" collapsedLevelsAreSubtotals="1" fieldPosition="0"/>
    </format>
    <format dxfId="1283">
      <pivotArea dataOnly="0" labelOnly="1" fieldPosition="0">
        <references count="1">
          <reference field="4" count="0"/>
        </references>
      </pivotArea>
    </format>
    <format dxfId="1282">
      <pivotArea dataOnly="0" labelOnly="1" grandRow="1" outline="0" fieldPosition="0"/>
    </format>
    <format dxfId="1281">
      <pivotArea dataOnly="0" labelOnly="1" outline="0" fieldPosition="0">
        <references count="1">
          <reference field="4294967294" count="1">
            <x v="0"/>
          </reference>
        </references>
      </pivotArea>
    </format>
    <format dxfId="1280">
      <pivotArea dataOnly="0" labelOnly="1" outline="0" fieldPosition="0">
        <references count="1">
          <reference field="4294967294" count="1">
            <x v="1"/>
          </reference>
        </references>
      </pivotArea>
    </format>
    <format dxfId="1279">
      <pivotArea field="0" grandRow="1" outline="0" axis="axisRow" fieldPosition="0">
        <references count="1">
          <reference field="4294967294" count="1" selected="0">
            <x v="1"/>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C53205A5-E92E-460D-8B6D-42700C55E7F7}" name="PivotTable13" cacheId="0" applyNumberFormats="0" applyBorderFormats="0" applyFontFormats="0" applyPatternFormats="0" applyAlignmentFormats="0" applyWidthHeightFormats="1" dataCaption="Values" updatedVersion="6" minRefreshableVersion="3" showDrill="0" itemPrintTitles="1" createdVersion="6" indent="0" showHeaders="0" compact="0" compactData="0" multipleFieldFilters="0">
  <location ref="AE17:AI18" firstHeaderRow="0" firstDataRow="1" firstDataCol="1" rowPageCount="3" colPageCount="1"/>
  <pivotFields count="131">
    <pivotField axis="axisRow" compact="0" outline="0" subtotalTop="0" showAll="0">
      <items count="12">
        <item m="1" x="9"/>
        <item m="1" x="4"/>
        <item m="1" x="1"/>
        <item m="1" x="3"/>
        <item m="1" x="10"/>
        <item m="1" x="2"/>
        <item m="1" x="8"/>
        <item m="1" x="5"/>
        <item m="1" x="6"/>
        <item m="1" x="7"/>
        <item x="0"/>
        <item t="default"/>
      </items>
    </pivotField>
    <pivotField compact="0" outline="0" showAll="0" defaultSubtotal="0"/>
    <pivotField compact="0" outline="0" showAll="0" defaultSubtotal="0"/>
    <pivotField compact="0" outline="0" subtotalTop="0" showAll="0"/>
    <pivotField axis="axisPage" compact="0" outline="0" subtotalTop="0" multipleItemSelectionAllowed="1" showAll="0">
      <items count="7">
        <item h="1" x="0"/>
        <item m="1" x="5"/>
        <item h="1" x="3"/>
        <item h="1" m="1" x="4"/>
        <item x="1"/>
        <item x="2"/>
        <item t="default"/>
      </items>
    </pivotField>
    <pivotField compact="0" outline="0" subtotalTop="0" showAll="0"/>
    <pivotField axis="axisPage" compact="0" outline="0" multipleItemSelectionAllowed="1" showAll="0" defaultSubtotal="0">
      <items count="10">
        <item h="1" x="1"/>
        <item h="1" x="0"/>
        <item m="1" x="9"/>
        <item h="1" x="2"/>
        <item h="1" x="4"/>
        <item m="1" x="6"/>
        <item m="1" x="8"/>
        <item m="1" x="5"/>
        <item h="1" m="1" x="7"/>
        <item h="1" x="3"/>
      </items>
    </pivotField>
    <pivotField compact="0" outline="0" subtotalTop="0" showAll="0"/>
    <pivotField compact="0" outline="0" subtotalTop="0" showAll="0"/>
    <pivotField dataField="1"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outline="0" subtotalTop="0" showAll="0"/>
    <pivotField compact="0" numFmtId="9" outline="0" subtotalTop="0" showAll="0"/>
    <pivotField compact="0" outline="0" subtotalTop="0" showAll="0"/>
    <pivotField compact="0" outline="0" showAll="0" defaultSubtotal="0"/>
    <pivotField compact="0" outline="0" showAll="0"/>
    <pivotField compact="0" outline="0" subtotalTop="0" showAll="0"/>
    <pivotField compact="0" outline="0" showAll="0" defaultSubtotal="0"/>
    <pivotField dataField="1" compact="0" outline="0" showAll="0" defaultSubtotal="0"/>
    <pivotField compact="0" outline="0" subtotalTop="0" showAll="0"/>
    <pivotField compact="0" outline="0" subtotalTop="0" showAll="0"/>
    <pivotField compact="0" outline="0" showAll="0" defaultSubtotal="0"/>
    <pivotField compact="0" outline="0" subtotalTop="0" showAll="0"/>
    <pivotField compact="0" numFmtId="1" outline="0" subtotalTop="0" showAll="0"/>
    <pivotField compact="0" numFmtId="1" outline="0" showAll="0" defaultSubtotal="0"/>
    <pivotField compact="0" numFmtId="9" outline="0" showAll="0"/>
    <pivotField dataField="1" compact="0" numFmtId="1" outline="0" showAll="0" defaultSubtotal="0"/>
    <pivotField compact="0" outline="0" showAll="0" defaultSubtotal="0"/>
    <pivotField compact="0" outline="0" showAll="0" defaultSubtotal="0"/>
    <pivotField compact="0" outline="0" subtotalTop="0" showAll="0"/>
    <pivotField compact="0" outline="0" subtotalTop="0" showAll="0"/>
    <pivotField compact="0" outline="0" subtotalTop="0" showAll="0"/>
    <pivotField compact="0" numFmtId="9"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dataField="1" compact="0" numFmtId="1" outline="0" showAll="0" defaultSubtotal="0"/>
    <pivotField compact="0" outline="0" subtotalTop="0" showAll="0"/>
    <pivotField compact="0" outline="0" subtotalTop="0" showAll="0"/>
    <pivotField compact="0" outline="0" subtotalTop="0" showAll="0"/>
    <pivotField compact="0" outline="0" subtotalTop="0" showAll="0"/>
    <pivotField compact="0" outline="0" subtotalTop="0" showAll="0"/>
    <pivotField compact="0" numFmtId="1" outline="0" showAll="0" defaultSubtotal="0"/>
    <pivotField compact="0" numFmtId="1" outline="0" subtotalTop="0" showAll="0"/>
    <pivotField compact="0" numFmtId="1" outline="0" showAll="0" defaultSubtotal="0"/>
    <pivotField compact="0" numFmtId="1" outline="0" showAll="0"/>
    <pivotField compact="0" outline="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showAll="0">
      <items count="5">
        <item x="0"/>
        <item x="1"/>
        <item m="1" x="2"/>
        <item m="1" x="3"/>
        <item t="default"/>
      </items>
    </pivotField>
    <pivotField compact="0" outline="0" subtotalTop="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0"/>
  </rowFields>
  <rowItems count="1">
    <i t="grand">
      <x/>
    </i>
  </rowItems>
  <colFields count="1">
    <field x="-2"/>
  </colFields>
  <colItems count="4">
    <i>
      <x/>
    </i>
    <i i="1">
      <x v="1"/>
    </i>
    <i i="2">
      <x v="2"/>
    </i>
    <i i="3">
      <x v="3"/>
    </i>
  </colItems>
  <pageFields count="3">
    <pageField fld="121" item="0" hier="-1"/>
    <pageField fld="4" hier="-1"/>
    <pageField fld="6" hier="-1"/>
  </pageFields>
  <dataFields count="4">
    <dataField name="Total Population reached" fld="9" baseField="2" baseItem="0" numFmtId="3"/>
    <dataField name=" HRP1" fld="83" baseField="0" baseItem="9"/>
    <dataField name=" HRP2" fld="91" baseField="0" baseItem="9"/>
    <dataField name=" HRP3" fld="102" baseField="0" baseItem="9"/>
  </dataFields>
  <formats count="16">
    <format dxfId="1311">
      <pivotArea field="4" type="button" dataOnly="0" labelOnly="1" outline="0" axis="axisPage" fieldPosition="1"/>
    </format>
    <format dxfId="1310">
      <pivotArea type="all" dataOnly="0" outline="0" fieldPosition="0"/>
    </format>
    <format dxfId="1309">
      <pivotArea field="4" type="button" dataOnly="0" labelOnly="1" outline="0" axis="axisPage" fieldPosition="1"/>
    </format>
    <format dxfId="1308">
      <pivotArea outline="0" fieldPosition="0">
        <references count="1">
          <reference field="4294967294" count="1">
            <x v="0"/>
          </reference>
        </references>
      </pivotArea>
    </format>
    <format dxfId="1307">
      <pivotArea dataOnly="0" labelOnly="1" outline="0" fieldPosition="0">
        <references count="1">
          <reference field="4294967294" count="1">
            <x v="0"/>
          </reference>
        </references>
      </pivotArea>
    </format>
    <format dxfId="1306">
      <pivotArea type="all" dataOnly="0" outline="0" fieldPosition="0"/>
    </format>
    <format dxfId="1305">
      <pivotArea outline="0" collapsedLevelsAreSubtotals="1" fieldPosition="0"/>
    </format>
    <format dxfId="1304">
      <pivotArea dataOnly="0" labelOnly="1" fieldPosition="0">
        <references count="1">
          <reference field="4" count="0"/>
        </references>
      </pivotArea>
    </format>
    <format dxfId="1303">
      <pivotArea dataOnly="0" labelOnly="1" grandRow="1" outline="0" fieldPosition="0"/>
    </format>
    <format dxfId="1302">
      <pivotArea dataOnly="0" labelOnly="1" outline="0" fieldPosition="0">
        <references count="1">
          <reference field="4294967294" count="1">
            <x v="0"/>
          </reference>
        </references>
      </pivotArea>
    </format>
    <format dxfId="1301">
      <pivotArea type="all" dataOnly="0" outline="0" fieldPosition="0"/>
    </format>
    <format dxfId="1300">
      <pivotArea outline="0" collapsedLevelsAreSubtotals="1" fieldPosition="0"/>
    </format>
    <format dxfId="1299">
      <pivotArea dataOnly="0" labelOnly="1" fieldPosition="0">
        <references count="1">
          <reference field="4" count="0"/>
        </references>
      </pivotArea>
    </format>
    <format dxfId="1298">
      <pivotArea dataOnly="0" labelOnly="1" grandRow="1" outline="0" fieldPosition="0"/>
    </format>
    <format dxfId="1297">
      <pivotArea dataOnly="0" labelOnly="1" outline="0" fieldPosition="0">
        <references count="1">
          <reference field="4294967294" count="1">
            <x v="0"/>
          </reference>
        </references>
      </pivotArea>
    </format>
    <format dxfId="1296">
      <pivotArea dataOnly="0" labelOnly="1" outline="0" fieldPosition="0">
        <references count="1">
          <reference field="4294967294" count="1">
            <x v="1"/>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4E1403AB-28F9-407C-BE88-42CFDBE1D302}" name="PivotTable17" cacheId="0" dataOnRows="1" applyNumberFormats="0" applyBorderFormats="0" applyFontFormats="0" applyPatternFormats="0" applyAlignmentFormats="0" applyWidthHeightFormats="1" dataCaption="Values" updatedVersion="6" minRefreshableVersion="3" colGrandTotals="0" itemPrintTitles="1" createdVersion="6" indent="0" showHeaders="0" outline="1" outlineData="1" multipleFieldFilters="0">
  <location ref="AL129:AM130" firstHeaderRow="0" firstDataRow="0" firstDataCol="1" rowPageCount="4" colPageCount="1"/>
  <pivotFields count="131">
    <pivotField axis="axisPage" subtotalTop="0" showAll="0">
      <items count="12">
        <item m="1" x="9"/>
        <item m="1" x="4"/>
        <item m="1" x="1"/>
        <item m="1" x="3"/>
        <item m="1" x="10"/>
        <item m="1" x="2"/>
        <item m="1" x="8"/>
        <item m="1" x="5"/>
        <item m="1" x="6"/>
        <item m="1" x="7"/>
        <item x="0"/>
        <item t="default"/>
      </items>
    </pivotField>
    <pivotField showAll="0" defaultSubtotal="0"/>
    <pivotField showAll="0" defaultSubtotal="0"/>
    <pivotField subtotalTop="0" showAll="0"/>
    <pivotField axis="axisPage" subtotalTop="0" multipleItemSelectionAllowed="1" showAll="0">
      <items count="7">
        <item h="1" x="0"/>
        <item m="1" x="5"/>
        <item h="1" x="3"/>
        <item m="1" x="4"/>
        <item x="1"/>
        <item x="2"/>
        <item t="default"/>
      </items>
    </pivotField>
    <pivotField subtotalTop="0" showAll="0"/>
    <pivotField axis="axisPage" multipleItemSelectionAllowed="1" showAll="0" defaultSubtotal="0">
      <items count="10">
        <item h="1" x="1"/>
        <item h="1" x="0"/>
        <item m="1" x="9"/>
        <item h="1" x="2"/>
        <item h="1" x="4"/>
        <item h="1" m="1" x="6"/>
        <item m="1" x="8"/>
        <item m="1" x="5"/>
        <item h="1" m="1" x="7"/>
        <item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numFmtId="9" subtotalTop="0" showAll="0"/>
    <pivotField subtotalTop="0" showAll="0"/>
    <pivotField showAll="0" defaultSubtotal="0"/>
    <pivotField showAll="0"/>
    <pivotField subtotalTop="0" showAll="0"/>
    <pivotField showAll="0" defaultSubtotal="0"/>
    <pivotField showAll="0" defaultSubtotal="0"/>
    <pivotField subtotalTop="0" showAll="0"/>
    <pivotField subtotalTop="0" showAll="0"/>
    <pivotField showAll="0" defaultSubtotal="0"/>
    <pivotField subtotalTop="0" showAll="0"/>
    <pivotField numFmtId="1" subtotalTop="0" showAll="0"/>
    <pivotField numFmtId="1" showAll="0" defaultSubtotal="0"/>
    <pivotField numFmtId="9" showAll="0"/>
    <pivotField dataField="1" numFmtId="1" showAll="0" defaultSubtotal="0"/>
    <pivotField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dataField="1" numFmtId="1" showAll="0" defaultSubtotal="0"/>
    <pivotField subtotalTop="0" showAll="0"/>
    <pivotField subtotalTop="0" showAll="0"/>
    <pivotField subtotalTop="0" showAll="0"/>
    <pivotField subtotalTop="0" showAll="0"/>
    <pivotField subtotalTop="0" showAll="0"/>
    <pivotField numFmtId="1" showAll="0" defaultSubtotal="0"/>
    <pivotField numFmtId="1"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2"/>
        <item m="1" x="3"/>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2">
    <i>
      <x/>
    </i>
    <i i="1">
      <x v="1"/>
    </i>
  </rowItems>
  <colItems count="1">
    <i/>
  </colItems>
  <pageFields count="4">
    <pageField fld="0" item="10" hier="-1"/>
    <pageField fld="121" item="0" hier="-1"/>
    <pageField fld="4" hier="-1"/>
    <pageField fld="6" hier="-1"/>
  </pageFields>
  <dataFields count="2">
    <dataField name=" HRP2" fld="91" baseField="0" baseItem="0"/>
    <dataField name=" HRP3" fld="102" baseField="0" baseItem="0"/>
  </dataFields>
  <formats count="13">
    <format dxfId="1324">
      <pivotArea field="4" type="button" dataOnly="0" labelOnly="1" outline="0" axis="axisPage" fieldPosition="2"/>
    </format>
    <format dxfId="1323">
      <pivotArea type="all" dataOnly="0" outline="0" fieldPosition="0"/>
    </format>
    <format dxfId="1322">
      <pivotArea field="4" type="button" dataOnly="0" labelOnly="1" outline="0" axis="axisPage" fieldPosition="2"/>
    </format>
    <format dxfId="1321">
      <pivotArea type="all" dataOnly="0" outline="0" fieldPosition="0"/>
    </format>
    <format dxfId="1320">
      <pivotArea outline="0" collapsedLevelsAreSubtotals="1" fieldPosition="0"/>
    </format>
    <format dxfId="1319">
      <pivotArea dataOnly="0" labelOnly="1" grandRow="1" outline="0" fieldPosition="0"/>
    </format>
    <format dxfId="1318">
      <pivotArea type="all" dataOnly="0" outline="0" fieldPosition="0"/>
    </format>
    <format dxfId="1317">
      <pivotArea outline="0" collapsedLevelsAreSubtotals="1" fieldPosition="0"/>
    </format>
    <format dxfId="1316">
      <pivotArea dataOnly="0" labelOnly="1" grandRow="1" outline="0" fieldPosition="0"/>
    </format>
    <format dxfId="1315">
      <pivotArea dataOnly="0" labelOnly="1" outline="0" fieldPosition="0">
        <references count="1">
          <reference field="4294967294" count="1">
            <x v="1"/>
          </reference>
        </references>
      </pivotArea>
    </format>
    <format dxfId="1314">
      <pivotArea collapsedLevelsAreSubtotals="1" fieldPosition="0">
        <references count="1">
          <reference field="4294967294" count="1">
            <x v="0"/>
          </reference>
        </references>
      </pivotArea>
    </format>
    <format dxfId="1313">
      <pivotArea dataOnly="0" labelOnly="1" outline="0" fieldPosition="0">
        <references count="1">
          <reference field="4294967294" count="1">
            <x v="0"/>
          </reference>
        </references>
      </pivotArea>
    </format>
    <format dxfId="1312">
      <pivotArea collapsedLevelsAreSubtotals="1" fieldPosition="0">
        <references count="1">
          <reference field="4294967294" count="1">
            <x v="1"/>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8F315799-61F1-4D5F-97DF-F99E196AC441}" name="PivotTable19" cacheId="0" applyNumberFormats="0" applyBorderFormats="0" applyFontFormats="0" applyPatternFormats="0" applyAlignmentFormats="0" applyWidthHeightFormats="1" dataCaption="Values" updatedVersion="6" minRefreshableVersion="3" rowGrandTotals="0" colGrandTotals="0" itemPrintTitles="1" createdVersion="6" indent="0" compact="0" compactData="0" multipleFieldFilters="0" rowHeaderCaption="Township">
  <location ref="A7:B33" firstHeaderRow="1" firstDataRow="1" firstDataCol="2" rowPageCount="4" colPageCount="1"/>
  <pivotFields count="131">
    <pivotField axis="axisPage" compact="0" outline="0" subtotalTop="0" multipleItemSelectionAllowed="1" showAll="0" defaultSubtotal="0">
      <items count="11">
        <item m="1" x="9"/>
        <item m="1" x="3"/>
        <item h="1" m="1" x="4"/>
        <item m="1" x="1"/>
        <item m="1" x="10"/>
        <item m="1" x="2"/>
        <item m="1" x="8"/>
        <item h="1" m="1" x="5"/>
        <item h="1" m="1" x="6"/>
        <item m="1" x="7"/>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2">
        <item x="17"/>
        <item x="14"/>
        <item x="22"/>
        <item x="20"/>
        <item x="16"/>
        <item x="4"/>
        <item x="8"/>
        <item x="3"/>
        <item x="12"/>
        <item x="23"/>
        <item x="1"/>
        <item x="6"/>
        <item x="10"/>
        <item x="28"/>
        <item x="2"/>
        <item x="18"/>
        <item x="15"/>
        <item x="19"/>
        <item x="21"/>
        <item x="9"/>
        <item x="38"/>
        <item x="5"/>
        <item x="0"/>
        <item x="11"/>
        <item x="13"/>
        <item x="7"/>
        <item x="33"/>
        <item x="29"/>
        <item m="1" x="41"/>
        <item m="1" x="40"/>
        <item x="24"/>
        <item x="34"/>
        <item x="27"/>
        <item x="32"/>
        <item x="25"/>
        <item m="1" x="39"/>
        <item x="26"/>
        <item x="30"/>
        <item x="31"/>
        <item x="35"/>
        <item x="36"/>
        <item x="37"/>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Page" compact="0" outline="0" subtotalTop="0" multipleItemSelectionAllowed="1" showAll="0" defaultSubtotal="0">
      <items count="6">
        <item h="1" x="0"/>
        <item h="1" m="1" x="5"/>
        <item h="1" x="3"/>
        <item h="1" m="1" x="4"/>
        <item x="1"/>
        <item x="2"/>
      </items>
      <extLst>
        <ext xmlns:x14="http://schemas.microsoft.com/office/spreadsheetml/2009/9/main" uri="{2946ED86-A175-432a-8AC1-64E0C546D7DE}">
          <x14:pivotField fillDownLabels="1"/>
        </ext>
      </extLst>
    </pivotField>
    <pivotField axis="axisRow" compact="0" outline="0" subtotalTop="0" showAll="0" sortType="ascending" defaultSubtotal="0">
      <items count="41">
        <item m="1" x="36"/>
        <item x="0"/>
        <item x="14"/>
        <item m="1" x="38"/>
        <item x="5"/>
        <item x="6"/>
        <item x="30"/>
        <item x="27"/>
        <item x="24"/>
        <item x="17"/>
        <item x="16"/>
        <item m="1" x="35"/>
        <item m="1" x="39"/>
        <item x="9"/>
        <item x="28"/>
        <item x="15"/>
        <item x="19"/>
        <item x="7"/>
        <item x="8"/>
        <item m="1" x="32"/>
        <item x="1"/>
        <item x="22"/>
        <item x="25"/>
        <item x="20"/>
        <item x="3"/>
        <item m="1" x="37"/>
        <item x="29"/>
        <item x="26"/>
        <item m="1" x="33"/>
        <item m="1" x="34"/>
        <item x="13"/>
        <item x="23"/>
        <item x="10"/>
        <item m="1" x="40"/>
        <item x="21"/>
        <item x="4"/>
        <item x="18"/>
        <item x="11"/>
        <item x="12"/>
        <item x="2"/>
        <item m="1" x="31"/>
      </items>
      <extLst>
        <ext xmlns:x14="http://schemas.microsoft.com/office/spreadsheetml/2009/9/main" uri="{2946ED86-A175-432a-8AC1-64E0C546D7DE}">
          <x14:pivotField fillDownLabels="1"/>
        </ext>
      </extLst>
    </pivotField>
    <pivotField axis="axisPage" compact="0" outline="0" multipleItemSelectionAllowed="1" showAll="0" defaultSubtotal="0">
      <items count="10">
        <item h="1" x="1"/>
        <item h="1" x="0"/>
        <item m="1" x="9"/>
        <item m="1" x="6"/>
        <item h="1" m="1" x="5"/>
        <item h="1" x="2"/>
        <item h="1" m="1" x="8"/>
        <item h="1" x="4"/>
        <item m="1" x="7"/>
        <item x="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Page" compact="0" outline="0" subtotalTop="0" showAll="0" defaultSubtotal="0">
      <items count="4">
        <item x="0"/>
        <item x="1"/>
        <item m="1" x="3"/>
        <item m="1" x="2"/>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s>
  <rowFields count="2">
    <field x="5"/>
    <field x="2"/>
  </rowFields>
  <rowItems count="26">
    <i>
      <x v="2"/>
      <x v="12"/>
    </i>
    <i r="1">
      <x v="23"/>
    </i>
    <i r="1">
      <x v="26"/>
    </i>
    <i>
      <x v="10"/>
      <x v="23"/>
    </i>
    <i r="1">
      <x v="34"/>
    </i>
    <i r="1">
      <x v="38"/>
    </i>
    <i>
      <x v="16"/>
      <x/>
    </i>
    <i r="1">
      <x v="27"/>
    </i>
    <i r="1">
      <x v="34"/>
    </i>
    <i r="1">
      <x v="37"/>
    </i>
    <i>
      <x v="21"/>
      <x v="13"/>
    </i>
    <i r="1">
      <x v="30"/>
    </i>
    <i r="1">
      <x v="32"/>
    </i>
    <i r="1">
      <x v="34"/>
    </i>
    <i r="1">
      <x v="36"/>
    </i>
    <i r="1">
      <x v="40"/>
    </i>
    <i r="1">
      <x v="41"/>
    </i>
    <i>
      <x v="31"/>
      <x v="13"/>
    </i>
    <i r="1">
      <x v="23"/>
    </i>
    <i r="1">
      <x v="30"/>
    </i>
    <i r="1">
      <x v="33"/>
    </i>
    <i r="1">
      <x v="38"/>
    </i>
    <i>
      <x v="34"/>
      <x v="30"/>
    </i>
    <i r="1">
      <x v="31"/>
    </i>
    <i r="1">
      <x v="38"/>
    </i>
    <i r="1">
      <x v="39"/>
    </i>
  </rowItems>
  <colItems count="1">
    <i/>
  </colItems>
  <pageFields count="4">
    <pageField fld="0" hier="-1"/>
    <pageField fld="121" item="0" hier="-1"/>
    <pageField fld="6" hier="-1"/>
    <pageField fld="4" hier="-1"/>
  </pageFields>
  <formats count="28">
    <format dxfId="958">
      <pivotArea type="all" dataOnly="0" outline="0" fieldPosition="0"/>
    </format>
    <format dxfId="957">
      <pivotArea outline="0" collapsedLevelsAreSubtotals="1" fieldPosition="0"/>
    </format>
    <format dxfId="956">
      <pivotArea field="5" type="button" dataOnly="0" labelOnly="1" outline="0" axis="axisRow" fieldPosition="0"/>
    </format>
    <format dxfId="955">
      <pivotArea dataOnly="0" labelOnly="1" outline="0" axis="axisValues" fieldPosition="0"/>
    </format>
    <format dxfId="954">
      <pivotArea dataOnly="0" labelOnly="1" fieldPosition="0">
        <references count="1">
          <reference field="5" count="0"/>
        </references>
      </pivotArea>
    </format>
    <format dxfId="953">
      <pivotArea dataOnly="0" labelOnly="1" grandRow="1" outline="0" fieldPosition="0"/>
    </format>
    <format dxfId="952">
      <pivotArea dataOnly="0" labelOnly="1" outline="0" axis="axisValues" fieldPosition="0"/>
    </format>
    <format dxfId="951">
      <pivotArea type="all" dataOnly="0" outline="0" fieldPosition="0"/>
    </format>
    <format dxfId="950">
      <pivotArea field="5" type="button" dataOnly="0" labelOnly="1" outline="0" axis="axisRow" fieldPosition="0"/>
    </format>
    <format dxfId="949">
      <pivotArea dataOnly="0" labelOnly="1" outline="0" axis="axisValues" fieldPosition="0"/>
    </format>
    <format dxfId="948">
      <pivotArea dataOnly="0" labelOnly="1" fieldPosition="0">
        <references count="1">
          <reference field="5" count="0"/>
        </references>
      </pivotArea>
    </format>
    <format dxfId="947">
      <pivotArea dataOnly="0" labelOnly="1" outline="0" axis="axisValues" fieldPosition="0"/>
    </format>
    <format dxfId="946">
      <pivotArea field="5" type="button" dataOnly="0" labelOnly="1" outline="0" axis="axisRow" fieldPosition="0"/>
    </format>
    <format dxfId="945">
      <pivotArea type="all" dataOnly="0" outline="0" fieldPosition="0"/>
    </format>
    <format dxfId="944">
      <pivotArea field="5" type="button" dataOnly="0" labelOnly="1" outline="0" axis="axisRow" fieldPosition="0"/>
    </format>
    <format dxfId="943">
      <pivotArea dataOnly="0" labelOnly="1" fieldPosition="0">
        <references count="1">
          <reference field="5" count="0"/>
        </references>
      </pivotArea>
    </format>
    <format dxfId="942">
      <pivotArea type="all" dataOnly="0" outline="0" fieldPosition="0"/>
    </format>
    <format dxfId="941">
      <pivotArea outline="0" collapsedLevelsAreSubtotals="1" fieldPosition="0"/>
    </format>
    <format dxfId="940">
      <pivotArea field="5" type="button" dataOnly="0" labelOnly="1" outline="0" axis="axisRow" fieldPosition="0"/>
    </format>
    <format dxfId="939">
      <pivotArea dataOnly="0" labelOnly="1" fieldPosition="0">
        <references count="1">
          <reference field="5" count="0"/>
        </references>
      </pivotArea>
    </format>
    <format dxfId="938">
      <pivotArea field="5" type="button" dataOnly="0" labelOnly="1" outline="0" axis="axisRow" fieldPosition="0"/>
    </format>
    <format dxfId="937">
      <pivotArea type="all" dataOnly="0" outline="0" fieldPosition="0"/>
    </format>
    <format dxfId="936">
      <pivotArea outline="0" collapsedLevelsAreSubtotals="1" fieldPosition="0"/>
    </format>
    <format dxfId="935">
      <pivotArea field="5" type="button" dataOnly="0" labelOnly="1" outline="0" axis="axisRow" fieldPosition="0"/>
    </format>
    <format dxfId="934">
      <pivotArea dataOnly="0" labelOnly="1" fieldPosition="0">
        <references count="1">
          <reference field="5" count="13">
            <x v="1"/>
            <x v="4"/>
            <x v="5"/>
            <x v="13"/>
            <x v="17"/>
            <x v="18"/>
            <x v="20"/>
            <x v="24"/>
            <x v="32"/>
            <x v="35"/>
            <x v="37"/>
            <x v="38"/>
            <x v="39"/>
          </reference>
        </references>
      </pivotArea>
    </format>
    <format dxfId="933">
      <pivotArea dataOnly="0" labelOnly="1" grandRow="1" outline="0" fieldPosition="0"/>
    </format>
    <format dxfId="932">
      <pivotArea field="4" type="button" dataOnly="0" labelOnly="1" outline="0" axis="axisPage" fieldPosition="3"/>
    </format>
    <format dxfId="931">
      <pivotArea dataOnly="0" labelOnly="1" outline="0" fieldPosition="0">
        <references count="2">
          <reference field="4" count="1">
            <x v="0"/>
          </reference>
          <reference field="121" count="1" selected="0">
            <x v="0"/>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0000000-0007-0000-0800-000018000000}" name="R_water1"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1">
  <location ref="I50:K52" firstHeaderRow="0" firstDataRow="1" firstDataCol="1" rowPageCount="3" colPageCount="1"/>
  <pivotFields count="131">
    <pivotField axis="axisPage" subtotalTop="0" multipleItemSelectionAllowed="1" showAll="0">
      <items count="12">
        <item m="1" x="9"/>
        <item m="1" x="3"/>
        <item h="1" m="1" x="4"/>
        <item h="1" m="1" x="1"/>
        <item m="1" x="10"/>
        <item m="1" x="2"/>
        <item h="1" m="1" x="8"/>
        <item h="1" m="1" x="5"/>
        <item h="1" m="1" x="6"/>
        <item m="1" x="7"/>
        <item x="0"/>
        <item t="default"/>
      </items>
    </pivotField>
    <pivotField showAll="0" defaultSubtotal="0"/>
    <pivotField showAll="0" defaultSubtotal="0"/>
    <pivotField subtotalTop="0" showAll="0"/>
    <pivotField axis="axisPage" subtotalTop="0" multipleItemSelectionAllowed="1" showAll="0">
      <items count="7">
        <item h="1" x="0"/>
        <item m="1" x="5"/>
        <item h="1" x="3"/>
        <item m="1" x="4"/>
        <item x="1"/>
        <item x="2"/>
        <item t="default"/>
      </items>
    </pivotField>
    <pivotField subtotalTop="0" showAll="0"/>
    <pivotField axis="axisRow" multipleItemSelectionAllowed="1" showAll="0" defaultSubtotal="0">
      <items count="10">
        <item x="1"/>
        <item x="0"/>
        <item h="1" m="1" x="9"/>
        <item m="1" x="6"/>
        <item h="1" m="1" x="5"/>
        <item x="2"/>
        <item h="1" m="1" x="8"/>
        <item h="1" x="4"/>
        <item h="1" m="1" x="7"/>
        <item h="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dataField="1" subtotalTop="0" showAll="0"/>
    <pivotField numFmtId="9" subtotalTop="0" showAll="0"/>
    <pivotField showAll="0" defaultSubtotal="0"/>
    <pivotField dataField="1"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i>
    <i>
      <x v="5"/>
    </i>
  </rowItems>
  <colFields count="1">
    <field x="-2"/>
  </colFields>
  <colItems count="2">
    <i>
      <x/>
    </i>
    <i i="1">
      <x v="1"/>
    </i>
  </colItems>
  <pageFields count="3">
    <pageField fld="0" hier="-1"/>
    <pageField fld="4" hier="-1"/>
    <pageField fld="121" hier="-1"/>
  </pageFields>
  <dataFields count="2">
    <dataField name="Coverage" fld="84" baseField="77" baseItem="1" numFmtId="1"/>
    <dataField name="Gap" fld="87" baseField="77" baseItem="1" numFmtId="1"/>
  </dataFields>
  <formats count="11">
    <format dxfId="139">
      <pivotArea type="all" dataOnly="0" outline="0" fieldPosition="0"/>
    </format>
    <format dxfId="138">
      <pivotArea outline="0" collapsedLevelsAreSubtotals="1" fieldPosition="0"/>
    </format>
    <format dxfId="137">
      <pivotArea type="all" dataOnly="0" outline="0" fieldPosition="0"/>
    </format>
    <format dxfId="136">
      <pivotArea dataOnly="0" labelOnly="1" outline="0" fieldPosition="0">
        <references count="1">
          <reference field="4294967294" count="2">
            <x v="0"/>
            <x v="1"/>
          </reference>
        </references>
      </pivotArea>
    </format>
    <format dxfId="135">
      <pivotArea outline="0" fieldPosition="0">
        <references count="1">
          <reference field="4294967294" count="1">
            <x v="0"/>
          </reference>
        </references>
      </pivotArea>
    </format>
    <format dxfId="134">
      <pivotArea outline="0" fieldPosition="0">
        <references count="1">
          <reference field="4294967294" count="1">
            <x v="1"/>
          </reference>
        </references>
      </pivotArea>
    </format>
    <format dxfId="133">
      <pivotArea type="all" dataOnly="0" outline="0" fieldPosition="0"/>
    </format>
    <format dxfId="132">
      <pivotArea outline="0" collapsedLevelsAreSubtotals="1" fieldPosition="0"/>
    </format>
    <format dxfId="131">
      <pivotArea dataOnly="0" labelOnly="1" outline="0" fieldPosition="0">
        <references count="1">
          <reference field="4294967294" count="2">
            <x v="0"/>
            <x v="1"/>
          </reference>
        </references>
      </pivotArea>
    </format>
    <format dxfId="130">
      <pivotArea field="4" type="button" dataOnly="0" labelOnly="1" outline="0" axis="axisPage" fieldPosition="1"/>
    </format>
    <format dxfId="129">
      <pivotArea dataOnly="0" labelOnly="1" outline="0" fieldPosition="0">
        <references count="1">
          <reference field="4" count="1">
            <x v="1"/>
          </reference>
        </references>
      </pivotArea>
    </format>
  </formats>
  <chartFormats count="4">
    <chartFormat chart="7" format="0" series="1">
      <pivotArea type="data" outline="0" fieldPosition="0">
        <references count="1">
          <reference field="4294967294" count="1" selected="0">
            <x v="0"/>
          </reference>
        </references>
      </pivotArea>
    </chartFormat>
    <chartFormat chart="7" format="1" series="1">
      <pivotArea type="data" outline="0" fieldPosition="0">
        <references count="1">
          <reference field="4294967294" count="1" selected="0">
            <x v="1"/>
          </reference>
        </references>
      </pivotArea>
    </chartFormat>
    <chartFormat chart="15" format="8" series="1">
      <pivotArea type="data" outline="0" fieldPosition="0">
        <references count="1">
          <reference field="4294967294" count="1" selected="0">
            <x v="0"/>
          </reference>
        </references>
      </pivotArea>
    </chartFormat>
    <chartFormat chart="15" format="9" series="1">
      <pivotArea type="data" outline="0" fieldPosition="0">
        <references count="1">
          <reference field="4294967294"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151C6980-6BA9-4E3C-BE77-C2AC8244590C}" name="PivotTable4" cacheId="0"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267:D268" firstHeaderRow="0" firstDataRow="1" firstDataCol="0" rowPageCount="4" colPageCount="1"/>
  <pivotFields count="131">
    <pivotField axis="axisPage" subtotalTop="0" multipleItemSelectionAllowed="1" showAll="0">
      <items count="12">
        <item h="1" m="1" x="9"/>
        <item m="1" x="3"/>
        <item m="1" x="10"/>
        <item h="1" m="1" x="4"/>
        <item m="1" x="2"/>
        <item h="1" m="1" x="1"/>
        <item h="1" m="1" x="8"/>
        <item h="1" m="1" x="5"/>
        <item h="1" m="1" x="6"/>
        <item m="1" x="7"/>
        <item x="0"/>
        <item t="default"/>
      </items>
    </pivotField>
    <pivotField showAll="0" defaultSubtotal="0"/>
    <pivotField showAll="0" defaultSubtotal="0"/>
    <pivotField subtotalTop="0" showAll="0"/>
    <pivotField axis="axisPage" subtotalTop="0" multipleItemSelectionAllowed="1" showAll="0">
      <items count="7">
        <item h="1" x="0"/>
        <item m="1" x="5"/>
        <item h="1" x="3"/>
        <item m="1" x="4"/>
        <item x="1"/>
        <item x="2"/>
        <item t="default"/>
      </items>
    </pivotField>
    <pivotField subtotalTop="0" showAll="0"/>
    <pivotField axis="axisPage" multipleItemSelectionAllowed="1" showAll="0" defaultSubtotal="0">
      <items count="10">
        <item h="1" x="1"/>
        <item h="1" x="0"/>
        <item m="1" x="9"/>
        <item x="3"/>
        <item m="1" x="6"/>
        <item m="1" x="5"/>
        <item h="1" x="2"/>
        <item m="1" x="8"/>
        <item h="1" x="4"/>
        <item m="1" x="7"/>
      </items>
    </pivotField>
    <pivotField subtotalTop="0" showAll="0"/>
    <pivotField dataField="1"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numFmtId="9" subtotalTop="0"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1" showAll="0" defaultSubtotal="0"/>
    <pivotField numFmtId="9" showAll="0"/>
    <pivotField numFmtId="1" showAll="0" defaultSubtotal="0"/>
    <pivotField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3">
    <i>
      <x/>
    </i>
    <i i="1">
      <x v="1"/>
    </i>
    <i i="2">
      <x v="2"/>
    </i>
  </colItems>
  <pageFields count="4">
    <pageField fld="0" hier="-1"/>
    <pageField fld="121" item="0" hier="-1"/>
    <pageField fld="6" hier="-1"/>
    <pageField fld="4" hier="-1"/>
  </pageFields>
  <dataFields count="3">
    <dataField name="Sum of Total HH" fld="8" baseField="2" baseItem="0" numFmtId="3"/>
    <dataField name="Sum of #_households that received standard amount of soap for this quarter" fld="62" baseField="0" baseItem="0"/>
    <dataField name="Sum of #_households that received standard amount of sanitary pads for this quarter" fld="63" baseField="0" baseItem="0"/>
  </dataFields>
  <formats count="14">
    <format dxfId="153">
      <pivotArea type="all" dataOnly="0" outline="0" fieldPosition="0"/>
    </format>
    <format dxfId="152">
      <pivotArea type="all" dataOnly="0" outline="0" fieldPosition="0"/>
    </format>
    <format dxfId="151">
      <pivotArea outline="0" collapsedLevelsAreSubtotals="1" fieldPosition="0"/>
    </format>
    <format dxfId="150">
      <pivotArea field="4" type="button" dataOnly="0" labelOnly="1" outline="0" axis="axisPage" fieldPosition="3"/>
    </format>
    <format dxfId="149">
      <pivotArea dataOnly="0" labelOnly="1" fieldPosition="0">
        <references count="1">
          <reference field="4" count="0"/>
        </references>
      </pivotArea>
    </format>
    <format dxfId="148">
      <pivotArea dataOnly="0" labelOnly="1" grandRow="1" outline="0" fieldPosition="0"/>
    </format>
    <format dxfId="147">
      <pivotArea dataOnly="0" labelOnly="1" outline="0" fieldPosition="0">
        <references count="1">
          <reference field="4294967294" count="1">
            <x v="0"/>
          </reference>
        </references>
      </pivotArea>
    </format>
    <format dxfId="146">
      <pivotArea outline="0" fieldPosition="0">
        <references count="1">
          <reference field="4294967294" count="1">
            <x v="0"/>
          </reference>
        </references>
      </pivotArea>
    </format>
    <format dxfId="145">
      <pivotArea type="all" dataOnly="0" outline="0" fieldPosition="0"/>
    </format>
    <format dxfId="144">
      <pivotArea outline="0" collapsedLevelsAreSubtotals="1" fieldPosition="0"/>
    </format>
    <format dxfId="143">
      <pivotArea field="4" type="button" dataOnly="0" labelOnly="1" outline="0" axis="axisPage" fieldPosition="3"/>
    </format>
    <format dxfId="142">
      <pivotArea dataOnly="0" labelOnly="1" fieldPosition="0">
        <references count="1">
          <reference field="4" count="0"/>
        </references>
      </pivotArea>
    </format>
    <format dxfId="141">
      <pivotArea dataOnly="0" labelOnly="1" grandRow="1" outline="0" fieldPosition="0"/>
    </format>
    <format dxfId="140">
      <pivotArea dataOnly="0" labelOnly="1" outline="0" fieldPosition="0">
        <references count="1">
          <reference field="4294967294" count="1">
            <x v="0"/>
          </reference>
        </references>
      </pivotArea>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0000000-0007-0000-0800-000016000000}" name="R_S_CG_V"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6" rowHeaderCaption="State" colHeaderCaption=" ">
  <location ref="J222:L230" firstHeaderRow="0" firstDataRow="1" firstDataCol="1" rowPageCount="4" colPageCount="1"/>
  <pivotFields count="131">
    <pivotField axis="axisPage" subtotalTop="0" showAll="0">
      <items count="12">
        <item m="1" x="9"/>
        <item m="1" x="3"/>
        <item m="1" x="4"/>
        <item m="1" x="1"/>
        <item m="1" x="10"/>
        <item m="1" x="2"/>
        <item m="1" x="8"/>
        <item m="1" x="5"/>
        <item m="1" x="6"/>
        <item m="1" x="7"/>
        <item x="0"/>
        <item t="default"/>
      </items>
    </pivotField>
    <pivotField showAll="0" defaultSubtotal="0"/>
    <pivotField showAll="0" defaultSubtotal="0"/>
    <pivotField subtotalTop="0" showAll="0"/>
    <pivotField axis="axisPage" subtotalTop="0" multipleItemSelectionAllowed="1" showAll="0">
      <items count="7">
        <item h="1" x="0"/>
        <item m="1" x="5"/>
        <item h="1" x="3"/>
        <item m="1" x="4"/>
        <item x="1"/>
        <item x="2"/>
        <item t="default"/>
      </items>
    </pivotField>
    <pivotField axis="axisRow" subtotalTop="0" showAll="0">
      <items count="42">
        <item m="1" x="36"/>
        <item x="0"/>
        <item x="14"/>
        <item x="5"/>
        <item x="6"/>
        <item x="30"/>
        <item x="27"/>
        <item x="24"/>
        <item x="17"/>
        <item x="16"/>
        <item m="1" x="35"/>
        <item m="1" x="39"/>
        <item x="9"/>
        <item x="28"/>
        <item x="15"/>
        <item x="19"/>
        <item x="7"/>
        <item x="8"/>
        <item x="1"/>
        <item x="22"/>
        <item x="25"/>
        <item x="20"/>
        <item x="3"/>
        <item m="1" x="37"/>
        <item x="29"/>
        <item x="26"/>
        <item m="1" x="34"/>
        <item x="13"/>
        <item x="23"/>
        <item x="10"/>
        <item m="1" x="40"/>
        <item x="21"/>
        <item x="4"/>
        <item x="18"/>
        <item x="11"/>
        <item x="12"/>
        <item x="2"/>
        <item m="1" x="32"/>
        <item m="1" x="33"/>
        <item m="1" x="31"/>
        <item m="1" x="38"/>
        <item t="default"/>
      </items>
    </pivotField>
    <pivotField axis="axisPage" multipleItemSelectionAllowed="1" showAll="0" defaultSubtotal="0">
      <items count="10">
        <item h="1" x="1"/>
        <item h="1" x="0"/>
        <item m="1" x="9"/>
        <item h="1" x="3"/>
        <item m="1" x="6"/>
        <item m="1" x="5"/>
        <item x="2"/>
        <item m="1" x="8"/>
        <item h="1" x="4"/>
        <item m="1" x="7"/>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s>
  <rowFields count="1">
    <field x="5"/>
  </rowFields>
  <rowItems count="8">
    <i>
      <x v="2"/>
    </i>
    <i>
      <x v="8"/>
    </i>
    <i>
      <x v="9"/>
    </i>
    <i>
      <x v="14"/>
    </i>
    <i>
      <x v="15"/>
    </i>
    <i>
      <x v="21"/>
    </i>
    <i>
      <x v="27"/>
    </i>
    <i>
      <x v="33"/>
    </i>
  </rowItems>
  <colFields count="1">
    <field x="-2"/>
  </colFields>
  <colItems count="2">
    <i>
      <x/>
    </i>
    <i i="1">
      <x v="1"/>
    </i>
  </colItems>
  <pageFields count="4">
    <pageField fld="0" item="10" hier="-1"/>
    <pageField fld="121" item="0" hier="-1"/>
    <pageField fld="4" hier="-1"/>
    <pageField fld="6" hier="-1"/>
  </pageFields>
  <dataFields count="2">
    <dataField name="  % Latrine Coverage" fld="129" baseField="0" baseItem="0" numFmtId="1"/>
    <dataField name="  % Latrine GAP" fld="130" baseField="0" baseItem="0" numFmtId="1"/>
  </dataFields>
  <formats count="12">
    <format dxfId="165">
      <pivotArea field="4" type="button" dataOnly="0" labelOnly="1" outline="0" axis="axisPage" fieldPosition="2"/>
    </format>
    <format dxfId="164">
      <pivotArea type="all" dataOnly="0" outline="0" fieldPosition="0"/>
    </format>
    <format dxfId="163">
      <pivotArea outline="0" collapsedLevelsAreSubtotals="1" fieldPosition="0"/>
    </format>
    <format dxfId="162">
      <pivotArea field="4" type="button" dataOnly="0" labelOnly="1" outline="0" axis="axisPage" fieldPosition="2"/>
    </format>
    <format dxfId="161">
      <pivotArea type="all" dataOnly="0" outline="0" fieldPosition="0"/>
    </format>
    <format dxfId="160">
      <pivotArea outline="0" collapsedLevelsAreSubtotals="1" fieldPosition="0"/>
    </format>
    <format dxfId="159">
      <pivotArea outline="0" collapsedLevelsAreSubtotals="1" fieldPosition="0"/>
    </format>
    <format dxfId="158">
      <pivotArea field="5" type="button" dataOnly="0" labelOnly="1" outline="0" axis="axisRow" fieldPosition="0"/>
    </format>
    <format dxfId="157">
      <pivotArea field="5" type="button" dataOnly="0" labelOnly="1" outline="0" axis="axisRow" fieldPosition="0"/>
    </format>
    <format dxfId="156">
      <pivotArea field="5" type="button" dataOnly="0" labelOnly="1" outline="0" axis="axisRow" fieldPosition="0"/>
    </format>
    <format dxfId="155">
      <pivotArea field="4" type="button" dataOnly="0" labelOnly="1" outline="0" axis="axisPage" fieldPosition="2"/>
    </format>
    <format dxfId="154">
      <pivotArea dataOnly="0" labelOnly="1" outline="0" fieldPosition="0">
        <references count="2">
          <reference field="4" count="1">
            <x v="1"/>
          </reference>
          <reference field="121" count="1" selected="0">
            <x v="0"/>
          </reference>
        </references>
      </pivotArea>
    </format>
  </formats>
  <chartFormats count="3">
    <chartFormat chart="43" format="3" series="1">
      <pivotArea type="data" outline="0" fieldPosition="0">
        <references count="1">
          <reference field="4294967294" count="1" selected="0">
            <x v="0"/>
          </reference>
        </references>
      </pivotArea>
    </chartFormat>
    <chartFormat chart="43" format="4" series="1">
      <pivotArea type="data" outline="0" fieldPosition="0">
        <references count="1">
          <reference field="4294967294" count="1" selected="0">
            <x v="1"/>
          </reference>
        </references>
      </pivotArea>
    </chartFormat>
    <chartFormat chart="43" format="5">
      <pivotArea type="data" outline="0" fieldPosition="0">
        <references count="2">
          <reference field="4294967294" count="1" selected="0">
            <x v="1"/>
          </reference>
          <reference field="5" count="1" selected="0">
            <x v="8"/>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00000000-0007-0000-0800-00001C000000}" name="S_S_CG_C"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51" rowHeaderCaption="State" colHeaderCaption=" ">
  <location ref="S222:U228" firstHeaderRow="0" firstDataRow="1" firstDataCol="1" rowPageCount="4" colPageCount="1"/>
  <pivotFields count="131">
    <pivotField axis="axisPage" subtotalTop="0" showAll="0">
      <items count="12">
        <item m="1" x="9"/>
        <item m="1" x="3"/>
        <item m="1" x="4"/>
        <item m="1" x="1"/>
        <item m="1" x="10"/>
        <item m="1" x="2"/>
        <item m="1" x="8"/>
        <item m="1" x="5"/>
        <item m="1" x="6"/>
        <item m="1" x="7"/>
        <item x="0"/>
        <item t="default"/>
      </items>
    </pivotField>
    <pivotField showAll="0" defaultSubtotal="0"/>
    <pivotField showAll="0" defaultSubtotal="0"/>
    <pivotField subtotalTop="0" showAll="0"/>
    <pivotField axis="axisPage" subtotalTop="0" multipleItemSelectionAllowed="1" showAll="0">
      <items count="7">
        <item h="1" x="0"/>
        <item m="1" x="5"/>
        <item h="1" x="3"/>
        <item m="1" x="4"/>
        <item x="1"/>
        <item x="2"/>
        <item t="default"/>
      </items>
    </pivotField>
    <pivotField axis="axisRow" subtotalTop="0" showAll="0">
      <items count="42">
        <item m="1" x="36"/>
        <item x="0"/>
        <item x="14"/>
        <item x="5"/>
        <item x="6"/>
        <item x="30"/>
        <item x="27"/>
        <item x="24"/>
        <item x="17"/>
        <item x="16"/>
        <item m="1" x="35"/>
        <item m="1" x="39"/>
        <item x="9"/>
        <item x="28"/>
        <item x="15"/>
        <item x="19"/>
        <item x="7"/>
        <item x="8"/>
        <item x="1"/>
        <item x="22"/>
        <item x="25"/>
        <item x="20"/>
        <item x="3"/>
        <item m="1" x="37"/>
        <item x="29"/>
        <item x="26"/>
        <item m="1" x="34"/>
        <item x="13"/>
        <item x="23"/>
        <item x="10"/>
        <item m="1" x="40"/>
        <item x="21"/>
        <item x="4"/>
        <item x="18"/>
        <item x="11"/>
        <item x="12"/>
        <item x="2"/>
        <item m="1" x="32"/>
        <item m="1" x="33"/>
        <item m="1" x="31"/>
        <item m="1" x="38"/>
        <item t="default"/>
      </items>
    </pivotField>
    <pivotField axis="axisPage" showAll="0" defaultSubtotal="0">
      <items count="10">
        <item x="1"/>
        <item x="0"/>
        <item m="1" x="9"/>
        <item x="3"/>
        <item m="1" x="6"/>
        <item m="1" x="5"/>
        <item x="2"/>
        <item m="1" x="8"/>
        <item x="4"/>
        <item m="1" x="7"/>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s>
  <rowFields count="1">
    <field x="5"/>
  </rowFields>
  <rowItems count="6">
    <i>
      <x v="2"/>
    </i>
    <i>
      <x v="9"/>
    </i>
    <i>
      <x v="15"/>
    </i>
    <i>
      <x v="19"/>
    </i>
    <i>
      <x v="28"/>
    </i>
    <i>
      <x v="31"/>
    </i>
  </rowItems>
  <colFields count="1">
    <field x="-2"/>
  </colFields>
  <colItems count="2">
    <i>
      <x/>
    </i>
    <i i="1">
      <x v="1"/>
    </i>
  </colItems>
  <pageFields count="4">
    <pageField fld="0" item="10" hier="-1"/>
    <pageField fld="121" item="0" hier="-1"/>
    <pageField fld="4" hier="-1"/>
    <pageField fld="6" item="3" hier="-1"/>
  </pageFields>
  <dataFields count="2">
    <dataField name="  % Latrine Coverage" fld="129" baseField="0" baseItem="0" numFmtId="1"/>
    <dataField name="  % Latrine GAP" fld="130" baseField="0" baseItem="0" numFmtId="1"/>
  </dataFields>
  <formats count="12">
    <format dxfId="177">
      <pivotArea field="4" type="button" dataOnly="0" labelOnly="1" outline="0" axis="axisPage" fieldPosition="2"/>
    </format>
    <format dxfId="176">
      <pivotArea type="all" dataOnly="0" outline="0" fieldPosition="0"/>
    </format>
    <format dxfId="175">
      <pivotArea outline="0" collapsedLevelsAreSubtotals="1" fieldPosition="0"/>
    </format>
    <format dxfId="174">
      <pivotArea field="4" type="button" dataOnly="0" labelOnly="1" outline="0" axis="axisPage" fieldPosition="2"/>
    </format>
    <format dxfId="173">
      <pivotArea type="all" dataOnly="0" outline="0" fieldPosition="0"/>
    </format>
    <format dxfId="172">
      <pivotArea outline="0" collapsedLevelsAreSubtotals="1" fieldPosition="0"/>
    </format>
    <format dxfId="171">
      <pivotArea outline="0" collapsedLevelsAreSubtotals="1" fieldPosition="0"/>
    </format>
    <format dxfId="170">
      <pivotArea field="5" type="button" dataOnly="0" labelOnly="1" outline="0" axis="axisRow" fieldPosition="0"/>
    </format>
    <format dxfId="169">
      <pivotArea field="5" type="button" dataOnly="0" labelOnly="1" outline="0" axis="axisRow" fieldPosition="0"/>
    </format>
    <format dxfId="168">
      <pivotArea field="5" type="button" dataOnly="0" labelOnly="1" outline="0" axis="axisRow" fieldPosition="0"/>
    </format>
    <format dxfId="167">
      <pivotArea field="4" type="button" dataOnly="0" labelOnly="1" outline="0" axis="axisPage" fieldPosition="2"/>
    </format>
    <format dxfId="166">
      <pivotArea dataOnly="0" labelOnly="1" outline="0" fieldPosition="0">
        <references count="2">
          <reference field="4" count="1">
            <x v="2"/>
          </reference>
          <reference field="121" count="1" selected="0">
            <x v="0"/>
          </reference>
        </references>
      </pivotArea>
    </format>
  </formats>
  <chartFormats count="2">
    <chartFormat chart="48" format="3" series="1">
      <pivotArea type="data" outline="0" fieldPosition="0">
        <references count="1">
          <reference field="4294967294" count="1" selected="0">
            <x v="0"/>
          </reference>
        </references>
      </pivotArea>
    </chartFormat>
    <chartFormat chart="48" format="4"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00000000-0007-0000-0800-000024000000}" name="W_Shan_C_G_C"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54" rowHeaderCaption="State" colHeaderCaption=" ">
  <location ref="V112:X118" firstHeaderRow="0" firstDataRow="1" firstDataCol="1" rowPageCount="4" colPageCount="1"/>
  <pivotFields count="131">
    <pivotField axis="axisPage" subtotalTop="0" multipleItemSelectionAllowed="1" showAll="0">
      <items count="12">
        <item m="1" x="9"/>
        <item m="1" x="3"/>
        <item h="1" m="1" x="4"/>
        <item h="1" m="1" x="1"/>
        <item m="1" x="10"/>
        <item m="1" x="2"/>
        <item h="1" m="1" x="8"/>
        <item h="1" m="1" x="5"/>
        <item h="1" m="1" x="6"/>
        <item m="1" x="7"/>
        <item x="0"/>
        <item t="default"/>
      </items>
    </pivotField>
    <pivotField showAll="0" defaultSubtotal="0"/>
    <pivotField showAll="0" defaultSubtotal="0"/>
    <pivotField subtotalTop="0" showAll="0"/>
    <pivotField axis="axisPage" subtotalTop="0" multipleItemSelectionAllowed="1" showAll="0">
      <items count="7">
        <item h="1" x="0"/>
        <item m="1" x="5"/>
        <item x="3"/>
        <item m="1" x="4"/>
        <item h="1" x="1"/>
        <item h="1" x="2"/>
        <item t="default"/>
      </items>
    </pivotField>
    <pivotField axis="axisRow" subtotalTop="0" showAll="0">
      <items count="42">
        <item m="1" x="36"/>
        <item x="0"/>
        <item x="14"/>
        <item x="5"/>
        <item x="6"/>
        <item x="30"/>
        <item x="27"/>
        <item x="24"/>
        <item x="17"/>
        <item x="16"/>
        <item m="1" x="35"/>
        <item m="1" x="39"/>
        <item x="9"/>
        <item x="28"/>
        <item x="15"/>
        <item x="19"/>
        <item x="7"/>
        <item x="8"/>
        <item x="1"/>
        <item x="22"/>
        <item x="25"/>
        <item x="20"/>
        <item x="3"/>
        <item m="1" x="37"/>
        <item x="29"/>
        <item x="26"/>
        <item m="1" x="34"/>
        <item x="13"/>
        <item x="23"/>
        <item x="10"/>
        <item m="1" x="40"/>
        <item x="21"/>
        <item x="4"/>
        <item x="18"/>
        <item x="11"/>
        <item x="12"/>
        <item x="2"/>
        <item m="1" x="32"/>
        <item m="1" x="33"/>
        <item m="1" x="31"/>
        <item m="1" x="38"/>
        <item t="default"/>
      </items>
    </pivotField>
    <pivotField axis="axisPage" multipleItemSelectionAllowed="1" showAll="0" defaultSubtotal="0">
      <items count="10">
        <item x="1"/>
        <item x="0"/>
        <item m="1" x="9"/>
        <item h="1" x="3"/>
        <item m="1" x="6"/>
        <item m="1" x="5"/>
        <item h="1" x="2"/>
        <item m="1" x="8"/>
        <item h="1" x="4"/>
        <item m="1" x="7"/>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s>
  <rowFields count="1">
    <field x="5"/>
  </rowFields>
  <rowItems count="6">
    <i>
      <x v="5"/>
    </i>
    <i>
      <x v="7"/>
    </i>
    <i>
      <x v="13"/>
    </i>
    <i>
      <x v="20"/>
    </i>
    <i>
      <x v="24"/>
    </i>
    <i>
      <x v="25"/>
    </i>
  </rowItems>
  <colFields count="1">
    <field x="-2"/>
  </colFields>
  <colItems count="2">
    <i>
      <x/>
    </i>
    <i i="1">
      <x v="1"/>
    </i>
  </colItems>
  <pageFields count="4">
    <pageField fld="0" hier="-1"/>
    <pageField fld="121" item="0" hier="-1"/>
    <pageField fld="4" hier="-1"/>
    <pageField fld="6" hier="-1"/>
  </pageFields>
  <dataFields count="2">
    <dataField name=" % Water Coverage" fld="127" baseField="0" baseItem="0"/>
    <dataField name=" % Water GAP" fld="128" baseField="0" baseItem="0"/>
  </dataFields>
  <formats count="12">
    <format dxfId="189">
      <pivotArea field="4" type="button" dataOnly="0" labelOnly="1" outline="0" axis="axisPage" fieldPosition="2"/>
    </format>
    <format dxfId="188">
      <pivotArea type="all" dataOnly="0" outline="0" fieldPosition="0"/>
    </format>
    <format dxfId="187">
      <pivotArea outline="0" collapsedLevelsAreSubtotals="1" fieldPosition="0"/>
    </format>
    <format dxfId="186">
      <pivotArea field="4" type="button" dataOnly="0" labelOnly="1" outline="0" axis="axisPage" fieldPosition="2"/>
    </format>
    <format dxfId="185">
      <pivotArea type="all" dataOnly="0" outline="0" fieldPosition="0"/>
    </format>
    <format dxfId="184">
      <pivotArea outline="0" collapsedLevelsAreSubtotals="1" fieldPosition="0"/>
    </format>
    <format dxfId="183">
      <pivotArea outline="0" collapsedLevelsAreSubtotals="1" fieldPosition="0"/>
    </format>
    <format dxfId="182">
      <pivotArea field="5" type="button" dataOnly="0" labelOnly="1" outline="0" axis="axisRow" fieldPosition="0"/>
    </format>
    <format dxfId="181">
      <pivotArea field="5" type="button" dataOnly="0" labelOnly="1" outline="0" axis="axisRow" fieldPosition="0"/>
    </format>
    <format dxfId="180">
      <pivotArea field="5" type="button" dataOnly="0" labelOnly="1" outline="0" axis="axisRow" fieldPosition="0"/>
    </format>
    <format dxfId="179">
      <pivotArea field="4" type="button" dataOnly="0" labelOnly="1" outline="0" axis="axisPage" fieldPosition="2"/>
    </format>
    <format dxfId="178">
      <pivotArea dataOnly="0" labelOnly="1" outline="0" fieldPosition="0">
        <references count="2">
          <reference field="4" count="1">
            <x v="2"/>
          </reference>
          <reference field="121" count="1" selected="0">
            <x v="0"/>
          </reference>
        </references>
      </pivotArea>
    </format>
  </formats>
  <chartFormats count="2">
    <chartFormat chart="51" format="3" series="1">
      <pivotArea type="data" outline="0" fieldPosition="0">
        <references count="1">
          <reference field="4294967294" count="1" selected="0">
            <x v="0"/>
          </reference>
        </references>
      </pivotArea>
    </chartFormat>
    <chartFormat chart="51" format="4" series="1">
      <pivotArea type="data" outline="0" fieldPosition="0">
        <references count="1">
          <reference field="4294967294"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00000000-0007-0000-0800-000017000000}" name="R_Traffic"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Township">
  <location ref="H10:L16" firstHeaderRow="0" firstDataRow="1" firstDataCol="1" rowPageCount="4" colPageCount="1"/>
  <pivotFields count="131">
    <pivotField axis="axisPage" subtotalTop="0" showAll="0">
      <items count="12">
        <item m="1" x="9"/>
        <item m="1" x="3"/>
        <item m="1" x="4"/>
        <item m="1" x="1"/>
        <item m="1" x="10"/>
        <item m="1" x="2"/>
        <item m="1" x="8"/>
        <item m="1" x="5"/>
        <item m="1" x="6"/>
        <item m="1" x="7"/>
        <item x="0"/>
        <item t="default"/>
      </items>
    </pivotField>
    <pivotField showAll="0" defaultSubtotal="0"/>
    <pivotField showAll="0" defaultSubtotal="0"/>
    <pivotField subtotalTop="0" showAll="0"/>
    <pivotField axis="axisPage" subtotalTop="0" multipleItemSelectionAllowed="1" showAll="0">
      <items count="7">
        <item h="1" x="0"/>
        <item m="1" x="5"/>
        <item h="1" x="3"/>
        <item m="1" x="4"/>
        <item x="1"/>
        <item x="2"/>
        <item t="default"/>
      </items>
    </pivotField>
    <pivotField axis="axisRow" subtotalTop="0" showAll="0" sortType="ascending">
      <items count="42">
        <item m="1" x="36"/>
        <item x="0"/>
        <item x="14"/>
        <item m="1" x="38"/>
        <item x="5"/>
        <item x="6"/>
        <item x="30"/>
        <item x="27"/>
        <item x="24"/>
        <item x="17"/>
        <item x="16"/>
        <item m="1" x="35"/>
        <item m="1" x="39"/>
        <item x="9"/>
        <item x="28"/>
        <item x="15"/>
        <item x="19"/>
        <item x="7"/>
        <item x="8"/>
        <item m="1" x="32"/>
        <item x="1"/>
        <item x="22"/>
        <item x="25"/>
        <item x="20"/>
        <item x="3"/>
        <item m="1" x="37"/>
        <item x="29"/>
        <item x="26"/>
        <item m="1" x="33"/>
        <item m="1" x="34"/>
        <item x="13"/>
        <item x="23"/>
        <item x="10"/>
        <item m="1" x="40"/>
        <item x="21"/>
        <item x="4"/>
        <item x="18"/>
        <item x="11"/>
        <item x="12"/>
        <item x="2"/>
        <item m="1" x="31"/>
        <item t="default"/>
      </items>
    </pivotField>
    <pivotField axis="axisPage" multipleItemSelectionAllowed="1" showAll="0" defaultSubtotal="0">
      <items count="10">
        <item x="1"/>
        <item x="0"/>
        <item m="1" x="9"/>
        <item m="1" x="6"/>
        <item h="1" m="1" x="5"/>
        <item h="1" x="2"/>
        <item h="1" m="1" x="8"/>
        <item h="1" x="4"/>
        <item m="1" x="7"/>
        <item h="1" x="3"/>
      </items>
    </pivotField>
    <pivotField subtotalTop="0" showAll="0"/>
    <pivotField subtotalTop="0" showAll="0"/>
    <pivotField dataField="1"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ubtotalTop="0" showAl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s>
  <rowFields count="1">
    <field x="5"/>
  </rowFields>
  <rowItems count="6">
    <i>
      <x v="9"/>
    </i>
    <i>
      <x v="10"/>
    </i>
    <i>
      <x v="23"/>
    </i>
    <i>
      <x v="30"/>
    </i>
    <i>
      <x v="36"/>
    </i>
    <i t="grand">
      <x/>
    </i>
  </rowItems>
  <colFields count="1">
    <field x="-2"/>
  </colFields>
  <colItems count="4">
    <i>
      <x/>
    </i>
    <i i="1">
      <x v="1"/>
    </i>
    <i i="2">
      <x v="2"/>
    </i>
    <i i="3">
      <x v="3"/>
    </i>
  </colItems>
  <pageFields count="4">
    <pageField fld="0" item="10" hier="-1"/>
    <pageField fld="121" hier="-1"/>
    <pageField fld="4" hier="-1"/>
    <pageField fld="6" hier="-1"/>
  </pageFields>
  <dataFields count="4">
    <dataField name="PoP " fld="9" baseField="0" baseItem="0" numFmtId="164"/>
    <dataField name=" % Water GAP" fld="128" baseField="0" baseItem="0" numFmtId="9"/>
    <dataField name=" % Sanitation GAP" fld="130" baseField="0" baseItem="0" numFmtId="9"/>
    <dataField name=" % Hygiene Gap" fld="125" baseField="0" baseItem="0" numFmtId="9"/>
  </dataFields>
  <formats count="37">
    <format dxfId="226">
      <pivotArea type="all" dataOnly="0" outline="0" fieldPosition="0"/>
    </format>
    <format dxfId="225">
      <pivotArea outline="0" collapsedLevelsAreSubtotals="1" fieldPosition="0"/>
    </format>
    <format dxfId="224">
      <pivotArea field="5" type="button" dataOnly="0" labelOnly="1" outline="0" axis="axisRow" fieldPosition="0"/>
    </format>
    <format dxfId="223">
      <pivotArea dataOnly="0" labelOnly="1" outline="0" axis="axisValues" fieldPosition="0"/>
    </format>
    <format dxfId="222">
      <pivotArea dataOnly="0" labelOnly="1" fieldPosition="0">
        <references count="1">
          <reference field="5" count="0"/>
        </references>
      </pivotArea>
    </format>
    <format dxfId="221">
      <pivotArea dataOnly="0" labelOnly="1" grandRow="1" outline="0" fieldPosition="0"/>
    </format>
    <format dxfId="220">
      <pivotArea dataOnly="0" labelOnly="1" outline="0" axis="axisValues" fieldPosition="0"/>
    </format>
    <format dxfId="219">
      <pivotArea type="all" dataOnly="0" outline="0" fieldPosition="0"/>
    </format>
    <format dxfId="218">
      <pivotArea field="5" type="button" dataOnly="0" labelOnly="1" outline="0" axis="axisRow" fieldPosition="0"/>
    </format>
    <format dxfId="217">
      <pivotArea dataOnly="0" labelOnly="1" outline="0" axis="axisValues" fieldPosition="0"/>
    </format>
    <format dxfId="216">
      <pivotArea dataOnly="0" labelOnly="1" fieldPosition="0">
        <references count="1">
          <reference field="5" count="0"/>
        </references>
      </pivotArea>
    </format>
    <format dxfId="215">
      <pivotArea dataOnly="0" labelOnly="1" outline="0" axis="axisValues" fieldPosition="0"/>
    </format>
    <format dxfId="214">
      <pivotArea field="5" type="button" dataOnly="0" labelOnly="1" outline="0" axis="axisRow" fieldPosition="0"/>
    </format>
    <format dxfId="213">
      <pivotArea type="all" dataOnly="0" outline="0" fieldPosition="0"/>
    </format>
    <format dxfId="212">
      <pivotArea field="5" type="button" dataOnly="0" labelOnly="1" outline="0" axis="axisRow" fieldPosition="0"/>
    </format>
    <format dxfId="211">
      <pivotArea dataOnly="0" labelOnly="1" outline="0" fieldPosition="0">
        <references count="1">
          <reference field="4294967294" count="1">
            <x v="0"/>
          </reference>
        </references>
      </pivotArea>
    </format>
    <format dxfId="210">
      <pivotArea type="all" dataOnly="0" outline="0" fieldPosition="0"/>
    </format>
    <format dxfId="209">
      <pivotArea outline="0" collapsedLevelsAreSubtotals="1" fieldPosition="0"/>
    </format>
    <format dxfId="208">
      <pivotArea field="5" type="button" dataOnly="0" labelOnly="1" outline="0" axis="axisRow" fieldPosition="0"/>
    </format>
    <format dxfId="207">
      <pivotArea dataOnly="0" labelOnly="1" fieldPosition="0">
        <references count="1">
          <reference field="5" count="2">
            <x v="30"/>
            <x v="36"/>
          </reference>
        </references>
      </pivotArea>
    </format>
    <format dxfId="206">
      <pivotArea dataOnly="0" labelOnly="1" outline="0" fieldPosition="0">
        <references count="1">
          <reference field="4294967294" count="1">
            <x v="0"/>
          </reference>
        </references>
      </pivotArea>
    </format>
    <format dxfId="205">
      <pivotArea field="5" type="button" dataOnly="0" labelOnly="1" outline="0" axis="axisRow" fieldPosition="0"/>
    </format>
    <format dxfId="204">
      <pivotArea dataOnly="0" labelOnly="1" outline="0" fieldPosition="0">
        <references count="1">
          <reference field="4294967294" count="1">
            <x v="0"/>
          </reference>
        </references>
      </pivotArea>
    </format>
    <format dxfId="203">
      <pivotArea type="all" dataOnly="0" outline="0" fieldPosition="0"/>
    </format>
    <format dxfId="202">
      <pivotArea outline="0" collapsedLevelsAreSubtotals="1" fieldPosition="0"/>
    </format>
    <format dxfId="201">
      <pivotArea field="5" type="button" dataOnly="0" labelOnly="1" outline="0" axis="axisRow" fieldPosition="0"/>
    </format>
    <format dxfId="200">
      <pivotArea dataOnly="0" labelOnly="1" fieldPosition="0">
        <references count="1">
          <reference field="5" count="5">
            <x v="9"/>
            <x v="10"/>
            <x v="23"/>
            <x v="30"/>
            <x v="36"/>
          </reference>
        </references>
      </pivotArea>
    </format>
    <format dxfId="199">
      <pivotArea dataOnly="0" labelOnly="1" grandRow="1" outline="0" fieldPosition="0"/>
    </format>
    <format dxfId="198">
      <pivotArea dataOnly="0" labelOnly="1" outline="0" fieldPosition="0">
        <references count="1">
          <reference field="4294967294" count="1">
            <x v="0"/>
          </reference>
        </references>
      </pivotArea>
    </format>
    <format dxfId="197">
      <pivotArea field="4" type="button" dataOnly="0" labelOnly="1" outline="0" axis="axisPage" fieldPosition="2"/>
    </format>
    <format dxfId="196">
      <pivotArea dataOnly="0" labelOnly="1" outline="0" fieldPosition="0">
        <references count="2">
          <reference field="0" count="1" selected="0">
            <x v="7"/>
          </reference>
          <reference field="4" count="1">
            <x v="1"/>
          </reference>
        </references>
      </pivotArea>
    </format>
    <format dxfId="195">
      <pivotArea outline="0" collapsedLevelsAreSubtotals="1" fieldPosition="0">
        <references count="1">
          <reference field="4294967294" count="1" selected="0">
            <x v="0"/>
          </reference>
        </references>
      </pivotArea>
    </format>
    <format dxfId="194">
      <pivotArea dataOnly="0" labelOnly="1" outline="0" fieldPosition="0">
        <references count="2">
          <reference field="0" count="1" selected="0">
            <x v="8"/>
          </reference>
          <reference field="4" count="1">
            <x v="1"/>
          </reference>
        </references>
      </pivotArea>
    </format>
    <format dxfId="193">
      <pivotArea dataOnly="0" labelOnly="1" outline="0" fieldPosition="0">
        <references count="2">
          <reference field="0" count="1" selected="0">
            <x v="9"/>
          </reference>
          <reference field="4" count="1">
            <x v="1"/>
          </reference>
        </references>
      </pivotArea>
    </format>
    <format dxfId="192">
      <pivotArea dataOnly="0" labelOnly="1" outline="0" fieldPosition="0">
        <references count="2">
          <reference field="0" count="1" selected="0">
            <x v="10"/>
          </reference>
          <reference field="4" count="0"/>
        </references>
      </pivotArea>
    </format>
    <format dxfId="191">
      <pivotArea outline="0" collapsedLevelsAreSubtotals="1" fieldPosition="0">
        <references count="1">
          <reference field="4294967294" count="2" selected="0">
            <x v="1"/>
            <x v="2"/>
          </reference>
        </references>
      </pivotArea>
    </format>
    <format dxfId="190">
      <pivotArea outline="0" collapsedLevelsAreSubtotals="1" fieldPosition="0">
        <references count="1">
          <reference field="4294967294" count="1" selected="0">
            <x v="3"/>
          </reference>
        </references>
      </pivotArea>
    </format>
  </formats>
  <conditionalFormats count="1">
    <conditionalFormat priority="5">
      <pivotAreas count="1">
        <pivotArea type="data" outline="0" collapsedLevelsAreSubtotals="1" fieldPosition="0">
          <references count="1">
            <reference field="4294967294" count="3" selected="0">
              <x v="1"/>
              <x v="2"/>
              <x v="3"/>
            </reference>
          </references>
        </pivotArea>
      </pivotAreas>
    </conditionalFormat>
  </conditional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0000000-0007-0000-0800-00001E000000}" name="S_Traffic" cacheId="0"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V10:Z17" firstHeaderRow="0" firstDataRow="1" firstDataCol="1" rowPageCount="4" colPageCount="1"/>
  <pivotFields count="131">
    <pivotField axis="axisPage" subtotalTop="0" showAll="0">
      <items count="12">
        <item m="1" x="9"/>
        <item m="1" x="3"/>
        <item m="1" x="4"/>
        <item m="1" x="1"/>
        <item m="1" x="10"/>
        <item m="1" x="2"/>
        <item m="1" x="8"/>
        <item m="1" x="5"/>
        <item m="1" x="6"/>
        <item m="1" x="7"/>
        <item x="0"/>
        <item t="default"/>
      </items>
    </pivotField>
    <pivotField showAll="0" defaultSubtotal="0"/>
    <pivotField showAll="0" defaultSubtotal="0"/>
    <pivotField subtotalTop="0" showAll="0"/>
    <pivotField axis="axisPage" subtotalTop="0" showAll="0">
      <items count="7">
        <item x="0"/>
        <item m="1" x="5"/>
        <item x="3"/>
        <item m="1" x="4"/>
        <item x="1"/>
        <item x="2"/>
        <item t="default"/>
      </items>
    </pivotField>
    <pivotField axis="axisRow" subtotalTop="0" showAll="0">
      <items count="42">
        <item x="0"/>
        <item x="5"/>
        <item x="6"/>
        <item x="30"/>
        <item x="24"/>
        <item m="1" x="39"/>
        <item x="9"/>
        <item x="28"/>
        <item x="7"/>
        <item x="8"/>
        <item x="1"/>
        <item x="25"/>
        <item x="3"/>
        <item x="29"/>
        <item x="26"/>
        <item x="13"/>
        <item x="10"/>
        <item x="18"/>
        <item x="11"/>
        <item x="12"/>
        <item x="2"/>
        <item m="1" x="35"/>
        <item x="4"/>
        <item x="21"/>
        <item x="16"/>
        <item x="22"/>
        <item x="14"/>
        <item x="15"/>
        <item x="19"/>
        <item x="17"/>
        <item m="1" x="36"/>
        <item x="23"/>
        <item x="20"/>
        <item m="1" x="40"/>
        <item x="27"/>
        <item m="1" x="34"/>
        <item m="1" x="37"/>
        <item m="1" x="32"/>
        <item m="1" x="33"/>
        <item m="1" x="31"/>
        <item m="1" x="38"/>
        <item t="default"/>
      </items>
    </pivotField>
    <pivotField axis="axisPage" multipleItemSelectionAllowed="1" showAll="0" defaultSubtotal="0">
      <items count="10">
        <item x="1"/>
        <item x="0"/>
        <item m="1" x="9"/>
        <item m="1" x="6"/>
        <item h="1" m="1" x="5"/>
        <item h="1" x="2"/>
        <item h="1" m="1" x="8"/>
        <item h="1" x="4"/>
        <item m="1" x="7"/>
        <item h="1" x="3"/>
      </items>
    </pivotField>
    <pivotField subtotalTop="0" showAll="0"/>
    <pivotField subtotalTop="0" showAll="0"/>
    <pivotField dataField="1"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s>
  <rowFields count="1">
    <field x="5"/>
  </rowFields>
  <rowItems count="7">
    <i>
      <x v="3"/>
    </i>
    <i>
      <x v="4"/>
    </i>
    <i>
      <x v="7"/>
    </i>
    <i>
      <x v="11"/>
    </i>
    <i>
      <x v="13"/>
    </i>
    <i>
      <x v="14"/>
    </i>
    <i t="grand">
      <x/>
    </i>
  </rowItems>
  <colFields count="1">
    <field x="-2"/>
  </colFields>
  <colItems count="4">
    <i>
      <x/>
    </i>
    <i i="1">
      <x v="1"/>
    </i>
    <i i="2">
      <x v="2"/>
    </i>
    <i i="3">
      <x v="3"/>
    </i>
  </colItems>
  <pageFields count="4">
    <pageField fld="0" item="10" hier="-1"/>
    <pageField fld="121" item="0" hier="-1"/>
    <pageField fld="4" item="2" hier="-1"/>
    <pageField fld="6" hier="-1"/>
  </pageFields>
  <dataFields count="4">
    <dataField name="PoP " fld="9" baseField="0" baseItem="0" numFmtId="164"/>
    <dataField name=" % Water GAP" fld="128" baseField="0" baseItem="0" numFmtId="9"/>
    <dataField name=" % Sanitation GAP" fld="130" baseField="0" baseItem="0" numFmtId="9"/>
    <dataField name="  % Hygiene Gap" fld="125" baseField="0" baseItem="0" numFmtId="9"/>
  </dataFields>
  <formats count="37">
    <format dxfId="263">
      <pivotArea type="all" dataOnly="0" outline="0" fieldPosition="0"/>
    </format>
    <format dxfId="262">
      <pivotArea outline="0" collapsedLevelsAreSubtotals="1" fieldPosition="0"/>
    </format>
    <format dxfId="261">
      <pivotArea field="5" type="button" dataOnly="0" labelOnly="1" outline="0" axis="axisRow" fieldPosition="0"/>
    </format>
    <format dxfId="260">
      <pivotArea dataOnly="0" labelOnly="1" outline="0" axis="axisValues" fieldPosition="0"/>
    </format>
    <format dxfId="259">
      <pivotArea dataOnly="0" labelOnly="1" fieldPosition="0">
        <references count="1">
          <reference field="5" count="0"/>
        </references>
      </pivotArea>
    </format>
    <format dxfId="258">
      <pivotArea dataOnly="0" labelOnly="1" grandRow="1" outline="0" fieldPosition="0"/>
    </format>
    <format dxfId="257">
      <pivotArea dataOnly="0" labelOnly="1" outline="0" axis="axisValues" fieldPosition="0"/>
    </format>
    <format dxfId="256">
      <pivotArea type="all" dataOnly="0" outline="0" fieldPosition="0"/>
    </format>
    <format dxfId="255">
      <pivotArea field="5" type="button" dataOnly="0" labelOnly="1" outline="0" axis="axisRow" fieldPosition="0"/>
    </format>
    <format dxfId="254">
      <pivotArea dataOnly="0" labelOnly="1" outline="0" axis="axisValues" fieldPosition="0"/>
    </format>
    <format dxfId="253">
      <pivotArea dataOnly="0" labelOnly="1" fieldPosition="0">
        <references count="1">
          <reference field="5" count="0"/>
        </references>
      </pivotArea>
    </format>
    <format dxfId="252">
      <pivotArea dataOnly="0" labelOnly="1" outline="0" axis="axisValues" fieldPosition="0"/>
    </format>
    <format dxfId="251">
      <pivotArea field="5" type="button" dataOnly="0" labelOnly="1" outline="0" axis="axisRow" fieldPosition="0"/>
    </format>
    <format dxfId="250">
      <pivotArea type="all" dataOnly="0" outline="0" fieldPosition="0"/>
    </format>
    <format dxfId="249">
      <pivotArea field="5" type="button" dataOnly="0" labelOnly="1" outline="0" axis="axisRow" fieldPosition="0"/>
    </format>
    <format dxfId="248">
      <pivotArea dataOnly="0" labelOnly="1" fieldPosition="0">
        <references count="1">
          <reference field="5" count="7">
            <x v="3"/>
            <x v="4"/>
            <x v="7"/>
            <x v="11"/>
            <x v="13"/>
            <x v="14"/>
            <x v="21"/>
          </reference>
        </references>
      </pivotArea>
    </format>
    <format dxfId="247">
      <pivotArea dataOnly="0" labelOnly="1" outline="0" fieldPosition="0">
        <references count="1">
          <reference field="4294967294" count="1">
            <x v="0"/>
          </reference>
        </references>
      </pivotArea>
    </format>
    <format dxfId="246">
      <pivotArea type="all" dataOnly="0" outline="0" fieldPosition="0"/>
    </format>
    <format dxfId="245">
      <pivotArea outline="0" collapsedLevelsAreSubtotals="1" fieldPosition="0"/>
    </format>
    <format dxfId="244">
      <pivotArea field="5" type="button" dataOnly="0" labelOnly="1" outline="0" axis="axisRow" fieldPosition="0"/>
    </format>
    <format dxfId="243">
      <pivotArea dataOnly="0" labelOnly="1" fieldPosition="0">
        <references count="1">
          <reference field="5" count="7">
            <x v="3"/>
            <x v="4"/>
            <x v="7"/>
            <x v="11"/>
            <x v="13"/>
            <x v="14"/>
            <x v="21"/>
          </reference>
        </references>
      </pivotArea>
    </format>
    <format dxfId="242">
      <pivotArea dataOnly="0" labelOnly="1" outline="0" fieldPosition="0">
        <references count="1">
          <reference field="4294967294" count="1">
            <x v="0"/>
          </reference>
        </references>
      </pivotArea>
    </format>
    <format dxfId="241">
      <pivotArea field="5" type="button" dataOnly="0" labelOnly="1" outline="0" axis="axisRow" fieldPosition="0"/>
    </format>
    <format dxfId="240">
      <pivotArea dataOnly="0" labelOnly="1" outline="0" fieldPosition="0">
        <references count="1">
          <reference field="4294967294" count="1">
            <x v="0"/>
          </reference>
        </references>
      </pivotArea>
    </format>
    <format dxfId="239">
      <pivotArea type="all" dataOnly="0" outline="0" fieldPosition="0"/>
    </format>
    <format dxfId="238">
      <pivotArea outline="0" collapsedLevelsAreSubtotals="1" fieldPosition="0"/>
    </format>
    <format dxfId="237">
      <pivotArea field="5" type="button" dataOnly="0" labelOnly="1" outline="0" axis="axisRow" fieldPosition="0"/>
    </format>
    <format dxfId="236">
      <pivotArea dataOnly="0" labelOnly="1" fieldPosition="0">
        <references count="1">
          <reference field="5" count="6">
            <x v="3"/>
            <x v="4"/>
            <x v="7"/>
            <x v="11"/>
            <x v="13"/>
            <x v="14"/>
          </reference>
        </references>
      </pivotArea>
    </format>
    <format dxfId="235">
      <pivotArea dataOnly="0" labelOnly="1" grandRow="1" outline="0" fieldPosition="0"/>
    </format>
    <format dxfId="234">
      <pivotArea dataOnly="0" labelOnly="1" outline="0" fieldPosition="0">
        <references count="1">
          <reference field="4294967294" count="1">
            <x v="0"/>
          </reference>
        </references>
      </pivotArea>
    </format>
    <format dxfId="233">
      <pivotArea field="4" type="button" dataOnly="0" labelOnly="1" outline="0" axis="axisPage" fieldPosition="2"/>
    </format>
    <format dxfId="232">
      <pivotArea dataOnly="0" labelOnly="1" outline="0" fieldPosition="0">
        <references count="3">
          <reference field="0" count="1" selected="0">
            <x v="7"/>
          </reference>
          <reference field="4" count="1">
            <x v="2"/>
          </reference>
          <reference field="121" count="1" selected="0">
            <x v="0"/>
          </reference>
        </references>
      </pivotArea>
    </format>
    <format dxfId="231">
      <pivotArea dataOnly="0" labelOnly="1" outline="0" fieldPosition="0">
        <references count="3">
          <reference field="0" count="1" selected="0">
            <x v="8"/>
          </reference>
          <reference field="4" count="1">
            <x v="2"/>
          </reference>
          <reference field="121" count="1" selected="0">
            <x v="0"/>
          </reference>
        </references>
      </pivotArea>
    </format>
    <format dxfId="230">
      <pivotArea outline="0" collapsedLevelsAreSubtotals="1" fieldPosition="0">
        <references count="1">
          <reference field="4294967294" count="1" selected="0">
            <x v="0"/>
          </reference>
        </references>
      </pivotArea>
    </format>
    <format dxfId="229">
      <pivotArea dataOnly="0" labelOnly="1" outline="0" fieldPosition="0">
        <references count="3">
          <reference field="0" count="1" selected="0">
            <x v="10"/>
          </reference>
          <reference field="4" count="1">
            <x v="0"/>
          </reference>
          <reference field="121" count="1" selected="0">
            <x v="0"/>
          </reference>
        </references>
      </pivotArea>
    </format>
    <format dxfId="228">
      <pivotArea dataOnly="0" labelOnly="1" outline="0" fieldPosition="0">
        <references count="3">
          <reference field="0" count="1" selected="0">
            <x v="10"/>
          </reference>
          <reference field="4" count="1">
            <x v="2"/>
          </reference>
          <reference field="121" count="1" selected="0">
            <x v="0"/>
          </reference>
        </references>
      </pivotArea>
    </format>
    <format dxfId="227">
      <pivotArea outline="0" collapsedLevelsAreSubtotals="1" fieldPosition="0">
        <references count="1">
          <reference field="4294967294" count="3" selected="0">
            <x v="1"/>
            <x v="2"/>
            <x v="3"/>
          </reference>
        </references>
      </pivotArea>
    </format>
  </formats>
  <conditionalFormats count="1">
    <conditionalFormat priority="2">
      <pivotAreas count="1">
        <pivotArea type="data" outline="0" collapsedLevelsAreSubtotals="1" fieldPosition="0">
          <references count="1">
            <reference field="4294967294" count="3" selected="0">
              <x v="1"/>
              <x v="2"/>
              <x v="3"/>
            </reference>
          </references>
        </pivotArea>
      </pivotAreas>
    </conditionalFormat>
  </conditional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00000000-0007-0000-0800-000014000000}" name="R_H_CG_V"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52" rowHeaderCaption="State" colHeaderCaption=" ">
  <location ref="K308:M316" firstHeaderRow="0" firstDataRow="1" firstDataCol="1" rowPageCount="4" colPageCount="1"/>
  <pivotFields count="131">
    <pivotField axis="axisPage" subtotalTop="0" multipleItemSelectionAllowed="1" showAll="0">
      <items count="12">
        <item m="1" x="9"/>
        <item m="1" x="3"/>
        <item h="1" m="1" x="4"/>
        <item h="1" m="1" x="1"/>
        <item m="1" x="10"/>
        <item m="1" x="2"/>
        <item h="1" m="1" x="8"/>
        <item h="1" m="1" x="5"/>
        <item h="1" m="1" x="6"/>
        <item m="1" x="7"/>
        <item x="0"/>
        <item t="default"/>
      </items>
    </pivotField>
    <pivotField showAll="0" defaultSubtotal="0"/>
    <pivotField showAll="0" defaultSubtotal="0"/>
    <pivotField subtotalTop="0" showAll="0"/>
    <pivotField axis="axisPage" subtotalTop="0" multipleItemSelectionAllowed="1" showAll="0">
      <items count="7">
        <item h="1" x="0"/>
        <item m="1" x="5"/>
        <item h="1" x="3"/>
        <item m="1" x="4"/>
        <item x="1"/>
        <item x="2"/>
        <item t="default"/>
      </items>
    </pivotField>
    <pivotField axis="axisRow" subtotalTop="0" showAll="0">
      <items count="42">
        <item m="1" x="36"/>
        <item x="0"/>
        <item x="14"/>
        <item x="5"/>
        <item x="6"/>
        <item x="30"/>
        <item x="27"/>
        <item x="24"/>
        <item x="17"/>
        <item x="16"/>
        <item m="1" x="35"/>
        <item m="1" x="39"/>
        <item x="9"/>
        <item x="28"/>
        <item x="15"/>
        <item x="19"/>
        <item x="7"/>
        <item x="8"/>
        <item x="1"/>
        <item x="22"/>
        <item x="25"/>
        <item x="20"/>
        <item x="3"/>
        <item m="1" x="37"/>
        <item x="29"/>
        <item x="26"/>
        <item m="1" x="34"/>
        <item x="13"/>
        <item x="23"/>
        <item x="10"/>
        <item m="1" x="40"/>
        <item x="21"/>
        <item x="4"/>
        <item x="18"/>
        <item x="11"/>
        <item x="12"/>
        <item x="2"/>
        <item m="1" x="32"/>
        <item m="1" x="33"/>
        <item m="1" x="31"/>
        <item m="1" x="38"/>
        <item t="default"/>
      </items>
    </pivotField>
    <pivotField axis="axisPage" multipleItemSelectionAllowed="1" showAll="0" defaultSubtotal="0">
      <items count="10">
        <item h="1" x="1"/>
        <item h="1" x="0"/>
        <item m="1" x="9"/>
        <item h="1" x="3"/>
        <item m="1" x="6"/>
        <item m="1" x="5"/>
        <item x="2"/>
        <item m="1" x="8"/>
        <item h="1" x="4"/>
        <item m="1" x="7"/>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8">
    <i>
      <x v="2"/>
    </i>
    <i>
      <x v="8"/>
    </i>
    <i>
      <x v="9"/>
    </i>
    <i>
      <x v="14"/>
    </i>
    <i>
      <x v="15"/>
    </i>
    <i>
      <x v="21"/>
    </i>
    <i>
      <x v="27"/>
    </i>
    <i>
      <x v="33"/>
    </i>
  </rowItems>
  <colFields count="1">
    <field x="-2"/>
  </colFields>
  <colItems count="2">
    <i>
      <x/>
    </i>
    <i i="1">
      <x v="1"/>
    </i>
  </colItems>
  <pageFields count="4">
    <pageField fld="0" hier="-1"/>
    <pageField fld="121" item="0" hier="-1"/>
    <pageField fld="4" hier="-1"/>
    <pageField fld="6" hier="-1"/>
  </pageFields>
  <dataFields count="2">
    <dataField name="  % Hygiene Coverage" fld="126" baseField="0" baseItem="0" numFmtId="1"/>
    <dataField name="  % Hygiene Gap" fld="125" baseField="0" baseItem="0" numFmtId="1"/>
  </dataFields>
  <formats count="11">
    <format dxfId="274">
      <pivotArea type="all" dataOnly="0" outline="0" fieldPosition="0"/>
    </format>
    <format dxfId="273">
      <pivotArea outline="0" collapsedLevelsAreSubtotals="1" fieldPosition="0"/>
    </format>
    <format dxfId="272">
      <pivotArea field="4" type="button" dataOnly="0" labelOnly="1" outline="0" axis="axisPage" fieldPosition="2"/>
    </format>
    <format dxfId="271">
      <pivotArea type="all" dataOnly="0" outline="0" fieldPosition="0"/>
    </format>
    <format dxfId="270">
      <pivotArea outline="0" collapsedLevelsAreSubtotals="1" fieldPosition="0"/>
    </format>
    <format dxfId="269">
      <pivotArea outline="0" collapsedLevelsAreSubtotals="1" fieldPosition="0"/>
    </format>
    <format dxfId="268">
      <pivotArea field="5" type="button" dataOnly="0" labelOnly="1" outline="0" axis="axisRow" fieldPosition="0"/>
    </format>
    <format dxfId="267">
      <pivotArea field="5" type="button" dataOnly="0" labelOnly="1" outline="0" axis="axisRow" fieldPosition="0"/>
    </format>
    <format dxfId="266">
      <pivotArea field="5" type="button" dataOnly="0" labelOnly="1" outline="0" axis="axisRow" fieldPosition="0"/>
    </format>
    <format dxfId="265">
      <pivotArea field="4" type="button" dataOnly="0" labelOnly="1" outline="0" axis="axisPage" fieldPosition="2"/>
    </format>
    <format dxfId="264">
      <pivotArea dataOnly="0" labelOnly="1" outline="0" fieldPosition="0">
        <references count="2">
          <reference field="4" count="0"/>
          <reference field="121" count="1" selected="0">
            <x v="0"/>
          </reference>
        </references>
      </pivotArea>
    </format>
  </formats>
  <chartFormats count="2">
    <chartFormat chart="49" format="4" series="1">
      <pivotArea type="data" outline="0" fieldPosition="0">
        <references count="1">
          <reference field="4294967294" count="1" selected="0">
            <x v="0"/>
          </reference>
        </references>
      </pivotArea>
    </chartFormat>
    <chartFormat chart="49" format="5"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3177BC30-AEB0-49D4-B10C-A2B3CEE63139}" name="PivotTable1"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4" rowHeaderCaption="State" colHeaderCaption=" ">
  <location ref="V200:X201" firstHeaderRow="0" firstDataRow="1" firstDataCol="1" rowPageCount="4" colPageCount="1"/>
  <pivotFields count="131">
    <pivotField axis="axisPage" subtotalTop="0" multipleItemSelectionAllowed="1" showAll="0">
      <items count="12">
        <item m="1" x="9"/>
        <item m="1" x="3"/>
        <item h="1" m="1" x="4"/>
        <item h="1" m="1" x="1"/>
        <item m="1" x="10"/>
        <item m="1" x="2"/>
        <item h="1" m="1" x="8"/>
        <item h="1" m="1" x="5"/>
        <item h="1" m="1" x="6"/>
        <item m="1" x="7"/>
        <item x="0"/>
        <item t="default"/>
      </items>
    </pivotField>
    <pivotField showAll="0" defaultSubtotal="0"/>
    <pivotField showAll="0" defaultSubtotal="0"/>
    <pivotField subtotalTop="0" showAll="0"/>
    <pivotField axis="axisPage" subtotalTop="0" showAll="0">
      <items count="7">
        <item x="0"/>
        <item m="1" x="5"/>
        <item x="3"/>
        <item m="1" x="4"/>
        <item x="1"/>
        <item x="2"/>
        <item t="default"/>
      </items>
    </pivotField>
    <pivotField axis="axisRow" subtotalTop="0" showAll="0">
      <items count="42">
        <item m="1" x="36"/>
        <item x="0"/>
        <item x="14"/>
        <item x="5"/>
        <item x="6"/>
        <item x="30"/>
        <item x="27"/>
        <item x="24"/>
        <item x="17"/>
        <item x="16"/>
        <item m="1" x="35"/>
        <item m="1" x="39"/>
        <item x="9"/>
        <item x="28"/>
        <item x="15"/>
        <item x="19"/>
        <item x="7"/>
        <item x="8"/>
        <item x="1"/>
        <item x="22"/>
        <item x="25"/>
        <item x="20"/>
        <item x="3"/>
        <item m="1" x="37"/>
        <item x="29"/>
        <item x="26"/>
        <item m="1" x="34"/>
        <item x="13"/>
        <item x="23"/>
        <item x="10"/>
        <item m="1" x="40"/>
        <item x="21"/>
        <item x="4"/>
        <item x="18"/>
        <item x="11"/>
        <item x="12"/>
        <item x="2"/>
        <item m="1" x="32"/>
        <item m="1" x="33"/>
        <item m="1" x="31"/>
        <item m="1" x="38"/>
        <item t="default"/>
      </items>
    </pivotField>
    <pivotField axis="axisPage" multipleItemSelectionAllowed="1" showAll="0" defaultSubtotal="0">
      <items count="10">
        <item h="1" x="1"/>
        <item h="1" x="0"/>
        <item m="1" x="9"/>
        <item x="3"/>
        <item m="1" x="6"/>
        <item m="1" x="5"/>
        <item h="1" x="2"/>
        <item m="1" x="8"/>
        <item h="1" x="4"/>
        <item m="1" x="7"/>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s>
  <rowFields count="1">
    <field x="5"/>
  </rowFields>
  <rowItems count="1">
    <i>
      <x v="6"/>
    </i>
  </rowItems>
  <colFields count="1">
    <field x="-2"/>
  </colFields>
  <colItems count="2">
    <i>
      <x/>
    </i>
    <i i="1">
      <x v="1"/>
    </i>
  </colItems>
  <pageFields count="4">
    <pageField fld="0" hier="-1"/>
    <pageField fld="121" item="0" hier="-1"/>
    <pageField fld="4" item="2" hier="-1"/>
    <pageField fld="6" hier="-1"/>
  </pageFields>
  <dataFields count="2">
    <dataField name="  % Latrine Coverage" fld="129" baseField="0" baseItem="0" numFmtId="1"/>
    <dataField name="  % Latrine GAP" fld="130" baseField="0" baseItem="0" numFmtId="1"/>
  </dataFields>
  <formats count="12">
    <format dxfId="286">
      <pivotArea type="all" dataOnly="0" outline="0" fieldPosition="0"/>
    </format>
    <format dxfId="285">
      <pivotArea outline="0" collapsedLevelsAreSubtotals="1" fieldPosition="0"/>
    </format>
    <format dxfId="284">
      <pivotArea field="4" type="button" dataOnly="0" labelOnly="1" outline="0" axis="axisPage" fieldPosition="2"/>
    </format>
    <format dxfId="283">
      <pivotArea type="all" dataOnly="0" outline="0" fieldPosition="0"/>
    </format>
    <format dxfId="282">
      <pivotArea outline="0" collapsedLevelsAreSubtotals="1" fieldPosition="0"/>
    </format>
    <format dxfId="281">
      <pivotArea outline="0" collapsedLevelsAreSubtotals="1" fieldPosition="0"/>
    </format>
    <format dxfId="280">
      <pivotArea field="5" type="button" dataOnly="0" labelOnly="1" outline="0" axis="axisRow" fieldPosition="0"/>
    </format>
    <format dxfId="279">
      <pivotArea field="5" type="button" dataOnly="0" labelOnly="1" outline="0" axis="axisRow" fieldPosition="0"/>
    </format>
    <format dxfId="278">
      <pivotArea field="5" type="button" dataOnly="0" labelOnly="1" outline="0" axis="axisRow" fieldPosition="0"/>
    </format>
    <format dxfId="277">
      <pivotArea field="4" type="button" dataOnly="0" labelOnly="1" outline="0" axis="axisPage" fieldPosition="2"/>
    </format>
    <format dxfId="276">
      <pivotArea dataOnly="0" labelOnly="1" outline="0" fieldPosition="0">
        <references count="2">
          <reference field="4" count="1">
            <x v="0"/>
          </reference>
          <reference field="121" count="1" selected="0">
            <x v="0"/>
          </reference>
        </references>
      </pivotArea>
    </format>
    <format dxfId="275">
      <pivotArea dataOnly="0" labelOnly="1" outline="0" fieldPosition="0">
        <references count="2">
          <reference field="4" count="1">
            <x v="2"/>
          </reference>
          <reference field="121" count="1" selected="0">
            <x v="0"/>
          </reference>
        </references>
      </pivotArea>
    </format>
  </formats>
  <chartFormats count="2">
    <chartFormat chart="43" format="2" series="1">
      <pivotArea type="data" outline="0" fieldPosition="0">
        <references count="1">
          <reference field="4294967294" count="1" selected="0">
            <x v="0"/>
          </reference>
        </references>
      </pivotArea>
    </chartFormat>
    <chartFormat chart="43" format="3"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AF936533-FE27-4265-818F-3C64224CA706}" name="PivotTable11" cacheId="0"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V27:Z29" firstHeaderRow="0" firstDataRow="1" firstDataCol="1" rowPageCount="4" colPageCount="1"/>
  <pivotFields count="131">
    <pivotField axis="axisPage" subtotalTop="0" showAll="0">
      <items count="12">
        <item m="1" x="9"/>
        <item m="1" x="3"/>
        <item m="1" x="4"/>
        <item m="1" x="1"/>
        <item m="1" x="10"/>
        <item m="1" x="2"/>
        <item m="1" x="8"/>
        <item m="1" x="5"/>
        <item m="1" x="6"/>
        <item m="1" x="7"/>
        <item x="0"/>
        <item t="default"/>
      </items>
    </pivotField>
    <pivotField showAll="0" defaultSubtotal="0"/>
    <pivotField showAll="0" defaultSubtotal="0"/>
    <pivotField subtotalTop="0" showAll="0"/>
    <pivotField axis="axisPage" subtotalTop="0" showAll="0">
      <items count="7">
        <item x="0"/>
        <item m="1" x="5"/>
        <item x="3"/>
        <item m="1" x="4"/>
        <item x="1"/>
        <item x="2"/>
        <item t="default"/>
      </items>
    </pivotField>
    <pivotField axis="axisRow" subtotalTop="0" showAll="0">
      <items count="42">
        <item x="0"/>
        <item x="5"/>
        <item x="6"/>
        <item x="30"/>
        <item x="24"/>
        <item m="1" x="39"/>
        <item x="9"/>
        <item x="28"/>
        <item x="7"/>
        <item x="8"/>
        <item x="1"/>
        <item x="25"/>
        <item x="3"/>
        <item x="29"/>
        <item x="26"/>
        <item x="13"/>
        <item x="10"/>
        <item x="18"/>
        <item x="11"/>
        <item x="12"/>
        <item x="2"/>
        <item m="1" x="35"/>
        <item x="4"/>
        <item x="21"/>
        <item x="16"/>
        <item x="22"/>
        <item x="14"/>
        <item x="15"/>
        <item x="19"/>
        <item x="17"/>
        <item m="1" x="36"/>
        <item x="23"/>
        <item x="20"/>
        <item m="1" x="40"/>
        <item x="27"/>
        <item m="1" x="34"/>
        <item m="1" x="37"/>
        <item m="1" x="32"/>
        <item m="1" x="33"/>
        <item m="1" x="31"/>
        <item m="1" x="38"/>
        <item t="default"/>
      </items>
    </pivotField>
    <pivotField axis="axisPage" multipleItemSelectionAllowed="1" showAll="0" defaultSubtotal="0">
      <items count="10">
        <item h="1" x="1"/>
        <item h="1" x="0"/>
        <item m="1" x="9"/>
        <item m="1" x="6"/>
        <item m="1" x="5"/>
        <item h="1" x="2"/>
        <item m="1" x="8"/>
        <item h="1" x="4"/>
        <item m="1" x="7"/>
        <item x="3"/>
      </items>
    </pivotField>
    <pivotField subtotalTop="0" showAll="0"/>
    <pivotField subtotalTop="0" showAll="0"/>
    <pivotField dataField="1"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s>
  <rowFields count="1">
    <field x="5"/>
  </rowFields>
  <rowItems count="2">
    <i>
      <x v="34"/>
    </i>
    <i t="grand">
      <x/>
    </i>
  </rowItems>
  <colFields count="1">
    <field x="-2"/>
  </colFields>
  <colItems count="4">
    <i>
      <x/>
    </i>
    <i i="1">
      <x v="1"/>
    </i>
    <i i="2">
      <x v="2"/>
    </i>
    <i i="3">
      <x v="3"/>
    </i>
  </colItems>
  <pageFields count="4">
    <pageField fld="0" item="10" hier="-1"/>
    <pageField fld="121" item="0" hier="-1"/>
    <pageField fld="4" item="2" hier="-1"/>
    <pageField fld="6" hier="-1"/>
  </pageFields>
  <dataFields count="4">
    <dataField name="PoP " fld="9" baseField="0" baseItem="0" numFmtId="164"/>
    <dataField name=" % Water GAP" fld="128" baseField="0" baseItem="0" numFmtId="9"/>
    <dataField name=" % Sanitation GAP" fld="130" baseField="0" baseItem="0" numFmtId="9"/>
    <dataField name=" % Hygiene Gap" fld="125" baseField="0" baseItem="0" numFmtId="9"/>
  </dataFields>
  <formats count="37">
    <format dxfId="323">
      <pivotArea type="all" dataOnly="0" outline="0" fieldPosition="0"/>
    </format>
    <format dxfId="322">
      <pivotArea outline="0" collapsedLevelsAreSubtotals="1" fieldPosition="0"/>
    </format>
    <format dxfId="321">
      <pivotArea field="5" type="button" dataOnly="0" labelOnly="1" outline="0" axis="axisRow" fieldPosition="0"/>
    </format>
    <format dxfId="320">
      <pivotArea dataOnly="0" labelOnly="1" outline="0" axis="axisValues" fieldPosition="0"/>
    </format>
    <format dxfId="319">
      <pivotArea dataOnly="0" labelOnly="1" fieldPosition="0">
        <references count="1">
          <reference field="5" count="0"/>
        </references>
      </pivotArea>
    </format>
    <format dxfId="318">
      <pivotArea dataOnly="0" labelOnly="1" grandRow="1" outline="0" fieldPosition="0"/>
    </format>
    <format dxfId="317">
      <pivotArea dataOnly="0" labelOnly="1" outline="0" axis="axisValues" fieldPosition="0"/>
    </format>
    <format dxfId="316">
      <pivotArea type="all" dataOnly="0" outline="0" fieldPosition="0"/>
    </format>
    <format dxfId="315">
      <pivotArea field="5" type="button" dataOnly="0" labelOnly="1" outline="0" axis="axisRow" fieldPosition="0"/>
    </format>
    <format dxfId="314">
      <pivotArea dataOnly="0" labelOnly="1" outline="0" axis="axisValues" fieldPosition="0"/>
    </format>
    <format dxfId="313">
      <pivotArea dataOnly="0" labelOnly="1" fieldPosition="0">
        <references count="1">
          <reference field="5" count="0"/>
        </references>
      </pivotArea>
    </format>
    <format dxfId="312">
      <pivotArea dataOnly="0" labelOnly="1" outline="0" axis="axisValues" fieldPosition="0"/>
    </format>
    <format dxfId="311">
      <pivotArea field="5" type="button" dataOnly="0" labelOnly="1" outline="0" axis="axisRow" fieldPosition="0"/>
    </format>
    <format dxfId="310">
      <pivotArea type="all" dataOnly="0" outline="0" fieldPosition="0"/>
    </format>
    <format dxfId="309">
      <pivotArea field="5" type="button" dataOnly="0" labelOnly="1" outline="0" axis="axisRow" fieldPosition="0"/>
    </format>
    <format dxfId="308">
      <pivotArea dataOnly="0" labelOnly="1" fieldPosition="0">
        <references count="1">
          <reference field="5" count="7">
            <x v="3"/>
            <x v="4"/>
            <x v="7"/>
            <x v="11"/>
            <x v="13"/>
            <x v="14"/>
            <x v="21"/>
          </reference>
        </references>
      </pivotArea>
    </format>
    <format dxfId="307">
      <pivotArea dataOnly="0" labelOnly="1" outline="0" fieldPosition="0">
        <references count="1">
          <reference field="4294967294" count="1">
            <x v="0"/>
          </reference>
        </references>
      </pivotArea>
    </format>
    <format dxfId="306">
      <pivotArea type="all" dataOnly="0" outline="0" fieldPosition="0"/>
    </format>
    <format dxfId="305">
      <pivotArea outline="0" collapsedLevelsAreSubtotals="1" fieldPosition="0"/>
    </format>
    <format dxfId="304">
      <pivotArea field="5" type="button" dataOnly="0" labelOnly="1" outline="0" axis="axisRow" fieldPosition="0"/>
    </format>
    <format dxfId="303">
      <pivotArea dataOnly="0" labelOnly="1" fieldPosition="0">
        <references count="1">
          <reference field="5" count="7">
            <x v="3"/>
            <x v="4"/>
            <x v="7"/>
            <x v="11"/>
            <x v="13"/>
            <x v="14"/>
            <x v="21"/>
          </reference>
        </references>
      </pivotArea>
    </format>
    <format dxfId="302">
      <pivotArea dataOnly="0" labelOnly="1" outline="0" fieldPosition="0">
        <references count="1">
          <reference field="4294967294" count="1">
            <x v="0"/>
          </reference>
        </references>
      </pivotArea>
    </format>
    <format dxfId="301">
      <pivotArea field="5" type="button" dataOnly="0" labelOnly="1" outline="0" axis="axisRow" fieldPosition="0"/>
    </format>
    <format dxfId="300">
      <pivotArea dataOnly="0" labelOnly="1" outline="0" fieldPosition="0">
        <references count="1">
          <reference field="4294967294" count="1">
            <x v="0"/>
          </reference>
        </references>
      </pivotArea>
    </format>
    <format dxfId="299">
      <pivotArea type="all" dataOnly="0" outline="0" fieldPosition="0"/>
    </format>
    <format dxfId="298">
      <pivotArea outline="0" collapsedLevelsAreSubtotals="1" fieldPosition="0"/>
    </format>
    <format dxfId="297">
      <pivotArea field="5" type="button" dataOnly="0" labelOnly="1" outline="0" axis="axisRow" fieldPosition="0"/>
    </format>
    <format dxfId="296">
      <pivotArea dataOnly="0" labelOnly="1" fieldPosition="0">
        <references count="1">
          <reference field="5" count="6">
            <x v="3"/>
            <x v="4"/>
            <x v="7"/>
            <x v="11"/>
            <x v="13"/>
            <x v="14"/>
          </reference>
        </references>
      </pivotArea>
    </format>
    <format dxfId="295">
      <pivotArea dataOnly="0" labelOnly="1" grandRow="1" outline="0" fieldPosition="0"/>
    </format>
    <format dxfId="294">
      <pivotArea dataOnly="0" labelOnly="1" outline="0" fieldPosition="0">
        <references count="1">
          <reference field="4294967294" count="1">
            <x v="0"/>
          </reference>
        </references>
      </pivotArea>
    </format>
    <format dxfId="293">
      <pivotArea field="4" type="button" dataOnly="0" labelOnly="1" outline="0" axis="axisPage" fieldPosition="2"/>
    </format>
    <format dxfId="292">
      <pivotArea dataOnly="0" labelOnly="1" outline="0" fieldPosition="0">
        <references count="3">
          <reference field="0" count="1" selected="0">
            <x v="7"/>
          </reference>
          <reference field="4" count="1">
            <x v="2"/>
          </reference>
          <reference field="121" count="1" selected="0">
            <x v="0"/>
          </reference>
        </references>
      </pivotArea>
    </format>
    <format dxfId="291">
      <pivotArea dataOnly="0" labelOnly="1" outline="0" fieldPosition="0">
        <references count="3">
          <reference field="0" count="1" selected="0">
            <x v="8"/>
          </reference>
          <reference field="4" count="1">
            <x v="2"/>
          </reference>
          <reference field="121" count="1" selected="0">
            <x v="0"/>
          </reference>
        </references>
      </pivotArea>
    </format>
    <format dxfId="290">
      <pivotArea outline="0" collapsedLevelsAreSubtotals="1" fieldPosition="0">
        <references count="1">
          <reference field="4294967294" count="1" selected="0">
            <x v="0"/>
          </reference>
        </references>
      </pivotArea>
    </format>
    <format dxfId="289">
      <pivotArea dataOnly="0" labelOnly="1" outline="0" fieldPosition="0">
        <references count="3">
          <reference field="0" count="1" selected="0">
            <x v="10"/>
          </reference>
          <reference field="4" count="1">
            <x v="0"/>
          </reference>
          <reference field="121" count="1" selected="0">
            <x v="0"/>
          </reference>
        </references>
      </pivotArea>
    </format>
    <format dxfId="288">
      <pivotArea dataOnly="0" labelOnly="1" outline="0" fieldPosition="0">
        <references count="3">
          <reference field="0" count="1" selected="0">
            <x v="10"/>
          </reference>
          <reference field="4" count="1">
            <x v="2"/>
          </reference>
          <reference field="121" count="1" selected="0">
            <x v="0"/>
          </reference>
        </references>
      </pivotArea>
    </format>
    <format dxfId="287">
      <pivotArea outline="0" collapsedLevelsAreSubtotals="1" fieldPosition="0">
        <references count="1">
          <reference field="4294967294" count="3" selected="0">
            <x v="1"/>
            <x v="2"/>
            <x v="3"/>
          </reference>
        </references>
      </pivotArea>
    </format>
  </formats>
  <conditionalFormats count="1">
    <conditionalFormat priority="1">
      <pivotAreas count="1">
        <pivotArea type="data" outline="0" collapsedLevelsAreSubtotals="1" fieldPosition="0">
          <references count="1">
            <reference field="4294967294" count="3" selected="0">
              <x v="1"/>
              <x v="2"/>
              <x v="3"/>
            </reference>
          </references>
        </pivotArea>
      </pivotAreas>
    </conditionalFormat>
  </conditional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00000000-0007-0000-0800-000005000000}" name="K_L_CG_C"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37" rowHeaderCaption="State" colHeaderCaption=" ">
  <location ref="B199:D211" firstHeaderRow="0" firstDataRow="1" firstDataCol="1" rowPageCount="4" colPageCount="1"/>
  <pivotFields count="131">
    <pivotField axis="axisPage" subtotalTop="0" multipleItemSelectionAllowed="1" showAll="0">
      <items count="12">
        <item m="1" x="9"/>
        <item m="1" x="3"/>
        <item h="1" m="1" x="4"/>
        <item h="1" m="1" x="1"/>
        <item m="1" x="10"/>
        <item m="1" x="2"/>
        <item h="1" m="1" x="8"/>
        <item h="1" m="1" x="5"/>
        <item h="1" m="1" x="6"/>
        <item m="1" x="7"/>
        <item x="0"/>
        <item t="default"/>
      </items>
    </pivotField>
    <pivotField showAll="0" defaultSubtotal="0"/>
    <pivotField showAll="0" defaultSubtotal="0"/>
    <pivotField subtotalTop="0" showAll="0"/>
    <pivotField axis="axisPage" subtotalTop="0" showAll="0">
      <items count="7">
        <item x="0"/>
        <item m="1" x="5"/>
        <item x="3"/>
        <item m="1" x="4"/>
        <item x="1"/>
        <item x="2"/>
        <item t="default"/>
      </items>
    </pivotField>
    <pivotField axis="axisRow" subtotalTop="0" showAll="0">
      <items count="42">
        <item m="1" x="36"/>
        <item x="0"/>
        <item x="14"/>
        <item x="5"/>
        <item x="6"/>
        <item x="30"/>
        <item x="27"/>
        <item x="24"/>
        <item x="17"/>
        <item x="16"/>
        <item m="1" x="35"/>
        <item m="1" x="39"/>
        <item x="9"/>
        <item x="28"/>
        <item x="15"/>
        <item x="19"/>
        <item x="7"/>
        <item x="8"/>
        <item x="1"/>
        <item x="22"/>
        <item x="25"/>
        <item x="20"/>
        <item x="3"/>
        <item m="1" x="37"/>
        <item x="29"/>
        <item x="26"/>
        <item m="1" x="34"/>
        <item x="13"/>
        <item x="23"/>
        <item x="10"/>
        <item m="1" x="40"/>
        <item x="21"/>
        <item x="4"/>
        <item x="18"/>
        <item x="11"/>
        <item x="12"/>
        <item x="2"/>
        <item m="1" x="32"/>
        <item m="1" x="33"/>
        <item m="1" x="31"/>
        <item m="1" x="38"/>
        <item t="default"/>
      </items>
    </pivotField>
    <pivotField axis="axisPage" multipleItemSelectionAllowed="1" showAll="0" defaultSubtotal="0">
      <items count="10">
        <item x="1"/>
        <item x="0"/>
        <item m="1" x="9"/>
        <item h="1" x="3"/>
        <item m="1" x="6"/>
        <item m="1" x="5"/>
        <item h="1" x="2"/>
        <item m="1" x="8"/>
        <item h="1" x="4"/>
        <item m="1" x="7"/>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s>
  <rowFields count="1">
    <field x="5"/>
  </rowFields>
  <rowItems count="12">
    <i>
      <x v="1"/>
    </i>
    <i>
      <x v="3"/>
    </i>
    <i>
      <x v="4"/>
    </i>
    <i>
      <x v="12"/>
    </i>
    <i>
      <x v="16"/>
    </i>
    <i>
      <x v="17"/>
    </i>
    <i>
      <x v="18"/>
    </i>
    <i>
      <x v="22"/>
    </i>
    <i>
      <x v="29"/>
    </i>
    <i>
      <x v="32"/>
    </i>
    <i>
      <x v="34"/>
    </i>
    <i>
      <x v="36"/>
    </i>
  </rowItems>
  <colFields count="1">
    <field x="-2"/>
  </colFields>
  <colItems count="2">
    <i>
      <x/>
    </i>
    <i i="1">
      <x v="1"/>
    </i>
  </colItems>
  <pageFields count="4">
    <pageField fld="0" hier="-1"/>
    <pageField fld="121" item="0" hier="-1"/>
    <pageField fld="4" item="0" hier="-1"/>
    <pageField fld="6" hier="-1"/>
  </pageFields>
  <dataFields count="2">
    <dataField name=" % Latrine Coverage" fld="129" baseField="0" baseItem="0" numFmtId="1"/>
    <dataField name="  % Latrine GAP" fld="130" baseField="0" baseItem="0" numFmtId="1"/>
  </dataFields>
  <formats count="11">
    <format dxfId="334">
      <pivotArea type="all" dataOnly="0" outline="0" fieldPosition="0"/>
    </format>
    <format dxfId="333">
      <pivotArea outline="0" collapsedLevelsAreSubtotals="1" fieldPosition="0"/>
    </format>
    <format dxfId="332">
      <pivotArea field="4" type="button" dataOnly="0" labelOnly="1" outline="0" axis="axisPage" fieldPosition="2"/>
    </format>
    <format dxfId="331">
      <pivotArea type="all" dataOnly="0" outline="0" fieldPosition="0"/>
    </format>
    <format dxfId="330">
      <pivotArea outline="0" collapsedLevelsAreSubtotals="1" fieldPosition="0"/>
    </format>
    <format dxfId="329">
      <pivotArea outline="0" collapsedLevelsAreSubtotals="1" fieldPosition="0"/>
    </format>
    <format dxfId="328">
      <pivotArea field="5" type="button" dataOnly="0" labelOnly="1" outline="0" axis="axisRow" fieldPosition="0"/>
    </format>
    <format dxfId="327">
      <pivotArea field="5" type="button" dataOnly="0" labelOnly="1" outline="0" axis="axisRow" fieldPosition="0"/>
    </format>
    <format dxfId="326">
      <pivotArea field="5" type="button" dataOnly="0" labelOnly="1" outline="0" axis="axisRow" fieldPosition="0"/>
    </format>
    <format dxfId="325">
      <pivotArea field="4" type="button" dataOnly="0" labelOnly="1" outline="0" axis="axisPage" fieldPosition="2"/>
    </format>
    <format dxfId="324">
      <pivotArea dataOnly="0" labelOnly="1" outline="0" fieldPosition="0">
        <references count="2">
          <reference field="4" count="1">
            <x v="0"/>
          </reference>
          <reference field="121" count="1" selected="0">
            <x v="0"/>
          </reference>
        </references>
      </pivotArea>
    </format>
  </formats>
  <chartFormats count="2">
    <chartFormat chart="34" format="3" series="1">
      <pivotArea type="data" outline="0" fieldPosition="0">
        <references count="1">
          <reference field="4294967294" count="1" selected="0">
            <x v="0"/>
          </reference>
        </references>
      </pivotArea>
    </chartFormat>
    <chartFormat chart="34" format="4"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00000000-0007-0000-0800-000001000000}" name="Hygiene_1" cacheId="0"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241:G245" firstHeaderRow="0" firstDataRow="1" firstDataCol="1" rowPageCount="3" colPageCount="1"/>
  <pivotFields count="131">
    <pivotField axis="axisPage" subtotalTop="0" multipleItemSelectionAllowed="1" showAll="0">
      <items count="12">
        <item h="1" m="1" x="9"/>
        <item m="1" x="3"/>
        <item m="1" x="10"/>
        <item h="1" m="1" x="4"/>
        <item m="1" x="2"/>
        <item h="1" m="1" x="1"/>
        <item h="1" m="1" x="8"/>
        <item h="1" m="1" x="5"/>
        <item h="1" m="1" x="6"/>
        <item m="1" x="7"/>
        <item x="0"/>
        <item t="default"/>
      </items>
    </pivotField>
    <pivotField showAll="0" defaultSubtotal="0"/>
    <pivotField showAll="0" defaultSubtotal="0"/>
    <pivotField subtotalTop="0" showAll="0"/>
    <pivotField axis="axisRow" subtotalTop="0" showAll="0">
      <items count="7">
        <item x="0"/>
        <item m="1" x="5"/>
        <item x="3"/>
        <item m="1" x="4"/>
        <item x="1"/>
        <item x="2"/>
        <item t="default"/>
      </items>
    </pivotField>
    <pivotField subtotalTop="0" showAll="0"/>
    <pivotField axis="axisPage" multipleItemSelectionAllowed="1" showAll="0" defaultSubtotal="0">
      <items count="10">
        <item x="1"/>
        <item x="0"/>
        <item m="1" x="9"/>
        <item h="1" x="3"/>
        <item m="1" x="6"/>
        <item m="1" x="5"/>
        <item h="1" x="2"/>
        <item m="1" x="8"/>
        <item h="1" x="4"/>
        <item m="1" x="7"/>
      </items>
    </pivotField>
    <pivotField subtotalTop="0" showAll="0"/>
    <pivotField dataField="1"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numFmtId="9" subtotalTop="0"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1" showAll="0" defaultSubtotal="0"/>
    <pivotField numFmtId="9" showAll="0"/>
    <pivotField numFmtId="1" showAll="0" defaultSubtotal="0"/>
    <pivotField showAll="0" defaultSubtotal="0"/>
    <pivotField showAll="0" defaultSubtotal="0"/>
    <pivotField subtotalTop="0" showAll="0"/>
    <pivotField subtotalTop="0" showAll="0"/>
    <pivotField subtotalTop="0" showAll="0"/>
    <pivotField numFmtId="9"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dataField="1" numFmtId="1"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4">
    <i>
      <x/>
    </i>
    <i>
      <x v="2"/>
    </i>
    <i>
      <x v="4"/>
    </i>
    <i t="grand">
      <x/>
    </i>
  </rowItems>
  <colFields count="1">
    <field x="-2"/>
  </colFields>
  <colItems count="5">
    <i>
      <x/>
    </i>
    <i i="1">
      <x v="1"/>
    </i>
    <i i="2">
      <x v="2"/>
    </i>
    <i i="3">
      <x v="3"/>
    </i>
    <i i="4">
      <x v="4"/>
    </i>
  </colItems>
  <pageFields count="3">
    <pageField fld="0" hier="-1"/>
    <pageField fld="121" item="0" hier="-1"/>
    <pageField fld="6" hier="-1"/>
  </pageFields>
  <dataFields count="5">
    <dataField name="Sum of Total HH" fld="8" baseField="2" baseItem="0" numFmtId="3"/>
    <dataField name="Sum of # people reached by regular dedicated hygiene promotion_5" fld="98" baseField="0" baseItem="0"/>
    <dataField name="Sum of #HH with access to Hand Washing Station" fld="109" baseField="2" baseItem="0" numFmtId="3"/>
    <dataField name="Sum of #_households that received standard amount of soap for this quarter" fld="62" baseField="0" baseItem="0"/>
    <dataField name="Sum of #_households that received standard amount of sanitary pads for this quarter" fld="63" baseField="0" baseItem="0"/>
  </dataFields>
  <formats count="15">
    <format dxfId="349">
      <pivotArea type="all" dataOnly="0" outline="0" fieldPosition="0"/>
    </format>
    <format dxfId="348">
      <pivotArea type="all" dataOnly="0" outline="0" fieldPosition="0"/>
    </format>
    <format dxfId="347">
      <pivotArea outline="0" collapsedLevelsAreSubtotals="1" fieldPosition="0"/>
    </format>
    <format dxfId="346">
      <pivotArea field="4" type="button" dataOnly="0" labelOnly="1" outline="0" axis="axisRow" fieldPosition="0"/>
    </format>
    <format dxfId="345">
      <pivotArea dataOnly="0" labelOnly="1" fieldPosition="0">
        <references count="1">
          <reference field="4" count="0"/>
        </references>
      </pivotArea>
    </format>
    <format dxfId="344">
      <pivotArea dataOnly="0" labelOnly="1" grandRow="1" outline="0" fieldPosition="0"/>
    </format>
    <format dxfId="343">
      <pivotArea dataOnly="0" labelOnly="1" outline="0" fieldPosition="0">
        <references count="1">
          <reference field="4294967294" count="2">
            <x v="0"/>
            <x v="2"/>
          </reference>
        </references>
      </pivotArea>
    </format>
    <format dxfId="342">
      <pivotArea outline="0" fieldPosition="0">
        <references count="1">
          <reference field="4294967294" count="1">
            <x v="0"/>
          </reference>
        </references>
      </pivotArea>
    </format>
    <format dxfId="341">
      <pivotArea outline="0" fieldPosition="0">
        <references count="1">
          <reference field="4294967294" count="1">
            <x v="2"/>
          </reference>
        </references>
      </pivotArea>
    </format>
    <format dxfId="340">
      <pivotArea type="all" dataOnly="0" outline="0" fieldPosition="0"/>
    </format>
    <format dxfId="339">
      <pivotArea outline="0" collapsedLevelsAreSubtotals="1" fieldPosition="0"/>
    </format>
    <format dxfId="338">
      <pivotArea field="4" type="button" dataOnly="0" labelOnly="1" outline="0" axis="axisRow" fieldPosition="0"/>
    </format>
    <format dxfId="337">
      <pivotArea dataOnly="0" labelOnly="1" fieldPosition="0">
        <references count="1">
          <reference field="4" count="0"/>
        </references>
      </pivotArea>
    </format>
    <format dxfId="336">
      <pivotArea dataOnly="0" labelOnly="1" grandRow="1" outline="0" fieldPosition="0"/>
    </format>
    <format dxfId="335">
      <pivotArea dataOnly="0" labelOnly="1" outline="0" fieldPosition="0">
        <references count="1">
          <reference field="4294967294" count="3">
            <x v="0"/>
            <x v="1"/>
            <x v="2"/>
          </reference>
        </references>
      </pivotArea>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00000000-0007-0000-0800-000022000000}" name="W_R_C_G_C"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39" rowHeaderCaption="State" colHeaderCaption=" ">
  <location ref="B113:D118" firstHeaderRow="0" firstDataRow="1" firstDataCol="1" rowPageCount="4" colPageCount="1"/>
  <pivotFields count="131">
    <pivotField axis="axisPage" subtotalTop="0" multipleItemSelectionAllowed="1" showAll="0">
      <items count="12">
        <item m="1" x="9"/>
        <item m="1" x="3"/>
        <item h="1" m="1" x="4"/>
        <item h="1" m="1" x="1"/>
        <item m="1" x="10"/>
        <item m="1" x="2"/>
        <item h="1" m="1" x="8"/>
        <item h="1" m="1" x="5"/>
        <item h="1" m="1" x="6"/>
        <item m="1" x="7"/>
        <item x="0"/>
        <item t="default"/>
      </items>
    </pivotField>
    <pivotField showAll="0" defaultSubtotal="0"/>
    <pivotField showAll="0" defaultSubtotal="0"/>
    <pivotField subtotalTop="0" showAll="0"/>
    <pivotField axis="axisPage" subtotalTop="0" multipleItemSelectionAllowed="1" showAll="0">
      <items count="7">
        <item h="1" x="0"/>
        <item m="1" x="5"/>
        <item h="1" x="3"/>
        <item m="1" x="4"/>
        <item x="1"/>
        <item x="2"/>
        <item t="default"/>
      </items>
    </pivotField>
    <pivotField axis="axisRow" subtotalTop="0" showAll="0">
      <items count="42">
        <item m="1" x="36"/>
        <item x="0"/>
        <item x="14"/>
        <item x="5"/>
        <item x="6"/>
        <item x="30"/>
        <item x="27"/>
        <item x="24"/>
        <item x="17"/>
        <item x="16"/>
        <item m="1" x="35"/>
        <item m="1" x="39"/>
        <item x="9"/>
        <item x="28"/>
        <item x="15"/>
        <item x="19"/>
        <item x="7"/>
        <item x="8"/>
        <item x="1"/>
        <item x="22"/>
        <item x="25"/>
        <item x="20"/>
        <item x="3"/>
        <item m="1" x="37"/>
        <item x="29"/>
        <item x="26"/>
        <item m="1" x="34"/>
        <item x="13"/>
        <item x="23"/>
        <item x="10"/>
        <item m="1" x="40"/>
        <item x="21"/>
        <item x="4"/>
        <item x="18"/>
        <item x="11"/>
        <item x="12"/>
        <item x="2"/>
        <item m="1" x="32"/>
        <item m="1" x="33"/>
        <item m="1" x="31"/>
        <item m="1" x="38"/>
        <item t="default"/>
      </items>
    </pivotField>
    <pivotField axis="axisPage" multipleItemSelectionAllowed="1" showAll="0" defaultSubtotal="0">
      <items count="10">
        <item x="1"/>
        <item x="0"/>
        <item m="1" x="9"/>
        <item h="1" x="3"/>
        <item m="1" x="6"/>
        <item m="1" x="5"/>
        <item h="1" x="2"/>
        <item m="1" x="8"/>
        <item h="1" x="4"/>
        <item m="1" x="7"/>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s>
  <rowFields count="1">
    <field x="5"/>
  </rowFields>
  <rowItems count="5">
    <i>
      <x v="8"/>
    </i>
    <i>
      <x v="9"/>
    </i>
    <i>
      <x v="21"/>
    </i>
    <i>
      <x v="27"/>
    </i>
    <i>
      <x v="33"/>
    </i>
  </rowItems>
  <colFields count="1">
    <field x="-2"/>
  </colFields>
  <colItems count="2">
    <i>
      <x/>
    </i>
    <i i="1">
      <x v="1"/>
    </i>
  </colItems>
  <pageFields count="4">
    <pageField fld="0" hier="-1"/>
    <pageField fld="121" item="0" hier="-1"/>
    <pageField fld="4" hier="-1"/>
    <pageField fld="6" hier="-1"/>
  </pageFields>
  <dataFields count="2">
    <dataField name=" % Water Coverage" fld="127" baseField="0" baseItem="0"/>
    <dataField name=" % Water GAP" fld="128" baseField="0" baseItem="0"/>
  </dataFields>
  <formats count="13">
    <format dxfId="362">
      <pivotArea field="4" type="button" dataOnly="0" labelOnly="1" outline="0" axis="axisPage" fieldPosition="2"/>
    </format>
    <format dxfId="361">
      <pivotArea type="all" dataOnly="0" outline="0" fieldPosition="0"/>
    </format>
    <format dxfId="360">
      <pivotArea outline="0" collapsedLevelsAreSubtotals="1" fieldPosition="0"/>
    </format>
    <format dxfId="359">
      <pivotArea field="4" type="button" dataOnly="0" labelOnly="1" outline="0" axis="axisPage" fieldPosition="2"/>
    </format>
    <format dxfId="358">
      <pivotArea type="all" dataOnly="0" outline="0" fieldPosition="0"/>
    </format>
    <format dxfId="357">
      <pivotArea outline="0" collapsedLevelsAreSubtotals="1" fieldPosition="0"/>
    </format>
    <format dxfId="356">
      <pivotArea outline="0" collapsedLevelsAreSubtotals="1" fieldPosition="0"/>
    </format>
    <format dxfId="355">
      <pivotArea field="5" type="button" dataOnly="0" labelOnly="1" outline="0" axis="axisRow" fieldPosition="0"/>
    </format>
    <format dxfId="354">
      <pivotArea field="5" type="button" dataOnly="0" labelOnly="1" outline="0" axis="axisRow" fieldPosition="0"/>
    </format>
    <format dxfId="353">
      <pivotArea field="5" type="button" dataOnly="0" labelOnly="1" outline="0" axis="axisRow" fieldPosition="0"/>
    </format>
    <format dxfId="352">
      <pivotArea field="4" type="button" dataOnly="0" labelOnly="1" outline="0" axis="axisPage" fieldPosition="2"/>
    </format>
    <format dxfId="351">
      <pivotArea dataOnly="0" labelOnly="1" outline="0" fieldPosition="0">
        <references count="2">
          <reference field="4" count="1">
            <x v="1"/>
          </reference>
          <reference field="121" count="1" selected="0">
            <x v="0"/>
          </reference>
        </references>
      </pivotArea>
    </format>
    <format dxfId="350">
      <pivotArea dataOnly="0" labelOnly="1" outline="0" fieldPosition="0">
        <references count="2">
          <reference field="4" count="1">
            <x v="2"/>
          </reference>
          <reference field="121" count="1" selected="0">
            <x v="0"/>
          </reference>
        </references>
      </pivotArea>
    </format>
  </formats>
  <chartFormats count="2">
    <chartFormat chart="33" format="4" series="1">
      <pivotArea type="data" outline="0" fieldPosition="0">
        <references count="1">
          <reference field="4294967294" count="1" selected="0">
            <x v="0"/>
          </reference>
        </references>
      </pivotArea>
    </chartFormat>
    <chartFormat chart="33" format="5" series="1">
      <pivotArea type="data" outline="0" fieldPosition="0">
        <references count="1">
          <reference field="4294967294" count="1" selected="0">
            <x v="1"/>
          </reference>
        </references>
      </pivotArea>
    </chartFormat>
  </chart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00000000-0007-0000-0800-000013000000}" name="R_H_CG_C"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8" rowHeaderCaption="State" colHeaderCaption=" ">
  <location ref="B308:D313" firstHeaderRow="0" firstDataRow="1" firstDataCol="1" rowPageCount="4" colPageCount="1"/>
  <pivotFields count="131">
    <pivotField axis="axisPage" subtotalTop="0" multipleItemSelectionAllowed="1" showAll="0">
      <items count="12">
        <item m="1" x="9"/>
        <item m="1" x="3"/>
        <item h="1" m="1" x="4"/>
        <item h="1" m="1" x="1"/>
        <item m="1" x="10"/>
        <item m="1" x="2"/>
        <item h="1" m="1" x="8"/>
        <item h="1" m="1" x="5"/>
        <item h="1" m="1" x="6"/>
        <item m="1" x="7"/>
        <item x="0"/>
        <item t="default"/>
      </items>
    </pivotField>
    <pivotField showAll="0" defaultSubtotal="0"/>
    <pivotField showAll="0" defaultSubtotal="0"/>
    <pivotField subtotalTop="0" showAll="0"/>
    <pivotField axis="axisPage" subtotalTop="0" multipleItemSelectionAllowed="1" showAll="0">
      <items count="7">
        <item h="1" x="0"/>
        <item m="1" x="5"/>
        <item h="1" x="3"/>
        <item m="1" x="4"/>
        <item x="1"/>
        <item x="2"/>
        <item t="default"/>
      </items>
    </pivotField>
    <pivotField axis="axisRow" subtotalTop="0" showAll="0">
      <items count="42">
        <item m="1" x="36"/>
        <item x="0"/>
        <item x="14"/>
        <item x="5"/>
        <item x="6"/>
        <item x="30"/>
        <item x="27"/>
        <item x="24"/>
        <item x="17"/>
        <item x="16"/>
        <item m="1" x="35"/>
        <item m="1" x="39"/>
        <item x="9"/>
        <item x="28"/>
        <item x="15"/>
        <item x="19"/>
        <item x="7"/>
        <item x="8"/>
        <item x="1"/>
        <item x="22"/>
        <item x="25"/>
        <item x="20"/>
        <item x="3"/>
        <item m="1" x="37"/>
        <item x="29"/>
        <item x="26"/>
        <item m="1" x="34"/>
        <item x="13"/>
        <item x="23"/>
        <item x="10"/>
        <item m="1" x="40"/>
        <item x="21"/>
        <item x="4"/>
        <item x="18"/>
        <item x="11"/>
        <item x="12"/>
        <item x="2"/>
        <item m="1" x="32"/>
        <item m="1" x="33"/>
        <item m="1" x="31"/>
        <item m="1" x="38"/>
        <item t="default"/>
      </items>
    </pivotField>
    <pivotField axis="axisPage" multipleItemSelectionAllowed="1" showAll="0" defaultSubtotal="0">
      <items count="10">
        <item x="1"/>
        <item x="0"/>
        <item m="1" x="9"/>
        <item h="1" x="3"/>
        <item m="1" x="6"/>
        <item m="1" x="5"/>
        <item h="1" x="2"/>
        <item m="1" x="8"/>
        <item h="1" x="4"/>
        <item m="1" x="7"/>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5">
    <i>
      <x v="8"/>
    </i>
    <i>
      <x v="9"/>
    </i>
    <i>
      <x v="21"/>
    </i>
    <i>
      <x v="27"/>
    </i>
    <i>
      <x v="33"/>
    </i>
  </rowItems>
  <colFields count="1">
    <field x="-2"/>
  </colFields>
  <colItems count="2">
    <i>
      <x/>
    </i>
    <i i="1">
      <x v="1"/>
    </i>
  </colItems>
  <pageFields count="4">
    <pageField fld="0" hier="-1"/>
    <pageField fld="121" item="0" hier="-1"/>
    <pageField fld="4" hier="-1"/>
    <pageField fld="6" hier="-1"/>
  </pageFields>
  <dataFields count="2">
    <dataField name="  % Hygiene Coverage" fld="126" baseField="0" baseItem="0" numFmtId="1"/>
    <dataField name="  % Hygiene Gap" fld="125" baseField="0" baseItem="0" numFmtId="1"/>
  </dataFields>
  <formats count="11">
    <format dxfId="373">
      <pivotArea type="all" dataOnly="0" outline="0" fieldPosition="0"/>
    </format>
    <format dxfId="372">
      <pivotArea outline="0" collapsedLevelsAreSubtotals="1" fieldPosition="0"/>
    </format>
    <format dxfId="371">
      <pivotArea field="4" type="button" dataOnly="0" labelOnly="1" outline="0" axis="axisPage" fieldPosition="2"/>
    </format>
    <format dxfId="370">
      <pivotArea type="all" dataOnly="0" outline="0" fieldPosition="0"/>
    </format>
    <format dxfId="369">
      <pivotArea outline="0" collapsedLevelsAreSubtotals="1" fieldPosition="0"/>
    </format>
    <format dxfId="368">
      <pivotArea outline="0" collapsedLevelsAreSubtotals="1" fieldPosition="0"/>
    </format>
    <format dxfId="367">
      <pivotArea field="5" type="button" dataOnly="0" labelOnly="1" outline="0" axis="axisRow" fieldPosition="0"/>
    </format>
    <format dxfId="366">
      <pivotArea field="5" type="button" dataOnly="0" labelOnly="1" outline="0" axis="axisRow" fieldPosition="0"/>
    </format>
    <format dxfId="365">
      <pivotArea field="5" type="button" dataOnly="0" labelOnly="1" outline="0" axis="axisRow" fieldPosition="0"/>
    </format>
    <format dxfId="364">
      <pivotArea field="4" type="button" dataOnly="0" labelOnly="1" outline="0" axis="axisPage" fieldPosition="2"/>
    </format>
    <format dxfId="363">
      <pivotArea dataOnly="0" labelOnly="1" outline="0" fieldPosition="0">
        <references count="2">
          <reference field="4" count="0"/>
          <reference field="121" count="1" selected="0">
            <x v="0"/>
          </reference>
        </references>
      </pivotArea>
    </format>
  </formats>
  <chartFormats count="2">
    <chartFormat chart="45" format="2" series="1">
      <pivotArea type="data" outline="0" fieldPosition="0">
        <references count="1">
          <reference field="4294967294" count="1" selected="0">
            <x v="0"/>
          </reference>
        </references>
      </pivotArea>
    </chartFormat>
    <chartFormat chart="45" format="3"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00000000-0007-0000-0800-000025000000}" name="water_test" cacheId="0"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21" rowHeaderCaption="State">
  <location ref="B64:F68" firstHeaderRow="0" firstDataRow="1" firstDataCol="1" rowPageCount="3" colPageCount="1"/>
  <pivotFields count="131">
    <pivotField axis="axisPage" subtotalTop="0" multipleItemSelectionAllowed="1" showAll="0">
      <items count="12">
        <item m="1" x="9"/>
        <item m="1" x="3"/>
        <item h="1" m="1" x="4"/>
        <item h="1" m="1" x="1"/>
        <item m="1" x="10"/>
        <item m="1" x="2"/>
        <item h="1" m="1" x="8"/>
        <item h="1" m="1" x="5"/>
        <item h="1" m="1" x="6"/>
        <item m="1" x="7"/>
        <item x="0"/>
        <item t="default"/>
      </items>
    </pivotField>
    <pivotField showAll="0" defaultSubtotal="0"/>
    <pivotField showAll="0" defaultSubtotal="0"/>
    <pivotField subtotalTop="0" showAll="0"/>
    <pivotField axis="axisRow" subtotalTop="0" showAll="0">
      <items count="7">
        <item x="0"/>
        <item m="1" x="5"/>
        <item x="3"/>
        <item m="1" x="4"/>
        <item x="1"/>
        <item x="2"/>
        <item t="default"/>
      </items>
    </pivotField>
    <pivotField subtotalTop="0" showAll="0"/>
    <pivotField axis="axisPage" multipleItemSelectionAllowed="1" showAll="0" defaultSubtotal="0">
      <items count="10">
        <item x="1"/>
        <item x="0"/>
        <item m="1" x="9"/>
        <item m="1" x="6"/>
        <item m="1" x="5"/>
        <item h="1" x="2"/>
        <item m="1" x="8"/>
        <item h="1" x="4"/>
        <item m="1" x="7"/>
        <item h="1" x="3"/>
      </items>
    </pivotField>
    <pivotField dataField="1"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4">
    <i>
      <x/>
    </i>
    <i>
      <x v="2"/>
    </i>
    <i>
      <x v="4"/>
    </i>
    <i t="grand">
      <x/>
    </i>
  </rowItems>
  <colFields count="1">
    <field x="-2"/>
  </colFields>
  <colItems count="4">
    <i>
      <x/>
    </i>
    <i i="1">
      <x v="1"/>
    </i>
    <i i="2">
      <x v="2"/>
    </i>
    <i i="3">
      <x v="3"/>
    </i>
  </colItems>
  <pageFields count="3">
    <pageField fld="0" hier="-1"/>
    <pageField fld="121" hier="-1"/>
    <pageField fld="6" hier="-1"/>
  </pageFields>
  <dataFields count="4">
    <dataField name="Count of Site Name" fld="7" subtotal="count" baseField="0" baseItem="0"/>
    <dataField name="Count of #_Water sources tested for contamination" fld="34" subtotal="count" baseField="4" baseItem="4"/>
    <dataField name="Sum of #_Water sources tested for contamination2" fld="34" baseField="0" baseItem="0"/>
    <dataField name="Sum of #_Water sources treated" fld="35" baseField="0" baseItem="0"/>
  </dataFields>
  <formats count="14">
    <format dxfId="387">
      <pivotArea field="4" type="button" dataOnly="0" labelOnly="1" outline="0" axis="axisRow" fieldPosition="0"/>
    </format>
    <format dxfId="386">
      <pivotArea dataOnly="0" labelOnly="1" outline="0" fieldPosition="0">
        <references count="1">
          <reference field="4294967294" count="1">
            <x v="0"/>
          </reference>
        </references>
      </pivotArea>
    </format>
    <format dxfId="385">
      <pivotArea type="all" dataOnly="0" outline="0" fieldPosition="0"/>
    </format>
    <format dxfId="384">
      <pivotArea outline="0" collapsedLevelsAreSubtotals="1" fieldPosition="0"/>
    </format>
    <format dxfId="383">
      <pivotArea field="4" type="button" dataOnly="0" labelOnly="1" outline="0" axis="axisRow" fieldPosition="0"/>
    </format>
    <format dxfId="382">
      <pivotArea dataOnly="0" labelOnly="1" fieldPosition="0">
        <references count="1">
          <reference field="4" count="0"/>
        </references>
      </pivotArea>
    </format>
    <format dxfId="381">
      <pivotArea dataOnly="0" labelOnly="1" outline="0" fieldPosition="0">
        <references count="1">
          <reference field="4294967294" count="1">
            <x v="0"/>
          </reference>
        </references>
      </pivotArea>
    </format>
    <format dxfId="380">
      <pivotArea type="all" dataOnly="0" outline="0" fieldPosition="0"/>
    </format>
    <format dxfId="379">
      <pivotArea type="all" dataOnly="0" outline="0" fieldPosition="0"/>
    </format>
    <format dxfId="378">
      <pivotArea outline="0" collapsedLevelsAreSubtotals="1" fieldPosition="0"/>
    </format>
    <format dxfId="377">
      <pivotArea field="4" type="button" dataOnly="0" labelOnly="1" outline="0" axis="axisRow" fieldPosition="0"/>
    </format>
    <format dxfId="376">
      <pivotArea dataOnly="0" labelOnly="1" fieldPosition="0">
        <references count="1">
          <reference field="4" count="0"/>
        </references>
      </pivotArea>
    </format>
    <format dxfId="375">
      <pivotArea dataOnly="0" labelOnly="1" outline="0" fieldPosition="0">
        <references count="1">
          <reference field="4294967294" count="1">
            <x v="0"/>
          </reference>
        </references>
      </pivotArea>
    </format>
    <format dxfId="374">
      <pivotArea dataOnly="0" labelOnly="1" outline="0" fieldPosition="0">
        <references count="1">
          <reference field="4294967294" count="1">
            <x v="0"/>
          </reference>
        </references>
      </pivotArea>
    </format>
  </formats>
  <chartFormats count="2">
    <chartFormat chart="11" format="2" series="1">
      <pivotArea type="data" outline="0" fieldPosition="0">
        <references count="1">
          <reference field="4294967294" count="1" selected="0">
            <x v="0"/>
          </reference>
        </references>
      </pivotArea>
    </chartFormat>
    <chartFormat chart="20" format="2" series="1">
      <pivotArea type="data" outline="0" fieldPosition="0">
        <references count="1">
          <reference field="4294967294" count="1" selected="0">
            <x v="0"/>
          </reference>
        </references>
      </pivotArea>
    </chartFormat>
  </chart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F59249A3-B57E-4491-85EE-7E373CE682BA}" name="PivotTable5" cacheId="0"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21" rowHeaderCaption="State">
  <location ref="P64:T68" firstHeaderRow="0" firstDataRow="1" firstDataCol="1" rowPageCount="3" colPageCount="1"/>
  <pivotFields count="131">
    <pivotField axis="axisPage" subtotalTop="0" multipleItemSelectionAllowed="1" showAll="0">
      <items count="12">
        <item m="1" x="9"/>
        <item m="1" x="3"/>
        <item h="1" m="1" x="4"/>
        <item h="1" m="1" x="1"/>
        <item m="1" x="10"/>
        <item m="1" x="2"/>
        <item h="1" m="1" x="8"/>
        <item h="1" m="1" x="5"/>
        <item h="1" m="1" x="6"/>
        <item m="1" x="7"/>
        <item x="0"/>
        <item t="default"/>
      </items>
    </pivotField>
    <pivotField showAll="0" defaultSubtotal="0"/>
    <pivotField showAll="0" defaultSubtotal="0"/>
    <pivotField subtotalTop="0" showAll="0"/>
    <pivotField axis="axisRow" subtotalTop="0" showAll="0">
      <items count="7">
        <item x="0"/>
        <item m="1" x="5"/>
        <item x="3"/>
        <item m="1" x="4"/>
        <item x="1"/>
        <item x="2"/>
        <item t="default"/>
      </items>
    </pivotField>
    <pivotField subtotalTop="0" showAll="0"/>
    <pivotField axis="axisPage" multipleItemSelectionAllowed="1" showAll="0" defaultSubtotal="0">
      <items count="10">
        <item x="1"/>
        <item x="0"/>
        <item m="1" x="9"/>
        <item m="1" x="6"/>
        <item m="1" x="5"/>
        <item h="1" x="2"/>
        <item m="1" x="8"/>
        <item h="1" x="4"/>
        <item m="1" x="7"/>
        <item h="1" x="3"/>
      </items>
    </pivotField>
    <pivotField dataField="1"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4">
    <i>
      <x/>
    </i>
    <i>
      <x v="2"/>
    </i>
    <i>
      <x v="4"/>
    </i>
    <i t="grand">
      <x/>
    </i>
  </rowItems>
  <colFields count="1">
    <field x="-2"/>
  </colFields>
  <colItems count="4">
    <i>
      <x/>
    </i>
    <i i="1">
      <x v="1"/>
    </i>
    <i i="2">
      <x v="2"/>
    </i>
    <i i="3">
      <x v="3"/>
    </i>
  </colItems>
  <pageFields count="3">
    <pageField fld="0" hier="-1"/>
    <pageField fld="121" hier="-1"/>
    <pageField fld="6" hier="-1"/>
  </pageFields>
  <dataFields count="4">
    <dataField name="Count of Site Name" fld="7" subtotal="count" baseField="0" baseItem="0"/>
    <dataField name="Count of #_Household water samples tested for contamination" fld="36" subtotal="count" baseField="4" baseItem="0"/>
    <dataField name="Sum of #_Household water samples tested for contamination2" fld="36" baseField="0" baseItem="0"/>
    <dataField name="Sum of #_Household received remediation action due to contamination" fld="37" baseField="0" baseItem="0"/>
  </dataFields>
  <formats count="14">
    <format dxfId="401">
      <pivotArea field="4" type="button" dataOnly="0" labelOnly="1" outline="0" axis="axisRow" fieldPosition="0"/>
    </format>
    <format dxfId="400">
      <pivotArea dataOnly="0" labelOnly="1" outline="0" fieldPosition="0">
        <references count="1">
          <reference field="4294967294" count="1">
            <x v="0"/>
          </reference>
        </references>
      </pivotArea>
    </format>
    <format dxfId="399">
      <pivotArea type="all" dataOnly="0" outline="0" fieldPosition="0"/>
    </format>
    <format dxfId="398">
      <pivotArea outline="0" collapsedLevelsAreSubtotals="1" fieldPosition="0"/>
    </format>
    <format dxfId="397">
      <pivotArea field="4" type="button" dataOnly="0" labelOnly="1" outline="0" axis="axisRow" fieldPosition="0"/>
    </format>
    <format dxfId="396">
      <pivotArea dataOnly="0" labelOnly="1" fieldPosition="0">
        <references count="1">
          <reference field="4" count="0"/>
        </references>
      </pivotArea>
    </format>
    <format dxfId="395">
      <pivotArea dataOnly="0" labelOnly="1" outline="0" fieldPosition="0">
        <references count="1">
          <reference field="4294967294" count="1">
            <x v="0"/>
          </reference>
        </references>
      </pivotArea>
    </format>
    <format dxfId="394">
      <pivotArea type="all" dataOnly="0" outline="0" fieldPosition="0"/>
    </format>
    <format dxfId="393">
      <pivotArea type="all" dataOnly="0" outline="0" fieldPosition="0"/>
    </format>
    <format dxfId="392">
      <pivotArea outline="0" collapsedLevelsAreSubtotals="1" fieldPosition="0"/>
    </format>
    <format dxfId="391">
      <pivotArea field="4" type="button" dataOnly="0" labelOnly="1" outline="0" axis="axisRow" fieldPosition="0"/>
    </format>
    <format dxfId="390">
      <pivotArea dataOnly="0" labelOnly="1" fieldPosition="0">
        <references count="1">
          <reference field="4" count="0"/>
        </references>
      </pivotArea>
    </format>
    <format dxfId="389">
      <pivotArea dataOnly="0" labelOnly="1" outline="0" fieldPosition="0">
        <references count="1">
          <reference field="4294967294" count="1">
            <x v="0"/>
          </reference>
        </references>
      </pivotArea>
    </format>
    <format dxfId="388">
      <pivotArea dataOnly="0" labelOnly="1" outline="0" fieldPosition="0">
        <references count="1">
          <reference field="4294967294" count="1">
            <x v="0"/>
          </reference>
        </references>
      </pivotArea>
    </format>
  </formats>
  <chartFormats count="2">
    <chartFormat chart="11" format="2" series="1">
      <pivotArea type="data" outline="0" fieldPosition="0">
        <references count="1">
          <reference field="4294967294" count="1" selected="0">
            <x v="0"/>
          </reference>
        </references>
      </pivotArea>
    </chartFormat>
    <chartFormat chart="20" format="2" series="1">
      <pivotArea type="data" outline="0" fieldPosition="0">
        <references count="1">
          <reference field="4294967294" count="1" selected="0">
            <x v="0"/>
          </reference>
        </references>
      </pivotArea>
    </chartFormat>
  </chart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3AC4D271-50A2-4064-887F-090F3FAFECC3}" name="PivotTable7"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55" rowHeaderCaption="State" colHeaderCaption=" ">
  <location ref="W308:Y314" firstHeaderRow="0" firstDataRow="1" firstDataCol="1" rowPageCount="4" colPageCount="1"/>
  <pivotFields count="131">
    <pivotField axis="axisPage" subtotalTop="0" multipleItemSelectionAllowed="1" showAll="0">
      <items count="12">
        <item m="1" x="9"/>
        <item m="1" x="3"/>
        <item h="1" m="1" x="4"/>
        <item h="1" m="1" x="1"/>
        <item m="1" x="10"/>
        <item m="1" x="2"/>
        <item h="1" m="1" x="8"/>
        <item h="1" m="1" x="5"/>
        <item h="1" m="1" x="6"/>
        <item m="1" x="7"/>
        <item x="0"/>
        <item t="default"/>
      </items>
    </pivotField>
    <pivotField showAll="0" defaultSubtotal="0"/>
    <pivotField showAll="0" defaultSubtotal="0"/>
    <pivotField subtotalTop="0" showAll="0"/>
    <pivotField axis="axisPage" subtotalTop="0" multipleItemSelectionAllowed="1" showAll="0">
      <items count="7">
        <item h="1" x="0"/>
        <item m="1" x="5"/>
        <item h="1" x="3"/>
        <item m="1" x="4"/>
        <item x="1"/>
        <item x="2"/>
        <item t="default"/>
      </items>
    </pivotField>
    <pivotField axis="axisRow" subtotalTop="0" showAll="0">
      <items count="42">
        <item m="1" x="36"/>
        <item x="0"/>
        <item x="14"/>
        <item x="5"/>
        <item x="6"/>
        <item x="30"/>
        <item x="27"/>
        <item x="24"/>
        <item x="17"/>
        <item x="16"/>
        <item m="1" x="35"/>
        <item m="1" x="39"/>
        <item x="9"/>
        <item x="28"/>
        <item x="15"/>
        <item x="19"/>
        <item x="7"/>
        <item x="8"/>
        <item x="1"/>
        <item x="22"/>
        <item x="25"/>
        <item x="20"/>
        <item x="3"/>
        <item m="1" x="37"/>
        <item x="29"/>
        <item x="26"/>
        <item m="1" x="34"/>
        <item x="13"/>
        <item x="23"/>
        <item x="10"/>
        <item m="1" x="40"/>
        <item x="21"/>
        <item x="4"/>
        <item x="18"/>
        <item x="11"/>
        <item x="12"/>
        <item x="2"/>
        <item m="1" x="32"/>
        <item m="1" x="33"/>
        <item m="1" x="31"/>
        <item m="1" x="38"/>
        <item t="default"/>
      </items>
    </pivotField>
    <pivotField axis="axisPage" multipleItemSelectionAllowed="1" showAll="0" defaultSubtotal="0">
      <items count="10">
        <item h="1" x="1"/>
        <item h="1" x="0"/>
        <item m="1" x="9"/>
        <item x="3"/>
        <item m="1" x="6"/>
        <item m="1" x="5"/>
        <item h="1" x="2"/>
        <item m="1" x="8"/>
        <item h="1" x="4"/>
        <item m="1" x="7"/>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6">
    <i>
      <x v="2"/>
    </i>
    <i>
      <x v="9"/>
    </i>
    <i>
      <x v="15"/>
    </i>
    <i>
      <x v="19"/>
    </i>
    <i>
      <x v="28"/>
    </i>
    <i>
      <x v="31"/>
    </i>
  </rowItems>
  <colFields count="1">
    <field x="-2"/>
  </colFields>
  <colItems count="2">
    <i>
      <x/>
    </i>
    <i i="1">
      <x v="1"/>
    </i>
  </colItems>
  <pageFields count="4">
    <pageField fld="0" hier="-1"/>
    <pageField fld="121" item="0" hier="-1"/>
    <pageField fld="4" hier="-1"/>
    <pageField fld="6" hier="-1"/>
  </pageFields>
  <dataFields count="2">
    <dataField name="  % Hygiene Coverage" fld="126" baseField="0" baseItem="0" numFmtId="1"/>
    <dataField name="  % Hygiene Gap" fld="125" baseField="0" baseItem="0" numFmtId="1"/>
  </dataFields>
  <formats count="11">
    <format dxfId="412">
      <pivotArea type="all" dataOnly="0" outline="0" fieldPosition="0"/>
    </format>
    <format dxfId="411">
      <pivotArea outline="0" collapsedLevelsAreSubtotals="1" fieldPosition="0"/>
    </format>
    <format dxfId="410">
      <pivotArea field="4" type="button" dataOnly="0" labelOnly="1" outline="0" axis="axisPage" fieldPosition="2"/>
    </format>
    <format dxfId="409">
      <pivotArea type="all" dataOnly="0" outline="0" fieldPosition="0"/>
    </format>
    <format dxfId="408">
      <pivotArea outline="0" collapsedLevelsAreSubtotals="1" fieldPosition="0"/>
    </format>
    <format dxfId="407">
      <pivotArea outline="0" collapsedLevelsAreSubtotals="1" fieldPosition="0"/>
    </format>
    <format dxfId="406">
      <pivotArea field="5" type="button" dataOnly="0" labelOnly="1" outline="0" axis="axisRow" fieldPosition="0"/>
    </format>
    <format dxfId="405">
      <pivotArea field="5" type="button" dataOnly="0" labelOnly="1" outline="0" axis="axisRow" fieldPosition="0"/>
    </format>
    <format dxfId="404">
      <pivotArea field="5" type="button" dataOnly="0" labelOnly="1" outline="0" axis="axisRow" fieldPosition="0"/>
    </format>
    <format dxfId="403">
      <pivotArea field="4" type="button" dataOnly="0" labelOnly="1" outline="0" axis="axisPage" fieldPosition="2"/>
    </format>
    <format dxfId="402">
      <pivotArea dataOnly="0" labelOnly="1" outline="0" fieldPosition="0">
        <references count="2">
          <reference field="4" count="0"/>
          <reference field="121" count="1" selected="0">
            <x v="0"/>
          </reference>
        </references>
      </pivotArea>
    </format>
  </formats>
  <chartFormats count="4">
    <chartFormat chart="49" format="4" series="1">
      <pivotArea type="data" outline="0" fieldPosition="0">
        <references count="1">
          <reference field="4294967294" count="1" selected="0">
            <x v="0"/>
          </reference>
        </references>
      </pivotArea>
    </chartFormat>
    <chartFormat chart="49" format="5" series="1">
      <pivotArea type="data" outline="0" fieldPosition="0">
        <references count="1">
          <reference field="4294967294" count="1" selected="0">
            <x v="1"/>
          </reference>
        </references>
      </pivotArea>
    </chartFormat>
    <chartFormat chart="54" format="0" series="1">
      <pivotArea type="data" outline="0" fieldPosition="0">
        <references count="1">
          <reference field="4294967294" count="1" selected="0">
            <x v="0"/>
          </reference>
        </references>
      </pivotArea>
    </chartFormat>
    <chartFormat chart="54" format="1"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00000000-0007-0000-0800-000006000000}" name="K_L_CG_N"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2" rowHeaderCaption="State" colHeaderCaption=" ">
  <location ref="L200:N206" firstHeaderRow="0" firstDataRow="1" firstDataCol="1" rowPageCount="4" colPageCount="1"/>
  <pivotFields count="131">
    <pivotField axis="axisPage" subtotalTop="0" multipleItemSelectionAllowed="1" showAll="0">
      <items count="12">
        <item m="1" x="9"/>
        <item m="1" x="3"/>
        <item h="1" m="1" x="4"/>
        <item h="1" m="1" x="1"/>
        <item m="1" x="10"/>
        <item m="1" x="2"/>
        <item h="1" m="1" x="8"/>
        <item h="1" m="1" x="5"/>
        <item h="1" m="1" x="6"/>
        <item m="1" x="7"/>
        <item x="0"/>
        <item t="default"/>
      </items>
    </pivotField>
    <pivotField showAll="0" defaultSubtotal="0"/>
    <pivotField showAll="0" defaultSubtotal="0"/>
    <pivotField subtotalTop="0" showAll="0"/>
    <pivotField axis="axisPage" subtotalTop="0" showAll="0">
      <items count="7">
        <item x="0"/>
        <item m="1" x="5"/>
        <item x="3"/>
        <item m="1" x="4"/>
        <item x="1"/>
        <item x="2"/>
        <item t="default"/>
      </items>
    </pivotField>
    <pivotField axis="axisRow" subtotalTop="0" showAll="0">
      <items count="42">
        <item m="1" x="36"/>
        <item x="0"/>
        <item x="14"/>
        <item x="5"/>
        <item x="6"/>
        <item x="30"/>
        <item x="27"/>
        <item x="24"/>
        <item x="17"/>
        <item x="16"/>
        <item m="1" x="35"/>
        <item m="1" x="39"/>
        <item x="9"/>
        <item x="28"/>
        <item x="15"/>
        <item x="19"/>
        <item x="7"/>
        <item x="8"/>
        <item x="1"/>
        <item x="22"/>
        <item x="25"/>
        <item x="20"/>
        <item x="3"/>
        <item m="1" x="37"/>
        <item x="29"/>
        <item x="26"/>
        <item m="1" x="34"/>
        <item x="13"/>
        <item x="23"/>
        <item x="10"/>
        <item m="1" x="40"/>
        <item x="21"/>
        <item x="4"/>
        <item x="18"/>
        <item x="11"/>
        <item x="12"/>
        <item x="2"/>
        <item m="1" x="32"/>
        <item m="1" x="33"/>
        <item m="1" x="31"/>
        <item m="1" x="38"/>
        <item t="default"/>
      </items>
    </pivotField>
    <pivotField axis="axisPage" multipleItemSelectionAllowed="1" showAll="0" defaultSubtotal="0">
      <items count="10">
        <item x="1"/>
        <item x="0"/>
        <item m="1" x="9"/>
        <item h="1" x="3"/>
        <item m="1" x="6"/>
        <item m="1" x="5"/>
        <item h="1" x="2"/>
        <item m="1" x="8"/>
        <item h="1" x="4"/>
        <item m="1" x="7"/>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s>
  <rowFields count="1">
    <field x="5"/>
  </rowFields>
  <rowItems count="6">
    <i>
      <x v="5"/>
    </i>
    <i>
      <x v="7"/>
    </i>
    <i>
      <x v="13"/>
    </i>
    <i>
      <x v="20"/>
    </i>
    <i>
      <x v="24"/>
    </i>
    <i>
      <x v="25"/>
    </i>
  </rowItems>
  <colFields count="1">
    <field x="-2"/>
  </colFields>
  <colItems count="2">
    <i>
      <x/>
    </i>
    <i i="1">
      <x v="1"/>
    </i>
  </colItems>
  <pageFields count="4">
    <pageField fld="0" hier="-1"/>
    <pageField fld="121" item="0" hier="-1"/>
    <pageField fld="4" item="2" hier="-1"/>
    <pageField fld="6" hier="-1"/>
  </pageFields>
  <dataFields count="2">
    <dataField name="  % Latrine Coverage" fld="129" baseField="0" baseItem="0" numFmtId="1"/>
    <dataField name="  % Latrine GAP" fld="130" baseField="0" baseItem="0" numFmtId="1"/>
  </dataFields>
  <formats count="12">
    <format dxfId="424">
      <pivotArea type="all" dataOnly="0" outline="0" fieldPosition="0"/>
    </format>
    <format dxfId="423">
      <pivotArea outline="0" collapsedLevelsAreSubtotals="1" fieldPosition="0"/>
    </format>
    <format dxfId="422">
      <pivotArea field="4" type="button" dataOnly="0" labelOnly="1" outline="0" axis="axisPage" fieldPosition="2"/>
    </format>
    <format dxfId="421">
      <pivotArea type="all" dataOnly="0" outline="0" fieldPosition="0"/>
    </format>
    <format dxfId="420">
      <pivotArea outline="0" collapsedLevelsAreSubtotals="1" fieldPosition="0"/>
    </format>
    <format dxfId="419">
      <pivotArea outline="0" collapsedLevelsAreSubtotals="1" fieldPosition="0"/>
    </format>
    <format dxfId="418">
      <pivotArea field="5" type="button" dataOnly="0" labelOnly="1" outline="0" axis="axisRow" fieldPosition="0"/>
    </format>
    <format dxfId="417">
      <pivotArea field="5" type="button" dataOnly="0" labelOnly="1" outline="0" axis="axisRow" fieldPosition="0"/>
    </format>
    <format dxfId="416">
      <pivotArea field="5" type="button" dataOnly="0" labelOnly="1" outline="0" axis="axisRow" fieldPosition="0"/>
    </format>
    <format dxfId="415">
      <pivotArea field="4" type="button" dataOnly="0" labelOnly="1" outline="0" axis="axisPage" fieldPosition="2"/>
    </format>
    <format dxfId="414">
      <pivotArea dataOnly="0" labelOnly="1" outline="0" fieldPosition="0">
        <references count="2">
          <reference field="4" count="1">
            <x v="0"/>
          </reference>
          <reference field="121" count="1" selected="0">
            <x v="0"/>
          </reference>
        </references>
      </pivotArea>
    </format>
    <format dxfId="413">
      <pivotArea dataOnly="0" labelOnly="1" outline="0" fieldPosition="0">
        <references count="2">
          <reference field="4" count="1">
            <x v="2"/>
          </reference>
          <reference field="121" count="1" selected="0">
            <x v="0"/>
          </reference>
        </references>
      </pivotArea>
    </format>
  </formats>
  <chartFormats count="2">
    <chartFormat chart="39" format="3" series="1">
      <pivotArea type="data" outline="0" fieldPosition="0">
        <references count="1">
          <reference field="4294967294" count="1" selected="0">
            <x v="0"/>
          </reference>
        </references>
      </pivotArea>
    </chartFormat>
    <chartFormat chart="39" format="4"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46988A54-75B2-41DB-ADCC-569F1645EC75}" name="PivotTable9"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Township">
  <location ref="O10:S19" firstHeaderRow="0" firstDataRow="1" firstDataCol="1" rowPageCount="4" colPageCount="1"/>
  <pivotFields count="131">
    <pivotField axis="axisPage" subtotalTop="0" showAll="0">
      <items count="12">
        <item m="1" x="9"/>
        <item m="1" x="3"/>
        <item m="1" x="4"/>
        <item m="1" x="1"/>
        <item m="1" x="10"/>
        <item m="1" x="2"/>
        <item m="1" x="8"/>
        <item m="1" x="5"/>
        <item m="1" x="6"/>
        <item m="1" x="7"/>
        <item x="0"/>
        <item t="default"/>
      </items>
    </pivotField>
    <pivotField showAll="0" defaultSubtotal="0"/>
    <pivotField showAll="0" defaultSubtotal="0"/>
    <pivotField subtotalTop="0" showAll="0"/>
    <pivotField axis="axisPage" subtotalTop="0" multipleItemSelectionAllowed="1" showAll="0">
      <items count="7">
        <item h="1" x="0"/>
        <item m="1" x="5"/>
        <item h="1" x="3"/>
        <item m="1" x="4"/>
        <item x="1"/>
        <item x="2"/>
        <item t="default"/>
      </items>
    </pivotField>
    <pivotField axis="axisRow" subtotalTop="0" showAll="0" sortType="ascending">
      <items count="42">
        <item m="1" x="36"/>
        <item x="0"/>
        <item x="14"/>
        <item m="1" x="38"/>
        <item x="5"/>
        <item x="6"/>
        <item x="30"/>
        <item x="27"/>
        <item x="24"/>
        <item x="17"/>
        <item x="16"/>
        <item m="1" x="35"/>
        <item m="1" x="39"/>
        <item x="9"/>
        <item x="28"/>
        <item x="15"/>
        <item x="19"/>
        <item x="7"/>
        <item x="8"/>
        <item m="1" x="32"/>
        <item x="1"/>
        <item x="22"/>
        <item x="25"/>
        <item x="20"/>
        <item x="3"/>
        <item m="1" x="37"/>
        <item x="29"/>
        <item x="26"/>
        <item m="1" x="33"/>
        <item m="1" x="34"/>
        <item x="13"/>
        <item x="23"/>
        <item x="10"/>
        <item m="1" x="40"/>
        <item x="21"/>
        <item x="4"/>
        <item x="18"/>
        <item x="11"/>
        <item x="12"/>
        <item x="2"/>
        <item m="1" x="31"/>
        <item t="default"/>
      </items>
    </pivotField>
    <pivotField axis="axisPage" multipleItemSelectionAllowed="1" showAll="0" defaultSubtotal="0">
      <items count="10">
        <item h="1" x="1"/>
        <item h="1" x="0"/>
        <item m="1" x="9"/>
        <item m="1" x="6"/>
        <item h="1" m="1" x="5"/>
        <item x="2"/>
        <item h="1" m="1" x="8"/>
        <item h="1" x="4"/>
        <item m="1" x="7"/>
        <item h="1" x="3"/>
      </items>
    </pivotField>
    <pivotField subtotalTop="0" showAll="0"/>
    <pivotField subtotalTop="0" showAll="0"/>
    <pivotField dataField="1"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ubtotalTop="0" showAl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s>
  <rowFields count="1">
    <field x="5"/>
  </rowFields>
  <rowItems count="9">
    <i>
      <x v="2"/>
    </i>
    <i>
      <x v="9"/>
    </i>
    <i>
      <x v="10"/>
    </i>
    <i>
      <x v="15"/>
    </i>
    <i>
      <x v="16"/>
    </i>
    <i>
      <x v="23"/>
    </i>
    <i>
      <x v="30"/>
    </i>
    <i>
      <x v="36"/>
    </i>
    <i t="grand">
      <x/>
    </i>
  </rowItems>
  <colFields count="1">
    <field x="-2"/>
  </colFields>
  <colItems count="4">
    <i>
      <x/>
    </i>
    <i i="1">
      <x v="1"/>
    </i>
    <i i="2">
      <x v="2"/>
    </i>
    <i i="3">
      <x v="3"/>
    </i>
  </colItems>
  <pageFields count="4">
    <pageField fld="0" item="10" hier="-1"/>
    <pageField fld="121" hier="-1"/>
    <pageField fld="4" hier="-1"/>
    <pageField fld="6" hier="-1"/>
  </pageFields>
  <dataFields count="4">
    <dataField name="PoP " fld="9" baseField="0" baseItem="0" numFmtId="164"/>
    <dataField name=" % Water GAP" fld="128" baseField="0" baseItem="0" numFmtId="9"/>
    <dataField name=" % Sanitation GAP" fld="130" baseField="0" baseItem="0" numFmtId="9"/>
    <dataField name=" % Hygiene Gap" fld="125" baseField="0" baseItem="0" numFmtId="9"/>
  </dataFields>
  <formats count="35">
    <format dxfId="459">
      <pivotArea type="all" dataOnly="0" outline="0" fieldPosition="0"/>
    </format>
    <format dxfId="458">
      <pivotArea outline="0" collapsedLevelsAreSubtotals="1" fieldPosition="0"/>
    </format>
    <format dxfId="457">
      <pivotArea field="5" type="button" dataOnly="0" labelOnly="1" outline="0" axis="axisRow" fieldPosition="0"/>
    </format>
    <format dxfId="456">
      <pivotArea dataOnly="0" labelOnly="1" outline="0" axis="axisValues" fieldPosition="0"/>
    </format>
    <format dxfId="455">
      <pivotArea dataOnly="0" labelOnly="1" fieldPosition="0">
        <references count="1">
          <reference field="5" count="0"/>
        </references>
      </pivotArea>
    </format>
    <format dxfId="454">
      <pivotArea dataOnly="0" labelOnly="1" grandRow="1" outline="0" fieldPosition="0"/>
    </format>
    <format dxfId="453">
      <pivotArea dataOnly="0" labelOnly="1" outline="0" axis="axisValues" fieldPosition="0"/>
    </format>
    <format dxfId="452">
      <pivotArea type="all" dataOnly="0" outline="0" fieldPosition="0"/>
    </format>
    <format dxfId="451">
      <pivotArea field="5" type="button" dataOnly="0" labelOnly="1" outline="0" axis="axisRow" fieldPosition="0"/>
    </format>
    <format dxfId="450">
      <pivotArea dataOnly="0" labelOnly="1" outline="0" axis="axisValues" fieldPosition="0"/>
    </format>
    <format dxfId="449">
      <pivotArea dataOnly="0" labelOnly="1" fieldPosition="0">
        <references count="1">
          <reference field="5" count="0"/>
        </references>
      </pivotArea>
    </format>
    <format dxfId="448">
      <pivotArea dataOnly="0" labelOnly="1" outline="0" axis="axisValues" fieldPosition="0"/>
    </format>
    <format dxfId="447">
      <pivotArea field="5" type="button" dataOnly="0" labelOnly="1" outline="0" axis="axisRow" fieldPosition="0"/>
    </format>
    <format dxfId="446">
      <pivotArea type="all" dataOnly="0" outline="0" fieldPosition="0"/>
    </format>
    <format dxfId="445">
      <pivotArea field="5" type="button" dataOnly="0" labelOnly="1" outline="0" axis="axisRow" fieldPosition="0"/>
    </format>
    <format dxfId="444">
      <pivotArea dataOnly="0" labelOnly="1" outline="0" fieldPosition="0">
        <references count="1">
          <reference field="4294967294" count="1">
            <x v="0"/>
          </reference>
        </references>
      </pivotArea>
    </format>
    <format dxfId="443">
      <pivotArea type="all" dataOnly="0" outline="0" fieldPosition="0"/>
    </format>
    <format dxfId="442">
      <pivotArea outline="0" collapsedLevelsAreSubtotals="1" fieldPosition="0"/>
    </format>
    <format dxfId="441">
      <pivotArea field="5" type="button" dataOnly="0" labelOnly="1" outline="0" axis="axisRow" fieldPosition="0"/>
    </format>
    <format dxfId="440">
      <pivotArea dataOnly="0" labelOnly="1" fieldPosition="0">
        <references count="1">
          <reference field="5" count="2">
            <x v="30"/>
            <x v="36"/>
          </reference>
        </references>
      </pivotArea>
    </format>
    <format dxfId="439">
      <pivotArea dataOnly="0" labelOnly="1" outline="0" fieldPosition="0">
        <references count="1">
          <reference field="4294967294" count="1">
            <x v="0"/>
          </reference>
        </references>
      </pivotArea>
    </format>
    <format dxfId="438">
      <pivotArea field="5" type="button" dataOnly="0" labelOnly="1" outline="0" axis="axisRow" fieldPosition="0"/>
    </format>
    <format dxfId="437">
      <pivotArea dataOnly="0" labelOnly="1" outline="0" fieldPosition="0">
        <references count="1">
          <reference field="4294967294" count="1">
            <x v="0"/>
          </reference>
        </references>
      </pivotArea>
    </format>
    <format dxfId="436">
      <pivotArea type="all" dataOnly="0" outline="0" fieldPosition="0"/>
    </format>
    <format dxfId="435">
      <pivotArea outline="0" collapsedLevelsAreSubtotals="1" fieldPosition="0"/>
    </format>
    <format dxfId="434">
      <pivotArea field="5" type="button" dataOnly="0" labelOnly="1" outline="0" axis="axisRow" fieldPosition="0"/>
    </format>
    <format dxfId="433">
      <pivotArea dataOnly="0" labelOnly="1" fieldPosition="0">
        <references count="1">
          <reference field="5" count="5">
            <x v="9"/>
            <x v="10"/>
            <x v="23"/>
            <x v="30"/>
            <x v="36"/>
          </reference>
        </references>
      </pivotArea>
    </format>
    <format dxfId="432">
      <pivotArea dataOnly="0" labelOnly="1" grandRow="1" outline="0" fieldPosition="0"/>
    </format>
    <format dxfId="431">
      <pivotArea dataOnly="0" labelOnly="1" outline="0" fieldPosition="0">
        <references count="1">
          <reference field="4294967294" count="1">
            <x v="0"/>
          </reference>
        </references>
      </pivotArea>
    </format>
    <format dxfId="430">
      <pivotArea field="4" type="button" dataOnly="0" labelOnly="1" outline="0" axis="axisPage" fieldPosition="2"/>
    </format>
    <format dxfId="429">
      <pivotArea dataOnly="0" labelOnly="1" outline="0" fieldPosition="0">
        <references count="2">
          <reference field="0" count="1" selected="0">
            <x v="7"/>
          </reference>
          <reference field="4" count="1">
            <x v="1"/>
          </reference>
        </references>
      </pivotArea>
    </format>
    <format dxfId="428">
      <pivotArea outline="0" collapsedLevelsAreSubtotals="1" fieldPosition="0">
        <references count="1">
          <reference field="4294967294" count="1" selected="0">
            <x v="0"/>
          </reference>
        </references>
      </pivotArea>
    </format>
    <format dxfId="427">
      <pivotArea dataOnly="0" labelOnly="1" outline="0" fieldPosition="0">
        <references count="2">
          <reference field="0" count="1" selected="0">
            <x v="8"/>
          </reference>
          <reference field="4" count="1">
            <x v="1"/>
          </reference>
        </references>
      </pivotArea>
    </format>
    <format dxfId="426">
      <pivotArea dataOnly="0" labelOnly="1" outline="0" fieldPosition="0">
        <references count="2">
          <reference field="0" count="1" selected="0">
            <x v="10"/>
          </reference>
          <reference field="4" count="0"/>
        </references>
      </pivotArea>
    </format>
    <format dxfId="425">
      <pivotArea outline="0" collapsedLevelsAreSubtotals="1" fieldPosition="0">
        <references count="1">
          <reference field="4294967294" count="3" selected="0">
            <x v="1"/>
            <x v="2"/>
            <x v="3"/>
          </reference>
        </references>
      </pivotArea>
    </format>
  </formats>
  <conditionalFormats count="1">
    <conditionalFormat priority="3">
      <pivotAreas count="1">
        <pivotArea type="data" outline="0" collapsedLevelsAreSubtotals="1" fieldPosition="0">
          <references count="1">
            <reference field="4294967294" count="3" selected="0">
              <x v="1"/>
              <x v="2"/>
              <x v="3"/>
            </reference>
          </references>
        </pivotArea>
      </pivotAreas>
    </conditionalFormat>
  </conditional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00000000-0007-0000-0800-000003000000}" name="K_H_CG_C"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3" rowHeaderCaption="State" colHeaderCaption=" ">
  <location ref="B286:D298" firstHeaderRow="0" firstDataRow="1" firstDataCol="1" rowPageCount="4" colPageCount="1"/>
  <pivotFields count="131">
    <pivotField axis="axisPage" subtotalTop="0" multipleItemSelectionAllowed="1" showAll="0">
      <items count="12">
        <item m="1" x="9"/>
        <item m="1" x="3"/>
        <item h="1" m="1" x="4"/>
        <item h="1" m="1" x="1"/>
        <item m="1" x="10"/>
        <item m="1" x="2"/>
        <item h="1" m="1" x="8"/>
        <item h="1" m="1" x="5"/>
        <item h="1" m="1" x="6"/>
        <item m="1" x="7"/>
        <item x="0"/>
        <item t="default"/>
      </items>
    </pivotField>
    <pivotField showAll="0" defaultSubtotal="0"/>
    <pivotField showAll="0" defaultSubtotal="0"/>
    <pivotField subtotalTop="0" showAll="0"/>
    <pivotField axis="axisPage" subtotalTop="0" showAll="0">
      <items count="7">
        <item x="0"/>
        <item m="1" x="5"/>
        <item x="3"/>
        <item m="1" x="4"/>
        <item x="1"/>
        <item x="2"/>
        <item t="default"/>
      </items>
    </pivotField>
    <pivotField axis="axisRow" subtotalTop="0" showAll="0">
      <items count="42">
        <item m="1" x="36"/>
        <item x="0"/>
        <item x="14"/>
        <item x="5"/>
        <item x="6"/>
        <item x="30"/>
        <item x="27"/>
        <item x="24"/>
        <item x="17"/>
        <item x="16"/>
        <item m="1" x="35"/>
        <item m="1" x="39"/>
        <item x="9"/>
        <item x="28"/>
        <item x="15"/>
        <item x="19"/>
        <item x="7"/>
        <item x="8"/>
        <item x="1"/>
        <item x="22"/>
        <item x="25"/>
        <item x="20"/>
        <item x="3"/>
        <item m="1" x="37"/>
        <item x="29"/>
        <item x="26"/>
        <item m="1" x="34"/>
        <item x="13"/>
        <item x="23"/>
        <item x="10"/>
        <item m="1" x="40"/>
        <item x="21"/>
        <item x="4"/>
        <item x="18"/>
        <item x="11"/>
        <item x="12"/>
        <item x="2"/>
        <item m="1" x="32"/>
        <item m="1" x="33"/>
        <item m="1" x="31"/>
        <item m="1" x="38"/>
        <item t="default"/>
      </items>
    </pivotField>
    <pivotField axis="axisPage" multipleItemSelectionAllowed="1" showAll="0" defaultSubtotal="0">
      <items count="10">
        <item x="1"/>
        <item x="0"/>
        <item m="1" x="9"/>
        <item h="1" x="3"/>
        <item m="1" x="6"/>
        <item m="1" x="5"/>
        <item h="1" x="2"/>
        <item m="1" x="8"/>
        <item h="1" x="4"/>
        <item m="1" x="7"/>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12">
    <i>
      <x v="1"/>
    </i>
    <i>
      <x v="3"/>
    </i>
    <i>
      <x v="4"/>
    </i>
    <i>
      <x v="12"/>
    </i>
    <i>
      <x v="16"/>
    </i>
    <i>
      <x v="17"/>
    </i>
    <i>
      <x v="18"/>
    </i>
    <i>
      <x v="22"/>
    </i>
    <i>
      <x v="29"/>
    </i>
    <i>
      <x v="32"/>
    </i>
    <i>
      <x v="34"/>
    </i>
    <i>
      <x v="36"/>
    </i>
  </rowItems>
  <colFields count="1">
    <field x="-2"/>
  </colFields>
  <colItems count="2">
    <i>
      <x/>
    </i>
    <i i="1">
      <x v="1"/>
    </i>
  </colItems>
  <pageFields count="4">
    <pageField fld="0" hier="-1"/>
    <pageField fld="121" item="0" hier="-1"/>
    <pageField fld="4" item="0" hier="-1"/>
    <pageField fld="6" hier="-1"/>
  </pageFields>
  <dataFields count="2">
    <dataField name="  % Hygiene Coverage" fld="126" baseField="0" baseItem="0" numFmtId="1"/>
    <dataField name="  % Hygiene Gap" fld="125" baseField="0" baseItem="0" numFmtId="1"/>
  </dataFields>
  <formats count="11">
    <format dxfId="470">
      <pivotArea type="all" dataOnly="0" outline="0" fieldPosition="0"/>
    </format>
    <format dxfId="469">
      <pivotArea outline="0" collapsedLevelsAreSubtotals="1" fieldPosition="0"/>
    </format>
    <format dxfId="468">
      <pivotArea field="4" type="button" dataOnly="0" labelOnly="1" outline="0" axis="axisPage" fieldPosition="2"/>
    </format>
    <format dxfId="467">
      <pivotArea type="all" dataOnly="0" outline="0" fieldPosition="0"/>
    </format>
    <format dxfId="466">
      <pivotArea outline="0" collapsedLevelsAreSubtotals="1" fieldPosition="0"/>
    </format>
    <format dxfId="465">
      <pivotArea outline="0" collapsedLevelsAreSubtotals="1" fieldPosition="0"/>
    </format>
    <format dxfId="464">
      <pivotArea field="5" type="button" dataOnly="0" labelOnly="1" outline="0" axis="axisRow" fieldPosition="0"/>
    </format>
    <format dxfId="463">
      <pivotArea field="5" type="button" dataOnly="0" labelOnly="1" outline="0" axis="axisRow" fieldPosition="0"/>
    </format>
    <format dxfId="462">
      <pivotArea field="5" type="button" dataOnly="0" labelOnly="1" outline="0" axis="axisRow" fieldPosition="0"/>
    </format>
    <format dxfId="461">
      <pivotArea field="4" type="button" dataOnly="0" labelOnly="1" outline="0" axis="axisPage" fieldPosition="2"/>
    </format>
    <format dxfId="460">
      <pivotArea dataOnly="0" labelOnly="1" outline="0" fieldPosition="0">
        <references count="2">
          <reference field="4" count="1">
            <x v="0"/>
          </reference>
          <reference field="121" count="1" selected="0">
            <x v="0"/>
          </reference>
        </references>
      </pivotArea>
    </format>
  </formats>
  <chartFormats count="2">
    <chartFormat chart="39" format="2" series="1">
      <pivotArea type="data" outline="0" fieldPosition="0">
        <references count="1">
          <reference field="4294967294" count="1" selected="0">
            <x v="0"/>
          </reference>
        </references>
      </pivotArea>
    </chartFormat>
    <chartFormat chart="39" format="3"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00000000-0007-0000-0800-00000E000000}" name="PivotTable14"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8" rowHeaderCaption="State">
  <location ref="C481:I485" firstHeaderRow="0" firstDataRow="1" firstDataCol="1" rowPageCount="2" colPageCount="1"/>
  <pivotFields count="131">
    <pivotField axis="axisPage" subtotalTop="0" showAll="0">
      <items count="12">
        <item m="1" x="9"/>
        <item m="1" x="3"/>
        <item m="1" x="10"/>
        <item m="1" x="4"/>
        <item m="1" x="2"/>
        <item m="1" x="1"/>
        <item m="1" x="8"/>
        <item m="1" x="5"/>
        <item m="1" x="6"/>
        <item m="1" x="7"/>
        <item x="0"/>
        <item t="default"/>
      </items>
    </pivotField>
    <pivotField showAll="0" defaultSubtotal="0"/>
    <pivotField showAll="0" defaultSubtotal="0"/>
    <pivotField subtotalTop="0" showAll="0"/>
    <pivotField axis="axisRow" subtotalTop="0" multipleItemSelectionAllowed="1" showAll="0">
      <items count="7">
        <item x="0"/>
        <item m="1" x="5"/>
        <item x="3"/>
        <item h="1" m="1" x="4"/>
        <item x="1"/>
        <item x="2"/>
        <item t="default"/>
      </items>
    </pivotField>
    <pivotField subtotalTop="0" showAll="0"/>
    <pivotField showAll="0" defaultSubtotal="0"/>
    <pivotField subtotalTop="0" showAll="0"/>
    <pivotField subtotalTop="0" showAll="0"/>
    <pivotField subtotalTop="0" showAll="0"/>
    <pivotField showAll="0" defaultSubtotal="0"/>
    <pivotField showAll="0" defaultSubtotal="0"/>
    <pivotField dataField="1"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numFmtId="9" subtotalTop="0"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1" showAll="0" defaultSubtotal="0"/>
    <pivotField numFmtId="9" showAll="0"/>
    <pivotField numFmtId="1" showAll="0" defaultSubtotal="0"/>
    <pivotField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ubtotalTop="0" showAll="0"/>
    <pivotField dataField="1"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x="1"/>
        <item h="1" m="1" x="3"/>
        <item h="1"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4">
    <i>
      <x/>
    </i>
    <i>
      <x v="2"/>
    </i>
    <i>
      <x v="4"/>
    </i>
    <i>
      <x v="5"/>
    </i>
  </rowItems>
  <colFields count="1">
    <field x="-2"/>
  </colFields>
  <colItems count="6">
    <i>
      <x/>
    </i>
    <i i="1">
      <x v="1"/>
    </i>
    <i i="2">
      <x v="2"/>
    </i>
    <i i="3">
      <x v="3"/>
    </i>
    <i i="4">
      <x v="4"/>
    </i>
    <i i="5">
      <x v="5"/>
    </i>
  </colItems>
  <pageFields count="2">
    <pageField fld="0" item="10" hier="-1"/>
    <pageField fld="121" hier="-1"/>
  </pageFields>
  <dataFields count="6">
    <dataField name=" #_students at TLS_CFS" fld="12" baseField="4" baseItem="0"/>
    <dataField name=" #_of water points in TLS and CFS " fld="39" baseField="4" baseItem="0"/>
    <dataField name=" #_Constructed/Existing latrines in TLS" fld="53" baseField="4" baseItem="0"/>
    <dataField name=" #_Constructed/Existing hand washing stations at TLS" fld="38" baseField="4" baseItem="0"/>
    <dataField name=" #_Hygiene Promotion activities (sessions) in TLS?" fld="65" baseField="4" baseItem="0"/>
    <dataField name=" # of hand washing stations with soap in TLS" fld="110" baseField="4" baseItem="0"/>
  </dataFields>
  <formats count="22">
    <format dxfId="492">
      <pivotArea type="all" dataOnly="0" outline="0" fieldPosition="0"/>
    </format>
    <format dxfId="491">
      <pivotArea outline="0" collapsedLevelsAreSubtotals="1" fieldPosition="0"/>
    </format>
    <format dxfId="490">
      <pivotArea field="4" type="button" dataOnly="0" labelOnly="1" outline="0" axis="axisRow" fieldPosition="0"/>
    </format>
    <format dxfId="489">
      <pivotArea dataOnly="0" labelOnly="1" grandRow="1" outline="0" fieldPosition="0"/>
    </format>
    <format dxfId="488">
      <pivotArea type="all" dataOnly="0" outline="0" fieldPosition="0"/>
    </format>
    <format dxfId="487">
      <pivotArea outline="0" collapsedLevelsAreSubtotals="1" fieldPosition="0"/>
    </format>
    <format dxfId="486">
      <pivotArea type="origin" dataOnly="0" labelOnly="1" outline="0" fieldPosition="0"/>
    </format>
    <format dxfId="485">
      <pivotArea field="121" type="button" dataOnly="0" labelOnly="1" outline="0" axis="axisPage" fieldPosition="1"/>
    </format>
    <format dxfId="484">
      <pivotArea type="topRight" dataOnly="0" labelOnly="1" outline="0" fieldPosition="0"/>
    </format>
    <format dxfId="483">
      <pivotArea dataOnly="0" labelOnly="1" fieldPosition="0">
        <references count="1">
          <reference field="121" count="0"/>
        </references>
      </pivotArea>
    </format>
    <format dxfId="482">
      <pivotArea type="all" dataOnly="0" outline="0" fieldPosition="0"/>
    </format>
    <format dxfId="481">
      <pivotArea outline="0" collapsedLevelsAreSubtotals="1" fieldPosition="0"/>
    </format>
    <format dxfId="480">
      <pivotArea field="4" type="button" dataOnly="0" labelOnly="1" outline="0" axis="axisRow" fieldPosition="0"/>
    </format>
    <format dxfId="479">
      <pivotArea dataOnly="0" labelOnly="1" fieldPosition="0">
        <references count="1">
          <reference field="4" count="0"/>
        </references>
      </pivotArea>
    </format>
    <format dxfId="478">
      <pivotArea outline="0" collapsedLevelsAreSubtotals="1" fieldPosition="0"/>
    </format>
    <format dxfId="477">
      <pivotArea field="4" type="button" dataOnly="0" labelOnly="1" outline="0" axis="axisRow" fieldPosition="0"/>
    </format>
    <format dxfId="476">
      <pivotArea dataOnly="0" labelOnly="1" outline="0" fieldPosition="0">
        <references count="1">
          <reference field="4294967294" count="6">
            <x v="0"/>
            <x v="1"/>
            <x v="2"/>
            <x v="3"/>
            <x v="4"/>
            <x v="5"/>
          </reference>
        </references>
      </pivotArea>
    </format>
    <format dxfId="475">
      <pivotArea field="4" type="button" dataOnly="0" labelOnly="1" outline="0" axis="axisRow" fieldPosition="0"/>
    </format>
    <format dxfId="474">
      <pivotArea dataOnly="0" labelOnly="1" outline="0" fieldPosition="0">
        <references count="1">
          <reference field="4294967294" count="6">
            <x v="0"/>
            <x v="1"/>
            <x v="2"/>
            <x v="3"/>
            <x v="4"/>
            <x v="5"/>
          </reference>
        </references>
      </pivotArea>
    </format>
    <format dxfId="473">
      <pivotArea field="4" type="button" dataOnly="0" labelOnly="1" outline="0" axis="axisRow" fieldPosition="0"/>
    </format>
    <format dxfId="472">
      <pivotArea dataOnly="0" labelOnly="1" outline="0" fieldPosition="0">
        <references count="1">
          <reference field="4294967294" count="6">
            <x v="0"/>
            <x v="1"/>
            <x v="2"/>
            <x v="3"/>
            <x v="4"/>
            <x v="5"/>
          </reference>
        </references>
      </pivotArea>
    </format>
    <format dxfId="471">
      <pivotArea dataOnly="0" labelOnly="1" outline="0" fieldPosition="0">
        <references count="1">
          <reference field="4294967294" count="1">
            <x v="3"/>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xmlns:mc="http://schemas.openxmlformats.org/markup-compatibility/2006" xmlns:xr="http://schemas.microsoft.com/office/spreadsheetml/2014/revision" mc:Ignorable="xr" xr:uid="{A9A88D53-418B-4F79-8781-7C70DA4AA72F}" name="PivotTable3" cacheId="0"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255:G259" firstHeaderRow="0" firstDataRow="1" firstDataCol="1" rowPageCount="3" colPageCount="1"/>
  <pivotFields count="131">
    <pivotField axis="axisPage" subtotalTop="0" multipleItemSelectionAllowed="1" showAll="0">
      <items count="12">
        <item h="1" m="1" x="9"/>
        <item m="1" x="3"/>
        <item m="1" x="10"/>
        <item h="1" m="1" x="4"/>
        <item m="1" x="2"/>
        <item h="1" m="1" x="1"/>
        <item h="1" m="1" x="8"/>
        <item h="1" m="1" x="5"/>
        <item h="1" m="1" x="6"/>
        <item m="1" x="7"/>
        <item x="0"/>
        <item t="default"/>
      </items>
    </pivotField>
    <pivotField showAll="0" defaultSubtotal="0"/>
    <pivotField showAll="0" defaultSubtotal="0"/>
    <pivotField subtotalTop="0" showAll="0"/>
    <pivotField axis="axisRow" subtotalTop="0" showAll="0">
      <items count="7">
        <item x="0"/>
        <item m="1" x="5"/>
        <item x="3"/>
        <item m="1" x="4"/>
        <item x="1"/>
        <item x="2"/>
        <item t="default"/>
      </items>
    </pivotField>
    <pivotField subtotalTop="0" showAll="0"/>
    <pivotField axis="axisPage" multipleItemSelectionAllowed="1" showAll="0" defaultSubtotal="0">
      <items count="10">
        <item h="1" x="1"/>
        <item h="1" x="0"/>
        <item m="1" x="9"/>
        <item x="3"/>
        <item m="1" x="6"/>
        <item m="1" x="5"/>
        <item h="1" x="2"/>
        <item m="1" x="8"/>
        <item h="1" x="4"/>
        <item m="1" x="7"/>
      </items>
    </pivotField>
    <pivotField subtotalTop="0" showAll="0"/>
    <pivotField dataField="1"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numFmtId="9" subtotalTop="0"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1" showAll="0" defaultSubtotal="0"/>
    <pivotField numFmtId="9" showAll="0"/>
    <pivotField numFmtId="1" showAll="0" defaultSubtotal="0"/>
    <pivotField showAll="0" defaultSubtotal="0"/>
    <pivotField showAll="0" defaultSubtotal="0"/>
    <pivotField subtotalTop="0" showAll="0"/>
    <pivotField subtotalTop="0" showAll="0"/>
    <pivotField subtotalTop="0" showAll="0"/>
    <pivotField numFmtId="9"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dataField="1" numFmtId="1"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4">
    <i>
      <x v="2"/>
    </i>
    <i>
      <x v="4"/>
    </i>
    <i>
      <x v="5"/>
    </i>
    <i t="grand">
      <x/>
    </i>
  </rowItems>
  <colFields count="1">
    <field x="-2"/>
  </colFields>
  <colItems count="5">
    <i>
      <x/>
    </i>
    <i i="1">
      <x v="1"/>
    </i>
    <i i="2">
      <x v="2"/>
    </i>
    <i i="3">
      <x v="3"/>
    </i>
    <i i="4">
      <x v="4"/>
    </i>
  </colItems>
  <pageFields count="3">
    <pageField fld="0" hier="-1"/>
    <pageField fld="121" hier="-1"/>
    <pageField fld="6" hier="-1"/>
  </pageFields>
  <dataFields count="5">
    <dataField name="Sum of Total HH" fld="8" baseField="2" baseItem="0" numFmtId="3"/>
    <dataField name="Sum of # people reached by regular dedicated hygiene promotion_5" fld="98" baseField="0" baseItem="0"/>
    <dataField name="Sum of #HH with access to Hand Washing Station" fld="109" baseField="2" baseItem="0" numFmtId="3"/>
    <dataField name="Sum of #_households that received standard amount of soap for this quarter" fld="62" baseField="0" baseItem="0"/>
    <dataField name="Sum of #_households that received standard amount of sanitary pads for this quarter" fld="63" baseField="0" baseItem="0"/>
  </dataFields>
  <formats count="15">
    <format dxfId="507">
      <pivotArea type="all" dataOnly="0" outline="0" fieldPosition="0"/>
    </format>
    <format dxfId="506">
      <pivotArea type="all" dataOnly="0" outline="0" fieldPosition="0"/>
    </format>
    <format dxfId="505">
      <pivotArea outline="0" collapsedLevelsAreSubtotals="1" fieldPosition="0"/>
    </format>
    <format dxfId="504">
      <pivotArea field="4" type="button" dataOnly="0" labelOnly="1" outline="0" axis="axisRow" fieldPosition="0"/>
    </format>
    <format dxfId="503">
      <pivotArea dataOnly="0" labelOnly="1" fieldPosition="0">
        <references count="1">
          <reference field="4" count="0"/>
        </references>
      </pivotArea>
    </format>
    <format dxfId="502">
      <pivotArea dataOnly="0" labelOnly="1" grandRow="1" outline="0" fieldPosition="0"/>
    </format>
    <format dxfId="501">
      <pivotArea dataOnly="0" labelOnly="1" outline="0" fieldPosition="0">
        <references count="1">
          <reference field="4294967294" count="2">
            <x v="0"/>
            <x v="2"/>
          </reference>
        </references>
      </pivotArea>
    </format>
    <format dxfId="500">
      <pivotArea outline="0" fieldPosition="0">
        <references count="1">
          <reference field="4294967294" count="1">
            <x v="0"/>
          </reference>
        </references>
      </pivotArea>
    </format>
    <format dxfId="499">
      <pivotArea outline="0" fieldPosition="0">
        <references count="1">
          <reference field="4294967294" count="1">
            <x v="2"/>
          </reference>
        </references>
      </pivotArea>
    </format>
    <format dxfId="498">
      <pivotArea type="all" dataOnly="0" outline="0" fieldPosition="0"/>
    </format>
    <format dxfId="497">
      <pivotArea outline="0" collapsedLevelsAreSubtotals="1" fieldPosition="0"/>
    </format>
    <format dxfId="496">
      <pivotArea field="4" type="button" dataOnly="0" labelOnly="1" outline="0" axis="axisRow" fieldPosition="0"/>
    </format>
    <format dxfId="495">
      <pivotArea dataOnly="0" labelOnly="1" fieldPosition="0">
        <references count="1">
          <reference field="4" count="0"/>
        </references>
      </pivotArea>
    </format>
    <format dxfId="494">
      <pivotArea dataOnly="0" labelOnly="1" grandRow="1" outline="0" fieldPosition="0"/>
    </format>
    <format dxfId="493">
      <pivotArea dataOnly="0" labelOnly="1" outline="0" fieldPosition="0">
        <references count="1">
          <reference field="4294967294" count="3">
            <x v="0"/>
            <x v="1"/>
            <x v="2"/>
          </reference>
        </references>
      </pivotArea>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xmlns:mc="http://schemas.openxmlformats.org/markup-compatibility/2006" xmlns:xr="http://schemas.microsoft.com/office/spreadsheetml/2014/revision" mc:Ignorable="xr" xr:uid="{00000000-0007-0000-0800-000004000000}" name="K_H_CG_N"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7" rowHeaderCaption="State" colHeaderCaption=" ">
  <location ref="U286:W287" firstHeaderRow="0" firstDataRow="1" firstDataCol="1" rowPageCount="4" colPageCount="1"/>
  <pivotFields count="131">
    <pivotField axis="axisPage" subtotalTop="0" multipleItemSelectionAllowed="1" showAll="0">
      <items count="12">
        <item m="1" x="9"/>
        <item m="1" x="3"/>
        <item h="1" m="1" x="4"/>
        <item h="1" m="1" x="1"/>
        <item m="1" x="10"/>
        <item m="1" x="2"/>
        <item h="1" m="1" x="8"/>
        <item h="1" m="1" x="5"/>
        <item h="1" m="1" x="6"/>
        <item m="1" x="7"/>
        <item x="0"/>
        <item t="default"/>
      </items>
    </pivotField>
    <pivotField showAll="0" defaultSubtotal="0"/>
    <pivotField showAll="0" defaultSubtotal="0"/>
    <pivotField subtotalTop="0" showAll="0"/>
    <pivotField axis="axisPage" subtotalTop="0" showAll="0">
      <items count="7">
        <item x="0"/>
        <item m="1" x="5"/>
        <item x="3"/>
        <item m="1" x="4"/>
        <item x="1"/>
        <item x="2"/>
        <item t="default"/>
      </items>
    </pivotField>
    <pivotField axis="axisRow" subtotalTop="0" showAll="0">
      <items count="42">
        <item m="1" x="36"/>
        <item x="0"/>
        <item x="14"/>
        <item x="5"/>
        <item x="6"/>
        <item x="30"/>
        <item x="27"/>
        <item x="24"/>
        <item x="17"/>
        <item x="16"/>
        <item m="1" x="35"/>
        <item m="1" x="39"/>
        <item x="9"/>
        <item x="28"/>
        <item x="15"/>
        <item x="19"/>
        <item x="7"/>
        <item x="8"/>
        <item x="1"/>
        <item x="22"/>
        <item x="25"/>
        <item x="20"/>
        <item x="3"/>
        <item m="1" x="37"/>
        <item x="29"/>
        <item x="26"/>
        <item m="1" x="34"/>
        <item x="13"/>
        <item x="23"/>
        <item x="10"/>
        <item m="1" x="40"/>
        <item x="21"/>
        <item x="4"/>
        <item x="18"/>
        <item x="11"/>
        <item x="12"/>
        <item x="2"/>
        <item m="1" x="32"/>
        <item m="1" x="33"/>
        <item m="1" x="31"/>
        <item m="1" x="38"/>
        <item t="default"/>
      </items>
    </pivotField>
    <pivotField axis="axisPage" showAll="0" defaultSubtotal="0">
      <items count="10">
        <item x="1"/>
        <item x="0"/>
        <item m="1" x="9"/>
        <item x="3"/>
        <item m="1" x="6"/>
        <item m="1" x="5"/>
        <item x="2"/>
        <item m="1" x="8"/>
        <item x="4"/>
        <item m="1" x="7"/>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1">
    <i>
      <x v="6"/>
    </i>
  </rowItems>
  <colFields count="1">
    <field x="-2"/>
  </colFields>
  <colItems count="2">
    <i>
      <x/>
    </i>
    <i i="1">
      <x v="1"/>
    </i>
  </colItems>
  <pageFields count="4">
    <pageField fld="0" hier="-1"/>
    <pageField fld="121" item="0" hier="-1"/>
    <pageField fld="4" item="2" hier="-1"/>
    <pageField fld="6" item="3" hier="-1"/>
  </pageFields>
  <dataFields count="2">
    <dataField name="  % Hygiene Coverage" fld="126" baseField="0" baseItem="0" numFmtId="1"/>
    <dataField name="  % Hygiene Gap" fld="125" baseField="0" baseItem="0" numFmtId="1"/>
  </dataFields>
  <formats count="11">
    <format dxfId="518">
      <pivotArea type="all" dataOnly="0" outline="0" fieldPosition="0"/>
    </format>
    <format dxfId="517">
      <pivotArea outline="0" collapsedLevelsAreSubtotals="1" fieldPosition="0"/>
    </format>
    <format dxfId="516">
      <pivotArea field="4" type="button" dataOnly="0" labelOnly="1" outline="0" axis="axisPage" fieldPosition="2"/>
    </format>
    <format dxfId="515">
      <pivotArea type="all" dataOnly="0" outline="0" fieldPosition="0"/>
    </format>
    <format dxfId="514">
      <pivotArea outline="0" collapsedLevelsAreSubtotals="1" fieldPosition="0"/>
    </format>
    <format dxfId="513">
      <pivotArea outline="0" collapsedLevelsAreSubtotals="1" fieldPosition="0"/>
    </format>
    <format dxfId="512">
      <pivotArea field="5" type="button" dataOnly="0" labelOnly="1" outline="0" axis="axisRow" fieldPosition="0"/>
    </format>
    <format dxfId="511">
      <pivotArea field="5" type="button" dataOnly="0" labelOnly="1" outline="0" axis="axisRow" fieldPosition="0"/>
    </format>
    <format dxfId="510">
      <pivotArea field="5" type="button" dataOnly="0" labelOnly="1" outline="0" axis="axisRow" fieldPosition="0"/>
    </format>
    <format dxfId="509">
      <pivotArea field="4" type="button" dataOnly="0" labelOnly="1" outline="0" axis="axisPage" fieldPosition="2"/>
    </format>
    <format dxfId="508">
      <pivotArea dataOnly="0" labelOnly="1" outline="0" fieldPosition="0">
        <references count="2">
          <reference field="4" count="1">
            <x v="0"/>
          </reference>
          <reference field="121" count="1" selected="0">
            <x v="0"/>
          </reference>
        </references>
      </pivotArea>
    </format>
  </formats>
  <chartFormats count="2">
    <chartFormat chart="44" format="2" series="1">
      <pivotArea type="data" outline="0" fieldPosition="0">
        <references count="1">
          <reference field="4294967294" count="1" selected="0">
            <x v="0"/>
          </reference>
        </references>
      </pivotArea>
    </chartFormat>
    <chartFormat chart="44" format="3"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xmlns:mc="http://schemas.openxmlformats.org/markup-compatibility/2006" xmlns:xr="http://schemas.microsoft.com/office/spreadsheetml/2014/revision" mc:Ignorable="xr" xr:uid="{00000000-0007-0000-0800-00000F000000}" name="PivotTable2"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2" rowHeaderCaption="State">
  <location ref="C513:E517" firstHeaderRow="1" firstDataRow="2" firstDataCol="1" rowPageCount="3" colPageCount="1"/>
  <pivotFields count="131">
    <pivotField axis="axisPage" subtotalTop="0" showAll="0">
      <items count="12">
        <item m="1" x="9"/>
        <item m="1" x="3"/>
        <item m="1" x="10"/>
        <item m="1" x="4"/>
        <item m="1" x="2"/>
        <item m="1" x="1"/>
        <item m="1" x="8"/>
        <item m="1" x="5"/>
        <item m="1" x="6"/>
        <item m="1" x="7"/>
        <item x="0"/>
        <item t="default"/>
      </items>
    </pivotField>
    <pivotField showAll="0" defaultSubtotal="0"/>
    <pivotField showAll="0" defaultSubtotal="0"/>
    <pivotField subtotalTop="0" showAll="0"/>
    <pivotField axis="axisRow" subtotalTop="0" multipleItemSelectionAllowed="1" showAll="0">
      <items count="7">
        <item x="0"/>
        <item m="1" x="5"/>
        <item x="3"/>
        <item m="1" x="4"/>
        <item x="1"/>
        <item x="2"/>
        <item t="default"/>
      </items>
    </pivotField>
    <pivotField subtotalTop="0" showAll="0"/>
    <pivotField axis="axisPage" multipleItemSelectionAllowed="1" showAll="0" defaultSubtotal="0">
      <items count="10">
        <item x="1"/>
        <item x="0"/>
        <item m="1" x="9"/>
        <item h="1" x="3"/>
        <item m="1" x="6"/>
        <item m="1" x="5"/>
        <item h="1" x="2"/>
        <item m="1" x="8"/>
        <item h="1" x="4"/>
        <item m="1" x="7"/>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numFmtId="9" subtotalTop="0"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1" showAll="0" defaultSubtotal="0"/>
    <pivotField numFmtId="9" showAll="0"/>
    <pivotField numFmtId="1" showAll="0" defaultSubtotal="0"/>
    <pivotField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ubtotalTop="0" showAll="0"/>
    <pivotField numFmtId="1" showAll="0" defaultSubtotal="0"/>
    <pivotField numFmtId="1" showAll="0"/>
    <pivotField axis="axisCol" dataField="1" showAll="0">
      <items count="3">
        <item x="0"/>
        <item x="1"/>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x="1"/>
        <item h="1" m="1" x="3"/>
        <item h="1"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3">
    <i>
      <x/>
    </i>
    <i>
      <x v="2"/>
    </i>
    <i>
      <x v="4"/>
    </i>
  </rowItems>
  <colFields count="1">
    <field x="112"/>
  </colFields>
  <colItems count="2">
    <i>
      <x/>
    </i>
    <i>
      <x v="1"/>
    </i>
  </colItems>
  <pageFields count="3">
    <pageField fld="0" item="10" hier="-1"/>
    <pageField fld="121" hier="-1"/>
    <pageField fld="6" hier="-1"/>
  </pageFields>
  <dataFields count="1">
    <dataField name="Count of Sites with TLS" fld="112" subtotal="count" showDataAs="percentOfRow" baseField="4" baseItem="4" numFmtId="9"/>
  </dataFields>
  <formats count="16">
    <format dxfId="534">
      <pivotArea type="all" dataOnly="0" outline="0" fieldPosition="0"/>
    </format>
    <format dxfId="533">
      <pivotArea outline="0" collapsedLevelsAreSubtotals="1" fieldPosition="0"/>
    </format>
    <format dxfId="532">
      <pivotArea field="4" type="button" dataOnly="0" labelOnly="1" outline="0" axis="axisRow" fieldPosition="0"/>
    </format>
    <format dxfId="531">
      <pivotArea dataOnly="0" labelOnly="1" grandRow="1" outline="0" fieldPosition="0"/>
    </format>
    <format dxfId="530">
      <pivotArea type="all" dataOnly="0" outline="0" fieldPosition="0"/>
    </format>
    <format dxfId="529">
      <pivotArea outline="0" collapsedLevelsAreSubtotals="1" fieldPosition="0"/>
    </format>
    <format dxfId="528">
      <pivotArea type="origin" dataOnly="0" labelOnly="1" outline="0" fieldPosition="0"/>
    </format>
    <format dxfId="527">
      <pivotArea field="121" type="button" dataOnly="0" labelOnly="1" outline="0" axis="axisPage" fieldPosition="1"/>
    </format>
    <format dxfId="526">
      <pivotArea type="topRight" dataOnly="0" labelOnly="1" outline="0" fieldPosition="0"/>
    </format>
    <format dxfId="525">
      <pivotArea dataOnly="0" labelOnly="1" fieldPosition="0">
        <references count="1">
          <reference field="121" count="0"/>
        </references>
      </pivotArea>
    </format>
    <format dxfId="524">
      <pivotArea type="all" dataOnly="0" outline="0" fieldPosition="0"/>
    </format>
    <format dxfId="523">
      <pivotArea outline="0" collapsedLevelsAreSubtotals="1" fieldPosition="0"/>
    </format>
    <format dxfId="522">
      <pivotArea field="4" type="button" dataOnly="0" labelOnly="1" outline="0" axis="axisRow" fieldPosition="0"/>
    </format>
    <format dxfId="521">
      <pivotArea dataOnly="0" labelOnly="1" fieldPosition="0">
        <references count="1">
          <reference field="4" count="0"/>
        </references>
      </pivotArea>
    </format>
    <format dxfId="520">
      <pivotArea outline="0" fieldPosition="0">
        <references count="1">
          <reference field="4294967294" count="1">
            <x v="0"/>
          </reference>
        </references>
      </pivotArea>
    </format>
    <format dxfId="519">
      <pivotArea outline="0" collapsedLevelsAreSubtotals="1" fieldPosition="0"/>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5.xml><?xml version="1.0" encoding="utf-8"?>
<pivotTableDefinition xmlns="http://schemas.openxmlformats.org/spreadsheetml/2006/main" xmlns:mc="http://schemas.openxmlformats.org/markup-compatibility/2006" xmlns:xr="http://schemas.microsoft.com/office/spreadsheetml/2014/revision" mc:Ignorable="xr" xr:uid="{00000000-0007-0000-0800-000019000000}" name="S_drainage"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5" rowHeaderCaption="State">
  <location ref="B165:G169" firstHeaderRow="1" firstDataRow="2" firstDataCol="1" rowPageCount="3" colPageCount="1"/>
  <pivotFields count="131">
    <pivotField axis="axisPage" subtotalTop="0" multipleItemSelectionAllowed="1" showAll="0">
      <items count="12">
        <item m="1" x="9"/>
        <item m="1" x="3"/>
        <item m="1" x="10"/>
        <item h="1" m="1" x="4"/>
        <item m="1" x="2"/>
        <item h="1" m="1" x="1"/>
        <item h="1" m="1" x="8"/>
        <item h="1" m="1" x="5"/>
        <item h="1" m="1" x="6"/>
        <item m="1" x="7"/>
        <item x="0"/>
        <item t="default"/>
      </items>
    </pivotField>
    <pivotField showAll="0" defaultSubtotal="0"/>
    <pivotField showAll="0" defaultSubtotal="0"/>
    <pivotField subtotalTop="0" showAll="0"/>
    <pivotField axis="axisRow" subtotalTop="0" showAll="0">
      <items count="7">
        <item x="0"/>
        <item m="1" x="5"/>
        <item x="3"/>
        <item h="1" m="1" x="4"/>
        <item x="1"/>
        <item x="2"/>
        <item t="default"/>
      </items>
    </pivotField>
    <pivotField subtotalTop="0" showAll="0"/>
    <pivotField axis="axisPage" multipleItemSelectionAllowed="1" showAll="0" defaultSubtotal="0">
      <items count="10">
        <item x="1"/>
        <item x="0"/>
        <item m="1" x="9"/>
        <item h="1" x="3"/>
        <item m="1" x="6"/>
        <item m="1" x="5"/>
        <item h="1" x="2"/>
        <item m="1" x="8"/>
        <item h="1" x="4"/>
        <item m="1" x="7"/>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dataField="1" showAll="0" defaultSubtotal="0">
      <items count="5">
        <item x="0"/>
        <item x="2"/>
        <item x="4"/>
        <item x="3"/>
        <item x="1"/>
      </items>
    </pivotField>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numFmtId="9" subtotalTop="0" showAll="0"/>
    <pivotField numFmtId="9" subtotalTop="0" showAll="0"/>
    <pivotField showAll="0" defaultSubtotal="0"/>
    <pivotField showAll="0"/>
    <pivotField subtotalTop="0" showAll="0"/>
    <pivotField showAll="0" defaultSubtotal="0"/>
    <pivotField showAll="0" defaultSubtotal="0"/>
    <pivotField subtotalTop="0" showAll="0"/>
    <pivotField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h="1"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3">
    <i>
      <x/>
    </i>
    <i>
      <x v="2"/>
    </i>
    <i>
      <x v="4"/>
    </i>
  </rowItems>
  <colFields count="1">
    <field x="50"/>
  </colFields>
  <colItems count="5">
    <i>
      <x/>
    </i>
    <i>
      <x v="1"/>
    </i>
    <i>
      <x v="2"/>
    </i>
    <i>
      <x v="3"/>
    </i>
    <i>
      <x v="4"/>
    </i>
  </colItems>
  <pageFields count="3">
    <pageField fld="0" hier="-1"/>
    <pageField fld="121" hier="-1"/>
    <pageField fld="6" hier="-1"/>
  </pageFields>
  <dataFields count="1">
    <dataField name="Count of Is there constructed surface water drainage system?_x000a_" fld="50" subtotal="count" baseField="0" baseItem="0"/>
  </dataFields>
  <formats count="9">
    <format dxfId="543">
      <pivotArea type="all" dataOnly="0" outline="0" fieldPosition="0"/>
    </format>
    <format dxfId="542">
      <pivotArea outline="0" collapsedLevelsAreSubtotals="1" fieldPosition="0"/>
    </format>
    <format dxfId="541">
      <pivotArea type="origin" dataOnly="0" labelOnly="1" outline="0" fieldPosition="0"/>
    </format>
    <format dxfId="540">
      <pivotArea type="topRight" dataOnly="0" labelOnly="1" outline="0" fieldPosition="0"/>
    </format>
    <format dxfId="539">
      <pivotArea field="4" type="button" dataOnly="0" labelOnly="1" outline="0" axis="axisRow" fieldPosition="0"/>
    </format>
    <format dxfId="538">
      <pivotArea dataOnly="0" labelOnly="1" fieldPosition="0">
        <references count="1">
          <reference field="4" count="0"/>
        </references>
      </pivotArea>
    </format>
    <format dxfId="537">
      <pivotArea type="all" dataOnly="0" outline="0" fieldPosition="0"/>
    </format>
    <format dxfId="536">
      <pivotArea outline="0" collapsedLevelsAreSubtotals="1" fieldPosition="0"/>
    </format>
    <format dxfId="535">
      <pivotArea dataOnly="0" labelOnly="1" fieldPosition="0">
        <references count="1">
          <reference field="4" count="0"/>
        </references>
      </pivotArea>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6.xml><?xml version="1.0" encoding="utf-8"?>
<pivotTableDefinition xmlns="http://schemas.openxmlformats.org/spreadsheetml/2006/main" xmlns:mc="http://schemas.openxmlformats.org/markup-compatibility/2006" xmlns:xr="http://schemas.microsoft.com/office/spreadsheetml/2014/revision" mc:Ignorable="xr" xr:uid="{00000000-0007-0000-0800-000002000000}" name="K_Geo" cacheId="0"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6">
  <location ref="C330:E333" firstHeaderRow="1" firstDataRow="2" firstDataCol="1" rowPageCount="2" colPageCount="1"/>
  <pivotFields count="131">
    <pivotField axis="axisPage" subtotalTop="0" showAll="0">
      <items count="12">
        <item m="1" x="9"/>
        <item m="1" x="3"/>
        <item m="1" x="10"/>
        <item m="1" x="4"/>
        <item m="1" x="2"/>
        <item m="1" x="1"/>
        <item m="1" x="8"/>
        <item m="1" x="5"/>
        <item m="1" x="6"/>
        <item m="1" x="7"/>
        <item x="0"/>
        <item t="default"/>
      </items>
    </pivotField>
    <pivotField showAll="0" defaultSubtotal="0"/>
    <pivotField showAll="0" defaultSubtotal="0"/>
    <pivotField subtotalTop="0" showAll="0"/>
    <pivotField axis="axisPage" subtotalTop="0" multipleItemSelectionAllowed="1" showAll="0">
      <items count="7">
        <item x="0"/>
        <item h="1" m="1" x="5"/>
        <item h="1" x="3"/>
        <item m="1" x="4"/>
        <item h="1" x="1"/>
        <item h="1" x="2"/>
        <item t="default"/>
      </items>
    </pivotField>
    <pivotField subtotalTop="0" showAll="0"/>
    <pivotField axis="axisRow" showAll="0" defaultSubtotal="0">
      <items count="10">
        <item x="1"/>
        <item x="0"/>
        <item m="1" x="9"/>
        <item m="1" x="6"/>
        <item m="1" x="5"/>
        <item x="2"/>
        <item m="1" x="8"/>
        <item x="4"/>
        <item m="1" x="7"/>
        <item x="3"/>
      </items>
    </pivotField>
    <pivotField dataField="1"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numFmtId="9" subtotalTop="0"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1" showAll="0" defaultSubtotal="0"/>
    <pivotField numFmtId="9" showAll="0"/>
    <pivotField numFmtId="1" showAll="0" defaultSubtotal="0"/>
    <pivotField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Col" subtotalTop="0" showAll="0">
      <items count="5">
        <item x="0"/>
        <item n="Gap" x="1"/>
        <item h="1" m="1" x="3"/>
        <item h="1"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i>
    <i>
      <x v="1"/>
    </i>
  </rowItems>
  <colFields count="1">
    <field x="121"/>
  </colFields>
  <colItems count="2">
    <i>
      <x/>
    </i>
    <i>
      <x v="1"/>
    </i>
  </colItems>
  <pageFields count="2">
    <pageField fld="0" item="10" hier="-1"/>
    <pageField fld="4" hier="-1"/>
  </pageFields>
  <dataFields count="1">
    <dataField name="Count of Site Name" fld="7" subtotal="count" baseField="0" baseItem="0"/>
  </dataFields>
  <formats count="19">
    <format dxfId="562">
      <pivotArea type="all" dataOnly="0" outline="0" fieldPosition="0"/>
    </format>
    <format dxfId="561">
      <pivotArea outline="0" collapsedLevelsAreSubtotals="1" fieldPosition="0"/>
    </format>
    <format dxfId="560">
      <pivotArea field="4" type="button" dataOnly="0" labelOnly="1" outline="0" axis="axisPage" fieldPosition="1"/>
    </format>
    <format dxfId="559">
      <pivotArea dataOnly="0" labelOnly="1" fieldPosition="0">
        <references count="1">
          <reference field="4" count="0"/>
        </references>
      </pivotArea>
    </format>
    <format dxfId="558">
      <pivotArea dataOnly="0" labelOnly="1" grandRow="1" outline="0" fieldPosition="0"/>
    </format>
    <format dxfId="557">
      <pivotArea dataOnly="0" labelOnly="1" outline="0" fieldPosition="0">
        <references count="1">
          <reference field="4294967294" count="1">
            <x v="0"/>
          </reference>
        </references>
      </pivotArea>
    </format>
    <format dxfId="556">
      <pivotArea type="all" dataOnly="0" outline="0" fieldPosition="0"/>
    </format>
    <format dxfId="555">
      <pivotArea outline="0" collapsedLevelsAreSubtotals="1" fieldPosition="0"/>
    </format>
    <format dxfId="554">
      <pivotArea type="origin" dataOnly="0" labelOnly="1" outline="0" fieldPosition="0"/>
    </format>
    <format dxfId="553">
      <pivotArea field="121" type="button" dataOnly="0" labelOnly="1" outline="0" axis="axisCol" fieldPosition="0"/>
    </format>
    <format dxfId="552">
      <pivotArea type="topRight" dataOnly="0" labelOnly="1" outline="0" fieldPosition="0"/>
    </format>
    <format dxfId="551">
      <pivotArea dataOnly="0" labelOnly="1" fieldPosition="0">
        <references count="1">
          <reference field="121" count="0"/>
        </references>
      </pivotArea>
    </format>
    <format dxfId="550">
      <pivotArea type="all" dataOnly="0" outline="0" fieldPosition="0"/>
    </format>
    <format dxfId="549">
      <pivotArea outline="0" collapsedLevelsAreSubtotals="1" fieldPosition="0"/>
    </format>
    <format dxfId="548">
      <pivotArea dataOnly="0" labelOnly="1" fieldPosition="0">
        <references count="1">
          <reference field="121" count="0"/>
        </references>
      </pivotArea>
    </format>
    <format dxfId="547">
      <pivotArea field="4" type="button" dataOnly="0" labelOnly="1" outline="0" axis="axisPage" fieldPosition="1"/>
    </format>
    <format dxfId="546">
      <pivotArea dataOnly="0" labelOnly="1" outline="0" fieldPosition="0">
        <references count="2">
          <reference field="0" count="1" selected="0">
            <x v="8"/>
          </reference>
          <reference field="4" count="0"/>
        </references>
      </pivotArea>
    </format>
    <format dxfId="545">
      <pivotArea dataOnly="0" labelOnly="1" outline="0" fieldPosition="0">
        <references count="2">
          <reference field="0" count="1" selected="0">
            <x v="9"/>
          </reference>
          <reference field="4" count="0"/>
        </references>
      </pivotArea>
    </format>
    <format dxfId="544">
      <pivotArea dataOnly="0" labelOnly="1" outline="0" fieldPosition="0">
        <references count="2">
          <reference field="0" count="1" selected="0">
            <x v="9"/>
          </reference>
          <reference field="4" count="0"/>
        </references>
      </pivotArea>
    </format>
  </formats>
  <chartFormats count="8">
    <chartFormat chart="7" format="8" series="1">
      <pivotArea type="data" outline="0" fieldPosition="0">
        <references count="2">
          <reference field="4294967294" count="1" selected="0">
            <x v="0"/>
          </reference>
          <reference field="121" count="1" selected="0">
            <x v="0"/>
          </reference>
        </references>
      </pivotArea>
    </chartFormat>
    <chartFormat chart="7" format="9" series="1">
      <pivotArea type="data" outline="0" fieldPosition="0">
        <references count="2">
          <reference field="4294967294" count="1" selected="0">
            <x v="0"/>
          </reference>
          <reference field="121" count="1" selected="0">
            <x v="1"/>
          </reference>
        </references>
      </pivotArea>
    </chartFormat>
    <chartFormat chart="10" format="8" series="1">
      <pivotArea type="data" outline="0" fieldPosition="0">
        <references count="2">
          <reference field="4294967294" count="1" selected="0">
            <x v="0"/>
          </reference>
          <reference field="121" count="1" selected="0">
            <x v="0"/>
          </reference>
        </references>
      </pivotArea>
    </chartFormat>
    <chartFormat chart="10" format="9" series="1">
      <pivotArea type="data" outline="0" fieldPosition="0">
        <references count="2">
          <reference field="4294967294" count="1" selected="0">
            <x v="0"/>
          </reference>
          <reference field="121" count="1" selected="0">
            <x v="1"/>
          </reference>
        </references>
      </pivotArea>
    </chartFormat>
    <chartFormat chart="40" format="8" series="1">
      <pivotArea type="data" outline="0" fieldPosition="0">
        <references count="2">
          <reference field="4294967294" count="1" selected="0">
            <x v="0"/>
          </reference>
          <reference field="121" count="1" selected="0">
            <x v="0"/>
          </reference>
        </references>
      </pivotArea>
    </chartFormat>
    <chartFormat chart="40" format="9" series="1">
      <pivotArea type="data" outline="0" fieldPosition="0">
        <references count="2">
          <reference field="4294967294" count="1" selected="0">
            <x v="0"/>
          </reference>
          <reference field="121" count="1" selected="0">
            <x v="1"/>
          </reference>
        </references>
      </pivotArea>
    </chartFormat>
    <chartFormat chart="42" format="12" series="1">
      <pivotArea type="data" outline="0" fieldPosition="0">
        <references count="2">
          <reference field="4294967294" count="1" selected="0">
            <x v="0"/>
          </reference>
          <reference field="121" count="1" selected="0">
            <x v="0"/>
          </reference>
        </references>
      </pivotArea>
    </chartFormat>
    <chartFormat chart="42" format="13" series="1">
      <pivotArea type="data" outline="0" fieldPosition="0">
        <references count="2">
          <reference field="4294967294" count="1" selected="0">
            <x v="0"/>
          </reference>
          <reference field="121" count="1" selected="0">
            <x v="1"/>
          </reference>
        </references>
      </pivotArea>
    </chartFormat>
  </chart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7.xml><?xml version="1.0" encoding="utf-8"?>
<pivotTableDefinition xmlns="http://schemas.openxmlformats.org/spreadsheetml/2006/main" xmlns:mc="http://schemas.openxmlformats.org/markup-compatibility/2006" xmlns:xr="http://schemas.microsoft.com/office/spreadsheetml/2014/revision" mc:Ignorable="xr" xr:uid="{00000000-0007-0000-0800-00001D000000}" name="S_SWM"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rowHeaderCaption="State">
  <location ref="B181:F185" firstHeaderRow="1" firstDataRow="2" firstDataCol="1" rowPageCount="3" colPageCount="1"/>
  <pivotFields count="131">
    <pivotField axis="axisPage" subtotalTop="0" multipleItemSelectionAllowed="1" showAll="0">
      <items count="12">
        <item m="1" x="9"/>
        <item m="1" x="3"/>
        <item m="1" x="10"/>
        <item h="1" m="1" x="4"/>
        <item m="1" x="2"/>
        <item h="1" m="1" x="1"/>
        <item h="1" m="1" x="8"/>
        <item h="1" m="1" x="5"/>
        <item h="1" m="1" x="6"/>
        <item m="1" x="7"/>
        <item x="0"/>
        <item t="default"/>
      </items>
    </pivotField>
    <pivotField showAll="0" defaultSubtotal="0"/>
    <pivotField showAll="0" defaultSubtotal="0"/>
    <pivotField subtotalTop="0" showAll="0"/>
    <pivotField axis="axisRow" subtotalTop="0" showAll="0">
      <items count="7">
        <item x="0"/>
        <item m="1" x="5"/>
        <item x="3"/>
        <item h="1" m="1" x="4"/>
        <item x="1"/>
        <item x="2"/>
        <item t="default"/>
      </items>
    </pivotField>
    <pivotField subtotalTop="0" showAll="0"/>
    <pivotField axis="axisPage" multipleItemSelectionAllowed="1" showAll="0" defaultSubtotal="0">
      <items count="10">
        <item x="1"/>
        <item x="0"/>
        <item m="1" x="9"/>
        <item h="1" x="3"/>
        <item m="1" x="6"/>
        <item m="1" x="5"/>
        <item h="1" x="2"/>
        <item m="1" x="8"/>
        <item h="1" x="4"/>
        <item m="1" x="7"/>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dataField="1" showAll="0" defaultSubtotal="0">
      <items count="4">
        <item x="3"/>
        <item x="2"/>
        <item x="0"/>
        <item x="1"/>
      </items>
    </pivotField>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numFmtId="9" subtotalTop="0" showAll="0"/>
    <pivotField numFmtId="9" subtotalTop="0" showAll="0"/>
    <pivotField showAll="0" defaultSubtotal="0"/>
    <pivotField showAll="0"/>
    <pivotField subtotalTop="0" showAll="0"/>
    <pivotField showAll="0" defaultSubtotal="0"/>
    <pivotField showAll="0" defaultSubtotal="0"/>
    <pivotField subtotalTop="0" showAll="0"/>
    <pivotField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3">
    <i>
      <x/>
    </i>
    <i>
      <x v="2"/>
    </i>
    <i>
      <x v="4"/>
    </i>
  </rowItems>
  <colFields count="1">
    <field x="49"/>
  </colFields>
  <colItems count="4">
    <i>
      <x/>
    </i>
    <i>
      <x v="1"/>
    </i>
    <i>
      <x v="2"/>
    </i>
    <i>
      <x v="3"/>
    </i>
  </colItems>
  <pageFields count="3">
    <pageField fld="0" hier="-1"/>
    <pageField fld="121" item="0" hier="-1"/>
    <pageField fld="6" hier="-1"/>
  </pageFields>
  <dataFields count="1">
    <dataField name="Count of Is there provision of solid waste management equipment?" fld="49" subtotal="count" baseField="0" baseItem="0"/>
  </dataFields>
  <formats count="11">
    <format dxfId="573">
      <pivotArea type="all" dataOnly="0" outline="0" fieldPosition="0"/>
    </format>
    <format dxfId="572">
      <pivotArea outline="0" collapsedLevelsAreSubtotals="1" fieldPosition="0"/>
    </format>
    <format dxfId="571">
      <pivotArea type="origin" dataOnly="0" labelOnly="1" outline="0" fieldPosition="0"/>
    </format>
    <format dxfId="570">
      <pivotArea type="topRight" dataOnly="0" labelOnly="1" outline="0" fieldPosition="0"/>
    </format>
    <format dxfId="569">
      <pivotArea field="4" type="button" dataOnly="0" labelOnly="1" outline="0" axis="axisRow" fieldPosition="0"/>
    </format>
    <format dxfId="568">
      <pivotArea dataOnly="0" labelOnly="1" fieldPosition="0">
        <references count="1">
          <reference field="4" count="0"/>
        </references>
      </pivotArea>
    </format>
    <format dxfId="567">
      <pivotArea dataOnly="0" labelOnly="1" grandRow="1" outline="0" fieldPosition="0"/>
    </format>
    <format dxfId="566">
      <pivotArea dataOnly="0" labelOnly="1" grandCol="1" outline="0" fieldPosition="0"/>
    </format>
    <format dxfId="565">
      <pivotArea type="all" dataOnly="0" outline="0" fieldPosition="0"/>
    </format>
    <format dxfId="564">
      <pivotArea outline="0" collapsedLevelsAreSubtotals="1" fieldPosition="0"/>
    </format>
    <format dxfId="563">
      <pivotArea dataOnly="0" labelOnly="1" fieldPosition="0">
        <references count="1">
          <reference field="4" count="0"/>
        </references>
      </pivotArea>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8.xml><?xml version="1.0" encoding="utf-8"?>
<pivotTableDefinition xmlns="http://schemas.openxmlformats.org/spreadsheetml/2006/main" xmlns:mc="http://schemas.openxmlformats.org/markup-compatibility/2006" xmlns:xr="http://schemas.microsoft.com/office/spreadsheetml/2014/revision" mc:Ignorable="xr" xr:uid="{00000000-0007-0000-0800-000012000000}" name="R_Geo" cacheId="0"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4">
  <location ref="H330:J335" firstHeaderRow="1" firstDataRow="2" firstDataCol="1" rowPageCount="2" colPageCount="1"/>
  <pivotFields count="131">
    <pivotField axis="axisPage" subtotalTop="0" showAll="0">
      <items count="12">
        <item m="1" x="9"/>
        <item m="1" x="3"/>
        <item m="1" x="10"/>
        <item m="1" x="4"/>
        <item m="1" x="2"/>
        <item m="1" x="1"/>
        <item m="1" x="8"/>
        <item m="1" x="5"/>
        <item m="1" x="6"/>
        <item m="1" x="7"/>
        <item x="0"/>
        <item t="default"/>
      </items>
    </pivotField>
    <pivotField showAll="0" defaultSubtotal="0"/>
    <pivotField showAll="0" defaultSubtotal="0"/>
    <pivotField subtotalTop="0" showAll="0"/>
    <pivotField axis="axisPage" subtotalTop="0" multipleItemSelectionAllowed="1" showAll="0">
      <items count="7">
        <item h="1" x="0"/>
        <item m="1" x="5"/>
        <item h="1" x="3"/>
        <item m="1" x="4"/>
        <item x="1"/>
        <item x="2"/>
        <item t="default"/>
      </items>
    </pivotField>
    <pivotField subtotalTop="0" showAll="0"/>
    <pivotField axis="axisRow" showAll="0" defaultSubtotal="0">
      <items count="10">
        <item x="1"/>
        <item x="0"/>
        <item m="1" x="9"/>
        <item m="1" x="6"/>
        <item m="1" x="5"/>
        <item x="2"/>
        <item m="1" x="8"/>
        <item x="4"/>
        <item m="1" x="7"/>
        <item x="3"/>
      </items>
    </pivotField>
    <pivotField dataField="1"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numFmtId="9" subtotalTop="0"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1" showAll="0" defaultSubtotal="0"/>
    <pivotField numFmtId="9" showAll="0"/>
    <pivotField numFmtId="1" showAll="0" defaultSubtotal="0"/>
    <pivotField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Col" subtotalTop="0" showAll="0">
      <items count="5">
        <item x="0"/>
        <item n="Gap" x="1"/>
        <item h="1" m="1" x="3"/>
        <item h="1"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4">
    <i>
      <x/>
    </i>
    <i>
      <x v="5"/>
    </i>
    <i>
      <x v="7"/>
    </i>
    <i>
      <x v="9"/>
    </i>
  </rowItems>
  <colFields count="1">
    <field x="121"/>
  </colFields>
  <colItems count="2">
    <i>
      <x/>
    </i>
    <i>
      <x v="1"/>
    </i>
  </colItems>
  <pageFields count="2">
    <pageField fld="0" item="10" hier="-1"/>
    <pageField fld="4" hier="-1"/>
  </pageFields>
  <dataFields count="1">
    <dataField name="Count of Site Name" fld="7" subtotal="count" baseField="0" baseItem="0"/>
  </dataFields>
  <formats count="19">
    <format dxfId="592">
      <pivotArea type="all" dataOnly="0" outline="0" fieldPosition="0"/>
    </format>
    <format dxfId="591">
      <pivotArea outline="0" collapsedLevelsAreSubtotals="1" fieldPosition="0"/>
    </format>
    <format dxfId="590">
      <pivotArea field="4" type="button" dataOnly="0" labelOnly="1" outline="0" axis="axisPage" fieldPosition="1"/>
    </format>
    <format dxfId="589">
      <pivotArea dataOnly="0" labelOnly="1" fieldPosition="0">
        <references count="1">
          <reference field="4" count="0"/>
        </references>
      </pivotArea>
    </format>
    <format dxfId="588">
      <pivotArea dataOnly="0" labelOnly="1" grandRow="1" outline="0" fieldPosition="0"/>
    </format>
    <format dxfId="587">
      <pivotArea dataOnly="0" labelOnly="1" outline="0" fieldPosition="0">
        <references count="1">
          <reference field="4294967294" count="1">
            <x v="0"/>
          </reference>
        </references>
      </pivotArea>
    </format>
    <format dxfId="586">
      <pivotArea type="all" dataOnly="0" outline="0" fieldPosition="0"/>
    </format>
    <format dxfId="585">
      <pivotArea outline="0" collapsedLevelsAreSubtotals="1" fieldPosition="0"/>
    </format>
    <format dxfId="584">
      <pivotArea type="origin" dataOnly="0" labelOnly="1" outline="0" fieldPosition="0"/>
    </format>
    <format dxfId="583">
      <pivotArea field="121" type="button" dataOnly="0" labelOnly="1" outline="0" axis="axisCol" fieldPosition="0"/>
    </format>
    <format dxfId="582">
      <pivotArea type="topRight" dataOnly="0" labelOnly="1" outline="0" fieldPosition="0"/>
    </format>
    <format dxfId="581">
      <pivotArea dataOnly="0" labelOnly="1" fieldPosition="0">
        <references count="1">
          <reference field="121" count="0"/>
        </references>
      </pivotArea>
    </format>
    <format dxfId="580">
      <pivotArea type="all" dataOnly="0" outline="0" fieldPosition="0"/>
    </format>
    <format dxfId="579">
      <pivotArea outline="0" collapsedLevelsAreSubtotals="1" fieldPosition="0"/>
    </format>
    <format dxfId="578">
      <pivotArea dataOnly="0" labelOnly="1" fieldPosition="0">
        <references count="1">
          <reference field="121" count="0"/>
        </references>
      </pivotArea>
    </format>
    <format dxfId="577">
      <pivotArea field="4" type="button" dataOnly="0" labelOnly="1" outline="0" axis="axisPage" fieldPosition="1"/>
    </format>
    <format dxfId="576">
      <pivotArea dataOnly="0" labelOnly="1" outline="0" fieldPosition="0">
        <references count="2">
          <reference field="0" count="1" selected="0">
            <x v="7"/>
          </reference>
          <reference field="4" count="0"/>
        </references>
      </pivotArea>
    </format>
    <format dxfId="575">
      <pivotArea dataOnly="0" labelOnly="1" outline="0" fieldPosition="0">
        <references count="2">
          <reference field="0" count="1" selected="0">
            <x v="8"/>
          </reference>
          <reference field="4" count="0"/>
        </references>
      </pivotArea>
    </format>
    <format dxfId="574">
      <pivotArea dataOnly="0" labelOnly="1" outline="0" fieldPosition="0">
        <references count="2">
          <reference field="0" count="1" selected="0">
            <x v="9"/>
          </reference>
          <reference field="4" count="0"/>
        </references>
      </pivotArea>
    </format>
  </formats>
  <chartFormats count="8">
    <chartFormat chart="1" format="0" series="1">
      <pivotArea type="data" outline="0" fieldPosition="0">
        <references count="2">
          <reference field="4294967294" count="1" selected="0">
            <x v="0"/>
          </reference>
          <reference field="121" count="1" selected="0">
            <x v="0"/>
          </reference>
        </references>
      </pivotArea>
    </chartFormat>
    <chartFormat chart="1" format="1" series="1">
      <pivotArea type="data" outline="0" fieldPosition="0">
        <references count="2">
          <reference field="4294967294" count="1" selected="0">
            <x v="0"/>
          </reference>
          <reference field="121" count="1" selected="0">
            <x v="1"/>
          </reference>
        </references>
      </pivotArea>
    </chartFormat>
    <chartFormat chart="9" format="8" series="1">
      <pivotArea type="data" outline="0" fieldPosition="0">
        <references count="2">
          <reference field="4294967294" count="1" selected="0">
            <x v="0"/>
          </reference>
          <reference field="121" count="1" selected="0">
            <x v="0"/>
          </reference>
        </references>
      </pivotArea>
    </chartFormat>
    <chartFormat chart="9" format="9" series="1">
      <pivotArea type="data" outline="0" fieldPosition="0">
        <references count="2">
          <reference field="4294967294" count="1" selected="0">
            <x v="0"/>
          </reference>
          <reference field="121" count="1" selected="0">
            <x v="1"/>
          </reference>
        </references>
      </pivotArea>
    </chartFormat>
    <chartFormat chart="16" format="8" series="1">
      <pivotArea type="data" outline="0" fieldPosition="0">
        <references count="2">
          <reference field="4294967294" count="1" selected="0">
            <x v="0"/>
          </reference>
          <reference field="121" count="1" selected="0">
            <x v="0"/>
          </reference>
        </references>
      </pivotArea>
    </chartFormat>
    <chartFormat chart="16" format="9" series="1">
      <pivotArea type="data" outline="0" fieldPosition="0">
        <references count="2">
          <reference field="4294967294" count="1" selected="0">
            <x v="0"/>
          </reference>
          <reference field="121" count="1" selected="0">
            <x v="1"/>
          </reference>
        </references>
      </pivotArea>
    </chartFormat>
    <chartFormat chart="9" format="10" series="1">
      <pivotArea type="data" outline="0" fieldPosition="0">
        <references count="1">
          <reference field="4294967294" count="1" selected="0">
            <x v="0"/>
          </reference>
        </references>
      </pivotArea>
    </chartFormat>
    <chartFormat chart="16" format="10" series="1">
      <pivotArea type="data" outline="0" fieldPosition="0">
        <references count="1">
          <reference field="4294967294" count="1" selected="0">
            <x v="0"/>
          </reference>
        </references>
      </pivotArea>
    </chartFormat>
  </chart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9.xml><?xml version="1.0" encoding="utf-8"?>
<pivotTableDefinition xmlns="http://schemas.openxmlformats.org/spreadsheetml/2006/main" xmlns:mc="http://schemas.openxmlformats.org/markup-compatibility/2006" xmlns:xr="http://schemas.microsoft.com/office/spreadsheetml/2014/revision" mc:Ignorable="xr" xr:uid="{00000000-0007-0000-0800-00000D000000}" name="PivotTable10"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5" rowHeaderCaption="State" colHeaderCaption=" ">
  <location ref="B74:D78" firstHeaderRow="1" firstDataRow="2" firstDataCol="1" rowPageCount="3" colPageCount="1"/>
  <pivotFields count="131">
    <pivotField axis="axisPage" subtotalTop="0" multipleItemSelectionAllowed="1" showAll="0">
      <items count="12">
        <item m="1" x="9"/>
        <item m="1" x="3"/>
        <item h="1" m="1" x="4"/>
        <item h="1" m="1" x="1"/>
        <item m="1" x="10"/>
        <item m="1" x="2"/>
        <item h="1" m="1" x="8"/>
        <item h="1" m="1" x="5"/>
        <item h="1" m="1" x="6"/>
        <item m="1" x="7"/>
        <item x="0"/>
        <item t="default"/>
      </items>
    </pivotField>
    <pivotField showAll="0" defaultSubtotal="0"/>
    <pivotField showAll="0" defaultSubtotal="0"/>
    <pivotField subtotalTop="0" showAll="0"/>
    <pivotField axis="axisRow" subtotalTop="0" showAll="0">
      <items count="7">
        <item x="0"/>
        <item m="1" x="5"/>
        <item x="3"/>
        <item m="1" x="4"/>
        <item x="1"/>
        <item x="2"/>
        <item t="default"/>
      </items>
    </pivotField>
    <pivotField subtotalTop="0" showAll="0"/>
    <pivotField axis="axisPage" multipleItemSelectionAllowed="1" showAll="0" defaultSubtotal="0">
      <items count="10">
        <item x="1"/>
        <item x="0"/>
        <item m="1" x="9"/>
        <item h="1" x="3"/>
        <item m="1" x="6"/>
        <item m="1" x="5"/>
        <item h="1" x="2"/>
        <item m="1" x="8"/>
        <item h="1" x="4"/>
        <item m="1" x="7"/>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dataField="1" showAll="0" defaultSubtotal="0">
      <items count="3">
        <item x="1"/>
        <item x="0"/>
        <item m="1" x="2"/>
      </items>
    </pivotField>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3">
    <i>
      <x/>
    </i>
    <i>
      <x v="2"/>
    </i>
    <i>
      <x v="4"/>
    </i>
  </rowItems>
  <colFields count="1">
    <field x="70"/>
  </colFields>
  <colItems count="2">
    <i>
      <x/>
    </i>
    <i>
      <x v="1"/>
    </i>
  </colItems>
  <pageFields count="3">
    <pageField fld="0" hier="-1"/>
    <pageField fld="121" item="0" hier="-1"/>
    <pageField fld="6" hier="-1"/>
  </pageFields>
  <dataFields count="1">
    <dataField name="Count of Warter quality test done" fld="70" subtotal="count" baseField="0" baseItem="0"/>
  </dataFields>
  <formats count="8">
    <format dxfId="600">
      <pivotArea field="4" type="button" dataOnly="0" labelOnly="1" outline="0" axis="axisRow" fieldPosition="0"/>
    </format>
    <format dxfId="599">
      <pivotArea type="all" dataOnly="0" outline="0" fieldPosition="0"/>
    </format>
    <format dxfId="598">
      <pivotArea outline="0" collapsedLevelsAreSubtotals="1" fieldPosition="0"/>
    </format>
    <format dxfId="597">
      <pivotArea field="4" type="button" dataOnly="0" labelOnly="1" outline="0" axis="axisRow" fieldPosition="0"/>
    </format>
    <format dxfId="596">
      <pivotArea dataOnly="0" labelOnly="1" fieldPosition="0">
        <references count="1">
          <reference field="4" count="0"/>
        </references>
      </pivotArea>
    </format>
    <format dxfId="595">
      <pivotArea type="all" dataOnly="0" outline="0" fieldPosition="0"/>
    </format>
    <format dxfId="594">
      <pivotArea outline="0" collapsedLevelsAreSubtotals="1" fieldPosition="0"/>
    </format>
    <format dxfId="593">
      <pivotArea dataOnly="0" labelOnly="1" fieldPosition="0">
        <references count="1">
          <reference field="4" count="0"/>
        </references>
      </pivotArea>
    </format>
  </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0.xml><?xml version="1.0" encoding="utf-8"?>
<pivotTableDefinition xmlns="http://schemas.openxmlformats.org/spreadsheetml/2006/main" xmlns:mc="http://schemas.openxmlformats.org/markup-compatibility/2006" xmlns:xr="http://schemas.microsoft.com/office/spreadsheetml/2014/revision" mc:Ignorable="xr" xr:uid="{5BB46D47-B73C-421C-AE28-7B9244352BA1}" name="PivotTable6"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Township">
  <location ref="H26:L34" firstHeaderRow="0" firstDataRow="1" firstDataCol="1" rowPageCount="4" colPageCount="1"/>
  <pivotFields count="131">
    <pivotField axis="axisPage" subtotalTop="0" showAll="0">
      <items count="12">
        <item m="1" x="9"/>
        <item m="1" x="3"/>
        <item m="1" x="4"/>
        <item m="1" x="1"/>
        <item m="1" x="10"/>
        <item m="1" x="2"/>
        <item m="1" x="8"/>
        <item m="1" x="5"/>
        <item m="1" x="6"/>
        <item m="1" x="7"/>
        <item x="0"/>
        <item t="default"/>
      </items>
    </pivotField>
    <pivotField showAll="0" defaultSubtotal="0"/>
    <pivotField showAll="0" defaultSubtotal="0"/>
    <pivotField subtotalTop="0" showAll="0"/>
    <pivotField axis="axisPage" subtotalTop="0" multipleItemSelectionAllowed="1" showAll="0">
      <items count="7">
        <item h="1" x="0"/>
        <item m="1" x="5"/>
        <item h="1" x="3"/>
        <item m="1" x="4"/>
        <item x="1"/>
        <item x="2"/>
        <item t="default"/>
      </items>
    </pivotField>
    <pivotField axis="axisRow" subtotalTop="0" showAll="0" sortType="ascending">
      <items count="42">
        <item m="1" x="36"/>
        <item x="0"/>
        <item x="14"/>
        <item m="1" x="38"/>
        <item x="5"/>
        <item x="6"/>
        <item x="30"/>
        <item x="27"/>
        <item x="24"/>
        <item x="17"/>
        <item x="16"/>
        <item m="1" x="35"/>
        <item m="1" x="39"/>
        <item x="9"/>
        <item x="28"/>
        <item x="15"/>
        <item x="19"/>
        <item x="7"/>
        <item x="8"/>
        <item m="1" x="32"/>
        <item x="1"/>
        <item x="22"/>
        <item x="25"/>
        <item x="20"/>
        <item x="3"/>
        <item m="1" x="37"/>
        <item x="29"/>
        <item x="26"/>
        <item m="1" x="33"/>
        <item m="1" x="34"/>
        <item x="13"/>
        <item x="23"/>
        <item x="10"/>
        <item m="1" x="40"/>
        <item x="21"/>
        <item x="4"/>
        <item x="18"/>
        <item x="11"/>
        <item x="12"/>
        <item x="2"/>
        <item m="1" x="31"/>
        <item t="default"/>
      </items>
    </pivotField>
    <pivotField axis="axisPage" multipleItemSelectionAllowed="1" showAll="0" defaultSubtotal="0">
      <items count="10">
        <item h="1" x="1"/>
        <item h="1" x="0"/>
        <item m="1" x="9"/>
        <item m="1" x="6"/>
        <item h="1" m="1" x="5"/>
        <item h="1" x="2"/>
        <item h="1" m="1" x="8"/>
        <item h="1" x="4"/>
        <item m="1" x="7"/>
        <item x="3"/>
      </items>
    </pivotField>
    <pivotField subtotalTop="0" showAll="0"/>
    <pivotField subtotalTop="0" showAll="0"/>
    <pivotField dataField="1"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x="1"/>
        <item m="1" x="3"/>
        <item m="1" x="2"/>
        <item t="default"/>
      </items>
    </pivotField>
    <pivotField subtotalTop="0" showAl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s>
  <rowFields count="1">
    <field x="5"/>
  </rowFields>
  <rowItems count="8">
    <i>
      <x v="2"/>
    </i>
    <i>
      <x v="10"/>
    </i>
    <i>
      <x v="16"/>
    </i>
    <i>
      <x v="21"/>
    </i>
    <i>
      <x v="30"/>
    </i>
    <i>
      <x v="31"/>
    </i>
    <i>
      <x v="34"/>
    </i>
    <i t="grand">
      <x/>
    </i>
  </rowItems>
  <colFields count="1">
    <field x="-2"/>
  </colFields>
  <colItems count="4">
    <i>
      <x/>
    </i>
    <i i="1">
      <x v="1"/>
    </i>
    <i i="2">
      <x v="2"/>
    </i>
    <i i="3">
      <x v="3"/>
    </i>
  </colItems>
  <pageFields count="4">
    <pageField fld="0" item="10" hier="-1"/>
    <pageField fld="121" hier="-1"/>
    <pageField fld="4" hier="-1"/>
    <pageField fld="6" hier="-1"/>
  </pageFields>
  <dataFields count="4">
    <dataField name="PoP " fld="9" baseField="0" baseItem="0" numFmtId="164"/>
    <dataField name=" % Water GAP" fld="128" baseField="0" baseItem="0" numFmtId="9"/>
    <dataField name=" % Sanitation GAP" fld="130" baseField="0" baseItem="0" numFmtId="9"/>
    <dataField name=" % Hygiene Gap" fld="125" baseField="0" baseItem="0" numFmtId="9"/>
  </dataFields>
  <formats count="38">
    <format dxfId="638">
      <pivotArea type="all" dataOnly="0" outline="0" fieldPosition="0"/>
    </format>
    <format dxfId="637">
      <pivotArea outline="0" collapsedLevelsAreSubtotals="1" fieldPosition="0"/>
    </format>
    <format dxfId="636">
      <pivotArea field="5" type="button" dataOnly="0" labelOnly="1" outline="0" axis="axisRow" fieldPosition="0"/>
    </format>
    <format dxfId="635">
      <pivotArea dataOnly="0" labelOnly="1" outline="0" axis="axisValues" fieldPosition="0"/>
    </format>
    <format dxfId="634">
      <pivotArea dataOnly="0" labelOnly="1" fieldPosition="0">
        <references count="1">
          <reference field="5" count="0"/>
        </references>
      </pivotArea>
    </format>
    <format dxfId="633">
      <pivotArea dataOnly="0" labelOnly="1" grandRow="1" outline="0" fieldPosition="0"/>
    </format>
    <format dxfId="632">
      <pivotArea dataOnly="0" labelOnly="1" outline="0" axis="axisValues" fieldPosition="0"/>
    </format>
    <format dxfId="631">
      <pivotArea type="all" dataOnly="0" outline="0" fieldPosition="0"/>
    </format>
    <format dxfId="630">
      <pivotArea field="5" type="button" dataOnly="0" labelOnly="1" outline="0" axis="axisRow" fieldPosition="0"/>
    </format>
    <format dxfId="629">
      <pivotArea dataOnly="0" labelOnly="1" outline="0" axis="axisValues" fieldPosition="0"/>
    </format>
    <format dxfId="628">
      <pivotArea dataOnly="0" labelOnly="1" fieldPosition="0">
        <references count="1">
          <reference field="5" count="0"/>
        </references>
      </pivotArea>
    </format>
    <format dxfId="627">
      <pivotArea dataOnly="0" labelOnly="1" outline="0" axis="axisValues" fieldPosition="0"/>
    </format>
    <format dxfId="626">
      <pivotArea field="5" type="button" dataOnly="0" labelOnly="1" outline="0" axis="axisRow" fieldPosition="0"/>
    </format>
    <format dxfId="625">
      <pivotArea type="all" dataOnly="0" outline="0" fieldPosition="0"/>
    </format>
    <format dxfId="624">
      <pivotArea field="5" type="button" dataOnly="0" labelOnly="1" outline="0" axis="axisRow" fieldPosition="0"/>
    </format>
    <format dxfId="623">
      <pivotArea dataOnly="0" labelOnly="1" outline="0" fieldPosition="0">
        <references count="1">
          <reference field="4294967294" count="1">
            <x v="0"/>
          </reference>
        </references>
      </pivotArea>
    </format>
    <format dxfId="622">
      <pivotArea type="all" dataOnly="0" outline="0" fieldPosition="0"/>
    </format>
    <format dxfId="621">
      <pivotArea outline="0" collapsedLevelsAreSubtotals="1" fieldPosition="0"/>
    </format>
    <format dxfId="620">
      <pivotArea field="5" type="button" dataOnly="0" labelOnly="1" outline="0" axis="axisRow" fieldPosition="0"/>
    </format>
    <format dxfId="619">
      <pivotArea dataOnly="0" labelOnly="1" fieldPosition="0">
        <references count="1">
          <reference field="5" count="2">
            <x v="30"/>
            <x v="36"/>
          </reference>
        </references>
      </pivotArea>
    </format>
    <format dxfId="618">
      <pivotArea dataOnly="0" labelOnly="1" outline="0" fieldPosition="0">
        <references count="1">
          <reference field="4294967294" count="1">
            <x v="0"/>
          </reference>
        </references>
      </pivotArea>
    </format>
    <format dxfId="617">
      <pivotArea field="5" type="button" dataOnly="0" labelOnly="1" outline="0" axis="axisRow" fieldPosition="0"/>
    </format>
    <format dxfId="616">
      <pivotArea dataOnly="0" labelOnly="1" outline="0" fieldPosition="0">
        <references count="1">
          <reference field="4294967294" count="1">
            <x v="0"/>
          </reference>
        </references>
      </pivotArea>
    </format>
    <format dxfId="615">
      <pivotArea type="all" dataOnly="0" outline="0" fieldPosition="0"/>
    </format>
    <format dxfId="614">
      <pivotArea outline="0" collapsedLevelsAreSubtotals="1" fieldPosition="0"/>
    </format>
    <format dxfId="613">
      <pivotArea field="5" type="button" dataOnly="0" labelOnly="1" outline="0" axis="axisRow" fieldPosition="0"/>
    </format>
    <format dxfId="612">
      <pivotArea dataOnly="0" labelOnly="1" fieldPosition="0">
        <references count="1">
          <reference field="5" count="5">
            <x v="9"/>
            <x v="10"/>
            <x v="23"/>
            <x v="30"/>
            <x v="36"/>
          </reference>
        </references>
      </pivotArea>
    </format>
    <format dxfId="611">
      <pivotArea dataOnly="0" labelOnly="1" grandRow="1" outline="0" fieldPosition="0"/>
    </format>
    <format dxfId="610">
      <pivotArea dataOnly="0" labelOnly="1" outline="0" fieldPosition="0">
        <references count="1">
          <reference field="4294967294" count="1">
            <x v="0"/>
          </reference>
        </references>
      </pivotArea>
    </format>
    <format dxfId="609">
      <pivotArea field="4" type="button" dataOnly="0" labelOnly="1" outline="0" axis="axisPage" fieldPosition="2"/>
    </format>
    <format dxfId="608">
      <pivotArea dataOnly="0" labelOnly="1" outline="0" fieldPosition="0">
        <references count="2">
          <reference field="0" count="1" selected="0">
            <x v="7"/>
          </reference>
          <reference field="4" count="1">
            <x v="1"/>
          </reference>
        </references>
      </pivotArea>
    </format>
    <format dxfId="607">
      <pivotArea outline="0" collapsedLevelsAreSubtotals="1" fieldPosition="0">
        <references count="1">
          <reference field="4294967294" count="1" selected="0">
            <x v="0"/>
          </reference>
        </references>
      </pivotArea>
    </format>
    <format dxfId="606">
      <pivotArea dataOnly="0" labelOnly="1" outline="0" fieldPosition="0">
        <references count="2">
          <reference field="0" count="1" selected="0">
            <x v="8"/>
          </reference>
          <reference field="4" count="1">
            <x v="1"/>
          </reference>
        </references>
      </pivotArea>
    </format>
    <format dxfId="605">
      <pivotArea dataOnly="0" labelOnly="1" outline="0" fieldPosition="0">
        <references count="2">
          <reference field="0" count="1" selected="0">
            <x v="9"/>
          </reference>
          <reference field="4" count="1">
            <x v="1"/>
          </reference>
        </references>
      </pivotArea>
    </format>
    <format dxfId="604">
      <pivotArea dataOnly="0" labelOnly="1" outline="0" fieldPosition="0">
        <references count="2">
          <reference field="0" count="1" selected="0">
            <x v="10"/>
          </reference>
          <reference field="4" count="0"/>
        </references>
      </pivotArea>
    </format>
    <format dxfId="603">
      <pivotArea outline="0" collapsedLevelsAreSubtotals="1" fieldPosition="0">
        <references count="1">
          <reference field="4294967294" count="2" selected="0">
            <x v="1"/>
            <x v="2"/>
          </reference>
        </references>
      </pivotArea>
    </format>
    <format dxfId="602">
      <pivotArea grandRow="1" outline="0" collapsedLevelsAreSubtotals="1" fieldPosition="0"/>
    </format>
    <format dxfId="601">
      <pivotArea dataOnly="0" labelOnly="1" grandRow="1" outline="0" fieldPosition="0"/>
    </format>
  </formats>
  <conditionalFormats count="1">
    <conditionalFormat priority="4">
      <pivotAreas count="1">
        <pivotArea type="data" outline="0" collapsedLevelsAreSubtotals="1" fieldPosition="0">
          <references count="1">
            <reference field="4294967294" count="3" selected="0">
              <x v="1"/>
              <x v="2"/>
              <x v="3"/>
            </reference>
          </references>
        </pivotArea>
      </pivotAreas>
    </conditionalFormat>
  </conditional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Geo_Gap" cacheId="0" applyNumberFormats="0" applyBorderFormats="0" applyFontFormats="0" applyPatternFormats="0" applyAlignmentFormats="0" applyWidthHeightFormats="1" dataCaption="Values" updatedVersion="6" minRefreshableVersion="3" rowGrandTotals="0" colGrandTotals="0" itemPrintTitles="1" createdVersion="6" indent="0" compact="0" compactData="0" multipleFieldFilters="0" chartFormat="8">
  <location ref="C354:L448" firstHeaderRow="0" firstDataRow="1" firstDataCol="4" rowPageCount="2" colPageCount="1"/>
  <pivotFields count="131">
    <pivotField axis="axisPage" compact="0" outline="0" subtotalTop="0" showAll="0" defaultSubtotal="0">
      <items count="11">
        <item m="1" x="9"/>
        <item m="1" x="3"/>
        <item m="1" x="10"/>
        <item m="1" x="4"/>
        <item m="1" x="2"/>
        <item m="1" x="1"/>
        <item m="1" x="8"/>
        <item m="1" x="5"/>
        <item m="1" x="6"/>
        <item m="1" x="7"/>
        <item x="0"/>
      </items>
    </pivotField>
    <pivotField compact="0" outline="0" showAll="0" defaultSubtotal="0"/>
    <pivotField compact="0" outline="0" showAll="0" defaultSubtotal="0"/>
    <pivotField compact="0" outline="0" subtotalTop="0" showAll="0" defaultSubtotal="0"/>
    <pivotField axis="axisRow" compact="0" outline="0" subtotalTop="0" multipleItemSelectionAllowed="1" showAll="0">
      <items count="7">
        <item x="0"/>
        <item m="1" x="5"/>
        <item x="3"/>
        <item m="1" x="4"/>
        <item x="1"/>
        <item x="2"/>
        <item t="default"/>
      </items>
    </pivotField>
    <pivotField axis="axisRow" compact="0" outline="0" subtotalTop="0" showAll="0" defaultSubtotal="0">
      <items count="41">
        <item m="1" x="36"/>
        <item x="0"/>
        <item x="14"/>
        <item x="5"/>
        <item x="6"/>
        <item x="30"/>
        <item x="27"/>
        <item x="24"/>
        <item x="17"/>
        <item x="16"/>
        <item m="1" x="35"/>
        <item m="1" x="39"/>
        <item x="9"/>
        <item x="28"/>
        <item x="15"/>
        <item x="19"/>
        <item x="7"/>
        <item x="8"/>
        <item x="1"/>
        <item x="22"/>
        <item x="25"/>
        <item x="20"/>
        <item x="3"/>
        <item x="29"/>
        <item x="26"/>
        <item m="1" x="34"/>
        <item x="13"/>
        <item x="23"/>
        <item x="10"/>
        <item m="1" x="40"/>
        <item x="21"/>
        <item x="4"/>
        <item x="18"/>
        <item x="11"/>
        <item x="12"/>
        <item x="2"/>
        <item m="1" x="37"/>
        <item m="1" x="32"/>
        <item m="1" x="33"/>
        <item m="1" x="31"/>
        <item m="1" x="38"/>
      </items>
    </pivotField>
    <pivotField compact="0" outline="0" showAll="0" defaultSubtotal="0"/>
    <pivotField axis="axisRow" dataField="1" compact="0" outline="0" subtotalTop="0" showAll="0" defaultSubtotal="0">
      <items count="974">
        <item x="16"/>
        <item x="0"/>
        <item x="1"/>
        <item x="19"/>
        <item x="20"/>
        <item x="2"/>
        <item m="1" x="615"/>
        <item m="1" x="737"/>
        <item x="350"/>
        <item m="1" x="591"/>
        <item m="1" x="723"/>
        <item m="1" x="782"/>
        <item m="1" x="789"/>
        <item m="1" x="680"/>
        <item m="1" x="592"/>
        <item m="1" x="923"/>
        <item m="1" x="876"/>
        <item m="1" x="598"/>
        <item m="1" x="810"/>
        <item x="377"/>
        <item x="331"/>
        <item x="162"/>
        <item x="367"/>
        <item m="1" x="918"/>
        <item m="1" x="631"/>
        <item m="1" x="851"/>
        <item m="1" x="650"/>
        <item m="1" x="660"/>
        <item m="1" x="658"/>
        <item m="1" x="613"/>
        <item x="4"/>
        <item x="185"/>
        <item m="1" x="963"/>
        <item m="1" x="816"/>
        <item m="1" x="687"/>
        <item m="1" x="625"/>
        <item x="21"/>
        <item m="1" x="651"/>
        <item x="221"/>
        <item m="1" x="870"/>
        <item m="1" x="900"/>
        <item x="222"/>
        <item x="303"/>
        <item x="248"/>
        <item m="1" x="847"/>
        <item m="1" x="848"/>
        <item m="1" x="729"/>
        <item x="3"/>
        <item m="1" x="648"/>
        <item x="5"/>
        <item m="1" x="958"/>
        <item m="1" x="936"/>
        <item m="1" x="815"/>
        <item x="43"/>
        <item x="295"/>
        <item m="1" x="808"/>
        <item m="1" x="826"/>
        <item m="1" x="545"/>
        <item m="1" x="556"/>
        <item x="22"/>
        <item m="1" x="906"/>
        <item m="1" x="668"/>
        <item m="1" x="624"/>
        <item m="1" x="666"/>
        <item x="13"/>
        <item m="1" x="761"/>
        <item m="1" x="842"/>
        <item m="1" x="541"/>
        <item m="1" x="813"/>
        <item x="304"/>
        <item x="305"/>
        <item m="1" x="558"/>
        <item m="1" x="633"/>
        <item m="1" x="902"/>
        <item x="23"/>
        <item m="1" x="869"/>
        <item m="1" x="732"/>
        <item x="358"/>
        <item m="1" x="921"/>
        <item x="473"/>
        <item m="1" x="642"/>
        <item x="14"/>
        <item m="1" x="853"/>
        <item x="9"/>
        <item m="1" x="928"/>
        <item m="1" x="614"/>
        <item m="1" x="940"/>
        <item x="351"/>
        <item m="1" x="735"/>
        <item m="1" x="751"/>
        <item m="1" x="883"/>
        <item m="1" x="560"/>
        <item x="368"/>
        <item m="1" x="792"/>
        <item x="168"/>
        <item m="1" x="898"/>
        <item m="1" x="824"/>
        <item x="386"/>
        <item m="1" x="768"/>
        <item m="1" x="544"/>
        <item x="136"/>
        <item x="137"/>
        <item x="24"/>
        <item x="268"/>
        <item x="349"/>
        <item m="1" x="749"/>
        <item x="27"/>
        <item m="1" x="708"/>
        <item x="25"/>
        <item m="1" x="681"/>
        <item x="64"/>
        <item x="495"/>
        <item x="496"/>
        <item x="26"/>
        <item m="1" x="682"/>
        <item m="1" x="806"/>
        <item x="38"/>
        <item m="1" x="550"/>
        <item x="17"/>
        <item x="7"/>
        <item x="8"/>
        <item x="357"/>
        <item m="1" x="663"/>
        <item m="1" x="576"/>
        <item x="477"/>
        <item x="120"/>
        <item x="45"/>
        <item x="18"/>
        <item x="56"/>
        <item m="1" x="778"/>
        <item x="478"/>
        <item m="1" x="971"/>
        <item x="192"/>
        <item x="12"/>
        <item m="1" x="764"/>
        <item m="1" x="760"/>
        <item m="1" x="871"/>
        <item m="1" x="641"/>
        <item m="1" x="616"/>
        <item m="1" x="637"/>
        <item m="1" x="754"/>
        <item m="1" x="830"/>
        <item x="329"/>
        <item m="1" x="805"/>
        <item m="1" x="572"/>
        <item m="1" x="886"/>
        <item m="1" x="694"/>
        <item m="1" x="743"/>
        <item m="1" x="653"/>
        <item m="1" x="718"/>
        <item x="52"/>
        <item m="1" x="697"/>
        <item m="1" x="965"/>
        <item x="369"/>
        <item x="75"/>
        <item x="172"/>
        <item m="1" x="811"/>
        <item m="1" x="699"/>
        <item m="1" x="583"/>
        <item m="1" x="626"/>
        <item x="498"/>
        <item m="1" x="814"/>
        <item m="1" x="939"/>
        <item x="499"/>
        <item x="500"/>
        <item x="501"/>
        <item m="1" x="740"/>
        <item m="1" x="588"/>
        <item x="342"/>
        <item x="474"/>
        <item m="1" x="850"/>
        <item m="1" x="606"/>
        <item m="1" x="628"/>
        <item m="1" x="755"/>
        <item m="1" x="954"/>
        <item m="1" x="967"/>
        <item x="348"/>
        <item x="215"/>
        <item m="1" x="621"/>
        <item m="1" x="828"/>
        <item m="1" x="640"/>
        <item m="1" x="677"/>
        <item m="1" x="866"/>
        <item m="1" x="599"/>
        <item m="1" x="905"/>
        <item m="1" x="925"/>
        <item x="330"/>
        <item m="1" x="733"/>
        <item m="1" x="908"/>
        <item x="257"/>
        <item m="1" x="564"/>
        <item x="502"/>
        <item m="1" x="791"/>
        <item x="57"/>
        <item x="60"/>
        <item m="1" x="897"/>
        <item m="1" x="756"/>
        <item m="1" x="664"/>
        <item m="1" x="636"/>
        <item x="61"/>
        <item m="1" x="901"/>
        <item x="44"/>
        <item m="1" x="574"/>
        <item m="1" x="780"/>
        <item m="1" x="892"/>
        <item x="98"/>
        <item x="29"/>
        <item x="63"/>
        <item x="65"/>
        <item x="370"/>
        <item m="1" x="559"/>
        <item m="1" x="538"/>
        <item m="1" x="880"/>
        <item m="1" x="710"/>
        <item m="1" x="557"/>
        <item m="1" x="799"/>
        <item m="1" x="685"/>
        <item x="15"/>
        <item m="1" x="702"/>
        <item x="503"/>
        <item x="30"/>
        <item x="31"/>
        <item x="69"/>
        <item x="504"/>
        <item x="11"/>
        <item x="72"/>
        <item x="76"/>
        <item m="1" x="601"/>
        <item m="1" x="567"/>
        <item m="1" x="594"/>
        <item x="67"/>
        <item x="77"/>
        <item m="1" x="884"/>
        <item m="1" x="881"/>
        <item x="92"/>
        <item x="93"/>
        <item m="1" x="644"/>
        <item x="142"/>
        <item x="58"/>
        <item x="95"/>
        <item x="97"/>
        <item x="99"/>
        <item x="59"/>
        <item m="1" x="894"/>
        <item x="100"/>
        <item x="71"/>
        <item x="78"/>
        <item x="101"/>
        <item x="506"/>
        <item x="507"/>
        <item m="1" x="716"/>
        <item x="47"/>
        <item x="48"/>
        <item x="49"/>
        <item x="50"/>
        <item m="1" x="787"/>
        <item x="51"/>
        <item x="73"/>
        <item x="508"/>
        <item x="509"/>
        <item m="1" x="542"/>
        <item x="74"/>
        <item x="53"/>
        <item m="1" x="565"/>
        <item m="1" x="907"/>
        <item m="1" x="597"/>
        <item x="104"/>
        <item x="105"/>
        <item m="1" x="552"/>
        <item m="1" x="589"/>
        <item x="309"/>
        <item x="33"/>
        <item m="1" x="647"/>
        <item m="1" x="696"/>
        <item m="1" x="596"/>
        <item m="1" x="600"/>
        <item m="1" x="676"/>
        <item m="1" x="607"/>
        <item m="1" x="947"/>
        <item x="356"/>
        <item m="1" x="807"/>
        <item m="1" x="561"/>
        <item x="66"/>
        <item x="81"/>
        <item x="85"/>
        <item x="511"/>
        <item x="512"/>
        <item x="513"/>
        <item x="514"/>
        <item x="515"/>
        <item x="516"/>
        <item m="1" x="571"/>
        <item m="1" x="868"/>
        <item x="83"/>
        <item x="34"/>
        <item m="1" x="675"/>
        <item m="1" x="767"/>
        <item m="1" x="932"/>
        <item m="1" x="688"/>
        <item x="86"/>
        <item m="1" x="693"/>
        <item x="517"/>
        <item x="518"/>
        <item x="519"/>
        <item x="520"/>
        <item m="1" x="776"/>
        <item x="521"/>
        <item m="1" x="634"/>
        <item x="35"/>
        <item x="523"/>
        <item x="524"/>
        <item x="525"/>
        <item m="1" x="864"/>
        <item x="70"/>
        <item x="479"/>
        <item x="84"/>
        <item x="94"/>
        <item m="1" x="579"/>
        <item m="1" x="711"/>
        <item m="1" x="872"/>
        <item x="110"/>
        <item m="1" x="629"/>
        <item m="1" x="912"/>
        <item m="1" x="584"/>
        <item x="146"/>
        <item x="112"/>
        <item x="355"/>
        <item x="113"/>
        <item x="526"/>
        <item m="1" x="719"/>
        <item m="1" x="857"/>
        <item m="1" x="775"/>
        <item m="1" x="609"/>
        <item x="354"/>
        <item m="1" x="904"/>
        <item m="1" x="622"/>
        <item m="1" x="690"/>
        <item m="1" x="620"/>
        <item x="347"/>
        <item x="332"/>
        <item x="333"/>
        <item x="490"/>
        <item x="87"/>
        <item m="1" x="610"/>
        <item x="205"/>
        <item x="116"/>
        <item m="1" x="618"/>
        <item x="483"/>
        <item x="193"/>
        <item m="1" x="874"/>
        <item x="79"/>
        <item x="378"/>
        <item m="1" x="577"/>
        <item m="1" x="654"/>
        <item m="1" x="750"/>
        <item m="1" x="698"/>
        <item m="1" x="573"/>
        <item x="310"/>
        <item x="261"/>
        <item x="311"/>
        <item x="312"/>
        <item m="1" x="669"/>
        <item x="456"/>
        <item m="1" x="922"/>
        <item x="353"/>
        <item x="96"/>
        <item x="89"/>
        <item m="1" x="844"/>
        <item x="117"/>
        <item x="346"/>
        <item m="1" x="630"/>
        <item x="302"/>
        <item x="527"/>
        <item x="528"/>
        <item x="106"/>
        <item m="1" x="945"/>
        <item m="1" x="839"/>
        <item x="194"/>
        <item x="464"/>
        <item m="1" x="957"/>
        <item x="80"/>
        <item m="1" x="706"/>
        <item m="1" x="773"/>
        <item m="1" x="726"/>
        <item m="1" x="714"/>
        <item m="1" x="635"/>
        <item x="341"/>
        <item m="1" x="786"/>
        <item x="108"/>
        <item x="340"/>
        <item m="1" x="674"/>
        <item m="1" x="854"/>
        <item m="1" x="734"/>
        <item x="352"/>
        <item m="1" x="736"/>
        <item m="1" x="686"/>
        <item m="1" x="753"/>
        <item m="1" x="938"/>
        <item m="1" x="543"/>
        <item x="149"/>
        <item x="119"/>
        <item x="151"/>
        <item m="1" x="581"/>
        <item m="1" x="788"/>
        <item m="1" x="934"/>
        <item m="1" x="611"/>
        <item m="1" x="661"/>
        <item m="1" x="535"/>
        <item m="1" x="604"/>
        <item x="37"/>
        <item m="1" x="829"/>
        <item x="82"/>
        <item x="88"/>
        <item m="1" x="730"/>
        <item m="1" x="540"/>
        <item m="1" x="727"/>
        <item x="121"/>
        <item x="482"/>
        <item x="266"/>
        <item m="1" x="929"/>
        <item m="1" x="671"/>
        <item x="123"/>
        <item x="315"/>
        <item x="316"/>
        <item m="1" x="771"/>
        <item x="132"/>
        <item x="211"/>
        <item m="1" x="712"/>
        <item x="317"/>
        <item x="247"/>
        <item x="318"/>
        <item m="1" x="877"/>
        <item x="90"/>
        <item x="319"/>
        <item m="1" x="580"/>
        <item x="320"/>
        <item x="124"/>
        <item m="1" x="969"/>
        <item x="127"/>
        <item m="1" x="772"/>
        <item x="128"/>
        <item x="178"/>
        <item x="129"/>
        <item x="111"/>
        <item x="345"/>
        <item x="133"/>
        <item x="125"/>
        <item x="126"/>
        <item x="371"/>
        <item m="1" x="701"/>
        <item m="1" x="838"/>
        <item m="1" x="759"/>
        <item x="138"/>
        <item x="297"/>
        <item m="1" x="895"/>
        <item x="197"/>
        <item x="135"/>
        <item m="1" x="896"/>
        <item m="1" x="852"/>
        <item m="1" x="679"/>
        <item x="198"/>
        <item x="199"/>
        <item x="200"/>
        <item m="1" x="859"/>
        <item m="1" x="769"/>
        <item x="139"/>
        <item x="131"/>
        <item m="1" x="888"/>
        <item m="1" x="843"/>
        <item m="1" x="568"/>
        <item m="1" x="927"/>
        <item m="1" x="890"/>
        <item m="1" x="819"/>
        <item m="1" x="863"/>
        <item x="143"/>
        <item m="1" x="536"/>
        <item m="1" x="683"/>
        <item x="144"/>
        <item x="114"/>
        <item x="115"/>
        <item x="145"/>
        <item x="147"/>
        <item m="1" x="602"/>
        <item m="1" x="804"/>
        <item m="1" x="774"/>
        <item m="1" x="803"/>
        <item m="1" x="812"/>
        <item x="339"/>
        <item x="338"/>
        <item m="1" x="951"/>
        <item m="1" x="831"/>
        <item x="328"/>
        <item m="1" x="840"/>
        <item m="1" x="903"/>
        <item x="376"/>
        <item m="1" x="968"/>
        <item m="1" x="943"/>
        <item m="1" x="790"/>
        <item x="343"/>
        <item x="344"/>
        <item m="1" x="548"/>
        <item x="321"/>
        <item x="322"/>
        <item m="1" x="717"/>
        <item m="1" x="817"/>
        <item m="1" x="972"/>
        <item m="1" x="744"/>
        <item m="1" x="891"/>
        <item m="1" x="566"/>
        <item x="155"/>
        <item m="1" x="779"/>
        <item m="1" x="937"/>
        <item x="323"/>
        <item x="313"/>
        <item x="245"/>
        <item m="1" x="652"/>
        <item x="485"/>
        <item m="1" x="546"/>
        <item m="1" x="627"/>
        <item x="325"/>
        <item x="326"/>
        <item m="1" x="858"/>
        <item x="327"/>
        <item m="1" x="608"/>
        <item m="1" x="820"/>
        <item m="1" x="919"/>
        <item m="1" x="603"/>
        <item m="1" x="964"/>
        <item x="335"/>
        <item x="122"/>
        <item x="529"/>
        <item m="1" x="586"/>
        <item m="1" x="855"/>
        <item m="1" x="605"/>
        <item m="1" x="849"/>
        <item m="1" x="742"/>
        <item m="1" x="862"/>
        <item m="1" x="655"/>
        <item x="157"/>
        <item m="1" x="832"/>
        <item x="41"/>
        <item m="1" x="944"/>
        <item m="1" x="915"/>
        <item m="1" x="882"/>
        <item x="141"/>
        <item x="158"/>
        <item x="159"/>
        <item m="1" x="823"/>
        <item m="1" x="684"/>
        <item m="1" x="724"/>
        <item m="1" x="885"/>
        <item x="458"/>
        <item m="1" x="722"/>
        <item x="160"/>
        <item m="1" x="959"/>
        <item x="42"/>
        <item x="362"/>
        <item m="1" x="549"/>
        <item m="1" x="867"/>
        <item m="1" x="878"/>
        <item m="1" x="879"/>
        <item m="1" x="917"/>
        <item m="1" x="590"/>
        <item m="1" x="741"/>
        <item m="1" x="645"/>
        <item m="1" x="646"/>
        <item x="260"/>
        <item m="1" x="920"/>
        <item m="1" x="913"/>
        <item m="1" x="738"/>
        <item x="214"/>
        <item x="249"/>
        <item m="1" x="796"/>
        <item m="1" x="887"/>
        <item x="459"/>
        <item m="1" x="667"/>
        <item m="1" x="563"/>
        <item m="1" x="794"/>
        <item m="1" x="766"/>
        <item m="1" x="781"/>
        <item x="530"/>
        <item m="1" x="809"/>
        <item x="68"/>
        <item x="40"/>
        <item m="1" x="728"/>
        <item x="32"/>
        <item m="1" x="585"/>
        <item m="1" x="953"/>
        <item m="1" x="762"/>
        <item x="150"/>
        <item m="1" x="802"/>
        <item x="152"/>
        <item x="46"/>
        <item x="36"/>
        <item x="28"/>
        <item m="1" x="757"/>
        <item m="1" x="678"/>
        <item m="1" x="553"/>
        <item m="1" x="955"/>
        <item m="1" x="834"/>
        <item m="1" x="619"/>
        <item x="337"/>
        <item x="336"/>
        <item x="373"/>
        <item x="372"/>
        <item x="375"/>
        <item m="1" x="656"/>
        <item m="1" x="709"/>
        <item m="1" x="578"/>
        <item x="255"/>
        <item m="1" x="800"/>
        <item x="246"/>
        <item m="1" x="539"/>
        <item m="1" x="825"/>
        <item x="118"/>
        <item x="54"/>
        <item x="156"/>
        <item x="62"/>
        <item x="6"/>
        <item x="140"/>
        <item x="10"/>
        <item x="39"/>
        <item x="103"/>
        <item x="102"/>
        <item m="1" x="798"/>
        <item m="1" x="721"/>
        <item m="1" x="860"/>
        <item m="1" x="845"/>
        <item m="1" x="673"/>
        <item m="1" x="911"/>
        <item m="1" x="725"/>
        <item m="1" x="784"/>
        <item m="1" x="835"/>
        <item m="1" x="643"/>
        <item m="1" x="587"/>
        <item m="1" x="970"/>
        <item m="1" x="570"/>
        <item m="1" x="841"/>
        <item m="1" x="962"/>
        <item m="1" x="926"/>
        <item m="1" x="960"/>
        <item m="1" x="942"/>
        <item m="1" x="662"/>
        <item m="1" x="632"/>
        <item m="1" x="745"/>
        <item m="1" x="689"/>
        <item m="1" x="966"/>
        <item m="1" x="856"/>
        <item m="1" x="924"/>
        <item m="1" x="555"/>
        <item m="1" x="704"/>
        <item x="489"/>
        <item x="488"/>
        <item m="1" x="793"/>
        <item m="1" x="758"/>
        <item m="1" x="899"/>
        <item m="1" x="639"/>
        <item m="1" x="691"/>
        <item x="189"/>
        <item m="1" x="739"/>
        <item m="1" x="910"/>
        <item m="1" x="752"/>
        <item m="1" x="665"/>
        <item m="1" x="950"/>
        <item m="1" x="865"/>
        <item m="1" x="949"/>
        <item m="1" x="948"/>
        <item m="1" x="595"/>
        <item m="1" x="777"/>
        <item m="1" x="617"/>
        <item m="1" x="873"/>
        <item m="1" x="916"/>
        <item m="1" x="692"/>
        <item m="1" x="582"/>
        <item m="1" x="537"/>
        <item m="1" x="649"/>
        <item m="1" x="930"/>
        <item m="1" x="638"/>
        <item m="1" x="707"/>
        <item m="1" x="941"/>
        <item m="1" x="783"/>
        <item m="1" x="827"/>
        <item x="486"/>
        <item x="487"/>
        <item m="1" x="575"/>
        <item m="1" x="748"/>
        <item m="1" x="672"/>
        <item m="1" x="822"/>
        <item m="1" x="700"/>
        <item m="1" x="715"/>
        <item m="1" x="657"/>
        <item m="1" x="623"/>
        <item m="1" x="818"/>
        <item m="1" x="893"/>
        <item x="91"/>
        <item x="148"/>
        <item x="522"/>
        <item x="505"/>
        <item x="510"/>
        <item x="107"/>
        <item x="153"/>
        <item x="55"/>
        <item x="154"/>
        <item x="109"/>
        <item x="360"/>
        <item x="361"/>
        <item x="359"/>
        <item x="363"/>
        <item x="365"/>
        <item x="364"/>
        <item x="324"/>
        <item x="366"/>
        <item m="1" x="547"/>
        <item x="134"/>
        <item m="1" x="551"/>
        <item m="1" x="933"/>
        <item m="1" x="659"/>
        <item m="1" x="770"/>
        <item x="186"/>
        <item m="1" x="554"/>
        <item x="216"/>
        <item x="494"/>
        <item x="497"/>
        <item m="1" x="746"/>
        <item x="308"/>
        <item x="307"/>
        <item x="314"/>
        <item m="1" x="889"/>
        <item x="171"/>
        <item x="165"/>
        <item x="176"/>
        <item x="184"/>
        <item x="177"/>
        <item x="180"/>
        <item x="179"/>
        <item x="167"/>
        <item x="166"/>
        <item x="169"/>
        <item x="170"/>
        <item x="182"/>
        <item x="183"/>
        <item x="175"/>
        <item x="448"/>
        <item x="181"/>
        <item x="174"/>
        <item m="1" x="946"/>
        <item x="187"/>
        <item x="188"/>
        <item x="190"/>
        <item x="191"/>
        <item m="1" x="703"/>
        <item x="161"/>
        <item x="202"/>
        <item x="203"/>
        <item m="1" x="836"/>
        <item x="196"/>
        <item x="334"/>
        <item x="164"/>
        <item x="204"/>
        <item m="1" x="747"/>
        <item x="163"/>
        <item x="420"/>
        <item m="1" x="961"/>
        <item x="433"/>
        <item m="1" x="593"/>
        <item x="173"/>
        <item m="1" x="720"/>
        <item x="450"/>
        <item x="454"/>
        <item x="217"/>
        <item x="218"/>
        <item x="219"/>
        <item x="220"/>
        <item x="223"/>
        <item x="224"/>
        <item x="225"/>
        <item x="226"/>
        <item x="227"/>
        <item x="228"/>
        <item x="229"/>
        <item x="230"/>
        <item x="231"/>
        <item x="232"/>
        <item x="233"/>
        <item x="234"/>
        <item x="235"/>
        <item x="236"/>
        <item x="237"/>
        <item x="398"/>
        <item x="397"/>
        <item m="1" x="731"/>
        <item x="390"/>
        <item x="389"/>
        <item x="394"/>
        <item m="1" x="765"/>
        <item x="407"/>
        <item m="1" x="837"/>
        <item m="1" x="821"/>
        <item x="399"/>
        <item x="393"/>
        <item m="1" x="909"/>
        <item x="385"/>
        <item x="400"/>
        <item x="401"/>
        <item x="238"/>
        <item x="239"/>
        <item x="240"/>
        <item x="241"/>
        <item x="242"/>
        <item x="243"/>
        <item x="244"/>
        <item m="1" x="797"/>
        <item m="1" x="785"/>
        <item m="1" x="670"/>
        <item x="250"/>
        <item x="251"/>
        <item x="252"/>
        <item x="253"/>
        <item m="1" x="795"/>
        <item m="1" x="914"/>
        <item x="256"/>
        <item m="1" x="569"/>
        <item m="1" x="952"/>
        <item x="259"/>
        <item x="262"/>
        <item x="263"/>
        <item x="264"/>
        <item x="265"/>
        <item x="267"/>
        <item m="1" x="695"/>
        <item x="269"/>
        <item x="270"/>
        <item x="271"/>
        <item x="272"/>
        <item x="273"/>
        <item x="274"/>
        <item x="275"/>
        <item x="276"/>
        <item x="277"/>
        <item x="278"/>
        <item x="279"/>
        <item x="280"/>
        <item x="281"/>
        <item x="282"/>
        <item x="283"/>
        <item x="284"/>
        <item x="285"/>
        <item x="286"/>
        <item x="287"/>
        <item x="288"/>
        <item x="289"/>
        <item x="290"/>
        <item x="291"/>
        <item x="292"/>
        <item x="293"/>
        <item x="294"/>
        <item x="296"/>
        <item x="298"/>
        <item x="299"/>
        <item x="300"/>
        <item x="301"/>
        <item x="531"/>
        <item x="532"/>
        <item x="533"/>
        <item x="306"/>
        <item m="1" x="534"/>
        <item x="130"/>
        <item x="484"/>
        <item x="207"/>
        <item x="208"/>
        <item x="209"/>
        <item x="210"/>
        <item x="212"/>
        <item x="213"/>
        <item x="254"/>
        <item x="258"/>
        <item x="374"/>
        <item x="447"/>
        <item x="451"/>
        <item x="453"/>
        <item x="455"/>
        <item x="411"/>
        <item x="415"/>
        <item x="416"/>
        <item x="408"/>
        <item m="1" x="713"/>
        <item x="405"/>
        <item x="410"/>
        <item x="406"/>
        <item m="1" x="612"/>
        <item x="404"/>
        <item x="409"/>
        <item x="402"/>
        <item x="395"/>
        <item x="380"/>
        <item x="381"/>
        <item x="382"/>
        <item x="383"/>
        <item x="384"/>
        <item x="391"/>
        <item x="403"/>
        <item x="388"/>
        <item x="392"/>
        <item x="413"/>
        <item x="414"/>
        <item x="423"/>
        <item x="424"/>
        <item x="430"/>
        <item x="429"/>
        <item x="421"/>
        <item m="1" x="833"/>
        <item x="427"/>
        <item x="426"/>
        <item x="422"/>
        <item x="432"/>
        <item x="437"/>
        <item x="438"/>
        <item x="439"/>
        <item x="440"/>
        <item x="441"/>
        <item x="442"/>
        <item x="443"/>
        <item x="444"/>
        <item x="445"/>
        <item m="1" x="935"/>
        <item x="449"/>
        <item m="1" x="956"/>
        <item m="1" x="562"/>
        <item m="1" x="801"/>
        <item x="460"/>
        <item m="1" x="931"/>
        <item m="1" x="875"/>
        <item m="1" x="846"/>
        <item x="465"/>
        <item x="466"/>
        <item x="467"/>
        <item x="468"/>
        <item x="469"/>
        <item x="418"/>
        <item m="1" x="973"/>
        <item m="1" x="861"/>
        <item x="435"/>
        <item x="436"/>
        <item x="412"/>
        <item m="1" x="763"/>
        <item m="1" x="705"/>
        <item x="201"/>
        <item x="195"/>
        <item x="379"/>
        <item x="387"/>
        <item x="396"/>
        <item x="417"/>
        <item x="419"/>
        <item x="425"/>
        <item x="428"/>
        <item x="434"/>
        <item x="452"/>
        <item x="446"/>
        <item x="457"/>
        <item x="461"/>
        <item x="462"/>
        <item x="463"/>
        <item x="470"/>
        <item x="471"/>
        <item x="431"/>
        <item x="206"/>
        <item x="472"/>
        <item x="475"/>
        <item x="476"/>
        <item x="480"/>
        <item x="481"/>
        <item x="491"/>
        <item x="492"/>
        <item x="493"/>
      </items>
    </pivotField>
    <pivotField dataField="1" compact="0" outline="0" subtotalTop="0" showAll="0" defaultSubtotal="0"/>
    <pivotField dataField="1"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outline="0" subtotalTop="0" showAll="0" defaultSubtotal="0"/>
    <pivotField compact="0" numFmtId="9" outline="0" subtotalTop="0" showAll="0" defaultSubtotal="0"/>
    <pivotField compact="0" outline="0" subtotalTop="0" showAll="0" defaultSubtotal="0"/>
    <pivotField compact="0" outline="0" showAll="0" defaultSubtotal="0"/>
    <pivotField compact="0" outline="0" showAll="0"/>
    <pivotField compact="0" numFmtId="1" outline="0" subtotalTop="0" showAll="0" defaultSubtotal="0"/>
    <pivotField compact="0" outline="0" showAll="0" defaultSubtotal="0"/>
    <pivotField compact="0" outline="0" showAll="0" defaultSubtotal="0"/>
    <pivotField compact="0" outline="0" subtotalTop="0" showAll="0" defaultSubtotal="0"/>
    <pivotField dataField="1" compact="0" outline="0" subtotalTop="0" showAll="0" defaultSubtotal="0"/>
    <pivotField compact="0" outline="0" showAll="0" defaultSubtotal="0"/>
    <pivotField compact="0" numFmtId="1" outline="0" subtotalTop="0" showAll="0" defaultSubtotal="0"/>
    <pivotField compact="0" numFmtId="1" outline="0" subtotalTop="0" showAll="0" defaultSubtotal="0"/>
    <pivotField compact="0" numFmtId="1" outline="0" showAll="0" defaultSubtotal="0"/>
    <pivotField compact="0" numFmtId="9" outline="0" showAll="0"/>
    <pivotField compact="0" numFmtId="1"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dataField="1" compact="0" outline="0" subtotalTop="0" showAll="0" defaultSubtotal="0"/>
    <pivotField compact="0" numFmtId="9"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9" outline="0" subtotalTop="0" showAll="0" defaultSubtotal="0"/>
    <pivotField dataField="1" compact="0" numFmtId="9" outline="0" subtotalTop="0" showAll="0" defaultSubtotal="0"/>
    <pivotField compact="0" numFmtId="9" outline="0" subtotalTop="0" showAll="0" defaultSubtotal="0"/>
    <pivotField compact="0" numFmtId="9" outline="0" subtotalTop="0" showAll="0" defaultSubtotal="0"/>
    <pivotField compact="0" numFmtId="9" outline="0" subtotalTop="0" showAll="0" defaultSubtotal="0"/>
    <pivotField compact="0" numFmtId="1" outline="0" showAll="0" defaultSubtotal="0"/>
    <pivotField compact="0" numFmtId="1" outline="0" subtotalTop="0" showAll="0" defaultSubtotal="0"/>
    <pivotField compact="0" numFmtId="1" outline="0" showAll="0" defaultSubtotal="0"/>
    <pivotField compact="0" numFmtId="1" outline="0" showAll="0"/>
    <pivotField compact="0" outline="0" showAll="0"/>
    <pivotField compact="0" outline="0" subtotalTop="0" showAll="0" defaultSubtotal="0"/>
    <pivotField compact="0" outline="0" subtotalTop="0" showAll="0" defaultSubtotal="0"/>
    <pivotField compact="0" outline="0" subtotalTop="0" showAll="0" defaultSubtotal="0">
      <items count="7">
        <item x="0"/>
        <item x="3"/>
        <item m="1" x="5"/>
        <item x="2"/>
        <item x="1"/>
        <item m="1" x="6"/>
        <item m="1" x="4"/>
      </items>
    </pivotField>
    <pivotField axis="axisRow" compact="0" outline="0" subtotalTop="0" showAll="0" defaultSubtotal="0">
      <items count="16">
        <item m="1" x="15"/>
        <item x="0"/>
        <item x="3"/>
        <item x="2"/>
        <item x="1"/>
        <item x="4"/>
        <item x="5"/>
        <item x="13"/>
        <item x="6"/>
        <item x="7"/>
        <item x="9"/>
        <item x="11"/>
        <item x="10"/>
        <item x="12"/>
        <item x="8"/>
        <item x="14"/>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Page" compact="0" outline="0" subtotalTop="0" showAll="0" defaultSubtotal="0">
      <items count="4">
        <item x="0"/>
        <item n="Gap" x="1"/>
        <item h="1" m="1" x="3"/>
        <item h="1" m="1" x="2"/>
      </items>
    </pivotField>
    <pivotField compact="0" outline="0" subtotalTop="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4">
    <field x="4"/>
    <field x="5"/>
    <field x="7"/>
    <field x="116"/>
  </rowFields>
  <rowItems count="94">
    <i>
      <x/>
      <x v="1"/>
      <x v="47"/>
      <x v="4"/>
    </i>
    <i r="1">
      <x v="4"/>
      <x/>
      <x v="1"/>
    </i>
    <i r="2">
      <x v="271"/>
      <x v="3"/>
    </i>
    <i r="2">
      <x v="294"/>
      <x v="1"/>
    </i>
    <i r="1">
      <x v="12"/>
      <x v="251"/>
      <x v="1"/>
    </i>
    <i r="2">
      <x v="252"/>
      <x v="1"/>
    </i>
    <i r="2">
      <x v="253"/>
      <x v="1"/>
    </i>
    <i r="2">
      <x v="254"/>
      <x v="1"/>
    </i>
    <i r="2">
      <x v="256"/>
      <x v="4"/>
    </i>
    <i r="2">
      <x v="262"/>
      <x v="4"/>
    </i>
    <i r="1">
      <x v="16"/>
      <x v="585"/>
      <x v="3"/>
    </i>
    <i r="1">
      <x v="17"/>
      <x v="110"/>
      <x v="4"/>
    </i>
    <i r="2">
      <x v="282"/>
      <x v="4"/>
    </i>
    <i r="1">
      <x v="18"/>
      <x v="154"/>
      <x v="4"/>
    </i>
    <i r="2">
      <x v="284"/>
      <x v="4"/>
    </i>
    <i r="2">
      <x v="299"/>
      <x v="4"/>
    </i>
    <i r="1">
      <x v="22"/>
      <x v="205"/>
      <x v="4"/>
    </i>
    <i r="2">
      <x v="703"/>
      <x v="1"/>
    </i>
    <i r="1">
      <x v="28"/>
      <x v="125"/>
      <x v="4"/>
    </i>
    <i r="2">
      <x v="529"/>
      <x v="4"/>
    </i>
    <i r="1">
      <x v="33"/>
      <x v="466"/>
      <x v="3"/>
    </i>
    <i r="2">
      <x v="866"/>
      <x v="3"/>
    </i>
    <i r="1">
      <x v="34"/>
      <x v="474"/>
      <x v="1"/>
    </i>
    <i r="2">
      <x v="695"/>
      <x v="1"/>
    </i>
    <i r="2">
      <x v="713"/>
      <x v="1"/>
    </i>
    <i r="1">
      <x v="35"/>
      <x v="100"/>
      <x v="3"/>
    </i>
    <i r="2">
      <x v="591"/>
      <x v="3"/>
    </i>
    <i t="default">
      <x/>
    </i>
    <i>
      <x v="2"/>
      <x v="6"/>
      <x v="248"/>
      <x v="3"/>
    </i>
    <i r="1">
      <x v="7"/>
      <x v="249"/>
      <x v="3"/>
    </i>
    <i r="2">
      <x v="287"/>
      <x v="1"/>
    </i>
    <i r="2">
      <x v="721"/>
      <x v="3"/>
    </i>
    <i r="1">
      <x v="23"/>
      <x v="302"/>
      <x v="1"/>
    </i>
    <i r="2">
      <x v="303"/>
      <x v="1"/>
    </i>
    <i r="2">
      <x v="311"/>
      <x v="1"/>
    </i>
    <i r="1">
      <x v="24"/>
      <x v="191"/>
      <x v="1"/>
    </i>
    <i r="2">
      <x v="219"/>
      <x v="1"/>
    </i>
    <i t="default">
      <x v="2"/>
    </i>
    <i>
      <x v="4"/>
      <x v="9"/>
      <x v="22"/>
      <x v="11"/>
    </i>
    <i r="2">
      <x v="92"/>
      <x v="11"/>
    </i>
    <i r="2">
      <x v="153"/>
      <x v="10"/>
    </i>
    <i r="2">
      <x v="209"/>
      <x v="11"/>
    </i>
    <i r="2">
      <x v="448"/>
      <x v="11"/>
    </i>
    <i r="2">
      <x v="914"/>
      <x v="14"/>
    </i>
    <i r="2">
      <x v="915"/>
      <x v="14"/>
    </i>
    <i r="2">
      <x v="916"/>
      <x v="14"/>
    </i>
    <i r="2">
      <x v="917"/>
      <x v="14"/>
    </i>
    <i r="2">
      <x v="918"/>
      <x v="14"/>
    </i>
    <i r="2">
      <x v="919"/>
      <x v="14"/>
    </i>
    <i r="2">
      <x v="920"/>
      <x v="14"/>
    </i>
    <i r="2">
      <x v="921"/>
      <x v="14"/>
    </i>
    <i r="2">
      <x v="922"/>
      <x v="14"/>
    </i>
    <i r="2">
      <x v="923"/>
      <x v="14"/>
    </i>
    <i r="2">
      <x v="964"/>
      <x v="14"/>
    </i>
    <i r="1">
      <x v="15"/>
      <x v="494"/>
      <x v="11"/>
    </i>
    <i r="2">
      <x v="903"/>
      <x v="14"/>
    </i>
    <i r="2">
      <x v="904"/>
      <x v="14"/>
    </i>
    <i r="1">
      <x v="19"/>
      <x v="97"/>
      <x v="14"/>
    </i>
    <i r="2">
      <x v="884"/>
      <x v="14"/>
    </i>
    <i r="2">
      <x v="887"/>
      <x v="14"/>
    </i>
    <i r="2">
      <x v="888"/>
      <x v="14"/>
    </i>
    <i r="2">
      <x v="890"/>
      <x v="14"/>
    </i>
    <i r="2">
      <x v="891"/>
      <x v="14"/>
    </i>
    <i r="2">
      <x v="892"/>
      <x v="14"/>
    </i>
    <i r="2">
      <x v="893"/>
      <x v="14"/>
    </i>
    <i r="2">
      <x v="894"/>
      <x v="14"/>
    </i>
    <i r="2">
      <x v="896"/>
      <x v="14"/>
    </i>
    <i r="2">
      <x v="897"/>
      <x v="14"/>
    </i>
    <i r="2">
      <x v="898"/>
      <x v="14"/>
    </i>
    <i r="2">
      <x v="901"/>
      <x v="14"/>
    </i>
    <i r="2">
      <x v="902"/>
      <x v="14"/>
    </i>
    <i r="2">
      <x v="949"/>
      <x v="14"/>
    </i>
    <i r="1">
      <x v="26"/>
      <x v="936"/>
      <x v="14"/>
    </i>
    <i r="2">
      <x v="937"/>
      <x v="14"/>
    </i>
    <i r="1">
      <x v="27"/>
      <x v="905"/>
      <x v="14"/>
    </i>
    <i r="2">
      <x v="906"/>
      <x v="14"/>
    </i>
    <i r="2">
      <x v="907"/>
      <x v="14"/>
    </i>
    <i r="2">
      <x v="908"/>
      <x v="14"/>
    </i>
    <i r="2">
      <x v="909"/>
      <x v="14"/>
    </i>
    <i r="2">
      <x v="911"/>
      <x v="14"/>
    </i>
    <i r="2">
      <x v="912"/>
      <x v="14"/>
    </i>
    <i r="2">
      <x v="913"/>
      <x v="14"/>
    </i>
    <i t="default">
      <x v="4"/>
    </i>
    <i>
      <x v="5"/>
      <x v="2"/>
      <x v="925"/>
      <x v="14"/>
    </i>
    <i r="2">
      <x v="957"/>
      <x v="14"/>
    </i>
    <i r="1">
      <x v="30"/>
      <x v="19"/>
      <x v="11"/>
    </i>
    <i r="2">
      <x v="351"/>
      <x v="11"/>
    </i>
    <i r="2">
      <x v="551"/>
      <x v="14"/>
    </i>
    <i r="2">
      <x v="574"/>
      <x v="14"/>
    </i>
    <i r="2">
      <x v="929"/>
      <x v="14"/>
    </i>
    <i r="2">
      <x v="958"/>
      <x v="14"/>
    </i>
    <i r="2">
      <x v="959"/>
      <x v="14"/>
    </i>
    <i r="2">
      <x v="961"/>
      <x v="14"/>
    </i>
    <i t="default">
      <x v="5"/>
    </i>
  </rowItems>
  <colFields count="1">
    <field x="-2"/>
  </colFields>
  <colItems count="6">
    <i>
      <x/>
    </i>
    <i i="1">
      <x v="1"/>
    </i>
    <i i="2">
      <x v="2"/>
    </i>
    <i i="3">
      <x v="3"/>
    </i>
    <i i="4">
      <x v="4"/>
    </i>
    <i i="5">
      <x v="5"/>
    </i>
  </colItems>
  <pageFields count="2">
    <pageField fld="0" item="10" hier="-1"/>
    <pageField fld="121" item="1" hier="-1"/>
  </pageFields>
  <dataFields count="6">
    <dataField name="Count of Site Name" fld="7" subtotal="count" baseField="0" baseItem="0"/>
    <dataField name="HHs" fld="8" baseField="0" baseItem="0" numFmtId="164"/>
    <dataField name="Pops" fld="9" baseField="0" baseItem="0" numFmtId="164"/>
    <dataField name="% WATER GAP" fld="85" subtotal="average" baseField="85" baseItem="1" numFmtId="9"/>
    <dataField name="% LATRINE GAP" fld="96" subtotal="average" baseField="85" baseItem="1" numFmtId="9"/>
    <dataField name="% HYGIENE GAP" fld="104" subtotal="average" baseField="85" baseItem="1" numFmtId="9"/>
  </dataFields>
  <formats count="121">
    <format dxfId="759">
      <pivotArea type="all" dataOnly="0" outline="0" fieldPosition="0"/>
    </format>
    <format dxfId="758">
      <pivotArea outline="0" collapsedLevelsAreSubtotals="1" fieldPosition="0"/>
    </format>
    <format dxfId="757">
      <pivotArea field="4" type="button" dataOnly="0" labelOnly="1" outline="0" axis="axisRow" fieldPosition="0"/>
    </format>
    <format dxfId="756">
      <pivotArea dataOnly="0" labelOnly="1" grandRow="1" outline="0" fieldPosition="0"/>
    </format>
    <format dxfId="755">
      <pivotArea type="all" dataOnly="0" outline="0" fieldPosition="0"/>
    </format>
    <format dxfId="754">
      <pivotArea dataOnly="0" labelOnly="1" grandRow="1" outline="0" fieldPosition="0"/>
    </format>
    <format dxfId="753">
      <pivotArea type="all" dataOnly="0" outline="0" fieldPosition="0"/>
    </format>
    <format dxfId="752">
      <pivotArea type="origin" dataOnly="0" labelOnly="1" outline="0" fieldPosition="0"/>
    </format>
    <format dxfId="751">
      <pivotArea field="121" type="button" dataOnly="0" labelOnly="1" outline="0" axis="axisPage" fieldPosition="1"/>
    </format>
    <format dxfId="750">
      <pivotArea type="topRight" dataOnly="0" labelOnly="1" outline="0" fieldPosition="0"/>
    </format>
    <format dxfId="749">
      <pivotArea type="all" dataOnly="0" outline="0" fieldPosition="0"/>
    </format>
    <format dxfId="748">
      <pivotArea outline="0" collapsedLevelsAreSubtotals="1" fieldPosition="0"/>
    </format>
    <format dxfId="747">
      <pivotArea type="origin" dataOnly="0" labelOnly="1" outline="0" fieldPosition="0"/>
    </format>
    <format dxfId="746">
      <pivotArea field="121" type="button" dataOnly="0" labelOnly="1" outline="0" axis="axisPage" fieldPosition="1"/>
    </format>
    <format dxfId="745">
      <pivotArea type="topRight" dataOnly="0" labelOnly="1" outline="0" fieldPosition="0"/>
    </format>
    <format dxfId="744">
      <pivotArea outline="0" fieldPosition="0">
        <references count="1">
          <reference field="4294967294" count="3" selected="0">
            <x v="3"/>
            <x v="4"/>
            <x v="5"/>
          </reference>
        </references>
      </pivotArea>
    </format>
    <format dxfId="743">
      <pivotArea outline="0" fieldPosition="0">
        <references count="1">
          <reference field="4294967294" count="2" selected="0">
            <x v="1"/>
            <x v="2"/>
          </reference>
        </references>
      </pivotArea>
    </format>
    <format dxfId="742">
      <pivotArea type="all" dataOnly="0" outline="0" fieldPosition="0"/>
    </format>
    <format dxfId="741">
      <pivotArea outline="0" collapsedLevelsAreSubtotals="1" fieldPosition="0"/>
    </format>
    <format dxfId="740">
      <pivotArea field="4" type="button" dataOnly="0" labelOnly="1" outline="0" axis="axisRow" fieldPosition="0"/>
    </format>
    <format dxfId="739">
      <pivotArea field="5" type="button" dataOnly="0" labelOnly="1" outline="0" axis="axisRow" fieldPosition="1"/>
    </format>
    <format dxfId="738">
      <pivotArea field="7" type="button" dataOnly="0" labelOnly="1" outline="0" axis="axisRow" fieldPosition="2"/>
    </format>
    <format dxfId="737">
      <pivotArea field="116" type="button" dataOnly="0" labelOnly="1" outline="0" axis="axisRow" fieldPosition="3"/>
    </format>
    <format dxfId="736">
      <pivotArea dataOnly="0" labelOnly="1" outline="0" fieldPosition="0">
        <references count="1">
          <reference field="4" count="0"/>
        </references>
      </pivotArea>
    </format>
    <format dxfId="735">
      <pivotArea dataOnly="0" labelOnly="1" outline="0" fieldPosition="0">
        <references count="1">
          <reference field="4" count="0" defaultSubtotal="1"/>
        </references>
      </pivotArea>
    </format>
    <format dxfId="734">
      <pivotArea dataOnly="0" labelOnly="1" outline="0" fieldPosition="0">
        <references count="2">
          <reference field="4" count="1" selected="0">
            <x v="0"/>
          </reference>
          <reference field="5" count="8">
            <x v="1"/>
            <x v="12"/>
            <x v="17"/>
            <x v="18"/>
            <x v="28"/>
            <x v="31"/>
            <x v="33"/>
            <x v="35"/>
          </reference>
        </references>
      </pivotArea>
    </format>
    <format dxfId="733">
      <pivotArea dataOnly="0" labelOnly="1" outline="0" fieldPosition="0">
        <references count="2">
          <reference field="4" count="1" selected="0">
            <x v="1"/>
          </reference>
          <reference field="5" count="7">
            <x v="8"/>
            <x v="9"/>
            <x v="15"/>
            <x v="19"/>
            <x v="27"/>
            <x v="30"/>
            <x v="32"/>
          </reference>
        </references>
      </pivotArea>
    </format>
    <format dxfId="732">
      <pivotArea dataOnly="0" labelOnly="1" outline="0" fieldPosition="0">
        <references count="2">
          <reference field="4" count="1" selected="0">
            <x v="2"/>
          </reference>
          <reference field="5" count="4">
            <x v="6"/>
            <x v="7"/>
            <x v="13"/>
            <x v="20"/>
          </reference>
        </references>
      </pivotArea>
    </format>
    <format dxfId="731">
      <pivotArea dataOnly="0" labelOnly="1" outline="0" fieldPosition="0">
        <references count="3">
          <reference field="4" count="1" selected="0">
            <x v="0"/>
          </reference>
          <reference field="5" count="1" selected="0">
            <x v="1"/>
          </reference>
          <reference field="7" count="1">
            <x v="47"/>
          </reference>
        </references>
      </pivotArea>
    </format>
    <format dxfId="730">
      <pivotArea dataOnly="0" labelOnly="1" outline="0" fieldPosition="0">
        <references count="3">
          <reference field="4" count="1" selected="0">
            <x v="0"/>
          </reference>
          <reference field="5" count="1" selected="0">
            <x v="12"/>
          </reference>
          <reference field="7" count="2">
            <x v="256"/>
            <x v="262"/>
          </reference>
        </references>
      </pivotArea>
    </format>
    <format dxfId="729">
      <pivotArea dataOnly="0" labelOnly="1" outline="0" fieldPosition="0">
        <references count="3">
          <reference field="4" count="1" selected="0">
            <x v="0"/>
          </reference>
          <reference field="5" count="1" selected="0">
            <x v="17"/>
          </reference>
          <reference field="7" count="2">
            <x v="110"/>
            <x v="282"/>
          </reference>
        </references>
      </pivotArea>
    </format>
    <format dxfId="728">
      <pivotArea dataOnly="0" labelOnly="1" outline="0" fieldPosition="0">
        <references count="3">
          <reference field="4" count="1" selected="0">
            <x v="0"/>
          </reference>
          <reference field="5" count="1" selected="0">
            <x v="18"/>
          </reference>
          <reference field="7" count="3">
            <x v="154"/>
            <x v="284"/>
            <x v="299"/>
          </reference>
        </references>
      </pivotArea>
    </format>
    <format dxfId="727">
      <pivotArea dataOnly="0" labelOnly="1" outline="0" fieldPosition="0">
        <references count="3">
          <reference field="4" count="1" selected="0">
            <x v="0"/>
          </reference>
          <reference field="5" count="1" selected="0">
            <x v="28"/>
          </reference>
          <reference field="7" count="2">
            <x v="125"/>
            <x v="529"/>
          </reference>
        </references>
      </pivotArea>
    </format>
    <format dxfId="726">
      <pivotArea dataOnly="0" labelOnly="1" outline="0" fieldPosition="0">
        <references count="3">
          <reference field="4" count="1" selected="0">
            <x v="0"/>
          </reference>
          <reference field="5" count="1" selected="0">
            <x v="31"/>
          </reference>
          <reference field="7" count="1">
            <x v="205"/>
          </reference>
        </references>
      </pivotArea>
    </format>
    <format dxfId="725">
      <pivotArea dataOnly="0" labelOnly="1" outline="0" fieldPosition="0">
        <references count="3">
          <reference field="4" count="1" selected="0">
            <x v="0"/>
          </reference>
          <reference field="5" count="1" selected="0">
            <x v="33"/>
          </reference>
          <reference field="7" count="1">
            <x v="466"/>
          </reference>
        </references>
      </pivotArea>
    </format>
    <format dxfId="724">
      <pivotArea dataOnly="0" labelOnly="1" outline="0" fieldPosition="0">
        <references count="3">
          <reference field="4" count="1" selected="0">
            <x v="0"/>
          </reference>
          <reference field="5" count="1" selected="0">
            <x v="35"/>
          </reference>
          <reference field="7" count="1">
            <x v="100"/>
          </reference>
        </references>
      </pivotArea>
    </format>
    <format dxfId="723">
      <pivotArea dataOnly="0" labelOnly="1" outline="0" fieldPosition="0">
        <references count="3">
          <reference field="4" count="1" selected="0">
            <x v="1"/>
          </reference>
          <reference field="5" count="1" selected="0">
            <x v="8"/>
          </reference>
          <reference field="7" count="1">
            <x v="132"/>
          </reference>
        </references>
      </pivotArea>
    </format>
    <format dxfId="722">
      <pivotArea dataOnly="0" labelOnly="1" outline="0" fieldPosition="0">
        <references count="3">
          <reference field="4" count="1" selected="0">
            <x v="1"/>
          </reference>
          <reference field="5" count="1" selected="0">
            <x v="9"/>
          </reference>
          <reference field="7" count="18">
            <x v="14"/>
            <x v="22"/>
            <x v="23"/>
            <x v="89"/>
            <x v="92"/>
            <x v="93"/>
            <x v="153"/>
            <x v="182"/>
            <x v="198"/>
            <x v="209"/>
            <x v="367"/>
            <x v="394"/>
            <x v="420"/>
            <x v="448"/>
            <x v="449"/>
            <x v="490"/>
            <x v="556"/>
            <x v="567"/>
          </reference>
        </references>
      </pivotArea>
    </format>
    <format dxfId="721">
      <pivotArea dataOnly="0" labelOnly="1" outline="0" fieldPosition="0">
        <references count="3">
          <reference field="4" count="1" selected="0">
            <x v="1"/>
          </reference>
          <reference field="5" count="1" selected="0">
            <x v="15"/>
          </reference>
          <reference field="7" count="8">
            <x v="54"/>
            <x v="57"/>
            <x v="134"/>
            <x v="137"/>
            <x v="418"/>
            <x v="450"/>
            <x v="453"/>
            <x v="494"/>
          </reference>
        </references>
      </pivotArea>
    </format>
    <format dxfId="720">
      <pivotArea dataOnly="0" labelOnly="1" outline="0" fieldPosition="0">
        <references count="3">
          <reference field="4" count="1" selected="0">
            <x v="1"/>
          </reference>
          <reference field="5" count="1" selected="0">
            <x v="19"/>
          </reference>
          <reference field="7" count="5">
            <x v="12"/>
            <x v="51"/>
            <x v="210"/>
            <x v="211"/>
            <x v="363"/>
          </reference>
        </references>
      </pivotArea>
    </format>
    <format dxfId="719">
      <pivotArea dataOnly="0" labelOnly="1" outline="0" fieldPosition="0">
        <references count="3">
          <reference field="4" count="1" selected="0">
            <x v="1"/>
          </reference>
          <reference field="5" count="1" selected="0">
            <x v="27"/>
          </reference>
          <reference field="7" count="14">
            <x v="72"/>
            <x v="144"/>
            <x v="195"/>
            <x v="265"/>
            <x v="298"/>
            <x v="379"/>
            <x v="397"/>
            <x v="471"/>
            <x v="472"/>
            <x v="483"/>
            <x v="506"/>
            <x v="531"/>
            <x v="552"/>
            <x v="554"/>
          </reference>
        </references>
      </pivotArea>
    </format>
    <format dxfId="718">
      <pivotArea dataOnly="0" labelOnly="1" outline="0" fieldPosition="0">
        <references count="3">
          <reference field="4" count="1" selected="0">
            <x v="1"/>
          </reference>
          <reference field="5" count="1" selected="0">
            <x v="30"/>
          </reference>
          <reference field="7" count="3">
            <x v="19"/>
            <x v="351"/>
            <x v="352"/>
          </reference>
        </references>
      </pivotArea>
    </format>
    <format dxfId="717">
      <pivotArea dataOnly="0" labelOnly="1" outline="0" fieldPosition="0">
        <references count="3">
          <reference field="4" count="1" selected="0">
            <x v="1"/>
          </reference>
          <reference field="5" count="1" selected="0">
            <x v="32"/>
          </reference>
          <reference field="7" count="7">
            <x v="13"/>
            <x v="40"/>
            <x v="43"/>
            <x v="71"/>
            <x v="189"/>
            <x v="383"/>
            <x v="512"/>
          </reference>
        </references>
      </pivotArea>
    </format>
    <format dxfId="716">
      <pivotArea dataOnly="0" labelOnly="1" outline="0" fieldPosition="0">
        <references count="3">
          <reference field="4" count="1" selected="0">
            <x v="2"/>
          </reference>
          <reference field="5" count="1" selected="0">
            <x v="6"/>
          </reference>
          <reference field="7" count="1">
            <x v="248"/>
          </reference>
        </references>
      </pivotArea>
    </format>
    <format dxfId="715">
      <pivotArea dataOnly="0" labelOnly="1" outline="0" fieldPosition="0">
        <references count="3">
          <reference field="4" count="1" selected="0">
            <x v="2"/>
          </reference>
          <reference field="5" count="1" selected="0">
            <x v="7"/>
          </reference>
          <reference field="7" count="1">
            <x v="372"/>
          </reference>
        </references>
      </pivotArea>
    </format>
    <format dxfId="714">
      <pivotArea dataOnly="0" labelOnly="1" outline="0" fieldPosition="0">
        <references count="3">
          <reference field="4" count="1" selected="0">
            <x v="2"/>
          </reference>
          <reference field="5" count="1" selected="0">
            <x v="13"/>
          </reference>
          <reference field="7" count="1">
            <x v="250"/>
          </reference>
        </references>
      </pivotArea>
    </format>
    <format dxfId="713">
      <pivotArea dataOnly="0" labelOnly="1" outline="0" fieldPosition="0">
        <references count="3">
          <reference field="4" count="1" selected="0">
            <x v="2"/>
          </reference>
          <reference field="5" count="1" selected="0">
            <x v="20"/>
          </reference>
          <reference field="7" count="1">
            <x v="111"/>
          </reference>
        </references>
      </pivotArea>
    </format>
    <format dxfId="712">
      <pivotArea dataOnly="0" labelOnly="1" outline="0" fieldPosition="0">
        <references count="4">
          <reference field="4" count="1" selected="0">
            <x v="0"/>
          </reference>
          <reference field="5" count="1" selected="0">
            <x v="1"/>
          </reference>
          <reference field="7" count="1" selected="0">
            <x v="47"/>
          </reference>
          <reference field="116" count="1">
            <x v="4"/>
          </reference>
        </references>
      </pivotArea>
    </format>
    <format dxfId="711">
      <pivotArea dataOnly="0" labelOnly="1" outline="0" fieldPosition="0">
        <references count="4">
          <reference field="4" count="1" selected="0">
            <x v="0"/>
          </reference>
          <reference field="5" count="1" selected="0">
            <x v="12"/>
          </reference>
          <reference field="7" count="1" selected="0">
            <x v="256"/>
          </reference>
          <reference field="116" count="1">
            <x v="4"/>
          </reference>
        </references>
      </pivotArea>
    </format>
    <format dxfId="710">
      <pivotArea dataOnly="0" labelOnly="1" outline="0" fieldPosition="0">
        <references count="4">
          <reference field="4" count="1" selected="0">
            <x v="0"/>
          </reference>
          <reference field="5" count="1" selected="0">
            <x v="12"/>
          </reference>
          <reference field="7" count="1" selected="0">
            <x v="262"/>
          </reference>
          <reference field="116" count="1">
            <x v="4"/>
          </reference>
        </references>
      </pivotArea>
    </format>
    <format dxfId="709">
      <pivotArea dataOnly="0" labelOnly="1" outline="0" fieldPosition="0">
        <references count="4">
          <reference field="4" count="1" selected="0">
            <x v="0"/>
          </reference>
          <reference field="5" count="1" selected="0">
            <x v="17"/>
          </reference>
          <reference field="7" count="1" selected="0">
            <x v="110"/>
          </reference>
          <reference field="116" count="1">
            <x v="4"/>
          </reference>
        </references>
      </pivotArea>
    </format>
    <format dxfId="708">
      <pivotArea dataOnly="0" labelOnly="1" outline="0" fieldPosition="0">
        <references count="4">
          <reference field="4" count="1" selected="0">
            <x v="0"/>
          </reference>
          <reference field="5" count="1" selected="0">
            <x v="17"/>
          </reference>
          <reference field="7" count="1" selected="0">
            <x v="282"/>
          </reference>
          <reference field="116" count="1">
            <x v="4"/>
          </reference>
        </references>
      </pivotArea>
    </format>
    <format dxfId="707">
      <pivotArea dataOnly="0" labelOnly="1" outline="0" fieldPosition="0">
        <references count="4">
          <reference field="4" count="1" selected="0">
            <x v="0"/>
          </reference>
          <reference field="5" count="1" selected="0">
            <x v="18"/>
          </reference>
          <reference field="7" count="1" selected="0">
            <x v="154"/>
          </reference>
          <reference field="116" count="1">
            <x v="4"/>
          </reference>
        </references>
      </pivotArea>
    </format>
    <format dxfId="706">
      <pivotArea dataOnly="0" labelOnly="1" outline="0" fieldPosition="0">
        <references count="4">
          <reference field="4" count="1" selected="0">
            <x v="0"/>
          </reference>
          <reference field="5" count="1" selected="0">
            <x v="18"/>
          </reference>
          <reference field="7" count="1" selected="0">
            <x v="284"/>
          </reference>
          <reference field="116" count="1">
            <x v="4"/>
          </reference>
        </references>
      </pivotArea>
    </format>
    <format dxfId="705">
      <pivotArea dataOnly="0" labelOnly="1" outline="0" fieldPosition="0">
        <references count="4">
          <reference field="4" count="1" selected="0">
            <x v="0"/>
          </reference>
          <reference field="5" count="1" selected="0">
            <x v="18"/>
          </reference>
          <reference field="7" count="1" selected="0">
            <x v="299"/>
          </reference>
          <reference field="116" count="1">
            <x v="4"/>
          </reference>
        </references>
      </pivotArea>
    </format>
    <format dxfId="704">
      <pivotArea dataOnly="0" labelOnly="1" outline="0" fieldPosition="0">
        <references count="4">
          <reference field="4" count="1" selected="0">
            <x v="0"/>
          </reference>
          <reference field="5" count="1" selected="0">
            <x v="28"/>
          </reference>
          <reference field="7" count="1" selected="0">
            <x v="125"/>
          </reference>
          <reference field="116" count="1">
            <x v="4"/>
          </reference>
        </references>
      </pivotArea>
    </format>
    <format dxfId="703">
      <pivotArea dataOnly="0" labelOnly="1" outline="0" fieldPosition="0">
        <references count="4">
          <reference field="4" count="1" selected="0">
            <x v="0"/>
          </reference>
          <reference field="5" count="1" selected="0">
            <x v="28"/>
          </reference>
          <reference field="7" count="1" selected="0">
            <x v="529"/>
          </reference>
          <reference field="116" count="1">
            <x v="4"/>
          </reference>
        </references>
      </pivotArea>
    </format>
    <format dxfId="702">
      <pivotArea dataOnly="0" labelOnly="1" outline="0" fieldPosition="0">
        <references count="4">
          <reference field="4" count="1" selected="0">
            <x v="0"/>
          </reference>
          <reference field="5" count="1" selected="0">
            <x v="31"/>
          </reference>
          <reference field="7" count="1" selected="0">
            <x v="205"/>
          </reference>
          <reference field="116" count="1">
            <x v="4"/>
          </reference>
        </references>
      </pivotArea>
    </format>
    <format dxfId="701">
      <pivotArea dataOnly="0" labelOnly="1" outline="0" fieldPosition="0">
        <references count="4">
          <reference field="4" count="1" selected="0">
            <x v="0"/>
          </reference>
          <reference field="5" count="1" selected="0">
            <x v="33"/>
          </reference>
          <reference field="7" count="1" selected="0">
            <x v="466"/>
          </reference>
          <reference field="116" count="1">
            <x v="3"/>
          </reference>
        </references>
      </pivotArea>
    </format>
    <format dxfId="700">
      <pivotArea dataOnly="0" labelOnly="1" outline="0" fieldPosition="0">
        <references count="4">
          <reference field="4" count="1" selected="0">
            <x v="0"/>
          </reference>
          <reference field="5" count="1" selected="0">
            <x v="35"/>
          </reference>
          <reference field="7" count="1" selected="0">
            <x v="100"/>
          </reference>
          <reference field="116" count="1">
            <x v="3"/>
          </reference>
        </references>
      </pivotArea>
    </format>
    <format dxfId="699">
      <pivotArea dataOnly="0" labelOnly="1" outline="0" fieldPosition="0">
        <references count="4">
          <reference field="4" count="1" selected="0">
            <x v="1"/>
          </reference>
          <reference field="5" count="1" selected="0">
            <x v="8"/>
          </reference>
          <reference field="7" count="1" selected="0">
            <x v="132"/>
          </reference>
          <reference field="116" count="1">
            <x v="10"/>
          </reference>
        </references>
      </pivotArea>
    </format>
    <format dxfId="698">
      <pivotArea dataOnly="0" labelOnly="1" outline="0" fieldPosition="0">
        <references count="4">
          <reference field="4" count="1" selected="0">
            <x v="1"/>
          </reference>
          <reference field="5" count="1" selected="0">
            <x v="9"/>
          </reference>
          <reference field="7" count="1" selected="0">
            <x v="14"/>
          </reference>
          <reference field="116" count="1">
            <x v="8"/>
          </reference>
        </references>
      </pivotArea>
    </format>
    <format dxfId="697">
      <pivotArea dataOnly="0" labelOnly="1" outline="0" fieldPosition="0">
        <references count="4">
          <reference field="4" count="1" selected="0">
            <x v="1"/>
          </reference>
          <reference field="5" count="1" selected="0">
            <x v="9"/>
          </reference>
          <reference field="7" count="1" selected="0">
            <x v="22"/>
          </reference>
          <reference field="116" count="1">
            <x v="11"/>
          </reference>
        </references>
      </pivotArea>
    </format>
    <format dxfId="696">
      <pivotArea dataOnly="0" labelOnly="1" outline="0" fieldPosition="0">
        <references count="4">
          <reference field="4" count="1" selected="0">
            <x v="1"/>
          </reference>
          <reference field="5" count="1" selected="0">
            <x v="9"/>
          </reference>
          <reference field="7" count="1" selected="0">
            <x v="23"/>
          </reference>
          <reference field="116" count="1">
            <x v="8"/>
          </reference>
        </references>
      </pivotArea>
    </format>
    <format dxfId="695">
      <pivotArea dataOnly="0" labelOnly="1" outline="0" fieldPosition="0">
        <references count="4">
          <reference field="4" count="1" selected="0">
            <x v="1"/>
          </reference>
          <reference field="5" count="1" selected="0">
            <x v="9"/>
          </reference>
          <reference field="7" count="1" selected="0">
            <x v="89"/>
          </reference>
          <reference field="116" count="1">
            <x v="8"/>
          </reference>
        </references>
      </pivotArea>
    </format>
    <format dxfId="694">
      <pivotArea dataOnly="0" labelOnly="1" outline="0" fieldPosition="0">
        <references count="4">
          <reference field="4" count="1" selected="0">
            <x v="1"/>
          </reference>
          <reference field="5" count="1" selected="0">
            <x v="9"/>
          </reference>
          <reference field="7" count="1" selected="0">
            <x v="92"/>
          </reference>
          <reference field="116" count="1">
            <x v="11"/>
          </reference>
        </references>
      </pivotArea>
    </format>
    <format dxfId="693">
      <pivotArea dataOnly="0" labelOnly="1" outline="0" fieldPosition="0">
        <references count="4">
          <reference field="4" count="1" selected="0">
            <x v="1"/>
          </reference>
          <reference field="5" count="1" selected="0">
            <x v="9"/>
          </reference>
          <reference field="7" count="1" selected="0">
            <x v="93"/>
          </reference>
          <reference field="116" count="1">
            <x v="8"/>
          </reference>
        </references>
      </pivotArea>
    </format>
    <format dxfId="692">
      <pivotArea dataOnly="0" labelOnly="1" outline="0" fieldPosition="0">
        <references count="4">
          <reference field="4" count="1" selected="0">
            <x v="1"/>
          </reference>
          <reference field="5" count="1" selected="0">
            <x v="9"/>
          </reference>
          <reference field="7" count="1" selected="0">
            <x v="153"/>
          </reference>
          <reference field="116" count="1">
            <x v="10"/>
          </reference>
        </references>
      </pivotArea>
    </format>
    <format dxfId="691">
      <pivotArea dataOnly="0" labelOnly="1" outline="0" fieldPosition="0">
        <references count="4">
          <reference field="4" count="1" selected="0">
            <x v="1"/>
          </reference>
          <reference field="5" count="1" selected="0">
            <x v="9"/>
          </reference>
          <reference field="7" count="1" selected="0">
            <x v="182"/>
          </reference>
          <reference field="116" count="1">
            <x v="8"/>
          </reference>
        </references>
      </pivotArea>
    </format>
    <format dxfId="690">
      <pivotArea dataOnly="0" labelOnly="1" outline="0" fieldPosition="0">
        <references count="4">
          <reference field="4" count="1" selected="0">
            <x v="1"/>
          </reference>
          <reference field="5" count="1" selected="0">
            <x v="9"/>
          </reference>
          <reference field="7" count="1" selected="0">
            <x v="198"/>
          </reference>
          <reference field="116" count="1">
            <x v="8"/>
          </reference>
        </references>
      </pivotArea>
    </format>
    <format dxfId="689">
      <pivotArea dataOnly="0" labelOnly="1" outline="0" fieldPosition="0">
        <references count="4">
          <reference field="4" count="1" selected="0">
            <x v="1"/>
          </reference>
          <reference field="5" count="1" selected="0">
            <x v="9"/>
          </reference>
          <reference field="7" count="1" selected="0">
            <x v="209"/>
          </reference>
          <reference field="116" count="1">
            <x v="11"/>
          </reference>
        </references>
      </pivotArea>
    </format>
    <format dxfId="688">
      <pivotArea dataOnly="0" labelOnly="1" outline="0" fieldPosition="0">
        <references count="4">
          <reference field="4" count="1" selected="0">
            <x v="1"/>
          </reference>
          <reference field="5" count="1" selected="0">
            <x v="9"/>
          </reference>
          <reference field="7" count="1" selected="0">
            <x v="367"/>
          </reference>
          <reference field="116" count="1">
            <x v="8"/>
          </reference>
        </references>
      </pivotArea>
    </format>
    <format dxfId="687">
      <pivotArea dataOnly="0" labelOnly="1" outline="0" fieldPosition="0">
        <references count="4">
          <reference field="4" count="1" selected="0">
            <x v="1"/>
          </reference>
          <reference field="5" count="1" selected="0">
            <x v="9"/>
          </reference>
          <reference field="7" count="1" selected="0">
            <x v="394"/>
          </reference>
          <reference field="116" count="1">
            <x v="8"/>
          </reference>
        </references>
      </pivotArea>
    </format>
    <format dxfId="686">
      <pivotArea dataOnly="0" labelOnly="1" outline="0" fieldPosition="0">
        <references count="4">
          <reference field="4" count="1" selected="0">
            <x v="1"/>
          </reference>
          <reference field="5" count="1" selected="0">
            <x v="9"/>
          </reference>
          <reference field="7" count="1" selected="0">
            <x v="420"/>
          </reference>
          <reference field="116" count="1">
            <x v="8"/>
          </reference>
        </references>
      </pivotArea>
    </format>
    <format dxfId="685">
      <pivotArea dataOnly="0" labelOnly="1" outline="0" fieldPosition="0">
        <references count="4">
          <reference field="4" count="1" selected="0">
            <x v="1"/>
          </reference>
          <reference field="5" count="1" selected="0">
            <x v="9"/>
          </reference>
          <reference field="7" count="1" selected="0">
            <x v="448"/>
          </reference>
          <reference field="116" count="1">
            <x v="11"/>
          </reference>
        </references>
      </pivotArea>
    </format>
    <format dxfId="684">
      <pivotArea dataOnly="0" labelOnly="1" outline="0" fieldPosition="0">
        <references count="4">
          <reference field="4" count="1" selected="0">
            <x v="1"/>
          </reference>
          <reference field="5" count="1" selected="0">
            <x v="9"/>
          </reference>
          <reference field="7" count="1" selected="0">
            <x v="449"/>
          </reference>
          <reference field="116" count="1">
            <x v="8"/>
          </reference>
        </references>
      </pivotArea>
    </format>
    <format dxfId="683">
      <pivotArea dataOnly="0" labelOnly="1" outline="0" fieldPosition="0">
        <references count="4">
          <reference field="4" count="1" selected="0">
            <x v="1"/>
          </reference>
          <reference field="5" count="1" selected="0">
            <x v="9"/>
          </reference>
          <reference field="7" count="1" selected="0">
            <x v="490"/>
          </reference>
          <reference field="116" count="1">
            <x v="8"/>
          </reference>
        </references>
      </pivotArea>
    </format>
    <format dxfId="682">
      <pivotArea dataOnly="0" labelOnly="1" outline="0" fieldPosition="0">
        <references count="4">
          <reference field="4" count="1" selected="0">
            <x v="1"/>
          </reference>
          <reference field="5" count="1" selected="0">
            <x v="9"/>
          </reference>
          <reference field="7" count="1" selected="0">
            <x v="556"/>
          </reference>
          <reference field="116" count="1">
            <x v="11"/>
          </reference>
        </references>
      </pivotArea>
    </format>
    <format dxfId="681">
      <pivotArea dataOnly="0" labelOnly="1" outline="0" fieldPosition="0">
        <references count="4">
          <reference field="4" count="1" selected="0">
            <x v="1"/>
          </reference>
          <reference field="5" count="1" selected="0">
            <x v="9"/>
          </reference>
          <reference field="7" count="1" selected="0">
            <x v="567"/>
          </reference>
          <reference field="116" count="1">
            <x v="8"/>
          </reference>
        </references>
      </pivotArea>
    </format>
    <format dxfId="680">
      <pivotArea dataOnly="0" labelOnly="1" outline="0" fieldPosition="0">
        <references count="4">
          <reference field="4" count="1" selected="0">
            <x v="1"/>
          </reference>
          <reference field="5" count="1" selected="0">
            <x v="15"/>
          </reference>
          <reference field="7" count="1" selected="0">
            <x v="54"/>
          </reference>
          <reference field="116" count="1">
            <x v="8"/>
          </reference>
        </references>
      </pivotArea>
    </format>
    <format dxfId="679">
      <pivotArea dataOnly="0" labelOnly="1" outline="0" fieldPosition="0">
        <references count="4">
          <reference field="4" count="1" selected="0">
            <x v="1"/>
          </reference>
          <reference field="5" count="1" selected="0">
            <x v="15"/>
          </reference>
          <reference field="7" count="1" selected="0">
            <x v="57"/>
          </reference>
          <reference field="116" count="1">
            <x v="8"/>
          </reference>
        </references>
      </pivotArea>
    </format>
    <format dxfId="678">
      <pivotArea dataOnly="0" labelOnly="1" outline="0" fieldPosition="0">
        <references count="4">
          <reference field="4" count="1" selected="0">
            <x v="1"/>
          </reference>
          <reference field="5" count="1" selected="0">
            <x v="15"/>
          </reference>
          <reference field="7" count="1" selected="0">
            <x v="134"/>
          </reference>
          <reference field="116" count="1">
            <x v="8"/>
          </reference>
        </references>
      </pivotArea>
    </format>
    <format dxfId="677">
      <pivotArea dataOnly="0" labelOnly="1" outline="0" fieldPosition="0">
        <references count="4">
          <reference field="4" count="1" selected="0">
            <x v="1"/>
          </reference>
          <reference field="5" count="1" selected="0">
            <x v="15"/>
          </reference>
          <reference field="7" count="1" selected="0">
            <x v="137"/>
          </reference>
          <reference field="116" count="1">
            <x v="8"/>
          </reference>
        </references>
      </pivotArea>
    </format>
    <format dxfId="676">
      <pivotArea dataOnly="0" labelOnly="1" outline="0" fieldPosition="0">
        <references count="4">
          <reference field="4" count="1" selected="0">
            <x v="1"/>
          </reference>
          <reference field="5" count="1" selected="0">
            <x v="15"/>
          </reference>
          <reference field="7" count="1" selected="0">
            <x v="418"/>
          </reference>
          <reference field="116" count="1">
            <x v="11"/>
          </reference>
        </references>
      </pivotArea>
    </format>
    <format dxfId="675">
      <pivotArea dataOnly="0" labelOnly="1" outline="0" fieldPosition="0">
        <references count="4">
          <reference field="4" count="1" selected="0">
            <x v="1"/>
          </reference>
          <reference field="5" count="1" selected="0">
            <x v="15"/>
          </reference>
          <reference field="7" count="1" selected="0">
            <x v="450"/>
          </reference>
          <reference field="116" count="1">
            <x v="8"/>
          </reference>
        </references>
      </pivotArea>
    </format>
    <format dxfId="674">
      <pivotArea dataOnly="0" labelOnly="1" outline="0" fieldPosition="0">
        <references count="4">
          <reference field="4" count="1" selected="0">
            <x v="1"/>
          </reference>
          <reference field="5" count="1" selected="0">
            <x v="15"/>
          </reference>
          <reference field="7" count="1" selected="0">
            <x v="453"/>
          </reference>
          <reference field="116" count="1">
            <x v="8"/>
          </reference>
        </references>
      </pivotArea>
    </format>
    <format dxfId="673">
      <pivotArea dataOnly="0" labelOnly="1" outline="0" fieldPosition="0">
        <references count="4">
          <reference field="4" count="1" selected="0">
            <x v="1"/>
          </reference>
          <reference field="5" count="1" selected="0">
            <x v="15"/>
          </reference>
          <reference field="7" count="1" selected="0">
            <x v="494"/>
          </reference>
          <reference field="116" count="1">
            <x v="11"/>
          </reference>
        </references>
      </pivotArea>
    </format>
    <format dxfId="672">
      <pivotArea dataOnly="0" labelOnly="1" outline="0" fieldPosition="0">
        <references count="4">
          <reference field="4" count="1" selected="0">
            <x v="1"/>
          </reference>
          <reference field="5" count="1" selected="0">
            <x v="19"/>
          </reference>
          <reference field="7" count="1" selected="0">
            <x v="12"/>
          </reference>
          <reference field="116" count="1">
            <x v="8"/>
          </reference>
        </references>
      </pivotArea>
    </format>
    <format dxfId="671">
      <pivotArea dataOnly="0" labelOnly="1" outline="0" fieldPosition="0">
        <references count="4">
          <reference field="4" count="1" selected="0">
            <x v="1"/>
          </reference>
          <reference field="5" count="1" selected="0">
            <x v="19"/>
          </reference>
          <reference field="7" count="1" selected="0">
            <x v="51"/>
          </reference>
          <reference field="116" count="1">
            <x v="8"/>
          </reference>
        </references>
      </pivotArea>
    </format>
    <format dxfId="670">
      <pivotArea dataOnly="0" labelOnly="1" outline="0" fieldPosition="0">
        <references count="4">
          <reference field="4" count="1" selected="0">
            <x v="1"/>
          </reference>
          <reference field="5" count="1" selected="0">
            <x v="19"/>
          </reference>
          <reference field="7" count="1" selected="0">
            <x v="210"/>
          </reference>
          <reference field="116" count="1">
            <x v="8"/>
          </reference>
        </references>
      </pivotArea>
    </format>
    <format dxfId="669">
      <pivotArea dataOnly="0" labelOnly="1" outline="0" fieldPosition="0">
        <references count="4">
          <reference field="4" count="1" selected="0">
            <x v="1"/>
          </reference>
          <reference field="5" count="1" selected="0">
            <x v="19"/>
          </reference>
          <reference field="7" count="1" selected="0">
            <x v="211"/>
          </reference>
          <reference field="116" count="1">
            <x v="8"/>
          </reference>
        </references>
      </pivotArea>
    </format>
    <format dxfId="668">
      <pivotArea dataOnly="0" labelOnly="1" outline="0" fieldPosition="0">
        <references count="4">
          <reference field="4" count="1" selected="0">
            <x v="1"/>
          </reference>
          <reference field="5" count="1" selected="0">
            <x v="19"/>
          </reference>
          <reference field="7" count="1" selected="0">
            <x v="363"/>
          </reference>
          <reference field="116" count="1">
            <x v="8"/>
          </reference>
        </references>
      </pivotArea>
    </format>
    <format dxfId="667">
      <pivotArea dataOnly="0" labelOnly="1" outline="0" fieldPosition="0">
        <references count="4">
          <reference field="4" count="1" selected="0">
            <x v="1"/>
          </reference>
          <reference field="5" count="1" selected="0">
            <x v="27"/>
          </reference>
          <reference field="7" count="1" selected="0">
            <x v="72"/>
          </reference>
          <reference field="116" count="1">
            <x v="8"/>
          </reference>
        </references>
      </pivotArea>
    </format>
    <format dxfId="666">
      <pivotArea dataOnly="0" labelOnly="1" outline="0" fieldPosition="0">
        <references count="4">
          <reference field="4" count="1" selected="0">
            <x v="1"/>
          </reference>
          <reference field="5" count="1" selected="0">
            <x v="27"/>
          </reference>
          <reference field="7" count="1" selected="0">
            <x v="144"/>
          </reference>
          <reference field="116" count="1">
            <x v="8"/>
          </reference>
        </references>
      </pivotArea>
    </format>
    <format dxfId="665">
      <pivotArea dataOnly="0" labelOnly="1" outline="0" fieldPosition="0">
        <references count="4">
          <reference field="4" count="1" selected="0">
            <x v="1"/>
          </reference>
          <reference field="5" count="1" selected="0">
            <x v="27"/>
          </reference>
          <reference field="7" count="1" selected="0">
            <x v="195"/>
          </reference>
          <reference field="116" count="1">
            <x v="8"/>
          </reference>
        </references>
      </pivotArea>
    </format>
    <format dxfId="664">
      <pivotArea dataOnly="0" labelOnly="1" outline="0" fieldPosition="0">
        <references count="4">
          <reference field="4" count="1" selected="0">
            <x v="1"/>
          </reference>
          <reference field="5" count="1" selected="0">
            <x v="27"/>
          </reference>
          <reference field="7" count="1" selected="0">
            <x v="265"/>
          </reference>
          <reference field="116" count="1">
            <x v="8"/>
          </reference>
        </references>
      </pivotArea>
    </format>
    <format dxfId="663">
      <pivotArea dataOnly="0" labelOnly="1" outline="0" fieldPosition="0">
        <references count="4">
          <reference field="4" count="1" selected="0">
            <x v="1"/>
          </reference>
          <reference field="5" count="1" selected="0">
            <x v="27"/>
          </reference>
          <reference field="7" count="1" selected="0">
            <x v="298"/>
          </reference>
          <reference field="116" count="1">
            <x v="8"/>
          </reference>
        </references>
      </pivotArea>
    </format>
    <format dxfId="662">
      <pivotArea dataOnly="0" labelOnly="1" outline="0" fieldPosition="0">
        <references count="4">
          <reference field="4" count="1" selected="0">
            <x v="1"/>
          </reference>
          <reference field="5" count="1" selected="0">
            <x v="27"/>
          </reference>
          <reference field="7" count="1" selected="0">
            <x v="379"/>
          </reference>
          <reference field="116" count="1">
            <x v="8"/>
          </reference>
        </references>
      </pivotArea>
    </format>
    <format dxfId="661">
      <pivotArea dataOnly="0" labelOnly="1" outline="0" fieldPosition="0">
        <references count="4">
          <reference field="4" count="1" selected="0">
            <x v="1"/>
          </reference>
          <reference field="5" count="1" selected="0">
            <x v="27"/>
          </reference>
          <reference field="7" count="1" selected="0">
            <x v="397"/>
          </reference>
          <reference field="116" count="1">
            <x v="8"/>
          </reference>
        </references>
      </pivotArea>
    </format>
    <format dxfId="660">
      <pivotArea dataOnly="0" labelOnly="1" outline="0" fieldPosition="0">
        <references count="4">
          <reference field="4" count="1" selected="0">
            <x v="1"/>
          </reference>
          <reference field="5" count="1" selected="0">
            <x v="27"/>
          </reference>
          <reference field="7" count="1" selected="0">
            <x v="471"/>
          </reference>
          <reference field="116" count="1">
            <x v="8"/>
          </reference>
        </references>
      </pivotArea>
    </format>
    <format dxfId="659">
      <pivotArea dataOnly="0" labelOnly="1" outline="0" fieldPosition="0">
        <references count="4">
          <reference field="4" count="1" selected="0">
            <x v="1"/>
          </reference>
          <reference field="5" count="1" selected="0">
            <x v="27"/>
          </reference>
          <reference field="7" count="1" selected="0">
            <x v="472"/>
          </reference>
          <reference field="116" count="1">
            <x v="8"/>
          </reference>
        </references>
      </pivotArea>
    </format>
    <format dxfId="658">
      <pivotArea dataOnly="0" labelOnly="1" outline="0" fieldPosition="0">
        <references count="4">
          <reference field="4" count="1" selected="0">
            <x v="1"/>
          </reference>
          <reference field="5" count="1" selected="0">
            <x v="27"/>
          </reference>
          <reference field="7" count="1" selected="0">
            <x v="483"/>
          </reference>
          <reference field="116" count="1">
            <x v="8"/>
          </reference>
        </references>
      </pivotArea>
    </format>
    <format dxfId="657">
      <pivotArea dataOnly="0" labelOnly="1" outline="0" fieldPosition="0">
        <references count="4">
          <reference field="4" count="1" selected="0">
            <x v="1"/>
          </reference>
          <reference field="5" count="1" selected="0">
            <x v="27"/>
          </reference>
          <reference field="7" count="1" selected="0">
            <x v="506"/>
          </reference>
          <reference field="116" count="1">
            <x v="8"/>
          </reference>
        </references>
      </pivotArea>
    </format>
    <format dxfId="656">
      <pivotArea dataOnly="0" labelOnly="1" outline="0" fieldPosition="0">
        <references count="4">
          <reference field="4" count="1" selected="0">
            <x v="1"/>
          </reference>
          <reference field="5" count="1" selected="0">
            <x v="27"/>
          </reference>
          <reference field="7" count="1" selected="0">
            <x v="531"/>
          </reference>
          <reference field="116" count="1">
            <x v="8"/>
          </reference>
        </references>
      </pivotArea>
    </format>
    <format dxfId="655">
      <pivotArea dataOnly="0" labelOnly="1" outline="0" fieldPosition="0">
        <references count="4">
          <reference field="4" count="1" selected="0">
            <x v="1"/>
          </reference>
          <reference field="5" count="1" selected="0">
            <x v="27"/>
          </reference>
          <reference field="7" count="1" selected="0">
            <x v="552"/>
          </reference>
          <reference field="116" count="1">
            <x v="8"/>
          </reference>
        </references>
      </pivotArea>
    </format>
    <format dxfId="654">
      <pivotArea dataOnly="0" labelOnly="1" outline="0" fieldPosition="0">
        <references count="4">
          <reference field="4" count="1" selected="0">
            <x v="1"/>
          </reference>
          <reference field="5" count="1" selected="0">
            <x v="27"/>
          </reference>
          <reference field="7" count="1" selected="0">
            <x v="554"/>
          </reference>
          <reference field="116" count="1">
            <x v="8"/>
          </reference>
        </references>
      </pivotArea>
    </format>
    <format dxfId="653">
      <pivotArea dataOnly="0" labelOnly="1" outline="0" fieldPosition="0">
        <references count="4">
          <reference field="4" count="1" selected="0">
            <x v="1"/>
          </reference>
          <reference field="5" count="1" selected="0">
            <x v="30"/>
          </reference>
          <reference field="7" count="1" selected="0">
            <x v="19"/>
          </reference>
          <reference field="116" count="1">
            <x v="11"/>
          </reference>
        </references>
      </pivotArea>
    </format>
    <format dxfId="652">
      <pivotArea dataOnly="0" labelOnly="1" outline="0" fieldPosition="0">
        <references count="4">
          <reference field="4" count="1" selected="0">
            <x v="1"/>
          </reference>
          <reference field="5" count="1" selected="0">
            <x v="30"/>
          </reference>
          <reference field="7" count="1" selected="0">
            <x v="351"/>
          </reference>
          <reference field="116" count="1">
            <x v="11"/>
          </reference>
        </references>
      </pivotArea>
    </format>
    <format dxfId="651">
      <pivotArea dataOnly="0" labelOnly="1" outline="0" fieldPosition="0">
        <references count="4">
          <reference field="4" count="1" selected="0">
            <x v="1"/>
          </reference>
          <reference field="5" count="1" selected="0">
            <x v="30"/>
          </reference>
          <reference field="7" count="1" selected="0">
            <x v="352"/>
          </reference>
          <reference field="116" count="1">
            <x v="8"/>
          </reference>
        </references>
      </pivotArea>
    </format>
    <format dxfId="650">
      <pivotArea dataOnly="0" labelOnly="1" outline="0" fieldPosition="0">
        <references count="4">
          <reference field="4" count="1" selected="0">
            <x v="1"/>
          </reference>
          <reference field="5" count="1" selected="0">
            <x v="32"/>
          </reference>
          <reference field="7" count="1" selected="0">
            <x v="13"/>
          </reference>
          <reference field="116" count="1">
            <x v="8"/>
          </reference>
        </references>
      </pivotArea>
    </format>
    <format dxfId="649">
      <pivotArea dataOnly="0" labelOnly="1" outline="0" fieldPosition="0">
        <references count="4">
          <reference field="4" count="1" selected="0">
            <x v="1"/>
          </reference>
          <reference field="5" count="1" selected="0">
            <x v="32"/>
          </reference>
          <reference field="7" count="1" selected="0">
            <x v="40"/>
          </reference>
          <reference field="116" count="1">
            <x v="4"/>
          </reference>
        </references>
      </pivotArea>
    </format>
    <format dxfId="648">
      <pivotArea dataOnly="0" labelOnly="1" outline="0" fieldPosition="0">
        <references count="4">
          <reference field="4" count="1" selected="0">
            <x v="1"/>
          </reference>
          <reference field="5" count="1" selected="0">
            <x v="32"/>
          </reference>
          <reference field="7" count="1" selected="0">
            <x v="43"/>
          </reference>
          <reference field="116" count="1">
            <x v="8"/>
          </reference>
        </references>
      </pivotArea>
    </format>
    <format dxfId="647">
      <pivotArea dataOnly="0" labelOnly="1" outline="0" fieldPosition="0">
        <references count="4">
          <reference field="4" count="1" selected="0">
            <x v="1"/>
          </reference>
          <reference field="5" count="1" selected="0">
            <x v="32"/>
          </reference>
          <reference field="7" count="1" selected="0">
            <x v="71"/>
          </reference>
          <reference field="116" count="1">
            <x v="8"/>
          </reference>
        </references>
      </pivotArea>
    </format>
    <format dxfId="646">
      <pivotArea dataOnly="0" labelOnly="1" outline="0" fieldPosition="0">
        <references count="4">
          <reference field="4" count="1" selected="0">
            <x v="1"/>
          </reference>
          <reference field="5" count="1" selected="0">
            <x v="32"/>
          </reference>
          <reference field="7" count="1" selected="0">
            <x v="189"/>
          </reference>
          <reference field="116" count="1">
            <x v="8"/>
          </reference>
        </references>
      </pivotArea>
    </format>
    <format dxfId="645">
      <pivotArea dataOnly="0" labelOnly="1" outline="0" fieldPosition="0">
        <references count="4">
          <reference field="4" count="1" selected="0">
            <x v="1"/>
          </reference>
          <reference field="5" count="1" selected="0">
            <x v="32"/>
          </reference>
          <reference field="7" count="1" selected="0">
            <x v="383"/>
          </reference>
          <reference field="116" count="1">
            <x v="8"/>
          </reference>
        </references>
      </pivotArea>
    </format>
    <format dxfId="644">
      <pivotArea dataOnly="0" labelOnly="1" outline="0" fieldPosition="0">
        <references count="4">
          <reference field="4" count="1" selected="0">
            <x v="1"/>
          </reference>
          <reference field="5" count="1" selected="0">
            <x v="32"/>
          </reference>
          <reference field="7" count="1" selected="0">
            <x v="512"/>
          </reference>
          <reference field="116" count="1">
            <x v="8"/>
          </reference>
        </references>
      </pivotArea>
    </format>
    <format dxfId="643">
      <pivotArea dataOnly="0" labelOnly="1" outline="0" fieldPosition="0">
        <references count="4">
          <reference field="4" count="1" selected="0">
            <x v="2"/>
          </reference>
          <reference field="5" count="1" selected="0">
            <x v="6"/>
          </reference>
          <reference field="7" count="1" selected="0">
            <x v="248"/>
          </reference>
          <reference field="116" count="1">
            <x v="3"/>
          </reference>
        </references>
      </pivotArea>
    </format>
    <format dxfId="642">
      <pivotArea dataOnly="0" labelOnly="1" outline="0" fieldPosition="0">
        <references count="4">
          <reference field="4" count="1" selected="0">
            <x v="2"/>
          </reference>
          <reference field="5" count="1" selected="0">
            <x v="7"/>
          </reference>
          <reference field="7" count="1" selected="0">
            <x v="372"/>
          </reference>
          <reference field="116" count="1">
            <x v="3"/>
          </reference>
        </references>
      </pivotArea>
    </format>
    <format dxfId="641">
      <pivotArea dataOnly="0" labelOnly="1" outline="0" fieldPosition="0">
        <references count="4">
          <reference field="4" count="1" selected="0">
            <x v="2"/>
          </reference>
          <reference field="5" count="1" selected="0">
            <x v="13"/>
          </reference>
          <reference field="7" count="1" selected="0">
            <x v="250"/>
          </reference>
          <reference field="116" count="1">
            <x v="3"/>
          </reference>
        </references>
      </pivotArea>
    </format>
    <format dxfId="640">
      <pivotArea dataOnly="0" labelOnly="1" outline="0" fieldPosition="0">
        <references count="4">
          <reference field="4" count="1" selected="0">
            <x v="2"/>
          </reference>
          <reference field="5" count="1" selected="0">
            <x v="20"/>
          </reference>
          <reference field="7" count="1" selected="0">
            <x v="111"/>
          </reference>
          <reference field="116" count="1">
            <x v="3"/>
          </reference>
        </references>
      </pivotArea>
    </format>
    <format dxfId="639">
      <pivotArea dataOnly="0" labelOnly="1" outline="0" fieldPosition="0">
        <references count="1">
          <reference field="4294967294" count="5">
            <x v="1"/>
            <x v="2"/>
            <x v="3"/>
            <x v="4"/>
            <x v="5"/>
          </reference>
        </references>
      </pivotArea>
    </format>
  </formats>
  <pivotTableStyleInfo name="PivotStyleLight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2.xml><?xml version="1.0" encoding="utf-8"?>
<pivotTableDefinition xmlns="http://schemas.openxmlformats.org/spreadsheetml/2006/main" xmlns:mc="http://schemas.openxmlformats.org/markup-compatibility/2006" xmlns:xr="http://schemas.microsoft.com/office/spreadsheetml/2014/revision" mc:Ignorable="xr" xr:uid="{00000000-0007-0000-0800-00001A000000}" name="S_Geo" cacheId="0"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3">
  <location ref="N330:P334" firstHeaderRow="1" firstDataRow="2" firstDataCol="1" rowPageCount="2" colPageCount="1"/>
  <pivotFields count="131">
    <pivotField axis="axisPage" subtotalTop="0" multipleItemSelectionAllowed="1" showAll="0">
      <items count="12">
        <item m="1" x="9"/>
        <item m="1" x="3"/>
        <item m="1" x="10"/>
        <item h="1" m="1" x="4"/>
        <item m="1" x="2"/>
        <item m="1" x="1"/>
        <item m="1" x="8"/>
        <item h="1" m="1" x="5"/>
        <item h="1" m="1" x="6"/>
        <item m="1" x="7"/>
        <item x="0"/>
        <item t="default"/>
      </items>
    </pivotField>
    <pivotField showAll="0" defaultSubtotal="0"/>
    <pivotField showAll="0" defaultSubtotal="0"/>
    <pivotField subtotalTop="0" showAll="0"/>
    <pivotField axis="axisPage" subtotalTop="0" multipleItemSelectionAllowed="1" showAll="0">
      <items count="7">
        <item h="1" x="0"/>
        <item h="1" m="1" x="5"/>
        <item x="3"/>
        <item m="1" x="4"/>
        <item h="1" x="1"/>
        <item h="1" x="2"/>
        <item t="default"/>
      </items>
    </pivotField>
    <pivotField subtotalTop="0" showAll="0"/>
    <pivotField axis="axisRow" showAll="0" defaultSubtotal="0">
      <items count="10">
        <item x="1"/>
        <item x="0"/>
        <item m="1" x="9"/>
        <item x="3"/>
        <item m="1" x="6"/>
        <item m="1" x="5"/>
        <item x="2"/>
        <item m="1" x="8"/>
        <item x="4"/>
        <item m="1" x="7"/>
      </items>
    </pivotField>
    <pivotField dataField="1"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numFmtId="9" subtotalTop="0" showAll="0"/>
    <pivotField subtotalTop="0" showAll="0"/>
    <pivotField showAll="0" defaultSubtotal="0"/>
    <pivotField showAll="0"/>
    <pivotField numFmtId="1" subtotalTop="0" showAll="0"/>
    <pivotField showAll="0" defaultSubtotal="0"/>
    <pivotField showAll="0" defaultSubtotal="0"/>
    <pivotField subtotalTop="0" showAll="0"/>
    <pivotField subtotalTop="0" showAll="0"/>
    <pivotField showAll="0" defaultSubtotal="0"/>
    <pivotField numFmtId="1" subtotalTop="0" showAll="0"/>
    <pivotField numFmtId="1" subtotalTop="0" showAll="0"/>
    <pivotField numFmtId="1" showAll="0" defaultSubtotal="0"/>
    <pivotField numFmtId="9" showAll="0"/>
    <pivotField numFmtId="1" showAll="0" defaultSubtotal="0"/>
    <pivotField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numFmtId="9" subtotalTop="0" showAll="0"/>
    <pivotField numFmtId="1" showAll="0" defaultSubtotal="0"/>
    <pivotField numFmtId="1"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Col" subtotalTop="0" showAll="0">
      <items count="5">
        <item x="0"/>
        <item n="Gap" x="1"/>
        <item h="1"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3">
    <i>
      <x/>
    </i>
    <i>
      <x v="1"/>
    </i>
    <i>
      <x v="3"/>
    </i>
  </rowItems>
  <colFields count="1">
    <field x="121"/>
  </colFields>
  <colItems count="2">
    <i>
      <x/>
    </i>
    <i>
      <x v="1"/>
    </i>
  </colItems>
  <pageFields count="2">
    <pageField fld="0" hier="-1"/>
    <pageField fld="4" hier="-1"/>
  </pageFields>
  <dataFields count="1">
    <dataField name="Count of Site Name" fld="7" subtotal="count" baseField="0" baseItem="0"/>
  </dataFields>
  <formats count="17">
    <format dxfId="776">
      <pivotArea type="all" dataOnly="0" outline="0" fieldPosition="0"/>
    </format>
    <format dxfId="775">
      <pivotArea outline="0" collapsedLevelsAreSubtotals="1" fieldPosition="0"/>
    </format>
    <format dxfId="774">
      <pivotArea field="4" type="button" dataOnly="0" labelOnly="1" outline="0" axis="axisPage" fieldPosition="1"/>
    </format>
    <format dxfId="773">
      <pivotArea dataOnly="0" labelOnly="1" fieldPosition="0">
        <references count="1">
          <reference field="4" count="0"/>
        </references>
      </pivotArea>
    </format>
    <format dxfId="772">
      <pivotArea dataOnly="0" labelOnly="1" grandRow="1" outline="0" fieldPosition="0"/>
    </format>
    <format dxfId="771">
      <pivotArea dataOnly="0" labelOnly="1" outline="0" fieldPosition="0">
        <references count="1">
          <reference field="4294967294" count="1">
            <x v="0"/>
          </reference>
        </references>
      </pivotArea>
    </format>
    <format dxfId="770">
      <pivotArea type="all" dataOnly="0" outline="0" fieldPosition="0"/>
    </format>
    <format dxfId="769">
      <pivotArea outline="0" collapsedLevelsAreSubtotals="1" fieldPosition="0"/>
    </format>
    <format dxfId="768">
      <pivotArea type="origin" dataOnly="0" labelOnly="1" outline="0" fieldPosition="0"/>
    </format>
    <format dxfId="767">
      <pivotArea field="121" type="button" dataOnly="0" labelOnly="1" outline="0" axis="axisCol" fieldPosition="0"/>
    </format>
    <format dxfId="766">
      <pivotArea type="topRight" dataOnly="0" labelOnly="1" outline="0" fieldPosition="0"/>
    </format>
    <format dxfId="765">
      <pivotArea dataOnly="0" labelOnly="1" fieldPosition="0">
        <references count="1">
          <reference field="121" count="0"/>
        </references>
      </pivotArea>
    </format>
    <format dxfId="764">
      <pivotArea type="all" dataOnly="0" outline="0" fieldPosition="0"/>
    </format>
    <format dxfId="763">
      <pivotArea outline="0" collapsedLevelsAreSubtotals="1" fieldPosition="0"/>
    </format>
    <format dxfId="762">
      <pivotArea dataOnly="0" labelOnly="1" fieldPosition="0">
        <references count="1">
          <reference field="121" count="0"/>
        </references>
      </pivotArea>
    </format>
    <format dxfId="761">
      <pivotArea field="4" type="button" dataOnly="0" labelOnly="1" outline="0" axis="axisPage" fieldPosition="1"/>
    </format>
    <format dxfId="760">
      <pivotArea dataOnly="0" labelOnly="1" outline="0" fieldPosition="0">
        <references count="1">
          <reference field="4" count="0"/>
        </references>
      </pivotArea>
    </format>
  </formats>
  <chartFormats count="10">
    <chartFormat chart="1" format="0" series="1">
      <pivotArea type="data" outline="0" fieldPosition="0">
        <references count="2">
          <reference field="4294967294" count="1" selected="0">
            <x v="0"/>
          </reference>
          <reference field="121" count="1" selected="0">
            <x v="0"/>
          </reference>
        </references>
      </pivotArea>
    </chartFormat>
    <chartFormat chart="1" format="1" series="1">
      <pivotArea type="data" outline="0" fieldPosition="0">
        <references count="2">
          <reference field="4294967294" count="1" selected="0">
            <x v="0"/>
          </reference>
          <reference field="121" count="1" selected="0">
            <x v="1"/>
          </reference>
        </references>
      </pivotArea>
    </chartFormat>
    <chartFormat chart="6" format="4" series="1">
      <pivotArea type="data" outline="0" fieldPosition="0">
        <references count="2">
          <reference field="4294967294" count="1" selected="0">
            <x v="0"/>
          </reference>
          <reference field="121" count="1" selected="0">
            <x v="0"/>
          </reference>
        </references>
      </pivotArea>
    </chartFormat>
    <chartFormat chart="6" format="5" series="1">
      <pivotArea type="data" outline="0" fieldPosition="0">
        <references count="2">
          <reference field="4294967294" count="1" selected="0">
            <x v="0"/>
          </reference>
          <reference field="121" count="1" selected="0">
            <x v="1"/>
          </reference>
        </references>
      </pivotArea>
    </chartFormat>
    <chartFormat chart="16" format="8" series="1">
      <pivotArea type="data" outline="0" fieldPosition="0">
        <references count="2">
          <reference field="4294967294" count="1" selected="0">
            <x v="0"/>
          </reference>
          <reference field="121" count="1" selected="0">
            <x v="0"/>
          </reference>
        </references>
      </pivotArea>
    </chartFormat>
    <chartFormat chart="16" format="9" series="1">
      <pivotArea type="data" outline="0" fieldPosition="0">
        <references count="2">
          <reference field="4294967294" count="1" selected="0">
            <x v="0"/>
          </reference>
          <reference field="121" count="1" selected="0">
            <x v="1"/>
          </reference>
        </references>
      </pivotArea>
    </chartFormat>
    <chartFormat chart="19" format="8" series="1">
      <pivotArea type="data" outline="0" fieldPosition="0">
        <references count="2">
          <reference field="4294967294" count="1" selected="0">
            <x v="0"/>
          </reference>
          <reference field="121" count="1" selected="0">
            <x v="0"/>
          </reference>
        </references>
      </pivotArea>
    </chartFormat>
    <chartFormat chart="19" format="9" series="1">
      <pivotArea type="data" outline="0" fieldPosition="0">
        <references count="2">
          <reference field="4294967294" count="1" selected="0">
            <x v="0"/>
          </reference>
          <reference field="121" count="1" selected="0">
            <x v="1"/>
          </reference>
        </references>
      </pivotArea>
    </chartFormat>
    <chartFormat chart="16" format="10" series="1">
      <pivotArea type="data" outline="0" fieldPosition="0">
        <references count="2">
          <reference field="4294967294" count="1" selected="0">
            <x v="0"/>
          </reference>
          <reference field="121" count="1" selected="0">
            <x v="3"/>
          </reference>
        </references>
      </pivotArea>
    </chartFormat>
    <chartFormat chart="19" format="10" series="1">
      <pivotArea type="data" outline="0" fieldPosition="0">
        <references count="2">
          <reference field="4294967294" count="1" selected="0">
            <x v="0"/>
          </reference>
          <reference field="121" count="1" selected="0">
            <x v="3"/>
          </reference>
        </references>
      </pivotArea>
    </chartFormat>
  </chart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3.xml><?xml version="1.0" encoding="utf-8"?>
<pivotTableDefinition xmlns="http://schemas.openxmlformats.org/spreadsheetml/2006/main" xmlns:mc="http://schemas.openxmlformats.org/markup-compatibility/2006" xmlns:xr="http://schemas.microsoft.com/office/spreadsheetml/2014/revision" mc:Ignorable="xr" xr:uid="{00000000-0007-0000-0800-000008000000}" name="K_water1"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8">
  <location ref="B50:D52" firstHeaderRow="0" firstDataRow="1" firstDataCol="1" rowPageCount="4" colPageCount="1"/>
  <pivotFields count="131">
    <pivotField axis="axisPage" subtotalTop="0" multipleItemSelectionAllowed="1" showAll="0">
      <items count="12">
        <item h="1" m="1" x="9"/>
        <item m="1" x="3"/>
        <item h="1" m="1" x="4"/>
        <item h="1" m="1" x="1"/>
        <item m="1" x="10"/>
        <item m="1" x="2"/>
        <item h="1" m="1" x="8"/>
        <item h="1" m="1" x="5"/>
        <item h="1" m="1" x="6"/>
        <item m="1" x="7"/>
        <item x="0"/>
        <item t="default"/>
      </items>
    </pivotField>
    <pivotField showAll="0" defaultSubtotal="0"/>
    <pivotField showAll="0" defaultSubtotal="0"/>
    <pivotField subtotalTop="0" showAll="0"/>
    <pivotField axis="axisPage" subtotalTop="0" multipleItemSelectionAllowed="1" showAll="0">
      <items count="7">
        <item x="0"/>
        <item h="1" m="1" x="5"/>
        <item h="1" x="3"/>
        <item h="1" m="1" x="4"/>
        <item h="1" x="1"/>
        <item h="1" x="2"/>
        <item t="default"/>
      </items>
    </pivotField>
    <pivotField subtotalTop="0" showAll="0"/>
    <pivotField axis="axisPage" multipleItemSelectionAllowed="1" showAll="0" defaultSubtotal="0">
      <items count="10">
        <item x="1"/>
        <item x="0"/>
        <item m="1" x="9"/>
        <item m="1" x="6"/>
        <item m="1" x="5"/>
        <item h="1" x="2"/>
        <item m="1" x="8"/>
        <item h="1" x="4"/>
        <item m="1" x="7"/>
        <item h="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dataField="1" subtotalTop="0" showAll="0"/>
    <pivotField numFmtId="9" subtotalTop="0" showAll="0"/>
    <pivotField showAll="0" defaultSubtotal="0"/>
    <pivotField dataField="1"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axis="axisRow" subtotalTop="0" showAll="0">
      <items count="351">
        <item x="2"/>
        <item m="1" x="195"/>
        <item m="1" x="218"/>
        <item m="1" x="349"/>
        <item m="1" x="299"/>
        <item m="1" x="189"/>
        <item m="1" x="177"/>
        <item m="1" x="136"/>
        <item m="1" x="298"/>
        <item m="1" x="135"/>
        <item m="1" x="22"/>
        <item m="1" x="283"/>
        <item m="1" x="33"/>
        <item m="1" x="128"/>
        <item m="1" x="312"/>
        <item m="1" x="106"/>
        <item m="1" x="284"/>
        <item m="1" x="305"/>
        <item m="1" x="113"/>
        <item m="1" x="227"/>
        <item m="1" x="89"/>
        <item m="1" x="127"/>
        <item m="1" x="29"/>
        <item m="1" x="213"/>
        <item m="1" x="123"/>
        <item m="1" x="147"/>
        <item m="1" x="34"/>
        <item m="1" x="174"/>
        <item m="1" x="221"/>
        <item m="1" x="155"/>
        <item m="1" x="233"/>
        <item m="1" x="180"/>
        <item m="1" x="116"/>
        <item m="1" x="35"/>
        <item m="1" x="154"/>
        <item m="1" x="59"/>
        <item m="1" x="272"/>
        <item m="1" x="253"/>
        <item m="1" x="222"/>
        <item m="1" x="68"/>
        <item m="1" x="117"/>
        <item m="1" x="137"/>
        <item m="1" x="281"/>
        <item m="1" x="333"/>
        <item m="1" x="124"/>
        <item m="1" x="67"/>
        <item m="1" x="81"/>
        <item m="1" x="179"/>
        <item m="1" x="316"/>
        <item m="1" x="346"/>
        <item m="1" x="282"/>
        <item m="1" x="57"/>
        <item m="1" x="303"/>
        <item m="1" x="52"/>
        <item m="1" x="69"/>
        <item m="1" x="226"/>
        <item m="1" x="219"/>
        <item m="1" x="58"/>
        <item m="1" x="95"/>
        <item m="1" x="138"/>
        <item m="1" x="246"/>
        <item m="1" x="262"/>
        <item m="1" x="125"/>
        <item m="1" x="93"/>
        <item m="1" x="220"/>
        <item m="1" x="45"/>
        <item m="1" x="55"/>
        <item m="1" x="260"/>
        <item m="1" x="327"/>
        <item m="1" x="80"/>
        <item m="1" x="332"/>
        <item m="1" x="142"/>
        <item m="1" x="82"/>
        <item m="1" x="17"/>
        <item m="1" x="102"/>
        <item m="1" x="236"/>
        <item m="1" x="164"/>
        <item m="1" x="120"/>
        <item m="1" x="304"/>
        <item m="1" x="204"/>
        <item m="1" x="188"/>
        <item m="1" x="119"/>
        <item m="1" x="336"/>
        <item m="1" x="255"/>
        <item m="1" x="211"/>
        <item m="1" x="18"/>
        <item m="1" x="112"/>
        <item m="1" x="286"/>
        <item m="1" x="48"/>
        <item m="1" x="263"/>
        <item m="1" x="315"/>
        <item m="1" x="258"/>
        <item m="1" x="38"/>
        <item m="1" x="94"/>
        <item m="1" x="296"/>
        <item m="1" x="190"/>
        <item m="1" x="328"/>
        <item m="1" x="28"/>
        <item m="1" x="269"/>
        <item m="1" x="134"/>
        <item m="1" x="320"/>
        <item m="1" x="83"/>
        <item m="1" x="245"/>
        <item m="1" x="329"/>
        <item m="1" x="196"/>
        <item m="1" x="205"/>
        <item m="1" x="107"/>
        <item m="1" x="129"/>
        <item m="1" x="105"/>
        <item m="1" x="21"/>
        <item m="1" x="88"/>
        <item m="1" x="285"/>
        <item m="1" x="192"/>
        <item m="1" x="171"/>
        <item m="1" x="300"/>
        <item m="1" x="23"/>
        <item m="1" x="118"/>
        <item m="1" x="178"/>
        <item m="1" x="170"/>
        <item m="1" x="252"/>
        <item m="1" x="295"/>
        <item m="1" x="212"/>
        <item m="1" x="148"/>
        <item m="1" x="84"/>
        <item m="1" x="215"/>
        <item m="1" x="19"/>
        <item m="1" x="291"/>
        <item m="1" x="334"/>
        <item m="1" x="149"/>
        <item m="1" x="150"/>
        <item m="1" x="175"/>
        <item m="1" x="337"/>
        <item m="1" x="62"/>
        <item m="1" x="90"/>
        <item m="1" x="96"/>
        <item m="1" x="271"/>
        <item m="1" x="301"/>
        <item m="1" x="347"/>
        <item m="1" x="114"/>
        <item m="1" x="292"/>
        <item m="1" x="230"/>
        <item m="1" x="108"/>
        <item m="1" x="242"/>
        <item m="1" x="317"/>
        <item m="1" x="247"/>
        <item m="1" x="206"/>
        <item m="1" x="144"/>
        <item m="1" x="342"/>
        <item m="1" x="156"/>
        <item m="1" x="325"/>
        <item m="1" x="288"/>
        <item m="1" x="202"/>
        <item m="1" x="275"/>
        <item m="1" x="146"/>
        <item m="1" x="160"/>
        <item m="1" x="326"/>
        <item m="1" x="36"/>
        <item m="1" x="46"/>
        <item m="1" x="278"/>
        <item m="1" x="250"/>
        <item m="1" x="307"/>
        <item m="1" x="32"/>
        <item m="1" x="50"/>
        <item m="1" x="71"/>
        <item m="1" x="152"/>
        <item m="1" x="201"/>
        <item m="1" x="279"/>
        <item m="1" x="168"/>
        <item m="1" x="87"/>
        <item m="1" x="13"/>
        <item m="1" x="240"/>
        <item m="1" x="280"/>
        <item m="1" x="162"/>
        <item m="1" x="169"/>
        <item m="1" x="91"/>
        <item m="1" x="132"/>
        <item m="1" x="70"/>
        <item m="1" x="161"/>
        <item m="1" x="324"/>
        <item m="1" x="193"/>
        <item m="1" x="25"/>
        <item m="1" x="309"/>
        <item m="1" x="159"/>
        <item m="1" x="115"/>
        <item m="1" x="77"/>
        <item m="1" x="235"/>
        <item m="1" x="310"/>
        <item m="1" x="92"/>
        <item m="1" x="153"/>
        <item m="1" x="43"/>
        <item m="1" x="158"/>
        <item m="1" x="239"/>
        <item m="1" x="274"/>
        <item m="1" x="345"/>
        <item m="1" x="122"/>
        <item m="1" x="232"/>
        <item m="1" x="47"/>
        <item m="1" x="314"/>
        <item m="1" x="290"/>
        <item m="1" x="167"/>
        <item m="1" x="60"/>
        <item m="1" x="100"/>
        <item m="1" x="289"/>
        <item m="1" x="209"/>
        <item m="1" x="141"/>
        <item m="1" x="293"/>
        <item m="1" x="85"/>
        <item m="1" x="42"/>
        <item m="1" x="208"/>
        <item m="1" x="53"/>
        <item m="1" x="319"/>
        <item m="1" x="297"/>
        <item m="1" x="165"/>
        <item m="1" x="344"/>
        <item m="1" x="313"/>
        <item m="1" x="308"/>
        <item m="1" x="251"/>
        <item m="1" x="126"/>
        <item m="1" x="130"/>
        <item m="1" x="343"/>
        <item m="1" x="224"/>
        <item m="1" x="348"/>
        <item m="1" x="331"/>
        <item m="1" x="216"/>
        <item m="1" x="323"/>
        <item m="1" x="20"/>
        <item m="1" x="49"/>
        <item m="1" x="302"/>
        <item m="1" x="31"/>
        <item m="1" x="103"/>
        <item m="1" x="140"/>
        <item m="1" x="243"/>
        <item m="1" x="217"/>
        <item m="1" x="173"/>
        <item m="1" x="15"/>
        <item m="1" x="270"/>
        <item m="1" x="199"/>
        <item m="1" x="121"/>
        <item m="1" x="294"/>
        <item m="1" x="109"/>
        <item m="1" x="99"/>
        <item m="1" x="234"/>
        <item m="1" x="238"/>
        <item m="1" x="266"/>
        <item m="1" x="340"/>
        <item m="1" x="54"/>
        <item m="1" x="249"/>
        <item m="1" x="241"/>
        <item m="1" x="86"/>
        <item m="1" x="186"/>
        <item m="1" x="131"/>
        <item m="1" x="133"/>
        <item m="1" x="257"/>
        <item m="1" x="41"/>
        <item m="1" x="265"/>
        <item m="1" x="259"/>
        <item m="1" x="237"/>
        <item m="1" x="74"/>
        <item m="1" x="287"/>
        <item m="1" x="338"/>
        <item m="1" x="181"/>
        <item m="1" x="30"/>
        <item m="1" x="231"/>
        <item m="1" x="76"/>
        <item m="1" x="264"/>
        <item m="1" x="273"/>
        <item m="1" x="98"/>
        <item m="1" x="64"/>
        <item m="1" x="248"/>
        <item m="1" x="256"/>
        <item m="1" x="151"/>
        <item m="1" x="157"/>
        <item m="1" x="197"/>
        <item m="1" x="225"/>
        <item m="1" x="97"/>
        <item m="1" x="185"/>
        <item m="1" x="14"/>
        <item m="1" x="37"/>
        <item m="1" x="73"/>
        <item m="1" x="172"/>
        <item m="1" x="63"/>
        <item m="1" x="207"/>
        <item m="1" x="335"/>
        <item m="1" x="198"/>
        <item m="1" x="306"/>
        <item m="1" x="139"/>
        <item m="1" x="322"/>
        <item m="1" x="184"/>
        <item m="1" x="318"/>
        <item m="1" x="321"/>
        <item m="1" x="183"/>
        <item m="1" x="12"/>
        <item m="1" x="75"/>
        <item m="1" x="40"/>
        <item m="1" x="145"/>
        <item m="1" x="182"/>
        <item m="1" x="229"/>
        <item m="1" x="277"/>
        <item m="1" x="223"/>
        <item m="1" x="330"/>
        <item m="1" x="24"/>
        <item m="1" x="72"/>
        <item m="1" x="176"/>
        <item m="1" x="276"/>
        <item m="1" x="56"/>
        <item m="1" x="61"/>
        <item m="1" x="163"/>
        <item m="1" x="27"/>
        <item m="1" x="101"/>
        <item m="1" x="44"/>
        <item m="1" x="78"/>
        <item m="1" x="51"/>
        <item m="1" x="65"/>
        <item m="1" x="200"/>
        <item m="1" x="191"/>
        <item m="1" x="166"/>
        <item m="1" x="268"/>
        <item m="1" x="26"/>
        <item m="1" x="194"/>
        <item m="1" x="210"/>
        <item m="1" x="311"/>
        <item m="1" x="110"/>
        <item m="1" x="111"/>
        <item m="1" x="203"/>
        <item m="1" x="66"/>
        <item m="1" x="104"/>
        <item m="1" x="16"/>
        <item m="1" x="244"/>
        <item m="1" x="267"/>
        <item m="1" x="261"/>
        <item m="1" x="341"/>
        <item m="1" x="339"/>
        <item m="1" x="79"/>
        <item m="1" x="187"/>
        <item m="1" x="214"/>
        <item m="1" x="254"/>
        <item m="1" x="228"/>
        <item m="1" x="143"/>
        <item m="1" x="39"/>
        <item n="GCA (500:1)" x="0"/>
        <item n="NGCA (500:1)" x="1"/>
        <item x="4"/>
        <item x="3"/>
        <item x="7"/>
        <item x="9"/>
        <item x="8"/>
        <item x="10"/>
        <item x="11"/>
        <item x="5"/>
        <item x="6"/>
        <item t="default"/>
      </items>
    </pivotField>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117"/>
  </rowFields>
  <rowItems count="2">
    <i>
      <x v="339"/>
    </i>
    <i>
      <x v="340"/>
    </i>
  </rowItems>
  <colFields count="1">
    <field x="-2"/>
  </colFields>
  <colItems count="2">
    <i>
      <x/>
    </i>
    <i i="1">
      <x v="1"/>
    </i>
  </colItems>
  <pageFields count="4">
    <pageField fld="0" hier="-1"/>
    <pageField fld="4" hier="-1"/>
    <pageField fld="121" item="0" hier="-1"/>
    <pageField fld="6" hier="-1"/>
  </pageFields>
  <dataFields count="2">
    <dataField name="Coverage" fld="84" baseField="80" baseItem="1" numFmtId="1"/>
    <dataField name="Gap" fld="87" baseField="80" baseItem="1" numFmtId="1"/>
  </dataFields>
  <formats count="18">
    <format dxfId="794">
      <pivotArea type="all" dataOnly="0" outline="0" fieldPosition="0"/>
    </format>
    <format dxfId="793">
      <pivotArea outline="0" collapsedLevelsAreSubtotals="1" fieldPosition="0"/>
    </format>
    <format dxfId="792">
      <pivotArea field="117" type="button" dataOnly="0" labelOnly="1" outline="0" axis="axisRow" fieldPosition="0"/>
    </format>
    <format dxfId="791">
      <pivotArea dataOnly="0" labelOnly="1" fieldPosition="0">
        <references count="1">
          <reference field="117" count="0"/>
        </references>
      </pivotArea>
    </format>
    <format dxfId="790">
      <pivotArea type="all" dataOnly="0" outline="0" fieldPosition="0"/>
    </format>
    <format dxfId="789">
      <pivotArea field="117" type="button" dataOnly="0" labelOnly="1" outline="0" axis="axisRow" fieldPosition="0"/>
    </format>
    <format dxfId="788">
      <pivotArea dataOnly="0" labelOnly="1" fieldPosition="0">
        <references count="1">
          <reference field="117" count="0"/>
        </references>
      </pivotArea>
    </format>
    <format dxfId="787">
      <pivotArea field="117" type="button" dataOnly="0" labelOnly="1" outline="0" axis="axisRow" fieldPosition="0"/>
    </format>
    <format dxfId="786">
      <pivotArea dataOnly="0" labelOnly="1" outline="0" fieldPosition="0">
        <references count="1">
          <reference field="4294967294" count="2">
            <x v="0"/>
            <x v="1"/>
          </reference>
        </references>
      </pivotArea>
    </format>
    <format dxfId="785">
      <pivotArea outline="0" fieldPosition="0">
        <references count="1">
          <reference field="4294967294" count="1">
            <x v="0"/>
          </reference>
        </references>
      </pivotArea>
    </format>
    <format dxfId="784">
      <pivotArea outline="0" fieldPosition="0">
        <references count="1">
          <reference field="4294967294" count="1">
            <x v="1"/>
          </reference>
        </references>
      </pivotArea>
    </format>
    <format dxfId="783">
      <pivotArea type="all" dataOnly="0" outline="0" fieldPosition="0"/>
    </format>
    <format dxfId="782">
      <pivotArea outline="0" collapsedLevelsAreSubtotals="1" fieldPosition="0"/>
    </format>
    <format dxfId="781">
      <pivotArea field="117" type="button" dataOnly="0" labelOnly="1" outline="0" axis="axisRow" fieldPosition="0"/>
    </format>
    <format dxfId="780">
      <pivotArea dataOnly="0" labelOnly="1" fieldPosition="0">
        <references count="1">
          <reference field="117" count="2">
            <x v="339"/>
            <x v="340"/>
          </reference>
        </references>
      </pivotArea>
    </format>
    <format dxfId="779">
      <pivotArea dataOnly="0" labelOnly="1" outline="0" fieldPosition="0">
        <references count="1">
          <reference field="4294967294" count="2">
            <x v="0"/>
            <x v="1"/>
          </reference>
        </references>
      </pivotArea>
    </format>
    <format dxfId="778">
      <pivotArea field="4" type="button" dataOnly="0" labelOnly="1" outline="0" axis="axisPage" fieldPosition="1"/>
    </format>
    <format dxfId="777">
      <pivotArea dataOnly="0" labelOnly="1" outline="0" fieldPosition="0">
        <references count="2">
          <reference field="4" count="0"/>
          <reference field="121" count="1" selected="0">
            <x v="0"/>
          </reference>
        </references>
      </pivotArea>
    </format>
  </formats>
  <chartFormats count="6">
    <chartFormat chart="5" format="0"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1"/>
          </reference>
        </references>
      </pivotArea>
    </chartFormat>
    <chartFormat chart="16" format="5" series="1">
      <pivotArea type="data" outline="0" fieldPosition="0">
        <references count="1">
          <reference field="4294967294" count="1" selected="0">
            <x v="0"/>
          </reference>
        </references>
      </pivotArea>
    </chartFormat>
    <chartFormat chart="16" format="6" series="1">
      <pivotArea type="data" outline="0" fieldPosition="0">
        <references count="1">
          <reference field="4294967294" count="1" selected="0">
            <x v="1"/>
          </reference>
        </references>
      </pivotArea>
    </chartFormat>
    <chartFormat chart="18" format="9" series="1">
      <pivotArea type="data" outline="0" fieldPosition="0">
        <references count="1">
          <reference field="4294967294" count="1" selected="0">
            <x v="0"/>
          </reference>
        </references>
      </pivotArea>
    </chartFormat>
    <chartFormat chart="18" format="10" series="1">
      <pivotArea type="data" outline="0" fieldPosition="0">
        <references count="1">
          <reference field="4294967294"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4.xml><?xml version="1.0" encoding="utf-8"?>
<pivotTableDefinition xmlns="http://schemas.openxmlformats.org/spreadsheetml/2006/main" xmlns:mc="http://schemas.openxmlformats.org/markup-compatibility/2006" xmlns:xr="http://schemas.microsoft.com/office/spreadsheetml/2014/revision" mc:Ignorable="xr" xr:uid="{00000000-0007-0000-0800-000020000000}" name="W_K_C_G_C"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32" rowHeaderCaption="State" colHeaderCaption=" ">
  <location ref="B92:D104" firstHeaderRow="0" firstDataRow="1" firstDataCol="1" rowPageCount="4" colPageCount="1"/>
  <pivotFields count="131">
    <pivotField axis="axisPage" subtotalTop="0" multipleItemSelectionAllowed="1" showAll="0">
      <items count="12">
        <item m="1" x="9"/>
        <item m="1" x="3"/>
        <item h="1" m="1" x="4"/>
        <item h="1" m="1" x="1"/>
        <item m="1" x="10"/>
        <item m="1" x="2"/>
        <item h="1" m="1" x="8"/>
        <item h="1" m="1" x="5"/>
        <item h="1" m="1" x="6"/>
        <item m="1" x="7"/>
        <item x="0"/>
        <item t="default"/>
      </items>
    </pivotField>
    <pivotField showAll="0" defaultSubtotal="0"/>
    <pivotField showAll="0" defaultSubtotal="0"/>
    <pivotField subtotalTop="0" showAll="0"/>
    <pivotField axis="axisPage" subtotalTop="0" showAll="0">
      <items count="7">
        <item x="0"/>
        <item m="1" x="5"/>
        <item x="3"/>
        <item m="1" x="4"/>
        <item x="1"/>
        <item x="2"/>
        <item t="default"/>
      </items>
    </pivotField>
    <pivotField axis="axisRow" subtotalTop="0" showAll="0">
      <items count="42">
        <item m="1" x="36"/>
        <item x="0"/>
        <item x="14"/>
        <item x="5"/>
        <item x="6"/>
        <item x="30"/>
        <item x="27"/>
        <item x="24"/>
        <item x="17"/>
        <item x="16"/>
        <item m="1" x="35"/>
        <item m="1" x="39"/>
        <item x="9"/>
        <item x="28"/>
        <item x="15"/>
        <item x="19"/>
        <item x="7"/>
        <item x="8"/>
        <item x="1"/>
        <item x="22"/>
        <item x="25"/>
        <item x="20"/>
        <item x="3"/>
        <item m="1" x="37"/>
        <item x="29"/>
        <item x="26"/>
        <item m="1" x="34"/>
        <item x="13"/>
        <item x="23"/>
        <item x="10"/>
        <item m="1" x="40"/>
        <item x="21"/>
        <item x="4"/>
        <item x="18"/>
        <item x="11"/>
        <item x="12"/>
        <item x="2"/>
        <item m="1" x="32"/>
        <item m="1" x="33"/>
        <item m="1" x="31"/>
        <item m="1" x="38"/>
        <item t="default"/>
      </items>
    </pivotField>
    <pivotField axis="axisPage" multipleItemSelectionAllowed="1" showAll="0" defaultSubtotal="0">
      <items count="10">
        <item x="1"/>
        <item x="0"/>
        <item m="1" x="9"/>
        <item h="1" x="3"/>
        <item m="1" x="6"/>
        <item m="1" x="5"/>
        <item h="1" x="2"/>
        <item m="1" x="8"/>
        <item h="1" x="4"/>
        <item m="1" x="7"/>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s>
  <rowFields count="1">
    <field x="5"/>
  </rowFields>
  <rowItems count="12">
    <i>
      <x v="1"/>
    </i>
    <i>
      <x v="3"/>
    </i>
    <i>
      <x v="4"/>
    </i>
    <i>
      <x v="12"/>
    </i>
    <i>
      <x v="16"/>
    </i>
    <i>
      <x v="17"/>
    </i>
    <i>
      <x v="18"/>
    </i>
    <i>
      <x v="22"/>
    </i>
    <i>
      <x v="29"/>
    </i>
    <i>
      <x v="32"/>
    </i>
    <i>
      <x v="34"/>
    </i>
    <i>
      <x v="36"/>
    </i>
  </rowItems>
  <colFields count="1">
    <field x="-2"/>
  </colFields>
  <colItems count="2">
    <i>
      <x/>
    </i>
    <i i="1">
      <x v="1"/>
    </i>
  </colItems>
  <pageFields count="4">
    <pageField fld="0" hier="-1"/>
    <pageField fld="121" item="0" hier="-1"/>
    <pageField fld="4" item="0" hier="-1"/>
    <pageField fld="6" hier="-1"/>
  </pageFields>
  <dataFields count="2">
    <dataField name=" % Water Coverage" fld="127" baseField="0" baseItem="0"/>
    <dataField name=" % Water GAP" fld="128" baseField="0" baseItem="0"/>
  </dataFields>
  <formats count="10">
    <format dxfId="804">
      <pivotArea field="4" type="button" dataOnly="0" labelOnly="1" outline="0" axis="axisPage" fieldPosition="2"/>
    </format>
    <format dxfId="803">
      <pivotArea type="all" dataOnly="0" outline="0" fieldPosition="0"/>
    </format>
    <format dxfId="802">
      <pivotArea outline="0" collapsedLevelsAreSubtotals="1" fieldPosition="0"/>
    </format>
    <format dxfId="801">
      <pivotArea field="4" type="button" dataOnly="0" labelOnly="1" outline="0" axis="axisPage" fieldPosition="2"/>
    </format>
    <format dxfId="800">
      <pivotArea type="all" dataOnly="0" outline="0" fieldPosition="0"/>
    </format>
    <format dxfId="799">
      <pivotArea outline="0" collapsedLevelsAreSubtotals="1" fieldPosition="0"/>
    </format>
    <format dxfId="798">
      <pivotArea outline="0" collapsedLevelsAreSubtotals="1" fieldPosition="0"/>
    </format>
    <format dxfId="797">
      <pivotArea field="5" type="button" dataOnly="0" labelOnly="1" outline="0" axis="axisRow" fieldPosition="0"/>
    </format>
    <format dxfId="796">
      <pivotArea field="5" type="button" dataOnly="0" labelOnly="1" outline="0" axis="axisRow" fieldPosition="0"/>
    </format>
    <format dxfId="795">
      <pivotArea field="5" type="button" dataOnly="0" labelOnly="1" outline="0" axis="axisRow" fieldPosition="0"/>
    </format>
  </formats>
  <chartFormats count="2">
    <chartFormat chart="28" format="6" series="1">
      <pivotArea type="data" outline="0" fieldPosition="0">
        <references count="1">
          <reference field="4294967294" count="1" selected="0">
            <x v="0"/>
          </reference>
        </references>
      </pivotArea>
    </chartFormat>
    <chartFormat chart="28" format="7" series="1">
      <pivotArea type="data" outline="0" fieldPosition="0">
        <references count="1">
          <reference field="4294967294" count="1" selected="0">
            <x v="1"/>
          </reference>
        </references>
      </pivotArea>
    </chartFormat>
  </chart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5.xml><?xml version="1.0" encoding="utf-8"?>
<pivotTableDefinition xmlns="http://schemas.openxmlformats.org/spreadsheetml/2006/main" xmlns:mc="http://schemas.openxmlformats.org/markup-compatibility/2006" xmlns:xr="http://schemas.microsoft.com/office/spreadsheetml/2014/revision" mc:Ignorable="xr" xr:uid="{00000000-0007-0000-0800-00001B000000}" name="S_H_CG_C"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57" rowHeaderCaption="State" colHeaderCaption=" ">
  <location ref="K285:M291" firstHeaderRow="0" firstDataRow="1" firstDataCol="1" rowPageCount="4" colPageCount="1"/>
  <pivotFields count="131">
    <pivotField axis="axisPage" subtotalTop="0" multipleItemSelectionAllowed="1" showAll="0">
      <items count="12">
        <item m="1" x="9"/>
        <item m="1" x="3"/>
        <item h="1" m="1" x="4"/>
        <item h="1" m="1" x="1"/>
        <item m="1" x="10"/>
        <item m="1" x="2"/>
        <item h="1" m="1" x="8"/>
        <item h="1" m="1" x="5"/>
        <item h="1" m="1" x="6"/>
        <item m="1" x="7"/>
        <item x="0"/>
        <item t="default"/>
      </items>
    </pivotField>
    <pivotField showAll="0" defaultSubtotal="0"/>
    <pivotField showAll="0" defaultSubtotal="0"/>
    <pivotField subtotalTop="0" showAll="0"/>
    <pivotField axis="axisPage" subtotalTop="0" multipleItemSelectionAllowed="1" showAll="0">
      <items count="7">
        <item h="1" x="0"/>
        <item m="1" x="5"/>
        <item x="3"/>
        <item m="1" x="4"/>
        <item h="1" x="1"/>
        <item h="1" x="2"/>
        <item t="default"/>
      </items>
    </pivotField>
    <pivotField axis="axisRow" subtotalTop="0" showAll="0">
      <items count="42">
        <item m="1" x="36"/>
        <item x="0"/>
        <item x="14"/>
        <item x="5"/>
        <item x="6"/>
        <item x="30"/>
        <item x="27"/>
        <item x="24"/>
        <item x="17"/>
        <item x="16"/>
        <item m="1" x="35"/>
        <item m="1" x="39"/>
        <item x="9"/>
        <item x="28"/>
        <item x="15"/>
        <item x="19"/>
        <item x="7"/>
        <item x="8"/>
        <item x="1"/>
        <item x="22"/>
        <item x="25"/>
        <item x="20"/>
        <item x="3"/>
        <item m="1" x="37"/>
        <item x="29"/>
        <item x="26"/>
        <item m="1" x="34"/>
        <item x="13"/>
        <item x="23"/>
        <item x="10"/>
        <item m="1" x="40"/>
        <item x="21"/>
        <item x="4"/>
        <item x="18"/>
        <item x="11"/>
        <item x="12"/>
        <item x="2"/>
        <item m="1" x="32"/>
        <item m="1" x="33"/>
        <item m="1" x="31"/>
        <item m="1" x="38"/>
        <item t="default"/>
      </items>
    </pivotField>
    <pivotField axis="axisPage" multipleItemSelectionAllowed="1" showAll="0" defaultSubtotal="0">
      <items count="10">
        <item x="1"/>
        <item x="0"/>
        <item m="1" x="9"/>
        <item h="1" x="3"/>
        <item m="1" x="6"/>
        <item m="1" x="5"/>
        <item h="1" x="2"/>
        <item m="1" x="8"/>
        <item h="1" x="4"/>
        <item m="1" x="7"/>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6">
    <i>
      <x v="5"/>
    </i>
    <i>
      <x v="7"/>
    </i>
    <i>
      <x v="13"/>
    </i>
    <i>
      <x v="20"/>
    </i>
    <i>
      <x v="24"/>
    </i>
    <i>
      <x v="25"/>
    </i>
  </rowItems>
  <colFields count="1">
    <field x="-2"/>
  </colFields>
  <colItems count="2">
    <i>
      <x/>
    </i>
    <i i="1">
      <x v="1"/>
    </i>
  </colItems>
  <pageFields count="4">
    <pageField fld="0" hier="-1"/>
    <pageField fld="121" item="0" hier="-1"/>
    <pageField fld="4" hier="-1"/>
    <pageField fld="6" hier="-1"/>
  </pageFields>
  <dataFields count="2">
    <dataField name="  % Hygiene Coverage" fld="126" baseField="0" baseItem="0" numFmtId="1"/>
    <dataField name="  % Hygiene Gap" fld="125" baseField="0" baseItem="0" numFmtId="1"/>
  </dataFields>
  <formats count="11">
    <format dxfId="815">
      <pivotArea type="all" dataOnly="0" outline="0" fieldPosition="0"/>
    </format>
    <format dxfId="814">
      <pivotArea outline="0" collapsedLevelsAreSubtotals="1" fieldPosition="0"/>
    </format>
    <format dxfId="813">
      <pivotArea field="4" type="button" dataOnly="0" labelOnly="1" outline="0" axis="axisPage" fieldPosition="2"/>
    </format>
    <format dxfId="812">
      <pivotArea type="all" dataOnly="0" outline="0" fieldPosition="0"/>
    </format>
    <format dxfId="811">
      <pivotArea outline="0" collapsedLevelsAreSubtotals="1" fieldPosition="0"/>
    </format>
    <format dxfId="810">
      <pivotArea outline="0" collapsedLevelsAreSubtotals="1" fieldPosition="0"/>
    </format>
    <format dxfId="809">
      <pivotArea field="5" type="button" dataOnly="0" labelOnly="1" outline="0" axis="axisRow" fieldPosition="0"/>
    </format>
    <format dxfId="808">
      <pivotArea field="5" type="button" dataOnly="0" labelOnly="1" outline="0" axis="axisRow" fieldPosition="0"/>
    </format>
    <format dxfId="807">
      <pivotArea field="5" type="button" dataOnly="0" labelOnly="1" outline="0" axis="axisRow" fieldPosition="0"/>
    </format>
    <format dxfId="806">
      <pivotArea field="4" type="button" dataOnly="0" labelOnly="1" outline="0" axis="axisPage" fieldPosition="2"/>
    </format>
    <format dxfId="805">
      <pivotArea dataOnly="0" labelOnly="1" outline="0" fieldPosition="0">
        <references count="2">
          <reference field="4" count="0"/>
          <reference field="121" count="1" selected="0">
            <x v="0"/>
          </reference>
        </references>
      </pivotArea>
    </format>
  </formats>
  <chartFormats count="2">
    <chartFormat chart="54" format="2" series="1">
      <pivotArea type="data" outline="0" fieldPosition="0">
        <references count="1">
          <reference field="4294967294" count="1" selected="0">
            <x v="0"/>
          </reference>
        </references>
      </pivotArea>
    </chartFormat>
    <chartFormat chart="54" format="3"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6.xml><?xml version="1.0" encoding="utf-8"?>
<pivotTableDefinition xmlns="http://schemas.openxmlformats.org/spreadsheetml/2006/main" xmlns:mc="http://schemas.openxmlformats.org/markup-compatibility/2006" xmlns:xr="http://schemas.microsoft.com/office/spreadsheetml/2014/revision" mc:Ignorable="xr" xr:uid="{00000000-0007-0000-0800-00001F000000}" name="S_water1"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39">
  <location ref="P50:R51" firstHeaderRow="0" firstDataRow="1" firstDataCol="1" rowPageCount="4" colPageCount="1"/>
  <pivotFields count="131">
    <pivotField axis="axisPage" subtotalTop="0" multipleItemSelectionAllowed="1" showAll="0">
      <items count="12">
        <item m="1" x="9"/>
        <item m="1" x="3"/>
        <item h="1" m="1" x="4"/>
        <item h="1" m="1" x="1"/>
        <item m="1" x="10"/>
        <item m="1" x="2"/>
        <item h="1" m="1" x="8"/>
        <item h="1" m="1" x="5"/>
        <item h="1" m="1" x="6"/>
        <item m="1" x="7"/>
        <item x="0"/>
        <item t="default"/>
      </items>
    </pivotField>
    <pivotField showAll="0" defaultSubtotal="0"/>
    <pivotField showAll="0" defaultSubtotal="0"/>
    <pivotField subtotalTop="0" showAll="0"/>
    <pivotField axis="axisPage" subtotalTop="0" multipleItemSelectionAllowed="1" showAll="0">
      <items count="7">
        <item h="1" x="0"/>
        <item m="1" x="5"/>
        <item x="3"/>
        <item m="1" x="4"/>
        <item h="1" x="1"/>
        <item h="1" x="2"/>
        <item t="default"/>
      </items>
    </pivotField>
    <pivotField subtotalTop="0" showAll="0"/>
    <pivotField axis="axisPage" multipleItemSelectionAllowed="1" showAll="0" defaultSubtotal="0">
      <items count="10">
        <item x="1"/>
        <item x="0"/>
        <item m="1" x="9"/>
        <item m="1" x="6"/>
        <item h="1" m="1" x="5"/>
        <item h="1" x="2"/>
        <item h="1" m="1" x="8"/>
        <item h="1" x="4"/>
        <item m="1" x="7"/>
        <item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dataField="1" subtotalTop="0" showAll="0"/>
    <pivotField numFmtId="9" subtotalTop="0" showAll="0"/>
    <pivotField showAll="0" defaultSubtotal="0"/>
    <pivotField dataField="1"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axis="axisRow" subtotalTop="0" showAll="0">
      <items count="351">
        <item x="2"/>
        <item m="1" x="195"/>
        <item m="1" x="218"/>
        <item m="1" x="349"/>
        <item m="1" x="299"/>
        <item m="1" x="189"/>
        <item m="1" x="177"/>
        <item m="1" x="136"/>
        <item m="1" x="298"/>
        <item m="1" x="135"/>
        <item m="1" x="22"/>
        <item m="1" x="283"/>
        <item m="1" x="33"/>
        <item m="1" x="128"/>
        <item m="1" x="312"/>
        <item m="1" x="106"/>
        <item m="1" x="284"/>
        <item m="1" x="305"/>
        <item m="1" x="113"/>
        <item m="1" x="227"/>
        <item m="1" x="89"/>
        <item m="1" x="127"/>
        <item m="1" x="29"/>
        <item m="1" x="213"/>
        <item m="1" x="123"/>
        <item m="1" x="147"/>
        <item m="1" x="34"/>
        <item m="1" x="174"/>
        <item m="1" x="221"/>
        <item m="1" x="155"/>
        <item m="1" x="233"/>
        <item m="1" x="180"/>
        <item m="1" x="116"/>
        <item m="1" x="35"/>
        <item m="1" x="154"/>
        <item m="1" x="59"/>
        <item m="1" x="272"/>
        <item m="1" x="253"/>
        <item m="1" x="222"/>
        <item m="1" x="68"/>
        <item m="1" x="117"/>
        <item m="1" x="137"/>
        <item m="1" x="281"/>
        <item m="1" x="333"/>
        <item m="1" x="124"/>
        <item m="1" x="67"/>
        <item m="1" x="81"/>
        <item m="1" x="179"/>
        <item m="1" x="316"/>
        <item m="1" x="346"/>
        <item m="1" x="282"/>
        <item m="1" x="57"/>
        <item m="1" x="303"/>
        <item m="1" x="52"/>
        <item m="1" x="69"/>
        <item m="1" x="226"/>
        <item m="1" x="219"/>
        <item m="1" x="58"/>
        <item m="1" x="95"/>
        <item m="1" x="138"/>
        <item m="1" x="246"/>
        <item m="1" x="262"/>
        <item m="1" x="125"/>
        <item m="1" x="93"/>
        <item m="1" x="220"/>
        <item m="1" x="45"/>
        <item m="1" x="55"/>
        <item m="1" x="260"/>
        <item m="1" x="327"/>
        <item m="1" x="80"/>
        <item m="1" x="332"/>
        <item m="1" x="142"/>
        <item m="1" x="82"/>
        <item m="1" x="17"/>
        <item m="1" x="102"/>
        <item m="1" x="236"/>
        <item m="1" x="164"/>
        <item m="1" x="120"/>
        <item m="1" x="304"/>
        <item m="1" x="204"/>
        <item m="1" x="188"/>
        <item m="1" x="119"/>
        <item m="1" x="336"/>
        <item m="1" x="255"/>
        <item m="1" x="211"/>
        <item m="1" x="18"/>
        <item m="1" x="112"/>
        <item m="1" x="286"/>
        <item m="1" x="48"/>
        <item m="1" x="263"/>
        <item m="1" x="315"/>
        <item m="1" x="258"/>
        <item m="1" x="38"/>
        <item m="1" x="94"/>
        <item m="1" x="296"/>
        <item m="1" x="190"/>
        <item m="1" x="328"/>
        <item m="1" x="28"/>
        <item m="1" x="269"/>
        <item m="1" x="134"/>
        <item m="1" x="320"/>
        <item m="1" x="83"/>
        <item m="1" x="245"/>
        <item m="1" x="329"/>
        <item m="1" x="196"/>
        <item m="1" x="205"/>
        <item m="1" x="107"/>
        <item m="1" x="129"/>
        <item m="1" x="105"/>
        <item m="1" x="21"/>
        <item m="1" x="88"/>
        <item m="1" x="285"/>
        <item m="1" x="192"/>
        <item m="1" x="171"/>
        <item m="1" x="300"/>
        <item m="1" x="23"/>
        <item m="1" x="118"/>
        <item m="1" x="178"/>
        <item m="1" x="170"/>
        <item m="1" x="252"/>
        <item m="1" x="295"/>
        <item m="1" x="212"/>
        <item m="1" x="148"/>
        <item m="1" x="84"/>
        <item m="1" x="215"/>
        <item m="1" x="19"/>
        <item m="1" x="291"/>
        <item m="1" x="334"/>
        <item m="1" x="149"/>
        <item m="1" x="150"/>
        <item m="1" x="175"/>
        <item m="1" x="337"/>
        <item m="1" x="62"/>
        <item m="1" x="90"/>
        <item m="1" x="96"/>
        <item m="1" x="271"/>
        <item m="1" x="301"/>
        <item m="1" x="347"/>
        <item m="1" x="114"/>
        <item m="1" x="292"/>
        <item m="1" x="230"/>
        <item m="1" x="108"/>
        <item m="1" x="242"/>
        <item m="1" x="317"/>
        <item m="1" x="247"/>
        <item m="1" x="206"/>
        <item m="1" x="144"/>
        <item m="1" x="342"/>
        <item m="1" x="156"/>
        <item m="1" x="325"/>
        <item m="1" x="288"/>
        <item m="1" x="202"/>
        <item m="1" x="275"/>
        <item m="1" x="146"/>
        <item m="1" x="160"/>
        <item m="1" x="326"/>
        <item m="1" x="36"/>
        <item m="1" x="46"/>
        <item m="1" x="278"/>
        <item m="1" x="250"/>
        <item m="1" x="307"/>
        <item m="1" x="32"/>
        <item m="1" x="50"/>
        <item m="1" x="71"/>
        <item m="1" x="152"/>
        <item m="1" x="201"/>
        <item m="1" x="279"/>
        <item m="1" x="168"/>
        <item m="1" x="87"/>
        <item m="1" x="13"/>
        <item m="1" x="240"/>
        <item m="1" x="280"/>
        <item m="1" x="162"/>
        <item m="1" x="169"/>
        <item m="1" x="91"/>
        <item m="1" x="132"/>
        <item m="1" x="70"/>
        <item m="1" x="161"/>
        <item m="1" x="324"/>
        <item m="1" x="193"/>
        <item m="1" x="25"/>
        <item m="1" x="309"/>
        <item m="1" x="159"/>
        <item m="1" x="115"/>
        <item m="1" x="77"/>
        <item m="1" x="235"/>
        <item m="1" x="310"/>
        <item m="1" x="92"/>
        <item m="1" x="153"/>
        <item m="1" x="43"/>
        <item m="1" x="158"/>
        <item m="1" x="239"/>
        <item m="1" x="274"/>
        <item m="1" x="345"/>
        <item m="1" x="122"/>
        <item m="1" x="232"/>
        <item m="1" x="47"/>
        <item m="1" x="314"/>
        <item m="1" x="290"/>
        <item m="1" x="167"/>
        <item m="1" x="60"/>
        <item m="1" x="100"/>
        <item m="1" x="289"/>
        <item m="1" x="209"/>
        <item m="1" x="141"/>
        <item m="1" x="293"/>
        <item m="1" x="85"/>
        <item m="1" x="42"/>
        <item m="1" x="208"/>
        <item m="1" x="53"/>
        <item m="1" x="319"/>
        <item m="1" x="297"/>
        <item m="1" x="165"/>
        <item m="1" x="344"/>
        <item m="1" x="313"/>
        <item m="1" x="308"/>
        <item m="1" x="251"/>
        <item m="1" x="126"/>
        <item m="1" x="130"/>
        <item m="1" x="343"/>
        <item m="1" x="224"/>
        <item m="1" x="348"/>
        <item m="1" x="331"/>
        <item m="1" x="216"/>
        <item m="1" x="323"/>
        <item m="1" x="20"/>
        <item m="1" x="49"/>
        <item m="1" x="302"/>
        <item m="1" x="31"/>
        <item m="1" x="103"/>
        <item m="1" x="140"/>
        <item m="1" x="243"/>
        <item m="1" x="217"/>
        <item m="1" x="173"/>
        <item m="1" x="15"/>
        <item m="1" x="270"/>
        <item m="1" x="199"/>
        <item m="1" x="121"/>
        <item m="1" x="294"/>
        <item m="1" x="109"/>
        <item m="1" x="99"/>
        <item m="1" x="234"/>
        <item m="1" x="238"/>
        <item m="1" x="266"/>
        <item m="1" x="340"/>
        <item m="1" x="54"/>
        <item m="1" x="249"/>
        <item m="1" x="241"/>
        <item m="1" x="86"/>
        <item m="1" x="186"/>
        <item m="1" x="131"/>
        <item m="1" x="133"/>
        <item m="1" x="257"/>
        <item m="1" x="41"/>
        <item m="1" x="265"/>
        <item m="1" x="259"/>
        <item m="1" x="237"/>
        <item m="1" x="74"/>
        <item m="1" x="287"/>
        <item m="1" x="338"/>
        <item m="1" x="181"/>
        <item m="1" x="30"/>
        <item m="1" x="231"/>
        <item m="1" x="76"/>
        <item m="1" x="264"/>
        <item m="1" x="273"/>
        <item m="1" x="98"/>
        <item m="1" x="64"/>
        <item m="1" x="248"/>
        <item m="1" x="256"/>
        <item m="1" x="151"/>
        <item m="1" x="157"/>
        <item m="1" x="197"/>
        <item m="1" x="225"/>
        <item m="1" x="97"/>
        <item m="1" x="185"/>
        <item m="1" x="14"/>
        <item m="1" x="37"/>
        <item m="1" x="73"/>
        <item m="1" x="172"/>
        <item m="1" x="63"/>
        <item m="1" x="207"/>
        <item m="1" x="335"/>
        <item m="1" x="198"/>
        <item m="1" x="306"/>
        <item m="1" x="139"/>
        <item m="1" x="322"/>
        <item m="1" x="184"/>
        <item m="1" x="318"/>
        <item m="1" x="321"/>
        <item m="1" x="183"/>
        <item m="1" x="12"/>
        <item m="1" x="75"/>
        <item m="1" x="40"/>
        <item m="1" x="145"/>
        <item m="1" x="182"/>
        <item m="1" x="229"/>
        <item m="1" x="277"/>
        <item m="1" x="223"/>
        <item m="1" x="330"/>
        <item m="1" x="24"/>
        <item m="1" x="72"/>
        <item m="1" x="176"/>
        <item m="1" x="276"/>
        <item m="1" x="56"/>
        <item m="1" x="61"/>
        <item m="1" x="163"/>
        <item m="1" x="27"/>
        <item m="1" x="101"/>
        <item m="1" x="44"/>
        <item m="1" x="78"/>
        <item m="1" x="51"/>
        <item m="1" x="65"/>
        <item m="1" x="200"/>
        <item m="1" x="191"/>
        <item m="1" x="166"/>
        <item m="1" x="268"/>
        <item m="1" x="26"/>
        <item m="1" x="194"/>
        <item m="1" x="210"/>
        <item m="1" x="311"/>
        <item m="1" x="110"/>
        <item m="1" x="111"/>
        <item m="1" x="203"/>
        <item m="1" x="66"/>
        <item m="1" x="104"/>
        <item m="1" x="16"/>
        <item m="1" x="244"/>
        <item m="1" x="267"/>
        <item m="1" x="261"/>
        <item m="1" x="341"/>
        <item m="1" x="339"/>
        <item m="1" x="79"/>
        <item m="1" x="187"/>
        <item m="1" x="214"/>
        <item m="1" x="254"/>
        <item m="1" x="228"/>
        <item m="1" x="143"/>
        <item m="1" x="39"/>
        <item n="GCA (500:1)" x="0"/>
        <item n="NGCA (500:1)" x="1"/>
        <item x="4"/>
        <item x="3"/>
        <item x="7"/>
        <item x="9"/>
        <item x="8"/>
        <item x="10"/>
        <item x="11"/>
        <item x="5"/>
        <item x="6"/>
        <item t="default"/>
      </items>
    </pivotField>
    <pivotField subtotalTop="0" showAll="0"/>
    <pivotField subtotalTop="0" showAll="0"/>
    <pivotField subtotalTop="0" showAll="0"/>
    <pivotField axis="axisPage" subtotalTop="0" multipleItemSelectionAllowed="1" showAll="0">
      <items count="5">
        <item x="0"/>
        <item h="1"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117"/>
  </rowFields>
  <rowItems count="1">
    <i>
      <x v="339"/>
    </i>
  </rowItems>
  <colFields count="1">
    <field x="-2"/>
  </colFields>
  <colItems count="2">
    <i>
      <x/>
    </i>
    <i i="1">
      <x v="1"/>
    </i>
  </colItems>
  <pageFields count="4">
    <pageField fld="0" hier="-1"/>
    <pageField fld="4" hier="-1"/>
    <pageField fld="121" hier="-1"/>
    <pageField fld="6" hier="-1"/>
  </pageFields>
  <dataFields count="2">
    <dataField name="Coverage" fld="84" baseField="80" baseItem="1" numFmtId="1"/>
    <dataField name="Gap" fld="87" baseField="80" baseItem="1" numFmtId="1"/>
  </dataFields>
  <formats count="16">
    <format dxfId="831">
      <pivotArea type="all" dataOnly="0" outline="0" fieldPosition="0"/>
    </format>
    <format dxfId="830">
      <pivotArea outline="0" collapsedLevelsAreSubtotals="1" fieldPosition="0"/>
    </format>
    <format dxfId="829">
      <pivotArea field="117" type="button" dataOnly="0" labelOnly="1" outline="0" axis="axisRow" fieldPosition="0"/>
    </format>
    <format dxfId="828">
      <pivotArea type="all" dataOnly="0" outline="0" fieldPosition="0"/>
    </format>
    <format dxfId="827">
      <pivotArea field="117" type="button" dataOnly="0" labelOnly="1" outline="0" axis="axisRow" fieldPosition="0"/>
    </format>
    <format dxfId="826">
      <pivotArea field="117" type="button" dataOnly="0" labelOnly="1" outline="0" axis="axisRow" fieldPosition="0"/>
    </format>
    <format dxfId="825">
      <pivotArea dataOnly="0" labelOnly="1" outline="0" fieldPosition="0">
        <references count="1">
          <reference field="4294967294" count="2">
            <x v="0"/>
            <x v="1"/>
          </reference>
        </references>
      </pivotArea>
    </format>
    <format dxfId="824">
      <pivotArea outline="0" fieldPosition="0">
        <references count="1">
          <reference field="4294967294" count="1">
            <x v="0"/>
          </reference>
        </references>
      </pivotArea>
    </format>
    <format dxfId="823">
      <pivotArea outline="0" fieldPosition="0">
        <references count="1">
          <reference field="4294967294" count="1">
            <x v="1"/>
          </reference>
        </references>
      </pivotArea>
    </format>
    <format dxfId="822">
      <pivotArea type="all" dataOnly="0" outline="0" fieldPosition="0"/>
    </format>
    <format dxfId="821">
      <pivotArea outline="0" collapsedLevelsAreSubtotals="1" fieldPosition="0"/>
    </format>
    <format dxfId="820">
      <pivotArea field="117" type="button" dataOnly="0" labelOnly="1" outline="0" axis="axisRow" fieldPosition="0"/>
    </format>
    <format dxfId="819">
      <pivotArea dataOnly="0" labelOnly="1" fieldPosition="0">
        <references count="1">
          <reference field="117" count="2">
            <x v="339"/>
            <x v="340"/>
          </reference>
        </references>
      </pivotArea>
    </format>
    <format dxfId="818">
      <pivotArea dataOnly="0" labelOnly="1" outline="0" fieldPosition="0">
        <references count="1">
          <reference field="4294967294" count="2">
            <x v="0"/>
            <x v="1"/>
          </reference>
        </references>
      </pivotArea>
    </format>
    <format dxfId="817">
      <pivotArea field="4" type="button" dataOnly="0" labelOnly="1" outline="0" axis="axisPage" fieldPosition="1"/>
    </format>
    <format dxfId="816">
      <pivotArea dataOnly="0" labelOnly="1" outline="0" fieldPosition="0">
        <references count="1">
          <reference field="4" count="1">
            <x v="2"/>
          </reference>
        </references>
      </pivotArea>
    </format>
  </formats>
  <chartFormats count="4">
    <chartFormat chart="6" format="0" series="1">
      <pivotArea type="data" outline="0" fieldPosition="0">
        <references count="1">
          <reference field="4294967294" count="1" selected="0">
            <x v="0"/>
          </reference>
        </references>
      </pivotArea>
    </chartFormat>
    <chartFormat chart="6" format="1" series="1">
      <pivotArea type="data" outline="0" fieldPosition="0">
        <references count="1">
          <reference field="4294967294" count="1" selected="0">
            <x v="1"/>
          </reference>
        </references>
      </pivotArea>
    </chartFormat>
    <chartFormat chart="14" format="14" series="1">
      <pivotArea type="data" outline="0" fieldPosition="0">
        <references count="1">
          <reference field="4294967294" count="1" selected="0">
            <x v="0"/>
          </reference>
        </references>
      </pivotArea>
    </chartFormat>
    <chartFormat chart="14" format="15" series="1">
      <pivotArea type="data" outline="0" fieldPosition="0">
        <references count="1">
          <reference field="4294967294"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7.xml><?xml version="1.0" encoding="utf-8"?>
<pivotTableDefinition xmlns="http://schemas.openxmlformats.org/spreadsheetml/2006/main" xmlns:mc="http://schemas.openxmlformats.org/markup-compatibility/2006" xmlns:xr="http://schemas.microsoft.com/office/spreadsheetml/2014/revision" mc:Ignorable="xr" xr:uid="{00000000-0007-0000-0800-00000B000000}" name="Latrine_shan" cacheId="0"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9">
  <location ref="S132:T139" firstHeaderRow="1" firstDataRow="2" firstDataCol="1" rowPageCount="3" colPageCount="1"/>
  <pivotFields count="131">
    <pivotField axis="axisPage" subtotalTop="0" multipleItemSelectionAllowed="1" showAll="0">
      <items count="12">
        <item m="1" x="9"/>
        <item m="1" x="3"/>
        <item m="1" x="10"/>
        <item h="1" m="1" x="4"/>
        <item m="1" x="2"/>
        <item h="1" m="1" x="1"/>
        <item h="1" m="1" x="8"/>
        <item h="1" m="1" x="5"/>
        <item h="1" m="1" x="6"/>
        <item m="1" x="7"/>
        <item x="0"/>
        <item t="default"/>
      </items>
    </pivotField>
    <pivotField showAll="0" defaultSubtotal="0"/>
    <pivotField showAll="0" defaultSubtotal="0"/>
    <pivotField subtotalTop="0" showAll="0"/>
    <pivotField axis="axisPage" subtotalTop="0" multipleItemSelectionAllowed="1" showAll="0">
      <items count="7">
        <item h="1" x="0"/>
        <item h="1" m="1" x="5"/>
        <item x="3"/>
        <item m="1" x="4"/>
        <item h="1" x="1"/>
        <item h="1" x="2"/>
        <item t="default"/>
      </items>
    </pivotField>
    <pivotField subtotalTop="0" showAll="0"/>
    <pivotField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dataField="1" numFmtId="1" showAll="0" defaultSubtotal="0"/>
    <pivotField numFmtId="9" showAll="0"/>
    <pivotField numFmtId="1" showAll="0" defaultSubtotal="0"/>
    <pivotField showAll="0" defaultSubtotal="0"/>
    <pivotField showAll="0" defaultSubtotal="0"/>
    <pivotField dataField="1"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axis="axisCol" subtotalTop="0" showAll="0">
      <items count="351">
        <item h="1" x="2"/>
        <item h="1" m="1" x="195"/>
        <item h="1" m="1" x="218"/>
        <item h="1" m="1" x="349"/>
        <item h="1" m="1" x="299"/>
        <item h="1" m="1" x="189"/>
        <item h="1" m="1" x="177"/>
        <item h="1" m="1" x="136"/>
        <item h="1" m="1" x="298"/>
        <item h="1" m="1" x="135"/>
        <item h="1" m="1" x="22"/>
        <item h="1" m="1" x="283"/>
        <item h="1" m="1" x="33"/>
        <item h="1" m="1" x="128"/>
        <item h="1" m="1" x="312"/>
        <item h="1" m="1" x="106"/>
        <item h="1" m="1" x="284"/>
        <item h="1" m="1" x="305"/>
        <item h="1" m="1" x="113"/>
        <item h="1" m="1" x="227"/>
        <item h="1" m="1" x="89"/>
        <item h="1" m="1" x="127"/>
        <item h="1" m="1" x="29"/>
        <item h="1" m="1" x="213"/>
        <item h="1" m="1" x="123"/>
        <item h="1" m="1" x="147"/>
        <item h="1" m="1" x="34"/>
        <item h="1" m="1" x="174"/>
        <item h="1" m="1" x="221"/>
        <item h="1" m="1" x="155"/>
        <item h="1" m="1" x="233"/>
        <item h="1" m="1" x="180"/>
        <item h="1" m="1" x="116"/>
        <item h="1" m="1" x="35"/>
        <item h="1" m="1" x="154"/>
        <item h="1" m="1" x="59"/>
        <item h="1" m="1" x="272"/>
        <item h="1" m="1" x="253"/>
        <item h="1" m="1" x="222"/>
        <item h="1" m="1" x="68"/>
        <item h="1" m="1" x="117"/>
        <item h="1" m="1" x="137"/>
        <item h="1" m="1" x="281"/>
        <item h="1" m="1" x="333"/>
        <item h="1" m="1" x="124"/>
        <item h="1" m="1" x="67"/>
        <item h="1" m="1" x="81"/>
        <item h="1" m="1" x="179"/>
        <item h="1" m="1" x="316"/>
        <item h="1" m="1" x="346"/>
        <item h="1" m="1" x="282"/>
        <item h="1" m="1" x="57"/>
        <item h="1" m="1" x="303"/>
        <item h="1" m="1" x="52"/>
        <item h="1" m="1" x="69"/>
        <item h="1" m="1" x="226"/>
        <item h="1" m="1" x="219"/>
        <item h="1" m="1" x="58"/>
        <item h="1" m="1" x="95"/>
        <item h="1" m="1" x="138"/>
        <item h="1" m="1" x="246"/>
        <item h="1" m="1" x="262"/>
        <item h="1" m="1" x="125"/>
        <item h="1" m="1" x="93"/>
        <item h="1" m="1" x="220"/>
        <item h="1" m="1" x="45"/>
        <item h="1" m="1" x="55"/>
        <item h="1" m="1" x="260"/>
        <item h="1" m="1" x="327"/>
        <item h="1" m="1" x="80"/>
        <item h="1" m="1" x="332"/>
        <item h="1" m="1" x="142"/>
        <item h="1" m="1" x="82"/>
        <item h="1" m="1" x="17"/>
        <item h="1" m="1" x="102"/>
        <item h="1" m="1" x="236"/>
        <item h="1" m="1" x="164"/>
        <item h="1" m="1" x="120"/>
        <item h="1" m="1" x="304"/>
        <item h="1" m="1" x="204"/>
        <item h="1" m="1" x="188"/>
        <item h="1" m="1" x="119"/>
        <item h="1" m="1" x="336"/>
        <item h="1" m="1" x="255"/>
        <item h="1" m="1" x="211"/>
        <item h="1" m="1" x="18"/>
        <item h="1" m="1" x="112"/>
        <item h="1" m="1" x="286"/>
        <item h="1" m="1" x="48"/>
        <item h="1" m="1" x="263"/>
        <item h="1" m="1" x="315"/>
        <item h="1" m="1" x="258"/>
        <item h="1" m="1" x="38"/>
        <item h="1" m="1" x="94"/>
        <item h="1" m="1" x="296"/>
        <item h="1" m="1" x="190"/>
        <item h="1" m="1" x="328"/>
        <item h="1" m="1" x="28"/>
        <item h="1" m="1" x="269"/>
        <item h="1" m="1" x="134"/>
        <item h="1" m="1" x="320"/>
        <item h="1" m="1" x="83"/>
        <item h="1" m="1" x="245"/>
        <item h="1" m="1" x="329"/>
        <item h="1" m="1" x="196"/>
        <item h="1" m="1" x="205"/>
        <item h="1" m="1" x="107"/>
        <item h="1" m="1" x="129"/>
        <item h="1" m="1" x="105"/>
        <item h="1" m="1" x="21"/>
        <item h="1" m="1" x="88"/>
        <item h="1" m="1" x="285"/>
        <item h="1" m="1" x="192"/>
        <item h="1" m="1" x="171"/>
        <item h="1" m="1" x="300"/>
        <item h="1" m="1" x="23"/>
        <item h="1" m="1" x="118"/>
        <item h="1" m="1" x="178"/>
        <item h="1" m="1" x="170"/>
        <item h="1" m="1" x="252"/>
        <item h="1" m="1" x="295"/>
        <item h="1" m="1" x="212"/>
        <item h="1" m="1" x="148"/>
        <item h="1" m="1" x="84"/>
        <item h="1" m="1" x="215"/>
        <item h="1" m="1" x="19"/>
        <item h="1" m="1" x="291"/>
        <item h="1" m="1" x="334"/>
        <item h="1" m="1" x="149"/>
        <item h="1" m="1" x="150"/>
        <item h="1" m="1" x="175"/>
        <item h="1" m="1" x="337"/>
        <item h="1" m="1" x="62"/>
        <item h="1" m="1" x="90"/>
        <item h="1" m="1" x="96"/>
        <item h="1" m="1" x="271"/>
        <item h="1" m="1" x="301"/>
        <item h="1" m="1" x="347"/>
        <item h="1" m="1" x="114"/>
        <item h="1" m="1" x="292"/>
        <item h="1" m="1" x="230"/>
        <item h="1" m="1" x="108"/>
        <item h="1" m="1" x="242"/>
        <item h="1" m="1" x="317"/>
        <item h="1" m="1" x="247"/>
        <item h="1" m="1" x="206"/>
        <item h="1" m="1" x="144"/>
        <item h="1" m="1" x="342"/>
        <item h="1" m="1" x="156"/>
        <item h="1" m="1" x="325"/>
        <item h="1" m="1" x="288"/>
        <item h="1" m="1" x="202"/>
        <item h="1" m="1" x="275"/>
        <item h="1" m="1" x="146"/>
        <item h="1" m="1" x="160"/>
        <item h="1" m="1" x="326"/>
        <item h="1" m="1" x="36"/>
        <item h="1" m="1" x="46"/>
        <item h="1" m="1" x="278"/>
        <item h="1" m="1" x="250"/>
        <item h="1" m="1" x="307"/>
        <item h="1" m="1" x="32"/>
        <item h="1" m="1" x="50"/>
        <item h="1" m="1" x="71"/>
        <item h="1" m="1" x="152"/>
        <item h="1" m="1" x="201"/>
        <item h="1" m="1" x="279"/>
        <item h="1" m="1" x="168"/>
        <item h="1" m="1" x="87"/>
        <item h="1" m="1" x="13"/>
        <item h="1" m="1" x="240"/>
        <item h="1" m="1" x="280"/>
        <item h="1" m="1" x="162"/>
        <item h="1" m="1" x="169"/>
        <item h="1" m="1" x="91"/>
        <item h="1" m="1" x="132"/>
        <item h="1" m="1" x="70"/>
        <item h="1" m="1" x="161"/>
        <item h="1" m="1" x="324"/>
        <item h="1" m="1" x="193"/>
        <item h="1" m="1" x="25"/>
        <item h="1" m="1" x="309"/>
        <item h="1" m="1" x="159"/>
        <item h="1" m="1" x="115"/>
        <item h="1" m="1" x="77"/>
        <item h="1" m="1" x="235"/>
        <item h="1" m="1" x="310"/>
        <item h="1" m="1" x="92"/>
        <item h="1" m="1" x="153"/>
        <item h="1" m="1" x="43"/>
        <item h="1" m="1" x="158"/>
        <item h="1" m="1" x="239"/>
        <item h="1" m="1" x="274"/>
        <item h="1" m="1" x="345"/>
        <item h="1" m="1" x="122"/>
        <item h="1" m="1" x="232"/>
        <item h="1" m="1" x="47"/>
        <item h="1" m="1" x="314"/>
        <item h="1" m="1" x="290"/>
        <item h="1" m="1" x="167"/>
        <item h="1" m="1" x="60"/>
        <item h="1" m="1" x="100"/>
        <item h="1" m="1" x="289"/>
        <item h="1" m="1" x="209"/>
        <item h="1" m="1" x="141"/>
        <item h="1" m="1" x="293"/>
        <item h="1" m="1" x="85"/>
        <item h="1" m="1" x="42"/>
        <item h="1" m="1" x="208"/>
        <item h="1" m="1" x="53"/>
        <item h="1" m="1" x="319"/>
        <item h="1" m="1" x="297"/>
        <item h="1" m="1" x="165"/>
        <item h="1" m="1" x="344"/>
        <item h="1" m="1" x="313"/>
        <item h="1" m="1" x="308"/>
        <item h="1" m="1" x="251"/>
        <item h="1" m="1" x="126"/>
        <item h="1" m="1" x="130"/>
        <item h="1" m="1" x="343"/>
        <item h="1" m="1" x="224"/>
        <item h="1" m="1" x="348"/>
        <item h="1" m="1" x="331"/>
        <item h="1" m="1" x="216"/>
        <item h="1" m="1" x="323"/>
        <item h="1" m="1" x="20"/>
        <item h="1" m="1" x="49"/>
        <item h="1" m="1" x="302"/>
        <item h="1" m="1" x="31"/>
        <item h="1" m="1" x="103"/>
        <item h="1" m="1" x="140"/>
        <item h="1" m="1" x="243"/>
        <item h="1" m="1" x="217"/>
        <item h="1" m="1" x="173"/>
        <item h="1" m="1" x="15"/>
        <item h="1" m="1" x="270"/>
        <item h="1" m="1" x="199"/>
        <item h="1" m="1" x="121"/>
        <item h="1" m="1" x="294"/>
        <item h="1" m="1" x="109"/>
        <item h="1" m="1" x="99"/>
        <item h="1" m="1" x="234"/>
        <item h="1" m="1" x="238"/>
        <item h="1" m="1" x="266"/>
        <item h="1" m="1" x="340"/>
        <item h="1" m="1" x="54"/>
        <item h="1" m="1" x="249"/>
        <item h="1" m="1" x="241"/>
        <item h="1" m="1" x="86"/>
        <item h="1" m="1" x="186"/>
        <item h="1" m="1" x="131"/>
        <item h="1" m="1" x="133"/>
        <item h="1" m="1" x="257"/>
        <item h="1" m="1" x="41"/>
        <item h="1" m="1" x="265"/>
        <item h="1" m="1" x="259"/>
        <item h="1" m="1" x="237"/>
        <item h="1" m="1" x="74"/>
        <item h="1" m="1" x="287"/>
        <item h="1" m="1" x="338"/>
        <item h="1" m="1" x="181"/>
        <item h="1" m="1" x="30"/>
        <item h="1" m="1" x="231"/>
        <item h="1" m="1" x="76"/>
        <item h="1" m="1" x="264"/>
        <item h="1" m="1" x="273"/>
        <item h="1" m="1" x="98"/>
        <item h="1" m="1" x="64"/>
        <item h="1" m="1" x="248"/>
        <item h="1" m="1" x="256"/>
        <item h="1" m="1" x="151"/>
        <item h="1" m="1" x="157"/>
        <item h="1" m="1" x="197"/>
        <item h="1" m="1" x="225"/>
        <item h="1" m="1" x="97"/>
        <item h="1" m="1" x="185"/>
        <item h="1" m="1" x="14"/>
        <item h="1" m="1" x="37"/>
        <item h="1" m="1" x="73"/>
        <item h="1" m="1" x="172"/>
        <item h="1" m="1" x="63"/>
        <item h="1" m="1" x="207"/>
        <item h="1" m="1" x="335"/>
        <item h="1" m="1" x="198"/>
        <item h="1" m="1" x="306"/>
        <item h="1" m="1" x="139"/>
        <item h="1" m="1" x="322"/>
        <item h="1" m="1" x="184"/>
        <item h="1" m="1" x="318"/>
        <item h="1" m="1" x="321"/>
        <item h="1" m="1" x="183"/>
        <item h="1" m="1" x="12"/>
        <item h="1" m="1" x="75"/>
        <item h="1" m="1" x="40"/>
        <item h="1" m="1" x="145"/>
        <item h="1" m="1" x="182"/>
        <item h="1" m="1" x="229"/>
        <item h="1" m="1" x="277"/>
        <item h="1" m="1" x="223"/>
        <item h="1" m="1" x="330"/>
        <item h="1" m="1" x="24"/>
        <item h="1" m="1" x="72"/>
        <item h="1" m="1" x="176"/>
        <item h="1" m="1" x="276"/>
        <item h="1" m="1" x="56"/>
        <item h="1" m="1" x="61"/>
        <item h="1" m="1" x="163"/>
        <item h="1" m="1" x="27"/>
        <item h="1" m="1" x="101"/>
        <item h="1" m="1" x="44"/>
        <item h="1" m="1" x="78"/>
        <item h="1" m="1" x="51"/>
        <item h="1" m="1" x="65"/>
        <item h="1" m="1" x="200"/>
        <item h="1" m="1" x="191"/>
        <item h="1" m="1" x="166"/>
        <item h="1" m="1" x="268"/>
        <item h="1" m="1" x="26"/>
        <item h="1" m="1" x="194"/>
        <item h="1" m="1" x="210"/>
        <item h="1" m="1" x="311"/>
        <item h="1" m="1" x="110"/>
        <item h="1" m="1" x="111"/>
        <item h="1" m="1" x="203"/>
        <item h="1" m="1" x="66"/>
        <item h="1" m="1" x="104"/>
        <item h="1" m="1" x="16"/>
        <item h="1" m="1" x="244"/>
        <item h="1" m="1" x="267"/>
        <item h="1" m="1" x="261"/>
        <item h="1" m="1" x="341"/>
        <item h="1" m="1" x="339"/>
        <item h="1" m="1" x="79"/>
        <item h="1" m="1" x="187"/>
        <item h="1" m="1" x="214"/>
        <item h="1" m="1" x="254"/>
        <item h="1" m="1" x="228"/>
        <item h="1" m="1" x="143"/>
        <item h="1" m="1" x="39"/>
        <item n="# in GCA (20:1)" x="0"/>
        <item n="# in NGCA (20:1)" x="1"/>
        <item h="1" x="4"/>
        <item h="1" x="3"/>
        <item h="1" x="7"/>
        <item h="1" x="9"/>
        <item h="1" x="8"/>
        <item h="1" x="10"/>
        <item h="1" x="11"/>
        <item h="1" x="5"/>
        <item h="1" x="6"/>
        <item t="default"/>
      </items>
    </pivotField>
    <pivotField subtotalTop="0" showAll="0"/>
    <pivotField subtotalTop="0" showAll="0"/>
    <pivotField subtotalTop="0" showAll="0"/>
    <pivotField axis="axisPage" subtotalTop="0" multipleItemSelectionAllowed="1" showAll="0">
      <items count="5">
        <item x="0"/>
        <item h="1" x="1"/>
        <item m="1" x="3"/>
        <item m="1" x="2"/>
        <item t="default"/>
      </items>
    </pivotField>
    <pivotField subtotalTop="0" showAl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6">
    <i>
      <x/>
    </i>
    <i i="1">
      <x v="1"/>
    </i>
    <i i="2">
      <x v="2"/>
    </i>
    <i i="3">
      <x v="3"/>
    </i>
    <i i="4">
      <x v="4"/>
    </i>
    <i i="5">
      <x v="5"/>
    </i>
  </rowItems>
  <colFields count="1">
    <field x="117"/>
  </colFields>
  <colItems count="1">
    <i>
      <x v="339"/>
    </i>
  </colItems>
  <pageFields count="3">
    <pageField fld="0" hier="-1"/>
    <pageField fld="4" hier="-1"/>
    <pageField fld="121" hier="-1"/>
  </pageFields>
  <dataFields count="6">
    <dataField name="# latrines (target)" fld="94" baseField="0" baseItem="0"/>
    <dataField name="# Operation &amp; maintenance of latrines" fld="45" baseField="0" baseItem="0"/>
    <dataField name="# Latrines desludged" fld="46" baseField="0" baseItem="0"/>
    <dataField name="# handed over" fld="48" baseField="0" baseItem="0"/>
    <dataField name="Sum of # Existing functional latrines" fld="89" baseField="0" baseItem="0"/>
    <dataField name="  Total # of latrine" fld="123" baseField="0" baseItem="0"/>
  </dataFields>
  <formats count="10">
    <format dxfId="841">
      <pivotArea field="4" type="button" dataOnly="0" labelOnly="1" outline="0" axis="axisPage" fieldPosition="1"/>
    </format>
    <format dxfId="840">
      <pivotArea type="all" dataOnly="0" outline="0" fieldPosition="0"/>
    </format>
    <format dxfId="839">
      <pivotArea outline="0" collapsedLevelsAreSubtotals="1" fieldPosition="0"/>
    </format>
    <format dxfId="838">
      <pivotArea type="origin" dataOnly="0" labelOnly="1" outline="0" fieldPosition="0"/>
    </format>
    <format dxfId="837">
      <pivotArea type="topRight" dataOnly="0" labelOnly="1" outline="0" fieldPosition="0"/>
    </format>
    <format dxfId="836">
      <pivotArea field="-2" type="button" dataOnly="0" labelOnly="1" outline="0" axis="axisRow" fieldPosition="0"/>
    </format>
    <format dxfId="835">
      <pivotArea type="all" dataOnly="0" outline="0" fieldPosition="0"/>
    </format>
    <format dxfId="834">
      <pivotArea dataOnly="0" labelOnly="1" outline="0" fieldPosition="0">
        <references count="1">
          <reference field="4294967294" count="1">
            <x v="0"/>
          </reference>
        </references>
      </pivotArea>
    </format>
    <format dxfId="833">
      <pivotArea field="4" type="button" dataOnly="0" labelOnly="1" outline="0" axis="axisPage" fieldPosition="1"/>
    </format>
    <format dxfId="832">
      <pivotArea dataOnly="0" labelOnly="1" outline="0" fieldPosition="0">
        <references count="1">
          <reference field="4" count="0"/>
        </references>
      </pivotArea>
    </format>
  </formats>
  <pivotTableStyleInfo name="PivotStyleLight10 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8.xml><?xml version="1.0" encoding="utf-8"?>
<pivotTableDefinition xmlns="http://schemas.openxmlformats.org/spreadsheetml/2006/main" xmlns:mc="http://schemas.openxmlformats.org/markup-compatibility/2006" xmlns:xr="http://schemas.microsoft.com/office/spreadsheetml/2014/revision" mc:Ignorable="xr" xr:uid="{00000000-0007-0000-0800-00000A000000}" name="latrine_Rak" cacheId="0"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6">
  <location ref="K132:M139" firstHeaderRow="1" firstDataRow="2" firstDataCol="1" rowPageCount="3" colPageCount="1"/>
  <pivotFields count="131">
    <pivotField axis="axisPage" subtotalTop="0" multipleItemSelectionAllowed="1" showAll="0">
      <items count="12">
        <item m="1" x="9"/>
        <item m="1" x="3"/>
        <item m="1" x="10"/>
        <item h="1" m="1" x="4"/>
        <item m="1" x="2"/>
        <item h="1" m="1" x="1"/>
        <item h="1" m="1" x="8"/>
        <item h="1" m="1" x="5"/>
        <item h="1" m="1" x="6"/>
        <item m="1" x="7"/>
        <item x="0"/>
        <item t="default"/>
      </items>
    </pivotField>
    <pivotField showAll="0" defaultSubtotal="0"/>
    <pivotField showAll="0" defaultSubtotal="0"/>
    <pivotField subtotalTop="0" showAll="0"/>
    <pivotField axis="axisPage" subtotalTop="0" multipleItemSelectionAllowed="1" showAll="0">
      <items count="7">
        <item h="1" x="0"/>
        <item m="1" x="5"/>
        <item h="1" x="3"/>
        <item m="1" x="4"/>
        <item x="1"/>
        <item x="2"/>
        <item t="default"/>
      </items>
    </pivotField>
    <pivotField subtotalTop="0" showAll="0"/>
    <pivotField axis="axisCol" multipleItemSelectionAllowed="1" showAll="0" defaultSubtotal="0">
      <items count="10">
        <item n="# in active camps (20:1)" x="1"/>
        <item x="0"/>
        <item m="1" x="9"/>
        <item h="1" x="3"/>
        <item m="1" x="6"/>
        <item m="1" x="5"/>
        <item n="# in villages (6:1)" x="2"/>
        <item m="1" x="8"/>
        <item h="1" x="4"/>
        <item m="1" x="7"/>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dataField="1" numFmtId="1" showAll="0" defaultSubtotal="0"/>
    <pivotField numFmtId="9" showAll="0"/>
    <pivotField numFmtId="1" showAll="0" defaultSubtotal="0"/>
    <pivotField showAll="0" defaultSubtotal="0"/>
    <pivotField showAll="0" defaultSubtotal="0"/>
    <pivotField dataField="1"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ubtotalTop="0" showAl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6">
    <i>
      <x/>
    </i>
    <i i="1">
      <x v="1"/>
    </i>
    <i i="2">
      <x v="2"/>
    </i>
    <i i="3">
      <x v="3"/>
    </i>
    <i i="4">
      <x v="4"/>
    </i>
    <i i="5">
      <x v="5"/>
    </i>
  </rowItems>
  <colFields count="1">
    <field x="6"/>
  </colFields>
  <colItems count="2">
    <i>
      <x/>
    </i>
    <i>
      <x v="6"/>
    </i>
  </colItems>
  <pageFields count="3">
    <pageField fld="0" hier="-1"/>
    <pageField fld="4" hier="-1"/>
    <pageField fld="121" hier="-1"/>
  </pageFields>
  <dataFields count="6">
    <dataField name="# latrines (target)" fld="94" baseField="0" baseItem="0"/>
    <dataField name="# Operation &amp; maintenance of latrines" fld="45" baseField="0" baseItem="0"/>
    <dataField name="# Latrines desludged" fld="46" baseField="0" baseItem="0"/>
    <dataField name="# handed over" fld="48" baseField="0" baseItem="0"/>
    <dataField name="Sum of # Existing functional latrines" fld="89" baseField="0" baseItem="0"/>
    <dataField name="  Total # of latrine" fld="123" baseField="0" baseItem="0"/>
  </dataFields>
  <formats count="12">
    <format dxfId="853">
      <pivotArea field="4" type="button" dataOnly="0" labelOnly="1" outline="0" axis="axisPage" fieldPosition="1"/>
    </format>
    <format dxfId="852">
      <pivotArea type="all" dataOnly="0" outline="0" fieldPosition="0"/>
    </format>
    <format dxfId="851">
      <pivotArea outline="0" collapsedLevelsAreSubtotals="1" fieldPosition="0"/>
    </format>
    <format dxfId="850">
      <pivotArea type="origin" dataOnly="0" labelOnly="1" outline="0" fieldPosition="0"/>
    </format>
    <format dxfId="849">
      <pivotArea type="topRight" dataOnly="0" labelOnly="1" outline="0" fieldPosition="0"/>
    </format>
    <format dxfId="848">
      <pivotArea field="-2" type="button" dataOnly="0" labelOnly="1" outline="0" axis="axisRow" fieldPosition="0"/>
    </format>
    <format dxfId="847">
      <pivotArea type="all" dataOnly="0" outline="0" fieldPosition="0"/>
    </format>
    <format dxfId="846">
      <pivotArea outline="0" collapsedLevelsAreSubtotals="1" fieldPosition="0"/>
    </format>
    <format dxfId="845">
      <pivotArea dataOnly="0" labelOnly="1" outline="0" fieldPosition="0">
        <references count="1">
          <reference field="4294967294" count="1">
            <x v="0"/>
          </reference>
        </references>
      </pivotArea>
    </format>
    <format dxfId="844">
      <pivotArea field="4" type="button" dataOnly="0" labelOnly="1" outline="0" axis="axisPage" fieldPosition="1"/>
    </format>
    <format dxfId="843">
      <pivotArea dataOnly="0" labelOnly="1" outline="0" fieldPosition="0">
        <references count="1">
          <reference field="4" count="1">
            <x v="1"/>
          </reference>
        </references>
      </pivotArea>
    </format>
    <format dxfId="842">
      <pivotArea outline="0" collapsedLevelsAreSubtotals="1" fieldPosition="0"/>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9.xml><?xml version="1.0" encoding="utf-8"?>
<pivotTableDefinition xmlns="http://schemas.openxmlformats.org/spreadsheetml/2006/main" xmlns:mc="http://schemas.openxmlformats.org/markup-compatibility/2006" xmlns:xr="http://schemas.microsoft.com/office/spreadsheetml/2014/revision" mc:Ignorable="xr" xr:uid="{00000000-0007-0000-0800-000009000000}" name="latrine_kachin" cacheId="0"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3">
  <location ref="C132:E139" firstHeaderRow="1" firstDataRow="2" firstDataCol="1" rowPageCount="3" colPageCount="1"/>
  <pivotFields count="131">
    <pivotField axis="axisPage" subtotalTop="0" showAll="0">
      <items count="12">
        <item m="1" x="9"/>
        <item m="1" x="3"/>
        <item m="1" x="10"/>
        <item m="1" x="4"/>
        <item m="1" x="2"/>
        <item m="1" x="1"/>
        <item m="1" x="8"/>
        <item m="1" x="5"/>
        <item m="1" x="6"/>
        <item m="1" x="7"/>
        <item x="0"/>
        <item t="default"/>
      </items>
    </pivotField>
    <pivotField showAll="0" defaultSubtotal="0"/>
    <pivotField showAll="0" defaultSubtotal="0"/>
    <pivotField subtotalTop="0" showAll="0"/>
    <pivotField axis="axisPage" subtotalTop="0" showAll="0">
      <items count="7">
        <item x="0"/>
        <item m="1" x="5"/>
        <item x="3"/>
        <item m="1" x="4"/>
        <item x="1"/>
        <item x="2"/>
        <item t="default"/>
      </items>
    </pivotField>
    <pivotField subtotalTop="0" showAll="0"/>
    <pivotField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dataField="1" numFmtId="1" showAll="0" defaultSubtotal="0"/>
    <pivotField numFmtId="9" showAll="0"/>
    <pivotField numFmtId="1" showAll="0" defaultSubtotal="0"/>
    <pivotField showAll="0" defaultSubtotal="0"/>
    <pivotField showAll="0" defaultSubtotal="0"/>
    <pivotField dataField="1"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axis="axisCol" subtotalTop="0" showAll="0">
      <items count="351">
        <item x="2"/>
        <item m="1" x="195"/>
        <item m="1" x="218"/>
        <item m="1" x="349"/>
        <item m="1" x="299"/>
        <item m="1" x="189"/>
        <item m="1" x="177"/>
        <item m="1" x="136"/>
        <item m="1" x="298"/>
        <item m="1" x="135"/>
        <item m="1" x="22"/>
        <item m="1" x="283"/>
        <item m="1" x="33"/>
        <item m="1" x="128"/>
        <item m="1" x="312"/>
        <item m="1" x="106"/>
        <item m="1" x="284"/>
        <item m="1" x="305"/>
        <item m="1" x="113"/>
        <item m="1" x="227"/>
        <item m="1" x="89"/>
        <item m="1" x="127"/>
        <item m="1" x="29"/>
        <item m="1" x="213"/>
        <item m="1" x="123"/>
        <item m="1" x="147"/>
        <item m="1" x="34"/>
        <item m="1" x="174"/>
        <item m="1" x="221"/>
        <item m="1" x="155"/>
        <item m="1" x="233"/>
        <item m="1" x="180"/>
        <item m="1" x="116"/>
        <item m="1" x="35"/>
        <item m="1" x="154"/>
        <item m="1" x="59"/>
        <item m="1" x="272"/>
        <item m="1" x="253"/>
        <item m="1" x="222"/>
        <item m="1" x="68"/>
        <item m="1" x="117"/>
        <item m="1" x="137"/>
        <item m="1" x="281"/>
        <item m="1" x="333"/>
        <item m="1" x="124"/>
        <item m="1" x="67"/>
        <item m="1" x="81"/>
        <item m="1" x="179"/>
        <item m="1" x="316"/>
        <item m="1" x="346"/>
        <item m="1" x="282"/>
        <item m="1" x="57"/>
        <item m="1" x="303"/>
        <item m="1" x="52"/>
        <item m="1" x="69"/>
        <item m="1" x="226"/>
        <item m="1" x="219"/>
        <item m="1" x="58"/>
        <item m="1" x="95"/>
        <item m="1" x="138"/>
        <item m="1" x="246"/>
        <item m="1" x="262"/>
        <item m="1" x="125"/>
        <item m="1" x="93"/>
        <item m="1" x="220"/>
        <item m="1" x="45"/>
        <item m="1" x="55"/>
        <item m="1" x="260"/>
        <item m="1" x="327"/>
        <item m="1" x="80"/>
        <item m="1" x="332"/>
        <item m="1" x="142"/>
        <item m="1" x="82"/>
        <item m="1" x="17"/>
        <item m="1" x="102"/>
        <item m="1" x="236"/>
        <item m="1" x="164"/>
        <item m="1" x="120"/>
        <item m="1" x="304"/>
        <item m="1" x="204"/>
        <item m="1" x="188"/>
        <item m="1" x="119"/>
        <item m="1" x="336"/>
        <item m="1" x="255"/>
        <item m="1" x="211"/>
        <item m="1" x="18"/>
        <item m="1" x="112"/>
        <item m="1" x="286"/>
        <item m="1" x="48"/>
        <item m="1" x="263"/>
        <item m="1" x="315"/>
        <item m="1" x="258"/>
        <item m="1" x="38"/>
        <item m="1" x="94"/>
        <item m="1" x="296"/>
        <item m="1" x="190"/>
        <item m="1" x="328"/>
        <item m="1" x="28"/>
        <item m="1" x="269"/>
        <item m="1" x="134"/>
        <item m="1" x="320"/>
        <item m="1" x="83"/>
        <item m="1" x="245"/>
        <item m="1" x="329"/>
        <item m="1" x="196"/>
        <item m="1" x="205"/>
        <item m="1" x="107"/>
        <item m="1" x="129"/>
        <item m="1" x="105"/>
        <item m="1" x="21"/>
        <item m="1" x="88"/>
        <item m="1" x="285"/>
        <item m="1" x="192"/>
        <item m="1" x="171"/>
        <item m="1" x="300"/>
        <item m="1" x="23"/>
        <item m="1" x="118"/>
        <item m="1" x="178"/>
        <item m="1" x="170"/>
        <item m="1" x="252"/>
        <item m="1" x="295"/>
        <item m="1" x="212"/>
        <item m="1" x="148"/>
        <item m="1" x="84"/>
        <item m="1" x="215"/>
        <item m="1" x="19"/>
        <item m="1" x="291"/>
        <item m="1" x="334"/>
        <item m="1" x="149"/>
        <item m="1" x="150"/>
        <item m="1" x="175"/>
        <item m="1" x="337"/>
        <item m="1" x="62"/>
        <item m="1" x="90"/>
        <item m="1" x="96"/>
        <item m="1" x="271"/>
        <item m="1" x="301"/>
        <item m="1" x="347"/>
        <item m="1" x="114"/>
        <item m="1" x="292"/>
        <item m="1" x="230"/>
        <item m="1" x="108"/>
        <item m="1" x="242"/>
        <item m="1" x="317"/>
        <item m="1" x="247"/>
        <item m="1" x="206"/>
        <item m="1" x="144"/>
        <item m="1" x="342"/>
        <item m="1" x="156"/>
        <item m="1" x="325"/>
        <item m="1" x="288"/>
        <item m="1" x="202"/>
        <item m="1" x="275"/>
        <item m="1" x="146"/>
        <item m="1" x="160"/>
        <item m="1" x="326"/>
        <item m="1" x="36"/>
        <item m="1" x="46"/>
        <item m="1" x="278"/>
        <item m="1" x="250"/>
        <item m="1" x="307"/>
        <item m="1" x="32"/>
        <item m="1" x="50"/>
        <item m="1" x="71"/>
        <item m="1" x="152"/>
        <item m="1" x="201"/>
        <item m="1" x="279"/>
        <item m="1" x="168"/>
        <item m="1" x="87"/>
        <item m="1" x="13"/>
        <item m="1" x="240"/>
        <item m="1" x="280"/>
        <item m="1" x="162"/>
        <item m="1" x="169"/>
        <item m="1" x="91"/>
        <item m="1" x="132"/>
        <item m="1" x="70"/>
        <item m="1" x="161"/>
        <item m="1" x="324"/>
        <item m="1" x="193"/>
        <item m="1" x="25"/>
        <item m="1" x="309"/>
        <item m="1" x="159"/>
        <item m="1" x="115"/>
        <item m="1" x="77"/>
        <item m="1" x="235"/>
        <item m="1" x="310"/>
        <item m="1" x="92"/>
        <item m="1" x="153"/>
        <item m="1" x="43"/>
        <item m="1" x="158"/>
        <item m="1" x="239"/>
        <item m="1" x="274"/>
        <item m="1" x="345"/>
        <item m="1" x="122"/>
        <item m="1" x="232"/>
        <item m="1" x="47"/>
        <item m="1" x="314"/>
        <item m="1" x="290"/>
        <item m="1" x="167"/>
        <item m="1" x="60"/>
        <item m="1" x="100"/>
        <item m="1" x="289"/>
        <item m="1" x="209"/>
        <item m="1" x="141"/>
        <item m="1" x="293"/>
        <item m="1" x="85"/>
        <item m="1" x="42"/>
        <item m="1" x="208"/>
        <item m="1" x="53"/>
        <item m="1" x="319"/>
        <item m="1" x="297"/>
        <item m="1" x="165"/>
        <item m="1" x="344"/>
        <item m="1" x="313"/>
        <item m="1" x="308"/>
        <item m="1" x="251"/>
        <item m="1" x="126"/>
        <item m="1" x="130"/>
        <item m="1" x="343"/>
        <item m="1" x="224"/>
        <item m="1" x="348"/>
        <item m="1" x="331"/>
        <item m="1" x="216"/>
        <item m="1" x="323"/>
        <item m="1" x="20"/>
        <item m="1" x="49"/>
        <item m="1" x="302"/>
        <item m="1" x="31"/>
        <item m="1" x="103"/>
        <item m="1" x="140"/>
        <item m="1" x="243"/>
        <item m="1" x="217"/>
        <item m="1" x="173"/>
        <item m="1" x="15"/>
        <item m="1" x="270"/>
        <item m="1" x="199"/>
        <item m="1" x="121"/>
        <item m="1" x="294"/>
        <item m="1" x="109"/>
        <item m="1" x="99"/>
        <item m="1" x="234"/>
        <item m="1" x="238"/>
        <item m="1" x="266"/>
        <item m="1" x="340"/>
        <item m="1" x="54"/>
        <item m="1" x="249"/>
        <item m="1" x="241"/>
        <item m="1" x="86"/>
        <item m="1" x="186"/>
        <item m="1" x="131"/>
        <item m="1" x="133"/>
        <item m="1" x="257"/>
        <item m="1" x="41"/>
        <item m="1" x="265"/>
        <item m="1" x="259"/>
        <item m="1" x="237"/>
        <item m="1" x="74"/>
        <item m="1" x="287"/>
        <item m="1" x="338"/>
        <item m="1" x="181"/>
        <item m="1" x="30"/>
        <item m="1" x="231"/>
        <item m="1" x="76"/>
        <item m="1" x="264"/>
        <item m="1" x="273"/>
        <item m="1" x="98"/>
        <item m="1" x="64"/>
        <item m="1" x="248"/>
        <item m="1" x="256"/>
        <item m="1" x="151"/>
        <item m="1" x="157"/>
        <item m="1" x="197"/>
        <item m="1" x="225"/>
        <item m="1" x="97"/>
        <item m="1" x="185"/>
        <item m="1" x="14"/>
        <item m="1" x="37"/>
        <item m="1" x="73"/>
        <item m="1" x="172"/>
        <item m="1" x="63"/>
        <item m="1" x="207"/>
        <item m="1" x="335"/>
        <item m="1" x="198"/>
        <item m="1" x="306"/>
        <item m="1" x="139"/>
        <item m="1" x="322"/>
        <item m="1" x="184"/>
        <item m="1" x="318"/>
        <item m="1" x="321"/>
        <item m="1" x="183"/>
        <item m="1" x="12"/>
        <item m="1" x="75"/>
        <item m="1" x="40"/>
        <item m="1" x="145"/>
        <item m="1" x="182"/>
        <item m="1" x="229"/>
        <item m="1" x="277"/>
        <item m="1" x="223"/>
        <item m="1" x="330"/>
        <item m="1" x="24"/>
        <item m="1" x="72"/>
        <item m="1" x="176"/>
        <item m="1" x="276"/>
        <item m="1" x="56"/>
        <item m="1" x="61"/>
        <item m="1" x="163"/>
        <item m="1" x="27"/>
        <item m="1" x="101"/>
        <item m="1" x="44"/>
        <item m="1" x="78"/>
        <item m="1" x="51"/>
        <item m="1" x="65"/>
        <item m="1" x="200"/>
        <item m="1" x="191"/>
        <item m="1" x="166"/>
        <item m="1" x="268"/>
        <item m="1" x="26"/>
        <item m="1" x="194"/>
        <item m="1" x="210"/>
        <item m="1" x="311"/>
        <item m="1" x="110"/>
        <item m="1" x="111"/>
        <item m="1" x="203"/>
        <item m="1" x="66"/>
        <item m="1" x="104"/>
        <item m="1" x="16"/>
        <item m="1" x="244"/>
        <item m="1" x="267"/>
        <item m="1" x="261"/>
        <item m="1" x="341"/>
        <item m="1" x="339"/>
        <item m="1" x="79"/>
        <item m="1" x="187"/>
        <item m="1" x="214"/>
        <item m="1" x="254"/>
        <item m="1" x="228"/>
        <item m="1" x="143"/>
        <item m="1" x="39"/>
        <item n="# in GCA (20:1)" x="0"/>
        <item n="# in NGCA (20:1)" x="1"/>
        <item x="4"/>
        <item x="3"/>
        <item x="7"/>
        <item x="9"/>
        <item x="8"/>
        <item x="10"/>
        <item x="11"/>
        <item x="5"/>
        <item x="6"/>
        <item t="default"/>
      </items>
    </pivotField>
    <pivotField subtotalTop="0" showAll="0"/>
    <pivotField subtotalTop="0" showAll="0"/>
    <pivotField subtotalTop="0" showAll="0"/>
    <pivotField axis="axisPage" subtotalTop="0" showAll="0">
      <items count="5">
        <item x="0"/>
        <item x="1"/>
        <item m="1" x="3"/>
        <item m="1" x="2"/>
        <item t="default"/>
      </items>
    </pivotField>
    <pivotField subtotalTop="0" showAl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6">
    <i>
      <x/>
    </i>
    <i i="1">
      <x v="1"/>
    </i>
    <i i="2">
      <x v="2"/>
    </i>
    <i i="3">
      <x v="3"/>
    </i>
    <i i="4">
      <x v="4"/>
    </i>
    <i i="5">
      <x v="5"/>
    </i>
  </rowItems>
  <colFields count="1">
    <field x="117"/>
  </colFields>
  <colItems count="2">
    <i>
      <x v="339"/>
    </i>
    <i>
      <x v="340"/>
    </i>
  </colItems>
  <pageFields count="3">
    <pageField fld="0" item="10" hier="-1"/>
    <pageField fld="4" item="0" hier="-1"/>
    <pageField fld="121" item="0" hier="-1"/>
  </pageFields>
  <dataFields count="6">
    <dataField name="# latrines (target)" fld="94" baseField="0" baseItem="0"/>
    <dataField name="# Operation &amp; maintenance of latrines" fld="45" baseField="0" baseItem="0"/>
    <dataField name="# Latrines desludged" fld="46" baseField="0" baseItem="0"/>
    <dataField name="# handed over" fld="48" baseField="0" baseItem="0"/>
    <dataField name="Sum of # Existing functional latrines" fld="89" baseField="0" baseItem="0"/>
    <dataField name="  Total # of latrine" fld="123" baseField="0" baseItem="0"/>
  </dataFields>
  <formats count="15">
    <format dxfId="868">
      <pivotArea field="4" type="button" dataOnly="0" labelOnly="1" outline="0" axis="axisPage" fieldPosition="1"/>
    </format>
    <format dxfId="867">
      <pivotArea type="all" dataOnly="0" outline="0" fieldPosition="0"/>
    </format>
    <format dxfId="866">
      <pivotArea type="origin" dataOnly="0" labelOnly="1" outline="0" fieldPosition="0"/>
    </format>
    <format dxfId="865">
      <pivotArea type="topRight" dataOnly="0" labelOnly="1" outline="0" fieldPosition="0"/>
    </format>
    <format dxfId="864">
      <pivotArea field="-2" type="button" dataOnly="0" labelOnly="1" outline="0" axis="axisRow" fieldPosition="0"/>
    </format>
    <format dxfId="863">
      <pivotArea type="all" dataOnly="0" outline="0" fieldPosition="0"/>
    </format>
    <format dxfId="862">
      <pivotArea outline="0" collapsedLevelsAreSubtotals="1" fieldPosition="0"/>
    </format>
    <format dxfId="861">
      <pivotArea type="origin" dataOnly="0" labelOnly="1" outline="0" fieldPosition="0"/>
    </format>
    <format dxfId="860">
      <pivotArea type="topRight" dataOnly="0" labelOnly="1" outline="0" fieldPosition="0"/>
    </format>
    <format dxfId="859">
      <pivotArea field="-2" type="button" dataOnly="0" labelOnly="1" outline="0" axis="axisRow" fieldPosition="0"/>
    </format>
    <format dxfId="858">
      <pivotArea dataOnly="0" labelOnly="1" outline="0" fieldPosition="0">
        <references count="3">
          <reference field="0" count="1" selected="0">
            <x v="7"/>
          </reference>
          <reference field="4" count="1">
            <x v="0"/>
          </reference>
          <reference field="121" count="1" selected="0">
            <x v="0"/>
          </reference>
        </references>
      </pivotArea>
    </format>
    <format dxfId="857">
      <pivotArea type="all" dataOnly="0" outline="0" fieldPosition="0"/>
    </format>
    <format dxfId="856">
      <pivotArea outline="0" collapsedLevelsAreSubtotals="1" fieldPosition="0"/>
    </format>
    <format dxfId="855">
      <pivotArea dataOnly="0" labelOnly="1" outline="0" fieldPosition="0">
        <references count="1">
          <reference field="4294967294" count="1">
            <x v="0"/>
          </reference>
        </references>
      </pivotArea>
    </format>
    <format dxfId="854">
      <pivotArea dataOnly="0" labelOnly="1" fieldPosition="0">
        <references count="1">
          <reference field="117" count="2">
            <x v="339"/>
            <x v="340"/>
          </reference>
        </references>
      </pivotArea>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0.xml><?xml version="1.0" encoding="utf-8"?>
<pivotTableDefinition xmlns="http://schemas.openxmlformats.org/spreadsheetml/2006/main" xmlns:mc="http://schemas.openxmlformats.org/markup-compatibility/2006" xmlns:xr="http://schemas.microsoft.com/office/spreadsheetml/2014/revision" mc:Ignorable="xr" xr:uid="{00000000-0007-0000-0800-000007000000}" name="K_Traffic"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Township">
  <location ref="B10:F23" firstHeaderRow="0" firstDataRow="1" firstDataCol="1" rowPageCount="4" colPageCount="1"/>
  <pivotFields count="131">
    <pivotField axis="axisPage" subtotalTop="0" multipleItemSelectionAllowed="1" showAll="0">
      <items count="12">
        <item m="1" x="9"/>
        <item m="1" x="3"/>
        <item h="1" m="1" x="4"/>
        <item m="1" x="1"/>
        <item m="1" x="10"/>
        <item m="1" x="2"/>
        <item m="1" x="8"/>
        <item h="1" m="1" x="5"/>
        <item h="1" m="1" x="6"/>
        <item m="1" x="7"/>
        <item x="0"/>
        <item t="default"/>
      </items>
    </pivotField>
    <pivotField showAll="0" defaultSubtotal="0"/>
    <pivotField showAll="0" defaultSubtotal="0"/>
    <pivotField subtotalTop="0" showAll="0"/>
    <pivotField axis="axisPage" subtotalTop="0" showAll="0">
      <items count="7">
        <item x="0"/>
        <item m="1" x="5"/>
        <item x="3"/>
        <item m="1" x="4"/>
        <item x="1"/>
        <item x="2"/>
        <item t="default"/>
      </items>
    </pivotField>
    <pivotField axis="axisRow" subtotalTop="0" showAll="0" sortType="ascending">
      <items count="42">
        <item m="1" x="36"/>
        <item x="0"/>
        <item x="14"/>
        <item m="1" x="38"/>
        <item x="5"/>
        <item x="6"/>
        <item x="30"/>
        <item x="27"/>
        <item x="24"/>
        <item x="17"/>
        <item x="16"/>
        <item m="1" x="35"/>
        <item m="1" x="39"/>
        <item x="9"/>
        <item x="28"/>
        <item x="15"/>
        <item x="19"/>
        <item x="7"/>
        <item x="8"/>
        <item m="1" x="32"/>
        <item x="1"/>
        <item x="22"/>
        <item x="25"/>
        <item x="20"/>
        <item x="3"/>
        <item m="1" x="37"/>
        <item x="29"/>
        <item x="26"/>
        <item m="1" x="33"/>
        <item m="1" x="34"/>
        <item x="13"/>
        <item x="23"/>
        <item x="10"/>
        <item m="1" x="40"/>
        <item x="21"/>
        <item x="4"/>
        <item x="18"/>
        <item x="11"/>
        <item x="12"/>
        <item x="2"/>
        <item m="1" x="31"/>
        <item t="default"/>
      </items>
    </pivotField>
    <pivotField axis="axisPage" multipleItemSelectionAllowed="1" showAll="0" defaultSubtotal="0">
      <items count="10">
        <item x="1"/>
        <item x="0"/>
        <item m="1" x="9"/>
        <item m="1" x="6"/>
        <item h="1" m="1" x="5"/>
        <item h="1" x="2"/>
        <item h="1" m="1" x="8"/>
        <item h="1" x="4"/>
        <item m="1" x="7"/>
        <item h="1" x="3"/>
      </items>
    </pivotField>
    <pivotField subtotalTop="0" showAll="0"/>
    <pivotField subtotalTop="0" showAll="0"/>
    <pivotField dataField="1"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s>
  <rowFields count="1">
    <field x="5"/>
  </rowFields>
  <rowItems count="13">
    <i>
      <x v="1"/>
    </i>
    <i>
      <x v="4"/>
    </i>
    <i>
      <x v="5"/>
    </i>
    <i>
      <x v="13"/>
    </i>
    <i>
      <x v="17"/>
    </i>
    <i>
      <x v="18"/>
    </i>
    <i>
      <x v="20"/>
    </i>
    <i>
      <x v="24"/>
    </i>
    <i>
      <x v="32"/>
    </i>
    <i>
      <x v="35"/>
    </i>
    <i>
      <x v="37"/>
    </i>
    <i>
      <x v="39"/>
    </i>
    <i t="grand">
      <x/>
    </i>
  </rowItems>
  <colFields count="1">
    <field x="-2"/>
  </colFields>
  <colItems count="4">
    <i>
      <x/>
    </i>
    <i i="1">
      <x v="1"/>
    </i>
    <i i="2">
      <x v="2"/>
    </i>
    <i i="3">
      <x v="3"/>
    </i>
  </colItems>
  <pageFields count="4">
    <pageField fld="0" hier="-1"/>
    <pageField fld="121" item="0" hier="-1"/>
    <pageField fld="4" item="0" hier="-1"/>
    <pageField fld="6" hier="-1"/>
  </pageFields>
  <dataFields count="4">
    <dataField name="PoP " fld="9" baseField="0" baseItem="0" numFmtId="164"/>
    <dataField name=" % Water GAP" fld="128" baseField="0" baseItem="0" numFmtId="9"/>
    <dataField name=" % Sanitation GAP" fld="130" baseField="0" baseItem="0" numFmtId="9"/>
    <dataField name=" % Hygiene Gap" fld="125" baseField="0" baseItem="0" numFmtId="9"/>
  </dataFields>
  <formats count="35">
    <format dxfId="903">
      <pivotArea type="all" dataOnly="0" outline="0" fieldPosition="0"/>
    </format>
    <format dxfId="902">
      <pivotArea outline="0" collapsedLevelsAreSubtotals="1" fieldPosition="0"/>
    </format>
    <format dxfId="901">
      <pivotArea field="5" type="button" dataOnly="0" labelOnly="1" outline="0" axis="axisRow" fieldPosition="0"/>
    </format>
    <format dxfId="900">
      <pivotArea dataOnly="0" labelOnly="1" outline="0" axis="axisValues" fieldPosition="0"/>
    </format>
    <format dxfId="899">
      <pivotArea dataOnly="0" labelOnly="1" fieldPosition="0">
        <references count="1">
          <reference field="5" count="0"/>
        </references>
      </pivotArea>
    </format>
    <format dxfId="898">
      <pivotArea dataOnly="0" labelOnly="1" grandRow="1" outline="0" fieldPosition="0"/>
    </format>
    <format dxfId="897">
      <pivotArea dataOnly="0" labelOnly="1" outline="0" axis="axisValues" fieldPosition="0"/>
    </format>
    <format dxfId="896">
      <pivotArea type="all" dataOnly="0" outline="0" fieldPosition="0"/>
    </format>
    <format dxfId="895">
      <pivotArea field="5" type="button" dataOnly="0" labelOnly="1" outline="0" axis="axisRow" fieldPosition="0"/>
    </format>
    <format dxfId="894">
      <pivotArea dataOnly="0" labelOnly="1" outline="0" axis="axisValues" fieldPosition="0"/>
    </format>
    <format dxfId="893">
      <pivotArea dataOnly="0" labelOnly="1" fieldPosition="0">
        <references count="1">
          <reference field="5" count="0"/>
        </references>
      </pivotArea>
    </format>
    <format dxfId="892">
      <pivotArea dataOnly="0" labelOnly="1" outline="0" axis="axisValues" fieldPosition="0"/>
    </format>
    <format dxfId="891">
      <pivotArea field="5" type="button" dataOnly="0" labelOnly="1" outline="0" axis="axisRow" fieldPosition="0"/>
    </format>
    <format dxfId="890">
      <pivotArea type="all" dataOnly="0" outline="0" fieldPosition="0"/>
    </format>
    <format dxfId="889">
      <pivotArea field="5" type="button" dataOnly="0" labelOnly="1" outline="0" axis="axisRow" fieldPosition="0"/>
    </format>
    <format dxfId="888">
      <pivotArea dataOnly="0" labelOnly="1" fieldPosition="0">
        <references count="1">
          <reference field="5" count="0"/>
        </references>
      </pivotArea>
    </format>
    <format dxfId="887">
      <pivotArea dataOnly="0" labelOnly="1" outline="0" fieldPosition="0">
        <references count="1">
          <reference field="4294967294" count="1">
            <x v="0"/>
          </reference>
        </references>
      </pivotArea>
    </format>
    <format dxfId="886">
      <pivotArea type="all" dataOnly="0" outline="0" fieldPosition="0"/>
    </format>
    <format dxfId="885">
      <pivotArea outline="0" collapsedLevelsAreSubtotals="1" fieldPosition="0"/>
    </format>
    <format dxfId="884">
      <pivotArea field="5" type="button" dataOnly="0" labelOnly="1" outline="0" axis="axisRow" fieldPosition="0"/>
    </format>
    <format dxfId="883">
      <pivotArea dataOnly="0" labelOnly="1" fieldPosition="0">
        <references count="1">
          <reference field="5" count="0"/>
        </references>
      </pivotArea>
    </format>
    <format dxfId="882">
      <pivotArea dataOnly="0" labelOnly="1" outline="0" fieldPosition="0">
        <references count="1">
          <reference field="4294967294" count="1">
            <x v="0"/>
          </reference>
        </references>
      </pivotArea>
    </format>
    <format dxfId="881">
      <pivotArea field="5" type="button" dataOnly="0" labelOnly="1" outline="0" axis="axisRow" fieldPosition="0"/>
    </format>
    <format dxfId="880">
      <pivotArea dataOnly="0" labelOnly="1" outline="0" fieldPosition="0">
        <references count="1">
          <reference field="4294967294" count="1">
            <x v="0"/>
          </reference>
        </references>
      </pivotArea>
    </format>
    <format dxfId="879">
      <pivotArea outline="0" collapsedLevelsAreSubtotals="1" fieldPosition="0">
        <references count="1">
          <reference field="4294967294" count="1" selected="0">
            <x v="0"/>
          </reference>
        </references>
      </pivotArea>
    </format>
    <format dxfId="878">
      <pivotArea type="all" dataOnly="0" outline="0" fieldPosition="0"/>
    </format>
    <format dxfId="877">
      <pivotArea outline="0" collapsedLevelsAreSubtotals="1" fieldPosition="0"/>
    </format>
    <format dxfId="876">
      <pivotArea field="5" type="button" dataOnly="0" labelOnly="1" outline="0" axis="axisRow" fieldPosition="0"/>
    </format>
    <format dxfId="875">
      <pivotArea dataOnly="0" labelOnly="1" fieldPosition="0">
        <references count="1">
          <reference field="5" count="13">
            <x v="1"/>
            <x v="4"/>
            <x v="5"/>
            <x v="13"/>
            <x v="17"/>
            <x v="18"/>
            <x v="20"/>
            <x v="24"/>
            <x v="32"/>
            <x v="35"/>
            <x v="37"/>
            <x v="38"/>
            <x v="39"/>
          </reference>
        </references>
      </pivotArea>
    </format>
    <format dxfId="874">
      <pivotArea dataOnly="0" labelOnly="1" grandRow="1" outline="0" fieldPosition="0"/>
    </format>
    <format dxfId="873">
      <pivotArea dataOnly="0" labelOnly="1" outline="0" fieldPosition="0">
        <references count="1">
          <reference field="4294967294" count="1">
            <x v="0"/>
          </reference>
        </references>
      </pivotArea>
    </format>
    <format dxfId="872">
      <pivotArea field="4" type="button" dataOnly="0" labelOnly="1" outline="0" axis="axisPage" fieldPosition="2"/>
    </format>
    <format dxfId="871">
      <pivotArea dataOnly="0" labelOnly="1" outline="0" fieldPosition="0">
        <references count="2">
          <reference field="4" count="1">
            <x v="0"/>
          </reference>
          <reference field="121" count="1" selected="0">
            <x v="0"/>
          </reference>
        </references>
      </pivotArea>
    </format>
    <format dxfId="870">
      <pivotArea outline="0" collapsedLevelsAreSubtotals="1" fieldPosition="0">
        <references count="1">
          <reference field="4294967294" count="1" selected="0">
            <x v="2"/>
          </reference>
        </references>
      </pivotArea>
    </format>
    <format dxfId="869">
      <pivotArea outline="0" collapsedLevelsAreSubtotals="1" fieldPosition="0">
        <references count="1">
          <reference field="4294967294" count="1" selected="0">
            <x v="3"/>
          </reference>
        </references>
      </pivotArea>
    </format>
  </formats>
  <conditionalFormats count="1">
    <conditionalFormat priority="6">
      <pivotAreas count="1">
        <pivotArea type="data" outline="0" collapsedLevelsAreSubtotals="1" fieldPosition="0">
          <references count="1">
            <reference field="4294967294" count="3" selected="0">
              <x v="1"/>
              <x v="2"/>
              <x v="3"/>
            </reference>
          </references>
        </pivotArea>
      </pivotAreas>
    </conditionalFormat>
  </conditionalFormats>
  <chartFormats count="1">
    <chartFormat chart="1" format="7" series="1">
      <pivotArea type="data" outline="0" fieldPosition="0">
        <references count="1">
          <reference field="4294967294" count="1" selected="0">
            <x v="0"/>
          </reference>
        </references>
      </pivotArea>
    </chartFormat>
  </chart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1.xml><?xml version="1.0" encoding="utf-8"?>
<pivotTableDefinition xmlns="http://schemas.openxmlformats.org/spreadsheetml/2006/main" xmlns:mc="http://schemas.openxmlformats.org/markup-compatibility/2006" xmlns:xr="http://schemas.microsoft.com/office/spreadsheetml/2014/revision" mc:Ignorable="xr" xr:uid="{00000000-0007-0000-0800-000023000000}" name="W_R_C_G_V"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7" rowHeaderCaption="State" colHeaderCaption=" ">
  <location ref="K112:M120" firstHeaderRow="0" firstDataRow="1" firstDataCol="1" rowPageCount="4" colPageCount="1"/>
  <pivotFields count="131">
    <pivotField axis="axisPage" subtotalTop="0" multipleItemSelectionAllowed="1" showAll="0">
      <items count="12">
        <item m="1" x="9"/>
        <item m="1" x="3"/>
        <item h="1" m="1" x="4"/>
        <item h="1" m="1" x="1"/>
        <item m="1" x="10"/>
        <item m="1" x="2"/>
        <item h="1" m="1" x="8"/>
        <item h="1" m="1" x="5"/>
        <item h="1" m="1" x="6"/>
        <item m="1" x="7"/>
        <item x="0"/>
        <item t="default"/>
      </items>
    </pivotField>
    <pivotField showAll="0" defaultSubtotal="0"/>
    <pivotField showAll="0" defaultSubtotal="0"/>
    <pivotField subtotalTop="0" showAll="0"/>
    <pivotField axis="axisPage" subtotalTop="0" multipleItemSelectionAllowed="1" showAll="0">
      <items count="7">
        <item h="1" x="0"/>
        <item m="1" x="5"/>
        <item h="1" x="3"/>
        <item m="1" x="4"/>
        <item x="1"/>
        <item x="2"/>
        <item t="default"/>
      </items>
    </pivotField>
    <pivotField axis="axisRow" subtotalTop="0" showAll="0">
      <items count="42">
        <item m="1" x="36"/>
        <item x="0"/>
        <item x="14"/>
        <item x="5"/>
        <item x="6"/>
        <item x="30"/>
        <item x="27"/>
        <item x="24"/>
        <item x="17"/>
        <item x="16"/>
        <item m="1" x="35"/>
        <item m="1" x="39"/>
        <item x="9"/>
        <item x="28"/>
        <item x="15"/>
        <item x="19"/>
        <item x="7"/>
        <item x="8"/>
        <item x="1"/>
        <item x="22"/>
        <item x="25"/>
        <item x="20"/>
        <item x="3"/>
        <item m="1" x="37"/>
        <item x="29"/>
        <item x="26"/>
        <item m="1" x="34"/>
        <item x="13"/>
        <item x="23"/>
        <item x="10"/>
        <item m="1" x="40"/>
        <item x="21"/>
        <item x="4"/>
        <item x="18"/>
        <item x="11"/>
        <item x="12"/>
        <item x="2"/>
        <item m="1" x="32"/>
        <item m="1" x="33"/>
        <item m="1" x="31"/>
        <item m="1" x="38"/>
        <item t="default"/>
      </items>
    </pivotField>
    <pivotField axis="axisPage" multipleItemSelectionAllowed="1" showAll="0" defaultSubtotal="0">
      <items count="10">
        <item h="1" x="1"/>
        <item h="1" x="0"/>
        <item m="1" x="9"/>
        <item h="1" x="3"/>
        <item m="1" x="6"/>
        <item m="1" x="5"/>
        <item x="2"/>
        <item m="1" x="8"/>
        <item h="1" x="4"/>
        <item m="1" x="7"/>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s>
  <rowFields count="1">
    <field x="5"/>
  </rowFields>
  <rowItems count="8">
    <i>
      <x v="2"/>
    </i>
    <i>
      <x v="8"/>
    </i>
    <i>
      <x v="9"/>
    </i>
    <i>
      <x v="14"/>
    </i>
    <i>
      <x v="15"/>
    </i>
    <i>
      <x v="21"/>
    </i>
    <i>
      <x v="27"/>
    </i>
    <i>
      <x v="33"/>
    </i>
  </rowItems>
  <colFields count="1">
    <field x="-2"/>
  </colFields>
  <colItems count="2">
    <i>
      <x/>
    </i>
    <i i="1">
      <x v="1"/>
    </i>
  </colItems>
  <pageFields count="4">
    <pageField fld="0" hier="-1"/>
    <pageField fld="121" item="0" hier="-1"/>
    <pageField fld="4" hier="-1"/>
    <pageField fld="6" hier="-1"/>
  </pageFields>
  <dataFields count="2">
    <dataField name=" % Water Coverage" fld="127" baseField="0" baseItem="0"/>
    <dataField name=" % Water GAP" fld="128" baseField="0" baseItem="0"/>
  </dataFields>
  <formats count="13">
    <format dxfId="916">
      <pivotArea field="4" type="button" dataOnly="0" labelOnly="1" outline="0" axis="axisPage" fieldPosition="2"/>
    </format>
    <format dxfId="915">
      <pivotArea type="all" dataOnly="0" outline="0" fieldPosition="0"/>
    </format>
    <format dxfId="914">
      <pivotArea outline="0" collapsedLevelsAreSubtotals="1" fieldPosition="0"/>
    </format>
    <format dxfId="913">
      <pivotArea field="4" type="button" dataOnly="0" labelOnly="1" outline="0" axis="axisPage" fieldPosition="2"/>
    </format>
    <format dxfId="912">
      <pivotArea type="all" dataOnly="0" outline="0" fieldPosition="0"/>
    </format>
    <format dxfId="911">
      <pivotArea outline="0" collapsedLevelsAreSubtotals="1" fieldPosition="0"/>
    </format>
    <format dxfId="910">
      <pivotArea outline="0" collapsedLevelsAreSubtotals="1" fieldPosition="0"/>
    </format>
    <format dxfId="909">
      <pivotArea field="5" type="button" dataOnly="0" labelOnly="1" outline="0" axis="axisRow" fieldPosition="0"/>
    </format>
    <format dxfId="908">
      <pivotArea field="5" type="button" dataOnly="0" labelOnly="1" outline="0" axis="axisRow" fieldPosition="0"/>
    </format>
    <format dxfId="907">
      <pivotArea field="5" type="button" dataOnly="0" labelOnly="1" outline="0" axis="axisRow" fieldPosition="0"/>
    </format>
    <format dxfId="906">
      <pivotArea field="4" type="button" dataOnly="0" labelOnly="1" outline="0" axis="axisPage" fieldPosition="2"/>
    </format>
    <format dxfId="905">
      <pivotArea dataOnly="0" labelOnly="1" outline="0" fieldPosition="0">
        <references count="2">
          <reference field="4" count="1">
            <x v="1"/>
          </reference>
          <reference field="121" count="1" selected="0">
            <x v="0"/>
          </reference>
        </references>
      </pivotArea>
    </format>
    <format dxfId="904">
      <pivotArea dataOnly="0" labelOnly="1" outline="0" fieldPosition="0">
        <references count="2">
          <reference field="4" count="1">
            <x v="2"/>
          </reference>
          <reference field="121" count="1" selected="0">
            <x v="0"/>
          </reference>
        </references>
      </pivotArea>
    </format>
  </formats>
  <chartFormats count="2">
    <chartFormat chart="44" format="3" series="1">
      <pivotArea type="data" outline="0" fieldPosition="0">
        <references count="1">
          <reference field="4294967294" count="1" selected="0">
            <x v="0"/>
          </reference>
        </references>
      </pivotArea>
    </chartFormat>
    <chartFormat chart="44" format="4" series="1">
      <pivotArea type="data" outline="0" fieldPosition="0">
        <references count="1">
          <reference field="4294967294" count="1" selected="0">
            <x v="1"/>
          </reference>
        </references>
      </pivotArea>
    </chartFormat>
  </chart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2.xml><?xml version="1.0" encoding="utf-8"?>
<pivotTableDefinition xmlns="http://schemas.openxmlformats.org/spreadsheetml/2006/main" xmlns:mc="http://schemas.openxmlformats.org/markup-compatibility/2006" xmlns:xr="http://schemas.microsoft.com/office/spreadsheetml/2014/revision" mc:Ignorable="xr" xr:uid="{00000000-0007-0000-0800-000015000000}" name="R_S_CG_C"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2" rowHeaderCaption="State" colHeaderCaption=" ">
  <location ref="B222:D227" firstHeaderRow="0" firstDataRow="1" firstDataCol="1" rowPageCount="4" colPageCount="1"/>
  <pivotFields count="131">
    <pivotField axis="axisPage" subtotalTop="0" multipleItemSelectionAllowed="1" showAll="0">
      <items count="12">
        <item m="1" x="9"/>
        <item m="1" x="3"/>
        <item h="1" m="1" x="4"/>
        <item h="1" m="1" x="1"/>
        <item m="1" x="10"/>
        <item m="1" x="2"/>
        <item h="1" m="1" x="8"/>
        <item h="1" m="1" x="5"/>
        <item h="1" m="1" x="6"/>
        <item m="1" x="7"/>
        <item x="0"/>
        <item t="default"/>
      </items>
    </pivotField>
    <pivotField showAll="0" defaultSubtotal="0"/>
    <pivotField showAll="0" defaultSubtotal="0"/>
    <pivotField subtotalTop="0" showAll="0"/>
    <pivotField axis="axisPage" subtotalTop="0" multipleItemSelectionAllowed="1" showAll="0">
      <items count="7">
        <item h="1" x="0"/>
        <item m="1" x="5"/>
        <item h="1" x="3"/>
        <item m="1" x="4"/>
        <item x="1"/>
        <item x="2"/>
        <item t="default"/>
      </items>
    </pivotField>
    <pivotField axis="axisRow" subtotalTop="0" showAll="0">
      <items count="42">
        <item m="1" x="36"/>
        <item x="0"/>
        <item x="14"/>
        <item x="5"/>
        <item x="6"/>
        <item x="30"/>
        <item x="27"/>
        <item x="24"/>
        <item x="17"/>
        <item x="16"/>
        <item m="1" x="35"/>
        <item m="1" x="39"/>
        <item x="9"/>
        <item x="28"/>
        <item x="15"/>
        <item x="19"/>
        <item x="7"/>
        <item x="8"/>
        <item x="1"/>
        <item x="22"/>
        <item x="25"/>
        <item x="20"/>
        <item x="3"/>
        <item m="1" x="37"/>
        <item x="29"/>
        <item x="26"/>
        <item m="1" x="34"/>
        <item x="13"/>
        <item x="23"/>
        <item x="10"/>
        <item m="1" x="40"/>
        <item x="21"/>
        <item x="4"/>
        <item x="18"/>
        <item x="11"/>
        <item x="12"/>
        <item x="2"/>
        <item m="1" x="32"/>
        <item m="1" x="33"/>
        <item m="1" x="31"/>
        <item m="1" x="38"/>
        <item t="default"/>
      </items>
    </pivotField>
    <pivotField axis="axisPage" multipleItemSelectionAllowed="1" showAll="0" defaultSubtotal="0">
      <items count="10">
        <item x="1"/>
        <item x="0"/>
        <item m="1" x="9"/>
        <item h="1" x="3"/>
        <item m="1" x="6"/>
        <item m="1" x="5"/>
        <item h="1" x="2"/>
        <item m="1" x="8"/>
        <item h="1" x="4"/>
        <item m="1" x="7"/>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howAll="0" defaultSubtotal="0"/>
    <pivotField showAll="0"/>
    <pivotField subtotalTop="0" showAll="0"/>
    <pivotField showAll="0" defaultSubtotal="0"/>
    <pivotField showAll="0" defaultSubtotal="0"/>
    <pivotField subtotalTop="0" showAll="0"/>
    <pivotField numFmtId="9" subtotalTop="0" showAll="0"/>
    <pivotField showAll="0" defaultSubtotal="0"/>
    <pivotField subtotalTop="0" showAll="0"/>
    <pivotField subtotalTop="0" showAll="0"/>
    <pivotField numFmtId="1" showAll="0" defaultSubtotal="0"/>
    <pivotField numFmtId="9" showAll="0"/>
    <pivotField numFmtId="1" showAll="0" defaultSubtotal="0"/>
    <pivotField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numFmtId="9" subtotalTop="0" showAll="0"/>
    <pivotField numFmtId="1" showAll="0" defaultSubtotal="0"/>
    <pivotField subtotalTop="0" showAll="0"/>
    <pivotField numFmtId="1" showAll="0" defaultSubtotal="0"/>
    <pivotField numFmtId="1"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s>
  <rowFields count="1">
    <field x="5"/>
  </rowFields>
  <rowItems count="5">
    <i>
      <x v="8"/>
    </i>
    <i>
      <x v="9"/>
    </i>
    <i>
      <x v="21"/>
    </i>
    <i>
      <x v="27"/>
    </i>
    <i>
      <x v="33"/>
    </i>
  </rowItems>
  <colFields count="1">
    <field x="-2"/>
  </colFields>
  <colItems count="2">
    <i>
      <x/>
    </i>
    <i i="1">
      <x v="1"/>
    </i>
  </colItems>
  <pageFields count="4">
    <pageField fld="0" hier="-1"/>
    <pageField fld="121" item="0" hier="-1"/>
    <pageField fld="4" hier="-1"/>
    <pageField fld="6" hier="-1"/>
  </pageFields>
  <dataFields count="2">
    <dataField name="  % Sanitation Coverage" fld="129" baseField="0" baseItem="0" numFmtId="1"/>
    <dataField name="  % Sanitation GAP" fld="130" baseField="0" baseItem="0" numFmtId="1"/>
  </dataFields>
  <formats count="14">
    <format dxfId="930">
      <pivotArea field="4" type="button" dataOnly="0" labelOnly="1" outline="0" axis="axisPage" fieldPosition="2"/>
    </format>
    <format dxfId="929">
      <pivotArea type="all" dataOnly="0" outline="0" fieldPosition="0"/>
    </format>
    <format dxfId="928">
      <pivotArea outline="0" collapsedLevelsAreSubtotals="1" fieldPosition="0"/>
    </format>
    <format dxfId="927">
      <pivotArea field="4" type="button" dataOnly="0" labelOnly="1" outline="0" axis="axisPage" fieldPosition="2"/>
    </format>
    <format dxfId="926">
      <pivotArea type="all" dataOnly="0" outline="0" fieldPosition="0"/>
    </format>
    <format dxfId="925">
      <pivotArea outline="0" collapsedLevelsAreSubtotals="1" fieldPosition="0"/>
    </format>
    <format dxfId="924">
      <pivotArea outline="0" collapsedLevelsAreSubtotals="1" fieldPosition="0"/>
    </format>
    <format dxfId="923">
      <pivotArea field="5" type="button" dataOnly="0" labelOnly="1" outline="0" axis="axisRow" fieldPosition="0"/>
    </format>
    <format dxfId="922">
      <pivotArea field="5" type="button" dataOnly="0" labelOnly="1" outline="0" axis="axisRow" fieldPosition="0"/>
    </format>
    <format dxfId="921">
      <pivotArea field="5" type="button" dataOnly="0" labelOnly="1" outline="0" axis="axisRow" fieldPosition="0"/>
    </format>
    <format dxfId="920">
      <pivotArea field="4" type="button" dataOnly="0" labelOnly="1" outline="0" axis="axisPage" fieldPosition="2"/>
    </format>
    <format dxfId="919">
      <pivotArea dataOnly="0" labelOnly="1" outline="0" fieldPosition="0">
        <references count="2">
          <reference field="4" count="1">
            <x v="1"/>
          </reference>
          <reference field="121" count="1" selected="0">
            <x v="0"/>
          </reference>
        </references>
      </pivotArea>
    </format>
    <format dxfId="918">
      <pivotArea dataOnly="0" labelOnly="1" outline="0" fieldPosition="0">
        <references count="2">
          <reference field="4" count="1">
            <x v="1"/>
          </reference>
          <reference field="121" count="1" selected="0">
            <x v="0"/>
          </reference>
        </references>
      </pivotArea>
    </format>
    <format dxfId="917">
      <pivotArea dataOnly="0" labelOnly="1" outline="0" fieldPosition="0">
        <references count="2">
          <reference field="4" count="1">
            <x v="2"/>
          </reference>
          <reference field="121" count="1" selected="0">
            <x v="0"/>
          </reference>
        </references>
      </pivotArea>
    </format>
  </formats>
  <chartFormats count="2">
    <chartFormat chart="39" format="3" series="1">
      <pivotArea type="data" outline="0" fieldPosition="0">
        <references count="1">
          <reference field="4294967294" count="1" selected="0">
            <x v="0"/>
          </reference>
        </references>
      </pivotArea>
    </chartFormat>
    <chartFormat chart="39" format="4"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3.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0"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chartFormat="5">
  <location ref="A29:F65" firstHeaderRow="0" firstDataRow="1" firstDataCol="2" rowPageCount="1" colPageCount="1"/>
  <pivotFields count="131">
    <pivotField axis="axisPage" compact="0" outline="0" multipleItemSelectionAllowed="1" showAll="0">
      <items count="12">
        <item m="1" x="8"/>
        <item m="1" x="9"/>
        <item m="1" x="3"/>
        <item m="1" x="10"/>
        <item m="1" x="4"/>
        <item m="1" x="2"/>
        <item m="1" x="1"/>
        <item m="1" x="5"/>
        <item m="1" x="6"/>
        <item m="1" x="7"/>
        <item x="0"/>
        <item t="default"/>
      </items>
    </pivotField>
    <pivotField compact="0" outline="0" showAll="0" defaultSubtotal="0">
      <items count="43">
        <item x="16"/>
        <item x="32"/>
        <item x="33"/>
        <item x="13"/>
        <item x="21"/>
        <item x="19"/>
        <item x="15"/>
        <item x="4"/>
        <item x="8"/>
        <item x="3"/>
        <item x="12"/>
        <item x="22"/>
        <item x="1"/>
        <item x="6"/>
        <item x="27"/>
        <item x="31"/>
        <item x="26"/>
        <item x="25"/>
        <item x="24"/>
        <item m="1" x="41"/>
        <item x="28"/>
        <item m="1" x="39"/>
        <item x="29"/>
        <item x="2"/>
        <item x="23"/>
        <item x="35"/>
        <item x="34"/>
        <item x="17"/>
        <item m="1" x="40"/>
        <item x="14"/>
        <item m="1" x="42"/>
        <item x="18"/>
        <item x="10"/>
        <item x="20"/>
        <item x="9"/>
        <item x="37"/>
        <item x="5"/>
        <item x="0"/>
        <item x="11"/>
        <item x="30"/>
        <item x="7"/>
        <item x="36"/>
        <item m="1" x="38"/>
      </items>
    </pivotField>
    <pivotField compact="0" outline="0" showAll="0" defaultSubtotal="0"/>
    <pivotField compact="0" outline="0" showAll="0"/>
    <pivotField axis="axisRow" compact="0" outline="0" showAll="0">
      <items count="7">
        <item x="0"/>
        <item m="1" x="5"/>
        <item x="3"/>
        <item m="1" x="4"/>
        <item x="1"/>
        <item x="2"/>
        <item t="default"/>
      </items>
    </pivotField>
    <pivotField axis="axisRow" compact="0" outline="0" showAll="0">
      <items count="42">
        <item m="1" x="36"/>
        <item x="0"/>
        <item x="14"/>
        <item x="5"/>
        <item x="6"/>
        <item x="30"/>
        <item x="27"/>
        <item x="24"/>
        <item x="17"/>
        <item x="16"/>
        <item m="1" x="35"/>
        <item m="1" x="39"/>
        <item x="9"/>
        <item x="28"/>
        <item x="15"/>
        <item x="19"/>
        <item x="7"/>
        <item x="8"/>
        <item x="1"/>
        <item x="22"/>
        <item x="25"/>
        <item x="20"/>
        <item x="3"/>
        <item x="29"/>
        <item x="26"/>
        <item m="1" x="34"/>
        <item x="13"/>
        <item x="23"/>
        <item x="10"/>
        <item m="1" x="40"/>
        <item x="21"/>
        <item x="4"/>
        <item x="18"/>
        <item x="11"/>
        <item x="12"/>
        <item x="2"/>
        <item m="1" x="37"/>
        <item m="1" x="32"/>
        <item m="1" x="33"/>
        <item m="1" x="31"/>
        <item m="1" x="38"/>
        <item t="default"/>
      </items>
    </pivotField>
    <pivotField compact="0" outline="0" showAll="0" defaultSubtotal="0">
      <items count="10">
        <item x="1"/>
        <item x="0"/>
        <item m="1" x="9"/>
        <item x="3"/>
        <item m="1" x="6"/>
        <item m="1" x="5"/>
        <item x="2"/>
        <item m="1" x="8"/>
        <item x="4"/>
        <item m="1" x="7"/>
      </items>
    </pivotField>
    <pivotField compact="0" outline="0" showAll="0"/>
    <pivotField compact="0" outline="0" showAll="0"/>
    <pivotField dataField="1" compact="0" numFmtId="1"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9" outline="0" showAll="0"/>
    <pivotField compact="0" numFmtId="9" outline="0" showAll="0"/>
    <pivotField compact="0" numFmtId="9" outline="0" showAll="0"/>
    <pivotField compact="0" outline="0" showAll="0" defaultSubtotal="0"/>
    <pivotField compact="0" outline="0" showAll="0"/>
    <pivotField compact="0" numFmtId="1" outline="0" showAll="0"/>
    <pivotField compact="0" outline="0" showAll="0" defaultSubtota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1" outline="0" showAll="0" defaultSubtotal="0"/>
    <pivotField compact="0" numFmtId="9" outline="0" showAll="0"/>
    <pivotField dataField="1" compact="0" numFmtId="1" outline="0" showAll="0" defaultSubtotal="0"/>
    <pivotField compact="0" outline="0" showAll="0" defaultSubtotal="0"/>
    <pivotField compact="0" outline="0" showAll="0" defaultSubtota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numFmtId="9" outline="0" showAll="0"/>
    <pivotField compact="0" numFmtId="1" outline="0" showAll="0" defaultSubtotal="0"/>
    <pivotField compact="0" numFmtId="1" outline="0" showAll="0"/>
    <pivotField compact="0" numFmtId="1" outline="0" showAll="0" defaultSubtotal="0"/>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4"/>
    <field x="5"/>
  </rowFields>
  <rowItems count="36">
    <i>
      <x/>
      <x v="1"/>
    </i>
    <i r="1">
      <x v="3"/>
    </i>
    <i r="1">
      <x v="4"/>
    </i>
    <i r="1">
      <x v="12"/>
    </i>
    <i r="1">
      <x v="16"/>
    </i>
    <i r="1">
      <x v="17"/>
    </i>
    <i r="1">
      <x v="18"/>
    </i>
    <i r="1">
      <x v="22"/>
    </i>
    <i r="1">
      <x v="28"/>
    </i>
    <i r="1">
      <x v="31"/>
    </i>
    <i r="1">
      <x v="33"/>
    </i>
    <i r="1">
      <x v="34"/>
    </i>
    <i r="1">
      <x v="35"/>
    </i>
    <i t="default">
      <x/>
    </i>
    <i>
      <x v="2"/>
      <x v="5"/>
    </i>
    <i r="1">
      <x v="6"/>
    </i>
    <i r="1">
      <x v="7"/>
    </i>
    <i r="1">
      <x v="13"/>
    </i>
    <i r="1">
      <x v="20"/>
    </i>
    <i r="1">
      <x v="23"/>
    </i>
    <i r="1">
      <x v="24"/>
    </i>
    <i t="default">
      <x v="2"/>
    </i>
    <i>
      <x v="4"/>
      <x v="8"/>
    </i>
    <i r="1">
      <x v="9"/>
    </i>
    <i r="1">
      <x v="15"/>
    </i>
    <i r="1">
      <x v="19"/>
    </i>
    <i r="1">
      <x v="21"/>
    </i>
    <i r="1">
      <x v="26"/>
    </i>
    <i r="1">
      <x v="27"/>
    </i>
    <i r="1">
      <x v="32"/>
    </i>
    <i t="default">
      <x v="4"/>
    </i>
    <i>
      <x v="5"/>
      <x v="2"/>
    </i>
    <i r="1">
      <x v="14"/>
    </i>
    <i r="1">
      <x v="30"/>
    </i>
    <i t="default">
      <x v="5"/>
    </i>
    <i t="grand">
      <x/>
    </i>
  </rowItems>
  <colFields count="1">
    <field x="-2"/>
  </colFields>
  <colItems count="4">
    <i>
      <x/>
    </i>
    <i i="1">
      <x v="1"/>
    </i>
    <i i="2">
      <x v="2"/>
    </i>
    <i i="3">
      <x v="3"/>
    </i>
  </colItems>
  <pageFields count="1">
    <pageField fld="0" hier="-1"/>
  </pageFields>
  <dataFields count="4">
    <dataField name="Total Population" fld="9" baseField="0" baseItem="0"/>
    <dataField name="Number of People adopt basic personal and community hygiene practices" fld="102" baseField="0" baseItem="0"/>
    <dataField name="Number of people with equitable and continuous access to safe sanitation facilities" fld="91" baseField="0" baseItem="0"/>
    <dataField name="Number of people with equitable and continuous access to sufficient quantity of domestic water" fld="83" baseField="0" baseItem="0"/>
  </dataFields>
  <formats count="25">
    <format dxfId="128">
      <pivotArea field="4" type="button" dataOnly="0" labelOnly="1" outline="0" axis="axisRow" fieldPosition="0"/>
    </format>
    <format dxfId="127">
      <pivotArea field="5" type="button" dataOnly="0" labelOnly="1" outline="0" axis="axisRow" fieldPosition="1"/>
    </format>
    <format dxfId="126">
      <pivotArea dataOnly="0" labelOnly="1" outline="0" fieldPosition="0">
        <references count="1">
          <reference field="4294967294" count="1">
            <x v="0"/>
          </reference>
        </references>
      </pivotArea>
    </format>
    <format dxfId="125">
      <pivotArea field="4" type="button" dataOnly="0" labelOnly="1" outline="0" axis="axisRow" fieldPosition="0"/>
    </format>
    <format dxfId="124">
      <pivotArea field="5" type="button" dataOnly="0" labelOnly="1" outline="0" axis="axisRow" fieldPosition="1"/>
    </format>
    <format dxfId="123">
      <pivotArea dataOnly="0" labelOnly="1" outline="0" fieldPosition="0">
        <references count="1">
          <reference field="4294967294" count="1">
            <x v="0"/>
          </reference>
        </references>
      </pivotArea>
    </format>
    <format dxfId="122">
      <pivotArea field="4" type="button" dataOnly="0" labelOnly="1" outline="0" axis="axisRow" fieldPosition="0"/>
    </format>
    <format dxfId="121">
      <pivotArea field="5" type="button" dataOnly="0" labelOnly="1" outline="0" axis="axisRow" fieldPosition="1"/>
    </format>
    <format dxfId="120">
      <pivotArea dataOnly="0" labelOnly="1" outline="0" fieldPosition="0">
        <references count="1">
          <reference field="4294967294" count="1">
            <x v="0"/>
          </reference>
        </references>
      </pivotArea>
    </format>
    <format dxfId="119">
      <pivotArea dataOnly="0" labelOnly="1" outline="0" fieldPosition="0">
        <references count="1">
          <reference field="4294967294" count="1">
            <x v="0"/>
          </reference>
        </references>
      </pivotArea>
    </format>
    <format dxfId="118">
      <pivotArea dataOnly="0" labelOnly="1" outline="0" fieldPosition="0">
        <references count="1">
          <reference field="4294967294" count="1">
            <x v="0"/>
          </reference>
        </references>
      </pivotArea>
    </format>
    <format dxfId="117">
      <pivotArea type="all" dataOnly="0" outline="0" fieldPosition="0"/>
    </format>
    <format dxfId="116">
      <pivotArea outline="0" collapsedLevelsAreSubtotals="1" fieldPosition="0"/>
    </format>
    <format dxfId="115">
      <pivotArea field="4" type="button" dataOnly="0" labelOnly="1" outline="0" axis="axisRow" fieldPosition="0"/>
    </format>
    <format dxfId="114">
      <pivotArea field="5" type="button" dataOnly="0" labelOnly="1" outline="0" axis="axisRow" fieldPosition="1"/>
    </format>
    <format dxfId="113">
      <pivotArea dataOnly="0" labelOnly="1" outline="0" fieldPosition="0">
        <references count="1">
          <reference field="4" count="0"/>
        </references>
      </pivotArea>
    </format>
    <format dxfId="112">
      <pivotArea dataOnly="0" labelOnly="1" outline="0" fieldPosition="0">
        <references count="1">
          <reference field="4" count="0" defaultSubtotal="1"/>
        </references>
      </pivotArea>
    </format>
    <format dxfId="111">
      <pivotArea dataOnly="0" labelOnly="1" grandRow="1" outline="0" fieldPosition="0"/>
    </format>
    <format dxfId="110">
      <pivotArea dataOnly="0" labelOnly="1" outline="0" fieldPosition="0">
        <references count="2">
          <reference field="4" count="1" selected="0">
            <x v="0"/>
          </reference>
          <reference field="5" count="13">
            <x v="1"/>
            <x v="3"/>
            <x v="4"/>
            <x v="12"/>
            <x v="16"/>
            <x v="17"/>
            <x v="18"/>
            <x v="22"/>
            <x v="28"/>
            <x v="31"/>
            <x v="33"/>
            <x v="34"/>
            <x v="35"/>
          </reference>
        </references>
      </pivotArea>
    </format>
    <format dxfId="109">
      <pivotArea dataOnly="0" labelOnly="1" outline="0" fieldPosition="0">
        <references count="2">
          <reference field="4" count="1" selected="0">
            <x v="0"/>
          </reference>
          <reference field="5" count="13" defaultSubtotal="1">
            <x v="1"/>
            <x v="3"/>
            <x v="4"/>
            <x v="12"/>
            <x v="16"/>
            <x v="17"/>
            <x v="18"/>
            <x v="22"/>
            <x v="28"/>
            <x v="31"/>
            <x v="33"/>
            <x v="34"/>
            <x v="35"/>
          </reference>
        </references>
      </pivotArea>
    </format>
    <format dxfId="108">
      <pivotArea dataOnly="0" labelOnly="1" outline="0" fieldPosition="0">
        <references count="2">
          <reference field="4" count="1" selected="0">
            <x v="1"/>
          </reference>
          <reference field="5" count="12">
            <x v="0"/>
            <x v="2"/>
            <x v="8"/>
            <x v="9"/>
            <x v="14"/>
            <x v="15"/>
            <x v="19"/>
            <x v="21"/>
            <x v="26"/>
            <x v="27"/>
            <x v="30"/>
            <x v="32"/>
          </reference>
        </references>
      </pivotArea>
    </format>
    <format dxfId="107">
      <pivotArea dataOnly="0" labelOnly="1" outline="0" fieldPosition="0">
        <references count="2">
          <reference field="4" count="1" selected="0">
            <x v="1"/>
          </reference>
          <reference field="5" count="12" defaultSubtotal="1">
            <x v="0"/>
            <x v="2"/>
            <x v="8"/>
            <x v="9"/>
            <x v="14"/>
            <x v="15"/>
            <x v="19"/>
            <x v="21"/>
            <x v="26"/>
            <x v="27"/>
            <x v="30"/>
            <x v="32"/>
          </reference>
        </references>
      </pivotArea>
    </format>
    <format dxfId="106">
      <pivotArea dataOnly="0" labelOnly="1" outline="0" fieldPosition="0">
        <references count="2">
          <reference field="4" count="1" selected="0">
            <x v="2"/>
          </reference>
          <reference field="5" count="7">
            <x v="5"/>
            <x v="6"/>
            <x v="7"/>
            <x v="13"/>
            <x v="20"/>
            <x v="23"/>
            <x v="24"/>
          </reference>
        </references>
      </pivotArea>
    </format>
    <format dxfId="105">
      <pivotArea dataOnly="0" labelOnly="1" outline="0" fieldPosition="0">
        <references count="2">
          <reference field="4" count="1" selected="0">
            <x v="2"/>
          </reference>
          <reference field="5" count="7" defaultSubtotal="1">
            <x v="5"/>
            <x v="6"/>
            <x v="7"/>
            <x v="13"/>
            <x v="20"/>
            <x v="23"/>
            <x v="24"/>
          </reference>
        </references>
      </pivotArea>
    </format>
    <format dxfId="104">
      <pivotArea dataOnly="0" labelOnly="1" outline="0" fieldPosition="0">
        <references count="1">
          <reference field="4294967294" count="1">
            <x v="0"/>
          </reference>
        </references>
      </pivotArea>
    </format>
  </formats>
  <chartFormats count="4">
    <chartFormat chart="1" format="0"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3"/>
          </reference>
        </references>
      </pivotArea>
    </chartFormat>
    <chartFormat chart="1" format="5" series="1">
      <pivotArea type="data" outline="0" fieldPosition="0">
        <references count="1">
          <reference field="4294967294" count="1" selected="0">
            <x v="2"/>
          </reference>
        </references>
      </pivotArea>
    </chartFormat>
    <chartFormat chart="1" format="6"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4.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1" cacheId="0"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chartFormat="8">
  <location ref="A38:E573" firstHeaderRow="0" firstDataRow="1" firstDataCol="1" rowPageCount="3" colPageCount="1"/>
  <pivotFields count="131">
    <pivotField axis="axisPage" compact="0" outline="0" showAll="0">
      <items count="12">
        <item m="1" x="8"/>
        <item m="1" x="9"/>
        <item m="1" x="3"/>
        <item m="1" x="10"/>
        <item m="1" x="4"/>
        <item m="1" x="2"/>
        <item m="1" x="1"/>
        <item m="1" x="5"/>
        <item m="1" x="6"/>
        <item m="1" x="7"/>
        <item x="0"/>
        <item t="default"/>
      </items>
    </pivotField>
    <pivotField compact="0" outline="0" showAll="0" defaultSubtotal="0"/>
    <pivotField compact="0" outline="0" showAll="0" defaultSubtotal="0">
      <items count="42">
        <item x="17"/>
        <item x="34"/>
        <item x="35"/>
        <item x="14"/>
        <item x="22"/>
        <item x="20"/>
        <item x="16"/>
        <item x="4"/>
        <item x="8"/>
        <item x="3"/>
        <item x="12"/>
        <item x="23"/>
        <item x="1"/>
        <item x="6"/>
        <item x="10"/>
        <item x="28"/>
        <item x="30"/>
        <item x="32"/>
        <item x="27"/>
        <item x="26"/>
        <item m="1" x="41"/>
        <item x="25"/>
        <item x="29"/>
        <item m="1" x="40"/>
        <item x="2"/>
        <item x="24"/>
        <item x="37"/>
        <item x="36"/>
        <item x="18"/>
        <item x="15"/>
        <item x="19"/>
        <item x="21"/>
        <item x="9"/>
        <item x="38"/>
        <item x="5"/>
        <item x="0"/>
        <item x="11"/>
        <item x="31"/>
        <item x="33"/>
        <item x="13"/>
        <item x="7"/>
        <item m="1" x="39"/>
      </items>
    </pivotField>
    <pivotField compact="0" outline="0" showAll="0"/>
    <pivotField axis="axisPage" compact="0" outline="0" showAll="0">
      <items count="7">
        <item x="0"/>
        <item m="1" x="5"/>
        <item x="3"/>
        <item m="1" x="4"/>
        <item x="1"/>
        <item x="2"/>
        <item t="default"/>
      </items>
    </pivotField>
    <pivotField axis="axisPage" compact="0" outline="0" showAll="0">
      <items count="42">
        <item m="1" x="36"/>
        <item x="0"/>
        <item x="14"/>
        <item x="5"/>
        <item x="6"/>
        <item x="30"/>
        <item x="27"/>
        <item x="24"/>
        <item x="17"/>
        <item x="16"/>
        <item m="1" x="35"/>
        <item m="1" x="39"/>
        <item x="9"/>
        <item x="28"/>
        <item x="15"/>
        <item x="19"/>
        <item x="7"/>
        <item x="8"/>
        <item x="1"/>
        <item x="22"/>
        <item x="25"/>
        <item x="20"/>
        <item x="3"/>
        <item x="29"/>
        <item x="26"/>
        <item m="1" x="34"/>
        <item x="13"/>
        <item x="23"/>
        <item x="10"/>
        <item m="1" x="40"/>
        <item x="21"/>
        <item x="4"/>
        <item x="18"/>
        <item x="11"/>
        <item x="12"/>
        <item x="2"/>
        <item m="1" x="37"/>
        <item m="1" x="32"/>
        <item m="1" x="33"/>
        <item m="1" x="31"/>
        <item m="1" x="38"/>
        <item t="default"/>
      </items>
    </pivotField>
    <pivotField compact="0" outline="0" showAll="0" defaultSubtotal="0">
      <items count="10">
        <item x="1"/>
        <item x="0"/>
        <item m="1" x="9"/>
        <item x="3"/>
        <item m="1" x="6"/>
        <item m="1" x="5"/>
        <item x="2"/>
        <item m="1" x="8"/>
        <item x="4"/>
        <item m="1" x="7"/>
      </items>
    </pivotField>
    <pivotField axis="axisRow" compact="0" outline="0" showAll="0">
      <items count="975">
        <item x="16"/>
        <item x="0"/>
        <item x="1"/>
        <item x="19"/>
        <item x="20"/>
        <item x="2"/>
        <item m="1" x="615"/>
        <item m="1" x="737"/>
        <item x="350"/>
        <item m="1" x="591"/>
        <item m="1" x="723"/>
        <item m="1" x="782"/>
        <item m="1" x="789"/>
        <item m="1" x="680"/>
        <item m="1" x="592"/>
        <item m="1" x="923"/>
        <item m="1" x="876"/>
        <item m="1" x="598"/>
        <item m="1" x="810"/>
        <item x="377"/>
        <item x="331"/>
        <item x="162"/>
        <item x="367"/>
        <item m="1" x="918"/>
        <item m="1" x="631"/>
        <item m="1" x="851"/>
        <item m="1" x="650"/>
        <item m="1" x="660"/>
        <item m="1" x="658"/>
        <item m="1" x="613"/>
        <item x="4"/>
        <item x="185"/>
        <item m="1" x="963"/>
        <item m="1" x="816"/>
        <item m="1" x="687"/>
        <item m="1" x="625"/>
        <item x="21"/>
        <item m="1" x="651"/>
        <item x="221"/>
        <item m="1" x="870"/>
        <item m="1" x="900"/>
        <item x="222"/>
        <item x="303"/>
        <item x="248"/>
        <item m="1" x="847"/>
        <item m="1" x="848"/>
        <item m="1" x="729"/>
        <item x="3"/>
        <item m="1" x="648"/>
        <item x="5"/>
        <item m="1" x="958"/>
        <item m="1" x="936"/>
        <item m="1" x="815"/>
        <item x="43"/>
        <item x="295"/>
        <item m="1" x="808"/>
        <item m="1" x="826"/>
        <item m="1" x="545"/>
        <item m="1" x="556"/>
        <item x="22"/>
        <item m="1" x="906"/>
        <item m="1" x="668"/>
        <item m="1" x="624"/>
        <item m="1" x="666"/>
        <item x="13"/>
        <item m="1" x="761"/>
        <item m="1" x="842"/>
        <item m="1" x="541"/>
        <item m="1" x="813"/>
        <item x="304"/>
        <item x="305"/>
        <item m="1" x="558"/>
        <item m="1" x="633"/>
        <item m="1" x="902"/>
        <item x="23"/>
        <item m="1" x="869"/>
        <item m="1" x="732"/>
        <item x="358"/>
        <item m="1" x="921"/>
        <item x="473"/>
        <item m="1" x="642"/>
        <item x="14"/>
        <item m="1" x="853"/>
        <item x="9"/>
        <item m="1" x="928"/>
        <item m="1" x="614"/>
        <item m="1" x="940"/>
        <item x="351"/>
        <item m="1" x="735"/>
        <item m="1" x="751"/>
        <item m="1" x="883"/>
        <item m="1" x="560"/>
        <item x="368"/>
        <item m="1" x="792"/>
        <item x="168"/>
        <item m="1" x="898"/>
        <item m="1" x="824"/>
        <item x="386"/>
        <item m="1" x="768"/>
        <item m="1" x="544"/>
        <item x="136"/>
        <item x="137"/>
        <item x="24"/>
        <item x="268"/>
        <item x="349"/>
        <item m="1" x="749"/>
        <item x="27"/>
        <item m="1" x="708"/>
        <item x="25"/>
        <item m="1" x="681"/>
        <item x="64"/>
        <item x="495"/>
        <item x="496"/>
        <item x="26"/>
        <item m="1" x="682"/>
        <item m="1" x="806"/>
        <item x="38"/>
        <item m="1" x="550"/>
        <item x="17"/>
        <item x="7"/>
        <item x="8"/>
        <item x="357"/>
        <item m="1" x="663"/>
        <item m="1" x="576"/>
        <item x="477"/>
        <item x="120"/>
        <item x="45"/>
        <item x="18"/>
        <item x="56"/>
        <item m="1" x="778"/>
        <item x="478"/>
        <item m="1" x="971"/>
        <item x="192"/>
        <item x="12"/>
        <item m="1" x="764"/>
        <item m="1" x="760"/>
        <item m="1" x="871"/>
        <item m="1" x="641"/>
        <item m="1" x="616"/>
        <item m="1" x="637"/>
        <item m="1" x="754"/>
        <item m="1" x="830"/>
        <item x="329"/>
        <item m="1" x="805"/>
        <item m="1" x="572"/>
        <item m="1" x="886"/>
        <item m="1" x="694"/>
        <item m="1" x="743"/>
        <item m="1" x="653"/>
        <item m="1" x="718"/>
        <item x="52"/>
        <item m="1" x="697"/>
        <item m="1" x="965"/>
        <item x="369"/>
        <item x="75"/>
        <item x="172"/>
        <item m="1" x="811"/>
        <item m="1" x="699"/>
        <item m="1" x="583"/>
        <item m="1" x="626"/>
        <item x="498"/>
        <item m="1" x="814"/>
        <item m="1" x="939"/>
        <item x="499"/>
        <item x="500"/>
        <item x="501"/>
        <item m="1" x="740"/>
        <item m="1" x="588"/>
        <item x="342"/>
        <item x="474"/>
        <item m="1" x="850"/>
        <item m="1" x="606"/>
        <item m="1" x="628"/>
        <item m="1" x="755"/>
        <item m="1" x="954"/>
        <item m="1" x="967"/>
        <item x="348"/>
        <item x="215"/>
        <item m="1" x="621"/>
        <item m="1" x="828"/>
        <item m="1" x="640"/>
        <item m="1" x="677"/>
        <item m="1" x="866"/>
        <item m="1" x="599"/>
        <item m="1" x="905"/>
        <item m="1" x="925"/>
        <item x="330"/>
        <item m="1" x="733"/>
        <item m="1" x="908"/>
        <item x="257"/>
        <item m="1" x="564"/>
        <item x="502"/>
        <item m="1" x="791"/>
        <item x="57"/>
        <item x="60"/>
        <item m="1" x="897"/>
        <item m="1" x="756"/>
        <item m="1" x="664"/>
        <item m="1" x="636"/>
        <item x="61"/>
        <item m="1" x="901"/>
        <item x="44"/>
        <item m="1" x="574"/>
        <item m="1" x="780"/>
        <item m="1" x="892"/>
        <item x="98"/>
        <item x="29"/>
        <item x="63"/>
        <item x="65"/>
        <item x="370"/>
        <item m="1" x="559"/>
        <item m="1" x="538"/>
        <item m="1" x="880"/>
        <item m="1" x="710"/>
        <item m="1" x="557"/>
        <item m="1" x="799"/>
        <item m="1" x="685"/>
        <item x="15"/>
        <item m="1" x="702"/>
        <item x="503"/>
        <item x="30"/>
        <item x="31"/>
        <item x="69"/>
        <item x="504"/>
        <item x="11"/>
        <item x="72"/>
        <item x="76"/>
        <item m="1" x="601"/>
        <item m="1" x="567"/>
        <item m="1" x="594"/>
        <item x="67"/>
        <item x="77"/>
        <item m="1" x="884"/>
        <item m="1" x="881"/>
        <item x="92"/>
        <item x="93"/>
        <item m="1" x="644"/>
        <item x="142"/>
        <item x="58"/>
        <item x="95"/>
        <item x="97"/>
        <item x="99"/>
        <item x="59"/>
        <item m="1" x="894"/>
        <item x="100"/>
        <item x="71"/>
        <item x="78"/>
        <item x="101"/>
        <item x="506"/>
        <item x="507"/>
        <item m="1" x="716"/>
        <item x="47"/>
        <item x="48"/>
        <item x="49"/>
        <item x="50"/>
        <item m="1" x="787"/>
        <item x="51"/>
        <item x="73"/>
        <item x="508"/>
        <item x="509"/>
        <item m="1" x="542"/>
        <item x="74"/>
        <item x="53"/>
        <item m="1" x="565"/>
        <item m="1" x="907"/>
        <item m="1" x="597"/>
        <item x="104"/>
        <item x="105"/>
        <item m="1" x="552"/>
        <item m="1" x="589"/>
        <item x="309"/>
        <item x="33"/>
        <item m="1" x="647"/>
        <item m="1" x="696"/>
        <item m="1" x="596"/>
        <item m="1" x="600"/>
        <item m="1" x="676"/>
        <item m="1" x="607"/>
        <item m="1" x="947"/>
        <item x="356"/>
        <item m="1" x="807"/>
        <item m="1" x="561"/>
        <item x="66"/>
        <item x="81"/>
        <item x="85"/>
        <item x="511"/>
        <item x="512"/>
        <item x="513"/>
        <item x="514"/>
        <item x="515"/>
        <item x="516"/>
        <item m="1" x="571"/>
        <item m="1" x="868"/>
        <item x="83"/>
        <item x="34"/>
        <item m="1" x="675"/>
        <item m="1" x="767"/>
        <item m="1" x="932"/>
        <item m="1" x="688"/>
        <item x="86"/>
        <item m="1" x="693"/>
        <item x="517"/>
        <item x="518"/>
        <item x="519"/>
        <item x="520"/>
        <item m="1" x="776"/>
        <item x="521"/>
        <item m="1" x="634"/>
        <item x="35"/>
        <item x="523"/>
        <item x="524"/>
        <item x="525"/>
        <item m="1" x="864"/>
        <item x="70"/>
        <item x="479"/>
        <item x="84"/>
        <item x="94"/>
        <item m="1" x="579"/>
        <item m="1" x="711"/>
        <item m="1" x="872"/>
        <item x="110"/>
        <item m="1" x="629"/>
        <item m="1" x="912"/>
        <item m="1" x="584"/>
        <item x="146"/>
        <item x="112"/>
        <item x="355"/>
        <item x="113"/>
        <item x="526"/>
        <item m="1" x="719"/>
        <item m="1" x="857"/>
        <item m="1" x="775"/>
        <item m="1" x="609"/>
        <item x="354"/>
        <item m="1" x="904"/>
        <item m="1" x="622"/>
        <item m="1" x="690"/>
        <item m="1" x="620"/>
        <item x="347"/>
        <item x="332"/>
        <item x="333"/>
        <item x="490"/>
        <item x="87"/>
        <item m="1" x="610"/>
        <item x="205"/>
        <item x="116"/>
        <item m="1" x="618"/>
        <item x="483"/>
        <item x="193"/>
        <item m="1" x="874"/>
        <item x="79"/>
        <item x="378"/>
        <item m="1" x="577"/>
        <item m="1" x="654"/>
        <item m="1" x="750"/>
        <item m="1" x="698"/>
        <item m="1" x="573"/>
        <item x="310"/>
        <item x="261"/>
        <item x="311"/>
        <item x="312"/>
        <item m="1" x="669"/>
        <item x="456"/>
        <item m="1" x="922"/>
        <item x="353"/>
        <item x="96"/>
        <item x="89"/>
        <item m="1" x="844"/>
        <item x="117"/>
        <item x="346"/>
        <item m="1" x="630"/>
        <item x="302"/>
        <item x="527"/>
        <item x="528"/>
        <item x="106"/>
        <item m="1" x="945"/>
        <item m="1" x="839"/>
        <item x="194"/>
        <item x="464"/>
        <item m="1" x="957"/>
        <item x="80"/>
        <item m="1" x="706"/>
        <item m="1" x="773"/>
        <item m="1" x="726"/>
        <item m="1" x="714"/>
        <item m="1" x="635"/>
        <item x="341"/>
        <item m="1" x="786"/>
        <item x="108"/>
        <item x="340"/>
        <item m="1" x="674"/>
        <item m="1" x="854"/>
        <item m="1" x="734"/>
        <item x="352"/>
        <item m="1" x="736"/>
        <item m="1" x="686"/>
        <item m="1" x="753"/>
        <item m="1" x="938"/>
        <item m="1" x="543"/>
        <item x="149"/>
        <item x="119"/>
        <item x="151"/>
        <item m="1" x="581"/>
        <item m="1" x="788"/>
        <item m="1" x="934"/>
        <item m="1" x="611"/>
        <item m="1" x="661"/>
        <item m="1" x="535"/>
        <item m="1" x="604"/>
        <item x="37"/>
        <item m="1" x="829"/>
        <item x="82"/>
        <item x="88"/>
        <item m="1" x="730"/>
        <item m="1" x="540"/>
        <item m="1" x="727"/>
        <item x="121"/>
        <item x="482"/>
        <item x="266"/>
        <item m="1" x="929"/>
        <item m="1" x="671"/>
        <item x="123"/>
        <item x="315"/>
        <item x="316"/>
        <item m="1" x="771"/>
        <item x="132"/>
        <item x="211"/>
        <item m="1" x="712"/>
        <item x="317"/>
        <item x="247"/>
        <item x="318"/>
        <item m="1" x="877"/>
        <item x="90"/>
        <item x="319"/>
        <item m="1" x="580"/>
        <item x="320"/>
        <item x="124"/>
        <item m="1" x="969"/>
        <item x="127"/>
        <item m="1" x="772"/>
        <item x="128"/>
        <item x="178"/>
        <item x="129"/>
        <item x="111"/>
        <item x="345"/>
        <item x="133"/>
        <item x="125"/>
        <item x="126"/>
        <item x="371"/>
        <item m="1" x="701"/>
        <item m="1" x="838"/>
        <item m="1" x="759"/>
        <item x="138"/>
        <item x="297"/>
        <item m="1" x="895"/>
        <item x="197"/>
        <item x="135"/>
        <item m="1" x="896"/>
        <item m="1" x="852"/>
        <item m="1" x="679"/>
        <item x="198"/>
        <item x="199"/>
        <item x="200"/>
        <item m="1" x="859"/>
        <item m="1" x="769"/>
        <item x="139"/>
        <item x="131"/>
        <item m="1" x="888"/>
        <item m="1" x="843"/>
        <item m="1" x="568"/>
        <item m="1" x="927"/>
        <item m="1" x="890"/>
        <item m="1" x="819"/>
        <item m="1" x="863"/>
        <item x="143"/>
        <item m="1" x="536"/>
        <item m="1" x="683"/>
        <item x="144"/>
        <item x="114"/>
        <item x="115"/>
        <item x="145"/>
        <item x="147"/>
        <item m="1" x="602"/>
        <item m="1" x="804"/>
        <item m="1" x="774"/>
        <item m="1" x="803"/>
        <item m="1" x="812"/>
        <item x="339"/>
        <item x="338"/>
        <item m="1" x="951"/>
        <item m="1" x="831"/>
        <item x="328"/>
        <item m="1" x="840"/>
        <item m="1" x="903"/>
        <item x="376"/>
        <item m="1" x="968"/>
        <item m="1" x="943"/>
        <item m="1" x="790"/>
        <item x="343"/>
        <item x="344"/>
        <item m="1" x="548"/>
        <item x="321"/>
        <item x="322"/>
        <item m="1" x="717"/>
        <item m="1" x="817"/>
        <item m="1" x="972"/>
        <item m="1" x="744"/>
        <item m="1" x="891"/>
        <item m="1" x="566"/>
        <item x="155"/>
        <item m="1" x="779"/>
        <item m="1" x="937"/>
        <item x="323"/>
        <item x="313"/>
        <item x="245"/>
        <item m="1" x="652"/>
        <item x="485"/>
        <item m="1" x="546"/>
        <item m="1" x="627"/>
        <item x="325"/>
        <item x="326"/>
        <item m="1" x="858"/>
        <item x="327"/>
        <item m="1" x="608"/>
        <item m="1" x="820"/>
        <item m="1" x="919"/>
        <item m="1" x="603"/>
        <item m="1" x="964"/>
        <item x="335"/>
        <item x="122"/>
        <item x="529"/>
        <item m="1" x="586"/>
        <item m="1" x="855"/>
        <item m="1" x="605"/>
        <item m="1" x="849"/>
        <item m="1" x="742"/>
        <item m="1" x="862"/>
        <item m="1" x="655"/>
        <item x="157"/>
        <item m="1" x="832"/>
        <item x="41"/>
        <item m="1" x="944"/>
        <item m="1" x="915"/>
        <item m="1" x="882"/>
        <item x="141"/>
        <item x="158"/>
        <item x="159"/>
        <item m="1" x="823"/>
        <item m="1" x="684"/>
        <item m="1" x="724"/>
        <item m="1" x="885"/>
        <item x="458"/>
        <item m="1" x="722"/>
        <item x="160"/>
        <item m="1" x="959"/>
        <item x="42"/>
        <item x="362"/>
        <item m="1" x="549"/>
        <item m="1" x="867"/>
        <item m="1" x="878"/>
        <item m="1" x="879"/>
        <item m="1" x="917"/>
        <item m="1" x="590"/>
        <item m="1" x="741"/>
        <item m="1" x="645"/>
        <item m="1" x="646"/>
        <item x="260"/>
        <item m="1" x="920"/>
        <item m="1" x="913"/>
        <item m="1" x="738"/>
        <item x="214"/>
        <item x="249"/>
        <item m="1" x="796"/>
        <item m="1" x="887"/>
        <item x="459"/>
        <item m="1" x="667"/>
        <item m="1" x="563"/>
        <item m="1" x="794"/>
        <item m="1" x="766"/>
        <item m="1" x="781"/>
        <item x="530"/>
        <item m="1" x="809"/>
        <item x="68"/>
        <item x="40"/>
        <item m="1" x="728"/>
        <item x="32"/>
        <item m="1" x="585"/>
        <item m="1" x="953"/>
        <item m="1" x="762"/>
        <item x="150"/>
        <item m="1" x="802"/>
        <item x="152"/>
        <item x="46"/>
        <item x="36"/>
        <item x="28"/>
        <item m="1" x="757"/>
        <item m="1" x="678"/>
        <item m="1" x="553"/>
        <item m="1" x="955"/>
        <item m="1" x="834"/>
        <item m="1" x="619"/>
        <item x="337"/>
        <item x="336"/>
        <item x="373"/>
        <item x="372"/>
        <item x="375"/>
        <item m="1" x="656"/>
        <item m="1" x="709"/>
        <item m="1" x="578"/>
        <item x="255"/>
        <item m="1" x="800"/>
        <item x="246"/>
        <item m="1" x="539"/>
        <item m="1" x="825"/>
        <item x="118"/>
        <item x="54"/>
        <item x="156"/>
        <item x="62"/>
        <item x="6"/>
        <item x="140"/>
        <item x="10"/>
        <item x="39"/>
        <item x="103"/>
        <item x="102"/>
        <item m="1" x="798"/>
        <item m="1" x="721"/>
        <item m="1" x="860"/>
        <item m="1" x="845"/>
        <item m="1" x="673"/>
        <item m="1" x="911"/>
        <item m="1" x="725"/>
        <item m="1" x="784"/>
        <item m="1" x="835"/>
        <item m="1" x="643"/>
        <item m="1" x="587"/>
        <item m="1" x="970"/>
        <item m="1" x="570"/>
        <item m="1" x="841"/>
        <item m="1" x="962"/>
        <item m="1" x="926"/>
        <item m="1" x="960"/>
        <item m="1" x="942"/>
        <item m="1" x="662"/>
        <item m="1" x="632"/>
        <item m="1" x="745"/>
        <item m="1" x="689"/>
        <item m="1" x="966"/>
        <item m="1" x="856"/>
        <item m="1" x="924"/>
        <item m="1" x="555"/>
        <item m="1" x="704"/>
        <item x="489"/>
        <item x="488"/>
        <item m="1" x="793"/>
        <item m="1" x="758"/>
        <item m="1" x="899"/>
        <item m="1" x="639"/>
        <item m="1" x="691"/>
        <item x="189"/>
        <item m="1" x="739"/>
        <item m="1" x="910"/>
        <item m="1" x="752"/>
        <item m="1" x="665"/>
        <item m="1" x="950"/>
        <item m="1" x="865"/>
        <item m="1" x="949"/>
        <item m="1" x="948"/>
        <item m="1" x="595"/>
        <item m="1" x="777"/>
        <item m="1" x="617"/>
        <item m="1" x="873"/>
        <item m="1" x="916"/>
        <item m="1" x="692"/>
        <item m="1" x="582"/>
        <item m="1" x="537"/>
        <item m="1" x="649"/>
        <item m="1" x="930"/>
        <item m="1" x="638"/>
        <item m="1" x="707"/>
        <item m="1" x="941"/>
        <item m="1" x="783"/>
        <item m="1" x="827"/>
        <item x="486"/>
        <item x="487"/>
        <item m="1" x="575"/>
        <item m="1" x="748"/>
        <item m="1" x="672"/>
        <item m="1" x="822"/>
        <item m="1" x="700"/>
        <item m="1" x="715"/>
        <item m="1" x="657"/>
        <item m="1" x="623"/>
        <item m="1" x="818"/>
        <item m="1" x="893"/>
        <item x="91"/>
        <item x="148"/>
        <item x="522"/>
        <item x="505"/>
        <item x="510"/>
        <item x="107"/>
        <item x="153"/>
        <item x="55"/>
        <item x="154"/>
        <item x="109"/>
        <item x="360"/>
        <item x="361"/>
        <item x="359"/>
        <item x="363"/>
        <item x="365"/>
        <item x="364"/>
        <item x="324"/>
        <item x="366"/>
        <item m="1" x="547"/>
        <item x="134"/>
        <item m="1" x="551"/>
        <item m="1" x="933"/>
        <item m="1" x="659"/>
        <item m="1" x="770"/>
        <item x="186"/>
        <item m="1" x="554"/>
        <item x="216"/>
        <item x="494"/>
        <item x="497"/>
        <item m="1" x="746"/>
        <item x="308"/>
        <item x="307"/>
        <item x="314"/>
        <item m="1" x="889"/>
        <item x="171"/>
        <item x="165"/>
        <item x="176"/>
        <item x="184"/>
        <item x="177"/>
        <item x="180"/>
        <item x="179"/>
        <item x="167"/>
        <item x="166"/>
        <item x="169"/>
        <item x="170"/>
        <item x="182"/>
        <item x="183"/>
        <item x="175"/>
        <item x="448"/>
        <item x="181"/>
        <item x="174"/>
        <item m="1" x="946"/>
        <item x="187"/>
        <item x="188"/>
        <item x="190"/>
        <item x="191"/>
        <item m="1" x="703"/>
        <item x="161"/>
        <item x="202"/>
        <item x="203"/>
        <item m="1" x="836"/>
        <item x="196"/>
        <item x="334"/>
        <item x="164"/>
        <item x="204"/>
        <item m="1" x="747"/>
        <item x="163"/>
        <item x="420"/>
        <item m="1" x="961"/>
        <item x="433"/>
        <item m="1" x="593"/>
        <item x="173"/>
        <item m="1" x="720"/>
        <item x="450"/>
        <item x="454"/>
        <item x="217"/>
        <item x="218"/>
        <item x="219"/>
        <item x="220"/>
        <item x="223"/>
        <item x="224"/>
        <item x="225"/>
        <item x="226"/>
        <item x="227"/>
        <item x="228"/>
        <item x="229"/>
        <item x="230"/>
        <item x="231"/>
        <item x="232"/>
        <item x="233"/>
        <item x="234"/>
        <item x="235"/>
        <item x="236"/>
        <item x="237"/>
        <item x="398"/>
        <item x="397"/>
        <item m="1" x="731"/>
        <item x="390"/>
        <item x="389"/>
        <item x="394"/>
        <item m="1" x="765"/>
        <item x="407"/>
        <item m="1" x="837"/>
        <item m="1" x="821"/>
        <item x="399"/>
        <item x="393"/>
        <item m="1" x="909"/>
        <item x="385"/>
        <item x="400"/>
        <item x="401"/>
        <item x="238"/>
        <item x="239"/>
        <item x="240"/>
        <item x="241"/>
        <item x="242"/>
        <item x="243"/>
        <item x="244"/>
        <item m="1" x="797"/>
        <item m="1" x="785"/>
        <item m="1" x="670"/>
        <item x="250"/>
        <item x="251"/>
        <item x="252"/>
        <item x="253"/>
        <item m="1" x="795"/>
        <item m="1" x="914"/>
        <item x="256"/>
        <item m="1" x="569"/>
        <item m="1" x="952"/>
        <item x="259"/>
        <item x="262"/>
        <item x="263"/>
        <item x="264"/>
        <item x="265"/>
        <item x="267"/>
        <item m="1" x="695"/>
        <item x="269"/>
        <item x="270"/>
        <item x="271"/>
        <item x="272"/>
        <item x="273"/>
        <item x="274"/>
        <item x="275"/>
        <item x="276"/>
        <item x="277"/>
        <item x="278"/>
        <item x="279"/>
        <item x="280"/>
        <item x="281"/>
        <item x="282"/>
        <item x="283"/>
        <item x="284"/>
        <item x="285"/>
        <item x="286"/>
        <item x="287"/>
        <item x="288"/>
        <item x="289"/>
        <item x="290"/>
        <item x="291"/>
        <item x="292"/>
        <item x="293"/>
        <item x="294"/>
        <item x="296"/>
        <item x="298"/>
        <item x="299"/>
        <item x="300"/>
        <item x="301"/>
        <item x="531"/>
        <item x="532"/>
        <item x="533"/>
        <item x="306"/>
        <item m="1" x="534"/>
        <item x="130"/>
        <item x="484"/>
        <item x="207"/>
        <item x="208"/>
        <item x="209"/>
        <item x="210"/>
        <item x="212"/>
        <item x="213"/>
        <item x="254"/>
        <item x="258"/>
        <item x="374"/>
        <item x="447"/>
        <item x="451"/>
        <item x="453"/>
        <item x="455"/>
        <item x="411"/>
        <item x="415"/>
        <item x="416"/>
        <item x="408"/>
        <item m="1" x="713"/>
        <item x="405"/>
        <item x="410"/>
        <item x="406"/>
        <item m="1" x="612"/>
        <item x="404"/>
        <item x="409"/>
        <item x="402"/>
        <item x="395"/>
        <item x="380"/>
        <item x="381"/>
        <item x="382"/>
        <item x="383"/>
        <item x="384"/>
        <item x="391"/>
        <item x="403"/>
        <item x="388"/>
        <item x="392"/>
        <item x="413"/>
        <item x="414"/>
        <item x="423"/>
        <item x="424"/>
        <item x="430"/>
        <item x="429"/>
        <item x="421"/>
        <item m="1" x="833"/>
        <item x="427"/>
        <item x="426"/>
        <item x="422"/>
        <item x="432"/>
        <item x="437"/>
        <item x="438"/>
        <item x="439"/>
        <item x="440"/>
        <item x="441"/>
        <item x="442"/>
        <item x="443"/>
        <item x="444"/>
        <item x="445"/>
        <item m="1" x="935"/>
        <item x="449"/>
        <item m="1" x="956"/>
        <item m="1" x="562"/>
        <item m="1" x="801"/>
        <item x="460"/>
        <item m="1" x="931"/>
        <item m="1" x="875"/>
        <item m="1" x="846"/>
        <item x="465"/>
        <item x="466"/>
        <item x="467"/>
        <item x="468"/>
        <item x="469"/>
        <item x="418"/>
        <item m="1" x="973"/>
        <item m="1" x="861"/>
        <item x="435"/>
        <item x="436"/>
        <item x="412"/>
        <item m="1" x="763"/>
        <item m="1" x="705"/>
        <item x="201"/>
        <item x="195"/>
        <item x="379"/>
        <item x="387"/>
        <item x="396"/>
        <item x="417"/>
        <item x="419"/>
        <item x="425"/>
        <item x="428"/>
        <item x="434"/>
        <item x="452"/>
        <item x="446"/>
        <item x="457"/>
        <item x="461"/>
        <item x="462"/>
        <item x="463"/>
        <item x="470"/>
        <item x="471"/>
        <item x="431"/>
        <item x="206"/>
        <item x="472"/>
        <item x="475"/>
        <item x="476"/>
        <item x="480"/>
        <item x="481"/>
        <item x="491"/>
        <item x="492"/>
        <item x="493"/>
        <item t="default"/>
      </items>
    </pivotField>
    <pivotField compact="0" outline="0" showAll="0"/>
    <pivotField dataField="1" compact="0" numFmtId="1"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9" outline="0" showAll="0"/>
    <pivotField compact="0" numFmtId="9" outline="0" showAll="0"/>
    <pivotField compact="0" numFmtId="9" outline="0" showAll="0"/>
    <pivotField compact="0" outline="0" showAll="0" defaultSubtotal="0"/>
    <pivotField compact="0" outline="0" showAll="0"/>
    <pivotField compact="0" numFmtId="1" outline="0" showAll="0"/>
    <pivotField compact="0" outline="0" showAll="0" defaultSubtota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1" outline="0" showAll="0" defaultSubtotal="0"/>
    <pivotField compact="0" numFmtId="9" outline="0" showAll="0"/>
    <pivotField dataField="1" compact="0" numFmtId="1" outline="0" showAll="0" defaultSubtotal="0"/>
    <pivotField compact="0" outline="0" showAll="0" defaultSubtotal="0"/>
    <pivotField compact="0" outline="0" showAll="0" defaultSubtota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numFmtId="9" outline="0" showAll="0"/>
    <pivotField compact="0" numFmtId="1" outline="0" showAll="0" defaultSubtotal="0"/>
    <pivotField compact="0" numFmtId="1" outline="0" showAll="0"/>
    <pivotField compact="0" numFmtId="1" outline="0" showAll="0" defaultSubtotal="0"/>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7"/>
  </rowFields>
  <rowItems count="535">
    <i>
      <x/>
    </i>
    <i>
      <x v="1"/>
    </i>
    <i>
      <x v="2"/>
    </i>
    <i>
      <x v="3"/>
    </i>
    <i>
      <x v="4"/>
    </i>
    <i>
      <x v="5"/>
    </i>
    <i>
      <x v="8"/>
    </i>
    <i>
      <x v="19"/>
    </i>
    <i>
      <x v="20"/>
    </i>
    <i>
      <x v="21"/>
    </i>
    <i>
      <x v="22"/>
    </i>
    <i>
      <x v="30"/>
    </i>
    <i>
      <x v="31"/>
    </i>
    <i>
      <x v="36"/>
    </i>
    <i>
      <x v="38"/>
    </i>
    <i>
      <x v="41"/>
    </i>
    <i>
      <x v="42"/>
    </i>
    <i>
      <x v="43"/>
    </i>
    <i>
      <x v="47"/>
    </i>
    <i>
      <x v="49"/>
    </i>
    <i>
      <x v="53"/>
    </i>
    <i>
      <x v="54"/>
    </i>
    <i>
      <x v="59"/>
    </i>
    <i>
      <x v="64"/>
    </i>
    <i>
      <x v="69"/>
    </i>
    <i>
      <x v="70"/>
    </i>
    <i>
      <x v="74"/>
    </i>
    <i>
      <x v="77"/>
    </i>
    <i>
      <x v="79"/>
    </i>
    <i>
      <x v="81"/>
    </i>
    <i>
      <x v="83"/>
    </i>
    <i>
      <x v="87"/>
    </i>
    <i>
      <x v="92"/>
    </i>
    <i>
      <x v="94"/>
    </i>
    <i>
      <x v="97"/>
    </i>
    <i>
      <x v="100"/>
    </i>
    <i>
      <x v="101"/>
    </i>
    <i>
      <x v="102"/>
    </i>
    <i>
      <x v="103"/>
    </i>
    <i>
      <x v="104"/>
    </i>
    <i>
      <x v="106"/>
    </i>
    <i>
      <x v="108"/>
    </i>
    <i>
      <x v="110"/>
    </i>
    <i>
      <x v="111"/>
    </i>
    <i>
      <x v="112"/>
    </i>
    <i>
      <x v="113"/>
    </i>
    <i>
      <x v="116"/>
    </i>
    <i>
      <x v="118"/>
    </i>
    <i>
      <x v="119"/>
    </i>
    <i>
      <x v="120"/>
    </i>
    <i>
      <x v="121"/>
    </i>
    <i>
      <x v="124"/>
    </i>
    <i>
      <x v="125"/>
    </i>
    <i>
      <x v="126"/>
    </i>
    <i>
      <x v="127"/>
    </i>
    <i>
      <x v="128"/>
    </i>
    <i>
      <x v="130"/>
    </i>
    <i>
      <x v="132"/>
    </i>
    <i>
      <x v="133"/>
    </i>
    <i>
      <x v="142"/>
    </i>
    <i>
      <x v="150"/>
    </i>
    <i>
      <x v="153"/>
    </i>
    <i>
      <x v="154"/>
    </i>
    <i>
      <x v="155"/>
    </i>
    <i>
      <x v="160"/>
    </i>
    <i>
      <x v="163"/>
    </i>
    <i>
      <x v="164"/>
    </i>
    <i>
      <x v="165"/>
    </i>
    <i>
      <x v="168"/>
    </i>
    <i>
      <x v="169"/>
    </i>
    <i>
      <x v="176"/>
    </i>
    <i>
      <x v="177"/>
    </i>
    <i>
      <x v="186"/>
    </i>
    <i>
      <x v="189"/>
    </i>
    <i>
      <x v="191"/>
    </i>
    <i>
      <x v="193"/>
    </i>
    <i>
      <x v="194"/>
    </i>
    <i>
      <x v="199"/>
    </i>
    <i>
      <x v="201"/>
    </i>
    <i>
      <x v="205"/>
    </i>
    <i>
      <x v="206"/>
    </i>
    <i>
      <x v="207"/>
    </i>
    <i>
      <x v="208"/>
    </i>
    <i>
      <x v="209"/>
    </i>
    <i>
      <x v="217"/>
    </i>
    <i>
      <x v="219"/>
    </i>
    <i>
      <x v="220"/>
    </i>
    <i>
      <x v="221"/>
    </i>
    <i>
      <x v="222"/>
    </i>
    <i>
      <x v="223"/>
    </i>
    <i>
      <x v="224"/>
    </i>
    <i>
      <x v="225"/>
    </i>
    <i>
      <x v="226"/>
    </i>
    <i>
      <x v="230"/>
    </i>
    <i>
      <x v="231"/>
    </i>
    <i>
      <x v="234"/>
    </i>
    <i>
      <x v="235"/>
    </i>
    <i>
      <x v="237"/>
    </i>
    <i>
      <x v="238"/>
    </i>
    <i>
      <x v="239"/>
    </i>
    <i>
      <x v="240"/>
    </i>
    <i>
      <x v="241"/>
    </i>
    <i>
      <x v="242"/>
    </i>
    <i>
      <x v="244"/>
    </i>
    <i>
      <x v="245"/>
    </i>
    <i>
      <x v="246"/>
    </i>
    <i>
      <x v="247"/>
    </i>
    <i>
      <x v="248"/>
    </i>
    <i>
      <x v="249"/>
    </i>
    <i>
      <x v="251"/>
    </i>
    <i>
      <x v="252"/>
    </i>
    <i>
      <x v="253"/>
    </i>
    <i>
      <x v="254"/>
    </i>
    <i>
      <x v="256"/>
    </i>
    <i>
      <x v="257"/>
    </i>
    <i>
      <x v="258"/>
    </i>
    <i>
      <x v="259"/>
    </i>
    <i>
      <x v="261"/>
    </i>
    <i>
      <x v="262"/>
    </i>
    <i>
      <x v="266"/>
    </i>
    <i>
      <x v="267"/>
    </i>
    <i>
      <x v="270"/>
    </i>
    <i>
      <x v="271"/>
    </i>
    <i>
      <x v="279"/>
    </i>
    <i>
      <x v="282"/>
    </i>
    <i>
      <x v="283"/>
    </i>
    <i>
      <x v="284"/>
    </i>
    <i>
      <x v="285"/>
    </i>
    <i>
      <x v="286"/>
    </i>
    <i>
      <x v="287"/>
    </i>
    <i>
      <x v="288"/>
    </i>
    <i>
      <x v="289"/>
    </i>
    <i>
      <x v="290"/>
    </i>
    <i>
      <x v="293"/>
    </i>
    <i>
      <x v="294"/>
    </i>
    <i>
      <x v="299"/>
    </i>
    <i>
      <x v="301"/>
    </i>
    <i>
      <x v="302"/>
    </i>
    <i>
      <x v="303"/>
    </i>
    <i>
      <x v="304"/>
    </i>
    <i>
      <x v="306"/>
    </i>
    <i>
      <x v="308"/>
    </i>
    <i>
      <x v="309"/>
    </i>
    <i>
      <x v="310"/>
    </i>
    <i>
      <x v="311"/>
    </i>
    <i>
      <x v="313"/>
    </i>
    <i>
      <x v="314"/>
    </i>
    <i>
      <x v="315"/>
    </i>
    <i>
      <x v="316"/>
    </i>
    <i>
      <x v="320"/>
    </i>
    <i>
      <x v="324"/>
    </i>
    <i>
      <x v="325"/>
    </i>
    <i>
      <x v="326"/>
    </i>
    <i>
      <x v="327"/>
    </i>
    <i>
      <x v="328"/>
    </i>
    <i>
      <x v="333"/>
    </i>
    <i>
      <x v="338"/>
    </i>
    <i>
      <x v="339"/>
    </i>
    <i>
      <x v="340"/>
    </i>
    <i>
      <x v="341"/>
    </i>
    <i>
      <x v="342"/>
    </i>
    <i>
      <x v="344"/>
    </i>
    <i>
      <x v="345"/>
    </i>
    <i>
      <x v="347"/>
    </i>
    <i>
      <x v="348"/>
    </i>
    <i>
      <x v="350"/>
    </i>
    <i>
      <x v="351"/>
    </i>
    <i>
      <x v="357"/>
    </i>
    <i>
      <x v="358"/>
    </i>
    <i>
      <x v="359"/>
    </i>
    <i>
      <x v="360"/>
    </i>
    <i>
      <x v="362"/>
    </i>
    <i>
      <x v="364"/>
    </i>
    <i>
      <x v="365"/>
    </i>
    <i>
      <x v="366"/>
    </i>
    <i>
      <x v="368"/>
    </i>
    <i>
      <x v="369"/>
    </i>
    <i>
      <x v="371"/>
    </i>
    <i>
      <x v="372"/>
    </i>
    <i>
      <x v="373"/>
    </i>
    <i>
      <x v="374"/>
    </i>
    <i>
      <x v="377"/>
    </i>
    <i>
      <x v="378"/>
    </i>
    <i>
      <x v="380"/>
    </i>
    <i>
      <x v="386"/>
    </i>
    <i>
      <x v="388"/>
    </i>
    <i>
      <x v="389"/>
    </i>
    <i>
      <x v="393"/>
    </i>
    <i>
      <x v="399"/>
    </i>
    <i>
      <x v="400"/>
    </i>
    <i>
      <x v="401"/>
    </i>
    <i>
      <x v="409"/>
    </i>
    <i>
      <x v="411"/>
    </i>
    <i>
      <x v="412"/>
    </i>
    <i>
      <x v="416"/>
    </i>
    <i>
      <x v="417"/>
    </i>
    <i>
      <x v="418"/>
    </i>
    <i>
      <x v="421"/>
    </i>
    <i>
      <x v="422"/>
    </i>
    <i>
      <x v="423"/>
    </i>
    <i>
      <x v="425"/>
    </i>
    <i>
      <x v="426"/>
    </i>
    <i>
      <x v="428"/>
    </i>
    <i>
      <x v="429"/>
    </i>
    <i>
      <x v="430"/>
    </i>
    <i>
      <x v="432"/>
    </i>
    <i>
      <x v="433"/>
    </i>
    <i>
      <x v="435"/>
    </i>
    <i>
      <x v="436"/>
    </i>
    <i>
      <x v="438"/>
    </i>
    <i>
      <x v="440"/>
    </i>
    <i>
      <x v="441"/>
    </i>
    <i>
      <x v="442"/>
    </i>
    <i>
      <x v="443"/>
    </i>
    <i>
      <x v="444"/>
    </i>
    <i>
      <x v="445"/>
    </i>
    <i>
      <x v="446"/>
    </i>
    <i>
      <x v="447"/>
    </i>
    <i>
      <x v="448"/>
    </i>
    <i>
      <x v="452"/>
    </i>
    <i>
      <x v="453"/>
    </i>
    <i>
      <x v="455"/>
    </i>
    <i>
      <x v="456"/>
    </i>
    <i>
      <x v="460"/>
    </i>
    <i>
      <x v="461"/>
    </i>
    <i>
      <x v="462"/>
    </i>
    <i>
      <x v="465"/>
    </i>
    <i>
      <x v="466"/>
    </i>
    <i>
      <x v="474"/>
    </i>
    <i>
      <x v="477"/>
    </i>
    <i>
      <x v="478"/>
    </i>
    <i>
      <x v="479"/>
    </i>
    <i>
      <x v="480"/>
    </i>
    <i>
      <x v="481"/>
    </i>
    <i>
      <x v="487"/>
    </i>
    <i>
      <x v="488"/>
    </i>
    <i>
      <x v="491"/>
    </i>
    <i>
      <x v="494"/>
    </i>
    <i>
      <x v="498"/>
    </i>
    <i>
      <x v="499"/>
    </i>
    <i>
      <x v="501"/>
    </i>
    <i>
      <x v="502"/>
    </i>
    <i>
      <x v="509"/>
    </i>
    <i>
      <x v="512"/>
    </i>
    <i>
      <x v="513"/>
    </i>
    <i>
      <x v="514"/>
    </i>
    <i>
      <x v="516"/>
    </i>
    <i>
      <x v="519"/>
    </i>
    <i>
      <x v="520"/>
    </i>
    <i>
      <x v="522"/>
    </i>
    <i>
      <x v="528"/>
    </i>
    <i>
      <x v="529"/>
    </i>
    <i>
      <x v="530"/>
    </i>
    <i>
      <x v="538"/>
    </i>
    <i>
      <x v="540"/>
    </i>
    <i>
      <x v="544"/>
    </i>
    <i>
      <x v="545"/>
    </i>
    <i>
      <x v="546"/>
    </i>
    <i>
      <x v="551"/>
    </i>
    <i>
      <x v="553"/>
    </i>
    <i>
      <x v="555"/>
    </i>
    <i>
      <x v="556"/>
    </i>
    <i>
      <x v="566"/>
    </i>
    <i>
      <x v="570"/>
    </i>
    <i>
      <x v="571"/>
    </i>
    <i>
      <x v="574"/>
    </i>
    <i>
      <x v="580"/>
    </i>
    <i>
      <x v="582"/>
    </i>
    <i>
      <x v="583"/>
    </i>
    <i>
      <x v="585"/>
    </i>
    <i>
      <x v="589"/>
    </i>
    <i>
      <x v="591"/>
    </i>
    <i>
      <x v="592"/>
    </i>
    <i>
      <x v="593"/>
    </i>
    <i>
      <x v="594"/>
    </i>
    <i>
      <x v="601"/>
    </i>
    <i>
      <x v="602"/>
    </i>
    <i>
      <x v="603"/>
    </i>
    <i>
      <x v="604"/>
    </i>
    <i>
      <x v="605"/>
    </i>
    <i>
      <x v="609"/>
    </i>
    <i>
      <x v="611"/>
    </i>
    <i>
      <x v="614"/>
    </i>
    <i>
      <x v="615"/>
    </i>
    <i>
      <x v="616"/>
    </i>
    <i>
      <x v="617"/>
    </i>
    <i>
      <x v="618"/>
    </i>
    <i>
      <x v="619"/>
    </i>
    <i>
      <x v="620"/>
    </i>
    <i>
      <x v="621"/>
    </i>
    <i>
      <x v="622"/>
    </i>
    <i>
      <x v="623"/>
    </i>
    <i>
      <x v="651"/>
    </i>
    <i>
      <x v="652"/>
    </i>
    <i>
      <x v="658"/>
    </i>
    <i>
      <x v="682"/>
    </i>
    <i>
      <x v="683"/>
    </i>
    <i>
      <x v="694"/>
    </i>
    <i>
      <x v="695"/>
    </i>
    <i>
      <x v="696"/>
    </i>
    <i>
      <x v="697"/>
    </i>
    <i>
      <x v="698"/>
    </i>
    <i>
      <x v="699"/>
    </i>
    <i>
      <x v="700"/>
    </i>
    <i>
      <x v="701"/>
    </i>
    <i>
      <x v="702"/>
    </i>
    <i>
      <x v="703"/>
    </i>
    <i>
      <x v="704"/>
    </i>
    <i>
      <x v="705"/>
    </i>
    <i>
      <x v="706"/>
    </i>
    <i>
      <x v="707"/>
    </i>
    <i>
      <x v="708"/>
    </i>
    <i>
      <x v="709"/>
    </i>
    <i>
      <x v="710"/>
    </i>
    <i>
      <x v="711"/>
    </i>
    <i>
      <x v="713"/>
    </i>
    <i>
      <x v="718"/>
    </i>
    <i>
      <x v="720"/>
    </i>
    <i>
      <x v="721"/>
    </i>
    <i>
      <x v="722"/>
    </i>
    <i>
      <x v="724"/>
    </i>
    <i>
      <x v="725"/>
    </i>
    <i>
      <x v="726"/>
    </i>
    <i>
      <x v="728"/>
    </i>
    <i>
      <x v="729"/>
    </i>
    <i>
      <x v="730"/>
    </i>
    <i>
      <x v="731"/>
    </i>
    <i>
      <x v="732"/>
    </i>
    <i>
      <x v="733"/>
    </i>
    <i>
      <x v="734"/>
    </i>
    <i>
      <x v="735"/>
    </i>
    <i>
      <x v="736"/>
    </i>
    <i>
      <x v="737"/>
    </i>
    <i>
      <x v="738"/>
    </i>
    <i>
      <x v="739"/>
    </i>
    <i>
      <x v="740"/>
    </i>
    <i>
      <x v="741"/>
    </i>
    <i>
      <x v="742"/>
    </i>
    <i>
      <x v="743"/>
    </i>
    <i>
      <x v="744"/>
    </i>
    <i>
      <x v="746"/>
    </i>
    <i>
      <x v="747"/>
    </i>
    <i>
      <x v="748"/>
    </i>
    <i>
      <x v="749"/>
    </i>
    <i>
      <x v="751"/>
    </i>
    <i>
      <x v="752"/>
    </i>
    <i>
      <x v="753"/>
    </i>
    <i>
      <x v="755"/>
    </i>
    <i>
      <x v="756"/>
    </i>
    <i>
      <x v="757"/>
    </i>
    <i>
      <x v="758"/>
    </i>
    <i>
      <x v="760"/>
    </i>
    <i>
      <x v="761"/>
    </i>
    <i>
      <x v="763"/>
    </i>
    <i>
      <x v="765"/>
    </i>
    <i>
      <x v="767"/>
    </i>
    <i>
      <x v="768"/>
    </i>
    <i>
      <x v="769"/>
    </i>
    <i>
      <x v="770"/>
    </i>
    <i>
      <x v="771"/>
    </i>
    <i>
      <x v="772"/>
    </i>
    <i>
      <x v="773"/>
    </i>
    <i>
      <x v="774"/>
    </i>
    <i>
      <x v="775"/>
    </i>
    <i>
      <x v="776"/>
    </i>
    <i>
      <x v="777"/>
    </i>
    <i>
      <x v="778"/>
    </i>
    <i>
      <x v="779"/>
    </i>
    <i>
      <x v="780"/>
    </i>
    <i>
      <x v="781"/>
    </i>
    <i>
      <x v="782"/>
    </i>
    <i>
      <x v="783"/>
    </i>
    <i>
      <x v="784"/>
    </i>
    <i>
      <x v="785"/>
    </i>
    <i>
      <x v="786"/>
    </i>
    <i>
      <x v="787"/>
    </i>
    <i>
      <x v="788"/>
    </i>
    <i>
      <x v="789"/>
    </i>
    <i>
      <x v="791"/>
    </i>
    <i>
      <x v="792"/>
    </i>
    <i>
      <x v="793"/>
    </i>
    <i>
      <x v="795"/>
    </i>
    <i>
      <x v="798"/>
    </i>
    <i>
      <x v="799"/>
    </i>
    <i>
      <x v="801"/>
    </i>
    <i>
      <x v="802"/>
    </i>
    <i>
      <x v="803"/>
    </i>
    <i>
      <x v="804"/>
    </i>
    <i>
      <x v="805"/>
    </i>
    <i>
      <x v="806"/>
    </i>
    <i>
      <x v="807"/>
    </i>
    <i>
      <x v="808"/>
    </i>
    <i>
      <x v="809"/>
    </i>
    <i>
      <x v="810"/>
    </i>
    <i>
      <x v="814"/>
    </i>
    <i>
      <x v="815"/>
    </i>
    <i>
      <x v="816"/>
    </i>
    <i>
      <x v="817"/>
    </i>
    <i>
      <x v="820"/>
    </i>
    <i>
      <x v="823"/>
    </i>
    <i>
      <x v="824"/>
    </i>
    <i>
      <x v="825"/>
    </i>
    <i>
      <x v="826"/>
    </i>
    <i>
      <x v="827"/>
    </i>
    <i>
      <x v="828"/>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6"/>
    </i>
    <i>
      <x v="867"/>
    </i>
    <i>
      <x v="868"/>
    </i>
    <i>
      <x v="869"/>
    </i>
    <i>
      <x v="870"/>
    </i>
    <i>
      <x v="871"/>
    </i>
    <i>
      <x v="872"/>
    </i>
    <i>
      <x v="873"/>
    </i>
    <i>
      <x v="874"/>
    </i>
    <i>
      <x v="875"/>
    </i>
    <i>
      <x v="876"/>
    </i>
    <i>
      <x v="877"/>
    </i>
    <i>
      <x v="878"/>
    </i>
    <i>
      <x v="879"/>
    </i>
    <i>
      <x v="880"/>
    </i>
    <i>
      <x v="881"/>
    </i>
    <i>
      <x v="882"/>
    </i>
    <i>
      <x v="883"/>
    </i>
    <i>
      <x v="884"/>
    </i>
    <i>
      <x v="886"/>
    </i>
    <i>
      <x v="887"/>
    </i>
    <i>
      <x v="888"/>
    </i>
    <i>
      <x v="890"/>
    </i>
    <i>
      <x v="891"/>
    </i>
    <i>
      <x v="892"/>
    </i>
    <i>
      <x v="893"/>
    </i>
    <i>
      <x v="894"/>
    </i>
    <i>
      <x v="895"/>
    </i>
    <i>
      <x v="896"/>
    </i>
    <i>
      <x v="897"/>
    </i>
    <i>
      <x v="898"/>
    </i>
    <i>
      <x v="899"/>
    </i>
    <i>
      <x v="900"/>
    </i>
    <i>
      <x v="901"/>
    </i>
    <i>
      <x v="902"/>
    </i>
    <i>
      <x v="903"/>
    </i>
    <i>
      <x v="904"/>
    </i>
    <i>
      <x v="905"/>
    </i>
    <i>
      <x v="906"/>
    </i>
    <i>
      <x v="907"/>
    </i>
    <i>
      <x v="908"/>
    </i>
    <i>
      <x v="909"/>
    </i>
    <i>
      <x v="911"/>
    </i>
    <i>
      <x v="912"/>
    </i>
    <i>
      <x v="913"/>
    </i>
    <i>
      <x v="914"/>
    </i>
    <i>
      <x v="915"/>
    </i>
    <i>
      <x v="916"/>
    </i>
    <i>
      <x v="917"/>
    </i>
    <i>
      <x v="918"/>
    </i>
    <i>
      <x v="919"/>
    </i>
    <i>
      <x v="920"/>
    </i>
    <i>
      <x v="921"/>
    </i>
    <i>
      <x v="922"/>
    </i>
    <i>
      <x v="923"/>
    </i>
    <i>
      <x v="925"/>
    </i>
    <i>
      <x v="929"/>
    </i>
    <i>
      <x v="933"/>
    </i>
    <i>
      <x v="934"/>
    </i>
    <i>
      <x v="935"/>
    </i>
    <i>
      <x v="936"/>
    </i>
    <i>
      <x v="937"/>
    </i>
    <i>
      <x v="938"/>
    </i>
    <i>
      <x v="941"/>
    </i>
    <i>
      <x v="942"/>
    </i>
    <i>
      <x v="943"/>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t="grand">
      <x/>
    </i>
  </rowItems>
  <colFields count="1">
    <field x="-2"/>
  </colFields>
  <colItems count="4">
    <i>
      <x/>
    </i>
    <i i="1">
      <x v="1"/>
    </i>
    <i i="2">
      <x v="2"/>
    </i>
    <i i="3">
      <x v="3"/>
    </i>
  </colItems>
  <pageFields count="3">
    <pageField fld="0" item="10" hier="-1"/>
    <pageField fld="5" hier="-1"/>
    <pageField fld="4" hier="-1"/>
  </pageFields>
  <dataFields count="4">
    <dataField name="Total Population" fld="9" baseField="0" baseItem="0"/>
    <dataField name="# of People adopt basic personal and community hygiene practices" fld="102" baseField="0" baseItem="0"/>
    <dataField name="# of people access to functioning  sanitation facilities" fld="91" baseField="0" baseItem="0"/>
    <dataField name="# of people Equitable and continuous access to sufficient quantity of domestic water" fld="83" baseField="0" baseItem="0"/>
  </dataFields>
  <formats count="25">
    <format dxfId="30">
      <pivotArea field="4" type="button" dataOnly="0" labelOnly="1" outline="0" axis="axisPage" fieldPosition="2"/>
    </format>
    <format dxfId="29">
      <pivotArea field="5" type="button" dataOnly="0" labelOnly="1" outline="0" axis="axisPage" fieldPosition="1"/>
    </format>
    <format dxfId="28">
      <pivotArea dataOnly="0" labelOnly="1" outline="0" fieldPosition="0">
        <references count="1">
          <reference field="4294967294" count="1">
            <x v="0"/>
          </reference>
        </references>
      </pivotArea>
    </format>
    <format dxfId="27">
      <pivotArea field="4" type="button" dataOnly="0" labelOnly="1" outline="0" axis="axisPage" fieldPosition="2"/>
    </format>
    <format dxfId="26">
      <pivotArea field="5" type="button" dataOnly="0" labelOnly="1" outline="0" axis="axisPage" fieldPosition="1"/>
    </format>
    <format dxfId="25">
      <pivotArea dataOnly="0" labelOnly="1" outline="0" fieldPosition="0">
        <references count="1">
          <reference field="4294967294" count="1">
            <x v="0"/>
          </reference>
        </references>
      </pivotArea>
    </format>
    <format dxfId="24">
      <pivotArea field="4" type="button" dataOnly="0" labelOnly="1" outline="0" axis="axisPage" fieldPosition="2"/>
    </format>
    <format dxfId="23">
      <pivotArea field="5" type="button" dataOnly="0" labelOnly="1" outline="0" axis="axisPage" fieldPosition="1"/>
    </format>
    <format dxfId="22">
      <pivotArea dataOnly="0" labelOnly="1" outline="0" fieldPosition="0">
        <references count="1">
          <reference field="4294967294" count="1">
            <x v="0"/>
          </reference>
        </references>
      </pivotArea>
    </format>
    <format dxfId="21">
      <pivotArea dataOnly="0" labelOnly="1" outline="0" fieldPosition="0">
        <references count="1">
          <reference field="4294967294" count="1">
            <x v="0"/>
          </reference>
        </references>
      </pivotArea>
    </format>
    <format dxfId="20">
      <pivotArea dataOnly="0" labelOnly="1" outline="0" fieldPosition="0">
        <references count="1">
          <reference field="4294967294" count="1">
            <x v="0"/>
          </reference>
        </references>
      </pivotArea>
    </format>
    <format dxfId="19">
      <pivotArea type="all" dataOnly="0" outline="0" fieldPosition="0"/>
    </format>
    <format dxfId="18">
      <pivotArea outline="0" collapsedLevelsAreSubtotals="1" fieldPosition="0"/>
    </format>
    <format dxfId="17">
      <pivotArea field="4" type="button" dataOnly="0" labelOnly="1" outline="0" axis="axisPage" fieldPosition="2"/>
    </format>
    <format dxfId="16">
      <pivotArea field="5" type="button" dataOnly="0" labelOnly="1" outline="0" axis="axisPage" fieldPosition="1"/>
    </format>
    <format dxfId="15">
      <pivotArea dataOnly="0" labelOnly="1" outline="0" fieldPosition="0">
        <references count="1">
          <reference field="4" count="0"/>
        </references>
      </pivotArea>
    </format>
    <format dxfId="14">
      <pivotArea dataOnly="0" labelOnly="1" outline="0" fieldPosition="0">
        <references count="1">
          <reference field="4" count="0" defaultSubtotal="1"/>
        </references>
      </pivotArea>
    </format>
    <format dxfId="13">
      <pivotArea dataOnly="0" labelOnly="1" grandRow="1" outline="0" fieldPosition="0"/>
    </format>
    <format dxfId="12">
      <pivotArea dataOnly="0" labelOnly="1" outline="0" fieldPosition="0">
        <references count="2">
          <reference field="4" count="1" selected="0">
            <x v="0"/>
          </reference>
          <reference field="5" count="13">
            <x v="1"/>
            <x v="3"/>
            <x v="4"/>
            <x v="12"/>
            <x v="16"/>
            <x v="17"/>
            <x v="18"/>
            <x v="22"/>
            <x v="28"/>
            <x v="31"/>
            <x v="33"/>
            <x v="34"/>
            <x v="35"/>
          </reference>
        </references>
      </pivotArea>
    </format>
    <format dxfId="11">
      <pivotArea dataOnly="0" labelOnly="1" outline="0" fieldPosition="0">
        <references count="2">
          <reference field="4" count="1" selected="0">
            <x v="0"/>
          </reference>
          <reference field="5" count="13" defaultSubtotal="1">
            <x v="1"/>
            <x v="3"/>
            <x v="4"/>
            <x v="12"/>
            <x v="16"/>
            <x v="17"/>
            <x v="18"/>
            <x v="22"/>
            <x v="28"/>
            <x v="31"/>
            <x v="33"/>
            <x v="34"/>
            <x v="35"/>
          </reference>
        </references>
      </pivotArea>
    </format>
    <format dxfId="10">
      <pivotArea dataOnly="0" labelOnly="1" outline="0" fieldPosition="0">
        <references count="2">
          <reference field="4" count="1" selected="0">
            <x v="1"/>
          </reference>
          <reference field="5" count="12">
            <x v="0"/>
            <x v="2"/>
            <x v="8"/>
            <x v="9"/>
            <x v="14"/>
            <x v="15"/>
            <x v="19"/>
            <x v="21"/>
            <x v="26"/>
            <x v="27"/>
            <x v="30"/>
            <x v="32"/>
          </reference>
        </references>
      </pivotArea>
    </format>
    <format dxfId="9">
      <pivotArea dataOnly="0" labelOnly="1" outline="0" fieldPosition="0">
        <references count="2">
          <reference field="4" count="1" selected="0">
            <x v="1"/>
          </reference>
          <reference field="5" count="12" defaultSubtotal="1">
            <x v="0"/>
            <x v="2"/>
            <x v="8"/>
            <x v="9"/>
            <x v="14"/>
            <x v="15"/>
            <x v="19"/>
            <x v="21"/>
            <x v="26"/>
            <x v="27"/>
            <x v="30"/>
            <x v="32"/>
          </reference>
        </references>
      </pivotArea>
    </format>
    <format dxfId="8">
      <pivotArea dataOnly="0" labelOnly="1" outline="0" fieldPosition="0">
        <references count="2">
          <reference field="4" count="1" selected="0">
            <x v="2"/>
          </reference>
          <reference field="5" count="7">
            <x v="5"/>
            <x v="6"/>
            <x v="7"/>
            <x v="13"/>
            <x v="20"/>
            <x v="23"/>
            <x v="24"/>
          </reference>
        </references>
      </pivotArea>
    </format>
    <format dxfId="7">
      <pivotArea dataOnly="0" labelOnly="1" outline="0" fieldPosition="0">
        <references count="2">
          <reference field="4" count="1" selected="0">
            <x v="2"/>
          </reference>
          <reference field="5" count="7" defaultSubtotal="1">
            <x v="5"/>
            <x v="6"/>
            <x v="7"/>
            <x v="13"/>
            <x v="20"/>
            <x v="23"/>
            <x v="24"/>
          </reference>
        </references>
      </pivotArea>
    </format>
    <format dxfId="6">
      <pivotArea dataOnly="0" labelOnly="1" outline="0" fieldPosition="0">
        <references count="1">
          <reference field="4294967294" count="1">
            <x v="0"/>
          </reference>
        </references>
      </pivotArea>
    </format>
  </formats>
  <chartFormats count="5">
    <chartFormat chart="1" format="0"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4"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2"/>
          </reference>
        </references>
      </pivotArea>
    </chartFormat>
    <chartFormat chart="4" format="9"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5.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1" cacheId="0"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chartFormat="10">
  <location ref="L4:P59" firstHeaderRow="0" firstDataRow="1" firstDataCol="2" rowPageCount="1" colPageCount="1"/>
  <pivotFields count="131">
    <pivotField axis="axisRow" compact="0" outline="0" showAll="0">
      <items count="12">
        <item m="1" x="8"/>
        <item m="1" x="9"/>
        <item m="1" x="3"/>
        <item m="1" x="10"/>
        <item m="1" x="4"/>
        <item m="1" x="5"/>
        <item m="1" x="6"/>
        <item m="1" x="7"/>
        <item m="1" x="2"/>
        <item m="1" x="1"/>
        <item x="0"/>
        <item t="default"/>
      </items>
    </pivotField>
    <pivotField compact="0" outline="0" showAll="0" defaultSubtotal="0"/>
    <pivotField compact="0" outline="0" showAll="0" defaultSubtotal="0">
      <items count="42">
        <item h="1" x="17"/>
        <item h="1" x="34"/>
        <item h="1" x="35"/>
        <item h="1" x="14"/>
        <item h="1" x="22"/>
        <item h="1" x="20"/>
        <item h="1" x="16"/>
        <item h="1" x="4"/>
        <item h="1" x="8"/>
        <item h="1" x="3"/>
        <item h="1" x="12"/>
        <item h="1" x="23"/>
        <item x="1"/>
        <item h="1" x="6"/>
        <item h="1" x="10"/>
        <item h="1" x="28"/>
        <item h="1" x="30"/>
        <item h="1" x="32"/>
        <item h="1" x="27"/>
        <item h="1" x="26"/>
        <item h="1" m="1" x="41"/>
        <item h="1" x="25"/>
        <item h="1" x="29"/>
        <item h="1" m="1" x="40"/>
        <item h="1" x="2"/>
        <item h="1" x="24"/>
        <item h="1" x="37"/>
        <item h="1" x="36"/>
        <item h="1" x="18"/>
        <item h="1" x="15"/>
        <item h="1" x="19"/>
        <item h="1" x="21"/>
        <item h="1" x="9"/>
        <item h="1" x="38"/>
        <item h="1" x="5"/>
        <item h="1" x="0"/>
        <item h="1" x="11"/>
        <item h="1" x="31"/>
        <item h="1" x="33"/>
        <item h="1" x="13"/>
        <item h="1" x="7"/>
        <item h="1" m="1" x="39"/>
      </items>
    </pivotField>
    <pivotField compact="0" outline="0" showAll="0"/>
    <pivotField compact="0" outline="0" showAll="0">
      <items count="7">
        <item x="1"/>
        <item x="0"/>
        <item x="2"/>
        <item m="1" x="5"/>
        <item x="3"/>
        <item m="1" x="4"/>
        <item t="default"/>
      </items>
    </pivotField>
    <pivotField compact="0" outline="0" showAll="0">
      <items count="42">
        <item m="1" x="36"/>
        <item x="0"/>
        <item x="14"/>
        <item m="1" x="38"/>
        <item x="5"/>
        <item x="6"/>
        <item x="30"/>
        <item x="27"/>
        <item x="24"/>
        <item x="17"/>
        <item x="16"/>
        <item m="1" x="35"/>
        <item m="1" x="39"/>
        <item x="9"/>
        <item x="28"/>
        <item x="15"/>
        <item x="19"/>
        <item x="7"/>
        <item x="8"/>
        <item m="1" x="32"/>
        <item x="1"/>
        <item x="22"/>
        <item x="25"/>
        <item x="20"/>
        <item x="3"/>
        <item m="1" x="37"/>
        <item x="29"/>
        <item x="26"/>
        <item m="1" x="33"/>
        <item m="1" x="34"/>
        <item x="13"/>
        <item x="23"/>
        <item x="10"/>
        <item m="1" x="40"/>
        <item x="21"/>
        <item x="4"/>
        <item x="18"/>
        <item x="11"/>
        <item x="12"/>
        <item x="2"/>
        <item m="1" x="31"/>
        <item t="default"/>
      </items>
    </pivotField>
    <pivotField compact="0" outline="0" showAll="0" defaultSubtotal="0">
      <items count="10">
        <item x="1"/>
        <item x="0"/>
        <item m="1" x="9"/>
        <item x="3"/>
        <item m="1" x="6"/>
        <item m="1" x="5"/>
        <item x="2"/>
        <item m="1" x="8"/>
        <item x="4"/>
        <item m="1" x="7"/>
      </items>
    </pivotField>
    <pivotField axis="axisRow" compact="0" outline="0" showAll="0">
      <items count="975">
        <item x="16"/>
        <item m="1" x="689"/>
        <item m="1" x="745"/>
        <item x="0"/>
        <item x="1"/>
        <item x="19"/>
        <item x="20"/>
        <item x="2"/>
        <item m="1" x="672"/>
        <item m="1" x="615"/>
        <item m="1" x="737"/>
        <item x="350"/>
        <item m="1" x="591"/>
        <item m="1" x="723"/>
        <item m="1" x="782"/>
        <item m="1" x="789"/>
        <item m="1" x="856"/>
        <item m="1" x="680"/>
        <item m="1" x="592"/>
        <item m="1" x="923"/>
        <item m="1" x="876"/>
        <item m="1" x="598"/>
        <item m="1" x="810"/>
        <item x="377"/>
        <item x="331"/>
        <item x="162"/>
        <item x="367"/>
        <item m="1" x="918"/>
        <item m="1" x="631"/>
        <item m="1" x="851"/>
        <item m="1" x="650"/>
        <item m="1" x="660"/>
        <item m="1" x="798"/>
        <item m="1" x="658"/>
        <item m="1" x="962"/>
        <item m="1" x="613"/>
        <item m="1" x="960"/>
        <item x="4"/>
        <item x="185"/>
        <item m="1" x="963"/>
        <item m="1" x="816"/>
        <item m="1" x="687"/>
        <item x="186"/>
        <item m="1" x="970"/>
        <item m="1" x="625"/>
        <item m="1" x="551"/>
        <item x="6"/>
        <item x="21"/>
        <item m="1" x="651"/>
        <item x="221"/>
        <item m="1" x="870"/>
        <item m="1" x="900"/>
        <item x="222"/>
        <item x="303"/>
        <item x="248"/>
        <item m="1" x="847"/>
        <item m="1" x="848"/>
        <item m="1" x="729"/>
        <item m="1" x="802"/>
        <item x="3"/>
        <item m="1" x="648"/>
        <item x="5"/>
        <item m="1" x="958"/>
        <item m="1" x="936"/>
        <item m="1" x="815"/>
        <item x="43"/>
        <item x="295"/>
        <item x="486"/>
        <item m="1" x="808"/>
        <item m="1" x="826"/>
        <item m="1" x="545"/>
        <item m="1" x="556"/>
        <item x="22"/>
        <item m="1" x="906"/>
        <item m="1" x="668"/>
        <item m="1" x="624"/>
        <item m="1" x="666"/>
        <item x="13"/>
        <item m="1" x="761"/>
        <item x="10"/>
        <item m="1" x="822"/>
        <item m="1" x="842"/>
        <item m="1" x="541"/>
        <item m="1" x="813"/>
        <item x="304"/>
        <item x="305"/>
        <item m="1" x="558"/>
        <item m="1" x="633"/>
        <item m="1" x="555"/>
        <item m="1" x="902"/>
        <item x="23"/>
        <item m="1" x="869"/>
        <item m="1" x="732"/>
        <item x="358"/>
        <item m="1" x="921"/>
        <item x="473"/>
        <item m="1" x="642"/>
        <item x="14"/>
        <item m="1" x="853"/>
        <item x="9"/>
        <item x="32"/>
        <item m="1" x="928"/>
        <item m="1" x="614"/>
        <item x="494"/>
        <item m="1" x="940"/>
        <item x="351"/>
        <item m="1" x="735"/>
        <item m="1" x="911"/>
        <item m="1" x="751"/>
        <item m="1" x="883"/>
        <item m="1" x="560"/>
        <item x="368"/>
        <item m="1" x="792"/>
        <item x="168"/>
        <item m="1" x="898"/>
        <item m="1" x="824"/>
        <item x="386"/>
        <item m="1" x="537"/>
        <item m="1" x="768"/>
        <item m="1" x="544"/>
        <item x="136"/>
        <item x="137"/>
        <item x="24"/>
        <item x="268"/>
        <item x="349"/>
        <item m="1" x="749"/>
        <item x="27"/>
        <item m="1" x="708"/>
        <item x="25"/>
        <item m="1" x="681"/>
        <item x="64"/>
        <item x="495"/>
        <item x="496"/>
        <item x="26"/>
        <item m="1" x="682"/>
        <item m="1" x="806"/>
        <item m="1" x="926"/>
        <item x="38"/>
        <item m="1" x="550"/>
        <item x="17"/>
        <item x="39"/>
        <item x="7"/>
        <item x="497"/>
        <item x="8"/>
        <item x="357"/>
        <item m="1" x="834"/>
        <item m="1" x="663"/>
        <item m="1" x="576"/>
        <item m="1" x="623"/>
        <item m="1" x="818"/>
        <item x="477"/>
        <item x="120"/>
        <item x="45"/>
        <item x="18"/>
        <item x="55"/>
        <item x="56"/>
        <item m="1" x="778"/>
        <item x="28"/>
        <item x="478"/>
        <item m="1" x="971"/>
        <item m="1" x="721"/>
        <item m="1" x="899"/>
        <item x="192"/>
        <item x="12"/>
        <item m="1" x="784"/>
        <item m="1" x="764"/>
        <item m="1" x="760"/>
        <item m="1" x="871"/>
        <item m="1" x="641"/>
        <item m="1" x="835"/>
        <item m="1" x="616"/>
        <item m="1" x="637"/>
        <item m="1" x="754"/>
        <item m="1" x="830"/>
        <item x="329"/>
        <item m="1" x="805"/>
        <item m="1" x="572"/>
        <item m="1" x="886"/>
        <item x="360"/>
        <item x="359"/>
        <item x="36"/>
        <item m="1" x="575"/>
        <item m="1" x="659"/>
        <item m="1" x="694"/>
        <item m="1" x="743"/>
        <item m="1" x="653"/>
        <item m="1" x="718"/>
        <item x="52"/>
        <item m="1" x="697"/>
        <item m="1" x="965"/>
        <item x="369"/>
        <item x="75"/>
        <item x="172"/>
        <item m="1" x="811"/>
        <item m="1" x="699"/>
        <item m="1" x="583"/>
        <item m="1" x="626"/>
        <item x="498"/>
        <item m="1" x="814"/>
        <item m="1" x="939"/>
        <item m="1" x="595"/>
        <item x="499"/>
        <item x="500"/>
        <item x="501"/>
        <item m="1" x="740"/>
        <item m="1" x="588"/>
        <item x="246"/>
        <item x="342"/>
        <item x="474"/>
        <item m="1" x="850"/>
        <item x="488"/>
        <item m="1" x="606"/>
        <item m="1" x="893"/>
        <item m="1" x="628"/>
        <item m="1" x="755"/>
        <item m="1" x="954"/>
        <item m="1" x="967"/>
        <item x="348"/>
        <item x="215"/>
        <item m="1" x="621"/>
        <item m="1" x="828"/>
        <item m="1" x="640"/>
        <item m="1" x="677"/>
        <item m="1" x="866"/>
        <item m="1" x="599"/>
        <item m="1" x="841"/>
        <item m="1" x="570"/>
        <item m="1" x="905"/>
        <item m="1" x="925"/>
        <item x="330"/>
        <item m="1" x="733"/>
        <item m="1" x="908"/>
        <item x="257"/>
        <item x="372"/>
        <item m="1" x="564"/>
        <item x="502"/>
        <item m="1" x="791"/>
        <item x="57"/>
        <item x="60"/>
        <item m="1" x="897"/>
        <item m="1" x="756"/>
        <item m="1" x="664"/>
        <item m="1" x="924"/>
        <item m="1" x="636"/>
        <item x="61"/>
        <item m="1" x="901"/>
        <item m="1" x="553"/>
        <item m="1" x="678"/>
        <item m="1" x="728"/>
        <item x="40"/>
        <item x="44"/>
        <item m="1" x="574"/>
        <item m="1" x="780"/>
        <item m="1" x="582"/>
        <item m="1" x="892"/>
        <item x="46"/>
        <item x="98"/>
        <item x="29"/>
        <item x="62"/>
        <item x="63"/>
        <item x="65"/>
        <item x="370"/>
        <item m="1" x="559"/>
        <item m="1" x="538"/>
        <item m="1" x="880"/>
        <item m="1" x="710"/>
        <item m="1" x="557"/>
        <item m="1" x="799"/>
        <item m="1" x="685"/>
        <item x="15"/>
        <item m="1" x="702"/>
        <item x="503"/>
        <item x="30"/>
        <item x="31"/>
        <item x="69"/>
        <item x="504"/>
        <item x="11"/>
        <item x="72"/>
        <item x="76"/>
        <item x="54"/>
        <item m="1" x="601"/>
        <item m="1" x="567"/>
        <item m="1" x="594"/>
        <item x="67"/>
        <item x="77"/>
        <item m="1" x="884"/>
        <item x="91"/>
        <item m="1" x="881"/>
        <item m="1" x="619"/>
        <item x="92"/>
        <item x="93"/>
        <item x="505"/>
        <item m="1" x="644"/>
        <item x="142"/>
        <item x="58"/>
        <item x="95"/>
        <item x="97"/>
        <item x="99"/>
        <item x="59"/>
        <item m="1" x="894"/>
        <item x="100"/>
        <item x="71"/>
        <item x="78"/>
        <item x="101"/>
        <item x="506"/>
        <item x="507"/>
        <item m="1" x="716"/>
        <item x="47"/>
        <item x="48"/>
        <item x="49"/>
        <item x="50"/>
        <item m="1" x="787"/>
        <item x="51"/>
        <item x="73"/>
        <item x="508"/>
        <item x="509"/>
        <item m="1" x="542"/>
        <item x="74"/>
        <item x="53"/>
        <item m="1" x="565"/>
        <item m="1" x="907"/>
        <item m="1" x="639"/>
        <item m="1" x="597"/>
        <item x="104"/>
        <item x="105"/>
        <item m="1" x="552"/>
        <item m="1" x="589"/>
        <item x="309"/>
        <item x="33"/>
        <item m="1" x="647"/>
        <item m="1" x="696"/>
        <item m="1" x="547"/>
        <item m="1" x="665"/>
        <item m="1" x="596"/>
        <item m="1" x="600"/>
        <item m="1" x="676"/>
        <item m="1" x="607"/>
        <item m="1" x="700"/>
        <item m="1" x="947"/>
        <item m="1" x="632"/>
        <item m="1" x="916"/>
        <item x="356"/>
        <item m="1" x="807"/>
        <item x="510"/>
        <item m="1" x="873"/>
        <item m="1" x="561"/>
        <item x="66"/>
        <item x="81"/>
        <item x="102"/>
        <item x="85"/>
        <item x="511"/>
        <item x="512"/>
        <item x="513"/>
        <item x="514"/>
        <item x="515"/>
        <item x="516"/>
        <item m="1" x="571"/>
        <item m="1" x="868"/>
        <item x="83"/>
        <item x="34"/>
        <item m="1" x="675"/>
        <item m="1" x="966"/>
        <item m="1" x="767"/>
        <item m="1" x="932"/>
        <item m="1" x="688"/>
        <item x="68"/>
        <item x="86"/>
        <item m="1" x="707"/>
        <item m="1" x="693"/>
        <item x="517"/>
        <item x="518"/>
        <item x="519"/>
        <item x="520"/>
        <item m="1" x="776"/>
        <item x="521"/>
        <item m="1" x="634"/>
        <item x="522"/>
        <item x="35"/>
        <item x="523"/>
        <item x="524"/>
        <item x="103"/>
        <item x="525"/>
        <item x="107"/>
        <item m="1" x="864"/>
        <item x="70"/>
        <item x="479"/>
        <item x="84"/>
        <item x="94"/>
        <item m="1" x="579"/>
        <item m="1" x="711"/>
        <item m="1" x="872"/>
        <item x="110"/>
        <item m="1" x="629"/>
        <item m="1" x="912"/>
        <item m="1" x="584"/>
        <item x="146"/>
        <item x="112"/>
        <item m="1" x="762"/>
        <item x="355"/>
        <item x="113"/>
        <item x="526"/>
        <item m="1" x="783"/>
        <item m="1" x="719"/>
        <item m="1" x="827"/>
        <item m="1" x="857"/>
        <item m="1" x="775"/>
        <item m="1" x="709"/>
        <item m="1" x="609"/>
        <item x="354"/>
        <item m="1" x="904"/>
        <item m="1" x="622"/>
        <item m="1" x="757"/>
        <item m="1" x="690"/>
        <item m="1" x="930"/>
        <item m="1" x="620"/>
        <item m="1" x="649"/>
        <item x="363"/>
        <item x="347"/>
        <item x="332"/>
        <item x="333"/>
        <item x="490"/>
        <item x="87"/>
        <item m="1" x="610"/>
        <item x="205"/>
        <item x="116"/>
        <item m="1" x="618"/>
        <item x="483"/>
        <item x="193"/>
        <item m="1" x="874"/>
        <item x="79"/>
        <item x="378"/>
        <item m="1" x="577"/>
        <item m="1" x="654"/>
        <item m="1" x="750"/>
        <item m="1" x="698"/>
        <item m="1" x="573"/>
        <item x="310"/>
        <item x="261"/>
        <item x="311"/>
        <item x="312"/>
        <item m="1" x="669"/>
        <item x="456"/>
        <item m="1" x="922"/>
        <item x="353"/>
        <item m="1" x="662"/>
        <item m="1" x="955"/>
        <item x="96"/>
        <item x="109"/>
        <item x="89"/>
        <item m="1" x="844"/>
        <item x="117"/>
        <item x="346"/>
        <item m="1" x="630"/>
        <item x="302"/>
        <item x="527"/>
        <item x="528"/>
        <item m="1" x="691"/>
        <item x="106"/>
        <item x="118"/>
        <item m="1" x="945"/>
        <item m="1" x="839"/>
        <item x="194"/>
        <item x="464"/>
        <item m="1" x="957"/>
        <item x="80"/>
        <item m="1" x="706"/>
        <item m="1" x="773"/>
        <item m="1" x="726"/>
        <item m="1" x="714"/>
        <item m="1" x="635"/>
        <item x="337"/>
        <item x="341"/>
        <item m="1" x="786"/>
        <item x="366"/>
        <item m="1" x="770"/>
        <item x="108"/>
        <item x="340"/>
        <item m="1" x="674"/>
        <item m="1" x="854"/>
        <item x="361"/>
        <item m="1" x="734"/>
        <item x="352"/>
        <item m="1" x="736"/>
        <item m="1" x="554"/>
        <item m="1" x="686"/>
        <item m="1" x="753"/>
        <item m="1" x="938"/>
        <item m="1" x="704"/>
        <item x="216"/>
        <item m="1" x="800"/>
        <item m="1" x="543"/>
        <item x="149"/>
        <item x="119"/>
        <item x="151"/>
        <item m="1" x="581"/>
        <item m="1" x="788"/>
        <item m="1" x="934"/>
        <item m="1" x="611"/>
        <item m="1" x="661"/>
        <item m="1" x="535"/>
        <item m="1" x="604"/>
        <item x="37"/>
        <item m="1" x="829"/>
        <item x="82"/>
        <item x="88"/>
        <item x="487"/>
        <item m="1" x="730"/>
        <item m="1" x="540"/>
        <item x="365"/>
        <item x="152"/>
        <item m="1" x="727"/>
        <item x="121"/>
        <item x="482"/>
        <item x="266"/>
        <item m="1" x="929"/>
        <item x="364"/>
        <item m="1" x="671"/>
        <item x="123"/>
        <item m="1" x="941"/>
        <item x="315"/>
        <item x="316"/>
        <item m="1" x="771"/>
        <item x="132"/>
        <item x="211"/>
        <item m="1" x="712"/>
        <item x="317"/>
        <item x="247"/>
        <item x="318"/>
        <item m="1" x="877"/>
        <item x="90"/>
        <item x="319"/>
        <item m="1" x="580"/>
        <item x="320"/>
        <item x="124"/>
        <item m="1" x="969"/>
        <item x="127"/>
        <item m="1" x="772"/>
        <item x="128"/>
        <item x="178"/>
        <item x="129"/>
        <item x="111"/>
        <item x="345"/>
        <item x="133"/>
        <item x="125"/>
        <item x="126"/>
        <item x="371"/>
        <item m="1" x="701"/>
        <item m="1" x="838"/>
        <item m="1" x="759"/>
        <item x="189"/>
        <item m="1" x="587"/>
        <item m="1" x="643"/>
        <item m="1" x="673"/>
        <item m="1" x="725"/>
        <item m="1" x="860"/>
        <item x="138"/>
        <item x="297"/>
        <item m="1" x="895"/>
        <item x="197"/>
        <item x="135"/>
        <item m="1" x="896"/>
        <item m="1" x="852"/>
        <item m="1" x="679"/>
        <item x="198"/>
        <item x="199"/>
        <item x="200"/>
        <item m="1" x="859"/>
        <item m="1" x="769"/>
        <item x="134"/>
        <item x="139"/>
        <item x="131"/>
        <item x="140"/>
        <item m="1" x="888"/>
        <item m="1" x="843"/>
        <item x="373"/>
        <item m="1" x="617"/>
        <item m="1" x="568"/>
        <item m="1" x="927"/>
        <item m="1" x="890"/>
        <item m="1" x="819"/>
        <item m="1" x="809"/>
        <item m="1" x="863"/>
        <item x="143"/>
        <item x="148"/>
        <item m="1" x="536"/>
        <item m="1" x="683"/>
        <item m="1" x="953"/>
        <item x="144"/>
        <item x="114"/>
        <item x="115"/>
        <item x="145"/>
        <item x="147"/>
        <item m="1" x="602"/>
        <item m="1" x="804"/>
        <item m="1" x="774"/>
        <item m="1" x="803"/>
        <item m="1" x="812"/>
        <item x="339"/>
        <item x="338"/>
        <item x="336"/>
        <item m="1" x="951"/>
        <item m="1" x="831"/>
        <item x="328"/>
        <item m="1" x="948"/>
        <item m="1" x="949"/>
        <item m="1" x="865"/>
        <item m="1" x="950"/>
        <item m="1" x="840"/>
        <item m="1" x="903"/>
        <item m="1" x="539"/>
        <item x="376"/>
        <item m="1" x="968"/>
        <item m="1" x="943"/>
        <item m="1" x="790"/>
        <item m="1" x="715"/>
        <item x="343"/>
        <item x="344"/>
        <item m="1" x="548"/>
        <item x="321"/>
        <item x="322"/>
        <item m="1" x="717"/>
        <item m="1" x="817"/>
        <item m="1" x="972"/>
        <item m="1" x="933"/>
        <item m="1" x="744"/>
        <item m="1" x="891"/>
        <item m="1" x="566"/>
        <item x="489"/>
        <item x="155"/>
        <item m="1" x="779"/>
        <item m="1" x="937"/>
        <item x="323"/>
        <item x="313"/>
        <item m="1" x="793"/>
        <item m="1" x="758"/>
        <item x="245"/>
        <item m="1" x="652"/>
        <item x="485"/>
        <item m="1" x="546"/>
        <item m="1" x="627"/>
        <item x="325"/>
        <item x="326"/>
        <item m="1" x="858"/>
        <item x="327"/>
        <item m="1" x="746"/>
        <item m="1" x="638"/>
        <item x="375"/>
        <item x="324"/>
        <item m="1" x="608"/>
        <item m="1" x="820"/>
        <item m="1" x="919"/>
        <item m="1" x="603"/>
        <item m="1" x="692"/>
        <item m="1" x="964"/>
        <item x="335"/>
        <item m="1" x="657"/>
        <item x="150"/>
        <item x="122"/>
        <item x="153"/>
        <item m="1" x="585"/>
        <item x="529"/>
        <item m="1" x="752"/>
        <item m="1" x="586"/>
        <item m="1" x="855"/>
        <item m="1" x="605"/>
        <item m="1" x="849"/>
        <item m="1" x="742"/>
        <item m="1" x="862"/>
        <item m="1" x="655"/>
        <item x="154"/>
        <item x="157"/>
        <item m="1" x="578"/>
        <item m="1" x="832"/>
        <item x="41"/>
        <item m="1" x="944"/>
        <item m="1" x="942"/>
        <item m="1" x="915"/>
        <item m="1" x="882"/>
        <item m="1" x="656"/>
        <item x="141"/>
        <item x="158"/>
        <item x="159"/>
        <item x="255"/>
        <item m="1" x="823"/>
        <item m="1" x="777"/>
        <item m="1" x="684"/>
        <item m="1" x="724"/>
        <item m="1" x="885"/>
        <item m="1" x="825"/>
        <item x="458"/>
        <item m="1" x="722"/>
        <item x="160"/>
        <item m="1" x="959"/>
        <item x="42"/>
        <item x="362"/>
        <item m="1" x="549"/>
        <item m="1" x="867"/>
        <item m="1" x="878"/>
        <item m="1" x="879"/>
        <item m="1" x="917"/>
        <item m="1" x="590"/>
        <item m="1" x="741"/>
        <item m="1" x="645"/>
        <item m="1" x="646"/>
        <item x="260"/>
        <item m="1" x="920"/>
        <item m="1" x="748"/>
        <item m="1" x="913"/>
        <item m="1" x="738"/>
        <item x="214"/>
        <item m="1" x="739"/>
        <item m="1" x="910"/>
        <item x="249"/>
        <item m="1" x="845"/>
        <item m="1" x="796"/>
        <item m="1" x="887"/>
        <item x="459"/>
        <item m="1" x="667"/>
        <item m="1" x="563"/>
        <item m="1" x="794"/>
        <item m="1" x="766"/>
        <item m="1" x="781"/>
        <item x="530"/>
        <item x="156"/>
        <item x="308"/>
        <item x="307"/>
        <item x="314"/>
        <item m="1" x="889"/>
        <item x="171"/>
        <item x="165"/>
        <item x="176"/>
        <item x="184"/>
        <item x="177"/>
        <item x="180"/>
        <item x="179"/>
        <item x="167"/>
        <item x="166"/>
        <item x="169"/>
        <item x="170"/>
        <item x="182"/>
        <item x="183"/>
        <item x="175"/>
        <item x="448"/>
        <item x="181"/>
        <item x="174"/>
        <item m="1" x="946"/>
        <item x="187"/>
        <item x="188"/>
        <item x="190"/>
        <item x="191"/>
        <item m="1" x="703"/>
        <item x="161"/>
        <item x="202"/>
        <item x="203"/>
        <item m="1" x="836"/>
        <item x="196"/>
        <item x="334"/>
        <item x="164"/>
        <item x="204"/>
        <item m="1" x="747"/>
        <item x="163"/>
        <item x="420"/>
        <item m="1" x="961"/>
        <item x="433"/>
        <item m="1" x="593"/>
        <item x="173"/>
        <item m="1" x="720"/>
        <item x="450"/>
        <item x="454"/>
        <item x="217"/>
        <item x="218"/>
        <item x="219"/>
        <item x="220"/>
        <item x="223"/>
        <item x="224"/>
        <item x="225"/>
        <item x="226"/>
        <item x="227"/>
        <item x="228"/>
        <item x="229"/>
        <item x="230"/>
        <item x="231"/>
        <item x="232"/>
        <item x="233"/>
        <item x="234"/>
        <item x="235"/>
        <item x="236"/>
        <item x="237"/>
        <item x="398"/>
        <item x="397"/>
        <item m="1" x="731"/>
        <item x="390"/>
        <item x="389"/>
        <item x="394"/>
        <item m="1" x="765"/>
        <item x="407"/>
        <item m="1" x="837"/>
        <item m="1" x="821"/>
        <item x="399"/>
        <item x="393"/>
        <item m="1" x="909"/>
        <item x="385"/>
        <item x="400"/>
        <item x="401"/>
        <item x="238"/>
        <item x="239"/>
        <item x="240"/>
        <item x="241"/>
        <item x="242"/>
        <item x="243"/>
        <item x="244"/>
        <item m="1" x="797"/>
        <item m="1" x="785"/>
        <item m="1" x="670"/>
        <item x="250"/>
        <item x="251"/>
        <item x="252"/>
        <item x="253"/>
        <item m="1" x="795"/>
        <item m="1" x="914"/>
        <item x="256"/>
        <item m="1" x="569"/>
        <item m="1" x="952"/>
        <item x="259"/>
        <item x="262"/>
        <item x="263"/>
        <item x="264"/>
        <item x="265"/>
        <item x="267"/>
        <item m="1" x="695"/>
        <item x="269"/>
        <item x="270"/>
        <item x="271"/>
        <item x="272"/>
        <item x="273"/>
        <item x="274"/>
        <item x="275"/>
        <item x="276"/>
        <item x="277"/>
        <item x="278"/>
        <item x="279"/>
        <item x="280"/>
        <item x="281"/>
        <item x="282"/>
        <item x="283"/>
        <item x="284"/>
        <item x="285"/>
        <item x="286"/>
        <item x="287"/>
        <item x="288"/>
        <item x="289"/>
        <item x="290"/>
        <item x="291"/>
        <item x="292"/>
        <item x="293"/>
        <item x="294"/>
        <item x="296"/>
        <item x="298"/>
        <item x="299"/>
        <item x="300"/>
        <item x="301"/>
        <item x="531"/>
        <item x="532"/>
        <item x="533"/>
        <item x="306"/>
        <item m="1" x="534"/>
        <item x="130"/>
        <item x="484"/>
        <item x="207"/>
        <item x="208"/>
        <item x="209"/>
        <item x="210"/>
        <item x="212"/>
        <item x="213"/>
        <item x="254"/>
        <item x="258"/>
        <item x="374"/>
        <item x="447"/>
        <item x="451"/>
        <item x="453"/>
        <item x="455"/>
        <item x="411"/>
        <item x="415"/>
        <item x="416"/>
        <item x="408"/>
        <item m="1" x="713"/>
        <item x="405"/>
        <item x="410"/>
        <item x="406"/>
        <item m="1" x="612"/>
        <item x="404"/>
        <item x="409"/>
        <item x="402"/>
        <item x="395"/>
        <item x="380"/>
        <item x="381"/>
        <item x="382"/>
        <item x="383"/>
        <item x="384"/>
        <item x="391"/>
        <item x="403"/>
        <item x="388"/>
        <item x="392"/>
        <item x="413"/>
        <item x="414"/>
        <item x="423"/>
        <item x="424"/>
        <item x="430"/>
        <item x="429"/>
        <item x="421"/>
        <item m="1" x="833"/>
        <item x="427"/>
        <item x="426"/>
        <item x="422"/>
        <item x="432"/>
        <item x="437"/>
        <item x="438"/>
        <item x="439"/>
        <item x="440"/>
        <item x="441"/>
        <item x="442"/>
        <item x="443"/>
        <item x="444"/>
        <item x="445"/>
        <item m="1" x="935"/>
        <item x="449"/>
        <item m="1" x="956"/>
        <item m="1" x="562"/>
        <item m="1" x="801"/>
        <item x="460"/>
        <item m="1" x="931"/>
        <item m="1" x="875"/>
        <item m="1" x="846"/>
        <item x="465"/>
        <item x="466"/>
        <item x="467"/>
        <item x="468"/>
        <item x="469"/>
        <item x="418"/>
        <item m="1" x="973"/>
        <item m="1" x="861"/>
        <item x="435"/>
        <item x="436"/>
        <item x="412"/>
        <item m="1" x="763"/>
        <item m="1" x="705"/>
        <item x="201"/>
        <item x="195"/>
        <item x="379"/>
        <item x="387"/>
        <item x="396"/>
        <item x="417"/>
        <item x="419"/>
        <item x="425"/>
        <item x="428"/>
        <item x="434"/>
        <item x="452"/>
        <item x="446"/>
        <item x="457"/>
        <item x="461"/>
        <item x="462"/>
        <item x="463"/>
        <item x="470"/>
        <item x="471"/>
        <item x="431"/>
        <item x="206"/>
        <item x="472"/>
        <item x="475"/>
        <item x="476"/>
        <item x="480"/>
        <item x="481"/>
        <item x="491"/>
        <item x="492"/>
        <item x="493"/>
        <item t="default"/>
      </items>
    </pivotField>
    <pivotField compact="0" outline="0" showAll="0"/>
    <pivotField compact="0" numFmtId="1"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9" outline="0" showAll="0"/>
    <pivotField compact="0" numFmtId="9" outline="0" showAll="0"/>
    <pivotField compact="0" numFmtId="9" outline="0" showAll="0"/>
    <pivotField compact="0" outline="0" showAll="0" defaultSubtotal="0"/>
    <pivotField compact="0" outline="0" showAll="0"/>
    <pivotField compact="0" numFmtId="1" outline="0" showAll="0"/>
    <pivotField compact="0" outline="0" showAll="0" defaultSubtota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1" outline="0" showAll="0" defaultSubtotal="0"/>
    <pivotField compact="0" numFmtId="9" outline="0" showAll="0"/>
    <pivotField dataField="1" compact="0" numFmtId="1" outline="0" showAll="0" defaultSubtotal="0"/>
    <pivotField compact="0" outline="0" showAll="0" defaultSubtotal="0"/>
    <pivotField compact="0" outline="0" showAll="0" defaultSubtota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numFmtId="9" outline="0" showAll="0"/>
    <pivotField compact="0" numFmtId="1" outline="0" showAll="0" defaultSubtotal="0"/>
    <pivotField compact="0" numFmtId="1" outline="0" showAll="0"/>
    <pivotField compact="0" numFmtId="1" outline="0" showAll="0" defaultSubtotal="0"/>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5">
        <item x="0"/>
        <item x="1"/>
        <item m="1" x="3"/>
        <item m="1" x="2"/>
        <item t="default"/>
      </items>
    </pivotField>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7"/>
    <field x="0"/>
  </rowFields>
  <rowItems count="55">
    <i>
      <x v="7"/>
      <x v="10"/>
    </i>
    <i t="default">
      <x v="7"/>
    </i>
    <i>
      <x v="37"/>
      <x v="10"/>
    </i>
    <i t="default">
      <x v="37"/>
    </i>
    <i>
      <x v="132"/>
      <x v="10"/>
    </i>
    <i t="default">
      <x v="132"/>
    </i>
    <i>
      <x v="141"/>
      <x v="10"/>
    </i>
    <i t="default">
      <x v="141"/>
    </i>
    <i>
      <x v="143"/>
      <x v="10"/>
    </i>
    <i t="default">
      <x v="143"/>
    </i>
    <i>
      <x v="163"/>
      <x v="10"/>
    </i>
    <i t="default">
      <x v="163"/>
    </i>
    <i>
      <x v="187"/>
      <x v="10"/>
    </i>
    <i t="default">
      <x v="187"/>
    </i>
    <i>
      <x v="201"/>
      <x v="10"/>
    </i>
    <i t="default">
      <x v="201"/>
    </i>
    <i>
      <x v="203"/>
      <x v="10"/>
    </i>
    <i t="default">
      <x v="203"/>
    </i>
    <i>
      <x v="274"/>
      <x v="10"/>
    </i>
    <i t="default">
      <x v="274"/>
    </i>
    <i>
      <x v="275"/>
      <x v="10"/>
    </i>
    <i t="default">
      <x v="275"/>
    </i>
    <i>
      <x v="301"/>
      <x v="10"/>
    </i>
    <i t="default">
      <x v="301"/>
    </i>
    <i>
      <x v="313"/>
      <x v="10"/>
    </i>
    <i t="default">
      <x v="313"/>
    </i>
    <i>
      <x v="314"/>
      <x v="10"/>
    </i>
    <i t="default">
      <x v="314"/>
    </i>
    <i>
      <x v="317"/>
      <x v="10"/>
    </i>
    <i t="default">
      <x v="317"/>
    </i>
    <i>
      <x v="347"/>
      <x v="10"/>
    </i>
    <i t="default">
      <x v="347"/>
    </i>
    <i>
      <x v="354"/>
      <x v="10"/>
    </i>
    <i t="default">
      <x v="354"/>
    </i>
    <i>
      <x v="358"/>
      <x v="10"/>
    </i>
    <i t="default">
      <x v="358"/>
    </i>
    <i>
      <x v="378"/>
      <x v="10"/>
    </i>
    <i t="default">
      <x v="378"/>
    </i>
    <i>
      <x v="379"/>
      <x v="10"/>
    </i>
    <i t="default">
      <x v="379"/>
    </i>
    <i>
      <x v="386"/>
      <x v="10"/>
    </i>
    <i t="default">
      <x v="386"/>
    </i>
    <i>
      <x v="455"/>
      <x v="10"/>
    </i>
    <i t="default">
      <x v="455"/>
    </i>
    <i>
      <x v="543"/>
      <x v="10"/>
    </i>
    <i t="default">
      <x v="543"/>
    </i>
    <i>
      <x v="544"/>
      <x v="10"/>
    </i>
    <i t="default">
      <x v="544"/>
    </i>
    <i>
      <x v="680"/>
      <x v="10"/>
    </i>
    <i t="default">
      <x v="680"/>
    </i>
    <i>
      <x v="681"/>
      <x v="10"/>
    </i>
    <i t="default">
      <x v="681"/>
    </i>
    <i>
      <x v="691"/>
      <x v="10"/>
    </i>
    <i t="default">
      <x v="691"/>
    </i>
    <i t="grand">
      <x/>
    </i>
  </rowItems>
  <colFields count="1">
    <field x="-2"/>
  </colFields>
  <colItems count="3">
    <i>
      <x/>
    </i>
    <i i="1">
      <x v="1"/>
    </i>
    <i i="2">
      <x v="2"/>
    </i>
  </colItems>
  <pageFields count="1">
    <pageField fld="121" hier="-1"/>
  </pageFields>
  <dataFields count="3">
    <dataField name="# of People adopt basic personal and community hygiene practices" fld="102" baseField="0" baseItem="0"/>
    <dataField name="# of people access to functioning  sanitation facilities" fld="91" baseField="0" baseItem="0"/>
    <dataField name="# of people Equitable and continuous access to sufficient quantity of domestic water" fld="83" baseField="0" baseItem="0"/>
  </dataFields>
  <chartFormats count="3">
    <chartFormat chart="3" format="5" series="1">
      <pivotArea type="data" outline="0" fieldPosition="0">
        <references count="1">
          <reference field="4294967294" count="1" selected="0">
            <x v="0"/>
          </reference>
        </references>
      </pivotArea>
    </chartFormat>
    <chartFormat chart="3" format="6" series="1">
      <pivotArea type="data" outline="0" fieldPosition="0">
        <references count="1">
          <reference field="4294967294" count="1" selected="0">
            <x v="1"/>
          </reference>
        </references>
      </pivotArea>
    </chartFormat>
    <chartFormat chart="3" format="7"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00000000-0013-0000-FFFF-FFFF01000000}" sourceName="State">
  <pivotTables>
    <pivotTable tabId="92" name="Geo_Gap"/>
  </pivotTables>
  <data>
    <tabular pivotCacheId="1">
      <items count="6">
        <i x="1" s="1"/>
        <i x="0" s="1"/>
        <i x="2" s="1"/>
        <i x="3" s="1"/>
        <i x="5" s="1" nd="1"/>
        <i x="4"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1" xr10:uid="{00000000-0013-0000-FFFF-FFFF02000000}" sourceName="State">
  <pivotTables>
    <pivotTable tabId="100" name="PivotTable1"/>
  </pivotTables>
  <data>
    <tabular pivotCacheId="1">
      <items count="6">
        <i x="1" s="1"/>
        <i x="0" s="1"/>
        <i x="2" s="1"/>
        <i x="3" s="1"/>
        <i x="5" s="1" nd="1"/>
        <i x="4"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 xr10:uid="{00000000-0013-0000-FFFF-FFFF03000000}" sourceName="Township">
  <pivotTables>
    <pivotTable tabId="100" name="PivotTable1"/>
  </pivotTables>
  <data>
    <tabular pivotCacheId="1">
      <items count="41">
        <i x="0" s="1"/>
        <i x="14" s="1"/>
        <i x="5" s="1"/>
        <i x="6" s="1"/>
        <i x="30" s="1"/>
        <i x="27" s="1"/>
        <i x="24" s="1"/>
        <i x="17" s="1"/>
        <i x="16" s="1"/>
        <i x="9" s="1"/>
        <i x="28" s="1"/>
        <i x="15" s="1"/>
        <i x="19" s="1"/>
        <i x="7" s="1"/>
        <i x="8" s="1"/>
        <i x="1" s="1"/>
        <i x="22" s="1"/>
        <i x="25" s="1"/>
        <i x="20" s="1"/>
        <i x="3" s="1"/>
        <i x="29" s="1"/>
        <i x="26" s="1"/>
        <i x="13" s="1"/>
        <i x="23" s="1"/>
        <i x="10" s="1"/>
        <i x="21" s="1"/>
        <i x="4" s="1"/>
        <i x="18" s="1"/>
        <i x="11" s="1"/>
        <i x="12" s="1"/>
        <i x="2" s="1"/>
        <i x="36" s="1" nd="1"/>
        <i x="38" s="1" nd="1"/>
        <i x="35" s="1" nd="1"/>
        <i x="39" s="1" nd="1"/>
        <i x="32" s="1" nd="1"/>
        <i x="37" s="1" nd="1"/>
        <i x="33" s="1" nd="1"/>
        <i x="34" s="1" nd="1"/>
        <i x="40" s="1" nd="1"/>
        <i x="31"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11" xr10:uid="{00000000-0013-0000-FFFF-FFFF04000000}" sourceName="State">
  <pivotTables>
    <pivotTable tabId="102" name="PivotTable1"/>
  </pivotTables>
  <data>
    <tabular pivotCacheId="1">
      <items count="6">
        <i x="1" s="1"/>
        <i x="0" s="1"/>
        <i x="2" s="1"/>
        <i x="3" s="1"/>
        <i x="5" s="1" nd="1"/>
        <i x="4"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1" xr10:uid="{00000000-0013-0000-FFFF-FFFF05000000}" sourceName="Township">
  <pivotTables>
    <pivotTable tabId="102" name="PivotTable1"/>
  </pivotTables>
  <data>
    <tabular pivotCacheId="1">
      <items count="41">
        <i x="0" s="1"/>
        <i x="14" s="1"/>
        <i x="5" s="1"/>
        <i x="6" s="1"/>
        <i x="30" s="1"/>
        <i x="27" s="1"/>
        <i x="24" s="1"/>
        <i x="17" s="1"/>
        <i x="16" s="1"/>
        <i x="9" s="1"/>
        <i x="28" s="1"/>
        <i x="15" s="1"/>
        <i x="19" s="1"/>
        <i x="7" s="1"/>
        <i x="8" s="1"/>
        <i x="1" s="1"/>
        <i x="22" s="1"/>
        <i x="25" s="1"/>
        <i x="20" s="1"/>
        <i x="3" s="1"/>
        <i x="29" s="1"/>
        <i x="26" s="1"/>
        <i x="13" s="1"/>
        <i x="23" s="1"/>
        <i x="10" s="1"/>
        <i x="21" s="1"/>
        <i x="4" s="1"/>
        <i x="18" s="1"/>
        <i x="11" s="1"/>
        <i x="12" s="1"/>
        <i x="2" s="1"/>
        <i x="36" s="1" nd="1"/>
        <i x="38" s="1" nd="1"/>
        <i x="35" s="1" nd="1"/>
        <i x="39" s="1" nd="1"/>
        <i x="32" s="1" nd="1"/>
        <i x="37" s="1" nd="1"/>
        <i x="33" s="1" nd="1"/>
        <i x="34" s="1" nd="1"/>
        <i x="40" s="1" nd="1"/>
        <i x="31"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accommodation" xr10:uid="{00000000-0013-0000-FFFF-FFFF06000000}" sourceName="Type of accommodation">
  <pivotTables>
    <pivotTable tabId="92" name="Geo_Gap"/>
  </pivotTables>
  <data>
    <tabular pivotCacheId="1">
      <items count="16">
        <i x="0" s="1"/>
        <i x="2" s="1"/>
        <i x="1" s="1"/>
        <i x="9" s="1"/>
        <i x="11" s="1"/>
        <i x="8" s="1"/>
        <i x="15" s="1" nd="1"/>
        <i x="3" s="1" nd="1"/>
        <i x="4" s="1" nd="1"/>
        <i x="12" s="1" nd="1"/>
        <i x="7" s="1" nd="1"/>
        <i x="5" s="1" nd="1"/>
        <i x="10" s="1" nd="1"/>
        <i x="14" s="1" nd="1"/>
        <i x="6" s="1" nd="1"/>
        <i x="13"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orting_Period" xr10:uid="{00000000-0013-0000-FFFF-FFFF07000000}" sourceName="Reporting Period">
  <pivotTables>
    <pivotTable tabId="100" name="PivotTable1"/>
  </pivotTables>
  <data>
    <tabular pivotCacheId="1">
      <items count="11">
        <i x="0" s="1"/>
        <i x="8" s="1" nd="1"/>
        <i x="9" s="1" nd="1"/>
        <i x="3" s="1" nd="1"/>
        <i x="10" s="1" nd="1"/>
        <i x="4" s="1" nd="1"/>
        <i x="5" s="1" nd="1"/>
        <i x="6" s="1" nd="1"/>
        <i x="7" s="1" nd="1"/>
        <i x="2" s="1" nd="1"/>
        <i x="1"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_Type_1" xr10:uid="{00000000-0013-0000-FFFF-FFFF08000000}" sourceName="Location Type 1">
  <pivotTables>
    <pivotTable tabId="92" name="Geo_Gap"/>
  </pivotTables>
  <data>
    <tabular pivotCacheId="1">
      <items count="7">
        <i x="0" s="1"/>
        <i x="3" s="1"/>
        <i x="2" s="1"/>
        <i x="1" s="1"/>
        <i x="5" s="1" nd="1"/>
        <i x="6" s="1" nd="1"/>
        <i x="4"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2" xr10:uid="{00000000-0013-0000-FFFF-FFFF09000000}" sourceName="State">
  <pivotTables>
    <pivotTable tabId="114" name="PivotTable1"/>
  </pivotTables>
  <data>
    <tabular pivotCacheId="1">
      <items count="6">
        <i x="0" s="1"/>
        <i x="3" s="1"/>
        <i x="1" s="1" nd="1"/>
        <i x="2" s="1" nd="1"/>
        <i x="5" s="1" nd="1"/>
        <i x="4"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2" xr10:uid="{00000000-0013-0000-FFFF-FFFF0A000000}" sourceName="Township">
  <pivotTables>
    <pivotTable tabId="114" name="PivotTable1"/>
  </pivotTables>
  <data>
    <tabular pivotCacheId="1">
      <items count="41">
        <i x="0" s="1"/>
        <i x="30" s="1"/>
        <i x="24" s="1"/>
        <i x="9" s="1"/>
        <i x="28" s="1"/>
        <i x="1" s="1"/>
        <i x="25" s="1"/>
        <i x="26" s="1"/>
        <i x="4" s="1"/>
        <i x="2" s="1"/>
        <i x="36" s="1" nd="1"/>
        <i x="14" s="1" nd="1"/>
        <i x="38" s="1" nd="1"/>
        <i x="5" s="1" nd="1"/>
        <i x="6" s="1" nd="1"/>
        <i x="27" s="1" nd="1"/>
        <i x="17" s="1" nd="1"/>
        <i x="16" s="1" nd="1"/>
        <i x="35" s="1" nd="1"/>
        <i x="39" s="1" nd="1"/>
        <i x="15" s="1" nd="1"/>
        <i x="19" s="1" nd="1"/>
        <i x="7" s="1" nd="1"/>
        <i x="8" s="1" nd="1"/>
        <i x="32" s="1" nd="1"/>
        <i x="22" s="1" nd="1"/>
        <i x="20" s="1" nd="1"/>
        <i x="3" s="1" nd="1"/>
        <i x="37" s="1" nd="1"/>
        <i x="29" s="1" nd="1"/>
        <i x="33" s="1" nd="1"/>
        <i x="34" s="1" nd="1"/>
        <i x="13" s="1" nd="1"/>
        <i x="23" s="1" nd="1"/>
        <i x="10" s="1" nd="1"/>
        <i x="40" s="1" nd="1"/>
        <i x="21" s="1" nd="1"/>
        <i x="18" s="1" nd="1"/>
        <i x="11" s="1" nd="1"/>
        <i x="12" s="1" nd="1"/>
        <i x="31" s="1" nd="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project_agency" xr10:uid="{D49301D1-2E02-4C46-92E2-64A97E772DB6}" sourceName="WASH project agency">
  <pivotTables>
    <pivotTable tabId="100" name="PivotTable1"/>
  </pivotTables>
  <data>
    <tabular pivotCacheId="1">
      <items count="43">
        <i x="16" s="1"/>
        <i x="32" s="1"/>
        <i x="33" s="1"/>
        <i x="13" s="1"/>
        <i x="21" s="1"/>
        <i x="19" s="1"/>
        <i x="15" s="1"/>
        <i x="4" s="1"/>
        <i x="8" s="1"/>
        <i x="3" s="1"/>
        <i x="12" s="1"/>
        <i x="22" s="1"/>
        <i x="1" s="1"/>
        <i x="6" s="1"/>
        <i x="27" s="1"/>
        <i x="31" s="1"/>
        <i x="26" s="1"/>
        <i x="25" s="1"/>
        <i x="24" s="1"/>
        <i x="28" s="1"/>
        <i x="29" s="1"/>
        <i x="2" s="1"/>
        <i x="23" s="1"/>
        <i x="35" s="1"/>
        <i x="34" s="1"/>
        <i x="17" s="1"/>
        <i x="14" s="1"/>
        <i x="18" s="1"/>
        <i x="10" s="1"/>
        <i x="20" s="1"/>
        <i x="9" s="1"/>
        <i x="37" s="1"/>
        <i x="5" s="1"/>
        <i x="0" s="1"/>
        <i x="11" s="1"/>
        <i x="30" s="1"/>
        <i x="7" s="1"/>
        <i x="36" s="1"/>
        <i x="41" s="1" nd="1"/>
        <i x="39" s="1" nd="1"/>
        <i x="40" s="1" nd="1"/>
        <i x="42" s="1" nd="1"/>
        <i x="38" s="1" nd="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_Type" xr10:uid="{0C98124C-1C7A-4967-9FBA-37DD61BB8213}" sourceName="Location Type">
  <pivotTables>
    <pivotTable tabId="100" name="PivotTable1"/>
  </pivotTables>
  <data>
    <tabular pivotCacheId="1">
      <items count="10">
        <i x="1" s="1"/>
        <i x="0" s="1"/>
        <i x="3" s="1"/>
        <i x="2" s="1"/>
        <i x="4" s="1"/>
        <i x="9" s="1" nd="1"/>
        <i x="6" s="1" nd="1"/>
        <i x="5" s="1" nd="1"/>
        <i x="8" s="1" nd="1"/>
        <i x="7" s="1" nd="1"/>
      </items>
    </tabular>
  </data>
  <extLst>
    <x:ext xmlns:x15="http://schemas.microsoft.com/office/spreadsheetml/2010/11/main" uri="{470722E0-AACD-4C17-9CDC-17EF765DBC7E}">
      <x15:slicerCacheHideItemsWithNoData/>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_Type1" xr10:uid="{06398EC7-043F-4027-B69B-A5BFE1D822A0}" sourceName="Location Type">
  <pivotTables>
    <pivotTable tabId="114" name="PivotTable1"/>
  </pivotTables>
  <data>
    <tabular pivotCacheId="1">
      <items count="10">
        <i x="1" s="1"/>
        <i x="0" s="1"/>
        <i x="9" s="1" nd="1"/>
        <i x="3" s="1" nd="1"/>
        <i x="6" s="1" nd="1"/>
        <i x="5" s="1" nd="1"/>
        <i x="2" s="1" nd="1"/>
        <i x="8" s="1" nd="1"/>
        <i x="4" s="1" nd="1"/>
        <i x="7" s="1" nd="1"/>
      </items>
    </tabular>
  </data>
  <extLst>
    <x:ext xmlns:x15="http://schemas.microsoft.com/office/spreadsheetml/2010/11/main" uri="{470722E0-AACD-4C17-9CDC-17EF765DBC7E}">
      <x15:slicerCacheHideItemsWithNoData/>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implementing_agency" xr10:uid="{FE716E7A-CB0E-42A9-A1D0-0CCA6A9E4FF0}" sourceName="WASH implementing agency">
  <pivotTables>
    <pivotTable tabId="114" name="PivotTable1"/>
  </pivotTables>
  <data>
    <tabular pivotCacheId="1">
      <items count="42">
        <i x="17"/>
        <i x="34"/>
        <i x="35"/>
        <i x="14"/>
        <i x="22"/>
        <i x="20"/>
        <i x="16"/>
        <i x="4"/>
        <i x="8"/>
        <i x="3"/>
        <i x="12"/>
        <i x="23"/>
        <i x="1" s="1"/>
        <i x="6"/>
        <i x="10"/>
        <i x="28"/>
        <i x="30"/>
        <i x="32"/>
        <i x="27"/>
        <i x="26"/>
        <i x="25"/>
        <i x="29"/>
        <i x="2"/>
        <i x="24"/>
        <i x="37"/>
        <i x="36"/>
        <i x="18"/>
        <i x="15"/>
        <i x="19"/>
        <i x="21"/>
        <i x="9"/>
        <i x="38"/>
        <i x="5"/>
        <i x="0"/>
        <i x="11"/>
        <i x="31"/>
        <i x="33"/>
        <i x="13"/>
        <i x="7"/>
        <i x="41" nd="1"/>
        <i x="40" nd="1"/>
        <i x="39" nd="1"/>
      </items>
    </tabular>
  </data>
  <extLst>
    <x:ext xmlns:x15="http://schemas.microsoft.com/office/spreadsheetml/2010/11/main" uri="{470722E0-AACD-4C17-9CDC-17EF765DBC7E}">
      <x15:slicerCacheHideItemsWithNoData/>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implementing_agency1" xr10:uid="{913F7CE1-D178-4DE2-BD10-90BBF877CEC1}" sourceName="WASH implementing agency">
  <pivotTables>
    <pivotTable tabId="102" name="PivotTable1"/>
  </pivotTables>
  <data>
    <tabular pivotCacheId="1">
      <items count="42">
        <i x="17" s="1"/>
        <i x="34" s="1"/>
        <i x="35" s="1"/>
        <i x="14" s="1"/>
        <i x="22" s="1"/>
        <i x="20" s="1"/>
        <i x="16" s="1"/>
        <i x="4" s="1"/>
        <i x="8" s="1"/>
        <i x="3" s="1"/>
        <i x="12" s="1"/>
        <i x="23" s="1"/>
        <i x="1" s="1"/>
        <i x="6" s="1"/>
        <i x="10" s="1"/>
        <i x="28" s="1"/>
        <i x="30" s="1"/>
        <i x="32" s="1"/>
        <i x="27" s="1"/>
        <i x="26" s="1"/>
        <i x="25" s="1"/>
        <i x="29" s="1"/>
        <i x="2" s="1"/>
        <i x="24" s="1"/>
        <i x="37" s="1"/>
        <i x="36" s="1"/>
        <i x="18" s="1"/>
        <i x="15" s="1"/>
        <i x="19" s="1"/>
        <i x="21" s="1"/>
        <i x="9" s="1"/>
        <i x="38" s="1"/>
        <i x="5" s="1"/>
        <i x="0" s="1"/>
        <i x="11" s="1"/>
        <i x="31" s="1"/>
        <i x="33" s="1"/>
        <i x="13" s="1"/>
        <i x="7" s="1"/>
        <i x="41" s="1" nd="1"/>
        <i x="40" s="1" nd="1"/>
        <i x="39" s="1" nd="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_Type2" xr10:uid="{4B0FE9C1-C71A-444B-8D26-2FE648F247F7}" sourceName="Location Type">
  <pivotTables>
    <pivotTable tabId="102" name="PivotTable1"/>
  </pivotTables>
  <data>
    <tabular pivotCacheId="1">
      <items count="10">
        <i x="1" s="1"/>
        <i x="0" s="1"/>
        <i x="3" s="1"/>
        <i x="2" s="1"/>
        <i x="4" s="1"/>
        <i x="9" s="1" nd="1"/>
        <i x="6" s="1" nd="1"/>
        <i x="5" s="1" nd="1"/>
        <i x="8" s="1" nd="1"/>
        <i x="7"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xr10:uid="{00000000-0014-0000-FFFF-FFFF01000000}" cache="Slicer_State" caption="State" style="SlicerStyleLight1" rowHeight="304800"/>
  <slicer name="Type of accommodation" xr10:uid="{00000000-0014-0000-FFFF-FFFF02000000}" cache="Slicer_Type_of_accommodation" caption="Type of accommodation" style="SlicerStyleLight5" rowHeight="304800"/>
  <slicer name="Location Type 1 1" xr10:uid="{00000000-0014-0000-FFFF-FFFF03000000}" cache="Slicer_Location_Type_1" caption="Location Type 1" style="SlicerStyleLight5" rowHeight="3048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1" xr10:uid="{00000000-0014-0000-FFFF-FFFF04000000}" cache="Slicer_State1" caption="State" style="SlicerStyleLight6" rowHeight="304800"/>
  <slicer name="Township" xr10:uid="{00000000-0014-0000-FFFF-FFFF05000000}" cache="Slicer_Township" caption="Township" style="SlicerStyleOther2" rowHeight="304800"/>
  <slicer name="Reporting Period" xr10:uid="{00000000-0014-0000-FFFF-FFFF06000000}" cache="Slicer_Reporting_Period" caption="Reporting Period" style="SlicerStyleDark2" rowHeight="304800"/>
  <slicer name="WASH project agency" xr10:uid="{07409688-7D11-430B-A4EA-2F3DE5ACC717}" cache="Slicer_WASH_project_agency" caption="WASH project agency" columnCount="3" rowHeight="304800"/>
  <slicer name="Location Type" xr10:uid="{E0468B28-9B10-4E5D-88B3-D149B9B55D65}" cache="Slicer_Location_Type" caption="Location Type" style="SlicerStyleLight6" rowHeight="3048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2" xr10:uid="{00000000-0014-0000-FFFF-FFFF07000000}" cache="Slicer_State11" caption="State" style="SlicerStyleDark6" rowHeight="304800"/>
  <slicer name="Township 1" xr10:uid="{00000000-0014-0000-FFFF-FFFF08000000}" cache="Slicer_Township1" caption="Township" style="SlicerStyleLight1" rowHeight="304800"/>
  <slicer name="WASH implementing agency 1" xr10:uid="{BE80B595-4F20-4633-B542-1634A445F9E4}" cache="Slicer_WASH_implementing_agency1" caption="WASH implementing agency" columnCount="3" rowHeight="304800"/>
  <slicer name="Location Type 2" xr10:uid="{163D9285-1B80-4AE3-AA4B-FDE82BFC96C7}" cache="Slicer_Location_Type2" caption="Location Type" style="SlicerStyleDark6" rowHeight="3048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3" xr10:uid="{00000000-0014-0000-FFFF-FFFF09000000}" cache="Slicer_State2" caption="State" style="SlicerStyleLight6" rowHeight="304800"/>
  <slicer name="Township 2" xr10:uid="{00000000-0014-0000-FFFF-FFFF0A000000}" cache="Slicer_Township2" caption="Township" style="SlicerStyleOther2" rowHeight="304800"/>
  <slicer name="Location Type 1" xr10:uid="{1DA31F83-374D-494A-9C5A-7AC17DD1D0BE}" cache="Slicer_Location_Type1" caption="Location Type" style="SlicerStyleLight6" rowHeight="304800"/>
  <slicer name="WASH implementing agency" xr10:uid="{FD50785F-CE6E-47F7-A3FB-27BFBB24945A}" cache="Slicer_WASH_implementing_agency" caption="WASH implementing agency" columnCount="3" style="SlicerStyleLight5" rowHeight="3048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WWWW" displayName="WWWW" ref="A7:DS544" totalsRowShown="0" headerRowDxfId="1606" dataDxfId="1604" headerRowBorderDxfId="1605" tableBorderDxfId="1603">
  <sortState ref="A169:DS344">
    <sortCondition ref="H169"/>
  </sortState>
  <tableColumns count="123">
    <tableColumn id="1" xr3:uid="{00000000-0010-0000-0000-000001000000}" name="Reporting Period" dataDxfId="1602" totalsRowDxfId="1601"/>
    <tableColumn id="75" xr3:uid="{00000000-0010-0000-0000-00004B000000}" name="WASH project agency" dataDxfId="1600" totalsRowDxfId="1599"/>
    <tableColumn id="2" xr3:uid="{00000000-0010-0000-0000-000002000000}" name="WASH implementing agency" dataDxfId="1598" totalsRowDxfId="1597"/>
    <tableColumn id="8" xr3:uid="{00000000-0010-0000-0000-000008000000}" name="Primary Donor covering WASH activities at site " dataDxfId="1596" totalsRowDxfId="1595"/>
    <tableColumn id="3" xr3:uid="{00000000-0010-0000-0000-000003000000}" name="State" dataDxfId="1594" totalsRowDxfId="1593"/>
    <tableColumn id="4" xr3:uid="{00000000-0010-0000-0000-000004000000}" name="Township" dataDxfId="1592" totalsRowDxfId="1591"/>
    <tableColumn id="82" xr3:uid="{00000000-0010-0000-0000-000052000000}" name="Location Type" dataDxfId="1590" totalsRowDxfId="1589" dataCellStyle="Percent">
      <calculatedColumnFormula>VLOOKUP(WWWW[[#This Row],[Site Name]],SiteDB6[[Site Name]:[Location Type]],8,FALSE)</calculatedColumnFormula>
    </tableColumn>
    <tableColumn id="5" xr3:uid="{00000000-0010-0000-0000-000005000000}" name="Site Name" dataDxfId="1588" totalsRowDxfId="1587"/>
    <tableColumn id="6" xr3:uid="{00000000-0010-0000-0000-000006000000}" name="Total HH" dataDxfId="1586" totalsRowDxfId="1585" dataCellStyle="Comma"/>
    <tableColumn id="7" xr3:uid="{00000000-0010-0000-0000-000007000000}" name="Total PoP " dataDxfId="1584" totalsRowDxfId="1583" dataCellStyle="Comma"/>
    <tableColumn id="77" xr3:uid="{00000000-0010-0000-0000-00004D000000}" name="Project start date" dataDxfId="1582" totalsRowDxfId="1581"/>
    <tableColumn id="9" xr3:uid="{00000000-0010-0000-0000-000009000000}" name="Project end date" dataDxfId="1580" totalsRowDxfId="1579"/>
    <tableColumn id="104" xr3:uid="{00000000-0010-0000-0000-000068000000}" name="#_students at TLS_CFS" dataDxfId="1578" totalsRowDxfId="1577" dataCellStyle="Comma"/>
    <tableColumn id="50" xr3:uid="{00000000-0010-0000-0000-000032000000}" name="#_ paid camp based WASH skilled labor" dataDxfId="1576" totalsRowDxfId="1575" dataCellStyle="Comma"/>
    <tableColumn id="51" xr3:uid="{00000000-0010-0000-0000-000033000000}" name="#_paid camp based unskilled WASH unskilled labor" dataDxfId="1574" totalsRowDxfId="1573" dataCellStyle="Comma"/>
    <tableColumn id="10" xr3:uid="{00000000-0010-0000-0000-00000A000000}" name="# Work days (approx) lost in this site due to access restrictions" dataDxfId="1572" totalsRowDxfId="1571" dataCellStyle="Comma"/>
    <tableColumn id="74" xr3:uid="{00000000-0010-0000-0000-00004A000000}" name="WASH Focal in camp management structure?" dataDxfId="1570" totalsRowDxfId="1569"/>
    <tableColumn id="83" xr3:uid="{00000000-0010-0000-0000-000053000000}" name="#_men on camp WASH team" dataDxfId="1568" totalsRowDxfId="1567" dataCellStyle="Comma"/>
    <tableColumn id="101" xr3:uid="{00000000-0010-0000-0000-000065000000}" name="#_women on camp WASH team" dataDxfId="1566" totalsRowDxfId="1565" dataCellStyle="Comma"/>
    <tableColumn id="14" xr3:uid="{00000000-0010-0000-0000-00000E000000}" name="#_Constructed/existing protected hand dug well" dataDxfId="1564" totalsRowDxfId="1563" dataCellStyle="Comma"/>
    <tableColumn id="102" xr3:uid="{00000000-0010-0000-0000-000066000000}" name="#_Non-functional protected hand dug well" dataDxfId="1562" totalsRowDxfId="1561" dataCellStyle="Comma"/>
    <tableColumn id="103" xr3:uid="{00000000-0010-0000-0000-000067000000}" name="#_Operation &amp; Maintenance of hand dug well" dataDxfId="1560" totalsRowDxfId="1559" dataCellStyle="Comma"/>
    <tableColumn id="15" xr3:uid="{00000000-0010-0000-0000-00000F000000}" name="#_Constructed/Existing tube wells/boreholes/handpumps_WASH_agency" dataDxfId="1558" totalsRowDxfId="1557" dataCellStyle="Comma"/>
    <tableColumn id="106" xr3:uid="{00000000-0010-0000-0000-00006A000000}" name="#_Non-Cluster partner water tube-wells/boreholes/handpumps" dataDxfId="1556" totalsRowDxfId="1555" dataCellStyle="Comma"/>
    <tableColumn id="107" xr3:uid="{00000000-0010-0000-0000-00006B000000}" name="#_Non-functional tube wells/boreholes/handpumps" dataDxfId="1554" totalsRowDxfId="1553" dataCellStyle="Comma"/>
    <tableColumn id="108" xr3:uid="{00000000-0010-0000-0000-00006C000000}" name="#_Operation &amp; Maintenance of tube wells/boreholes/handpumps" dataDxfId="1552" totalsRowDxfId="1551" dataCellStyle="Comma"/>
    <tableColumn id="109" xr3:uid="{00000000-0010-0000-0000-00006D000000}" name="#_Constructed/Existingwater storage tank with gravity fed reticulation system" dataDxfId="1550" totalsRowDxfId="1549" dataCellStyle="Comma"/>
    <tableColumn id="110" xr3:uid="{00000000-0010-0000-0000-00006E000000}" name="#_Non-functional storage tank gravity fed reticulation system" dataDxfId="1548" totalsRowDxfId="1547" dataCellStyle="Comma"/>
    <tableColumn id="111" xr3:uid="{00000000-0010-0000-0000-00006F000000}" name="#_Operation &amp; maintenance of storage tank and reticulation system" dataDxfId="1546" totalsRowDxfId="1545" dataCellStyle="Comma"/>
    <tableColumn id="112" xr3:uid="{00000000-0010-0000-0000-000070000000}" name="#_Water boating or water trucking" dataDxfId="1544" totalsRowDxfId="1543" dataCellStyle="Comma"/>
    <tableColumn id="113" xr3:uid="{00000000-0010-0000-0000-000071000000}" name="#_Constructed/Existing protected/fenced ponds" dataDxfId="1542" totalsRowDxfId="1541" dataCellStyle="Comma"/>
    <tableColumn id="114" xr3:uid="{00000000-0010-0000-0000-000072000000}" name="#_Constructed/Existing water distribution system from river or natural spring" dataDxfId="1540" totalsRowDxfId="1539" dataCellStyle="Comma"/>
    <tableColumn id="115" xr3:uid="{00000000-0010-0000-0000-000073000000}" name="#_committes/technicians trained and maintaining the water points" dataDxfId="1538" totalsRowDxfId="1537" dataCellStyle="Comma"/>
    <tableColumn id="116" xr3:uid="{00000000-0010-0000-0000-000074000000}" name="#_Water points fully handed over" dataDxfId="1536" totalsRowDxfId="1535" dataCellStyle="Comma"/>
    <tableColumn id="117" xr3:uid="{00000000-0010-0000-0000-000075000000}" name="#_Water sources tested for contamination" dataDxfId="1534" totalsRowDxfId="1533" dataCellStyle="Comma"/>
    <tableColumn id="118" xr3:uid="{00000000-0010-0000-0000-000076000000}" name="#_Water sources treated" dataDxfId="1532" totalsRowDxfId="1531" dataCellStyle="Comma"/>
    <tableColumn id="119" xr3:uid="{00000000-0010-0000-0000-000077000000}" name="#_Household water samples tested for contamination" dataDxfId="1530" totalsRowDxfId="1529" dataCellStyle="Comma"/>
    <tableColumn id="120" xr3:uid="{00000000-0010-0000-0000-000078000000}" name="#_Household received remediation action due to contamination" dataDxfId="1528" totalsRowDxfId="1527" dataCellStyle="Comma"/>
    <tableColumn id="121" xr3:uid="{00000000-0010-0000-0000-000079000000}" name="#_Constructed/Existing hand washing stations at TLS" dataDxfId="1526" totalsRowDxfId="1525" dataCellStyle="Comma"/>
    <tableColumn id="17" xr3:uid="{00000000-0010-0000-0000-000011000000}" name="#_of water points in TLS and CFS " dataDxfId="1524" totalsRowDxfId="1523" dataCellStyle="Comma"/>
    <tableColumn id="59" xr3:uid="{00000000-0010-0000-0000-00003B000000}" name="WATER Comments" dataDxfId="1522" totalsRowDxfId="1521"/>
    <tableColumn id="87" xr3:uid="{00000000-0010-0000-0000-000057000000}" name="#_Constructed latrines_by_WASHAgencies" dataDxfId="1520" totalsRowDxfId="1519" dataCellStyle="Comma"/>
    <tableColumn id="65" xr3:uid="{00000000-0010-0000-0000-000041000000}" name="#_Non Cluster partner latrines" dataDxfId="1518" totalsRowDxfId="1517" dataCellStyle="Comma"/>
    <tableColumn id="39" xr3:uid="{00000000-0010-0000-0000-000027000000}" name="Name of Non-Cluster partner who constructed latrines" dataDxfId="1516" totalsRowDxfId="1515"/>
    <tableColumn id="23" xr3:uid="{00000000-0010-0000-0000-000017000000}" name="#_Non-functional latrines" dataDxfId="1514" totalsRowDxfId="1513" dataCellStyle="Comma"/>
    <tableColumn id="24" xr3:uid="{00000000-0010-0000-0000-000018000000}" name="#_Operation &amp; maintenance of latrines" dataDxfId="1512" totalsRowDxfId="1511" dataCellStyle="Comma"/>
    <tableColumn id="25" xr3:uid="{00000000-0010-0000-0000-000019000000}" name="#_Latrines desludged during the past quarter" dataDxfId="1510" totalsRowDxfId="1509" dataCellStyle="Comma"/>
    <tableColumn id="122" xr3:uid="{00000000-0010-0000-0000-00007A000000}" name="#_Cubic meters of desludging in past quarter" dataDxfId="1508" totalsRowDxfId="1507" dataCellStyle="Comma"/>
    <tableColumn id="123" xr3:uid="{00000000-0010-0000-0000-00007B000000}" name="#_Latrines fully handed over" dataDxfId="1506" totalsRowDxfId="1505" dataCellStyle="Comma"/>
    <tableColumn id="124" xr3:uid="{00000000-0010-0000-0000-00007C000000}" name="Is there provision of solid waste management equipment?" dataDxfId="1504" totalsRowDxfId="1503" dataCellStyle="Percent"/>
    <tableColumn id="105" xr3:uid="{00000000-0010-0000-0000-000069000000}" name="Is there constructed surface water drainage system?_x000a_" dataDxfId="1502" totalsRowDxfId="1501"/>
    <tableColumn id="100" xr3:uid="{00000000-0010-0000-0000-000064000000}" name="#_Constructed/Existing child friendly latrines" dataDxfId="1500" totalsRowDxfId="1499" dataCellStyle="Comma"/>
    <tableColumn id="26" xr3:uid="{00000000-0010-0000-0000-00001A000000}" name="#_Constructed/Existing disabled &amp; elderly friendly latrines " dataDxfId="1498" totalsRowDxfId="1497" dataCellStyle="Comma"/>
    <tableColumn id="125" xr3:uid="{00000000-0010-0000-0000-00007D000000}" name="#_Constructed/Existing latrines in TLS" dataDxfId="1496" totalsRowDxfId="1495" dataCellStyle="Comma"/>
    <tableColumn id="11" xr3:uid="{00000000-0010-0000-0000-00000B000000}" name="Sanitation Comments" dataDxfId="1494" totalsRowDxfId="1493"/>
    <tableColumn id="126" xr3:uid="{00000000-0010-0000-0000-00007E000000}" name="#_Constructed/Existing hand washing stations" dataDxfId="1492" totalsRowDxfId="1491" dataCellStyle="Comma"/>
    <tableColumn id="127" xr3:uid="{00000000-0010-0000-0000-00007F000000}" name="#_Non-Functional_hand_washing_stations" dataDxfId="1490" totalsRowDxfId="1489" dataCellStyle="Comma"/>
    <tableColumn id="13" xr3:uid="{00000000-0010-0000-0000-00000D000000}" name="#_Constructed/Existing_individual_bathing_spaces " dataDxfId="1488" totalsRowDxfId="1487" dataCellStyle="Comma"/>
    <tableColumn id="128" xr3:uid="{00000000-0010-0000-0000-000080000000}" name="#_Constructed/Existing communal bathing spaces " dataDxfId="1486" totalsRowDxfId="1485" dataCellStyle="Comma"/>
    <tableColumn id="129" xr3:uid="{00000000-0010-0000-0000-000081000000}" name="#_Non-Functional communal_bathing spaces " dataDxfId="1484" totalsRowDxfId="1483" dataCellStyle="Comma"/>
    <tableColumn id="130" xr3:uid="{00000000-0010-0000-0000-000082000000}" name="#_male hygiene promoters" dataDxfId="1482" totalsRowDxfId="1481" dataCellStyle="Comma"/>
    <tableColumn id="131" xr3:uid="{00000000-0010-0000-0000-000083000000}" name="#_female hygiene promoters" dataDxfId="1480" totalsRowDxfId="1479" dataCellStyle="Comma"/>
    <tableColumn id="132" xr3:uid="{00000000-0010-0000-0000-000084000000}" name="#_households that received standard amount of soap for this quarter" dataDxfId="1478" totalsRowDxfId="1477" dataCellStyle="Comma"/>
    <tableColumn id="133" xr3:uid="{00000000-0010-0000-0000-000085000000}" name="#_households that received standard amount of sanitary pads for this quarter" dataDxfId="1476" totalsRowDxfId="1475" dataCellStyle="Comma"/>
    <tableColumn id="134" xr3:uid="{00000000-0010-0000-0000-000086000000}" name="Is sufficient soap available for TLS? (Yes/No)" dataDxfId="1474" totalsRowDxfId="1473"/>
    <tableColumn id="20" xr3:uid="{00000000-0010-0000-0000-000014000000}" name="#_Hygiene Promotion activities (sessions) in TLS?" dataDxfId="1472" totalsRowDxfId="1471"/>
    <tableColumn id="27" xr3:uid="{00000000-0010-0000-0000-00001B000000}" name="% of students reached by HP activities" dataDxfId="1470" totalsRowDxfId="1469" dataCellStyle="Percent"/>
    <tableColumn id="28" xr3:uid="{00000000-0010-0000-0000-00001C000000}" name="Hygiene_x000a_Comments " dataDxfId="1468" totalsRowDxfId="1467"/>
    <tableColumn id="97" xr3:uid="{00000000-0010-0000-0000-000061000000}" name="% of water sources treated" dataDxfId="1466" totalsRowDxfId="1465">
      <calculatedColumnFormula>IFERROR(WWWW[[#This Row],['#_Water sources treated]]/WWWW[[#This Row],['#_Water sources tested for contamination]],"no test")</calculatedColumnFormula>
    </tableColumn>
    <tableColumn id="98" xr3:uid="{00000000-0010-0000-0000-000062000000}" name="% Household received corrective actions" dataDxfId="1464" totalsRowDxfId="1463" dataCellStyle="Percent">
      <calculatedColumnFormula>IFERROR(WWWW[[#This Row],['#_Household received remediation action due to contamination]]/WWWW[[#This Row],['#_Household water samples tested for contamination]],"no test")</calculatedColumnFormula>
    </tableColumn>
    <tableColumn id="19" xr3:uid="{00000000-0010-0000-0000-000013000000}" name="Warter quality test done" dataDxfId="1462" totalsRowDxfId="1461" dataCellStyle="Percent">
      <calculatedColumnFormula>IF(AND(WWWW[[#This Row],[% of water sources treated]]="no test",WWWW[[#This Row],[% Household received corrective actions]]="no test"),"No Test","Tested")</calculatedColumnFormula>
    </tableColumn>
    <tableColumn id="29" xr3:uid="{00000000-0010-0000-0000-00001D000000}" name="Functional protected hand dug well" dataDxfId="1460" totalsRowDxfId="1459" dataCellStyle="Percent">
      <calculatedColumnFormula>WWWW[[#This Row],['#_Constructed/existing protected hand dug well]]-WWWW[[#This Row],['#_Non-functional protected hand dug well]]</calculatedColumnFormula>
    </tableColumn>
    <tableColumn id="30" xr3:uid="{00000000-0010-0000-0000-00001E000000}" name="Functional tube wells/boreholes/handpumps (including non-cluster partners)" dataDxfId="1458" totalsRowDxfId="1457" dataCellStyle="Percent">
      <calculatedColumnFormula>(WWWW[[#This Row],['#_Constructed/Existing tube wells/boreholes/handpumps_WASH_agency]]+WWWW[[#This Row],['#_Non-Cluster partner water tube-wells/boreholes/handpumps]])-WWWW[[#This Row],['#_Non-functional tube wells/boreholes/handpumps]]</calculatedColumnFormula>
    </tableColumn>
    <tableColumn id="33" xr3:uid="{00000000-0010-0000-0000-000021000000}" name="Functional storage tank with gravity fed reticulation system" dataDxfId="1456" totalsRowDxfId="1455" dataCellStyle="Percent">
      <calculatedColumnFormula>WWWW[[#This Row],['#_Constructed/Existingwater storage tank with gravity fed reticulation system]]-WWWW[[#This Row],['#_Non-functional storage tank gravity fed reticulation system]]</calculatedColumnFormula>
    </tableColumn>
    <tableColumn id="38" xr3:uid="{00000000-0010-0000-0000-000026000000}" name="Water boating or water trucking" dataDxfId="1454" totalsRowDxfId="1453" dataCellStyle="Percent">
      <calculatedColumnFormula>WWWW[[#This Row],['#_Water boating or water trucking]]</calculatedColumnFormula>
    </tableColumn>
    <tableColumn id="52" xr3:uid="{00000000-0010-0000-0000-000034000000}" name="Constructed water distribution system from river" dataDxfId="1452" totalsRowDxfId="1451" dataCellStyle="Percent">
      <calculatedColumnFormula>WWWW[[#This Row],['#_Constructed/Existing water distribution system from river or natural spring]]</calculatedColumnFormula>
    </tableColumn>
    <tableColumn id="34" xr3:uid="{00000000-0010-0000-0000-000022000000}" name="Access to safe drinking water for Camp" dataDxfId="1450" totalsRowDxfId="1449" dataCellStyle="Percent">
      <calculatedColumnFormula>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calculatedColumnFormula>
    </tableColumn>
    <tableColumn id="35" xr3:uid="{00000000-0010-0000-0000-000023000000}" name="Access to safe drinking water for Village" dataDxfId="1448" totalsRowDxfId="1447" dataCellStyle="Percent">
      <calculatedColumnFormula>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calculatedColumnFormula>
    </tableColumn>
    <tableColumn id="36" xr3:uid="{00000000-0010-0000-0000-000024000000}" name="%Equitable and continuous access to sufficient quantity of safe drinking water" dataDxfId="1446" totalsRowDxfId="1445" dataCellStyle="Percent">
      <calculatedColumnFormula>IF(WWWW[[#This Row],[Location Type 1]]="Village",WWWW[[#This Row],[Access to safe drinking water for Village]],WWWW[[#This Row],[Access to safe drinking water for Camp]])</calculatedColumnFormula>
    </tableColumn>
    <tableColumn id="89" xr3:uid="{00000000-0010-0000-0000-000059000000}" name="# people with equitable and continuous access to sufficient quantity of safe drinking water" dataDxfId="1444" totalsRowDxfId="1443">
      <calculatedColumnFormula>WWWW[[#This Row],[%Equitable and continuous access to sufficient quantity of safe drinking water]]*WWWW[[#This Row],[Total PoP ]]</calculatedColumnFormula>
    </tableColumn>
    <tableColumn id="37" xr3:uid="{00000000-0010-0000-0000-000025000000}" name="% Access to unimproved water points" dataDxfId="1442" totalsRowDxfId="1441" dataCellStyle="Percent">
      <calculatedColumnFormula>IF((WWWW[[#This Row],['#_Constructed/Existing protected/fenced ponds]]*250)/WWWW[[#This Row],[Total PoP ]]&gt;1,1,(WWWW[[#This Row],['#_Constructed/Existing protected/fenced ponds]]*250)/WWWW[[#This Row],[Total PoP ]])</calculatedColumnFormula>
    </tableColumn>
    <tableColumn id="16" xr3:uid="{00000000-0010-0000-0000-000010000000}" name="#People access to unimproved water sources" dataDxfId="1440" totalsRowDxfId="1439">
      <calculatedColumnFormula>WWWW[[#This Row],[% Access to unimproved water points]]*WWWW[[#This Row],[Total PoP ]]</calculatedColumnFormula>
    </tableColumn>
    <tableColumn id="41" xr3:uid="{00000000-0010-0000-0000-000029000000}" name="% Equitable and continuous access to sufficient quantity of domestic water" dataDxfId="1438" totalsRowDxfId="1437" dataCellStyle="Percent">
      <calculatedColumnFormula>IF(WWWW[[#This Row],[% Access to unimproved water points]]+WWWW[[#This Row],[%Equitable and continuous access to sufficient quantity of safe drinking water]]&gt;1,1,WWWW[[#This Row],[% Access to unimproved water points]]+WWWW[[#This Row],[%Equitable and continuous access to sufficient quantity of safe drinking water]])</calculatedColumnFormula>
    </tableColumn>
    <tableColumn id="42" xr3:uid="{00000000-0010-0000-0000-00002A000000}" name="HRP1" dataDxfId="1436" totalsRowDxfId="1435">
      <calculatedColumnFormula>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calculatedColumnFormula>
    </tableColumn>
    <tableColumn id="86" xr3:uid="{00000000-0010-0000-0000-000056000000}" name="#Water points coverage" dataDxfId="1434" totalsRowDxfId="1433">
      <calculatedColumnFormula>WWWW[[#This Row],[HRP1]]/500</calculatedColumnFormula>
    </tableColumn>
    <tableColumn id="85" xr3:uid="{00000000-0010-0000-0000-000055000000}" name="%equitable and continuous access to sufficient quantity of safe drinking and domestic water's GAP" dataDxfId="1432" totalsRowDxfId="1431">
      <calculatedColumnFormula>1-WWWW[[#This Row],[% Equitable and continuous access to sufficient quantity of domestic water]]</calculatedColumnFormula>
    </tableColumn>
    <tableColumn id="43" xr3:uid="{00000000-0010-0000-0000-00002B000000}" name="# people needs equitable and continuous access to sufficient quantity of safe drinking and domestic water GAP" dataDxfId="1430" totalsRowDxfId="1429">
      <calculatedColumnFormula>WWWW[[#This Row],[%equitable and continuous access to sufficient quantity of safe drinking and domestic water''s GAP]]*WWWW[[#This Row],[Total PoP ]]</calculatedColumnFormula>
    </tableColumn>
    <tableColumn id="44" xr3:uid="{00000000-0010-0000-0000-00002C000000}" name="#Potential required new water points" dataDxfId="1428" totalsRowDxfId="1427" dataCellStyle="Percent">
      <calculatedColumnFormula>IF(WWWW[[#This Row],[Total required water points]]-WWWW[[#This Row],['#Water points coverage]]&lt;0,0,WWWW[[#This Row],[Total required water points]]-WWWW[[#This Row],['#Water points coverage]])</calculatedColumnFormula>
    </tableColumn>
    <tableColumn id="78" xr3:uid="{00000000-0010-0000-0000-00004E000000}" name="Total required water points" dataDxfId="1426" totalsRowDxfId="1425" dataCellStyle="Percent">
      <calculatedColumnFormula>ROUND(IF(WWWW[[#This Row],[Total PoP ]]&lt;500,1,WWWW[[#This Row],[Total PoP ]]/500),0)</calculatedColumnFormula>
    </tableColumn>
    <tableColumn id="66" xr3:uid="{00000000-0010-0000-0000-000042000000}" name="# of Functioning latrine" dataDxfId="1424" totalsRowDxfId="1423" dataCellStyle="Percent">
      <calculatedColumnFormula>(WWWW[[#This Row],['#_Constructed latrines_by_WASHAgencies]]+WWWW[[#This Row],['#_Non Cluster partner latrines]])-WWWW[[#This Row],['#_Non-functional latrines]]</calculatedColumnFormula>
    </tableColumn>
    <tableColumn id="21" xr3:uid="{F4052D35-6786-4305-B493-888B73799200}" name="% people access to functioning Latrine" dataDxfId="1422" totalsRowDxfId="1421" dataCellStyle="Percent">
      <calculatedColumnFormula>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calculatedColumnFormula>
    </tableColumn>
    <tableColumn id="18" xr3:uid="{00000000-0010-0000-0000-000012000000}" name="HRP2" dataDxfId="1420" totalsRowDxfId="1419">
      <calculatedColumnFormula>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calculatedColumnFormula>
    </tableColumn>
    <tableColumn id="70" xr3:uid="{00000000-0010-0000-0000-000046000000}" name="# people access to continuous sanitation services desluding" dataDxfId="1418" totalsRowDxfId="1417" dataCellStyle="Comma">
      <calculatedColumnFormula>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calculatedColumnFormula>
    </tableColumn>
    <tableColumn id="12" xr3:uid="{00000000-0010-0000-0000-00000C000000}" name="# students access to functioning school latrines" dataDxfId="1416" totalsRowDxfId="1415" dataCellStyle="Percent">
      <calculatedColumnFormula>IF(WWWW[[#This Row],[Location Type 1]]="Village","NA",IF(WWWW[[#This Row],['#_Constructed/Existing latrines in TLS]]*50&gt;WWWW[[#This Row],['#_students at TLS_CFS]],WWWW[[#This Row],['#_students at TLS_CFS]],(WWWW[[#This Row],['#_Constructed/Existing latrines in TLS]]*50)))</calculatedColumnFormula>
    </tableColumn>
    <tableColumn id="73" xr3:uid="{00000000-0010-0000-0000-000049000000}" name="Total required Latrines" dataDxfId="1414" totalsRowDxfId="1413" dataCellStyle="Percent">
      <calculatedColumnFormula>ROUND(IF(WWWW[[#This Row],[Location Type 1]]="camp",WWWW[[#This Row],[Total PoP ]]/20,IF(WWWW[[#This Row],[Location Type 1]]="Temporary Location",WWWW[[#This Row],[Total PoP ]]/50,(WWWW[[#This Row],[Total PoP ]]/6))),0)</calculatedColumnFormula>
    </tableColumn>
    <tableColumn id="49" xr3:uid="{00000000-0010-0000-0000-000031000000}" name="# potential required new latrines" dataDxfId="1412" totalsRowDxfId="1411" dataCellStyle="Percent">
      <calculatedColumnFormula>IF(WWWW[[#This Row],[Total required Latrines]]-(WWWW[[#This Row],['#_Constructed latrines_by_WASHAgencies]]+WWWW[[#This Row],['#_Non Cluster partner latrines]])&lt;0,0,WWWW[[#This Row],[Total required Latrines]]-(WWWW[[#This Row],['#_Constructed latrines_by_WASHAgencies]]+WWWW[[#This Row],['#_Non Cluster partner latrines]]))</calculatedColumnFormula>
    </tableColumn>
    <tableColumn id="48" xr3:uid="{00000000-0010-0000-0000-000030000000}" name="% of Latrine Gap" dataDxfId="1410" totalsRowDxfId="1409">
      <calculatedColumnFormula>1-WWWW[[#This Row],[% people access to functioning Latrine]]</calculatedColumnFormula>
    </tableColumn>
    <tableColumn id="76" xr3:uid="{00000000-0010-0000-0000-00004C000000}" name="% Latrines requiring  repairs" dataDxfId="1408" totalsRowDxfId="1407" dataCellStyle="Percent">
      <calculatedColumnFormula>IF(OR(WWWW[[#This Row],['#_Non-functional latrines]]="",WWWW[[#This Row],['#_Non-functional latrines]]=0),0,WWWW[[#This Row],['#_Non-functional latrines]]/(WWWW[[#This Row],['#_Constructed latrines_by_WASHAgencies]]+WWWW[[#This Row],['#_Non Cluster partner latrines]]))</calculatedColumnFormula>
    </tableColumn>
    <tableColumn id="54" xr3:uid="{00000000-0010-0000-0000-000036000000}" name="# people reached by regular dedicated hygiene promotion_5" dataDxfId="1406" totalsRowDxfId="1405">
      <calculatedColumnFormula>IF(500*(WWWW[[#This Row],['#_male hygiene promoters]]+WWWW[[#This Row],['#_female hygiene promoters]])&gt;WWWW[[#This Row],[Total PoP ]],WWWW[[#This Row],[Total PoP ]],500*(WWWW[[#This Row],['#_male hygiene promoters]]+WWWW[[#This Row],['#_female hygiene promoters]]))</calculatedColumnFormula>
    </tableColumn>
    <tableColumn id="40" xr3:uid="{00000000-0010-0000-0000-000028000000}" name="# People with access to soap" dataDxfId="1404" totalsRowDxfId="1403" dataCellStyle="Percent">
      <calculatedColumnFormula>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calculatedColumnFormula>
    </tableColumn>
    <tableColumn id="47" xr3:uid="{00000000-0010-0000-0000-00002F000000}" name="# People with access to Sanity Pads" dataDxfId="1402" totalsRowDxfId="1401" dataCellStyle="Percent">
      <calculatedColumnFormula>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calculatedColumnFormula>
    </tableColumn>
    <tableColumn id="95" xr3:uid="{00000000-0010-0000-0000-00005F000000}" name="# People received regular supply of hygiene items_6" dataDxfId="1400" totalsRowDxfId="1399" dataCellStyle="Percent">
      <calculatedColumnFormula>IF(WWWW[[#This Row],['# People with access to soap]]&gt;WWWW[[#This Row],['# People with access to Sanity Pads]],WWWW[[#This Row],['# People with access to soap]],WWWW[[#This Row],['# People with access to Sanity Pads]])</calculatedColumnFormula>
    </tableColumn>
    <tableColumn id="68" xr3:uid="{00000000-0010-0000-0000-000044000000}" name="HRP3" dataDxfId="1398" totalsRowDxfId="1397" dataCellStyle="Percent">
      <calculatedColumnFormula>IF(WWWW[[#This Row],['# people reached by regular dedicated hygiene promotion_5]]&gt;WWWW[[#This Row],['# People received regular supply of hygiene items_6]],WWWW[[#This Row],['# people reached by regular dedicated hygiene promotion_5]],WWWW[[#This Row],['# People received regular supply of hygiene items_6]])</calculatedColumnFormula>
    </tableColumn>
    <tableColumn id="53" xr3:uid="{00000000-0010-0000-0000-000035000000}" name="Hygiene Coverage%" dataDxfId="1396" totalsRowDxfId="1395">
      <calculatedColumnFormula>IF(WWWW[[#This Row],[HRP3]]/WWWW[[#This Row],[Total PoP ]]&gt;100%,100%,WWWW[[#This Row],[HRP3]]/WWWW[[#This Row],[Total PoP ]])</calculatedColumnFormula>
    </tableColumn>
    <tableColumn id="72" xr3:uid="{00000000-0010-0000-0000-000048000000}" name="Hygiene Gap%" dataDxfId="1394" totalsRowDxfId="1393" dataCellStyle="Percent">
      <calculatedColumnFormula>1-WWWW[[#This Row],[Hygiene Coverage%]]</calculatedColumnFormula>
    </tableColumn>
    <tableColumn id="96" xr3:uid="{00000000-0010-0000-0000-000060000000}" name="%people reached by regular dedicated hygiene promotion" dataDxfId="1392" totalsRowDxfId="1391" dataCellStyle="Percent">
      <calculatedColumnFormula>WWWW[[#This Row],['# people reached by regular dedicated hygiene promotion_5]]/WWWW[[#This Row],[Total PoP ]]</calculatedColumnFormula>
    </tableColumn>
    <tableColumn id="55" xr3:uid="{00000000-0010-0000-0000-000037000000}" name="%HH with access to soap" dataDxfId="1390" totalsRowDxfId="1389" dataCellStyle="Percent">
      <calculatedColumnFormula>IF(WWWW[[#This Row],['#_households that received standard amount of soap for this quarter]]/WWWW[[#This Row],[Total HH]]&gt;1,1,WWWW[[#This Row],['#_households that received standard amount of soap for this quarter]]/WWWW[[#This Row],[Total HH]])</calculatedColumnFormula>
    </tableColumn>
    <tableColumn id="56" xr3:uid="{00000000-0010-0000-0000-000038000000}" name="% of HH with access to Sanitary Pad" dataDxfId="1388" totalsRowDxfId="1387" dataCellStyle="Percent">
      <calculatedColumnFormula>IF(WWWW[[#This Row],['#_households that received standard amount of sanitary pads for this quarter]]/WWWW[[#This Row],[Total HH]]&gt;1,1,WWWW[[#This Row],['#_households that received standard amount of sanitary pads for this quarter]]/WWWW[[#This Row],[Total HH]])</calculatedColumnFormula>
    </tableColumn>
    <tableColumn id="67" xr3:uid="{00000000-0010-0000-0000-000043000000}" name="# Functional hand washing stations during reporting period" dataDxfId="1386" totalsRowDxfId="1385" dataCellStyle="Percent">
      <calculatedColumnFormula>WWWW[[#This Row],['#_Constructed/Existing hand washing stations]]-WWWW[[#This Row],['#_Non-Functional_hand_washing_stations]]</calculatedColumnFormula>
    </tableColumn>
    <tableColumn id="57" xr3:uid="{00000000-0010-0000-0000-000039000000}" name="#HH with access to Hand Washing Station" dataDxfId="1384" totalsRowDxfId="1383">
      <calculatedColumnFormula>WWWW[[#This Row],[Total HH]]*#REF!</calculatedColumnFormula>
    </tableColumn>
    <tableColumn id="71" xr3:uid="{00000000-0010-0000-0000-000047000000}" name="# of hand washing stations with soap in TLS" dataDxfId="1382" totalsRowDxfId="1381">
      <calculatedColumnFormula>IF(WWWW[[#This Row],[Is sufficient soap available for TLS? (Yes/No)]]="yes",WWWW[[#This Row],['#_Constructed/Existing hand washing stations at TLS]],0)</calculatedColumnFormula>
    </tableColumn>
    <tableColumn id="22" xr3:uid="{1493D209-8D39-48AA-8346-47078D7BAB87}" name="# People access to Handwashing Station" dataDxfId="1380" totalsRowDxfId="1379">
      <calculatedColumnFormula>IF(WWWW[[#This Row],['# Functional hand washing stations during reporting period]]*100&gt;WWWW[[#This Row],[Total PoP ]],WWWW[[#This Row],[Total PoP ]],WWWW[[#This Row],['# Functional hand washing stations during reporting period]]*100)</calculatedColumnFormula>
    </tableColumn>
    <tableColumn id="31" xr3:uid="{FD8C69C6-3D27-4A27-BCF4-02830740C127}" name="Sites with TLS" dataDxfId="1378" totalsRowDxfId="1377">
      <calculatedColumnFormula>IF(WWWW[[#This Row],['#_students at TLS_CFS]]="","No","Yes")</calculatedColumnFormula>
    </tableColumn>
    <tableColumn id="58" xr3:uid="{00000000-0010-0000-0000-00003A000000}" name="CCCM Management" dataDxfId="1376" totalsRowDxfId="1375" dataCellStyle="Percent">
      <calculatedColumnFormula>VLOOKUP(WWWW[[#This Row],[Site Name]],SiteDB6[[Site Name]:[CCCM Management]],6,FALSE)</calculatedColumnFormula>
    </tableColumn>
    <tableColumn id="81" xr3:uid="{00000000-0010-0000-0000-000051000000}" name="CCCM Focal Agency" dataDxfId="1374" totalsRowDxfId="1373" dataCellStyle="Percent">
      <calculatedColumnFormula>VLOOKUP(WWWW[[#This Row],[Site Name]],SiteDB6[[Site Name]:[CCCM Focal Agency]],7,FALSE)</calculatedColumnFormula>
    </tableColumn>
    <tableColumn id="80" xr3:uid="{00000000-0010-0000-0000-000050000000}" name="Location Type 1" dataDxfId="1372" totalsRowDxfId="1371" dataCellStyle="Percent">
      <calculatedColumnFormula>VLOOKUP(WWWW[[#This Row],[Site Name]],SiteDB6[[Site Name]:[Location Type 1]],9,FALSE)</calculatedColumnFormula>
    </tableColumn>
    <tableColumn id="45" xr3:uid="{00000000-0010-0000-0000-00002D000000}" name="Type of accommodation" dataDxfId="1370" totalsRowDxfId="1369" dataCellStyle="Percent">
      <calculatedColumnFormula>VLOOKUP(WWWW[[#This Row],[Site Name]],SiteDB6[[Site Name]:[Type of Accommodation]],10,FALSE)</calculatedColumnFormula>
    </tableColumn>
    <tableColumn id="46" xr3:uid="{00000000-0010-0000-0000-00002E000000}" name="Ethnic or GCA/NGCA" dataDxfId="1368" totalsRowDxfId="1367" dataCellStyle="Percent">
      <calculatedColumnFormula>VLOOKUP(WWWW[[#This Row],[Site Name]],SiteDB6[[Site Name]:[Ethnic or GCA/NGCA]],11,FALSE)</calculatedColumnFormula>
    </tableColumn>
    <tableColumn id="60" xr3:uid="{00000000-0010-0000-0000-00003C000000}" name="Lat" dataDxfId="1366" totalsRowDxfId="1365" dataCellStyle="Percent">
      <calculatedColumnFormula>VLOOKUP(WWWW[[#This Row],[Site Name]],SiteDB6[[Site Name]:[Lat]],12,FALSE)</calculatedColumnFormula>
    </tableColumn>
    <tableColumn id="61" xr3:uid="{00000000-0010-0000-0000-00003D000000}" name="Long" dataDxfId="1364" totalsRowDxfId="1363" dataCellStyle="Percent">
      <calculatedColumnFormula>VLOOKUP(WWWW[[#This Row],[Site Name]],SiteDB6[[Site Name]:[Long]],13,FALSE)</calculatedColumnFormula>
    </tableColumn>
    <tableColumn id="62" xr3:uid="{00000000-0010-0000-0000-00003E000000}" name="Pcode" dataDxfId="1362" totalsRowDxfId="1361" dataCellStyle="Percent">
      <calculatedColumnFormula>VLOOKUP(WWWW[[#This Row],[Site Name]],SiteDB6[[Site Name]:[Pcode]],3,FALSE)</calculatedColumnFormula>
    </tableColumn>
    <tableColumn id="63" xr3:uid="{00000000-0010-0000-0000-00003F000000}" name="Covered" dataDxfId="1360" totalsRowDxfId="1359">
      <calculatedColumnFormula>IF(C8="none","Notcovered","Covered")</calculatedColumnFormula>
    </tableColumn>
    <tableColumn id="64" xr3:uid="{00000000-0010-0000-0000-000040000000}" name="Remark" dataDxfId="1358" totalsRowDxfId="1357"/>
  </tableColumns>
  <tableStyleInfo name="TableStyleMedium27"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SiteDB6" displayName="SiteDB6" ref="A2:W1109" totalsRowShown="0" headerRowDxfId="1349" dataDxfId="1348">
  <autoFilter ref="A2:W1109" xr:uid="{A4590151-2642-43E6-83D4-0383452ACD6E}"/>
  <sortState ref="A3:W1109">
    <sortCondition ref="A3:A1109"/>
    <sortCondition ref="B3:B1109"/>
    <sortCondition ref="C3:C1109"/>
  </sortState>
  <tableColumns count="23">
    <tableColumn id="13" xr3:uid="{00000000-0010-0000-0100-00000D000000}" name="State" dataDxfId="1347"/>
    <tableColumn id="12" xr3:uid="{00000000-0010-0000-0100-00000C000000}" name="Township" dataDxfId="1346"/>
    <tableColumn id="1" xr3:uid="{00000000-0010-0000-0100-000001000000}" name="Site Name" dataDxfId="1345"/>
    <tableColumn id="26" xr3:uid="{00000000-0010-0000-0100-00001A000000}" name="open in cccm?" dataDxfId="1344"/>
    <tableColumn id="2" xr3:uid="{00000000-0010-0000-0100-000002000000}" name="Pcode" dataDxfId="1343"/>
    <tableColumn id="20" xr3:uid="{00000000-0010-0000-0100-000014000000}" name="Vtract" dataDxfId="1342"/>
    <tableColumn id="21" xr3:uid="{00000000-0010-0000-0100-000015000000}" name="VillageWard" dataDxfId="1341"/>
    <tableColumn id="3" xr3:uid="{00000000-0010-0000-0100-000003000000}" name="CCCM Management" dataDxfId="1340"/>
    <tableColumn id="4" xr3:uid="{00000000-0010-0000-0100-000004000000}" name="CCCM Focal Agency" dataDxfId="1339"/>
    <tableColumn id="5" xr3:uid="{00000000-0010-0000-0100-000005000000}" name="Location Type" dataDxfId="1338"/>
    <tableColumn id="6" xr3:uid="{00000000-0010-0000-0100-000006000000}" name="Location Type 1" dataDxfId="1337"/>
    <tableColumn id="7" xr3:uid="{00000000-0010-0000-0100-000007000000}" name="Type of Accommodation" dataDxfId="1336"/>
    <tableColumn id="8" xr3:uid="{00000000-0010-0000-0100-000008000000}" name="Ethnic or GCA/NGCA" dataDxfId="1335"/>
    <tableColumn id="10" xr3:uid="{00000000-0010-0000-0100-00000A000000}" name="Lat" dataDxfId="1334"/>
    <tableColumn id="9" xr3:uid="{00000000-0010-0000-0100-000009000000}" name="Long" dataDxfId="1333"/>
    <tableColumn id="11" xr3:uid="{00000000-0010-0000-0100-00000B000000}" name="HRP categories" dataDxfId="1332"/>
    <tableColumn id="14" xr3:uid="{00000000-0010-0000-0100-00000E000000}" name="Current 4 W reported list" dataDxfId="1331"/>
    <tableColumn id="15" xr3:uid="{00000000-0010-0000-0100-00000F000000}" name="HH_x000a_(Rakhine-CCCM as of 31st Jan 2019)_x000a_(Kachin/Shan-CCCM as of 31st March 2019)" dataDxfId="1330"/>
    <tableColumn id="16" xr3:uid="{00000000-0010-0000-0100-000010000000}" name="Pop_x000a_(Rakhine-CCCM as of 31st Jan 2019)_x000a_(Kachin/Shan-CCCM as of 31st March 2019)" dataDxfId="1329"/>
    <tableColumn id="17" xr3:uid="{00000000-0010-0000-0100-000011000000}" name="Updated Date" dataDxfId="1328"/>
    <tableColumn id="18" xr3:uid="{00000000-0010-0000-0100-000012000000}" name="Remark" dataDxfId="1327"/>
    <tableColumn id="19" xr3:uid="{00000000-0010-0000-0100-000013000000}" name="Site Name_(Old)" dataDxfId="1326"/>
    <tableColumn id="24" xr3:uid="{00000000-0010-0000-0100-000018000000}" name="Comments form CCCM" dataDxfId="132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e711" displayName="Table711" ref="B48:G61" totalsRowShown="0" headerRowDxfId="103" dataDxfId="102" totalsRowDxfId="101">
  <autoFilter ref="B48:G61" xr:uid="{00000000-0009-0000-0100-00000A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Gap in active camps / township" dataDxfId="100" totalsRowDxfId="99"/>
    <tableColumn id="2" xr3:uid="{00000000-0010-0000-0200-000002000000}" name="Partners " dataDxfId="98"/>
    <tableColumn id="3" xr3:uid="{00000000-0010-0000-0200-000003000000}" name="Total population" dataDxfId="97" dataCellStyle="Comma"/>
    <tableColumn id="4" xr3:uid="{00000000-0010-0000-0200-000004000000}" name=" % _x000a_Water Gap" dataDxfId="96"/>
    <tableColumn id="5" xr3:uid="{00000000-0010-0000-0200-000005000000}" name=" %_x000a_ Sanitation Gap" dataDxfId="95"/>
    <tableColumn id="6" xr3:uid="{00000000-0010-0000-0200-000006000000}" name="%  _x000a_Hygiene Gap" dataDxfId="94"/>
  </tableColumns>
  <tableStyleInfo name="TableStyleLight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3000000}" name="Table412" displayName="Table412" ref="B56:G62" totalsRowShown="0" headerRowDxfId="93" dataDxfId="91" headerRowBorderDxfId="92" tableBorderDxfId="90" totalsRowBorderDxfId="89">
  <tableColumns count="6">
    <tableColumn id="1" xr3:uid="{00000000-0010-0000-0300-000001000000}" name="Gap in active camps / Township" dataDxfId="88"/>
    <tableColumn id="6" xr3:uid="{00000000-0010-0000-0300-000006000000}" name="Partners " dataDxfId="87"/>
    <tableColumn id="2" xr3:uid="{00000000-0010-0000-0300-000002000000}" name="Total population" dataDxfId="86" dataCellStyle="Comma"/>
    <tableColumn id="3" xr3:uid="{00000000-0010-0000-0300-000003000000}" name=" % _x000a_Water Gap" dataDxfId="85"/>
    <tableColumn id="4" xr3:uid="{00000000-0010-0000-0300-000004000000}" name=" %_x000a_ Sanitation Gap" dataDxfId="84"/>
    <tableColumn id="5" xr3:uid="{00000000-0010-0000-0300-000005000000}" name="%  _x000a_Hygiene Gap" dataDxfId="8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able613" displayName="Table613" ref="B64:G73" totalsRowShown="0" headerRowDxfId="82" dataDxfId="80" headerRowBorderDxfId="81" tableBorderDxfId="79" totalsRowBorderDxfId="78">
  <tableColumns count="6">
    <tableColumn id="1" xr3:uid="{00000000-0010-0000-0400-000001000000}" name="Gap in active villages/ Township" dataDxfId="77"/>
    <tableColumn id="2" xr3:uid="{00000000-0010-0000-0400-000002000000}" name="Partners " dataDxfId="76"/>
    <tableColumn id="3" xr3:uid="{00000000-0010-0000-0400-000003000000}" name="Total population" dataDxfId="75"/>
    <tableColumn id="4" xr3:uid="{00000000-0010-0000-0400-000004000000}" name=" % _x000a_Water Gap" dataDxfId="74"/>
    <tableColumn id="5" xr3:uid="{00000000-0010-0000-0400-000005000000}" name=" %_x000a_ Sanitation Gap" dataDxfId="73"/>
    <tableColumn id="6" xr3:uid="{00000000-0010-0000-0400-000006000000}" name="%  _x000a_Hygiene Gap" dataDxfId="7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A390474-29F8-490B-A9F8-BDDBF968B119}" name="Table4125" displayName="Table4125" ref="B75:G83" totalsRowShown="0" headerRowDxfId="71" dataDxfId="69" headerRowBorderDxfId="70" tableBorderDxfId="68" totalsRowBorderDxfId="67">
  <tableColumns count="6">
    <tableColumn id="1" xr3:uid="{AF65E3AE-39F1-4944-B18D-B41E19617159}" name="Gap in new temporary sites / Township" dataDxfId="66"/>
    <tableColumn id="6" xr3:uid="{ABB5D6FF-E8BB-4B86-9BEF-4CB6B0CEF6C1}" name="Partners " dataDxfId="65"/>
    <tableColumn id="2" xr3:uid="{3820F49B-7838-4DEE-A6F3-582F423D2494}" name="Total population" dataDxfId="64" dataCellStyle="Comma"/>
    <tableColumn id="3" xr3:uid="{4F21A3A1-8575-42BE-A856-F23E418174CB}" name=" % _x000a_Water Gap" dataDxfId="63"/>
    <tableColumn id="4" xr3:uid="{3207FCF2-BB4D-484E-918B-49FBE15C1B57}" name=" %_x000a_ Sanitation Gap" dataDxfId="62"/>
    <tableColumn id="5" xr3:uid="{796D0C74-1242-4CF6-8BED-00C5AA9C826A}" name="%  _x000a_Hygiene Gap" dataDxfId="6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712109" displayName="Table712109" ref="B49:G56" totalsRowShown="0" headerRowDxfId="60" dataDxfId="59">
  <tableColumns count="6">
    <tableColumn id="1" xr3:uid="{00000000-0010-0000-0500-000001000000}" name="Gap in active camps / township" dataDxfId="58" totalsRowDxfId="57"/>
    <tableColumn id="2" xr3:uid="{00000000-0010-0000-0500-000002000000}" name="Partners " dataDxfId="56" totalsRowDxfId="55"/>
    <tableColumn id="3" xr3:uid="{00000000-0010-0000-0500-000003000000}" name="Total population" dataDxfId="54" totalsRowDxfId="53" dataCellStyle="Comma"/>
    <tableColumn id="4" xr3:uid="{00000000-0010-0000-0500-000004000000}" name=" % _x000a_Water Gap" dataDxfId="52" totalsRowDxfId="51"/>
    <tableColumn id="5" xr3:uid="{00000000-0010-0000-0500-000005000000}" name=" %_x000a_ Sanitation Gap" dataDxfId="50" totalsRowDxfId="49"/>
    <tableColumn id="6" xr3:uid="{00000000-0010-0000-0500-000006000000}" name="%  _x000a_Hygiene Gap" dataDxfId="48" totalsRowDxfId="47"/>
  </tableColumns>
  <tableStyleInfo name="TableStyleLight2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0526B3E-E1F6-4A73-BC81-881A115B574A}" name="Table3" displayName="Table3" ref="B58:G60" totalsRowShown="0" headerRowDxfId="46" headerRowBorderDxfId="45" tableBorderDxfId="44" totalsRowBorderDxfId="43">
  <autoFilter ref="B58:G60" xr:uid="{3FF49F7E-9E63-4BF2-8318-D966262DBCE8}"/>
  <tableColumns count="6">
    <tableColumn id="1" xr3:uid="{FF45F0D3-A4DE-4EA0-8B0F-3E57855233D7}" name="Gap in new temporary sites / township" dataDxfId="42" totalsRowDxfId="41"/>
    <tableColumn id="2" xr3:uid="{5E29067D-167E-4A44-944C-04A8FE0ED63C}" name="Partners " dataDxfId="40" totalsRowDxfId="39"/>
    <tableColumn id="3" xr3:uid="{0382FE0D-64CA-4DC7-844A-575D37ACAEFD}" name="Total population" dataDxfId="38" totalsRowDxfId="37" dataCellStyle="Comma" totalsRowCellStyle="Comma"/>
    <tableColumn id="4" xr3:uid="{DCDE9D92-71AE-4EB0-A293-A31C40EE8948}" name=" % _x000a_Water Gap" dataDxfId="36" totalsRowDxfId="35"/>
    <tableColumn id="5" xr3:uid="{7366F76B-E6E7-4412-8F49-4D7E5A40D208}" name=" %_x000a_ Sanitation Gap" dataDxfId="34" totalsRowDxfId="33"/>
    <tableColumn id="6" xr3:uid="{986C47A6-BCB2-4CB5-8C5A-01BD874B374E}" name="%  _x000a_Hygiene Gap" dataDxfId="32" totalsRowDxfId="3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B3:AC83" totalsRowShown="0" headerRowDxfId="5" dataDxfId="3" headerRowBorderDxfId="4" tableBorderDxfId="2" dataCellStyle="Normal_Township">
  <autoFilter ref="AB3:AC83" xr:uid="{00000000-0009-0000-0100-000001000000}"/>
  <sortState ref="AB4:AC83">
    <sortCondition ref="AB4:AB83"/>
    <sortCondition ref="AC4:AC83"/>
  </sortState>
  <tableColumns count="2">
    <tableColumn id="1" xr3:uid="{00000000-0010-0000-0600-000001000000}" name="State_list" dataDxfId="1" dataCellStyle="Normal_Township"/>
    <tableColumn id="2" xr3:uid="{00000000-0010-0000-0600-000002000000}" name="TSps" dataDxfId="0" dataCellStyle="Normal_Township"/>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pivotTable" Target="../pivotTables/pivotTable9.xml"/><Relationship Id="rId13" Type="http://schemas.openxmlformats.org/officeDocument/2006/relationships/pivotTable" Target="../pivotTables/pivotTable14.xml"/><Relationship Id="rId18" Type="http://schemas.openxmlformats.org/officeDocument/2006/relationships/pivotTable" Target="../pivotTables/pivotTable19.xml"/><Relationship Id="rId3" Type="http://schemas.openxmlformats.org/officeDocument/2006/relationships/pivotTable" Target="../pivotTables/pivotTable4.xml"/><Relationship Id="rId7" Type="http://schemas.openxmlformats.org/officeDocument/2006/relationships/pivotTable" Target="../pivotTables/pivotTable8.xml"/><Relationship Id="rId12" Type="http://schemas.openxmlformats.org/officeDocument/2006/relationships/pivotTable" Target="../pivotTables/pivotTable13.xml"/><Relationship Id="rId17" Type="http://schemas.openxmlformats.org/officeDocument/2006/relationships/pivotTable" Target="../pivotTables/pivotTable18.xml"/><Relationship Id="rId2" Type="http://schemas.openxmlformats.org/officeDocument/2006/relationships/pivotTable" Target="../pivotTables/pivotTable3.xml"/><Relationship Id="rId16" Type="http://schemas.openxmlformats.org/officeDocument/2006/relationships/pivotTable" Target="../pivotTables/pivotTable17.xml"/><Relationship Id="rId20" Type="http://schemas.openxmlformats.org/officeDocument/2006/relationships/drawing" Target="../drawings/drawing3.xml"/><Relationship Id="rId1" Type="http://schemas.openxmlformats.org/officeDocument/2006/relationships/pivotTable" Target="../pivotTables/pivotTable2.xml"/><Relationship Id="rId6" Type="http://schemas.openxmlformats.org/officeDocument/2006/relationships/pivotTable" Target="../pivotTables/pivotTable7.xml"/><Relationship Id="rId11" Type="http://schemas.openxmlformats.org/officeDocument/2006/relationships/pivotTable" Target="../pivotTables/pivotTable12.xml"/><Relationship Id="rId5" Type="http://schemas.openxmlformats.org/officeDocument/2006/relationships/pivotTable" Target="../pivotTables/pivotTable6.xml"/><Relationship Id="rId15" Type="http://schemas.openxmlformats.org/officeDocument/2006/relationships/pivotTable" Target="../pivotTables/pivotTable16.xml"/><Relationship Id="rId10" Type="http://schemas.openxmlformats.org/officeDocument/2006/relationships/pivotTable" Target="../pivotTables/pivotTable11.xml"/><Relationship Id="rId19" Type="http://schemas.openxmlformats.org/officeDocument/2006/relationships/printerSettings" Target="../printerSettings/printerSettings7.bin"/><Relationship Id="rId4" Type="http://schemas.openxmlformats.org/officeDocument/2006/relationships/pivotTable" Target="../pivotTables/pivotTable5.xml"/><Relationship Id="rId9" Type="http://schemas.openxmlformats.org/officeDocument/2006/relationships/pivotTable" Target="../pivotTables/pivotTable10.xml"/><Relationship Id="rId14" Type="http://schemas.openxmlformats.org/officeDocument/2006/relationships/pivotTable" Target="../pivotTables/pivotTable15.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20.xml"/></Relationships>
</file>

<file path=xl/worksheets/_rels/sheet10.xml.rels><?xml version="1.0" encoding="UTF-8" standalone="yes"?>
<Relationships xmlns="http://schemas.openxmlformats.org/package/2006/relationships"><Relationship Id="rId13" Type="http://schemas.openxmlformats.org/officeDocument/2006/relationships/pivotTable" Target="../pivotTables/pivotTable33.xml"/><Relationship Id="rId18" Type="http://schemas.openxmlformats.org/officeDocument/2006/relationships/pivotTable" Target="../pivotTables/pivotTable38.xml"/><Relationship Id="rId26" Type="http://schemas.openxmlformats.org/officeDocument/2006/relationships/pivotTable" Target="../pivotTables/pivotTable46.xml"/><Relationship Id="rId39" Type="http://schemas.openxmlformats.org/officeDocument/2006/relationships/pivotTable" Target="../pivotTables/pivotTable59.xml"/><Relationship Id="rId21" Type="http://schemas.openxmlformats.org/officeDocument/2006/relationships/pivotTable" Target="../pivotTables/pivotTable41.xml"/><Relationship Id="rId34" Type="http://schemas.openxmlformats.org/officeDocument/2006/relationships/pivotTable" Target="../pivotTables/pivotTable54.xml"/><Relationship Id="rId42" Type="http://schemas.openxmlformats.org/officeDocument/2006/relationships/pivotTable" Target="../pivotTables/pivotTable62.xml"/><Relationship Id="rId7" Type="http://schemas.openxmlformats.org/officeDocument/2006/relationships/pivotTable" Target="../pivotTables/pivotTable27.xml"/><Relationship Id="rId2" Type="http://schemas.openxmlformats.org/officeDocument/2006/relationships/pivotTable" Target="../pivotTables/pivotTable22.xml"/><Relationship Id="rId16" Type="http://schemas.openxmlformats.org/officeDocument/2006/relationships/pivotTable" Target="../pivotTables/pivotTable36.xml"/><Relationship Id="rId29" Type="http://schemas.openxmlformats.org/officeDocument/2006/relationships/pivotTable" Target="../pivotTables/pivotTable49.xml"/><Relationship Id="rId1" Type="http://schemas.openxmlformats.org/officeDocument/2006/relationships/pivotTable" Target="../pivotTables/pivotTable21.xml"/><Relationship Id="rId6" Type="http://schemas.openxmlformats.org/officeDocument/2006/relationships/pivotTable" Target="../pivotTables/pivotTable26.xml"/><Relationship Id="rId11" Type="http://schemas.openxmlformats.org/officeDocument/2006/relationships/pivotTable" Target="../pivotTables/pivotTable31.xml"/><Relationship Id="rId24" Type="http://schemas.openxmlformats.org/officeDocument/2006/relationships/pivotTable" Target="../pivotTables/pivotTable44.xml"/><Relationship Id="rId32" Type="http://schemas.openxmlformats.org/officeDocument/2006/relationships/pivotTable" Target="../pivotTables/pivotTable52.xml"/><Relationship Id="rId37" Type="http://schemas.openxmlformats.org/officeDocument/2006/relationships/pivotTable" Target="../pivotTables/pivotTable57.xml"/><Relationship Id="rId40" Type="http://schemas.openxmlformats.org/officeDocument/2006/relationships/pivotTable" Target="../pivotTables/pivotTable60.xml"/><Relationship Id="rId45" Type="http://schemas.microsoft.com/office/2007/relationships/slicer" Target="../slicers/slicer1.xml"/><Relationship Id="rId5" Type="http://schemas.openxmlformats.org/officeDocument/2006/relationships/pivotTable" Target="../pivotTables/pivotTable25.xml"/><Relationship Id="rId15" Type="http://schemas.openxmlformats.org/officeDocument/2006/relationships/pivotTable" Target="../pivotTables/pivotTable35.xml"/><Relationship Id="rId23" Type="http://schemas.openxmlformats.org/officeDocument/2006/relationships/pivotTable" Target="../pivotTables/pivotTable43.xml"/><Relationship Id="rId28" Type="http://schemas.openxmlformats.org/officeDocument/2006/relationships/pivotTable" Target="../pivotTables/pivotTable48.xml"/><Relationship Id="rId36" Type="http://schemas.openxmlformats.org/officeDocument/2006/relationships/pivotTable" Target="../pivotTables/pivotTable56.xml"/><Relationship Id="rId10" Type="http://schemas.openxmlformats.org/officeDocument/2006/relationships/pivotTable" Target="../pivotTables/pivotTable30.xml"/><Relationship Id="rId19" Type="http://schemas.openxmlformats.org/officeDocument/2006/relationships/pivotTable" Target="../pivotTables/pivotTable39.xml"/><Relationship Id="rId31" Type="http://schemas.openxmlformats.org/officeDocument/2006/relationships/pivotTable" Target="../pivotTables/pivotTable51.xml"/><Relationship Id="rId44" Type="http://schemas.openxmlformats.org/officeDocument/2006/relationships/drawing" Target="../drawings/drawing4.xml"/><Relationship Id="rId4" Type="http://schemas.openxmlformats.org/officeDocument/2006/relationships/pivotTable" Target="../pivotTables/pivotTable24.xml"/><Relationship Id="rId9" Type="http://schemas.openxmlformats.org/officeDocument/2006/relationships/pivotTable" Target="../pivotTables/pivotTable29.xml"/><Relationship Id="rId14" Type="http://schemas.openxmlformats.org/officeDocument/2006/relationships/pivotTable" Target="../pivotTables/pivotTable34.xml"/><Relationship Id="rId22" Type="http://schemas.openxmlformats.org/officeDocument/2006/relationships/pivotTable" Target="../pivotTables/pivotTable42.xml"/><Relationship Id="rId27" Type="http://schemas.openxmlformats.org/officeDocument/2006/relationships/pivotTable" Target="../pivotTables/pivotTable47.xml"/><Relationship Id="rId30" Type="http://schemas.openxmlformats.org/officeDocument/2006/relationships/pivotTable" Target="../pivotTables/pivotTable50.xml"/><Relationship Id="rId35" Type="http://schemas.openxmlformats.org/officeDocument/2006/relationships/pivotTable" Target="../pivotTables/pivotTable55.xml"/><Relationship Id="rId43" Type="http://schemas.openxmlformats.org/officeDocument/2006/relationships/printerSettings" Target="../printerSettings/printerSettings8.bin"/><Relationship Id="rId8" Type="http://schemas.openxmlformats.org/officeDocument/2006/relationships/pivotTable" Target="../pivotTables/pivotTable28.xml"/><Relationship Id="rId3" Type="http://schemas.openxmlformats.org/officeDocument/2006/relationships/pivotTable" Target="../pivotTables/pivotTable23.xml"/><Relationship Id="rId12" Type="http://schemas.openxmlformats.org/officeDocument/2006/relationships/pivotTable" Target="../pivotTables/pivotTable32.xml"/><Relationship Id="rId17" Type="http://schemas.openxmlformats.org/officeDocument/2006/relationships/pivotTable" Target="../pivotTables/pivotTable37.xml"/><Relationship Id="rId25" Type="http://schemas.openxmlformats.org/officeDocument/2006/relationships/pivotTable" Target="../pivotTables/pivotTable45.xml"/><Relationship Id="rId33" Type="http://schemas.openxmlformats.org/officeDocument/2006/relationships/pivotTable" Target="../pivotTables/pivotTable53.xml"/><Relationship Id="rId38" Type="http://schemas.openxmlformats.org/officeDocument/2006/relationships/pivotTable" Target="../pivotTables/pivotTable58.xml"/><Relationship Id="rId20" Type="http://schemas.openxmlformats.org/officeDocument/2006/relationships/pivotTable" Target="../pivotTables/pivotTable40.xml"/><Relationship Id="rId41" Type="http://schemas.openxmlformats.org/officeDocument/2006/relationships/pivotTable" Target="../pivotTables/pivotTable61.xml"/></Relationships>
</file>

<file path=xl/worksheets/_rels/sheet11.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5.xml"/><Relationship Id="rId1" Type="http://schemas.openxmlformats.org/officeDocument/2006/relationships/pivotTable" Target="../pivotTables/pivotTable63.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table" Target="../tables/table6.xml"/><Relationship Id="rId4" Type="http://schemas.openxmlformats.org/officeDocument/2006/relationships/table" Target="../tables/table5.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table" Target="../tables/table8.xml"/></Relationships>
</file>

<file path=xl/worksheets/_rels/sheet15.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10.xml"/><Relationship Id="rId1" Type="http://schemas.openxmlformats.org/officeDocument/2006/relationships/pivotTable" Target="../pivotTables/pivotTable64.xml"/></Relationships>
</file>

<file path=xl/worksheets/_rels/sheet16.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11.xml"/><Relationship Id="rId1" Type="http://schemas.openxmlformats.org/officeDocument/2006/relationships/pivotTable" Target="../pivotTables/pivotTable6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omments" Target="../comments2.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48"/>
  <sheetViews>
    <sheetView zoomScale="96" zoomScaleNormal="96" workbookViewId="0">
      <selection activeCell="Y15" sqref="Y15"/>
    </sheetView>
  </sheetViews>
  <sheetFormatPr defaultColWidth="7.75" defaultRowHeight="15"/>
  <cols>
    <col min="1" max="1" width="7.125" style="21" customWidth="1"/>
    <col min="2" max="2" width="2.25" style="21" customWidth="1"/>
    <col min="3" max="19" width="7.75" style="21"/>
    <col min="20" max="20" width="25.125" style="21" customWidth="1"/>
    <col min="21" max="16384" width="7.75" style="21"/>
  </cols>
  <sheetData>
    <row r="1" spans="2:20" ht="28.15" customHeight="1" thickBot="1"/>
    <row r="2" spans="2:20" s="22" customFormat="1" ht="35.450000000000003" customHeight="1" thickTop="1" thickBot="1">
      <c r="B2" s="1060" t="s">
        <v>87</v>
      </c>
      <c r="C2" s="1061"/>
      <c r="D2" s="1061"/>
      <c r="E2" s="1061"/>
      <c r="F2" s="1061"/>
      <c r="G2" s="1061"/>
      <c r="H2" s="1061"/>
      <c r="I2" s="1061"/>
      <c r="J2" s="1061"/>
      <c r="K2" s="1061"/>
      <c r="L2" s="1061"/>
      <c r="M2" s="1061"/>
      <c r="N2" s="1061"/>
      <c r="O2" s="1061"/>
      <c r="P2" s="1061"/>
      <c r="Q2" s="1061"/>
      <c r="R2" s="1061"/>
      <c r="S2" s="1061"/>
      <c r="T2" s="1062"/>
    </row>
    <row r="3" spans="2:20" ht="15.75" thickTop="1">
      <c r="B3" s="23"/>
      <c r="C3" s="24"/>
      <c r="D3" s="24"/>
      <c r="E3" s="24"/>
      <c r="F3" s="24"/>
      <c r="G3" s="24"/>
      <c r="H3" s="24"/>
      <c r="I3" s="24"/>
      <c r="J3" s="24"/>
      <c r="K3" s="24"/>
      <c r="L3" s="24"/>
      <c r="M3" s="24"/>
      <c r="N3" s="24"/>
      <c r="O3" s="24"/>
      <c r="P3" s="24"/>
      <c r="Q3" s="24"/>
      <c r="R3" s="24"/>
      <c r="S3" s="24"/>
      <c r="T3" s="25"/>
    </row>
    <row r="4" spans="2:20">
      <c r="B4" s="23"/>
      <c r="C4" s="26" t="s">
        <v>88</v>
      </c>
      <c r="D4" s="24"/>
      <c r="E4" s="24"/>
      <c r="F4" s="24"/>
      <c r="G4" s="24"/>
      <c r="H4" s="24"/>
      <c r="I4" s="24"/>
      <c r="J4" s="24"/>
      <c r="K4" s="24"/>
      <c r="L4" s="24"/>
      <c r="M4" s="24"/>
      <c r="N4" s="24"/>
      <c r="O4" s="24"/>
      <c r="P4" s="24"/>
      <c r="Q4" s="24"/>
      <c r="R4" s="24"/>
      <c r="S4" s="24"/>
      <c r="T4" s="25"/>
    </row>
    <row r="5" spans="2:20">
      <c r="B5" s="23"/>
      <c r="C5" s="24"/>
      <c r="D5" s="24" t="s">
        <v>89</v>
      </c>
      <c r="E5" s="24"/>
      <c r="F5" s="24"/>
      <c r="G5" s="24"/>
      <c r="H5" s="24"/>
      <c r="I5" s="24"/>
      <c r="J5" s="24"/>
      <c r="K5" s="24"/>
      <c r="L5" s="24"/>
      <c r="M5" s="24"/>
      <c r="N5" s="24"/>
      <c r="O5" s="24"/>
      <c r="P5" s="24"/>
      <c r="Q5" s="24"/>
      <c r="R5" s="24"/>
      <c r="S5" s="24"/>
      <c r="T5" s="25"/>
    </row>
    <row r="6" spans="2:20">
      <c r="B6" s="23"/>
      <c r="C6" s="24"/>
      <c r="D6" s="24" t="s">
        <v>90</v>
      </c>
      <c r="E6" s="24"/>
      <c r="F6" s="24"/>
      <c r="G6" s="24"/>
      <c r="H6" s="24"/>
      <c r="I6" s="24"/>
      <c r="J6" s="24"/>
      <c r="K6" s="24"/>
      <c r="L6" s="24"/>
      <c r="M6" s="24"/>
      <c r="N6" s="24"/>
      <c r="O6" s="24"/>
      <c r="P6" s="24"/>
      <c r="Q6" s="24"/>
      <c r="R6" s="24"/>
      <c r="S6" s="24"/>
      <c r="T6" s="25"/>
    </row>
    <row r="7" spans="2:20">
      <c r="B7" s="23"/>
      <c r="C7" s="24"/>
      <c r="D7" s="24" t="s">
        <v>91</v>
      </c>
      <c r="E7" s="24"/>
      <c r="F7" s="24"/>
      <c r="G7" s="24"/>
      <c r="H7" s="24"/>
      <c r="I7" s="24"/>
      <c r="J7" s="24"/>
      <c r="K7" s="24"/>
      <c r="L7" s="24"/>
      <c r="M7" s="24"/>
      <c r="N7" s="24"/>
      <c r="O7" s="24"/>
      <c r="P7" s="24"/>
      <c r="Q7" s="24"/>
      <c r="R7" s="24"/>
      <c r="S7" s="24"/>
      <c r="T7" s="25"/>
    </row>
    <row r="8" spans="2:20">
      <c r="B8" s="23"/>
      <c r="C8" s="24"/>
      <c r="D8" s="24" t="s">
        <v>92</v>
      </c>
      <c r="E8" s="24"/>
      <c r="F8" s="24"/>
      <c r="G8" s="24"/>
      <c r="H8" s="24"/>
      <c r="I8" s="24"/>
      <c r="J8" s="24"/>
      <c r="K8" s="24"/>
      <c r="L8" s="24"/>
      <c r="M8" s="24"/>
      <c r="N8" s="24"/>
      <c r="O8" s="24"/>
      <c r="P8" s="24"/>
      <c r="Q8" s="24"/>
      <c r="R8" s="24"/>
      <c r="S8" s="24"/>
      <c r="T8" s="25"/>
    </row>
    <row r="9" spans="2:20">
      <c r="B9" s="23"/>
      <c r="C9" s="24"/>
      <c r="D9" s="24" t="s">
        <v>93</v>
      </c>
      <c r="E9" s="24"/>
      <c r="F9" s="24"/>
      <c r="G9" s="24"/>
      <c r="H9" s="24"/>
      <c r="I9" s="24"/>
      <c r="J9" s="24"/>
      <c r="K9" s="24"/>
      <c r="L9" s="24"/>
      <c r="M9" s="24"/>
      <c r="N9" s="24"/>
      <c r="O9" s="24"/>
      <c r="P9" s="24"/>
      <c r="Q9" s="24"/>
      <c r="R9" s="24"/>
      <c r="S9" s="24"/>
      <c r="T9" s="25"/>
    </row>
    <row r="10" spans="2:20">
      <c r="B10" s="23"/>
      <c r="C10" s="24"/>
      <c r="D10" s="24" t="s">
        <v>94</v>
      </c>
      <c r="E10" s="24"/>
      <c r="F10" s="24"/>
      <c r="G10" s="24"/>
      <c r="H10" s="24"/>
      <c r="I10" s="24"/>
      <c r="J10" s="24"/>
      <c r="K10" s="24"/>
      <c r="L10" s="24"/>
      <c r="M10" s="24"/>
      <c r="N10" s="24"/>
      <c r="O10" s="24"/>
      <c r="P10" s="24"/>
      <c r="Q10" s="24"/>
      <c r="R10" s="24"/>
      <c r="S10" s="24"/>
      <c r="T10" s="25"/>
    </row>
    <row r="11" spans="2:20">
      <c r="B11" s="23"/>
      <c r="C11" s="24"/>
      <c r="D11" s="24" t="s">
        <v>95</v>
      </c>
      <c r="E11" s="24"/>
      <c r="F11" s="24"/>
      <c r="G11" s="24"/>
      <c r="H11" s="24"/>
      <c r="I11" s="24"/>
      <c r="J11" s="24"/>
      <c r="K11" s="24"/>
      <c r="L11" s="24"/>
      <c r="M11" s="24"/>
      <c r="N11" s="24"/>
      <c r="O11" s="24"/>
      <c r="P11" s="24"/>
      <c r="Q11" s="24"/>
      <c r="R11" s="24"/>
      <c r="S11" s="24"/>
      <c r="T11" s="25"/>
    </row>
    <row r="12" spans="2:20">
      <c r="B12" s="23"/>
      <c r="C12" s="24"/>
      <c r="D12" s="24" t="s">
        <v>96</v>
      </c>
      <c r="E12" s="24"/>
      <c r="F12" s="24"/>
      <c r="G12" s="24"/>
      <c r="H12" s="24"/>
      <c r="I12" s="24"/>
      <c r="J12" s="24"/>
      <c r="K12" s="24"/>
      <c r="L12" s="24"/>
      <c r="M12" s="24"/>
      <c r="N12" s="24"/>
      <c r="O12" s="24"/>
      <c r="P12" s="24"/>
      <c r="Q12" s="24"/>
      <c r="R12" s="24"/>
      <c r="S12" s="24"/>
      <c r="T12" s="25"/>
    </row>
    <row r="13" spans="2:20">
      <c r="B13" s="23"/>
      <c r="C13" s="24"/>
      <c r="D13" s="24" t="s">
        <v>97</v>
      </c>
      <c r="E13" s="24"/>
      <c r="F13" s="24"/>
      <c r="G13" s="24"/>
      <c r="H13" s="24"/>
      <c r="I13" s="24"/>
      <c r="J13" s="24"/>
      <c r="K13" s="24"/>
      <c r="L13" s="24"/>
      <c r="M13" s="24"/>
      <c r="N13" s="24"/>
      <c r="O13" s="24"/>
      <c r="P13" s="24"/>
      <c r="Q13" s="24"/>
      <c r="R13" s="24"/>
      <c r="S13" s="24"/>
      <c r="T13" s="25"/>
    </row>
    <row r="14" spans="2:20">
      <c r="B14" s="23"/>
      <c r="C14" s="24"/>
      <c r="D14" s="24"/>
      <c r="E14" s="24"/>
      <c r="F14" s="24"/>
      <c r="G14" s="24"/>
      <c r="H14" s="24"/>
      <c r="I14" s="24"/>
      <c r="J14" s="24"/>
      <c r="K14" s="24"/>
      <c r="L14" s="24"/>
      <c r="M14" s="24"/>
      <c r="N14" s="24"/>
      <c r="O14" s="24"/>
      <c r="P14" s="24"/>
      <c r="Q14" s="24"/>
      <c r="R14" s="24"/>
      <c r="S14" s="24"/>
      <c r="T14" s="25"/>
    </row>
    <row r="15" spans="2:20">
      <c r="B15" s="23"/>
      <c r="C15" s="26" t="s">
        <v>98</v>
      </c>
      <c r="D15" s="24"/>
      <c r="E15" s="24"/>
      <c r="F15" s="24"/>
      <c r="G15" s="24"/>
      <c r="H15" s="24"/>
      <c r="I15" s="24"/>
      <c r="J15" s="24"/>
      <c r="K15" s="24"/>
      <c r="L15" s="24"/>
      <c r="M15" s="24"/>
      <c r="N15" s="24"/>
      <c r="O15" s="24"/>
      <c r="P15" s="24"/>
      <c r="Q15" s="24"/>
      <c r="R15" s="24"/>
      <c r="S15" s="24"/>
      <c r="T15" s="25"/>
    </row>
    <row r="16" spans="2:20">
      <c r="B16" s="23"/>
      <c r="C16" s="24"/>
      <c r="D16" s="24" t="s">
        <v>99</v>
      </c>
      <c r="E16" s="24"/>
      <c r="F16" s="24"/>
      <c r="G16" s="24"/>
      <c r="H16" s="24"/>
      <c r="I16" s="24"/>
      <c r="J16" s="24"/>
      <c r="K16" s="24"/>
      <c r="L16" s="24"/>
      <c r="M16" s="24"/>
      <c r="N16" s="24"/>
      <c r="O16" s="24"/>
      <c r="P16" s="24"/>
      <c r="Q16" s="24"/>
      <c r="R16" s="24"/>
      <c r="S16" s="24"/>
      <c r="T16" s="25"/>
    </row>
    <row r="17" spans="2:20">
      <c r="B17" s="23"/>
      <c r="C17" s="24"/>
      <c r="D17" s="24" t="s">
        <v>100</v>
      </c>
      <c r="E17" s="24"/>
      <c r="F17" s="24"/>
      <c r="G17" s="24"/>
      <c r="H17" s="24"/>
      <c r="I17" s="24"/>
      <c r="J17" s="24"/>
      <c r="K17" s="24"/>
      <c r="L17" s="24"/>
      <c r="M17" s="24"/>
      <c r="N17" s="24"/>
      <c r="O17" s="24"/>
      <c r="P17" s="24"/>
      <c r="Q17" s="24"/>
      <c r="R17" s="24"/>
      <c r="S17" s="24"/>
      <c r="T17" s="25"/>
    </row>
    <row r="18" spans="2:20">
      <c r="B18" s="23"/>
      <c r="C18" s="24"/>
      <c r="D18" s="24" t="s">
        <v>101</v>
      </c>
      <c r="E18" s="24"/>
      <c r="F18" s="24"/>
      <c r="G18" s="24"/>
      <c r="H18" s="24"/>
      <c r="I18" s="24"/>
      <c r="J18" s="24"/>
      <c r="K18" s="24"/>
      <c r="L18" s="24"/>
      <c r="M18" s="24"/>
      <c r="N18" s="24"/>
      <c r="O18" s="24"/>
      <c r="P18" s="24"/>
      <c r="Q18" s="24"/>
      <c r="R18" s="24"/>
      <c r="S18" s="24"/>
      <c r="T18" s="25"/>
    </row>
    <row r="19" spans="2:20">
      <c r="B19" s="23"/>
      <c r="C19" s="24"/>
      <c r="D19" s="24" t="s">
        <v>102</v>
      </c>
      <c r="E19" s="24"/>
      <c r="F19" s="24"/>
      <c r="G19" s="24"/>
      <c r="H19" s="24"/>
      <c r="I19" s="24"/>
      <c r="J19" s="24"/>
      <c r="K19" s="24"/>
      <c r="L19" s="24"/>
      <c r="M19" s="24"/>
      <c r="N19" s="24"/>
      <c r="O19" s="24"/>
      <c r="P19" s="24"/>
      <c r="Q19" s="24"/>
      <c r="R19" s="24"/>
      <c r="S19" s="24"/>
      <c r="T19" s="25"/>
    </row>
    <row r="20" spans="2:20">
      <c r="B20" s="23"/>
      <c r="C20" s="24"/>
      <c r="D20" s="24" t="s">
        <v>103</v>
      </c>
      <c r="E20" s="24"/>
      <c r="F20" s="24"/>
      <c r="G20" s="24"/>
      <c r="H20" s="24"/>
      <c r="I20" s="24"/>
      <c r="J20" s="24"/>
      <c r="K20" s="24"/>
      <c r="L20" s="24"/>
      <c r="M20" s="24"/>
      <c r="N20" s="24"/>
      <c r="O20" s="24"/>
      <c r="P20" s="24"/>
      <c r="Q20" s="24"/>
      <c r="R20" s="24"/>
      <c r="S20" s="24"/>
      <c r="T20" s="25"/>
    </row>
    <row r="21" spans="2:20">
      <c r="B21" s="23"/>
      <c r="C21" s="24"/>
      <c r="D21" s="24" t="s">
        <v>104</v>
      </c>
      <c r="E21" s="24"/>
      <c r="F21" s="24"/>
      <c r="G21" s="24"/>
      <c r="H21" s="24"/>
      <c r="I21" s="24"/>
      <c r="J21" s="24"/>
      <c r="K21" s="24"/>
      <c r="L21" s="24"/>
      <c r="M21" s="24"/>
      <c r="N21" s="24"/>
      <c r="O21" s="24"/>
      <c r="P21" s="24"/>
      <c r="Q21" s="24"/>
      <c r="R21" s="24"/>
      <c r="S21" s="24"/>
      <c r="T21" s="25"/>
    </row>
    <row r="22" spans="2:20">
      <c r="B22" s="23"/>
      <c r="C22" s="24"/>
      <c r="D22" s="24" t="s">
        <v>105</v>
      </c>
      <c r="E22" s="24"/>
      <c r="F22" s="24"/>
      <c r="G22" s="24"/>
      <c r="H22" s="24"/>
      <c r="I22" s="24"/>
      <c r="J22" s="24"/>
      <c r="K22" s="24"/>
      <c r="L22" s="24"/>
      <c r="M22" s="24"/>
      <c r="N22" s="24"/>
      <c r="O22" s="24"/>
      <c r="P22" s="24"/>
      <c r="Q22" s="24"/>
      <c r="R22" s="24"/>
      <c r="S22" s="24"/>
      <c r="T22" s="25"/>
    </row>
    <row r="23" spans="2:20">
      <c r="B23" s="23"/>
      <c r="C23" s="24"/>
      <c r="D23" s="24"/>
      <c r="E23" s="24"/>
      <c r="F23" s="24"/>
      <c r="G23" s="24"/>
      <c r="H23" s="24"/>
      <c r="I23" s="24"/>
      <c r="J23" s="24"/>
      <c r="K23" s="24"/>
      <c r="L23" s="24"/>
      <c r="M23" s="24"/>
      <c r="N23" s="24"/>
      <c r="O23" s="24"/>
      <c r="P23" s="24"/>
      <c r="Q23" s="24"/>
      <c r="R23" s="24"/>
      <c r="S23" s="24"/>
      <c r="T23" s="25"/>
    </row>
    <row r="24" spans="2:20">
      <c r="B24" s="23"/>
      <c r="C24" s="26" t="s">
        <v>106</v>
      </c>
      <c r="D24" s="24"/>
      <c r="E24" s="24"/>
      <c r="F24" s="24"/>
      <c r="G24" s="24"/>
      <c r="H24" s="24"/>
      <c r="I24" s="24"/>
      <c r="J24" s="24"/>
      <c r="K24" s="24"/>
      <c r="L24" s="24"/>
      <c r="M24" s="24"/>
      <c r="N24" s="24"/>
      <c r="O24" s="24"/>
      <c r="P24" s="24"/>
      <c r="Q24" s="24"/>
      <c r="R24" s="24"/>
      <c r="S24" s="24"/>
      <c r="T24" s="25"/>
    </row>
    <row r="25" spans="2:20">
      <c r="B25" s="23"/>
      <c r="C25" s="24"/>
      <c r="D25" s="24" t="s">
        <v>107</v>
      </c>
      <c r="E25" s="24"/>
      <c r="F25" s="24"/>
      <c r="G25" s="24"/>
      <c r="H25" s="24"/>
      <c r="I25" s="24"/>
      <c r="J25" s="24"/>
      <c r="K25" s="24"/>
      <c r="L25" s="24"/>
      <c r="M25" s="24"/>
      <c r="N25" s="24"/>
      <c r="O25" s="24"/>
      <c r="P25" s="24"/>
      <c r="Q25" s="24"/>
      <c r="R25" s="24"/>
      <c r="S25" s="24"/>
      <c r="T25" s="25"/>
    </row>
    <row r="26" spans="2:20" ht="27" customHeight="1">
      <c r="B26" s="23"/>
      <c r="C26" s="24"/>
      <c r="D26" s="1063" t="s">
        <v>3143</v>
      </c>
      <c r="E26" s="1064"/>
      <c r="F26" s="1064"/>
      <c r="G26" s="1064"/>
      <c r="H26" s="1064"/>
      <c r="I26" s="1064"/>
      <c r="J26" s="1064"/>
      <c r="K26" s="1064"/>
      <c r="L26" s="1064"/>
      <c r="M26" s="1064"/>
      <c r="N26" s="1064"/>
      <c r="O26" s="1064"/>
      <c r="P26" s="1064"/>
      <c r="Q26" s="1064"/>
      <c r="R26" s="1064"/>
      <c r="S26" s="1064"/>
      <c r="T26" s="1065"/>
    </row>
    <row r="27" spans="2:20">
      <c r="B27" s="23"/>
      <c r="C27" s="24"/>
      <c r="D27" s="129" t="s">
        <v>1997</v>
      </c>
      <c r="E27" s="24"/>
      <c r="F27" s="24"/>
      <c r="G27" s="24"/>
      <c r="H27" s="24"/>
      <c r="I27" s="24"/>
      <c r="J27" s="24"/>
      <c r="K27" s="24"/>
      <c r="L27" s="24"/>
      <c r="M27" s="24"/>
      <c r="N27" s="24"/>
      <c r="O27" s="24"/>
      <c r="P27" s="24"/>
      <c r="Q27" s="24"/>
      <c r="R27" s="24"/>
      <c r="S27" s="24"/>
      <c r="T27" s="25"/>
    </row>
    <row r="28" spans="2:20">
      <c r="B28" s="23"/>
      <c r="C28" s="24"/>
      <c r="D28" s="24" t="s">
        <v>108</v>
      </c>
      <c r="E28" s="24"/>
      <c r="F28" s="24"/>
      <c r="G28" s="24"/>
      <c r="H28" s="24"/>
      <c r="I28" s="24"/>
      <c r="J28" s="24"/>
      <c r="K28" s="24"/>
      <c r="L28" s="24"/>
      <c r="M28" s="24"/>
      <c r="N28" s="24"/>
      <c r="O28" s="24"/>
      <c r="P28" s="24"/>
      <c r="Q28" s="24"/>
      <c r="R28" s="24"/>
      <c r="S28" s="24"/>
      <c r="T28" s="25"/>
    </row>
    <row r="29" spans="2:20">
      <c r="B29" s="23"/>
      <c r="C29" s="24"/>
      <c r="D29" s="845" t="s">
        <v>3144</v>
      </c>
      <c r="E29" s="24"/>
      <c r="F29" s="24"/>
      <c r="G29" s="24"/>
      <c r="H29" s="24"/>
      <c r="I29" s="24"/>
      <c r="J29" s="24"/>
      <c r="K29" s="24"/>
      <c r="L29" s="24"/>
      <c r="M29" s="24"/>
      <c r="N29" s="24"/>
      <c r="O29" s="24"/>
      <c r="P29" s="24"/>
      <c r="Q29" s="24"/>
      <c r="R29" s="24"/>
      <c r="S29" s="24"/>
      <c r="T29" s="25"/>
    </row>
    <row r="30" spans="2:20">
      <c r="B30" s="23"/>
      <c r="C30" s="24"/>
      <c r="D30" s="24" t="s">
        <v>109</v>
      </c>
      <c r="E30" s="24"/>
      <c r="F30" s="24"/>
      <c r="G30" s="24"/>
      <c r="H30" s="24"/>
      <c r="I30" s="24"/>
      <c r="J30" s="24"/>
      <c r="K30" s="24"/>
      <c r="L30" s="24"/>
      <c r="M30" s="24"/>
      <c r="N30" s="24"/>
      <c r="O30" s="24"/>
      <c r="P30" s="24"/>
      <c r="Q30" s="24"/>
      <c r="R30" s="24"/>
      <c r="S30" s="24"/>
      <c r="T30" s="25"/>
    </row>
    <row r="31" spans="2:20">
      <c r="B31" s="23"/>
      <c r="C31" s="24"/>
      <c r="D31" s="129" t="s">
        <v>1999</v>
      </c>
      <c r="E31" s="24"/>
      <c r="F31" s="24"/>
      <c r="G31" s="24"/>
      <c r="H31" s="24"/>
      <c r="I31" s="24"/>
      <c r="J31" s="24"/>
      <c r="K31" s="24"/>
      <c r="L31" s="24"/>
      <c r="M31" s="24"/>
      <c r="N31" s="24"/>
      <c r="O31" s="24"/>
      <c r="P31" s="24"/>
      <c r="Q31" s="24"/>
      <c r="R31" s="24"/>
      <c r="S31" s="24"/>
      <c r="T31" s="25"/>
    </row>
    <row r="32" spans="2:20">
      <c r="B32" s="23"/>
      <c r="C32" s="24"/>
      <c r="D32" s="24" t="s">
        <v>110</v>
      </c>
      <c r="E32" s="24"/>
      <c r="F32" s="24"/>
      <c r="G32" s="24"/>
      <c r="H32" s="24"/>
      <c r="I32" s="24"/>
      <c r="J32" s="24"/>
      <c r="K32" s="24"/>
      <c r="L32" s="24"/>
      <c r="M32" s="24"/>
      <c r="N32" s="24"/>
      <c r="O32" s="24"/>
      <c r="P32" s="24"/>
      <c r="Q32" s="24"/>
      <c r="R32" s="24"/>
      <c r="S32" s="24"/>
      <c r="T32" s="25"/>
    </row>
    <row r="33" spans="2:20">
      <c r="B33" s="23"/>
      <c r="C33" s="24"/>
      <c r="D33" s="24" t="s">
        <v>111</v>
      </c>
      <c r="E33" s="24"/>
      <c r="F33" s="24"/>
      <c r="G33" s="24"/>
      <c r="H33" s="24"/>
      <c r="I33" s="24"/>
      <c r="J33" s="24"/>
      <c r="K33" s="24"/>
      <c r="L33" s="24"/>
      <c r="M33" s="24"/>
      <c r="N33" s="24"/>
      <c r="O33" s="24"/>
      <c r="P33" s="24"/>
      <c r="Q33" s="24"/>
      <c r="R33" s="24"/>
      <c r="S33" s="24"/>
      <c r="T33" s="25"/>
    </row>
    <row r="34" spans="2:20">
      <c r="B34" s="23"/>
      <c r="C34" s="24"/>
      <c r="D34" s="24"/>
      <c r="E34" s="24"/>
      <c r="F34" s="24"/>
      <c r="G34" s="24"/>
      <c r="H34" s="24"/>
      <c r="I34" s="24"/>
      <c r="J34" s="24"/>
      <c r="K34" s="24"/>
      <c r="L34" s="24"/>
      <c r="M34" s="24"/>
      <c r="N34" s="24"/>
      <c r="O34" s="24"/>
      <c r="P34" s="24"/>
      <c r="Q34" s="24"/>
      <c r="R34" s="24"/>
      <c r="S34" s="24"/>
      <c r="T34" s="25"/>
    </row>
    <row r="35" spans="2:20">
      <c r="B35" s="23"/>
      <c r="C35" s="26" t="s">
        <v>112</v>
      </c>
      <c r="D35" s="24"/>
      <c r="E35" s="24"/>
      <c r="F35" s="24"/>
      <c r="G35" s="24"/>
      <c r="H35" s="24"/>
      <c r="I35" s="24"/>
      <c r="J35" s="24"/>
      <c r="K35" s="24"/>
      <c r="L35" s="24"/>
      <c r="M35" s="24"/>
      <c r="N35" s="24"/>
      <c r="O35" s="24"/>
      <c r="P35" s="24"/>
      <c r="Q35" s="24"/>
      <c r="R35" s="24"/>
      <c r="S35" s="24"/>
      <c r="T35" s="25"/>
    </row>
    <row r="36" spans="2:20">
      <c r="B36" s="23"/>
      <c r="C36" s="24"/>
      <c r="D36" s="24" t="s">
        <v>113</v>
      </c>
      <c r="E36" s="24"/>
      <c r="F36" s="24"/>
      <c r="G36" s="24"/>
      <c r="H36" s="24"/>
      <c r="I36" s="24"/>
      <c r="J36" s="24"/>
      <c r="K36" s="24"/>
      <c r="L36" s="24"/>
      <c r="M36" s="24"/>
      <c r="N36" s="24"/>
      <c r="O36" s="24"/>
      <c r="P36" s="24"/>
      <c r="Q36" s="24"/>
      <c r="R36" s="24"/>
      <c r="S36" s="24"/>
      <c r="T36" s="25"/>
    </row>
    <row r="37" spans="2:20">
      <c r="B37" s="23"/>
      <c r="C37" s="24"/>
      <c r="D37" s="24" t="s">
        <v>114</v>
      </c>
      <c r="E37" s="24"/>
      <c r="F37" s="24"/>
      <c r="G37" s="24"/>
      <c r="H37" s="24"/>
      <c r="I37" s="24"/>
      <c r="J37" s="24"/>
      <c r="K37" s="24"/>
      <c r="L37" s="24"/>
      <c r="M37" s="24"/>
      <c r="N37" s="24"/>
      <c r="O37" s="24"/>
      <c r="P37" s="24"/>
      <c r="Q37" s="24"/>
      <c r="R37" s="24"/>
      <c r="S37" s="24"/>
      <c r="T37" s="25"/>
    </row>
    <row r="38" spans="2:20">
      <c r="B38" s="23"/>
      <c r="C38" s="24"/>
      <c r="D38" s="24" t="s">
        <v>115</v>
      </c>
      <c r="E38" s="24"/>
      <c r="F38" s="24"/>
      <c r="G38" s="24"/>
      <c r="H38" s="24"/>
      <c r="I38" s="24"/>
      <c r="J38" s="24"/>
      <c r="K38" s="24"/>
      <c r="L38" s="24"/>
      <c r="M38" s="24"/>
      <c r="N38" s="24"/>
      <c r="O38" s="24"/>
      <c r="P38" s="24"/>
      <c r="Q38" s="24"/>
      <c r="R38" s="24"/>
      <c r="S38" s="24"/>
      <c r="T38" s="25"/>
    </row>
    <row r="39" spans="2:20">
      <c r="B39" s="23"/>
      <c r="C39" s="24"/>
      <c r="D39" s="24" t="s">
        <v>116</v>
      </c>
      <c r="E39" s="24"/>
      <c r="F39" s="24"/>
      <c r="G39" s="24"/>
      <c r="H39" s="24"/>
      <c r="I39" s="24"/>
      <c r="J39" s="24"/>
      <c r="K39" s="24"/>
      <c r="L39" s="24"/>
      <c r="M39" s="24"/>
      <c r="N39" s="24"/>
      <c r="O39" s="24"/>
      <c r="P39" s="24"/>
      <c r="Q39" s="24"/>
      <c r="R39" s="24"/>
      <c r="S39" s="24"/>
      <c r="T39" s="25"/>
    </row>
    <row r="40" spans="2:20">
      <c r="B40" s="23"/>
      <c r="C40" s="24"/>
      <c r="D40" s="24"/>
      <c r="E40" s="24"/>
      <c r="F40" s="24"/>
      <c r="G40" s="24"/>
      <c r="H40" s="24"/>
      <c r="I40" s="24"/>
      <c r="J40" s="24"/>
      <c r="K40" s="24"/>
      <c r="L40" s="24"/>
      <c r="M40" s="24"/>
      <c r="N40" s="24"/>
      <c r="O40" s="24"/>
      <c r="P40" s="24"/>
      <c r="Q40" s="24"/>
      <c r="R40" s="24"/>
      <c r="S40" s="24"/>
      <c r="T40" s="25"/>
    </row>
    <row r="41" spans="2:20">
      <c r="B41" s="23"/>
      <c r="C41" s="26" t="s">
        <v>117</v>
      </c>
      <c r="D41" s="24"/>
      <c r="E41" s="24"/>
      <c r="F41" s="24"/>
      <c r="G41" s="24"/>
      <c r="H41" s="24"/>
      <c r="I41" s="24"/>
      <c r="J41" s="24"/>
      <c r="K41" s="24"/>
      <c r="L41" s="24"/>
      <c r="M41" s="24"/>
      <c r="N41" s="24"/>
      <c r="O41" s="24"/>
      <c r="P41" s="24"/>
      <c r="Q41" s="24"/>
      <c r="R41" s="24"/>
      <c r="S41" s="24"/>
      <c r="T41" s="25"/>
    </row>
    <row r="42" spans="2:20">
      <c r="B42" s="23"/>
      <c r="C42" s="24"/>
      <c r="D42" s="24" t="s">
        <v>118</v>
      </c>
      <c r="E42" s="24"/>
      <c r="F42" s="24"/>
      <c r="G42" s="24"/>
      <c r="H42" s="24"/>
      <c r="I42" s="24"/>
      <c r="J42" s="24"/>
      <c r="K42" s="24"/>
      <c r="L42" s="24"/>
      <c r="M42" s="24"/>
      <c r="N42" s="24"/>
      <c r="O42" s="24"/>
      <c r="P42" s="24"/>
      <c r="Q42" s="24"/>
      <c r="R42" s="24"/>
      <c r="S42" s="24"/>
      <c r="T42" s="25"/>
    </row>
    <row r="43" spans="2:20">
      <c r="B43" s="23"/>
      <c r="C43" s="24"/>
      <c r="D43" s="24" t="s">
        <v>119</v>
      </c>
      <c r="E43" s="24"/>
      <c r="F43" s="24"/>
      <c r="G43" s="24"/>
      <c r="H43" s="24"/>
      <c r="I43" s="24"/>
      <c r="J43" s="24"/>
      <c r="K43" s="24"/>
      <c r="L43" s="24"/>
      <c r="M43" s="24"/>
      <c r="N43" s="24"/>
      <c r="O43" s="24"/>
      <c r="P43" s="24"/>
      <c r="Q43" s="24"/>
      <c r="R43" s="24"/>
      <c r="S43" s="24"/>
      <c r="T43" s="25"/>
    </row>
    <row r="44" spans="2:20">
      <c r="B44" s="23"/>
      <c r="C44" s="24"/>
      <c r="D44" s="24" t="s">
        <v>120</v>
      </c>
      <c r="E44" s="24"/>
      <c r="F44" s="24"/>
      <c r="G44" s="24"/>
      <c r="H44" s="24"/>
      <c r="I44" s="24"/>
      <c r="J44" s="24"/>
      <c r="K44" s="24"/>
      <c r="L44" s="24"/>
      <c r="M44" s="24"/>
      <c r="N44" s="24"/>
      <c r="O44" s="24"/>
      <c r="P44" s="24"/>
      <c r="Q44" s="24"/>
      <c r="R44" s="24"/>
      <c r="S44" s="24"/>
      <c r="T44" s="25"/>
    </row>
    <row r="45" spans="2:20">
      <c r="B45" s="23"/>
      <c r="C45" s="24"/>
      <c r="D45" s="24" t="s">
        <v>121</v>
      </c>
      <c r="E45" s="24"/>
      <c r="F45" s="24"/>
      <c r="G45" s="24"/>
      <c r="H45" s="24"/>
      <c r="I45" s="24"/>
      <c r="J45" s="24"/>
      <c r="K45" s="24"/>
      <c r="L45" s="24"/>
      <c r="M45" s="24"/>
      <c r="N45" s="24"/>
      <c r="O45" s="24"/>
      <c r="P45" s="24"/>
      <c r="Q45" s="24"/>
      <c r="R45" s="24"/>
      <c r="S45" s="24"/>
      <c r="T45" s="25"/>
    </row>
    <row r="46" spans="2:20">
      <c r="B46" s="23"/>
      <c r="C46" s="24"/>
      <c r="D46" s="24"/>
      <c r="E46" s="24"/>
      <c r="F46" s="24"/>
      <c r="G46" s="24"/>
      <c r="H46" s="24"/>
      <c r="I46" s="24"/>
      <c r="J46" s="24"/>
      <c r="K46" s="24"/>
      <c r="L46" s="24"/>
      <c r="M46" s="24"/>
      <c r="N46" s="24"/>
      <c r="O46" s="24"/>
      <c r="P46" s="24"/>
      <c r="Q46" s="24"/>
      <c r="R46" s="24"/>
      <c r="S46" s="24"/>
      <c r="T46" s="25"/>
    </row>
    <row r="47" spans="2:20" ht="15.75" thickBot="1">
      <c r="B47" s="27"/>
      <c r="C47" s="28"/>
      <c r="D47" s="28"/>
      <c r="E47" s="28"/>
      <c r="F47" s="28"/>
      <c r="G47" s="28"/>
      <c r="H47" s="28"/>
      <c r="I47" s="28"/>
      <c r="J47" s="28"/>
      <c r="K47" s="28"/>
      <c r="L47" s="28"/>
      <c r="M47" s="28"/>
      <c r="N47" s="28"/>
      <c r="O47" s="28"/>
      <c r="P47" s="28"/>
      <c r="Q47" s="28"/>
      <c r="R47" s="28"/>
      <c r="S47" s="28"/>
      <c r="T47" s="29"/>
    </row>
    <row r="48" spans="2:20" ht="15.75" thickTop="1"/>
  </sheetData>
  <mergeCells count="2">
    <mergeCell ref="B2:T2"/>
    <mergeCell ref="D26:T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7CEB4-808C-4796-82B2-E30F43D7DF6A}">
  <dimension ref="A1:C12"/>
  <sheetViews>
    <sheetView workbookViewId="0">
      <selection activeCell="C5" sqref="C5"/>
    </sheetView>
  </sheetViews>
  <sheetFormatPr defaultRowHeight="15.75"/>
  <cols>
    <col min="1" max="1" width="12.75" bestFit="1" customWidth="1"/>
    <col min="2" max="2" width="19.125" bestFit="1" customWidth="1"/>
    <col min="3" max="3" width="15.875" bestFit="1" customWidth="1"/>
  </cols>
  <sheetData>
    <row r="1" spans="1:3">
      <c r="A1" s="921" t="s">
        <v>22</v>
      </c>
      <c r="B1" s="909" t="s">
        <v>1668</v>
      </c>
    </row>
    <row r="2" spans="1:3">
      <c r="A2" s="921" t="s">
        <v>142</v>
      </c>
      <c r="B2" s="909" t="s">
        <v>3028</v>
      </c>
    </row>
    <row r="4" spans="1:3">
      <c r="A4" s="921" t="s">
        <v>1667</v>
      </c>
      <c r="B4" s="909" t="s">
        <v>1929</v>
      </c>
      <c r="C4" s="909" t="s">
        <v>3266</v>
      </c>
    </row>
    <row r="5" spans="1:3">
      <c r="A5" s="906" t="s">
        <v>337</v>
      </c>
      <c r="B5" s="900">
        <v>12</v>
      </c>
      <c r="C5" s="900">
        <v>5649</v>
      </c>
    </row>
    <row r="6" spans="1:3">
      <c r="A6" s="906" t="s">
        <v>320</v>
      </c>
      <c r="B6" s="900">
        <v>15</v>
      </c>
      <c r="C6" s="900">
        <v>3966</v>
      </c>
    </row>
    <row r="7" spans="1:3">
      <c r="A7" s="906" t="s">
        <v>330</v>
      </c>
      <c r="B7" s="900">
        <v>6</v>
      </c>
      <c r="C7" s="900">
        <v>5086</v>
      </c>
    </row>
    <row r="8" spans="1:3">
      <c r="A8" s="906" t="s">
        <v>489</v>
      </c>
      <c r="B8" s="900">
        <v>34</v>
      </c>
      <c r="C8" s="900">
        <v>14000</v>
      </c>
    </row>
    <row r="9" spans="1:3">
      <c r="A9" s="906" t="s">
        <v>420</v>
      </c>
      <c r="B9" s="900">
        <v>2</v>
      </c>
      <c r="C9" s="900">
        <v>70</v>
      </c>
    </row>
    <row r="10" spans="1:3">
      <c r="A10" s="906" t="s">
        <v>470</v>
      </c>
      <c r="B10" s="900">
        <v>14</v>
      </c>
      <c r="C10" s="900">
        <v>2926</v>
      </c>
    </row>
    <row r="11" spans="1:3">
      <c r="A11" s="906" t="s">
        <v>355</v>
      </c>
      <c r="B11" s="900">
        <v>12</v>
      </c>
      <c r="C11" s="900">
        <v>4063</v>
      </c>
    </row>
    <row r="12" spans="1:3">
      <c r="A12" s="906" t="s">
        <v>1669</v>
      </c>
      <c r="B12" s="900">
        <v>95</v>
      </c>
      <c r="C12" s="900">
        <v>35760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898C"/>
  </sheetPr>
  <dimension ref="A1:EH544"/>
  <sheetViews>
    <sheetView tabSelected="1" topLeftCell="A5" zoomScaleNormal="100" zoomScaleSheetLayoutView="40" workbookViewId="0">
      <pane xSplit="8" ySplit="3" topLeftCell="I8" activePane="bottomRight" state="frozen"/>
      <selection activeCell="A5" sqref="A5"/>
      <selection pane="topRight" activeCell="I5" sqref="I5"/>
      <selection pane="bottomLeft" activeCell="A8" sqref="A8"/>
      <selection pane="bottomRight" activeCell="H22" sqref="H22"/>
    </sheetView>
  </sheetViews>
  <sheetFormatPr defaultColWidth="9" defaultRowHeight="15.75" outlineLevelCol="1"/>
  <cols>
    <col min="1" max="1" width="9.125" style="35" customWidth="1"/>
    <col min="2" max="2" width="17" style="35" bestFit="1" customWidth="1"/>
    <col min="3" max="3" width="20.75" style="20" bestFit="1" customWidth="1"/>
    <col min="4" max="4" width="19.75" style="20" customWidth="1"/>
    <col min="5" max="5" width="9.875" style="20" customWidth="1"/>
    <col min="6" max="6" width="10.125" style="20" customWidth="1"/>
    <col min="7" max="7" width="26.75" style="20" customWidth="1"/>
    <col min="8" max="8" width="33.25" style="20" customWidth="1"/>
    <col min="9" max="9" width="7.75" style="20" customWidth="1"/>
    <col min="10" max="10" width="8.5" style="40" customWidth="1"/>
    <col min="11" max="11" width="14.875" style="20" customWidth="1"/>
    <col min="12" max="12" width="17.75" customWidth="1"/>
    <col min="13" max="13" width="12.125" customWidth="1"/>
    <col min="14" max="14" width="18.875" customWidth="1"/>
    <col min="15" max="15" width="17.25" style="36" customWidth="1"/>
    <col min="16" max="16" width="15.25" style="33" customWidth="1"/>
    <col min="17" max="17" width="16.625" style="33" customWidth="1"/>
    <col min="18" max="18" width="10.875" customWidth="1"/>
    <col min="19" max="21" width="16.5" customWidth="1"/>
    <col min="22" max="24" width="13.125" style="31" customWidth="1"/>
    <col min="25" max="25" width="14.625" style="31" customWidth="1"/>
    <col min="26" max="35" width="13.125" style="31" customWidth="1"/>
    <col min="36" max="36" width="17.625" style="31" customWidth="1"/>
    <col min="37" max="37" width="13.125" style="31" customWidth="1"/>
    <col min="38" max="38" width="18.75" style="31" customWidth="1"/>
    <col min="39" max="40" width="13.125" style="31" customWidth="1"/>
    <col min="41" max="41" width="21.875" style="31" customWidth="1"/>
    <col min="42" max="42" width="10.25" style="20" customWidth="1"/>
    <col min="43" max="43" width="11.75" style="32" customWidth="1"/>
    <col min="44" max="44" width="13.25" style="32" customWidth="1"/>
    <col min="45" max="45" width="10.625" style="33" customWidth="1"/>
    <col min="46" max="46" width="13.125" style="33" customWidth="1"/>
    <col min="47" max="47" width="9.25" style="20" customWidth="1"/>
    <col min="48" max="48" width="25.75" style="20" customWidth="1"/>
    <col min="49" max="49" width="27.875" style="33" customWidth="1"/>
    <col min="50" max="53" width="13.125" style="33" customWidth="1"/>
    <col min="54" max="54" width="13.125" style="37" customWidth="1"/>
    <col min="55" max="55" width="21.75" style="37" customWidth="1"/>
    <col min="56" max="56" width="12.375" style="37" customWidth="1"/>
    <col min="57" max="68" width="13.125" style="37" customWidth="1"/>
    <col min="69" max="69" width="13.125" style="37" customWidth="1" outlineLevel="1"/>
    <col min="70" max="70" width="18.25" style="37" customWidth="1" outlineLevel="1"/>
    <col min="71" max="73" width="9" customWidth="1" outlineLevel="1"/>
    <col min="74" max="74" width="13" customWidth="1" outlineLevel="1"/>
    <col min="75" max="76" width="15.5" customWidth="1" outlineLevel="1"/>
    <col min="77" max="77" width="14.5" style="33" customWidth="1" outlineLevel="1"/>
    <col min="78" max="78" width="16.25" style="33" customWidth="1" outlineLevel="1"/>
    <col min="79" max="79" width="20.375" style="33" customWidth="1" outlineLevel="1"/>
    <col min="80" max="80" width="20.625" style="33" customWidth="1" outlineLevel="1"/>
    <col min="81" max="81" width="17.125" style="33" customWidth="1" outlineLevel="1"/>
    <col min="82" max="82" width="13" style="33" customWidth="1" outlineLevel="1"/>
    <col min="83" max="83" width="15.75" style="31" customWidth="1" outlineLevel="1"/>
    <col min="84" max="84" width="25.625" style="31" customWidth="1" outlineLevel="1"/>
    <col min="85" max="85" width="13.125" style="31" hidden="1" customWidth="1" outlineLevel="1"/>
    <col min="86" max="86" width="13.125" style="33" customWidth="1" outlineLevel="1"/>
    <col min="87" max="87" width="15.5" style="31" customWidth="1" outlineLevel="1"/>
    <col min="88" max="88" width="14" style="31" customWidth="1" outlineLevel="1"/>
    <col min="89" max="91" width="12" style="33" customWidth="1" outlineLevel="1"/>
    <col min="92" max="92" width="24.625" style="33" customWidth="1" outlineLevel="1"/>
    <col min="93" max="94" width="19.25" style="33" customWidth="1" outlineLevel="1"/>
    <col min="95" max="95" width="9" customWidth="1" outlineLevel="1"/>
    <col min="96" max="96" width="12.125" style="32" customWidth="1" outlineLevel="1"/>
    <col min="97" max="97" width="15.25" style="33" customWidth="1" outlineLevel="1"/>
    <col min="98" max="98" width="18" customWidth="1" outlineLevel="1"/>
    <col min="99" max="99" width="16.375" style="33" customWidth="1" outlineLevel="1"/>
    <col min="100" max="100" width="13.25" style="33" customWidth="1" outlineLevel="1"/>
    <col min="101" max="101" width="12" style="33" customWidth="1" outlineLevel="1"/>
    <col min="102" max="102" width="15.5" style="33" customWidth="1" outlineLevel="1"/>
    <col min="103" max="103" width="23.125" style="33" customWidth="1" outlineLevel="1"/>
    <col min="104" max="104" width="14.25" style="33" customWidth="1" outlineLevel="1"/>
    <col min="105" max="105" width="11.875" style="33" customWidth="1" outlineLevel="1"/>
    <col min="106" max="106" width="12.375" style="33" hidden="1" customWidth="1" outlineLevel="1"/>
    <col min="107" max="107" width="12.875" style="33" hidden="1" customWidth="1" outlineLevel="1"/>
    <col min="108" max="108" width="12.875" hidden="1" customWidth="1" outlineLevel="1"/>
    <col min="109" max="111" width="17.875" hidden="1" customWidth="1" outlineLevel="1"/>
    <col min="112" max="113" width="16.375" style="661" hidden="1" customWidth="1" outlineLevel="1"/>
    <col min="114" max="117" width="12" style="33" customWidth="1"/>
    <col min="118" max="118" width="11.75" customWidth="1"/>
    <col min="119" max="119" width="13.75" style="33" customWidth="1"/>
    <col min="120" max="120" width="12" style="33" customWidth="1"/>
    <col min="121" max="121" width="22.75" style="37" customWidth="1"/>
    <col min="122" max="123" width="12" style="31" customWidth="1"/>
    <col min="124" max="125" width="12" style="33" customWidth="1"/>
    <col min="127" max="127" width="15.375" style="33" customWidth="1"/>
    <col min="128" max="128" width="10.125" style="38" customWidth="1"/>
    <col min="129" max="129" width="12" style="38" customWidth="1"/>
    <col min="130" max="130" width="21.125" style="39" bestFit="1" customWidth="1"/>
    <col min="131" max="131" width="11.25" style="39" customWidth="1"/>
    <col min="132" max="132" width="13.75" style="39" customWidth="1"/>
    <col min="133" max="133" width="24.875" style="39" customWidth="1"/>
    <col min="134" max="134" width="9.125" style="39" customWidth="1"/>
    <col min="135" max="135" width="10.625" style="39" customWidth="1"/>
    <col min="136" max="136" width="15.375" style="39" customWidth="1"/>
    <col min="137" max="137" width="9.5" style="39" customWidth="1"/>
    <col min="138" max="138" width="14.5" style="39" customWidth="1"/>
    <col min="139" max="139" width="9" style="20" customWidth="1"/>
    <col min="140" max="16384" width="9" style="20"/>
  </cols>
  <sheetData>
    <row r="1" spans="1:138" s="19" customFormat="1" ht="16.5" customHeight="1" thickBot="1">
      <c r="A1" s="380"/>
      <c r="B1" s="391" t="s">
        <v>2524</v>
      </c>
      <c r="C1" s="391"/>
      <c r="D1" s="391"/>
      <c r="E1" s="389" t="s">
        <v>2522</v>
      </c>
      <c r="F1" s="367"/>
      <c r="G1" s="367"/>
      <c r="H1" s="367"/>
      <c r="I1" s="367"/>
      <c r="J1" s="367"/>
      <c r="K1" s="1087" t="s">
        <v>2523</v>
      </c>
      <c r="L1" s="1088"/>
      <c r="M1" s="84"/>
      <c r="N1" s="84"/>
      <c r="O1" s="84"/>
      <c r="P1" s="84"/>
      <c r="Q1" s="84"/>
      <c r="R1" s="84"/>
      <c r="S1" s="84"/>
      <c r="T1" s="385" t="s">
        <v>2056</v>
      </c>
      <c r="U1" s="385"/>
      <c r="V1" s="385"/>
      <c r="W1" s="385"/>
      <c r="X1" s="385"/>
      <c r="Y1" s="385"/>
      <c r="Z1" s="385"/>
      <c r="AA1" s="385"/>
      <c r="AB1" s="385"/>
      <c r="AC1" s="385"/>
      <c r="AD1" s="385"/>
      <c r="AE1" s="385"/>
      <c r="AF1" s="385"/>
      <c r="AG1" s="385"/>
      <c r="AH1" s="385"/>
      <c r="AI1" s="385"/>
      <c r="AJ1" s="385"/>
      <c r="AK1" s="385"/>
      <c r="AL1" s="385"/>
      <c r="AM1" s="385"/>
      <c r="AN1" s="385"/>
      <c r="AO1" s="385"/>
      <c r="AP1" s="386" t="s">
        <v>2057</v>
      </c>
      <c r="AQ1" s="386"/>
      <c r="AR1" s="386"/>
      <c r="AS1" s="386"/>
      <c r="AT1" s="386"/>
      <c r="AU1" s="386"/>
      <c r="AV1" s="386"/>
      <c r="AW1" s="386"/>
      <c r="AX1" s="386"/>
      <c r="AY1" s="386"/>
      <c r="AZ1" s="386"/>
      <c r="BA1" s="386"/>
      <c r="BB1" s="386"/>
      <c r="BC1" s="386"/>
      <c r="BD1" s="387" t="s">
        <v>2058</v>
      </c>
      <c r="BE1" s="387"/>
      <c r="BF1" s="387"/>
      <c r="BG1" s="387"/>
      <c r="BH1" s="387"/>
      <c r="BI1" s="387"/>
      <c r="BJ1" s="387"/>
      <c r="BK1" s="387"/>
      <c r="BL1" s="387"/>
      <c r="BM1" s="387"/>
      <c r="BN1" s="501"/>
      <c r="BO1" s="501"/>
      <c r="BP1" s="501"/>
      <c r="BQ1" s="85" t="s">
        <v>122</v>
      </c>
      <c r="BR1" s="85"/>
      <c r="BS1" s="85"/>
      <c r="BT1" s="85"/>
      <c r="BU1" s="85"/>
      <c r="BV1" s="85"/>
      <c r="BW1" s="85"/>
      <c r="BX1" s="85"/>
      <c r="BY1" s="85"/>
      <c r="BZ1" s="85"/>
      <c r="CA1" s="85"/>
      <c r="CB1" s="87"/>
      <c r="CC1" s="85"/>
      <c r="CD1" s="85"/>
      <c r="CE1" s="85"/>
      <c r="CF1" s="87"/>
      <c r="CG1" s="87"/>
      <c r="CH1" s="85"/>
      <c r="CI1" s="85"/>
      <c r="CJ1" s="85"/>
      <c r="CK1" s="85"/>
      <c r="CL1" s="85"/>
      <c r="CM1" s="85"/>
      <c r="CN1" s="87"/>
      <c r="CO1" s="87"/>
      <c r="CP1" s="87"/>
      <c r="CQ1" s="85"/>
      <c r="CR1" s="85"/>
      <c r="CS1" s="85"/>
      <c r="CT1" s="85"/>
      <c r="CU1" s="87"/>
      <c r="CV1" s="87"/>
      <c r="CW1" s="87"/>
      <c r="CX1" s="87"/>
      <c r="CY1" s="87"/>
      <c r="CZ1" s="85"/>
      <c r="DA1" s="85"/>
      <c r="DB1" s="85"/>
      <c r="DC1" s="85"/>
      <c r="DD1" s="85"/>
      <c r="DE1" s="87"/>
      <c r="DF1" s="85"/>
      <c r="DG1" s="85"/>
      <c r="DH1" s="85"/>
      <c r="DI1" s="85"/>
      <c r="DJ1" s="213"/>
      <c r="DK1" s="213"/>
      <c r="DL1" s="214"/>
      <c r="DM1" s="214"/>
      <c r="DN1" s="214"/>
      <c r="DO1" s="214"/>
      <c r="DP1" s="214"/>
      <c r="DQ1" s="214"/>
      <c r="DR1" s="214"/>
      <c r="DS1" s="214"/>
    </row>
    <row r="2" spans="1:138" s="429" customFormat="1" ht="26.25" thickBot="1">
      <c r="A2" s="502" t="s">
        <v>2407</v>
      </c>
      <c r="B2" s="503" t="s">
        <v>2407</v>
      </c>
      <c r="C2" s="503" t="s">
        <v>2407</v>
      </c>
      <c r="D2" s="503" t="s">
        <v>2407</v>
      </c>
      <c r="E2" s="504" t="s">
        <v>2407</v>
      </c>
      <c r="F2" s="504" t="s">
        <v>2407</v>
      </c>
      <c r="G2" s="504" t="s">
        <v>2407</v>
      </c>
      <c r="H2" s="504" t="s">
        <v>2407</v>
      </c>
      <c r="I2" s="504" t="s">
        <v>2407</v>
      </c>
      <c r="J2" s="504" t="s">
        <v>2407</v>
      </c>
      <c r="K2" s="505" t="s">
        <v>2407</v>
      </c>
      <c r="L2" s="505" t="s">
        <v>2407</v>
      </c>
      <c r="M2" s="502" t="s">
        <v>2631</v>
      </c>
      <c r="N2" s="502" t="s">
        <v>312</v>
      </c>
      <c r="O2" s="502" t="s">
        <v>312</v>
      </c>
      <c r="P2" s="502" t="s">
        <v>2407</v>
      </c>
      <c r="Q2" s="502" t="s">
        <v>2407</v>
      </c>
      <c r="R2" s="502" t="s">
        <v>2407</v>
      </c>
      <c r="S2" s="506" t="s">
        <v>2407</v>
      </c>
      <c r="T2" s="507" t="s">
        <v>2407</v>
      </c>
      <c r="U2" s="507" t="s">
        <v>2407</v>
      </c>
      <c r="V2" s="507" t="s">
        <v>2407</v>
      </c>
      <c r="W2" s="507" t="s">
        <v>2407</v>
      </c>
      <c r="X2" s="507" t="s">
        <v>2407</v>
      </c>
      <c r="Y2" s="507" t="s">
        <v>2407</v>
      </c>
      <c r="Z2" s="507" t="s">
        <v>2407</v>
      </c>
      <c r="AA2" s="507" t="s">
        <v>2407</v>
      </c>
      <c r="AB2" s="507" t="s">
        <v>2407</v>
      </c>
      <c r="AC2" s="507" t="s">
        <v>2407</v>
      </c>
      <c r="AD2" s="507" t="s">
        <v>2631</v>
      </c>
      <c r="AE2" s="507" t="s">
        <v>312</v>
      </c>
      <c r="AF2" s="508" t="s">
        <v>2407</v>
      </c>
      <c r="AG2" s="509" t="s">
        <v>312</v>
      </c>
      <c r="AH2" s="510" t="s">
        <v>312</v>
      </c>
      <c r="AI2" s="510" t="s">
        <v>2407</v>
      </c>
      <c r="AJ2" s="510" t="s">
        <v>2407</v>
      </c>
      <c r="AK2" s="510" t="s">
        <v>2407</v>
      </c>
      <c r="AL2" s="509" t="s">
        <v>2407</v>
      </c>
      <c r="AM2" s="509" t="s">
        <v>2631</v>
      </c>
      <c r="AN2" s="511" t="s">
        <v>2631</v>
      </c>
      <c r="AO2" s="511" t="s">
        <v>2407</v>
      </c>
      <c r="AP2" s="512" t="s">
        <v>2407</v>
      </c>
      <c r="AQ2" s="512" t="s">
        <v>2407</v>
      </c>
      <c r="AR2" s="512" t="s">
        <v>2407</v>
      </c>
      <c r="AS2" s="512" t="s">
        <v>2407</v>
      </c>
      <c r="AT2" s="513" t="s">
        <v>2407</v>
      </c>
      <c r="AU2" s="514" t="s">
        <v>2407</v>
      </c>
      <c r="AV2" s="503" t="s">
        <v>312</v>
      </c>
      <c r="AW2" s="515" t="s">
        <v>312</v>
      </c>
      <c r="AX2" s="516" t="s">
        <v>2407</v>
      </c>
      <c r="AY2" s="516" t="s">
        <v>2407</v>
      </c>
      <c r="AZ2" s="516" t="s">
        <v>2407</v>
      </c>
      <c r="BA2" s="516" t="s">
        <v>2407</v>
      </c>
      <c r="BB2" s="516" t="s">
        <v>2631</v>
      </c>
      <c r="BC2" s="516" t="s">
        <v>2407</v>
      </c>
      <c r="BD2" s="517" t="s">
        <v>2713</v>
      </c>
      <c r="BE2" s="517" t="s">
        <v>2713</v>
      </c>
      <c r="BF2" s="517" t="s">
        <v>312</v>
      </c>
      <c r="BG2" s="518" t="s">
        <v>2713</v>
      </c>
      <c r="BH2" s="517" t="s">
        <v>2713</v>
      </c>
      <c r="BI2" s="517" t="s">
        <v>2407</v>
      </c>
      <c r="BJ2" s="517" t="s">
        <v>2407</v>
      </c>
      <c r="BK2" s="519" t="s">
        <v>2407</v>
      </c>
      <c r="BL2" s="519" t="s">
        <v>2407</v>
      </c>
      <c r="BM2" s="519" t="s">
        <v>2631</v>
      </c>
      <c r="BN2" s="519" t="s">
        <v>2631</v>
      </c>
      <c r="BO2" s="519" t="s">
        <v>312</v>
      </c>
      <c r="BP2" s="520" t="s">
        <v>2407</v>
      </c>
      <c r="BQ2" s="550"/>
      <c r="BR2" s="551"/>
      <c r="BS2" s="552"/>
      <c r="BT2" s="548"/>
      <c r="BU2" s="544"/>
      <c r="BV2" s="545" t="s">
        <v>2771</v>
      </c>
      <c r="BW2" s="544"/>
      <c r="BX2" s="544"/>
      <c r="BY2" s="546"/>
      <c r="BZ2" s="546"/>
      <c r="CA2" s="546"/>
      <c r="CB2" s="560"/>
      <c r="CC2" s="544"/>
      <c r="CD2" s="544"/>
      <c r="CE2" s="544"/>
      <c r="CF2" s="544"/>
      <c r="CG2" s="560"/>
      <c r="CH2" s="550"/>
      <c r="CI2" s="552"/>
      <c r="CJ2" s="569"/>
      <c r="CK2" s="574"/>
      <c r="CL2" s="576"/>
      <c r="CM2" s="576"/>
      <c r="CN2" s="577"/>
      <c r="CO2" s="577"/>
      <c r="CP2" s="577"/>
      <c r="CQ2" s="583"/>
      <c r="CR2" s="589"/>
      <c r="CS2" s="590"/>
      <c r="CT2" s="586"/>
      <c r="CU2" s="597"/>
      <c r="CV2" s="597"/>
      <c r="CW2" s="597"/>
      <c r="CX2" s="598"/>
      <c r="CY2" s="598"/>
      <c r="CZ2" s="610"/>
      <c r="DA2" s="620"/>
      <c r="DB2" s="615"/>
      <c r="DC2" s="597"/>
      <c r="DD2" s="597"/>
      <c r="DE2" s="598"/>
      <c r="DF2" s="597"/>
      <c r="DG2" s="597"/>
      <c r="DH2" s="597"/>
      <c r="DI2" s="597"/>
      <c r="DJ2" s="427"/>
      <c r="DK2" s="428"/>
      <c r="DL2" s="428"/>
      <c r="DM2" s="428"/>
      <c r="DN2" s="428"/>
      <c r="DO2" s="428"/>
      <c r="DP2" s="428"/>
      <c r="DQ2" s="428"/>
      <c r="DR2" s="428"/>
      <c r="DS2" s="428"/>
    </row>
    <row r="3" spans="1:138" s="19" customFormat="1" ht="21" customHeight="1" thickBot="1">
      <c r="A3" s="366" t="s">
        <v>0</v>
      </c>
      <c r="B3" s="390" t="s">
        <v>1</v>
      </c>
      <c r="C3" s="390" t="s">
        <v>2</v>
      </c>
      <c r="D3" s="390" t="s">
        <v>3</v>
      </c>
      <c r="E3" s="367" t="s">
        <v>4</v>
      </c>
      <c r="F3" s="367" t="s">
        <v>1168</v>
      </c>
      <c r="G3" s="367" t="s">
        <v>5</v>
      </c>
      <c r="H3" s="367" t="s">
        <v>6</v>
      </c>
      <c r="I3" s="367" t="s">
        <v>52</v>
      </c>
      <c r="J3" s="367" t="s">
        <v>53</v>
      </c>
      <c r="K3" s="365" t="s">
        <v>56</v>
      </c>
      <c r="L3" s="365" t="s">
        <v>58</v>
      </c>
      <c r="M3" s="366" t="s">
        <v>60</v>
      </c>
      <c r="N3" s="366" t="s">
        <v>123</v>
      </c>
      <c r="O3" s="366" t="s">
        <v>124</v>
      </c>
      <c r="P3" s="366" t="s">
        <v>65</v>
      </c>
      <c r="Q3" s="366" t="s">
        <v>63</v>
      </c>
      <c r="R3" s="366" t="s">
        <v>67</v>
      </c>
      <c r="S3" s="366" t="s">
        <v>1169</v>
      </c>
      <c r="T3" s="388" t="s">
        <v>69</v>
      </c>
      <c r="U3" s="388" t="s">
        <v>70</v>
      </c>
      <c r="V3" s="388" t="s">
        <v>71</v>
      </c>
      <c r="W3" s="388" t="s">
        <v>73</v>
      </c>
      <c r="X3" s="388" t="s">
        <v>1170</v>
      </c>
      <c r="Y3" s="388" t="s">
        <v>74</v>
      </c>
      <c r="Z3" s="388" t="s">
        <v>75</v>
      </c>
      <c r="AA3" s="388" t="s">
        <v>76</v>
      </c>
      <c r="AB3" s="388" t="s">
        <v>77</v>
      </c>
      <c r="AC3" s="388" t="s">
        <v>1322</v>
      </c>
      <c r="AD3" s="388" t="s">
        <v>1323</v>
      </c>
      <c r="AE3" s="388" t="s">
        <v>1324</v>
      </c>
      <c r="AF3" s="388" t="s">
        <v>1325</v>
      </c>
      <c r="AG3" s="388" t="s">
        <v>1326</v>
      </c>
      <c r="AH3" s="388" t="s">
        <v>1327</v>
      </c>
      <c r="AI3" s="388" t="s">
        <v>1328</v>
      </c>
      <c r="AJ3" s="388" t="s">
        <v>1329</v>
      </c>
      <c r="AK3" s="388" t="s">
        <v>1330</v>
      </c>
      <c r="AL3" s="388" t="s">
        <v>1331</v>
      </c>
      <c r="AM3" s="388" t="s">
        <v>2040</v>
      </c>
      <c r="AN3" s="388" t="s">
        <v>2042</v>
      </c>
      <c r="AO3" s="388" t="s">
        <v>2300</v>
      </c>
      <c r="AP3" s="369" t="s">
        <v>2441</v>
      </c>
      <c r="AQ3" s="369" t="s">
        <v>2443</v>
      </c>
      <c r="AR3" s="369" t="s">
        <v>2444</v>
      </c>
      <c r="AS3" s="369" t="s">
        <v>2445</v>
      </c>
      <c r="AT3" s="369" t="s">
        <v>2447</v>
      </c>
      <c r="AU3" s="369" t="s">
        <v>2448</v>
      </c>
      <c r="AV3" s="369" t="s">
        <v>2449</v>
      </c>
      <c r="AW3" s="369" t="s">
        <v>2451</v>
      </c>
      <c r="AX3" s="369" t="s">
        <v>2453</v>
      </c>
      <c r="AY3" s="369" t="s">
        <v>2454</v>
      </c>
      <c r="AZ3" s="369" t="s">
        <v>2455</v>
      </c>
      <c r="BA3" s="369" t="s">
        <v>2456</v>
      </c>
      <c r="BB3" s="369" t="s">
        <v>2457</v>
      </c>
      <c r="BC3" s="369" t="s">
        <v>2459</v>
      </c>
      <c r="BD3" s="376" t="s">
        <v>2461</v>
      </c>
      <c r="BE3" s="376" t="s">
        <v>2463</v>
      </c>
      <c r="BF3" s="376" t="s">
        <v>2469</v>
      </c>
      <c r="BG3" s="376" t="s">
        <v>2472</v>
      </c>
      <c r="BH3" s="376" t="s">
        <v>2475</v>
      </c>
      <c r="BI3" s="376" t="s">
        <v>2478</v>
      </c>
      <c r="BJ3" s="376" t="s">
        <v>2479</v>
      </c>
      <c r="BK3" s="376" t="s">
        <v>2480</v>
      </c>
      <c r="BL3" s="376" t="s">
        <v>2645</v>
      </c>
      <c r="BM3" s="376" t="s">
        <v>2646</v>
      </c>
      <c r="BN3" s="376" t="s">
        <v>2717</v>
      </c>
      <c r="BO3" s="376" t="s">
        <v>2720</v>
      </c>
      <c r="BP3" s="376" t="s">
        <v>2722</v>
      </c>
      <c r="BQ3" s="1089" t="s">
        <v>2099</v>
      </c>
      <c r="BR3" s="1090"/>
      <c r="BS3" s="1091"/>
      <c r="BT3" s="1092" t="s">
        <v>2100</v>
      </c>
      <c r="BU3" s="1090"/>
      <c r="BV3" s="1090"/>
      <c r="BW3" s="1090"/>
      <c r="BX3" s="1090"/>
      <c r="BY3" s="1090"/>
      <c r="BZ3" s="1090"/>
      <c r="CA3" s="1090"/>
      <c r="CB3" s="1083" t="s">
        <v>2772</v>
      </c>
      <c r="CC3" s="1093" t="s">
        <v>2101</v>
      </c>
      <c r="CD3" s="1094"/>
      <c r="CE3" s="1083"/>
      <c r="CF3" s="1083" t="s">
        <v>84</v>
      </c>
      <c r="CG3" s="1076"/>
      <c r="CH3" s="1079" t="s">
        <v>2778</v>
      </c>
      <c r="CI3" s="1080"/>
      <c r="CJ3" s="1072" t="s">
        <v>2777</v>
      </c>
      <c r="CK3" s="1073"/>
      <c r="CL3" s="1078"/>
      <c r="CM3" s="753"/>
      <c r="CN3" s="1078" t="s">
        <v>2781</v>
      </c>
      <c r="CO3" s="1078" t="s">
        <v>1665</v>
      </c>
      <c r="CP3" s="1078"/>
      <c r="CQ3" s="1067"/>
      <c r="CR3" s="1068" t="s">
        <v>1989</v>
      </c>
      <c r="CS3" s="1069"/>
      <c r="CT3" s="1066"/>
      <c r="CU3" s="599" t="s">
        <v>1923</v>
      </c>
      <c r="CV3" s="600"/>
      <c r="CW3" s="600"/>
      <c r="CX3" s="600"/>
      <c r="CY3" s="600"/>
      <c r="CZ3" s="611"/>
      <c r="DA3" s="621" t="s">
        <v>1989</v>
      </c>
      <c r="DB3" s="616"/>
      <c r="DC3" s="600"/>
      <c r="DD3" s="600"/>
      <c r="DE3" s="600"/>
      <c r="DF3" s="600"/>
      <c r="DG3" s="600"/>
      <c r="DH3" s="600"/>
      <c r="DI3" s="600"/>
      <c r="DJ3" s="41" t="s">
        <v>7</v>
      </c>
      <c r="DK3" s="34" t="s">
        <v>8</v>
      </c>
      <c r="DL3" s="34" t="s">
        <v>9</v>
      </c>
      <c r="DM3" s="34" t="s">
        <v>10</v>
      </c>
      <c r="DN3" s="34" t="s">
        <v>11</v>
      </c>
      <c r="DO3" s="34" t="s">
        <v>12</v>
      </c>
      <c r="DP3" s="34" t="s">
        <v>13</v>
      </c>
      <c r="DQ3" s="34" t="s">
        <v>14</v>
      </c>
      <c r="DR3" s="34" t="s">
        <v>15</v>
      </c>
      <c r="DS3" s="34"/>
    </row>
    <row r="4" spans="1:138" s="414" customFormat="1" ht="90.75" customHeight="1" thickBot="1">
      <c r="A4" s="522" t="s">
        <v>2535</v>
      </c>
      <c r="B4" s="523" t="s">
        <v>2536</v>
      </c>
      <c r="C4" s="523" t="s">
        <v>2537</v>
      </c>
      <c r="D4" s="523" t="s">
        <v>2538</v>
      </c>
      <c r="E4" s="524" t="s">
        <v>2539</v>
      </c>
      <c r="F4" s="524" t="s">
        <v>2540</v>
      </c>
      <c r="G4" s="524" t="s">
        <v>2541</v>
      </c>
      <c r="H4" s="524" t="s">
        <v>2542</v>
      </c>
      <c r="I4" s="524" t="s">
        <v>2584</v>
      </c>
      <c r="J4" s="524" t="s">
        <v>2583</v>
      </c>
      <c r="K4" s="525" t="s">
        <v>2543</v>
      </c>
      <c r="L4" s="525" t="s">
        <v>2544</v>
      </c>
      <c r="M4" s="522" t="s">
        <v>2723</v>
      </c>
      <c r="N4" s="522" t="s">
        <v>2044</v>
      </c>
      <c r="O4" s="522" t="s">
        <v>2546</v>
      </c>
      <c r="P4" s="522" t="s">
        <v>2548</v>
      </c>
      <c r="Q4" s="522" t="s">
        <v>2550</v>
      </c>
      <c r="R4" s="522" t="s">
        <v>2551</v>
      </c>
      <c r="S4" s="526" t="s">
        <v>2552</v>
      </c>
      <c r="T4" s="527" t="s">
        <v>2636</v>
      </c>
      <c r="U4" s="527" t="s">
        <v>2596</v>
      </c>
      <c r="V4" s="527" t="s">
        <v>2597</v>
      </c>
      <c r="W4" s="527" t="s">
        <v>2724</v>
      </c>
      <c r="X4" s="527" t="s">
        <v>2638</v>
      </c>
      <c r="Y4" s="527" t="s">
        <v>2725</v>
      </c>
      <c r="Z4" s="527" t="s">
        <v>2726</v>
      </c>
      <c r="AA4" s="527" t="s">
        <v>2666</v>
      </c>
      <c r="AB4" s="527" t="s">
        <v>2671</v>
      </c>
      <c r="AC4" s="527" t="s">
        <v>2727</v>
      </c>
      <c r="AD4" s="527" t="s">
        <v>2553</v>
      </c>
      <c r="AE4" s="527" t="s">
        <v>2613</v>
      </c>
      <c r="AF4" s="528" t="s">
        <v>2728</v>
      </c>
      <c r="AG4" s="529" t="s">
        <v>2730</v>
      </c>
      <c r="AH4" s="530" t="s">
        <v>2731</v>
      </c>
      <c r="AI4" s="530" t="s">
        <v>2602</v>
      </c>
      <c r="AJ4" s="530" t="s">
        <v>2601</v>
      </c>
      <c r="AK4" s="530" t="s">
        <v>2606</v>
      </c>
      <c r="AL4" s="529" t="s">
        <v>2607</v>
      </c>
      <c r="AM4" s="529" t="s">
        <v>2733</v>
      </c>
      <c r="AN4" s="531" t="s">
        <v>2735</v>
      </c>
      <c r="AO4" s="531" t="s">
        <v>2556</v>
      </c>
      <c r="AP4" s="532" t="s">
        <v>2667</v>
      </c>
      <c r="AQ4" s="532" t="s">
        <v>2737</v>
      </c>
      <c r="AR4" s="532" t="s">
        <v>2753</v>
      </c>
      <c r="AS4" s="532" t="s">
        <v>2740</v>
      </c>
      <c r="AT4" s="533" t="s">
        <v>2742</v>
      </c>
      <c r="AU4" s="534" t="s">
        <v>2608</v>
      </c>
      <c r="AV4" s="523" t="s">
        <v>2611</v>
      </c>
      <c r="AW4" s="535" t="s">
        <v>2612</v>
      </c>
      <c r="AX4" s="536" t="s">
        <v>2558</v>
      </c>
      <c r="AY4" s="536" t="s">
        <v>2579</v>
      </c>
      <c r="AZ4" s="536" t="s">
        <v>2561</v>
      </c>
      <c r="BA4" s="536" t="s">
        <v>2563</v>
      </c>
      <c r="BB4" s="536" t="s">
        <v>2744</v>
      </c>
      <c r="BC4" s="536" t="s">
        <v>2565</v>
      </c>
      <c r="BD4" s="537" t="s">
        <v>2567</v>
      </c>
      <c r="BE4" s="537" t="s">
        <v>2669</v>
      </c>
      <c r="BF4" s="537" t="s">
        <v>2569</v>
      </c>
      <c r="BG4" s="538" t="s">
        <v>2570</v>
      </c>
      <c r="BH4" s="537" t="s">
        <v>2670</v>
      </c>
      <c r="BI4" s="537" t="s">
        <v>2580</v>
      </c>
      <c r="BJ4" s="537" t="s">
        <v>2582</v>
      </c>
      <c r="BK4" s="539" t="s">
        <v>2573</v>
      </c>
      <c r="BL4" s="539" t="s">
        <v>2574</v>
      </c>
      <c r="BM4" s="539" t="s">
        <v>2575</v>
      </c>
      <c r="BN4" s="539" t="s">
        <v>2746</v>
      </c>
      <c r="BO4" s="539" t="s">
        <v>2747</v>
      </c>
      <c r="BP4" s="540" t="s">
        <v>2576</v>
      </c>
      <c r="BQ4" s="1089"/>
      <c r="BR4" s="1090"/>
      <c r="BS4" s="1091"/>
      <c r="BT4" s="1092"/>
      <c r="BU4" s="1090"/>
      <c r="BV4" s="1090"/>
      <c r="BW4" s="1090"/>
      <c r="BX4" s="1090"/>
      <c r="BY4" s="1090"/>
      <c r="BZ4" s="1090"/>
      <c r="CA4" s="1090"/>
      <c r="CB4" s="1083"/>
      <c r="CC4" s="1095"/>
      <c r="CD4" s="1096"/>
      <c r="CE4" s="1083"/>
      <c r="CF4" s="1083" t="s">
        <v>84</v>
      </c>
      <c r="CG4" s="1077"/>
      <c r="CH4" s="1081"/>
      <c r="CI4" s="1082"/>
      <c r="CJ4" s="1074"/>
      <c r="CK4" s="1075"/>
      <c r="CL4" s="1078"/>
      <c r="CM4" s="753"/>
      <c r="CN4" s="1078" t="s">
        <v>2781</v>
      </c>
      <c r="CO4" s="1078"/>
      <c r="CP4" s="1078"/>
      <c r="CQ4" s="1067"/>
      <c r="CR4" s="1070"/>
      <c r="CS4" s="1071"/>
      <c r="CT4" s="1066"/>
      <c r="CU4" s="602" t="s">
        <v>2787</v>
      </c>
      <c r="CV4" s="601"/>
      <c r="CW4" s="601"/>
      <c r="CX4" s="602" t="s">
        <v>2786</v>
      </c>
      <c r="CY4" s="609" t="s">
        <v>1649</v>
      </c>
      <c r="CZ4" s="612"/>
      <c r="DA4" s="622"/>
      <c r="DB4" s="617"/>
      <c r="DC4" s="601"/>
      <c r="DD4" s="601"/>
      <c r="DE4" s="603"/>
      <c r="DF4" s="601"/>
      <c r="DG4" s="601"/>
      <c r="DH4" s="601"/>
      <c r="DI4" s="601"/>
      <c r="DJ4" s="412"/>
      <c r="DK4" s="413"/>
      <c r="DL4" s="413"/>
      <c r="DM4" s="413"/>
      <c r="DN4" s="413"/>
      <c r="DO4" s="413"/>
      <c r="DP4" s="413"/>
      <c r="DQ4" s="413"/>
      <c r="DR4" s="413"/>
      <c r="DS4" s="413"/>
    </row>
    <row r="5" spans="1:138" s="429" customFormat="1" ht="87" customHeight="1" thickBot="1">
      <c r="A5" s="502" t="s">
        <v>2406</v>
      </c>
      <c r="B5" s="503" t="s">
        <v>2408</v>
      </c>
      <c r="C5" s="503" t="s">
        <v>2410</v>
      </c>
      <c r="D5" s="503" t="s">
        <v>2412</v>
      </c>
      <c r="E5" s="504" t="s">
        <v>22</v>
      </c>
      <c r="F5" s="504" t="s">
        <v>23</v>
      </c>
      <c r="G5" s="504" t="s">
        <v>2414</v>
      </c>
      <c r="H5" s="504" t="s">
        <v>2416</v>
      </c>
      <c r="I5" s="504" t="s">
        <v>25</v>
      </c>
      <c r="J5" s="504" t="s">
        <v>1937</v>
      </c>
      <c r="K5" s="505" t="s">
        <v>2418</v>
      </c>
      <c r="L5" s="505" t="s">
        <v>2420</v>
      </c>
      <c r="M5" s="502" t="s">
        <v>2679</v>
      </c>
      <c r="N5" s="502" t="s">
        <v>2041</v>
      </c>
      <c r="O5" s="502" t="s">
        <v>2043</v>
      </c>
      <c r="P5" s="502" t="s">
        <v>2422</v>
      </c>
      <c r="Q5" s="502" t="s">
        <v>2423</v>
      </c>
      <c r="R5" s="502" t="s">
        <v>2425</v>
      </c>
      <c r="S5" s="506" t="s">
        <v>2426</v>
      </c>
      <c r="T5" s="507" t="s">
        <v>2639</v>
      </c>
      <c r="U5" s="507" t="s">
        <v>2592</v>
      </c>
      <c r="V5" s="507" t="s">
        <v>2594</v>
      </c>
      <c r="W5" s="507" t="s">
        <v>2635</v>
      </c>
      <c r="X5" s="507" t="s">
        <v>2640</v>
      </c>
      <c r="Y5" s="507" t="s">
        <v>2686</v>
      </c>
      <c r="Z5" s="507" t="s">
        <v>2688</v>
      </c>
      <c r="AA5" s="507" t="s">
        <v>2690</v>
      </c>
      <c r="AB5" s="507" t="s">
        <v>2648</v>
      </c>
      <c r="AC5" s="507" t="s">
        <v>2649</v>
      </c>
      <c r="AD5" s="507" t="s">
        <v>2430</v>
      </c>
      <c r="AE5" s="507" t="s">
        <v>2616</v>
      </c>
      <c r="AF5" s="508" t="s">
        <v>2693</v>
      </c>
      <c r="AG5" s="509" t="s">
        <v>2695</v>
      </c>
      <c r="AH5" s="510" t="s">
        <v>2434</v>
      </c>
      <c r="AI5" s="746" t="s">
        <v>2585</v>
      </c>
      <c r="AJ5" s="746" t="s">
        <v>2586</v>
      </c>
      <c r="AK5" s="746" t="s">
        <v>2587</v>
      </c>
      <c r="AL5" s="747" t="s">
        <v>2697</v>
      </c>
      <c r="AM5" s="509" t="s">
        <v>2699</v>
      </c>
      <c r="AN5" s="511" t="s">
        <v>2701</v>
      </c>
      <c r="AO5" s="511" t="s">
        <v>66</v>
      </c>
      <c r="AP5" s="512" t="s">
        <v>2642</v>
      </c>
      <c r="AQ5" s="512" t="s">
        <v>2643</v>
      </c>
      <c r="AR5" s="512" t="s">
        <v>2703</v>
      </c>
      <c r="AS5" s="512" t="s">
        <v>2704</v>
      </c>
      <c r="AT5" s="513" t="s">
        <v>2705</v>
      </c>
      <c r="AU5" s="514" t="s">
        <v>2707</v>
      </c>
      <c r="AV5" s="503" t="s">
        <v>2588</v>
      </c>
      <c r="AW5" s="515" t="s">
        <v>2710</v>
      </c>
      <c r="AX5" s="516" t="s">
        <v>2495</v>
      </c>
      <c r="AY5" s="516" t="s">
        <v>2496</v>
      </c>
      <c r="AZ5" s="516" t="s">
        <v>2617</v>
      </c>
      <c r="BA5" s="516" t="s">
        <v>2618</v>
      </c>
      <c r="BB5" s="516" t="s">
        <v>2752</v>
      </c>
      <c r="BC5" s="516" t="s">
        <v>72</v>
      </c>
      <c r="BD5" s="517" t="s">
        <v>2619</v>
      </c>
      <c r="BE5" s="517" t="s">
        <v>2652</v>
      </c>
      <c r="BF5" s="517" t="s">
        <v>2620</v>
      </c>
      <c r="BG5" s="518" t="s">
        <v>2621</v>
      </c>
      <c r="BH5" s="517" t="s">
        <v>2654</v>
      </c>
      <c r="BI5" s="517" t="s">
        <v>2464</v>
      </c>
      <c r="BJ5" s="517" t="s">
        <v>2470</v>
      </c>
      <c r="BK5" s="519" t="s">
        <v>2473</v>
      </c>
      <c r="BL5" s="519" t="s">
        <v>2476</v>
      </c>
      <c r="BM5" s="519" t="s">
        <v>2716</v>
      </c>
      <c r="BN5" s="626" t="s">
        <v>2792</v>
      </c>
      <c r="BO5" s="519" t="s">
        <v>2721</v>
      </c>
      <c r="BP5" s="520" t="s">
        <v>79</v>
      </c>
      <c r="BQ5" s="553" t="s">
        <v>2760</v>
      </c>
      <c r="BR5" s="546" t="s">
        <v>2761</v>
      </c>
      <c r="BS5" s="554" t="s">
        <v>2762</v>
      </c>
      <c r="BT5" s="548" t="s">
        <v>2763</v>
      </c>
      <c r="BU5" s="544" t="s">
        <v>2764</v>
      </c>
      <c r="BV5" s="544" t="s">
        <v>2765</v>
      </c>
      <c r="BW5" s="544" t="s">
        <v>2769</v>
      </c>
      <c r="BX5" s="544" t="s">
        <v>2693</v>
      </c>
      <c r="BY5" s="546" t="s">
        <v>125</v>
      </c>
      <c r="BZ5" s="546" t="s">
        <v>126</v>
      </c>
      <c r="CA5" s="546" t="s">
        <v>127</v>
      </c>
      <c r="CB5" s="562" t="s">
        <v>128</v>
      </c>
      <c r="CC5" s="544" t="s">
        <v>1930</v>
      </c>
      <c r="CD5" s="562" t="s">
        <v>129</v>
      </c>
      <c r="CE5" s="544" t="s">
        <v>130</v>
      </c>
      <c r="CF5" s="561" t="s">
        <v>2775</v>
      </c>
      <c r="CG5" s="560" t="s">
        <v>131</v>
      </c>
      <c r="CH5" s="553" t="s">
        <v>132</v>
      </c>
      <c r="CI5" s="573" t="s">
        <v>2782</v>
      </c>
      <c r="CJ5" s="570" t="s">
        <v>133</v>
      </c>
      <c r="CK5" s="560" t="s">
        <v>134</v>
      </c>
      <c r="CL5" s="576" t="s">
        <v>2529</v>
      </c>
      <c r="CM5" s="576" t="s">
        <v>3043</v>
      </c>
      <c r="CN5" s="578" t="s">
        <v>2780</v>
      </c>
      <c r="CO5" s="577" t="s">
        <v>2533</v>
      </c>
      <c r="CP5" s="577" t="s">
        <v>2534</v>
      </c>
      <c r="CQ5" s="583" t="s">
        <v>136</v>
      </c>
      <c r="CR5" s="591" t="s">
        <v>135</v>
      </c>
      <c r="CS5" s="592" t="s">
        <v>3042</v>
      </c>
      <c r="CT5" s="586" t="s">
        <v>2656</v>
      </c>
      <c r="CU5" s="597" t="s">
        <v>86</v>
      </c>
      <c r="CV5" s="597" t="s">
        <v>1967</v>
      </c>
      <c r="CW5" s="597" t="s">
        <v>1968</v>
      </c>
      <c r="CX5" s="597" t="s">
        <v>1966</v>
      </c>
      <c r="CY5" s="608" t="s">
        <v>2788</v>
      </c>
      <c r="CZ5" s="610" t="s">
        <v>137</v>
      </c>
      <c r="DA5" s="623" t="s">
        <v>2657</v>
      </c>
      <c r="DB5" s="615" t="s">
        <v>138</v>
      </c>
      <c r="DC5" s="597" t="s">
        <v>139</v>
      </c>
      <c r="DD5" s="597" t="s">
        <v>140</v>
      </c>
      <c r="DE5" s="597" t="s">
        <v>2784</v>
      </c>
      <c r="DF5" s="597" t="s">
        <v>141</v>
      </c>
      <c r="DG5" s="597" t="s">
        <v>2791</v>
      </c>
      <c r="DH5" s="597" t="s">
        <v>2791</v>
      </c>
      <c r="DI5" s="597" t="s">
        <v>3125</v>
      </c>
      <c r="DJ5" s="427" t="s">
        <v>28</v>
      </c>
      <c r="DK5" s="428" t="s">
        <v>29</v>
      </c>
      <c r="DL5" s="428" t="s">
        <v>143</v>
      </c>
      <c r="DM5" s="428" t="s">
        <v>30</v>
      </c>
      <c r="DN5" s="428" t="s">
        <v>31</v>
      </c>
      <c r="DO5" s="428" t="s">
        <v>32</v>
      </c>
      <c r="DP5" s="428" t="s">
        <v>33</v>
      </c>
      <c r="DQ5" s="428" t="s">
        <v>34</v>
      </c>
      <c r="DR5" s="428" t="s">
        <v>35</v>
      </c>
      <c r="DS5" s="428" t="s">
        <v>36</v>
      </c>
    </row>
    <row r="6" spans="1:138" s="439" customFormat="1" ht="27" customHeight="1" thickBot="1">
      <c r="A6" s="430" t="s">
        <v>16</v>
      </c>
      <c r="B6" s="431" t="s">
        <v>16</v>
      </c>
      <c r="C6" s="431" t="s">
        <v>16</v>
      </c>
      <c r="D6" s="431" t="s">
        <v>18</v>
      </c>
      <c r="E6" s="432" t="s">
        <v>16</v>
      </c>
      <c r="F6" s="432" t="s">
        <v>16</v>
      </c>
      <c r="G6" s="432" t="s">
        <v>2633</v>
      </c>
      <c r="H6" s="432" t="s">
        <v>16</v>
      </c>
      <c r="I6" s="432" t="s">
        <v>17</v>
      </c>
      <c r="J6" s="432" t="s">
        <v>17</v>
      </c>
      <c r="K6" s="433" t="s">
        <v>19</v>
      </c>
      <c r="L6" s="433" t="s">
        <v>19</v>
      </c>
      <c r="M6" s="430" t="s">
        <v>17</v>
      </c>
      <c r="N6" s="430" t="s">
        <v>17</v>
      </c>
      <c r="O6" s="430" t="s">
        <v>17</v>
      </c>
      <c r="P6" s="430" t="s">
        <v>17</v>
      </c>
      <c r="Q6" s="430" t="s">
        <v>2424</v>
      </c>
      <c r="R6" s="430" t="s">
        <v>17</v>
      </c>
      <c r="S6" s="430" t="s">
        <v>17</v>
      </c>
      <c r="T6" s="434" t="s">
        <v>17</v>
      </c>
      <c r="U6" s="434" t="s">
        <v>17</v>
      </c>
      <c r="V6" s="434" t="s">
        <v>17</v>
      </c>
      <c r="W6" s="434" t="s">
        <v>17</v>
      </c>
      <c r="X6" s="434" t="s">
        <v>17</v>
      </c>
      <c r="Y6" s="434" t="s">
        <v>17</v>
      </c>
      <c r="Z6" s="434" t="s">
        <v>17</v>
      </c>
      <c r="AA6" s="434" t="s">
        <v>2691</v>
      </c>
      <c r="AB6" s="434" t="s">
        <v>2691</v>
      </c>
      <c r="AC6" s="434" t="s">
        <v>2691</v>
      </c>
      <c r="AD6" s="434" t="s">
        <v>2589</v>
      </c>
      <c r="AE6" s="434" t="s">
        <v>17</v>
      </c>
      <c r="AF6" s="434" t="s">
        <v>2589</v>
      </c>
      <c r="AG6" s="434" t="s">
        <v>17</v>
      </c>
      <c r="AH6" s="434" t="s">
        <v>17</v>
      </c>
      <c r="AI6" s="434" t="s">
        <v>17</v>
      </c>
      <c r="AJ6" s="434" t="s">
        <v>17</v>
      </c>
      <c r="AK6" s="434" t="s">
        <v>17</v>
      </c>
      <c r="AL6" s="434" t="s">
        <v>17</v>
      </c>
      <c r="AM6" s="434" t="s">
        <v>17</v>
      </c>
      <c r="AN6" s="434" t="s">
        <v>17</v>
      </c>
      <c r="AO6" s="434" t="s">
        <v>18</v>
      </c>
      <c r="AP6" s="435" t="s">
        <v>17</v>
      </c>
      <c r="AQ6" s="435" t="s">
        <v>17</v>
      </c>
      <c r="AR6" s="435" t="s">
        <v>18</v>
      </c>
      <c r="AS6" s="435" t="s">
        <v>17</v>
      </c>
      <c r="AT6" s="435" t="s">
        <v>17</v>
      </c>
      <c r="AU6" s="435" t="s">
        <v>17</v>
      </c>
      <c r="AV6" s="435" t="s">
        <v>2691</v>
      </c>
      <c r="AW6" s="435" t="s">
        <v>17</v>
      </c>
      <c r="AX6" s="435" t="s">
        <v>2595</v>
      </c>
      <c r="AY6" s="435" t="s">
        <v>2591</v>
      </c>
      <c r="AZ6" s="435" t="s">
        <v>17</v>
      </c>
      <c r="BA6" s="435" t="s">
        <v>17</v>
      </c>
      <c r="BB6" s="435" t="s">
        <v>17</v>
      </c>
      <c r="BC6" s="435" t="s">
        <v>18</v>
      </c>
      <c r="BD6" s="436" t="s">
        <v>17</v>
      </c>
      <c r="BE6" s="436" t="s">
        <v>17</v>
      </c>
      <c r="BF6" s="436" t="s">
        <v>17</v>
      </c>
      <c r="BG6" s="436" t="s">
        <v>17</v>
      </c>
      <c r="BH6" s="436" t="s">
        <v>17</v>
      </c>
      <c r="BI6" s="436" t="s">
        <v>17</v>
      </c>
      <c r="BJ6" s="436" t="s">
        <v>17</v>
      </c>
      <c r="BK6" s="436" t="s">
        <v>17</v>
      </c>
      <c r="BL6" s="436" t="s">
        <v>17</v>
      </c>
      <c r="BM6" s="436" t="s">
        <v>2590</v>
      </c>
      <c r="BN6" s="436" t="s">
        <v>17</v>
      </c>
      <c r="BO6" s="436" t="s">
        <v>57</v>
      </c>
      <c r="BP6" s="521" t="s">
        <v>18</v>
      </c>
      <c r="BQ6" s="1084"/>
      <c r="BR6" s="1085"/>
      <c r="BS6" s="1086"/>
      <c r="BT6" s="549" t="s">
        <v>17</v>
      </c>
      <c r="BU6" s="547" t="s">
        <v>17</v>
      </c>
      <c r="BV6" s="547" t="s">
        <v>2691</v>
      </c>
      <c r="BW6" s="547" t="s">
        <v>2589</v>
      </c>
      <c r="BX6" s="547" t="s">
        <v>2589</v>
      </c>
      <c r="BY6" s="547" t="s">
        <v>57</v>
      </c>
      <c r="BZ6" s="547" t="s">
        <v>57</v>
      </c>
      <c r="CA6" s="547" t="s">
        <v>57</v>
      </c>
      <c r="CB6" s="558" t="s">
        <v>17</v>
      </c>
      <c r="CC6" s="547" t="s">
        <v>57</v>
      </c>
      <c r="CD6" s="564" t="s">
        <v>17</v>
      </c>
      <c r="CE6" s="564"/>
      <c r="CF6" s="564"/>
      <c r="CG6" s="567"/>
      <c r="CH6" s="1084" t="s">
        <v>2102</v>
      </c>
      <c r="CI6" s="1086"/>
      <c r="CJ6" s="571" t="s">
        <v>17</v>
      </c>
      <c r="CK6" s="567" t="s">
        <v>17</v>
      </c>
      <c r="CL6" s="579" t="s">
        <v>17</v>
      </c>
      <c r="CM6" s="579" t="s">
        <v>57</v>
      </c>
      <c r="CN6" s="580" t="s">
        <v>17</v>
      </c>
      <c r="CO6" s="581"/>
      <c r="CP6" s="581"/>
      <c r="CQ6" s="584" t="s">
        <v>17</v>
      </c>
      <c r="CR6" s="593" t="s">
        <v>17</v>
      </c>
      <c r="CS6" s="594" t="s">
        <v>57</v>
      </c>
      <c r="CT6" s="587" t="s">
        <v>57</v>
      </c>
      <c r="CU6" s="604" t="s">
        <v>17</v>
      </c>
      <c r="CV6" s="605" t="s">
        <v>17</v>
      </c>
      <c r="CW6" s="605" t="s">
        <v>17</v>
      </c>
      <c r="CX6" s="605" t="s">
        <v>17</v>
      </c>
      <c r="CY6" s="605"/>
      <c r="CZ6" s="613" t="s">
        <v>57</v>
      </c>
      <c r="DA6" s="624" t="s">
        <v>57</v>
      </c>
      <c r="DB6" s="618" t="s">
        <v>57</v>
      </c>
      <c r="DC6" s="605" t="s">
        <v>57</v>
      </c>
      <c r="DD6" s="605" t="s">
        <v>57</v>
      </c>
      <c r="DE6" s="605" t="s">
        <v>17</v>
      </c>
      <c r="DF6" s="605" t="s">
        <v>17</v>
      </c>
      <c r="DG6" s="605" t="s">
        <v>17</v>
      </c>
      <c r="DH6" s="605" t="s">
        <v>17</v>
      </c>
      <c r="DI6" s="836"/>
      <c r="DJ6" s="437"/>
      <c r="DK6" s="438"/>
      <c r="DL6" s="438"/>
      <c r="DM6" s="438"/>
      <c r="DN6" s="438"/>
      <c r="DO6" s="438"/>
      <c r="DP6" s="438"/>
      <c r="DQ6" s="438"/>
      <c r="DR6" s="438"/>
      <c r="DS6" s="438"/>
    </row>
    <row r="7" spans="1:138" s="397" customFormat="1" ht="21.75" customHeight="1" thickTop="1" thickBot="1">
      <c r="A7" s="392" t="s">
        <v>20</v>
      </c>
      <c r="B7" s="370" t="s">
        <v>2408</v>
      </c>
      <c r="C7" s="370" t="s">
        <v>2410</v>
      </c>
      <c r="D7" s="370" t="s">
        <v>27</v>
      </c>
      <c r="E7" s="371" t="s">
        <v>22</v>
      </c>
      <c r="F7" s="371" t="s">
        <v>23</v>
      </c>
      <c r="G7" s="371" t="s">
        <v>142</v>
      </c>
      <c r="H7" s="371" t="s">
        <v>24</v>
      </c>
      <c r="I7" s="371" t="s">
        <v>25</v>
      </c>
      <c r="J7" s="371" t="s">
        <v>26</v>
      </c>
      <c r="K7" s="372" t="s">
        <v>2418</v>
      </c>
      <c r="L7" s="372" t="s">
        <v>2420</v>
      </c>
      <c r="M7" s="392" t="s">
        <v>2754</v>
      </c>
      <c r="N7" s="392" t="s">
        <v>2498</v>
      </c>
      <c r="O7" s="392" t="s">
        <v>2499</v>
      </c>
      <c r="P7" s="392" t="s">
        <v>54</v>
      </c>
      <c r="Q7" s="392" t="s">
        <v>2675</v>
      </c>
      <c r="R7" s="392" t="s">
        <v>2500</v>
      </c>
      <c r="S7" s="392" t="s">
        <v>2501</v>
      </c>
      <c r="T7" s="393" t="s">
        <v>2676</v>
      </c>
      <c r="U7" s="393" t="s">
        <v>2502</v>
      </c>
      <c r="V7" s="393" t="s">
        <v>2503</v>
      </c>
      <c r="W7" s="368" t="s">
        <v>2677</v>
      </c>
      <c r="X7" s="368" t="s">
        <v>2506</v>
      </c>
      <c r="Y7" s="368" t="s">
        <v>2504</v>
      </c>
      <c r="Z7" s="368" t="s">
        <v>2505</v>
      </c>
      <c r="AA7" s="368" t="s">
        <v>2622</v>
      </c>
      <c r="AB7" s="368" t="s">
        <v>2507</v>
      </c>
      <c r="AC7" s="368" t="s">
        <v>2508</v>
      </c>
      <c r="AD7" s="368" t="s">
        <v>2509</v>
      </c>
      <c r="AE7" s="368" t="s">
        <v>2623</v>
      </c>
      <c r="AF7" s="368" t="s">
        <v>2624</v>
      </c>
      <c r="AG7" s="368" t="s">
        <v>2755</v>
      </c>
      <c r="AH7" s="368" t="s">
        <v>2510</v>
      </c>
      <c r="AI7" s="368" t="s">
        <v>2511</v>
      </c>
      <c r="AJ7" s="368" t="s">
        <v>2512</v>
      </c>
      <c r="AK7" s="368" t="s">
        <v>2513</v>
      </c>
      <c r="AL7" s="368" t="s">
        <v>2514</v>
      </c>
      <c r="AM7" s="368" t="s">
        <v>2625</v>
      </c>
      <c r="AN7" s="368" t="s">
        <v>2756</v>
      </c>
      <c r="AO7" s="368" t="s">
        <v>1657</v>
      </c>
      <c r="AP7" s="373" t="s">
        <v>2678</v>
      </c>
      <c r="AQ7" s="373" t="s">
        <v>2491</v>
      </c>
      <c r="AR7" s="373" t="s">
        <v>2757</v>
      </c>
      <c r="AS7" s="373" t="s">
        <v>2489</v>
      </c>
      <c r="AT7" s="373" t="s">
        <v>2490</v>
      </c>
      <c r="AU7" s="373" t="s">
        <v>2492</v>
      </c>
      <c r="AV7" s="381" t="s">
        <v>2493</v>
      </c>
      <c r="AW7" s="382" t="s">
        <v>2494</v>
      </c>
      <c r="AX7" s="383" t="s">
        <v>2497</v>
      </c>
      <c r="AY7" s="384" t="s">
        <v>2496</v>
      </c>
      <c r="AZ7" s="374" t="s">
        <v>2626</v>
      </c>
      <c r="BA7" s="374" t="s">
        <v>2627</v>
      </c>
      <c r="BB7" s="374" t="s">
        <v>2628</v>
      </c>
      <c r="BC7" s="374" t="s">
        <v>1658</v>
      </c>
      <c r="BD7" s="374" t="s">
        <v>2629</v>
      </c>
      <c r="BE7" s="375" t="s">
        <v>2672</v>
      </c>
      <c r="BF7" s="375" t="s">
        <v>2673</v>
      </c>
      <c r="BG7" s="375" t="s">
        <v>2630</v>
      </c>
      <c r="BH7" s="375" t="s">
        <v>2674</v>
      </c>
      <c r="BI7" s="375" t="s">
        <v>2515</v>
      </c>
      <c r="BJ7" s="375" t="s">
        <v>2516</v>
      </c>
      <c r="BK7" s="375" t="s">
        <v>2517</v>
      </c>
      <c r="BL7" s="375" t="s">
        <v>2518</v>
      </c>
      <c r="BM7" s="375" t="s">
        <v>78</v>
      </c>
      <c r="BN7" s="375" t="s">
        <v>2519</v>
      </c>
      <c r="BO7" s="375" t="s">
        <v>2758</v>
      </c>
      <c r="BP7" s="375" t="s">
        <v>2520</v>
      </c>
      <c r="BQ7" s="555" t="s">
        <v>2760</v>
      </c>
      <c r="BR7" s="556" t="s">
        <v>2759</v>
      </c>
      <c r="BS7" s="557" t="s">
        <v>2762</v>
      </c>
      <c r="BT7" s="541" t="s">
        <v>2766</v>
      </c>
      <c r="BU7" s="541" t="s">
        <v>2767</v>
      </c>
      <c r="BV7" s="541" t="s">
        <v>2768</v>
      </c>
      <c r="BW7" s="541" t="s">
        <v>2770</v>
      </c>
      <c r="BX7" s="541" t="s">
        <v>2693</v>
      </c>
      <c r="BY7" s="542" t="s">
        <v>1652</v>
      </c>
      <c r="BZ7" s="543" t="s">
        <v>1653</v>
      </c>
      <c r="CA7" s="559" t="s">
        <v>1654</v>
      </c>
      <c r="CB7" s="563" t="s">
        <v>2774</v>
      </c>
      <c r="CC7" s="565" t="s">
        <v>3030</v>
      </c>
      <c r="CD7" s="563" t="s">
        <v>1666</v>
      </c>
      <c r="CE7" s="566" t="s">
        <v>2773</v>
      </c>
      <c r="CF7" s="627" t="s">
        <v>84</v>
      </c>
      <c r="CG7" s="568" t="s">
        <v>1655</v>
      </c>
      <c r="CH7" s="555" t="s">
        <v>1992</v>
      </c>
      <c r="CI7" s="557" t="s">
        <v>2776</v>
      </c>
      <c r="CJ7" s="572" t="s">
        <v>1656</v>
      </c>
      <c r="CK7" s="575" t="s">
        <v>134</v>
      </c>
      <c r="CL7" s="582" t="s">
        <v>2530</v>
      </c>
      <c r="CM7" s="582" t="s">
        <v>3043</v>
      </c>
      <c r="CN7" s="628" t="s">
        <v>2781</v>
      </c>
      <c r="CO7" s="582" t="s">
        <v>2532</v>
      </c>
      <c r="CP7" s="582" t="s">
        <v>2779</v>
      </c>
      <c r="CQ7" s="585" t="s">
        <v>136</v>
      </c>
      <c r="CR7" s="595" t="s">
        <v>135</v>
      </c>
      <c r="CS7" s="596" t="s">
        <v>1993</v>
      </c>
      <c r="CT7" s="588" t="s">
        <v>1955</v>
      </c>
      <c r="CU7" s="606" t="s">
        <v>1956</v>
      </c>
      <c r="CV7" s="607" t="s">
        <v>1967</v>
      </c>
      <c r="CW7" s="607" t="s">
        <v>1968</v>
      </c>
      <c r="CX7" s="606" t="s">
        <v>1969</v>
      </c>
      <c r="CY7" s="629" t="s">
        <v>2785</v>
      </c>
      <c r="CZ7" s="614" t="s">
        <v>1659</v>
      </c>
      <c r="DA7" s="625" t="s">
        <v>1660</v>
      </c>
      <c r="DB7" s="619" t="s">
        <v>1661</v>
      </c>
      <c r="DC7" s="607" t="s">
        <v>1662</v>
      </c>
      <c r="DD7" s="607" t="s">
        <v>140</v>
      </c>
      <c r="DE7" s="607" t="s">
        <v>2783</v>
      </c>
      <c r="DF7" s="607" t="s">
        <v>1663</v>
      </c>
      <c r="DG7" s="607" t="s">
        <v>2790</v>
      </c>
      <c r="DH7" s="735" t="s">
        <v>3019</v>
      </c>
      <c r="DI7" s="735" t="s">
        <v>3125</v>
      </c>
      <c r="DJ7" s="394" t="s">
        <v>28</v>
      </c>
      <c r="DK7" s="394" t="s">
        <v>29</v>
      </c>
      <c r="DL7" s="394" t="s">
        <v>143</v>
      </c>
      <c r="DM7" s="394" t="s">
        <v>30</v>
      </c>
      <c r="DN7" s="394" t="s">
        <v>31</v>
      </c>
      <c r="DO7" s="394" t="s">
        <v>32</v>
      </c>
      <c r="DP7" s="394" t="s">
        <v>33</v>
      </c>
      <c r="DQ7" s="394" t="s">
        <v>34</v>
      </c>
      <c r="DR7" s="395" t="s">
        <v>35</v>
      </c>
      <c r="DS7" s="396" t="s">
        <v>36</v>
      </c>
    </row>
    <row r="8" spans="1:138" ht="15.75" customHeight="1">
      <c r="A8" s="259" t="s">
        <v>2525</v>
      </c>
      <c r="B8" s="663" t="s">
        <v>284</v>
      </c>
      <c r="C8" s="663" t="s">
        <v>284</v>
      </c>
      <c r="D8" s="663" t="s">
        <v>2962</v>
      </c>
      <c r="E8" s="663" t="s">
        <v>39</v>
      </c>
      <c r="F8" s="663" t="s">
        <v>203</v>
      </c>
      <c r="G8" s="663" t="str">
        <f>VLOOKUP(WWWW[[#This Row],[Site Name]],SiteDB6[[Site Name]:[Location Type]],8,FALSE)</f>
        <v>Camp_not registered</v>
      </c>
      <c r="H8" s="663" t="s">
        <v>1100</v>
      </c>
      <c r="I8" s="700">
        <v>70</v>
      </c>
      <c r="J8" s="700">
        <v>356</v>
      </c>
      <c r="K8" s="642" t="s">
        <v>2963</v>
      </c>
      <c r="L8" s="78" t="s">
        <v>2964</v>
      </c>
      <c r="M8" s="700"/>
      <c r="N8" s="700">
        <v>0</v>
      </c>
      <c r="O8" s="700">
        <v>0</v>
      </c>
      <c r="P8" s="700">
        <v>0</v>
      </c>
      <c r="Q8" s="77" t="s">
        <v>43</v>
      </c>
      <c r="R8" s="377">
        <v>0</v>
      </c>
      <c r="S8" s="377">
        <v>0</v>
      </c>
      <c r="T8" s="377">
        <v>0</v>
      </c>
      <c r="U8" s="377"/>
      <c r="V8" s="377"/>
      <c r="W8" s="377">
        <v>1</v>
      </c>
      <c r="X8" s="377">
        <v>0</v>
      </c>
      <c r="Y8" s="377"/>
      <c r="Z8" s="377"/>
      <c r="AA8" s="377"/>
      <c r="AB8" s="377"/>
      <c r="AC8" s="377"/>
      <c r="AD8" s="377"/>
      <c r="AE8" s="377"/>
      <c r="AF8" s="377"/>
      <c r="AG8" s="377"/>
      <c r="AH8" s="377"/>
      <c r="AI8" s="377">
        <v>1</v>
      </c>
      <c r="AJ8" s="377">
        <v>1</v>
      </c>
      <c r="AK8" s="377">
        <v>8</v>
      </c>
      <c r="AL8" s="377">
        <v>0</v>
      </c>
      <c r="AM8" s="377"/>
      <c r="AN8" s="377"/>
      <c r="AO8" s="215"/>
      <c r="AP8" s="377">
        <v>13</v>
      </c>
      <c r="AQ8" s="377"/>
      <c r="AR8" s="77"/>
      <c r="AS8" s="377"/>
      <c r="AT8" s="377"/>
      <c r="AU8" s="377"/>
      <c r="AV8" s="377"/>
      <c r="AW8" s="377"/>
      <c r="AX8" s="245" t="s">
        <v>43</v>
      </c>
      <c r="AY8" s="245" t="s">
        <v>145</v>
      </c>
      <c r="AZ8" s="377">
        <v>0</v>
      </c>
      <c r="BA8" s="377">
        <v>1</v>
      </c>
      <c r="BB8" s="377"/>
      <c r="BC8" s="215"/>
      <c r="BD8" s="377">
        <v>3</v>
      </c>
      <c r="BE8" s="377">
        <v>0</v>
      </c>
      <c r="BF8" s="377"/>
      <c r="BG8" s="377">
        <v>2</v>
      </c>
      <c r="BH8" s="377"/>
      <c r="BI8" s="377">
        <v>0</v>
      </c>
      <c r="BJ8" s="377">
        <v>1</v>
      </c>
      <c r="BK8" s="377"/>
      <c r="BL8" s="377"/>
      <c r="BM8" s="215"/>
      <c r="BN8" s="80"/>
      <c r="BO8" s="82"/>
      <c r="BP8" s="215"/>
      <c r="BQ8" s="79">
        <f>IFERROR(WWWW[[#This Row],['#_Water sources treated]]/WWWW[[#This Row],['#_Water sources tested for contamination]],"no test")</f>
        <v>1</v>
      </c>
      <c r="BR8" s="82">
        <f>IFERROR(WWWW[[#This Row],['#_Household received remediation action due to contamination]]/WWWW[[#This Row],['#_Household water samples tested for contamination]],"no test")</f>
        <v>0</v>
      </c>
      <c r="BS8" s="81" t="str">
        <f>IF(AND(WWWW[[#This Row],[% of water sources treated]]="no test",WWWW[[#This Row],[% Household received corrective actions]]="no test"),"No Test","Tested")</f>
        <v>Tested</v>
      </c>
      <c r="BT8" s="81">
        <f>WWWW[[#This Row],['#_Constructed/existing protected hand dug well]]-WWWW[[#This Row],['#_Non-functional protected hand dug well]]</f>
        <v>0</v>
      </c>
      <c r="BU8" s="81">
        <f>(WWWW[[#This Row],['#_Constructed/Existing tube wells/boreholes/handpumps_WASH_agency]]+WWWW[[#This Row],['#_Non-Cluster partner water tube-wells/boreholes/handpumps]])-WWWW[[#This Row],['#_Non-functional tube wells/boreholes/handpumps]]</f>
        <v>1</v>
      </c>
      <c r="BV8" s="81">
        <f>WWWW[[#This Row],['#_Constructed/Existingwater storage tank with gravity fed reticulation system]]-WWWW[[#This Row],['#_Non-functional storage tank gravity fed reticulation system]]</f>
        <v>0</v>
      </c>
      <c r="BW8" s="81">
        <f>WWWW[[#This Row],['#_Water boating or water trucking]]</f>
        <v>0</v>
      </c>
      <c r="BX8" s="81">
        <f>WWWW[[#This Row],['#_Constructed/Existing water distribution system from river or natural spring]]</f>
        <v>0</v>
      </c>
      <c r="BY8"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8"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0.702247191011236</v>
      </c>
      <c r="CA8" s="82">
        <f>IF(WWWW[[#This Row],[Location Type 1]]="Village",WWWW[[#This Row],[Access to safe drinking water for Village]],WWWW[[#This Row],[Access to safe drinking water for Camp]])</f>
        <v>1</v>
      </c>
      <c r="CB8" s="80">
        <f>WWWW[[#This Row],[%Equitable and continuous access to sufficient quantity of safe drinking water]]*WWWW[[#This Row],[Total PoP ]]</f>
        <v>356</v>
      </c>
      <c r="CC8" s="82">
        <f>IF((WWWW[[#This Row],['#_Constructed/Existing protected/fenced ponds]]*250)/WWWW[[#This Row],[Total PoP ]]&gt;1,1,(WWWW[[#This Row],['#_Constructed/Existing protected/fenced ponds]]*250)/WWWW[[#This Row],[Total PoP ]])</f>
        <v>0</v>
      </c>
      <c r="CD8" s="80">
        <f>WWWW[[#This Row],[% Access to unimproved water points]]*WWWW[[#This Row],[Total PoP ]]</f>
        <v>0</v>
      </c>
      <c r="CE8"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8"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356</v>
      </c>
      <c r="CG8" s="80">
        <f>WWWW[[#This Row],[HRP1]]/500</f>
        <v>0.71199999999999997</v>
      </c>
      <c r="CH8" s="79">
        <f>1-WWWW[[#This Row],[% Equitable and continuous access to sufficient quantity of domestic water]]</f>
        <v>0</v>
      </c>
      <c r="CI8" s="80">
        <f>WWWW[[#This Row],[%equitable and continuous access to sufficient quantity of safe drinking and domestic water''s GAP]]*WWWW[[#This Row],[Total PoP ]]</f>
        <v>0</v>
      </c>
      <c r="CJ8" s="81">
        <f>IF(WWWW[[#This Row],[Total required water points]]-WWWW[[#This Row],['#Water points coverage]]&lt;0,0,WWWW[[#This Row],[Total required water points]]-WWWW[[#This Row],['#Water points coverage]])</f>
        <v>0.28800000000000003</v>
      </c>
      <c r="CK8" s="81">
        <f>ROUND(IF(WWWW[[#This Row],[Total PoP ]]&lt;500,1,WWWW[[#This Row],[Total PoP ]]/500),0)</f>
        <v>1</v>
      </c>
      <c r="CL8" s="81">
        <f>(WWWW[[#This Row],['#_Constructed latrines_by_WASHAgencies]]+WWWW[[#This Row],['#_Non Cluster partner latrines]])-WWWW[[#This Row],['#_Non-functional latrines]]</f>
        <v>13</v>
      </c>
      <c r="CM8"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0.7303370786516854</v>
      </c>
      <c r="CN8"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260</v>
      </c>
      <c r="CO8"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8" s="81">
        <f>IF(WWWW[[#This Row],[Location Type 1]]="Village","NA",IF(WWWW[[#This Row],['#_Constructed/Existing latrines in TLS]]*50&gt;WWWW[[#This Row],['#_students at TLS_CFS]],WWWW[[#This Row],['#_students at TLS_CFS]],(WWWW[[#This Row],['#_Constructed/Existing latrines in TLS]]*50)))</f>
        <v>0</v>
      </c>
      <c r="CQ8" s="81">
        <f>ROUND(IF(WWWW[[#This Row],[Location Type 1]]="camp",WWWW[[#This Row],[Total PoP ]]/20,IF(WWWW[[#This Row],[Location Type 1]]="Temporary Location",WWWW[[#This Row],[Total PoP ]]/50,(WWWW[[#This Row],[Total PoP ]]/6))),0)</f>
        <v>18</v>
      </c>
      <c r="CR8" s="667">
        <f>IF(WWWW[[#This Row],[Total required Latrines]]-(WWWW[[#This Row],['#_Constructed latrines_by_WASHAgencies]]+WWWW[[#This Row],['#_Non Cluster partner latrines]])&lt;0,0,WWWW[[#This Row],[Total required Latrines]]-(WWWW[[#This Row],['#_Constructed latrines_by_WASHAgencies]]+WWWW[[#This Row],['#_Non Cluster partner latrines]]))</f>
        <v>5</v>
      </c>
      <c r="CS8" s="79">
        <f>1-WWWW[[#This Row],[% people access to functioning Latrine]]</f>
        <v>0.2696629213483146</v>
      </c>
      <c r="CT8" s="83">
        <f>IF(OR(WWWW[[#This Row],['#_Non-functional latrines]]="",WWWW[[#This Row],['#_Non-functional latrines]]=0),0,WWWW[[#This Row],['#_Non-functional latrines]]/(WWWW[[#This Row],['#_Constructed latrines_by_WASHAgencies]]+WWWW[[#This Row],['#_Non Cluster partner latrines]]))</f>
        <v>0</v>
      </c>
      <c r="CU8" s="80">
        <f>IF(500*(WWWW[[#This Row],['#_male hygiene promoters]]+WWWW[[#This Row],['#_female hygiene promoters]])&gt;WWWW[[#This Row],[Total PoP ]],WWWW[[#This Row],[Total PoP ]],500*(WWWW[[#This Row],['#_male hygiene promoters]]+WWWW[[#This Row],['#_female hygiene promoters]]))</f>
        <v>356</v>
      </c>
      <c r="CV8"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8"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8" s="81">
        <f>IF(WWWW[[#This Row],['# People with access to soap]]&gt;WWWW[[#This Row],['# People with access to Sanity Pads]],WWWW[[#This Row],['# People with access to soap]],WWWW[[#This Row],['# People with access to Sanity Pads]])</f>
        <v>0</v>
      </c>
      <c r="CY8" s="81">
        <f>IF(WWWW[[#This Row],['# people reached by regular dedicated hygiene promotion_5]]&gt;WWWW[[#This Row],['# People received regular supply of hygiene items_6]],WWWW[[#This Row],['# people reached by regular dedicated hygiene promotion_5]],WWWW[[#This Row],['# People received regular supply of hygiene items_6]])</f>
        <v>356</v>
      </c>
      <c r="CZ8" s="79">
        <f>IF(WWWW[[#This Row],[HRP3]]/WWWW[[#This Row],[Total PoP ]]&gt;100%,100%,WWWW[[#This Row],[HRP3]]/WWWW[[#This Row],[Total PoP ]])</f>
        <v>1</v>
      </c>
      <c r="DA8" s="83">
        <f>1-WWWW[[#This Row],[Hygiene Coverage%]]</f>
        <v>0</v>
      </c>
      <c r="DB8" s="82">
        <f>WWWW[[#This Row],['# people reached by regular dedicated hygiene promotion_5]]/WWWW[[#This Row],[Total PoP ]]</f>
        <v>1</v>
      </c>
      <c r="DC8" s="82">
        <f>IF(WWWW[[#This Row],['#_households that received standard amount of soap for this quarter]]/WWWW[[#This Row],[Total HH]]&gt;1,1,WWWW[[#This Row],['#_households that received standard amount of soap for this quarter]]/WWWW[[#This Row],[Total HH]])</f>
        <v>0</v>
      </c>
      <c r="DD8" s="82">
        <f>IF(WWWW[[#This Row],['#_households that received standard amount of sanitary pads for this quarter]]/WWWW[[#This Row],[Total HH]]&gt;1,1,WWWW[[#This Row],['#_households that received standard amount of sanitary pads for this quarter]]/WWWW[[#This Row],[Total HH]])</f>
        <v>0</v>
      </c>
      <c r="DE8" s="81">
        <f>WWWW[[#This Row],['#_Constructed/Existing hand washing stations]]-WWWW[[#This Row],['#_Non-Functional_hand_washing_stations]]</f>
        <v>3</v>
      </c>
      <c r="DF8" s="80">
        <f>IF(WWWW[[#This Row],['# Functional hand washing stations during reporting period]]*20&gt;WWWW[[#This Row],[Total HH]],WWWW[[#This Row],[Total HH]],WWWW[[#This Row],['# Functional hand washing stations during reporting period]]*20)</f>
        <v>60</v>
      </c>
      <c r="DG8" s="80">
        <f>IF(WWWW[[#This Row],[Is sufficient soap available for TLS? (Yes/No)]]="yes",WWWW[[#This Row],['#_Constructed/Existing hand washing stations at TLS]],0)</f>
        <v>0</v>
      </c>
      <c r="DH8" s="667">
        <f>IF(WWWW[[#This Row],['# Functional hand washing stations during reporting period]]*100&gt;WWWW[[#This Row],[Total PoP ]],WWWW[[#This Row],[Total PoP ]],WWWW[[#This Row],['# Functional hand washing stations during reporting period]]*100)</f>
        <v>300</v>
      </c>
      <c r="DI8" s="667" t="str">
        <f>IF(WWWW[[#This Row],['#_students at TLS_CFS]]="","No","Yes")</f>
        <v>No</v>
      </c>
      <c r="DJ8" s="245">
        <f>VLOOKUP(WWWW[[#This Row],[Site Name]],SiteDB6[[Site Name]:[CCCM Management]],6,FALSE)</f>
        <v>0</v>
      </c>
      <c r="DK8" s="245">
        <f>VLOOKUP(WWWW[[#This Row],[Site Name]],SiteDB6[[Site Name]:[CCCM Focal Agency]],7,FALSE)</f>
        <v>0</v>
      </c>
      <c r="DL8" s="245" t="str">
        <f>VLOOKUP(WWWW[[#This Row],[Site Name]],SiteDB6[[Site Name]:[Location Type 1]],9,FALSE)</f>
        <v>Camp</v>
      </c>
      <c r="DM8" s="245" t="str">
        <f>VLOOKUP(WWWW[[#This Row],[Site Name]],SiteDB6[[Site Name]:[Type of Accommodation]],10,FALSE)</f>
        <v>camp</v>
      </c>
      <c r="DN8" s="245" t="str">
        <f>VLOOKUP(WWWW[[#This Row],[Site Name]],SiteDB6[[Site Name]:[Ethnic or GCA/NGCA]],11,FALSE)</f>
        <v>GCA</v>
      </c>
      <c r="DO8" s="245">
        <f>VLOOKUP(WWWW[[#This Row],[Site Name]],SiteDB6[[Site Name]:[Lat]],12,FALSE)</f>
        <v>0</v>
      </c>
      <c r="DP8" s="245">
        <f>VLOOKUP(WWWW[[#This Row],[Site Name]],SiteDB6[[Site Name]:[Long]],13,FALSE)</f>
        <v>0</v>
      </c>
      <c r="DQ8" s="245">
        <f>VLOOKUP(WWWW[[#This Row],[Site Name]],SiteDB6[[Site Name]:[Pcode]],3,FALSE)</f>
        <v>0</v>
      </c>
      <c r="DR8" s="215" t="str">
        <f t="shared" ref="DR8:DR13" si="0">IF(C8="none","Notcovered","Covered")</f>
        <v>Covered</v>
      </c>
      <c r="DS8" s="215"/>
      <c r="DT8" s="20"/>
      <c r="DU8" s="20"/>
      <c r="DV8" s="20"/>
      <c r="DW8" s="20"/>
      <c r="DX8" s="20"/>
      <c r="DY8" s="20"/>
      <c r="DZ8" s="20"/>
      <c r="EA8" s="20"/>
      <c r="EB8" s="20"/>
      <c r="EC8" s="20"/>
      <c r="ED8" s="20"/>
      <c r="EE8" s="20"/>
      <c r="EF8" s="20"/>
      <c r="EG8" s="20"/>
      <c r="EH8" s="20"/>
    </row>
    <row r="9" spans="1:138" ht="15.75" customHeight="1">
      <c r="A9" s="259" t="s">
        <v>2525</v>
      </c>
      <c r="B9" s="663" t="s">
        <v>284</v>
      </c>
      <c r="C9" s="663" t="s">
        <v>284</v>
      </c>
      <c r="D9" s="663" t="s">
        <v>2962</v>
      </c>
      <c r="E9" s="663" t="s">
        <v>39</v>
      </c>
      <c r="F9" s="663" t="s">
        <v>203</v>
      </c>
      <c r="G9" s="663" t="str">
        <f>VLOOKUP(WWWW[[#This Row],[Site Name]],SiteDB6[[Site Name]:[Location Type]],8,FALSE)</f>
        <v>Camp</v>
      </c>
      <c r="H9" s="663" t="s">
        <v>285</v>
      </c>
      <c r="I9" s="700">
        <v>166</v>
      </c>
      <c r="J9" s="700">
        <v>815</v>
      </c>
      <c r="K9" s="642" t="s">
        <v>2963</v>
      </c>
      <c r="L9" s="78" t="s">
        <v>2964</v>
      </c>
      <c r="M9" s="700"/>
      <c r="N9" s="700">
        <v>0</v>
      </c>
      <c r="O9" s="700">
        <v>0</v>
      </c>
      <c r="P9" s="700">
        <v>0</v>
      </c>
      <c r="Q9" s="77" t="s">
        <v>43</v>
      </c>
      <c r="R9" s="377">
        <v>11</v>
      </c>
      <c r="S9" s="377">
        <v>9</v>
      </c>
      <c r="T9" s="377">
        <v>2</v>
      </c>
      <c r="U9" s="377">
        <v>0</v>
      </c>
      <c r="V9" s="377"/>
      <c r="W9" s="377">
        <v>8</v>
      </c>
      <c r="X9" s="377">
        <v>0</v>
      </c>
      <c r="Y9" s="377"/>
      <c r="Z9" s="377"/>
      <c r="AA9" s="377"/>
      <c r="AB9" s="377"/>
      <c r="AC9" s="377"/>
      <c r="AD9" s="377">
        <v>0</v>
      </c>
      <c r="AE9" s="377"/>
      <c r="AF9" s="377"/>
      <c r="AG9" s="377"/>
      <c r="AH9" s="377"/>
      <c r="AI9" s="377">
        <v>3</v>
      </c>
      <c r="AJ9" s="377">
        <v>3</v>
      </c>
      <c r="AK9" s="377">
        <v>10</v>
      </c>
      <c r="AL9" s="377">
        <v>1</v>
      </c>
      <c r="AM9" s="377"/>
      <c r="AN9" s="377"/>
      <c r="AO9" s="215"/>
      <c r="AP9" s="377">
        <v>38</v>
      </c>
      <c r="AQ9" s="377"/>
      <c r="AR9" s="77"/>
      <c r="AS9" s="377"/>
      <c r="AT9" s="377"/>
      <c r="AU9" s="377">
        <v>50</v>
      </c>
      <c r="AV9" s="377"/>
      <c r="AW9" s="377"/>
      <c r="AX9" s="245" t="s">
        <v>43</v>
      </c>
      <c r="AY9" s="245" t="s">
        <v>145</v>
      </c>
      <c r="AZ9" s="377">
        <v>0</v>
      </c>
      <c r="BA9" s="377">
        <v>0</v>
      </c>
      <c r="BB9" s="377"/>
      <c r="BC9" s="215" t="s">
        <v>2965</v>
      </c>
      <c r="BD9" s="377">
        <v>6</v>
      </c>
      <c r="BE9" s="377">
        <v>3</v>
      </c>
      <c r="BF9" s="377"/>
      <c r="BG9" s="377">
        <v>3</v>
      </c>
      <c r="BH9" s="377"/>
      <c r="BI9" s="377">
        <v>0</v>
      </c>
      <c r="BJ9" s="377">
        <v>2</v>
      </c>
      <c r="BK9" s="377">
        <v>80</v>
      </c>
      <c r="BL9" s="377">
        <v>213</v>
      </c>
      <c r="BM9" s="215"/>
      <c r="BN9" s="80"/>
      <c r="BO9" s="82"/>
      <c r="BP9" s="215" t="s">
        <v>2965</v>
      </c>
      <c r="BQ9" s="79">
        <f>IFERROR(WWWW[[#This Row],['#_Water sources treated]]/WWWW[[#This Row],['#_Water sources tested for contamination]],"no test")</f>
        <v>1</v>
      </c>
      <c r="BR9" s="82">
        <f>IFERROR(WWWW[[#This Row],['#_Household received remediation action due to contamination]]/WWWW[[#This Row],['#_Household water samples tested for contamination]],"no test")</f>
        <v>0.1</v>
      </c>
      <c r="BS9" s="81" t="str">
        <f>IF(AND(WWWW[[#This Row],[% of water sources treated]]="no test",WWWW[[#This Row],[% Household received corrective actions]]="no test"),"No Test","Tested")</f>
        <v>Tested</v>
      </c>
      <c r="BT9" s="81">
        <f>WWWW[[#This Row],['#_Constructed/existing protected hand dug well]]-WWWW[[#This Row],['#_Non-functional protected hand dug well]]</f>
        <v>2</v>
      </c>
      <c r="BU9" s="81">
        <f>(WWWW[[#This Row],['#_Constructed/Existing tube wells/boreholes/handpumps_WASH_agency]]+WWWW[[#This Row],['#_Non-Cluster partner water tube-wells/boreholes/handpumps]])-WWWW[[#This Row],['#_Non-functional tube wells/boreholes/handpumps]]</f>
        <v>8</v>
      </c>
      <c r="BV9" s="81">
        <f>WWWW[[#This Row],['#_Constructed/Existingwater storage tank with gravity fed reticulation system]]-WWWW[[#This Row],['#_Non-functional storage tank gravity fed reticulation system]]</f>
        <v>0</v>
      </c>
      <c r="BW9" s="81">
        <f>WWWW[[#This Row],['#_Water boating or water trucking]]</f>
        <v>0</v>
      </c>
      <c r="BX9" s="81">
        <f>WWWW[[#This Row],['#_Constructed/Existing water distribution system from river or natural spring]]</f>
        <v>0</v>
      </c>
      <c r="BY9"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9"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9" s="82">
        <f>IF(WWWW[[#This Row],[Location Type 1]]="Village",WWWW[[#This Row],[Access to safe drinking water for Village]],WWWW[[#This Row],[Access to safe drinking water for Camp]])</f>
        <v>1</v>
      </c>
      <c r="CB9" s="80">
        <f>WWWW[[#This Row],[%Equitable and continuous access to sufficient quantity of safe drinking water]]*WWWW[[#This Row],[Total PoP ]]</f>
        <v>815</v>
      </c>
      <c r="CC9" s="82">
        <f>IF((WWWW[[#This Row],['#_Constructed/Existing protected/fenced ponds]]*250)/WWWW[[#This Row],[Total PoP ]]&gt;1,1,(WWWW[[#This Row],['#_Constructed/Existing protected/fenced ponds]]*250)/WWWW[[#This Row],[Total PoP ]])</f>
        <v>0</v>
      </c>
      <c r="CD9" s="80">
        <f>WWWW[[#This Row],[% Access to unimproved water points]]*WWWW[[#This Row],[Total PoP ]]</f>
        <v>0</v>
      </c>
      <c r="CE9"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9"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815</v>
      </c>
      <c r="CG9" s="80">
        <f>WWWW[[#This Row],[HRP1]]/500</f>
        <v>1.63</v>
      </c>
      <c r="CH9" s="79">
        <f>1-WWWW[[#This Row],[% Equitable and continuous access to sufficient quantity of domestic water]]</f>
        <v>0</v>
      </c>
      <c r="CI9" s="80">
        <f>WWWW[[#This Row],[%equitable and continuous access to sufficient quantity of safe drinking and domestic water''s GAP]]*WWWW[[#This Row],[Total PoP ]]</f>
        <v>0</v>
      </c>
      <c r="CJ9" s="81">
        <f>IF(WWWW[[#This Row],[Total required water points]]-WWWW[[#This Row],['#Water points coverage]]&lt;0,0,WWWW[[#This Row],[Total required water points]]-WWWW[[#This Row],['#Water points coverage]])</f>
        <v>0.37000000000000011</v>
      </c>
      <c r="CK9" s="81">
        <f>ROUND(IF(WWWW[[#This Row],[Total PoP ]]&lt;500,1,WWWW[[#This Row],[Total PoP ]]/500),0)</f>
        <v>2</v>
      </c>
      <c r="CL9" s="81">
        <f>(WWWW[[#This Row],['#_Constructed latrines_by_WASHAgencies]]+WWWW[[#This Row],['#_Non Cluster partner latrines]])-WWWW[[#This Row],['#_Non-functional latrines]]</f>
        <v>38</v>
      </c>
      <c r="CM9"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0.93251533742331283</v>
      </c>
      <c r="CN9"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760</v>
      </c>
      <c r="CO9"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815</v>
      </c>
      <c r="CP9" s="81">
        <f>IF(WWWW[[#This Row],[Location Type 1]]="Village","NA",IF(WWWW[[#This Row],['#_Constructed/Existing latrines in TLS]]*50&gt;WWWW[[#This Row],['#_students at TLS_CFS]],WWWW[[#This Row],['#_students at TLS_CFS]],(WWWW[[#This Row],['#_Constructed/Existing latrines in TLS]]*50)))</f>
        <v>0</v>
      </c>
      <c r="CQ9" s="81">
        <f>ROUND(IF(WWWW[[#This Row],[Location Type 1]]="camp",WWWW[[#This Row],[Total PoP ]]/20,IF(WWWW[[#This Row],[Location Type 1]]="Temporary Location",WWWW[[#This Row],[Total PoP ]]/50,(WWWW[[#This Row],[Total PoP ]]/6))),0)</f>
        <v>41</v>
      </c>
      <c r="CR9" s="80">
        <f>IF(WWWW[[#This Row],[Total required Latrines]]-(WWWW[[#This Row],['#_Constructed latrines_by_WASHAgencies]]+WWWW[[#This Row],['#_Non Cluster partner latrines]])&lt;0,0,WWWW[[#This Row],[Total required Latrines]]-(WWWW[[#This Row],['#_Constructed latrines_by_WASHAgencies]]+WWWW[[#This Row],['#_Non Cluster partner latrines]]))</f>
        <v>3</v>
      </c>
      <c r="CS9" s="79">
        <f>1-WWWW[[#This Row],[% people access to functioning Latrine]]</f>
        <v>6.7484662576687171E-2</v>
      </c>
      <c r="CT9" s="83">
        <f>IF(OR(WWWW[[#This Row],['#_Non-functional latrines]]="",WWWW[[#This Row],['#_Non-functional latrines]]=0),0,WWWW[[#This Row],['#_Non-functional latrines]]/(WWWW[[#This Row],['#_Constructed latrines_by_WASHAgencies]]+WWWW[[#This Row],['#_Non Cluster partner latrines]]))</f>
        <v>0</v>
      </c>
      <c r="CU9" s="80">
        <f>IF(500*(WWWW[[#This Row],['#_male hygiene promoters]]+WWWW[[#This Row],['#_female hygiene promoters]])&gt;WWWW[[#This Row],[Total PoP ]],WWWW[[#This Row],[Total PoP ]],500*(WWWW[[#This Row],['#_male hygiene promoters]]+WWWW[[#This Row],['#_female hygiene promoters]]))</f>
        <v>815</v>
      </c>
      <c r="CV9"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400</v>
      </c>
      <c r="CW9"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815</v>
      </c>
      <c r="CX9" s="81">
        <f>IF(WWWW[[#This Row],['# People with access to soap]]&gt;WWWW[[#This Row],['# People with access to Sanity Pads]],WWWW[[#This Row],['# People with access to soap]],WWWW[[#This Row],['# People with access to Sanity Pads]])</f>
        <v>815</v>
      </c>
      <c r="CY9" s="81">
        <f>IF(WWWW[[#This Row],['# people reached by regular dedicated hygiene promotion_5]]&gt;WWWW[[#This Row],['# People received regular supply of hygiene items_6]],WWWW[[#This Row],['# people reached by regular dedicated hygiene promotion_5]],WWWW[[#This Row],['# People received regular supply of hygiene items_6]])</f>
        <v>815</v>
      </c>
      <c r="CZ9" s="79">
        <f>IF(WWWW[[#This Row],[HRP3]]/WWWW[[#This Row],[Total PoP ]]&gt;100%,100%,WWWW[[#This Row],[HRP3]]/WWWW[[#This Row],[Total PoP ]])</f>
        <v>1</v>
      </c>
      <c r="DA9" s="83">
        <f>1-WWWW[[#This Row],[Hygiene Coverage%]]</f>
        <v>0</v>
      </c>
      <c r="DB9" s="82">
        <f>WWWW[[#This Row],['# people reached by regular dedicated hygiene promotion_5]]/WWWW[[#This Row],[Total PoP ]]</f>
        <v>1</v>
      </c>
      <c r="DC9" s="82">
        <f>IF(WWWW[[#This Row],['#_households that received standard amount of soap for this quarter]]/WWWW[[#This Row],[Total HH]]&gt;1,1,WWWW[[#This Row],['#_households that received standard amount of soap for this quarter]]/WWWW[[#This Row],[Total HH]])</f>
        <v>0.48192771084337349</v>
      </c>
      <c r="DD9" s="82">
        <f>IF(WWWW[[#This Row],['#_households that received standard amount of sanitary pads for this quarter]]/WWWW[[#This Row],[Total HH]]&gt;1,1,WWWW[[#This Row],['#_households that received standard amount of sanitary pads for this quarter]]/WWWW[[#This Row],[Total HH]])</f>
        <v>1</v>
      </c>
      <c r="DE9" s="81">
        <f>WWWW[[#This Row],['#_Constructed/Existing hand washing stations]]-WWWW[[#This Row],['#_Non-Functional_hand_washing_stations]]</f>
        <v>3</v>
      </c>
      <c r="DF9" s="667">
        <f>IF(WWWW[[#This Row],['# Functional hand washing stations during reporting period]]*20&gt;WWWW[[#This Row],[Total HH]],WWWW[[#This Row],[Total HH]],WWWW[[#This Row],['# Functional hand washing stations during reporting period]]*20)</f>
        <v>60</v>
      </c>
      <c r="DG9" s="80">
        <f>IF(WWWW[[#This Row],[Is sufficient soap available for TLS? (Yes/No)]]="yes",WWWW[[#This Row],['#_Constructed/Existing hand washing stations at TLS]],0)</f>
        <v>0</v>
      </c>
      <c r="DH9" s="667">
        <f>IF(WWWW[[#This Row],['# Functional hand washing stations during reporting period]]*100&gt;WWWW[[#This Row],[Total PoP ]],WWWW[[#This Row],[Total PoP ]],WWWW[[#This Row],['# Functional hand washing stations during reporting period]]*100)</f>
        <v>300</v>
      </c>
      <c r="DI9" s="667" t="str">
        <f>IF(WWWW[[#This Row],['#_students at TLS_CFS]]="","No","Yes")</f>
        <v>No</v>
      </c>
      <c r="DJ9" s="245" t="str">
        <f>VLOOKUP(WWWW[[#This Row],[Site Name]],SiteDB6[[Site Name]:[CCCM Management]],6,FALSE)</f>
        <v>Yes</v>
      </c>
      <c r="DK9" s="245" t="str">
        <f>VLOOKUP(WWWW[[#This Row],[Site Name]],SiteDB6[[Site Name]:[CCCM Focal Agency]],7,FALSE)</f>
        <v>KMSS-BMO</v>
      </c>
      <c r="DL9" s="245" t="str">
        <f>VLOOKUP(WWWW[[#This Row],[Site Name]],SiteDB6[[Site Name]:[Location Type 1]],9,FALSE)</f>
        <v>Camp</v>
      </c>
      <c r="DM9" s="245" t="str">
        <f>VLOOKUP(WWWW[[#This Row],[Site Name]],SiteDB6[[Site Name]:[Type of Accommodation]],10,FALSE)</f>
        <v>Camp</v>
      </c>
      <c r="DN9" s="245" t="str">
        <f>VLOOKUP(WWWW[[#This Row],[Site Name]],SiteDB6[[Site Name]:[Ethnic or GCA/NGCA]],11,FALSE)</f>
        <v>GCA</v>
      </c>
      <c r="DO9" s="245">
        <f>VLOOKUP(WWWW[[#This Row],[Site Name]],SiteDB6[[Site Name]:[Lat]],12,FALSE)</f>
        <v>24.260719999999999</v>
      </c>
      <c r="DP9" s="245">
        <f>VLOOKUP(WWWW[[#This Row],[Site Name]],SiteDB6[[Site Name]:[Long]],13,FALSE)</f>
        <v>97.238829999999993</v>
      </c>
      <c r="DQ9" s="245" t="str">
        <f>VLOOKUP(WWWW[[#This Row],[Site Name]],SiteDB6[[Site Name]:[Pcode]],3,FALSE)</f>
        <v>MMR001CMP050</v>
      </c>
      <c r="DR9" s="215" t="str">
        <f t="shared" si="0"/>
        <v>Covered</v>
      </c>
      <c r="DS9" s="215"/>
      <c r="DT9" s="20"/>
      <c r="DU9" s="20"/>
      <c r="DV9" s="20"/>
      <c r="DW9" s="20"/>
      <c r="DX9" s="20"/>
      <c r="DY9" s="20"/>
      <c r="DZ9" s="20"/>
      <c r="EA9" s="20"/>
      <c r="EB9" s="20"/>
      <c r="EC9" s="20"/>
      <c r="ED9" s="20"/>
      <c r="EE9" s="20"/>
      <c r="EF9" s="20"/>
      <c r="EG9" s="20"/>
      <c r="EH9" s="20"/>
    </row>
    <row r="10" spans="1:138" ht="15.75" customHeight="1">
      <c r="A10" s="259" t="s">
        <v>2525</v>
      </c>
      <c r="B10" s="663" t="s">
        <v>200</v>
      </c>
      <c r="C10" s="663" t="s">
        <v>200</v>
      </c>
      <c r="D10" s="663" t="s">
        <v>2967</v>
      </c>
      <c r="E10" s="663" t="s">
        <v>39</v>
      </c>
      <c r="F10" s="663" t="s">
        <v>213</v>
      </c>
      <c r="G10" s="663" t="str">
        <f>VLOOKUP(WWWW[[#This Row],[Site Name]],SiteDB6[[Site Name]:[Location Type]],8,FALSE)</f>
        <v>Camp_not registered</v>
      </c>
      <c r="H10" s="663" t="s">
        <v>214</v>
      </c>
      <c r="I10" s="379">
        <v>141</v>
      </c>
      <c r="J10" s="379">
        <v>665</v>
      </c>
      <c r="K10" s="642">
        <v>43466</v>
      </c>
      <c r="L10" s="78">
        <v>43830</v>
      </c>
      <c r="M10" s="700"/>
      <c r="N10" s="700"/>
      <c r="O10" s="700"/>
      <c r="P10" s="700"/>
      <c r="Q10" s="77" t="s">
        <v>43</v>
      </c>
      <c r="R10" s="377">
        <v>2</v>
      </c>
      <c r="S10" s="377">
        <v>3</v>
      </c>
      <c r="T10" s="707">
        <v>1</v>
      </c>
      <c r="U10" s="377"/>
      <c r="V10" s="377"/>
      <c r="W10" s="377">
        <v>1</v>
      </c>
      <c r="X10" s="377">
        <v>1</v>
      </c>
      <c r="Y10" s="377"/>
      <c r="Z10" s="377"/>
      <c r="AA10" s="377"/>
      <c r="AB10" s="377"/>
      <c r="AC10" s="377"/>
      <c r="AD10" s="377"/>
      <c r="AE10" s="377"/>
      <c r="AF10" s="377"/>
      <c r="AG10" s="377"/>
      <c r="AH10" s="377"/>
      <c r="AI10" s="377"/>
      <c r="AJ10" s="377"/>
      <c r="AK10" s="377"/>
      <c r="AL10" s="377"/>
      <c r="AM10" s="377"/>
      <c r="AN10" s="377"/>
      <c r="AO10" s="215"/>
      <c r="AP10" s="377">
        <v>28</v>
      </c>
      <c r="AQ10" s="377"/>
      <c r="AR10" s="77"/>
      <c r="AS10" s="377"/>
      <c r="AT10" s="377"/>
      <c r="AU10" s="377"/>
      <c r="AV10" s="377"/>
      <c r="AW10" s="377"/>
      <c r="AX10" s="694" t="s">
        <v>43</v>
      </c>
      <c r="AY10" s="245" t="s">
        <v>145</v>
      </c>
      <c r="AZ10" s="377"/>
      <c r="BA10" s="377"/>
      <c r="BB10" s="377"/>
      <c r="BC10" s="215"/>
      <c r="BD10" s="377">
        <v>10</v>
      </c>
      <c r="BE10" s="377"/>
      <c r="BF10" s="377"/>
      <c r="BG10" s="377">
        <v>3</v>
      </c>
      <c r="BH10" s="377"/>
      <c r="BI10" s="377"/>
      <c r="BJ10" s="377"/>
      <c r="BK10" s="377"/>
      <c r="BL10" s="377"/>
      <c r="BM10" s="215"/>
      <c r="BN10" s="80"/>
      <c r="BO10" s="82"/>
      <c r="BP10" s="215"/>
      <c r="BQ10" s="79" t="str">
        <f>IFERROR(WWWW[[#This Row],['#_Water sources treated]]/WWWW[[#This Row],['#_Water sources tested for contamination]],"no test")</f>
        <v>no test</v>
      </c>
      <c r="BR10" s="82" t="str">
        <f>IFERROR(WWWW[[#This Row],['#_Household received remediation action due to contamination]]/WWWW[[#This Row],['#_Household water samples tested for contamination]],"no test")</f>
        <v>no test</v>
      </c>
      <c r="BS10" s="81" t="str">
        <f>IF(AND(WWWW[[#This Row],[% of water sources treated]]="no test",WWWW[[#This Row],[% Household received corrective actions]]="no test"),"No Test","Tested")</f>
        <v>No Test</v>
      </c>
      <c r="BT10" s="81">
        <f>WWWW[[#This Row],['#_Constructed/existing protected hand dug well]]-WWWW[[#This Row],['#_Non-functional protected hand dug well]]</f>
        <v>1</v>
      </c>
      <c r="BU10" s="81">
        <f>(WWWW[[#This Row],['#_Constructed/Existing tube wells/boreholes/handpumps_WASH_agency]]+WWWW[[#This Row],['#_Non-Cluster partner water tube-wells/boreholes/handpumps]])-WWWW[[#This Row],['#_Non-functional tube wells/boreholes/handpumps]]</f>
        <v>2</v>
      </c>
      <c r="BV10" s="81">
        <f>WWWW[[#This Row],['#_Constructed/Existingwater storage tank with gravity fed reticulation system]]-WWWW[[#This Row],['#_Non-functional storage tank gravity fed reticulation system]]</f>
        <v>0</v>
      </c>
      <c r="BW10" s="81">
        <f>WWWW[[#This Row],['#_Water boating or water trucking]]</f>
        <v>0</v>
      </c>
      <c r="BX10" s="81">
        <f>WWWW[[#This Row],['#_Constructed/Existing water distribution system from river or natural spring]]</f>
        <v>0</v>
      </c>
      <c r="BY10"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0"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0" s="82">
        <f>IF(WWWW[[#This Row],[Location Type 1]]="Village",WWWW[[#This Row],[Access to safe drinking water for Village]],WWWW[[#This Row],[Access to safe drinking water for Camp]])</f>
        <v>1</v>
      </c>
      <c r="CB10" s="80">
        <f>WWWW[[#This Row],[%Equitable and continuous access to sufficient quantity of safe drinking water]]*WWWW[[#This Row],[Total PoP ]]</f>
        <v>665</v>
      </c>
      <c r="CC10" s="82">
        <f>IF((WWWW[[#This Row],['#_Constructed/Existing protected/fenced ponds]]*250)/WWWW[[#This Row],[Total PoP ]]&gt;1,1,(WWWW[[#This Row],['#_Constructed/Existing protected/fenced ponds]]*250)/WWWW[[#This Row],[Total PoP ]])</f>
        <v>0</v>
      </c>
      <c r="CD10" s="80">
        <f>WWWW[[#This Row],[% Access to unimproved water points]]*WWWW[[#This Row],[Total PoP ]]</f>
        <v>0</v>
      </c>
      <c r="CE10"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0"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665</v>
      </c>
      <c r="CG10" s="80">
        <f>WWWW[[#This Row],[HRP1]]/500</f>
        <v>1.33</v>
      </c>
      <c r="CH10" s="79">
        <f>1-WWWW[[#This Row],[% Equitable and continuous access to sufficient quantity of domestic water]]</f>
        <v>0</v>
      </c>
      <c r="CI10" s="80">
        <f>WWWW[[#This Row],[%equitable and continuous access to sufficient quantity of safe drinking and domestic water''s GAP]]*WWWW[[#This Row],[Total PoP ]]</f>
        <v>0</v>
      </c>
      <c r="CJ10" s="81">
        <f>IF(WWWW[[#This Row],[Total required water points]]-WWWW[[#This Row],['#Water points coverage]]&lt;0,0,WWWW[[#This Row],[Total required water points]]-WWWW[[#This Row],['#Water points coverage]])</f>
        <v>0</v>
      </c>
      <c r="CK10" s="81">
        <f>ROUND(IF(WWWW[[#This Row],[Total PoP ]]&lt;500,1,WWWW[[#This Row],[Total PoP ]]/500),0)</f>
        <v>1</v>
      </c>
      <c r="CL10" s="81">
        <f>(WWWW[[#This Row],['#_Constructed latrines_by_WASHAgencies]]+WWWW[[#This Row],['#_Non Cluster partner latrines]])-WWWW[[#This Row],['#_Non-functional latrines]]</f>
        <v>28</v>
      </c>
      <c r="CM10"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0.84210526315789469</v>
      </c>
      <c r="CN10"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560</v>
      </c>
      <c r="CO10"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0" s="81">
        <f>IF(WWWW[[#This Row],[Location Type 1]]="Village","NA",IF(WWWW[[#This Row],['#_Constructed/Existing latrines in TLS]]*50&gt;WWWW[[#This Row],['#_students at TLS_CFS]],WWWW[[#This Row],['#_students at TLS_CFS]],(WWWW[[#This Row],['#_Constructed/Existing latrines in TLS]]*50)))</f>
        <v>0</v>
      </c>
      <c r="CQ10" s="81">
        <f>ROUND(IF(WWWW[[#This Row],[Location Type 1]]="camp",WWWW[[#This Row],[Total PoP ]]/20,IF(WWWW[[#This Row],[Location Type 1]]="Temporary Location",WWWW[[#This Row],[Total PoP ]]/50,(WWWW[[#This Row],[Total PoP ]]/6))),0)</f>
        <v>33</v>
      </c>
      <c r="CR10" s="80">
        <f>IF(WWWW[[#This Row],[Total required Latrines]]-(WWWW[[#This Row],['#_Constructed latrines_by_WASHAgencies]]+WWWW[[#This Row],['#_Non Cluster partner latrines]])&lt;0,0,WWWW[[#This Row],[Total required Latrines]]-(WWWW[[#This Row],['#_Constructed latrines_by_WASHAgencies]]+WWWW[[#This Row],['#_Non Cluster partner latrines]]))</f>
        <v>5</v>
      </c>
      <c r="CS10" s="79">
        <f>1-WWWW[[#This Row],[% people access to functioning Latrine]]</f>
        <v>0.15789473684210531</v>
      </c>
      <c r="CT10" s="83">
        <f>IF(OR(WWWW[[#This Row],['#_Non-functional latrines]]="",WWWW[[#This Row],['#_Non-functional latrines]]=0),0,WWWW[[#This Row],['#_Non-functional latrines]]/(WWWW[[#This Row],['#_Constructed latrines_by_WASHAgencies]]+WWWW[[#This Row],['#_Non Cluster partner latrines]]))</f>
        <v>0</v>
      </c>
      <c r="CU10" s="80">
        <f>IF(500*(WWWW[[#This Row],['#_male hygiene promoters]]+WWWW[[#This Row],['#_female hygiene promoters]])&gt;WWWW[[#This Row],[Total PoP ]],WWWW[[#This Row],[Total PoP ]],500*(WWWW[[#This Row],['#_male hygiene promoters]]+WWWW[[#This Row],['#_female hygiene promoters]]))</f>
        <v>0</v>
      </c>
      <c r="CV10"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0"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0" s="81">
        <f>IF(WWWW[[#This Row],['# People with access to soap]]&gt;WWWW[[#This Row],['# People with access to Sanity Pads]],WWWW[[#This Row],['# People with access to soap]],WWWW[[#This Row],['# People with access to Sanity Pads]])</f>
        <v>0</v>
      </c>
      <c r="CY10"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0" s="79">
        <f>IF(WWWW[[#This Row],[HRP3]]/WWWW[[#This Row],[Total PoP ]]&gt;100%,100%,WWWW[[#This Row],[HRP3]]/WWWW[[#This Row],[Total PoP ]])</f>
        <v>0</v>
      </c>
      <c r="DA10" s="83">
        <f>1-WWWW[[#This Row],[Hygiene Coverage%]]</f>
        <v>1</v>
      </c>
      <c r="DB10" s="82">
        <f>WWWW[[#This Row],['# people reached by regular dedicated hygiene promotion_5]]/WWWW[[#This Row],[Total PoP ]]</f>
        <v>0</v>
      </c>
      <c r="DC10" s="82">
        <f>IF(WWWW[[#This Row],['#_households that received standard amount of soap for this quarter]]/WWWW[[#This Row],[Total HH]]&gt;1,1,WWWW[[#This Row],['#_households that received standard amount of soap for this quarter]]/WWWW[[#This Row],[Total HH]])</f>
        <v>0</v>
      </c>
      <c r="DD10" s="82">
        <f>IF(WWWW[[#This Row],['#_households that received standard amount of sanitary pads for this quarter]]/WWWW[[#This Row],[Total HH]]&gt;1,1,WWWW[[#This Row],['#_households that received standard amount of sanitary pads for this quarter]]/WWWW[[#This Row],[Total HH]])</f>
        <v>0</v>
      </c>
      <c r="DE10" s="81">
        <f>WWWW[[#This Row],['#_Constructed/Existing hand washing stations]]-WWWW[[#This Row],['#_Non-Functional_hand_washing_stations]]</f>
        <v>10</v>
      </c>
      <c r="DF10" s="667">
        <f>IF(WWWW[[#This Row],['# Functional hand washing stations during reporting period]]*20&gt;WWWW[[#This Row],[Total HH]],WWWW[[#This Row],[Total HH]],WWWW[[#This Row],['# Functional hand washing stations during reporting period]]*20)</f>
        <v>141</v>
      </c>
      <c r="DG10" s="80">
        <f>IF(WWWW[[#This Row],[Is sufficient soap available for TLS? (Yes/No)]]="yes",WWWW[[#This Row],['#_Constructed/Existing hand washing stations at TLS]],0)</f>
        <v>0</v>
      </c>
      <c r="DH10" s="667">
        <f>IF(WWWW[[#This Row],['# Functional hand washing stations during reporting period]]*100&gt;WWWW[[#This Row],[Total PoP ]],WWWW[[#This Row],[Total PoP ]],WWWW[[#This Row],['# Functional hand washing stations during reporting period]]*100)</f>
        <v>665</v>
      </c>
      <c r="DI10" s="667" t="str">
        <f>IF(WWWW[[#This Row],['#_students at TLS_CFS]]="","No","Yes")</f>
        <v>No</v>
      </c>
      <c r="DJ10" s="245">
        <f>VLOOKUP(WWWW[[#This Row],[Site Name]],SiteDB6[[Site Name]:[CCCM Management]],6,FALSE)</f>
        <v>0</v>
      </c>
      <c r="DK10" s="245">
        <f>VLOOKUP(WWWW[[#This Row],[Site Name]],SiteDB6[[Site Name]:[CCCM Focal Agency]],7,FALSE)</f>
        <v>0</v>
      </c>
      <c r="DL10" s="245" t="str">
        <f>VLOOKUP(WWWW[[#This Row],[Site Name]],SiteDB6[[Site Name]:[Location Type 1]],9,FALSE)</f>
        <v>Camp</v>
      </c>
      <c r="DM10" s="245" t="str">
        <f>VLOOKUP(WWWW[[#This Row],[Site Name]],SiteDB6[[Site Name]:[Type of Accommodation]],10,FALSE)</f>
        <v>Camp</v>
      </c>
      <c r="DN10" s="245" t="str">
        <f>VLOOKUP(WWWW[[#This Row],[Site Name]],SiteDB6[[Site Name]:[Ethnic or GCA/NGCA]],11,FALSE)</f>
        <v>GCA</v>
      </c>
      <c r="DO10" s="245">
        <f>VLOOKUP(WWWW[[#This Row],[Site Name]],SiteDB6[[Site Name]:[Lat]],12,FALSE)</f>
        <v>0</v>
      </c>
      <c r="DP10" s="245">
        <f>VLOOKUP(WWWW[[#This Row],[Site Name]],SiteDB6[[Site Name]:[Long]],13,FALSE)</f>
        <v>0</v>
      </c>
      <c r="DQ10" s="245">
        <f>VLOOKUP(WWWW[[#This Row],[Site Name]],SiteDB6[[Site Name]:[Pcode]],3,FALSE)</f>
        <v>0</v>
      </c>
      <c r="DR10" s="215" t="str">
        <f t="shared" si="0"/>
        <v>Covered</v>
      </c>
      <c r="DS10" s="215"/>
      <c r="DT10" s="20"/>
      <c r="DU10" s="20"/>
      <c r="DV10" s="20"/>
      <c r="DW10" s="20"/>
      <c r="DX10" s="20"/>
      <c r="DY10" s="20"/>
      <c r="DZ10" s="20"/>
      <c r="EA10" s="20"/>
      <c r="EB10" s="20"/>
      <c r="EC10" s="20"/>
      <c r="ED10" s="20"/>
      <c r="EE10" s="20"/>
      <c r="EF10" s="20"/>
      <c r="EG10" s="20"/>
      <c r="EH10" s="20"/>
    </row>
    <row r="11" spans="1:138" ht="15.75" customHeight="1">
      <c r="A11" s="259" t="s">
        <v>2525</v>
      </c>
      <c r="B11" s="663" t="s">
        <v>317</v>
      </c>
      <c r="C11" s="663" t="s">
        <v>317</v>
      </c>
      <c r="D11" s="663"/>
      <c r="E11" s="663" t="s">
        <v>39</v>
      </c>
      <c r="F11" s="663" t="s">
        <v>203</v>
      </c>
      <c r="G11" s="663" t="str">
        <f>VLOOKUP(WWWW[[#This Row],[Site Name]],SiteDB6[[Site Name]:[Location Type]],8,FALSE)</f>
        <v>Camp</v>
      </c>
      <c r="H11" s="77" t="s">
        <v>1023</v>
      </c>
      <c r="I11" s="700">
        <v>190</v>
      </c>
      <c r="J11" s="700">
        <v>928</v>
      </c>
      <c r="K11" s="642"/>
      <c r="L11" s="78"/>
      <c r="M11" s="700"/>
      <c r="N11" s="700"/>
      <c r="O11" s="700"/>
      <c r="P11" s="700"/>
      <c r="Q11" s="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215"/>
      <c r="AP11" s="377"/>
      <c r="AQ11" s="377"/>
      <c r="AR11" s="77"/>
      <c r="AS11" s="377"/>
      <c r="AT11" s="377"/>
      <c r="AU11" s="377"/>
      <c r="AV11" s="377"/>
      <c r="AW11" s="377"/>
      <c r="AX11" s="245"/>
      <c r="AY11" s="245"/>
      <c r="AZ11" s="377"/>
      <c r="BA11" s="377"/>
      <c r="BB11" s="377"/>
      <c r="BC11" s="215"/>
      <c r="BD11" s="377"/>
      <c r="BE11" s="377"/>
      <c r="BF11" s="377"/>
      <c r="BG11" s="377"/>
      <c r="BH11" s="377"/>
      <c r="BI11" s="377"/>
      <c r="BJ11" s="377"/>
      <c r="BK11" s="377"/>
      <c r="BL11" s="377"/>
      <c r="BM11" s="215"/>
      <c r="BN11" s="80"/>
      <c r="BO11" s="82"/>
      <c r="BP11" s="215"/>
      <c r="BQ11" s="79" t="str">
        <f>IFERROR(WWWW[[#This Row],['#_Water sources treated]]/WWWW[[#This Row],['#_Water sources tested for contamination]],"no test")</f>
        <v>no test</v>
      </c>
      <c r="BR11" s="82" t="str">
        <f>IFERROR(WWWW[[#This Row],['#_Household received remediation action due to contamination]]/WWWW[[#This Row],['#_Household water samples tested for contamination]],"no test")</f>
        <v>no test</v>
      </c>
      <c r="BS11" s="81" t="str">
        <f>IF(AND(WWWW[[#This Row],[% of water sources treated]]="no test",WWWW[[#This Row],[% Household received corrective actions]]="no test"),"No Test","Tested")</f>
        <v>No Test</v>
      </c>
      <c r="BT11" s="81">
        <f>WWWW[[#This Row],['#_Constructed/existing protected hand dug well]]-WWWW[[#This Row],['#_Non-functional protected hand dug well]]</f>
        <v>0</v>
      </c>
      <c r="BU11" s="81">
        <f>(WWWW[[#This Row],['#_Constructed/Existing tube wells/boreholes/handpumps_WASH_agency]]+WWWW[[#This Row],['#_Non-Cluster partner water tube-wells/boreholes/handpumps]])-WWWW[[#This Row],['#_Non-functional tube wells/boreholes/handpumps]]</f>
        <v>0</v>
      </c>
      <c r="BV11" s="81">
        <f>WWWW[[#This Row],['#_Constructed/Existingwater storage tank with gravity fed reticulation system]]-WWWW[[#This Row],['#_Non-functional storage tank gravity fed reticulation system]]</f>
        <v>0</v>
      </c>
      <c r="BW11" s="81">
        <f>WWWW[[#This Row],['#_Water boating or water trucking]]</f>
        <v>0</v>
      </c>
      <c r="BX11" s="81">
        <f>WWWW[[#This Row],['#_Constructed/Existing water distribution system from river or natural spring]]</f>
        <v>0</v>
      </c>
      <c r="BY11"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1"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1" s="82">
        <f>IF(WWWW[[#This Row],[Location Type 1]]="Village",WWWW[[#This Row],[Access to safe drinking water for Village]],WWWW[[#This Row],[Access to safe drinking water for Camp]])</f>
        <v>0</v>
      </c>
      <c r="CB11" s="80">
        <f>WWWW[[#This Row],[%Equitable and continuous access to sufficient quantity of safe drinking water]]*WWWW[[#This Row],[Total PoP ]]</f>
        <v>0</v>
      </c>
      <c r="CC11" s="82">
        <f>IF((WWWW[[#This Row],['#_Constructed/Existing protected/fenced ponds]]*250)/WWWW[[#This Row],[Total PoP ]]&gt;1,1,(WWWW[[#This Row],['#_Constructed/Existing protected/fenced ponds]]*250)/WWWW[[#This Row],[Total PoP ]])</f>
        <v>0</v>
      </c>
      <c r="CD11" s="80">
        <f>WWWW[[#This Row],[% Access to unimproved water points]]*WWWW[[#This Row],[Total PoP ]]</f>
        <v>0</v>
      </c>
      <c r="CE11"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1"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1" s="80">
        <f>WWWW[[#This Row],[HRP1]]/500</f>
        <v>0</v>
      </c>
      <c r="CH11" s="79">
        <f>1-WWWW[[#This Row],[% Equitable and continuous access to sufficient quantity of domestic water]]</f>
        <v>1</v>
      </c>
      <c r="CI11" s="80">
        <f>WWWW[[#This Row],[%equitable and continuous access to sufficient quantity of safe drinking and domestic water''s GAP]]*WWWW[[#This Row],[Total PoP ]]</f>
        <v>928</v>
      </c>
      <c r="CJ11" s="81">
        <f>IF(WWWW[[#This Row],[Total required water points]]-WWWW[[#This Row],['#Water points coverage]]&lt;0,0,WWWW[[#This Row],[Total required water points]]-WWWW[[#This Row],['#Water points coverage]])</f>
        <v>2</v>
      </c>
      <c r="CK11" s="81">
        <f>ROUND(IF(WWWW[[#This Row],[Total PoP ]]&lt;500,1,WWWW[[#This Row],[Total PoP ]]/500),0)</f>
        <v>2</v>
      </c>
      <c r="CL11" s="81">
        <f>(WWWW[[#This Row],['#_Constructed latrines_by_WASHAgencies]]+WWWW[[#This Row],['#_Non Cluster partner latrines]])-WWWW[[#This Row],['#_Non-functional latrines]]</f>
        <v>0</v>
      </c>
      <c r="CM11"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1"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1"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1" s="81">
        <f>IF(WWWW[[#This Row],[Location Type 1]]="Village","NA",IF(WWWW[[#This Row],['#_Constructed/Existing latrines in TLS]]*50&gt;WWWW[[#This Row],['#_students at TLS_CFS]],WWWW[[#This Row],['#_students at TLS_CFS]],(WWWW[[#This Row],['#_Constructed/Existing latrines in TLS]]*50)))</f>
        <v>0</v>
      </c>
      <c r="CQ11" s="81">
        <f>ROUND(IF(WWWW[[#This Row],[Location Type 1]]="camp",WWWW[[#This Row],[Total PoP ]]/20,IF(WWWW[[#This Row],[Location Type 1]]="Temporary Location",WWWW[[#This Row],[Total PoP ]]/50,(WWWW[[#This Row],[Total PoP ]]/6))),0)</f>
        <v>46</v>
      </c>
      <c r="CR11" s="80">
        <f>IF(WWWW[[#This Row],[Total required Latrines]]-(WWWW[[#This Row],['#_Constructed latrines_by_WASHAgencies]]+WWWW[[#This Row],['#_Non Cluster partner latrines]])&lt;0,0,WWWW[[#This Row],[Total required Latrines]]-(WWWW[[#This Row],['#_Constructed latrines_by_WASHAgencies]]+WWWW[[#This Row],['#_Non Cluster partner latrines]]))</f>
        <v>46</v>
      </c>
      <c r="CS11" s="79">
        <f>1-WWWW[[#This Row],[% people access to functioning Latrine]]</f>
        <v>1</v>
      </c>
      <c r="CT11" s="83">
        <f>IF(OR(WWWW[[#This Row],['#_Non-functional latrines]]="",WWWW[[#This Row],['#_Non-functional latrines]]=0),0,WWWW[[#This Row],['#_Non-functional latrines]]/(WWWW[[#This Row],['#_Constructed latrines_by_WASHAgencies]]+WWWW[[#This Row],['#_Non Cluster partner latrines]]))</f>
        <v>0</v>
      </c>
      <c r="CU11" s="80">
        <f>IF(500*(WWWW[[#This Row],['#_male hygiene promoters]]+WWWW[[#This Row],['#_female hygiene promoters]])&gt;WWWW[[#This Row],[Total PoP ]],WWWW[[#This Row],[Total PoP ]],500*(WWWW[[#This Row],['#_male hygiene promoters]]+WWWW[[#This Row],['#_female hygiene promoters]]))</f>
        <v>0</v>
      </c>
      <c r="CV11"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1"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1" s="81">
        <f>IF(WWWW[[#This Row],['# People with access to soap]]&gt;WWWW[[#This Row],['# People with access to Sanity Pads]],WWWW[[#This Row],['# People with access to soap]],WWWW[[#This Row],['# People with access to Sanity Pads]])</f>
        <v>0</v>
      </c>
      <c r="CY11"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1" s="79">
        <f>IF(WWWW[[#This Row],[HRP3]]/WWWW[[#This Row],[Total PoP ]]&gt;100%,100%,WWWW[[#This Row],[HRP3]]/WWWW[[#This Row],[Total PoP ]])</f>
        <v>0</v>
      </c>
      <c r="DA11" s="83">
        <f>1-WWWW[[#This Row],[Hygiene Coverage%]]</f>
        <v>1</v>
      </c>
      <c r="DB11" s="82">
        <f>WWWW[[#This Row],['# people reached by regular dedicated hygiene promotion_5]]/WWWW[[#This Row],[Total PoP ]]</f>
        <v>0</v>
      </c>
      <c r="DC11" s="82">
        <f>IF(WWWW[[#This Row],['#_households that received standard amount of soap for this quarter]]/WWWW[[#This Row],[Total HH]]&gt;1,1,WWWW[[#This Row],['#_households that received standard amount of soap for this quarter]]/WWWW[[#This Row],[Total HH]])</f>
        <v>0</v>
      </c>
      <c r="DD11" s="82">
        <f>IF(WWWW[[#This Row],['#_households that received standard amount of sanitary pads for this quarter]]/WWWW[[#This Row],[Total HH]]&gt;1,1,WWWW[[#This Row],['#_households that received standard amount of sanitary pads for this quarter]]/WWWW[[#This Row],[Total HH]])</f>
        <v>0</v>
      </c>
      <c r="DE11" s="81">
        <f>WWWW[[#This Row],['#_Constructed/Existing hand washing stations]]-WWWW[[#This Row],['#_Non-Functional_hand_washing_stations]]</f>
        <v>0</v>
      </c>
      <c r="DF11" s="667">
        <f>IF(WWWW[[#This Row],['# Functional hand washing stations during reporting period]]*20&gt;WWWW[[#This Row],[Total HH]],WWWW[[#This Row],[Total HH]],WWWW[[#This Row],['# Functional hand washing stations during reporting period]]*20)</f>
        <v>0</v>
      </c>
      <c r="DG11" s="80">
        <f>IF(WWWW[[#This Row],[Is sufficient soap available for TLS? (Yes/No)]]="yes",WWWW[[#This Row],['#_Constructed/Existing hand washing stations at TLS]],0)</f>
        <v>0</v>
      </c>
      <c r="DH11" s="667">
        <f>IF(WWWW[[#This Row],['# Functional hand washing stations during reporting period]]*100&gt;WWWW[[#This Row],[Total PoP ]],WWWW[[#This Row],[Total PoP ]],WWWW[[#This Row],['# Functional hand washing stations during reporting period]]*100)</f>
        <v>0</v>
      </c>
      <c r="DI11" s="667" t="str">
        <f>IF(WWWW[[#This Row],['#_students at TLS_CFS]]="","No","Yes")</f>
        <v>No</v>
      </c>
      <c r="DJ11" s="245">
        <f>VLOOKUP(WWWW[[#This Row],[Site Name]],SiteDB6[[Site Name]:[CCCM Management]],6,FALSE)</f>
        <v>0</v>
      </c>
      <c r="DK11" s="245" t="str">
        <f>VLOOKUP(WWWW[[#This Row],[Site Name]],SiteDB6[[Site Name]:[CCCM Focal Agency]],7,FALSE)</f>
        <v>uncovered</v>
      </c>
      <c r="DL11" s="245" t="str">
        <f>VLOOKUP(WWWW[[#This Row],[Site Name]],SiteDB6[[Site Name]:[Location Type 1]],9,FALSE)</f>
        <v>Camp</v>
      </c>
      <c r="DM11" s="245" t="str">
        <f>VLOOKUP(WWWW[[#This Row],[Site Name]],SiteDB6[[Site Name]:[Type of Accommodation]],10,FALSE)</f>
        <v>Host Families</v>
      </c>
      <c r="DN11" s="245" t="str">
        <f>VLOOKUP(WWWW[[#This Row],[Site Name]],SiteDB6[[Site Name]:[Ethnic or GCA/NGCA]],11,FALSE)</f>
        <v>GCA</v>
      </c>
      <c r="DO11" s="245">
        <f>VLOOKUP(WWWW[[#This Row],[Site Name]],SiteDB6[[Site Name]:[Lat]],12,FALSE)</f>
        <v>24.263786</v>
      </c>
      <c r="DP11" s="245">
        <f>VLOOKUP(WWWW[[#This Row],[Site Name]],SiteDB6[[Site Name]:[Long]],13,FALSE)</f>
        <v>97.228835000000004</v>
      </c>
      <c r="DQ11" s="245" t="str">
        <f>VLOOKUP(WWWW[[#This Row],[Site Name]],SiteDB6[[Site Name]:[Pcode]],3,FALSE)</f>
        <v>MMR001CMP163</v>
      </c>
      <c r="DR11" s="215" t="str">
        <f t="shared" si="0"/>
        <v>Notcovered</v>
      </c>
      <c r="DS11" s="215"/>
      <c r="DT11" s="20"/>
      <c r="DU11" s="20"/>
      <c r="DV11" s="20"/>
      <c r="DW11" s="20"/>
      <c r="DX11" s="20"/>
      <c r="DY11" s="20"/>
      <c r="DZ11" s="20"/>
      <c r="EA11" s="20"/>
      <c r="EB11" s="20"/>
      <c r="EC11" s="20"/>
      <c r="ED11" s="20"/>
      <c r="EE11" s="20"/>
      <c r="EF11" s="20"/>
      <c r="EG11" s="20"/>
      <c r="EH11" s="20"/>
    </row>
    <row r="12" spans="1:138" ht="15.75" customHeight="1">
      <c r="A12" s="259" t="s">
        <v>2525</v>
      </c>
      <c r="B12" s="663" t="s">
        <v>200</v>
      </c>
      <c r="C12" s="663" t="s">
        <v>200</v>
      </c>
      <c r="D12" s="663" t="s">
        <v>2967</v>
      </c>
      <c r="E12" s="663" t="s">
        <v>39</v>
      </c>
      <c r="F12" s="663" t="s">
        <v>203</v>
      </c>
      <c r="G12" s="663" t="str">
        <f>VLOOKUP(WWWW[[#This Row],[Site Name]],SiteDB6[[Site Name]:[Location Type]],8,FALSE)</f>
        <v>Camp</v>
      </c>
      <c r="H12" s="663" t="s">
        <v>204</v>
      </c>
      <c r="I12" s="379">
        <v>11</v>
      </c>
      <c r="J12" s="379">
        <v>52</v>
      </c>
      <c r="K12" s="642">
        <v>43466</v>
      </c>
      <c r="L12" s="78">
        <v>43830</v>
      </c>
      <c r="M12" s="700"/>
      <c r="N12" s="700"/>
      <c r="O12" s="700"/>
      <c r="P12" s="700"/>
      <c r="Q12" s="77" t="s">
        <v>144</v>
      </c>
      <c r="R12" s="377"/>
      <c r="S12" s="377"/>
      <c r="T12" s="377"/>
      <c r="U12" s="377"/>
      <c r="V12" s="377"/>
      <c r="W12" s="377"/>
      <c r="X12" s="377">
        <v>1</v>
      </c>
      <c r="Y12" s="377"/>
      <c r="Z12" s="377"/>
      <c r="AA12" s="377"/>
      <c r="AB12" s="377"/>
      <c r="AC12" s="377"/>
      <c r="AD12" s="377"/>
      <c r="AE12" s="377"/>
      <c r="AF12" s="377"/>
      <c r="AG12" s="377"/>
      <c r="AH12" s="377"/>
      <c r="AI12" s="377"/>
      <c r="AJ12" s="377"/>
      <c r="AK12" s="377"/>
      <c r="AL12" s="377"/>
      <c r="AM12" s="377"/>
      <c r="AN12" s="377"/>
      <c r="AO12" s="215"/>
      <c r="AP12" s="377">
        <v>2</v>
      </c>
      <c r="AQ12" s="377"/>
      <c r="AR12" s="77"/>
      <c r="AS12" s="377"/>
      <c r="AT12" s="377"/>
      <c r="AU12" s="377"/>
      <c r="AV12" s="377"/>
      <c r="AW12" s="377"/>
      <c r="AX12" s="245" t="s">
        <v>43</v>
      </c>
      <c r="AY12" s="245" t="s">
        <v>148</v>
      </c>
      <c r="AZ12" s="377"/>
      <c r="BA12" s="377"/>
      <c r="BB12" s="377"/>
      <c r="BC12" s="215"/>
      <c r="BD12" s="377">
        <v>1</v>
      </c>
      <c r="BE12" s="377"/>
      <c r="BF12" s="377"/>
      <c r="BG12" s="377">
        <v>1</v>
      </c>
      <c r="BH12" s="377"/>
      <c r="BI12" s="377"/>
      <c r="BJ12" s="377"/>
      <c r="BK12" s="377">
        <v>11</v>
      </c>
      <c r="BL12" s="377">
        <v>2</v>
      </c>
      <c r="BM12" s="215"/>
      <c r="BN12" s="80"/>
      <c r="BO12" s="82"/>
      <c r="BP12" s="215"/>
      <c r="BQ12" s="79" t="str">
        <f>IFERROR(WWWW[[#This Row],['#_Water sources treated]]/WWWW[[#This Row],['#_Water sources tested for contamination]],"no test")</f>
        <v>no test</v>
      </c>
      <c r="BR12" s="82" t="str">
        <f>IFERROR(WWWW[[#This Row],['#_Household received remediation action due to contamination]]/WWWW[[#This Row],['#_Household water samples tested for contamination]],"no test")</f>
        <v>no test</v>
      </c>
      <c r="BS12" s="81" t="str">
        <f>IF(AND(WWWW[[#This Row],[% of water sources treated]]="no test",WWWW[[#This Row],[% Household received corrective actions]]="no test"),"No Test","Tested")</f>
        <v>No Test</v>
      </c>
      <c r="BT12" s="81">
        <f>WWWW[[#This Row],['#_Constructed/existing protected hand dug well]]-WWWW[[#This Row],['#_Non-functional protected hand dug well]]</f>
        <v>0</v>
      </c>
      <c r="BU12" s="81">
        <f>(WWWW[[#This Row],['#_Constructed/Existing tube wells/boreholes/handpumps_WASH_agency]]+WWWW[[#This Row],['#_Non-Cluster partner water tube-wells/boreholes/handpumps]])-WWWW[[#This Row],['#_Non-functional tube wells/boreholes/handpumps]]</f>
        <v>1</v>
      </c>
      <c r="BV12" s="81">
        <f>WWWW[[#This Row],['#_Constructed/Existingwater storage tank with gravity fed reticulation system]]-WWWW[[#This Row],['#_Non-functional storage tank gravity fed reticulation system]]</f>
        <v>0</v>
      </c>
      <c r="BW12" s="81">
        <f>WWWW[[#This Row],['#_Water boating or water trucking]]</f>
        <v>0</v>
      </c>
      <c r="BX12" s="81">
        <f>WWWW[[#This Row],['#_Constructed/Existing water distribution system from river or natural spring]]</f>
        <v>0</v>
      </c>
      <c r="BY12"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2"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2" s="82">
        <f>IF(WWWW[[#This Row],[Location Type 1]]="Village",WWWW[[#This Row],[Access to safe drinking water for Village]],WWWW[[#This Row],[Access to safe drinking water for Camp]])</f>
        <v>1</v>
      </c>
      <c r="CB12" s="80">
        <f>WWWW[[#This Row],[%Equitable and continuous access to sufficient quantity of safe drinking water]]*WWWW[[#This Row],[Total PoP ]]</f>
        <v>52</v>
      </c>
      <c r="CC12" s="82">
        <f>IF((WWWW[[#This Row],['#_Constructed/Existing protected/fenced ponds]]*250)/WWWW[[#This Row],[Total PoP ]]&gt;1,1,(WWWW[[#This Row],['#_Constructed/Existing protected/fenced ponds]]*250)/WWWW[[#This Row],[Total PoP ]])</f>
        <v>0</v>
      </c>
      <c r="CD12" s="80">
        <f>WWWW[[#This Row],[% Access to unimproved water points]]*WWWW[[#This Row],[Total PoP ]]</f>
        <v>0</v>
      </c>
      <c r="CE12"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2"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52</v>
      </c>
      <c r="CG12" s="80">
        <f>WWWW[[#This Row],[HRP1]]/500</f>
        <v>0.104</v>
      </c>
      <c r="CH12" s="79">
        <f>1-WWWW[[#This Row],[% Equitable and continuous access to sufficient quantity of domestic water]]</f>
        <v>0</v>
      </c>
      <c r="CI12" s="80">
        <f>WWWW[[#This Row],[%equitable and continuous access to sufficient quantity of safe drinking and domestic water''s GAP]]*WWWW[[#This Row],[Total PoP ]]</f>
        <v>0</v>
      </c>
      <c r="CJ12" s="81">
        <f>IF(WWWW[[#This Row],[Total required water points]]-WWWW[[#This Row],['#Water points coverage]]&lt;0,0,WWWW[[#This Row],[Total required water points]]-WWWW[[#This Row],['#Water points coverage]])</f>
        <v>0.89600000000000002</v>
      </c>
      <c r="CK12" s="81">
        <f>ROUND(IF(WWWW[[#This Row],[Total PoP ]]&lt;500,1,WWWW[[#This Row],[Total PoP ]]/500),0)</f>
        <v>1</v>
      </c>
      <c r="CL12" s="81">
        <f>(WWWW[[#This Row],['#_Constructed latrines_by_WASHAgencies]]+WWWW[[#This Row],['#_Non Cluster partner latrines]])-WWWW[[#This Row],['#_Non-functional latrines]]</f>
        <v>2</v>
      </c>
      <c r="CM12"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0.76923076923076927</v>
      </c>
      <c r="CN12"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40</v>
      </c>
      <c r="CO12"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2" s="81">
        <f>IF(WWWW[[#This Row],[Location Type 1]]="Village","NA",IF(WWWW[[#This Row],['#_Constructed/Existing latrines in TLS]]*50&gt;WWWW[[#This Row],['#_students at TLS_CFS]],WWWW[[#This Row],['#_students at TLS_CFS]],(WWWW[[#This Row],['#_Constructed/Existing latrines in TLS]]*50)))</f>
        <v>0</v>
      </c>
      <c r="CQ12" s="81">
        <f>ROUND(IF(WWWW[[#This Row],[Location Type 1]]="camp",WWWW[[#This Row],[Total PoP ]]/20,IF(WWWW[[#This Row],[Location Type 1]]="Temporary Location",WWWW[[#This Row],[Total PoP ]]/50,(WWWW[[#This Row],[Total PoP ]]/6))),0)</f>
        <v>3</v>
      </c>
      <c r="CR12" s="80">
        <f>IF(WWWW[[#This Row],[Total required Latrines]]-(WWWW[[#This Row],['#_Constructed latrines_by_WASHAgencies]]+WWWW[[#This Row],['#_Non Cluster partner latrines]])&lt;0,0,WWWW[[#This Row],[Total required Latrines]]-(WWWW[[#This Row],['#_Constructed latrines_by_WASHAgencies]]+WWWW[[#This Row],['#_Non Cluster partner latrines]]))</f>
        <v>1</v>
      </c>
      <c r="CS12" s="79">
        <f>1-WWWW[[#This Row],[% people access to functioning Latrine]]</f>
        <v>0.23076923076923073</v>
      </c>
      <c r="CT12" s="83">
        <f>IF(OR(WWWW[[#This Row],['#_Non-functional latrines]]="",WWWW[[#This Row],['#_Non-functional latrines]]=0),0,WWWW[[#This Row],['#_Non-functional latrines]]/(WWWW[[#This Row],['#_Constructed latrines_by_WASHAgencies]]+WWWW[[#This Row],['#_Non Cluster partner latrines]]))</f>
        <v>0</v>
      </c>
      <c r="CU12" s="80">
        <f>IF(500*(WWWW[[#This Row],['#_male hygiene promoters]]+WWWW[[#This Row],['#_female hygiene promoters]])&gt;WWWW[[#This Row],[Total PoP ]],WWWW[[#This Row],[Total PoP ]],500*(WWWW[[#This Row],['#_male hygiene promoters]]+WWWW[[#This Row],['#_female hygiene promoters]]))</f>
        <v>0</v>
      </c>
      <c r="CV12"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52</v>
      </c>
      <c r="CW12"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10</v>
      </c>
      <c r="CX12" s="81">
        <f>IF(WWWW[[#This Row],['# People with access to soap]]&gt;WWWW[[#This Row],['# People with access to Sanity Pads]],WWWW[[#This Row],['# People with access to soap]],WWWW[[#This Row],['# People with access to Sanity Pads]])</f>
        <v>52</v>
      </c>
      <c r="CY12" s="81">
        <f>IF(WWWW[[#This Row],['# people reached by regular dedicated hygiene promotion_5]]&gt;WWWW[[#This Row],['# People received regular supply of hygiene items_6]],WWWW[[#This Row],['# people reached by regular dedicated hygiene promotion_5]],WWWW[[#This Row],['# People received regular supply of hygiene items_6]])</f>
        <v>52</v>
      </c>
      <c r="CZ12" s="79">
        <f>IF(WWWW[[#This Row],[HRP3]]/WWWW[[#This Row],[Total PoP ]]&gt;100%,100%,WWWW[[#This Row],[HRP3]]/WWWW[[#This Row],[Total PoP ]])</f>
        <v>1</v>
      </c>
      <c r="DA12" s="83">
        <f>1-WWWW[[#This Row],[Hygiene Coverage%]]</f>
        <v>0</v>
      </c>
      <c r="DB12" s="82">
        <f>WWWW[[#This Row],['# people reached by regular dedicated hygiene promotion_5]]/WWWW[[#This Row],[Total PoP ]]</f>
        <v>0</v>
      </c>
      <c r="DC12" s="82">
        <f>IF(WWWW[[#This Row],['#_households that received standard amount of soap for this quarter]]/WWWW[[#This Row],[Total HH]]&gt;1,1,WWWW[[#This Row],['#_households that received standard amount of soap for this quarter]]/WWWW[[#This Row],[Total HH]])</f>
        <v>1</v>
      </c>
      <c r="DD12" s="82">
        <f>IF(WWWW[[#This Row],['#_households that received standard amount of sanitary pads for this quarter]]/WWWW[[#This Row],[Total HH]]&gt;1,1,WWWW[[#This Row],['#_households that received standard amount of sanitary pads for this quarter]]/WWWW[[#This Row],[Total HH]])</f>
        <v>0.18181818181818182</v>
      </c>
      <c r="DE12" s="81">
        <f>WWWW[[#This Row],['#_Constructed/Existing hand washing stations]]-WWWW[[#This Row],['#_Non-Functional_hand_washing_stations]]</f>
        <v>1</v>
      </c>
      <c r="DF12" s="667">
        <f>IF(WWWW[[#This Row],['# Functional hand washing stations during reporting period]]*20&gt;WWWW[[#This Row],[Total HH]],WWWW[[#This Row],[Total HH]],WWWW[[#This Row],['# Functional hand washing stations during reporting period]]*20)</f>
        <v>11</v>
      </c>
      <c r="DG12" s="80">
        <f>IF(WWWW[[#This Row],[Is sufficient soap available for TLS? (Yes/No)]]="yes",WWWW[[#This Row],['#_Constructed/Existing hand washing stations at TLS]],0)</f>
        <v>0</v>
      </c>
      <c r="DH12" s="667">
        <f>IF(WWWW[[#This Row],['# Functional hand washing stations during reporting period]]*100&gt;WWWW[[#This Row],[Total PoP ]],WWWW[[#This Row],[Total PoP ]],WWWW[[#This Row],['# Functional hand washing stations during reporting period]]*100)</f>
        <v>52</v>
      </c>
      <c r="DI12" s="667" t="str">
        <f>IF(WWWW[[#This Row],['#_students at TLS_CFS]]="","No","Yes")</f>
        <v>No</v>
      </c>
      <c r="DJ12" s="245" t="str">
        <f>VLOOKUP(WWWW[[#This Row],[Site Name]],SiteDB6[[Site Name]:[CCCM Management]],6,FALSE)</f>
        <v>Yes</v>
      </c>
      <c r="DK12" s="245" t="str">
        <f>VLOOKUP(WWWW[[#This Row],[Site Name]],SiteDB6[[Site Name]:[CCCM Focal Agency]],7,FALSE)</f>
        <v>KBC</v>
      </c>
      <c r="DL12" s="245" t="str">
        <f>VLOOKUP(WWWW[[#This Row],[Site Name]],SiteDB6[[Site Name]:[Location Type 1]],9,FALSE)</f>
        <v>Camp</v>
      </c>
      <c r="DM12" s="245" t="str">
        <f>VLOOKUP(WWWW[[#This Row],[Site Name]],SiteDB6[[Site Name]:[Type of Accommodation]],10,FALSE)</f>
        <v>Camp</v>
      </c>
      <c r="DN12" s="245" t="str">
        <f>VLOOKUP(WWWW[[#This Row],[Site Name]],SiteDB6[[Site Name]:[Ethnic or GCA/NGCA]],11,FALSE)</f>
        <v>GCA</v>
      </c>
      <c r="DO12" s="245">
        <f>VLOOKUP(WWWW[[#This Row],[Site Name]],SiteDB6[[Site Name]:[Lat]],12,FALSE)</f>
        <v>24.260466999999998</v>
      </c>
      <c r="DP12" s="245">
        <f>VLOOKUP(WWWW[[#This Row],[Site Name]],SiteDB6[[Site Name]:[Long]],13,FALSE)</f>
        <v>97.252650000000003</v>
      </c>
      <c r="DQ12" s="245" t="str">
        <f>VLOOKUP(WWWW[[#This Row],[Site Name]],SiteDB6[[Site Name]:[Pcode]],3,FALSE)</f>
        <v>MMR001CMP194</v>
      </c>
      <c r="DR12" s="215" t="str">
        <f t="shared" si="0"/>
        <v>Covered</v>
      </c>
      <c r="DS12" s="215"/>
      <c r="DT12" s="20"/>
      <c r="DU12" s="20"/>
      <c r="DV12" s="20"/>
      <c r="DW12" s="20"/>
      <c r="DX12" s="20"/>
      <c r="DY12" s="20"/>
      <c r="DZ12" s="20"/>
      <c r="EA12" s="20"/>
      <c r="EB12" s="20"/>
      <c r="EC12" s="20"/>
      <c r="ED12" s="20"/>
      <c r="EE12" s="20"/>
      <c r="EF12" s="20"/>
      <c r="EG12" s="20"/>
      <c r="EH12" s="20"/>
    </row>
    <row r="13" spans="1:138" ht="15.75" customHeight="1">
      <c r="A13" s="259" t="s">
        <v>2525</v>
      </c>
      <c r="B13" s="663" t="s">
        <v>38</v>
      </c>
      <c r="C13" s="663" t="s">
        <v>38</v>
      </c>
      <c r="D13" s="663" t="s">
        <v>3119</v>
      </c>
      <c r="E13" s="663" t="s">
        <v>39</v>
      </c>
      <c r="F13" s="663" t="s">
        <v>150</v>
      </c>
      <c r="G13" s="663" t="str">
        <f>VLOOKUP(WWWW[[#This Row],[Site Name]],SiteDB6[[Site Name]:[Location Type]],8,FALSE)</f>
        <v>Camp</v>
      </c>
      <c r="H13" s="663" t="s">
        <v>244</v>
      </c>
      <c r="I13" s="700">
        <v>101</v>
      </c>
      <c r="J13" s="700">
        <v>458</v>
      </c>
      <c r="K13" s="642" t="s">
        <v>2986</v>
      </c>
      <c r="L13" s="78" t="s">
        <v>2980</v>
      </c>
      <c r="M13" s="700">
        <v>132</v>
      </c>
      <c r="N13" s="700"/>
      <c r="O13" s="700"/>
      <c r="P13" s="700"/>
      <c r="Q13" s="663" t="s">
        <v>43</v>
      </c>
      <c r="R13" s="700"/>
      <c r="S13" s="700"/>
      <c r="T13" s="700"/>
      <c r="U13" s="700"/>
      <c r="V13" s="700"/>
      <c r="W13" s="700"/>
      <c r="X13" s="700"/>
      <c r="Y13" s="700"/>
      <c r="Z13" s="700"/>
      <c r="AA13" s="700">
        <v>1</v>
      </c>
      <c r="AB13" s="700"/>
      <c r="AC13" s="700"/>
      <c r="AD13" s="700"/>
      <c r="AE13" s="700"/>
      <c r="AF13" s="700"/>
      <c r="AG13" s="700"/>
      <c r="AH13" s="700"/>
      <c r="AI13" s="700"/>
      <c r="AJ13" s="700"/>
      <c r="AK13" s="700"/>
      <c r="AL13" s="700"/>
      <c r="AM13" s="700"/>
      <c r="AN13" s="700"/>
      <c r="AO13" s="667"/>
      <c r="AP13" s="719">
        <v>90</v>
      </c>
      <c r="AQ13" s="663"/>
      <c r="AR13" s="663"/>
      <c r="AS13" s="667"/>
      <c r="AT13" s="663"/>
      <c r="AU13" s="667"/>
      <c r="AV13" s="667"/>
      <c r="AW13" s="81"/>
      <c r="AX13" s="81" t="s">
        <v>43</v>
      </c>
      <c r="AY13" s="81" t="s">
        <v>145</v>
      </c>
      <c r="AZ13" s="81">
        <v>3</v>
      </c>
      <c r="BA13" s="81"/>
      <c r="BB13" s="667"/>
      <c r="BC13" s="667"/>
      <c r="BD13" s="667">
        <v>2</v>
      </c>
      <c r="BE13" s="667"/>
      <c r="BF13" s="667"/>
      <c r="BG13" s="720">
        <v>3</v>
      </c>
      <c r="BH13" s="667"/>
      <c r="BI13" s="700"/>
      <c r="BJ13" s="700">
        <v>2</v>
      </c>
      <c r="BK13" s="721">
        <v>40</v>
      </c>
      <c r="BL13" s="667"/>
      <c r="BM13" s="667" t="s">
        <v>144</v>
      </c>
      <c r="BN13" s="667"/>
      <c r="BO13" s="82"/>
      <c r="BP13" s="667"/>
      <c r="BQ13" s="79" t="str">
        <f>IFERROR(WWWW[[#This Row],['#_Water sources treated]]/WWWW[[#This Row],['#_Water sources tested for contamination]],"no test")</f>
        <v>no test</v>
      </c>
      <c r="BR13" s="82" t="str">
        <f>IFERROR(WWWW[[#This Row],['#_Household received remediation action due to contamination]]/WWWW[[#This Row],['#_Household water samples tested for contamination]],"no test")</f>
        <v>no test</v>
      </c>
      <c r="BS13" s="81" t="str">
        <f>IF(AND(WWWW[[#This Row],[% of water sources treated]]="no test",WWWW[[#This Row],[% Household received corrective actions]]="no test"),"No Test","Tested")</f>
        <v>No Test</v>
      </c>
      <c r="BT13" s="81">
        <f>WWWW[[#This Row],['#_Constructed/existing protected hand dug well]]-WWWW[[#This Row],['#_Non-functional protected hand dug well]]</f>
        <v>0</v>
      </c>
      <c r="BU13" s="81">
        <f>(WWWW[[#This Row],['#_Constructed/Existing tube wells/boreholes/handpumps_WASH_agency]]+WWWW[[#This Row],['#_Non-Cluster partner water tube-wells/boreholes/handpumps]])-WWWW[[#This Row],['#_Non-functional tube wells/boreholes/handpumps]]</f>
        <v>0</v>
      </c>
      <c r="BV13" s="81">
        <f>WWWW[[#This Row],['#_Constructed/Existingwater storage tank with gravity fed reticulation system]]-WWWW[[#This Row],['#_Non-functional storage tank gravity fed reticulation system]]</f>
        <v>1</v>
      </c>
      <c r="BW13" s="81">
        <f>WWWW[[#This Row],['#_Water boating or water trucking]]</f>
        <v>0</v>
      </c>
      <c r="BX13" s="81">
        <f>WWWW[[#This Row],['#_Constructed/Existing water distribution system from river or natural spring]]</f>
        <v>0</v>
      </c>
      <c r="BY13"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0.14556040756914121</v>
      </c>
      <c r="BZ13"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0.14556040756914121</v>
      </c>
      <c r="CA13" s="82">
        <f>IF(WWWW[[#This Row],[Location Type 1]]="Village",WWWW[[#This Row],[Access to safe drinking water for Village]],WWWW[[#This Row],[Access to safe drinking water for Camp]])</f>
        <v>0.14556040756914121</v>
      </c>
      <c r="CB13" s="80">
        <f>WWWW[[#This Row],[%Equitable and continuous access to sufficient quantity of safe drinking water]]*WWWW[[#This Row],[Total PoP ]]</f>
        <v>66.666666666666671</v>
      </c>
      <c r="CC13" s="82">
        <f>IF((WWWW[[#This Row],['#_Constructed/Existing protected/fenced ponds]]*250)/WWWW[[#This Row],[Total PoP ]]&gt;1,1,(WWWW[[#This Row],['#_Constructed/Existing protected/fenced ponds]]*250)/WWWW[[#This Row],[Total PoP ]])</f>
        <v>0</v>
      </c>
      <c r="CD13" s="80">
        <f>WWWW[[#This Row],[% Access to unimproved water points]]*WWWW[[#This Row],[Total PoP ]]</f>
        <v>0</v>
      </c>
      <c r="CE13"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0.14556040756914121</v>
      </c>
      <c r="CF13"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G13" s="80">
        <f>WWWW[[#This Row],[HRP1]]/500</f>
        <v>0.13333333333333333</v>
      </c>
      <c r="CH13" s="79">
        <f>1-WWWW[[#This Row],[% Equitable and continuous access to sufficient quantity of domestic water]]</f>
        <v>0.85443959243085876</v>
      </c>
      <c r="CI13" s="80">
        <f>WWWW[[#This Row],[%equitable and continuous access to sufficient quantity of safe drinking and domestic water''s GAP]]*WWWW[[#This Row],[Total PoP ]]</f>
        <v>391.33333333333331</v>
      </c>
      <c r="CJ13" s="81">
        <f>IF(WWWW[[#This Row],[Total required water points]]-WWWW[[#This Row],['#Water points coverage]]&lt;0,0,WWWW[[#This Row],[Total required water points]]-WWWW[[#This Row],['#Water points coverage]])</f>
        <v>0.8666666666666667</v>
      </c>
      <c r="CK13" s="81">
        <f>ROUND(IF(WWWW[[#This Row],[Total PoP ]]&lt;500,1,WWWW[[#This Row],[Total PoP ]]/500),0)</f>
        <v>1</v>
      </c>
      <c r="CL13" s="81">
        <f>(WWWW[[#This Row],['#_Constructed latrines_by_WASHAgencies]]+WWWW[[#This Row],['#_Non Cluster partner latrines]])-WWWW[[#This Row],['#_Non-functional latrines]]</f>
        <v>90</v>
      </c>
      <c r="CM13"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3"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458</v>
      </c>
      <c r="CO13"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3" s="81">
        <f>IF(WWWW[[#This Row],[Location Type 1]]="Village","NA",IF(WWWW[[#This Row],['#_Constructed/Existing latrines in TLS]]*50&gt;WWWW[[#This Row],['#_students at TLS_CFS]],WWWW[[#This Row],['#_students at TLS_CFS]],(WWWW[[#This Row],['#_Constructed/Existing latrines in TLS]]*50)))</f>
        <v>0</v>
      </c>
      <c r="CQ13" s="81">
        <f>ROUND(IF(WWWW[[#This Row],[Location Type 1]]="camp",WWWW[[#This Row],[Total PoP ]]/20,IF(WWWW[[#This Row],[Location Type 1]]="Temporary Location",WWWW[[#This Row],[Total PoP ]]/50,(WWWW[[#This Row],[Total PoP ]]/6))),0)</f>
        <v>23</v>
      </c>
      <c r="CR13" s="80">
        <f>IF(WWWW[[#This Row],[Total required Latrines]]-(WWWW[[#This Row],['#_Constructed latrines_by_WASHAgencies]]+WWWW[[#This Row],['#_Non Cluster partner latrines]])&lt;0,0,WWWW[[#This Row],[Total required Latrines]]-(WWWW[[#This Row],['#_Constructed latrines_by_WASHAgencies]]+WWWW[[#This Row],['#_Non Cluster partner latrines]]))</f>
        <v>0</v>
      </c>
      <c r="CS13" s="79">
        <f>1-WWWW[[#This Row],[% people access to functioning Latrine]]</f>
        <v>0</v>
      </c>
      <c r="CT13" s="83">
        <f>IF(OR(WWWW[[#This Row],['#_Non-functional latrines]]="",WWWW[[#This Row],['#_Non-functional latrines]]=0),0,WWWW[[#This Row],['#_Non-functional latrines]]/(WWWW[[#This Row],['#_Constructed latrines_by_WASHAgencies]]+WWWW[[#This Row],['#_Non Cluster partner latrines]]))</f>
        <v>0</v>
      </c>
      <c r="CU13" s="80">
        <f>IF(500*(WWWW[[#This Row],['#_male hygiene promoters]]+WWWW[[#This Row],['#_female hygiene promoters]])&gt;WWWW[[#This Row],[Total PoP ]],WWWW[[#This Row],[Total PoP ]],500*(WWWW[[#This Row],['#_male hygiene promoters]]+WWWW[[#This Row],['#_female hygiene promoters]]))</f>
        <v>458</v>
      </c>
      <c r="CV13"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200</v>
      </c>
      <c r="CW13"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3" s="81">
        <f>IF(WWWW[[#This Row],['# People with access to soap]]&gt;WWWW[[#This Row],['# People with access to Sanity Pads]],WWWW[[#This Row],['# People with access to soap]],WWWW[[#This Row],['# People with access to Sanity Pads]])</f>
        <v>200</v>
      </c>
      <c r="CY13" s="81">
        <f>IF(WWWW[[#This Row],['# people reached by regular dedicated hygiene promotion_5]]&gt;WWWW[[#This Row],['# People received regular supply of hygiene items_6]],WWWW[[#This Row],['# people reached by regular dedicated hygiene promotion_5]],WWWW[[#This Row],['# People received regular supply of hygiene items_6]])</f>
        <v>458</v>
      </c>
      <c r="CZ13" s="79">
        <f>IF(WWWW[[#This Row],[HRP3]]/WWWW[[#This Row],[Total PoP ]]&gt;100%,100%,WWWW[[#This Row],[HRP3]]/WWWW[[#This Row],[Total PoP ]])</f>
        <v>1</v>
      </c>
      <c r="DA13" s="83">
        <f>1-WWWW[[#This Row],[Hygiene Coverage%]]</f>
        <v>0</v>
      </c>
      <c r="DB13" s="82">
        <f>WWWW[[#This Row],['# people reached by regular dedicated hygiene promotion_5]]/WWWW[[#This Row],[Total PoP ]]</f>
        <v>1</v>
      </c>
      <c r="DC13" s="82">
        <f>IF(WWWW[[#This Row],['#_households that received standard amount of soap for this quarter]]/WWWW[[#This Row],[Total HH]]&gt;1,1,WWWW[[#This Row],['#_households that received standard amount of soap for this quarter]]/WWWW[[#This Row],[Total HH]])</f>
        <v>0.39603960396039606</v>
      </c>
      <c r="DD13" s="82">
        <f>IF(WWWW[[#This Row],['#_households that received standard amount of sanitary pads for this quarter]]/WWWW[[#This Row],[Total HH]]&gt;1,1,WWWW[[#This Row],['#_households that received standard amount of sanitary pads for this quarter]]/WWWW[[#This Row],[Total HH]])</f>
        <v>0</v>
      </c>
      <c r="DE13" s="81">
        <f>WWWW[[#This Row],['#_Constructed/Existing hand washing stations]]-WWWW[[#This Row],['#_Non-Functional_hand_washing_stations]]</f>
        <v>2</v>
      </c>
      <c r="DF13" s="667">
        <f>IF(WWWW[[#This Row],['# Functional hand washing stations during reporting period]]*20&gt;WWWW[[#This Row],[Total HH]],WWWW[[#This Row],[Total HH]],WWWW[[#This Row],['# Functional hand washing stations during reporting period]]*20)</f>
        <v>40</v>
      </c>
      <c r="DG13" s="80">
        <f>IF(WWWW[[#This Row],[Is sufficient soap available for TLS? (Yes/No)]]="yes",WWWW[[#This Row],['#_Constructed/Existing hand washing stations at TLS]],0)</f>
        <v>0</v>
      </c>
      <c r="DH13" s="667">
        <f>IF(WWWW[[#This Row],['# Functional hand washing stations during reporting period]]*100&gt;WWWW[[#This Row],[Total PoP ]],WWWW[[#This Row],[Total PoP ]],WWWW[[#This Row],['# Functional hand washing stations during reporting period]]*100)</f>
        <v>200</v>
      </c>
      <c r="DI13" s="667" t="str">
        <f>IF(WWWW[[#This Row],['#_students at TLS_CFS]]="","No","Yes")</f>
        <v>Yes</v>
      </c>
      <c r="DJ13" s="245" t="str">
        <f>VLOOKUP(WWWW[[#This Row],[Site Name]],SiteDB6[[Site Name]:[CCCM Management]],6,FALSE)</f>
        <v>Yes</v>
      </c>
      <c r="DK13" s="245" t="str">
        <f>VLOOKUP(WWWW[[#This Row],[Site Name]],SiteDB6[[Site Name]:[CCCM Focal Agency]],7,FALSE)</f>
        <v>KMSS-MYT</v>
      </c>
      <c r="DL13" s="245" t="str">
        <f>VLOOKUP(WWWW[[#This Row],[Site Name]],SiteDB6[[Site Name]:[Location Type 1]],9,FALSE)</f>
        <v>Camp</v>
      </c>
      <c r="DM13" s="245" t="str">
        <f>VLOOKUP(WWWW[[#This Row],[Site Name]],SiteDB6[[Site Name]:[Type of Accommodation]],10,FALSE)</f>
        <v>Camp</v>
      </c>
      <c r="DN13" s="245" t="str">
        <f>VLOOKUP(WWWW[[#This Row],[Site Name]],SiteDB6[[Site Name]:[Ethnic or GCA/NGCA]],11,FALSE)</f>
        <v>NGCA</v>
      </c>
      <c r="DO13" s="245">
        <f>VLOOKUP(WWWW[[#This Row],[Site Name]],SiteDB6[[Site Name]:[Lat]],12,FALSE)</f>
        <v>25.220278</v>
      </c>
      <c r="DP13" s="245">
        <f>VLOOKUP(WWWW[[#This Row],[Site Name]],SiteDB6[[Site Name]:[Long]],13,FALSE)</f>
        <v>97.915833000000006</v>
      </c>
      <c r="DQ13" s="245" t="str">
        <f>VLOOKUP(WWWW[[#This Row],[Site Name]],SiteDB6[[Site Name]:[Pcode]],3,FALSE)</f>
        <v>MMR001CMP113</v>
      </c>
      <c r="DR13" s="215" t="str">
        <f t="shared" si="0"/>
        <v>Covered</v>
      </c>
      <c r="DS13" s="215"/>
      <c r="DT13" s="20"/>
      <c r="DU13" s="20"/>
      <c r="DV13" s="20"/>
      <c r="DW13" s="20"/>
      <c r="DX13" s="20"/>
      <c r="DY13" s="20"/>
      <c r="DZ13" s="20"/>
      <c r="EA13" s="20"/>
      <c r="EB13" s="20"/>
      <c r="EC13" s="20"/>
      <c r="ED13" s="20"/>
      <c r="EE13" s="20"/>
      <c r="EF13" s="20"/>
      <c r="EG13" s="20"/>
      <c r="EH13" s="20"/>
    </row>
    <row r="14" spans="1:138" ht="15.75" customHeight="1">
      <c r="A14" s="259" t="s">
        <v>2525</v>
      </c>
      <c r="B14" s="663" t="s">
        <v>149</v>
      </c>
      <c r="C14" s="663" t="s">
        <v>149</v>
      </c>
      <c r="D14" s="663"/>
      <c r="E14" s="663" t="s">
        <v>39</v>
      </c>
      <c r="F14" s="663" t="s">
        <v>167</v>
      </c>
      <c r="G14" s="663" t="str">
        <f>VLOOKUP(WWWW[[#This Row],[Site Name]],SiteDB6[[Site Name]:[Location Type]],8,FALSE)</f>
        <v>Camp_not registered</v>
      </c>
      <c r="H14" s="77" t="s">
        <v>2093</v>
      </c>
      <c r="I14" s="700">
        <v>24</v>
      </c>
      <c r="J14" s="700">
        <v>103</v>
      </c>
      <c r="K14" s="642"/>
      <c r="L14" s="78"/>
      <c r="M14" s="700"/>
      <c r="N14" s="700"/>
      <c r="O14" s="700"/>
      <c r="P14" s="700"/>
      <c r="Q14" s="77"/>
      <c r="R14" s="377"/>
      <c r="S14" s="377"/>
      <c r="T14" s="377">
        <v>0</v>
      </c>
      <c r="U14" s="377"/>
      <c r="V14" s="377"/>
      <c r="W14" s="377">
        <v>0</v>
      </c>
      <c r="X14" s="377"/>
      <c r="Y14" s="377"/>
      <c r="Z14" s="377"/>
      <c r="AA14" s="377"/>
      <c r="AB14" s="377"/>
      <c r="AC14" s="377"/>
      <c r="AD14" s="377"/>
      <c r="AE14" s="377"/>
      <c r="AF14" s="377"/>
      <c r="AG14" s="377"/>
      <c r="AH14" s="377">
        <v>0</v>
      </c>
      <c r="AI14" s="377"/>
      <c r="AJ14" s="377"/>
      <c r="AK14" s="377"/>
      <c r="AL14" s="377"/>
      <c r="AM14" s="377"/>
      <c r="AN14" s="377"/>
      <c r="AO14" s="215"/>
      <c r="AP14" s="377">
        <v>0</v>
      </c>
      <c r="AQ14" s="377"/>
      <c r="AR14" s="77"/>
      <c r="AS14" s="377"/>
      <c r="AT14" s="377"/>
      <c r="AU14" s="377">
        <v>0</v>
      </c>
      <c r="AV14" s="377"/>
      <c r="AW14" s="377">
        <v>0</v>
      </c>
      <c r="AX14" s="694" t="s">
        <v>144</v>
      </c>
      <c r="AY14" s="694" t="s">
        <v>148</v>
      </c>
      <c r="AZ14" s="377"/>
      <c r="BA14" s="377"/>
      <c r="BB14" s="377"/>
      <c r="BC14" s="215"/>
      <c r="BD14" s="377"/>
      <c r="BE14" s="377"/>
      <c r="BF14" s="377"/>
      <c r="BG14" s="377"/>
      <c r="BH14" s="377"/>
      <c r="BI14" s="377"/>
      <c r="BJ14" s="377"/>
      <c r="BK14" s="377"/>
      <c r="BL14" s="377"/>
      <c r="BM14" s="215"/>
      <c r="BN14" s="80"/>
      <c r="BO14" s="82"/>
      <c r="BP14" s="215"/>
      <c r="BQ14" s="79" t="str">
        <f>IFERROR(WWWW[[#This Row],['#_Water sources treated]]/WWWW[[#This Row],['#_Water sources tested for contamination]],"no test")</f>
        <v>no test</v>
      </c>
      <c r="BR14" s="82" t="str">
        <f>IFERROR(WWWW[[#This Row],['#_Household received remediation action due to contamination]]/WWWW[[#This Row],['#_Household water samples tested for contamination]],"no test")</f>
        <v>no test</v>
      </c>
      <c r="BS14" s="81" t="str">
        <f>IF(AND(WWWW[[#This Row],[% of water sources treated]]="no test",WWWW[[#This Row],[% Household received corrective actions]]="no test"),"No Test","Tested")</f>
        <v>No Test</v>
      </c>
      <c r="BT14" s="81">
        <f>WWWW[[#This Row],['#_Constructed/existing protected hand dug well]]-WWWW[[#This Row],['#_Non-functional protected hand dug well]]</f>
        <v>0</v>
      </c>
      <c r="BU14" s="81">
        <f>(WWWW[[#This Row],['#_Constructed/Existing tube wells/boreholes/handpumps_WASH_agency]]+WWWW[[#This Row],['#_Non-Cluster partner water tube-wells/boreholes/handpumps]])-WWWW[[#This Row],['#_Non-functional tube wells/boreholes/handpumps]]</f>
        <v>0</v>
      </c>
      <c r="BV14" s="81">
        <f>WWWW[[#This Row],['#_Constructed/Existingwater storage tank with gravity fed reticulation system]]-WWWW[[#This Row],['#_Non-functional storage tank gravity fed reticulation system]]</f>
        <v>0</v>
      </c>
      <c r="BW14" s="81">
        <f>WWWW[[#This Row],['#_Water boating or water trucking]]</f>
        <v>0</v>
      </c>
      <c r="BX14" s="81">
        <f>WWWW[[#This Row],['#_Constructed/Existing water distribution system from river or natural spring]]</f>
        <v>0</v>
      </c>
      <c r="BY14"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4"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4" s="82">
        <f>IF(WWWW[[#This Row],[Location Type 1]]="Village",WWWW[[#This Row],[Access to safe drinking water for Village]],WWWW[[#This Row],[Access to safe drinking water for Camp]])</f>
        <v>0</v>
      </c>
      <c r="CB14" s="80">
        <f>WWWW[[#This Row],[%Equitable and continuous access to sufficient quantity of safe drinking water]]*WWWW[[#This Row],[Total PoP ]]</f>
        <v>0</v>
      </c>
      <c r="CC14" s="82">
        <f>IF((WWWW[[#This Row],['#_Constructed/Existing protected/fenced ponds]]*250)/WWWW[[#This Row],[Total PoP ]]&gt;1,1,(WWWW[[#This Row],['#_Constructed/Existing protected/fenced ponds]]*250)/WWWW[[#This Row],[Total PoP ]])</f>
        <v>0</v>
      </c>
      <c r="CD14" s="80">
        <f>WWWW[[#This Row],[% Access to unimproved water points]]*WWWW[[#This Row],[Total PoP ]]</f>
        <v>0</v>
      </c>
      <c r="CE14"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4"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4" s="80">
        <f>WWWW[[#This Row],[HRP1]]/500</f>
        <v>0</v>
      </c>
      <c r="CH14" s="79">
        <f>1-WWWW[[#This Row],[% Equitable and continuous access to sufficient quantity of domestic water]]</f>
        <v>1</v>
      </c>
      <c r="CI14" s="80">
        <f>WWWW[[#This Row],[%equitable and continuous access to sufficient quantity of safe drinking and domestic water''s GAP]]*WWWW[[#This Row],[Total PoP ]]</f>
        <v>103</v>
      </c>
      <c r="CJ14" s="81">
        <f>IF(WWWW[[#This Row],[Total required water points]]-WWWW[[#This Row],['#Water points coverage]]&lt;0,0,WWWW[[#This Row],[Total required water points]]-WWWW[[#This Row],['#Water points coverage]])</f>
        <v>1</v>
      </c>
      <c r="CK14" s="81">
        <f>ROUND(IF(WWWW[[#This Row],[Total PoP ]]&lt;500,1,WWWW[[#This Row],[Total PoP ]]/500),0)</f>
        <v>1</v>
      </c>
      <c r="CL14" s="81">
        <f>(WWWW[[#This Row],['#_Constructed latrines_by_WASHAgencies]]+WWWW[[#This Row],['#_Non Cluster partner latrines]])-WWWW[[#This Row],['#_Non-functional latrines]]</f>
        <v>0</v>
      </c>
      <c r="CM14"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4"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4"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4" s="81">
        <f>IF(WWWW[[#This Row],[Location Type 1]]="Village","NA",IF(WWWW[[#This Row],['#_Constructed/Existing latrines in TLS]]*50&gt;WWWW[[#This Row],['#_students at TLS_CFS]],WWWW[[#This Row],['#_students at TLS_CFS]],(WWWW[[#This Row],['#_Constructed/Existing latrines in TLS]]*50)))</f>
        <v>0</v>
      </c>
      <c r="CQ14" s="81">
        <f>ROUND(IF(WWWW[[#This Row],[Location Type 1]]="camp",WWWW[[#This Row],[Total PoP ]]/20,IF(WWWW[[#This Row],[Location Type 1]]="Temporary Location",WWWW[[#This Row],[Total PoP ]]/50,(WWWW[[#This Row],[Total PoP ]]/6))),0)</f>
        <v>5</v>
      </c>
      <c r="CR14" s="80">
        <f>IF(WWWW[[#This Row],[Total required Latrines]]-(WWWW[[#This Row],['#_Constructed latrines_by_WASHAgencies]]+WWWW[[#This Row],['#_Non Cluster partner latrines]])&lt;0,0,WWWW[[#This Row],[Total required Latrines]]-(WWWW[[#This Row],['#_Constructed latrines_by_WASHAgencies]]+WWWW[[#This Row],['#_Non Cluster partner latrines]]))</f>
        <v>5</v>
      </c>
      <c r="CS14" s="79">
        <f>1-WWWW[[#This Row],[% people access to functioning Latrine]]</f>
        <v>1</v>
      </c>
      <c r="CT14" s="83">
        <f>IF(OR(WWWW[[#This Row],['#_Non-functional latrines]]="",WWWW[[#This Row],['#_Non-functional latrines]]=0),0,WWWW[[#This Row],['#_Non-functional latrines]]/(WWWW[[#This Row],['#_Constructed latrines_by_WASHAgencies]]+WWWW[[#This Row],['#_Non Cluster partner latrines]]))</f>
        <v>0</v>
      </c>
      <c r="CU14" s="80">
        <f>IF(500*(WWWW[[#This Row],['#_male hygiene promoters]]+WWWW[[#This Row],['#_female hygiene promoters]])&gt;WWWW[[#This Row],[Total PoP ]],WWWW[[#This Row],[Total PoP ]],500*(WWWW[[#This Row],['#_male hygiene promoters]]+WWWW[[#This Row],['#_female hygiene promoters]]))</f>
        <v>0</v>
      </c>
      <c r="CV14"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4"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4" s="81">
        <f>IF(WWWW[[#This Row],['# People with access to soap]]&gt;WWWW[[#This Row],['# People with access to Sanity Pads]],WWWW[[#This Row],['# People with access to soap]],WWWW[[#This Row],['# People with access to Sanity Pads]])</f>
        <v>0</v>
      </c>
      <c r="CY14"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4" s="79">
        <f>IF(WWWW[[#This Row],[HRP3]]/WWWW[[#This Row],[Total PoP ]]&gt;100%,100%,WWWW[[#This Row],[HRP3]]/WWWW[[#This Row],[Total PoP ]])</f>
        <v>0</v>
      </c>
      <c r="DA14" s="83">
        <f>1-WWWW[[#This Row],[Hygiene Coverage%]]</f>
        <v>1</v>
      </c>
      <c r="DB14" s="82">
        <f>WWWW[[#This Row],['# people reached by regular dedicated hygiene promotion_5]]/WWWW[[#This Row],[Total PoP ]]</f>
        <v>0</v>
      </c>
      <c r="DC14" s="82">
        <f>IF(WWWW[[#This Row],['#_households that received standard amount of soap for this quarter]]/WWWW[[#This Row],[Total HH]]&gt;1,1,WWWW[[#This Row],['#_households that received standard amount of soap for this quarter]]/WWWW[[#This Row],[Total HH]])</f>
        <v>0</v>
      </c>
      <c r="DD14" s="82">
        <f>IF(WWWW[[#This Row],['#_households that received standard amount of sanitary pads for this quarter]]/WWWW[[#This Row],[Total HH]]&gt;1,1,WWWW[[#This Row],['#_households that received standard amount of sanitary pads for this quarter]]/WWWW[[#This Row],[Total HH]])</f>
        <v>0</v>
      </c>
      <c r="DE14" s="81">
        <f>WWWW[[#This Row],['#_Constructed/Existing hand washing stations]]-WWWW[[#This Row],['#_Non-Functional_hand_washing_stations]]</f>
        <v>0</v>
      </c>
      <c r="DF14" s="667">
        <f>IF(WWWW[[#This Row],['# Functional hand washing stations during reporting period]]*20&gt;WWWW[[#This Row],[Total HH]],WWWW[[#This Row],[Total HH]],WWWW[[#This Row],['# Functional hand washing stations during reporting period]]*20)</f>
        <v>0</v>
      </c>
      <c r="DG14" s="80">
        <f>IF(WWWW[[#This Row],[Is sufficient soap available for TLS? (Yes/No)]]="yes",WWWW[[#This Row],['#_Constructed/Existing hand washing stations at TLS]],0)</f>
        <v>0</v>
      </c>
      <c r="DH14" s="667">
        <f>IF(WWWW[[#This Row],['# Functional hand washing stations during reporting period]]*100&gt;WWWW[[#This Row],[Total PoP ]],WWWW[[#This Row],[Total PoP ]],WWWW[[#This Row],['# Functional hand washing stations during reporting period]]*100)</f>
        <v>0</v>
      </c>
      <c r="DI14" s="667" t="str">
        <f>IF(WWWW[[#This Row],['#_students at TLS_CFS]]="","No","Yes")</f>
        <v>No</v>
      </c>
      <c r="DJ14" s="245">
        <f>VLOOKUP(WWWW[[#This Row],[Site Name]],SiteDB6[[Site Name]:[CCCM Management]],6,FALSE)</f>
        <v>0</v>
      </c>
      <c r="DK14" s="245">
        <f>VLOOKUP(WWWW[[#This Row],[Site Name]],SiteDB6[[Site Name]:[CCCM Focal Agency]],7,FALSE)</f>
        <v>0</v>
      </c>
      <c r="DL14" s="245" t="str">
        <f>VLOOKUP(WWWW[[#This Row],[Site Name]],SiteDB6[[Site Name]:[Location Type 1]],9,FALSE)</f>
        <v>Camp</v>
      </c>
      <c r="DM14" s="245" t="str">
        <f>VLOOKUP(WWWW[[#This Row],[Site Name]],SiteDB6[[Site Name]:[Type of Accommodation]],10,FALSE)</f>
        <v>Camp like setting</v>
      </c>
      <c r="DN14" s="245" t="str">
        <f>VLOOKUP(WWWW[[#This Row],[Site Name]],SiteDB6[[Site Name]:[Ethnic or GCA/NGCA]],11,FALSE)</f>
        <v>NGCA</v>
      </c>
      <c r="DO14" s="245">
        <f>VLOOKUP(WWWW[[#This Row],[Site Name]],SiteDB6[[Site Name]:[Lat]],12,FALSE)</f>
        <v>0</v>
      </c>
      <c r="DP14" s="245">
        <f>VLOOKUP(WWWW[[#This Row],[Site Name]],SiteDB6[[Site Name]:[Long]],13,FALSE)</f>
        <v>0</v>
      </c>
      <c r="DQ14" s="245">
        <f>VLOOKUP(WWWW[[#This Row],[Site Name]],SiteDB6[[Site Name]:[Pcode]],3,FALSE)</f>
        <v>0</v>
      </c>
      <c r="DR14" s="215" t="str">
        <f t="shared" ref="DR14:DR45" si="1">IF(C14="none","Notcovered","Covered")</f>
        <v>Covered</v>
      </c>
      <c r="DS14" s="215"/>
      <c r="DT14" s="20"/>
      <c r="DU14" s="20"/>
      <c r="DV14" s="20"/>
      <c r="DW14" s="20"/>
      <c r="DX14" s="20"/>
      <c r="DY14" s="20"/>
      <c r="DZ14" s="20"/>
      <c r="EA14" s="20"/>
      <c r="EB14" s="20"/>
      <c r="EC14" s="20"/>
      <c r="ED14" s="20"/>
      <c r="EE14" s="20"/>
      <c r="EF14" s="20"/>
      <c r="EG14" s="20"/>
      <c r="EH14" s="20"/>
    </row>
    <row r="15" spans="1:138" ht="15.75" customHeight="1">
      <c r="A15" s="259" t="s">
        <v>2525</v>
      </c>
      <c r="B15" s="663" t="s">
        <v>200</v>
      </c>
      <c r="C15" s="663" t="s">
        <v>200</v>
      </c>
      <c r="D15" s="663" t="s">
        <v>2967</v>
      </c>
      <c r="E15" s="663" t="s">
        <v>39</v>
      </c>
      <c r="F15" s="663" t="s">
        <v>203</v>
      </c>
      <c r="G15" s="663" t="str">
        <f>VLOOKUP(WWWW[[#This Row],[Site Name]],SiteDB6[[Site Name]:[Location Type]],8,FALSE)</f>
        <v>Camp</v>
      </c>
      <c r="H15" s="663" t="s">
        <v>206</v>
      </c>
      <c r="I15" s="379">
        <v>40</v>
      </c>
      <c r="J15" s="379">
        <v>235</v>
      </c>
      <c r="K15" s="642">
        <v>43466</v>
      </c>
      <c r="L15" s="78">
        <v>43830</v>
      </c>
      <c r="M15" s="700"/>
      <c r="N15" s="700"/>
      <c r="O15" s="700"/>
      <c r="P15" s="700"/>
      <c r="Q15" s="77" t="s">
        <v>43</v>
      </c>
      <c r="R15" s="377">
        <v>1</v>
      </c>
      <c r="S15" s="377">
        <v>2</v>
      </c>
      <c r="T15" s="377">
        <v>1</v>
      </c>
      <c r="U15" s="377"/>
      <c r="V15" s="377"/>
      <c r="W15" s="377"/>
      <c r="X15" s="377">
        <v>2</v>
      </c>
      <c r="Y15" s="377"/>
      <c r="Z15" s="377"/>
      <c r="AA15" s="377"/>
      <c r="AB15" s="377"/>
      <c r="AC15" s="377"/>
      <c r="AD15" s="377"/>
      <c r="AE15" s="377"/>
      <c r="AF15" s="377"/>
      <c r="AG15" s="377"/>
      <c r="AH15" s="377"/>
      <c r="AI15" s="377"/>
      <c r="AJ15" s="377"/>
      <c r="AK15" s="377"/>
      <c r="AL15" s="377"/>
      <c r="AM15" s="377"/>
      <c r="AN15" s="377"/>
      <c r="AO15" s="215"/>
      <c r="AP15" s="377">
        <v>7</v>
      </c>
      <c r="AQ15" s="377"/>
      <c r="AR15" s="77"/>
      <c r="AS15" s="377"/>
      <c r="AT15" s="377"/>
      <c r="AU15" s="377"/>
      <c r="AV15" s="377"/>
      <c r="AW15" s="377"/>
      <c r="AX15" s="694" t="s">
        <v>43</v>
      </c>
      <c r="AY15" s="694" t="s">
        <v>145</v>
      </c>
      <c r="AZ15" s="377"/>
      <c r="BA15" s="377"/>
      <c r="BB15" s="377"/>
      <c r="BC15" s="215"/>
      <c r="BD15" s="377">
        <v>3</v>
      </c>
      <c r="BE15" s="377"/>
      <c r="BF15" s="377"/>
      <c r="BG15" s="377">
        <v>2</v>
      </c>
      <c r="BH15" s="377"/>
      <c r="BI15" s="377"/>
      <c r="BJ15" s="377"/>
      <c r="BK15" s="377">
        <v>40</v>
      </c>
      <c r="BL15" s="377">
        <v>5</v>
      </c>
      <c r="BM15" s="215"/>
      <c r="BN15" s="80"/>
      <c r="BO15" s="82"/>
      <c r="BP15" s="215"/>
      <c r="BQ15" s="79" t="str">
        <f>IFERROR(WWWW[[#This Row],['#_Water sources treated]]/WWWW[[#This Row],['#_Water sources tested for contamination]],"no test")</f>
        <v>no test</v>
      </c>
      <c r="BR15" s="82" t="str">
        <f>IFERROR(WWWW[[#This Row],['#_Household received remediation action due to contamination]]/WWWW[[#This Row],['#_Household water samples tested for contamination]],"no test")</f>
        <v>no test</v>
      </c>
      <c r="BS15" s="81" t="str">
        <f>IF(AND(WWWW[[#This Row],[% of water sources treated]]="no test",WWWW[[#This Row],[% Household received corrective actions]]="no test"),"No Test","Tested")</f>
        <v>No Test</v>
      </c>
      <c r="BT15" s="81">
        <f>WWWW[[#This Row],['#_Constructed/existing protected hand dug well]]-WWWW[[#This Row],['#_Non-functional protected hand dug well]]</f>
        <v>1</v>
      </c>
      <c r="BU15" s="81">
        <f>(WWWW[[#This Row],['#_Constructed/Existing tube wells/boreholes/handpumps_WASH_agency]]+WWWW[[#This Row],['#_Non-Cluster partner water tube-wells/boreholes/handpumps]])-WWWW[[#This Row],['#_Non-functional tube wells/boreholes/handpumps]]</f>
        <v>2</v>
      </c>
      <c r="BV15" s="81">
        <f>WWWW[[#This Row],['#_Constructed/Existingwater storage tank with gravity fed reticulation system]]-WWWW[[#This Row],['#_Non-functional storage tank gravity fed reticulation system]]</f>
        <v>0</v>
      </c>
      <c r="BW15" s="81">
        <f>WWWW[[#This Row],['#_Water boating or water trucking]]</f>
        <v>0</v>
      </c>
      <c r="BX15" s="81">
        <f>WWWW[[#This Row],['#_Constructed/Existing water distribution system from river or natural spring]]</f>
        <v>0</v>
      </c>
      <c r="BY15"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5"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5" s="82">
        <f>IF(WWWW[[#This Row],[Location Type 1]]="Village",WWWW[[#This Row],[Access to safe drinking water for Village]],WWWW[[#This Row],[Access to safe drinking water for Camp]])</f>
        <v>1</v>
      </c>
      <c r="CB15" s="80">
        <f>WWWW[[#This Row],[%Equitable and continuous access to sufficient quantity of safe drinking water]]*WWWW[[#This Row],[Total PoP ]]</f>
        <v>235</v>
      </c>
      <c r="CC15" s="82">
        <f>IF((WWWW[[#This Row],['#_Constructed/Existing protected/fenced ponds]]*250)/WWWW[[#This Row],[Total PoP ]]&gt;1,1,(WWWW[[#This Row],['#_Constructed/Existing protected/fenced ponds]]*250)/WWWW[[#This Row],[Total PoP ]])</f>
        <v>0</v>
      </c>
      <c r="CD15" s="80">
        <f>WWWW[[#This Row],[% Access to unimproved water points]]*WWWW[[#This Row],[Total PoP ]]</f>
        <v>0</v>
      </c>
      <c r="CE15"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5"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235</v>
      </c>
      <c r="CG15" s="80">
        <f>WWWW[[#This Row],[HRP1]]/500</f>
        <v>0.47</v>
      </c>
      <c r="CH15" s="79">
        <f>1-WWWW[[#This Row],[% Equitable and continuous access to sufficient quantity of domestic water]]</f>
        <v>0</v>
      </c>
      <c r="CI15" s="80">
        <f>WWWW[[#This Row],[%equitable and continuous access to sufficient quantity of safe drinking and domestic water''s GAP]]*WWWW[[#This Row],[Total PoP ]]</f>
        <v>0</v>
      </c>
      <c r="CJ15" s="81">
        <f>IF(WWWW[[#This Row],[Total required water points]]-WWWW[[#This Row],['#Water points coverage]]&lt;0,0,WWWW[[#This Row],[Total required water points]]-WWWW[[#This Row],['#Water points coverage]])</f>
        <v>0.53</v>
      </c>
      <c r="CK15" s="81">
        <f>ROUND(IF(WWWW[[#This Row],[Total PoP ]]&lt;500,1,WWWW[[#This Row],[Total PoP ]]/500),0)</f>
        <v>1</v>
      </c>
      <c r="CL15" s="81">
        <f>(WWWW[[#This Row],['#_Constructed latrines_by_WASHAgencies]]+WWWW[[#This Row],['#_Non Cluster partner latrines]])-WWWW[[#This Row],['#_Non-functional latrines]]</f>
        <v>7</v>
      </c>
      <c r="CM15"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0.5957446808510638</v>
      </c>
      <c r="CN15"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140</v>
      </c>
      <c r="CO15"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5" s="81">
        <f>IF(WWWW[[#This Row],[Location Type 1]]="Village","NA",IF(WWWW[[#This Row],['#_Constructed/Existing latrines in TLS]]*50&gt;WWWW[[#This Row],['#_students at TLS_CFS]],WWWW[[#This Row],['#_students at TLS_CFS]],(WWWW[[#This Row],['#_Constructed/Existing latrines in TLS]]*50)))</f>
        <v>0</v>
      </c>
      <c r="CQ15" s="81">
        <f>ROUND(IF(WWWW[[#This Row],[Location Type 1]]="camp",WWWW[[#This Row],[Total PoP ]]/20,IF(WWWW[[#This Row],[Location Type 1]]="Temporary Location",WWWW[[#This Row],[Total PoP ]]/50,(WWWW[[#This Row],[Total PoP ]]/6))),0)</f>
        <v>12</v>
      </c>
      <c r="CR15" s="80">
        <f>IF(WWWW[[#This Row],[Total required Latrines]]-(WWWW[[#This Row],['#_Constructed latrines_by_WASHAgencies]]+WWWW[[#This Row],['#_Non Cluster partner latrines]])&lt;0,0,WWWW[[#This Row],[Total required Latrines]]-(WWWW[[#This Row],['#_Constructed latrines_by_WASHAgencies]]+WWWW[[#This Row],['#_Non Cluster partner latrines]]))</f>
        <v>5</v>
      </c>
      <c r="CS15" s="79">
        <f>1-WWWW[[#This Row],[% people access to functioning Latrine]]</f>
        <v>0.4042553191489362</v>
      </c>
      <c r="CT15" s="83">
        <f>IF(OR(WWWW[[#This Row],['#_Non-functional latrines]]="",WWWW[[#This Row],['#_Non-functional latrines]]=0),0,WWWW[[#This Row],['#_Non-functional latrines]]/(WWWW[[#This Row],['#_Constructed latrines_by_WASHAgencies]]+WWWW[[#This Row],['#_Non Cluster partner latrines]]))</f>
        <v>0</v>
      </c>
      <c r="CU15" s="80">
        <f>IF(500*(WWWW[[#This Row],['#_male hygiene promoters]]+WWWW[[#This Row],['#_female hygiene promoters]])&gt;WWWW[[#This Row],[Total PoP ]],WWWW[[#This Row],[Total PoP ]],500*(WWWW[[#This Row],['#_male hygiene promoters]]+WWWW[[#This Row],['#_female hygiene promoters]]))</f>
        <v>0</v>
      </c>
      <c r="CV15"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235</v>
      </c>
      <c r="CW15"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25</v>
      </c>
      <c r="CX15" s="81">
        <f>IF(WWWW[[#This Row],['# People with access to soap]]&gt;WWWW[[#This Row],['# People with access to Sanity Pads]],WWWW[[#This Row],['# People with access to soap]],WWWW[[#This Row],['# People with access to Sanity Pads]])</f>
        <v>235</v>
      </c>
      <c r="CY15" s="81">
        <f>IF(WWWW[[#This Row],['# people reached by regular dedicated hygiene promotion_5]]&gt;WWWW[[#This Row],['# People received regular supply of hygiene items_6]],WWWW[[#This Row],['# people reached by regular dedicated hygiene promotion_5]],WWWW[[#This Row],['# People received regular supply of hygiene items_6]])</f>
        <v>235</v>
      </c>
      <c r="CZ15" s="79">
        <f>IF(WWWW[[#This Row],[HRP3]]/WWWW[[#This Row],[Total PoP ]]&gt;100%,100%,WWWW[[#This Row],[HRP3]]/WWWW[[#This Row],[Total PoP ]])</f>
        <v>1</v>
      </c>
      <c r="DA15" s="83">
        <f>1-WWWW[[#This Row],[Hygiene Coverage%]]</f>
        <v>0</v>
      </c>
      <c r="DB15" s="82">
        <f>WWWW[[#This Row],['# people reached by regular dedicated hygiene promotion_5]]/WWWW[[#This Row],[Total PoP ]]</f>
        <v>0</v>
      </c>
      <c r="DC15" s="82">
        <f>IF(WWWW[[#This Row],['#_households that received standard amount of soap for this quarter]]/WWWW[[#This Row],[Total HH]]&gt;1,1,WWWW[[#This Row],['#_households that received standard amount of soap for this quarter]]/WWWW[[#This Row],[Total HH]])</f>
        <v>1</v>
      </c>
      <c r="DD15" s="82">
        <f>IF(WWWW[[#This Row],['#_households that received standard amount of sanitary pads for this quarter]]/WWWW[[#This Row],[Total HH]]&gt;1,1,WWWW[[#This Row],['#_households that received standard amount of sanitary pads for this quarter]]/WWWW[[#This Row],[Total HH]])</f>
        <v>0.125</v>
      </c>
      <c r="DE15" s="81">
        <f>WWWW[[#This Row],['#_Constructed/Existing hand washing stations]]-WWWW[[#This Row],['#_Non-Functional_hand_washing_stations]]</f>
        <v>3</v>
      </c>
      <c r="DF15" s="667">
        <f>IF(WWWW[[#This Row],['# Functional hand washing stations during reporting period]]*20&gt;WWWW[[#This Row],[Total HH]],WWWW[[#This Row],[Total HH]],WWWW[[#This Row],['# Functional hand washing stations during reporting period]]*20)</f>
        <v>40</v>
      </c>
      <c r="DG15" s="80">
        <f>IF(WWWW[[#This Row],[Is sufficient soap available for TLS? (Yes/No)]]="yes",WWWW[[#This Row],['#_Constructed/Existing hand washing stations at TLS]],0)</f>
        <v>0</v>
      </c>
      <c r="DH15" s="667">
        <f>IF(WWWW[[#This Row],['# Functional hand washing stations during reporting period]]*100&gt;WWWW[[#This Row],[Total PoP ]],WWWW[[#This Row],[Total PoP ]],WWWW[[#This Row],['# Functional hand washing stations during reporting period]]*100)</f>
        <v>235</v>
      </c>
      <c r="DI15" s="667" t="str">
        <f>IF(WWWW[[#This Row],['#_students at TLS_CFS]]="","No","Yes")</f>
        <v>No</v>
      </c>
      <c r="DJ15" s="245" t="str">
        <f>VLOOKUP(WWWW[[#This Row],[Site Name]],SiteDB6[[Site Name]:[CCCM Management]],6,FALSE)</f>
        <v>Yes</v>
      </c>
      <c r="DK15" s="245" t="str">
        <f>VLOOKUP(WWWW[[#This Row],[Site Name]],SiteDB6[[Site Name]:[CCCM Focal Agency]],7,FALSE)</f>
        <v>KBC</v>
      </c>
      <c r="DL15" s="245" t="str">
        <f>VLOOKUP(WWWW[[#This Row],[Site Name]],SiteDB6[[Site Name]:[Location Type 1]],9,FALSE)</f>
        <v>Camp</v>
      </c>
      <c r="DM15" s="245" t="str">
        <f>VLOOKUP(WWWW[[#This Row],[Site Name]],SiteDB6[[Site Name]:[Type of Accommodation]],10,FALSE)</f>
        <v>Camp</v>
      </c>
      <c r="DN15" s="245" t="str">
        <f>VLOOKUP(WWWW[[#This Row],[Site Name]],SiteDB6[[Site Name]:[Ethnic or GCA/NGCA]],11,FALSE)</f>
        <v>GCA</v>
      </c>
      <c r="DO15" s="245">
        <f>VLOOKUP(WWWW[[#This Row],[Site Name]],SiteDB6[[Site Name]:[Lat]],12,FALSE)</f>
        <v>24.24766</v>
      </c>
      <c r="DP15" s="245">
        <f>VLOOKUP(WWWW[[#This Row],[Site Name]],SiteDB6[[Site Name]:[Long]],13,FALSE)</f>
        <v>97.236919999999998</v>
      </c>
      <c r="DQ15" s="245" t="str">
        <f>VLOOKUP(WWWW[[#This Row],[Site Name]],SiteDB6[[Site Name]:[Pcode]],3,FALSE)</f>
        <v>MMR001CMP052</v>
      </c>
      <c r="DR15" s="215" t="str">
        <f t="shared" si="1"/>
        <v>Covered</v>
      </c>
      <c r="DS15" s="215"/>
      <c r="DT15" s="20"/>
      <c r="DU15" s="20"/>
      <c r="DV15" s="20"/>
      <c r="DW15" s="20"/>
      <c r="DX15" s="20"/>
      <c r="DY15" s="20"/>
      <c r="DZ15" s="20"/>
      <c r="EA15" s="20"/>
      <c r="EB15" s="20"/>
      <c r="EC15" s="20"/>
      <c r="ED15" s="20"/>
      <c r="EE15" s="20"/>
      <c r="EF15" s="20"/>
      <c r="EG15" s="20"/>
      <c r="EH15" s="20"/>
    </row>
    <row r="16" spans="1:138">
      <c r="A16" s="259" t="s">
        <v>2525</v>
      </c>
      <c r="B16" s="663" t="s">
        <v>200</v>
      </c>
      <c r="C16" s="663" t="s">
        <v>200</v>
      </c>
      <c r="D16" s="663" t="s">
        <v>226</v>
      </c>
      <c r="E16" s="663" t="s">
        <v>39</v>
      </c>
      <c r="F16" s="663" t="s">
        <v>150</v>
      </c>
      <c r="G16" s="663" t="str">
        <f>VLOOKUP(WWWW[[#This Row],[Site Name]],SiteDB6[[Site Name]:[Location Type]],8,FALSE)</f>
        <v>Camp</v>
      </c>
      <c r="H16" s="912" t="s">
        <v>232</v>
      </c>
      <c r="I16" s="700">
        <v>144</v>
      </c>
      <c r="J16" s="700">
        <v>862</v>
      </c>
      <c r="K16" s="642"/>
      <c r="L16" s="78">
        <v>43465</v>
      </c>
      <c r="M16" s="700"/>
      <c r="N16" s="700"/>
      <c r="O16" s="700"/>
      <c r="P16" s="700"/>
      <c r="Q16" s="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215"/>
      <c r="AP16" s="377"/>
      <c r="AQ16" s="377"/>
      <c r="AR16" s="77"/>
      <c r="AS16" s="377"/>
      <c r="AT16" s="377"/>
      <c r="AU16" s="377"/>
      <c r="AV16" s="377"/>
      <c r="AW16" s="377"/>
      <c r="AX16" s="694" t="s">
        <v>43</v>
      </c>
      <c r="AY16" s="694" t="s">
        <v>145</v>
      </c>
      <c r="AZ16" s="377"/>
      <c r="BA16" s="377"/>
      <c r="BB16" s="377"/>
      <c r="BC16" s="215"/>
      <c r="BD16" s="377"/>
      <c r="BE16" s="377"/>
      <c r="BF16" s="377"/>
      <c r="BG16" s="377"/>
      <c r="BH16" s="377"/>
      <c r="BI16" s="377"/>
      <c r="BJ16" s="377"/>
      <c r="BK16" s="377"/>
      <c r="BL16" s="377"/>
      <c r="BM16" s="215"/>
      <c r="BN16" s="80"/>
      <c r="BO16" s="82"/>
      <c r="BP16" s="215"/>
      <c r="BQ16" s="79" t="str">
        <f>IFERROR(WWWW[[#This Row],['#_Water sources treated]]/WWWW[[#This Row],['#_Water sources tested for contamination]],"no test")</f>
        <v>no test</v>
      </c>
      <c r="BR16" s="82" t="str">
        <f>IFERROR(WWWW[[#This Row],['#_Household received remediation action due to contamination]]/WWWW[[#This Row],['#_Household water samples tested for contamination]],"no test")</f>
        <v>no test</v>
      </c>
      <c r="BS16" s="81" t="str">
        <f>IF(AND(WWWW[[#This Row],[% of water sources treated]]="no test",WWWW[[#This Row],[% Household received corrective actions]]="no test"),"No Test","Tested")</f>
        <v>No Test</v>
      </c>
      <c r="BT16" s="81">
        <f>WWWW[[#This Row],['#_Constructed/existing protected hand dug well]]-WWWW[[#This Row],['#_Non-functional protected hand dug well]]</f>
        <v>0</v>
      </c>
      <c r="BU16" s="81">
        <f>(WWWW[[#This Row],['#_Constructed/Existing tube wells/boreholes/handpumps_WASH_agency]]+WWWW[[#This Row],['#_Non-Cluster partner water tube-wells/boreholes/handpumps]])-WWWW[[#This Row],['#_Non-functional tube wells/boreholes/handpumps]]</f>
        <v>0</v>
      </c>
      <c r="BV16" s="81">
        <f>WWWW[[#This Row],['#_Constructed/Existingwater storage tank with gravity fed reticulation system]]-WWWW[[#This Row],['#_Non-functional storage tank gravity fed reticulation system]]</f>
        <v>0</v>
      </c>
      <c r="BW16" s="81">
        <f>WWWW[[#This Row],['#_Water boating or water trucking]]</f>
        <v>0</v>
      </c>
      <c r="BX16" s="81">
        <f>WWWW[[#This Row],['#_Constructed/Existing water distribution system from river or natural spring]]</f>
        <v>0</v>
      </c>
      <c r="BY16"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6"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6" s="82">
        <f>IF(WWWW[[#This Row],[Location Type 1]]="Village",WWWW[[#This Row],[Access to safe drinking water for Village]],WWWW[[#This Row],[Access to safe drinking water for Camp]])</f>
        <v>0</v>
      </c>
      <c r="CB16" s="80">
        <f>WWWW[[#This Row],[%Equitable and continuous access to sufficient quantity of safe drinking water]]*WWWW[[#This Row],[Total PoP ]]</f>
        <v>0</v>
      </c>
      <c r="CC16" s="82">
        <f>IF((WWWW[[#This Row],['#_Constructed/Existing protected/fenced ponds]]*250)/WWWW[[#This Row],[Total PoP ]]&gt;1,1,(WWWW[[#This Row],['#_Constructed/Existing protected/fenced ponds]]*250)/WWWW[[#This Row],[Total PoP ]])</f>
        <v>0</v>
      </c>
      <c r="CD16" s="80">
        <f>WWWW[[#This Row],[% Access to unimproved water points]]*WWWW[[#This Row],[Total PoP ]]</f>
        <v>0</v>
      </c>
      <c r="CE16"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6"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6" s="80">
        <f>WWWW[[#This Row],[HRP1]]/500</f>
        <v>0</v>
      </c>
      <c r="CH16" s="79">
        <f>1-WWWW[[#This Row],[% Equitable and continuous access to sufficient quantity of domestic water]]</f>
        <v>1</v>
      </c>
      <c r="CI16" s="80">
        <f>WWWW[[#This Row],[%equitable and continuous access to sufficient quantity of safe drinking and domestic water''s GAP]]*WWWW[[#This Row],[Total PoP ]]</f>
        <v>862</v>
      </c>
      <c r="CJ16" s="81">
        <f>IF(WWWW[[#This Row],[Total required water points]]-WWWW[[#This Row],['#Water points coverage]]&lt;0,0,WWWW[[#This Row],[Total required water points]]-WWWW[[#This Row],['#Water points coverage]])</f>
        <v>2</v>
      </c>
      <c r="CK16" s="81">
        <f>ROUND(IF(WWWW[[#This Row],[Total PoP ]]&lt;500,1,WWWW[[#This Row],[Total PoP ]]/500),0)</f>
        <v>2</v>
      </c>
      <c r="CL16" s="81">
        <f>(WWWW[[#This Row],['#_Constructed latrines_by_WASHAgencies]]+WWWW[[#This Row],['#_Non Cluster partner latrines]])-WWWW[[#This Row],['#_Non-functional latrines]]</f>
        <v>0</v>
      </c>
      <c r="CM16"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6"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6"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6" s="81">
        <f>IF(WWWW[[#This Row],[Location Type 1]]="Village","NA",IF(WWWW[[#This Row],['#_Constructed/Existing latrines in TLS]]*50&gt;WWWW[[#This Row],['#_students at TLS_CFS]],WWWW[[#This Row],['#_students at TLS_CFS]],(WWWW[[#This Row],['#_Constructed/Existing latrines in TLS]]*50)))</f>
        <v>0</v>
      </c>
      <c r="CQ16" s="81">
        <f>ROUND(IF(WWWW[[#This Row],[Location Type 1]]="camp",WWWW[[#This Row],[Total PoP ]]/20,IF(WWWW[[#This Row],[Location Type 1]]="Temporary Location",WWWW[[#This Row],[Total PoP ]]/50,(WWWW[[#This Row],[Total PoP ]]/6))),0)</f>
        <v>43</v>
      </c>
      <c r="CR16" s="80">
        <f>IF(WWWW[[#This Row],[Total required Latrines]]-(WWWW[[#This Row],['#_Constructed latrines_by_WASHAgencies]]+WWWW[[#This Row],['#_Non Cluster partner latrines]])&lt;0,0,WWWW[[#This Row],[Total required Latrines]]-(WWWW[[#This Row],['#_Constructed latrines_by_WASHAgencies]]+WWWW[[#This Row],['#_Non Cluster partner latrines]]))</f>
        <v>43</v>
      </c>
      <c r="CS16" s="79">
        <f>1-WWWW[[#This Row],[% people access to functioning Latrine]]</f>
        <v>1</v>
      </c>
      <c r="CT16" s="83">
        <f>IF(OR(WWWW[[#This Row],['#_Non-functional latrines]]="",WWWW[[#This Row],['#_Non-functional latrines]]=0),0,WWWW[[#This Row],['#_Non-functional latrines]]/(WWWW[[#This Row],['#_Constructed latrines_by_WASHAgencies]]+WWWW[[#This Row],['#_Non Cluster partner latrines]]))</f>
        <v>0</v>
      </c>
      <c r="CU16" s="80">
        <f>IF(500*(WWWW[[#This Row],['#_male hygiene promoters]]+WWWW[[#This Row],['#_female hygiene promoters]])&gt;WWWW[[#This Row],[Total PoP ]],WWWW[[#This Row],[Total PoP ]],500*(WWWW[[#This Row],['#_male hygiene promoters]]+WWWW[[#This Row],['#_female hygiene promoters]]))</f>
        <v>0</v>
      </c>
      <c r="CV16"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6"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6" s="81">
        <f>IF(WWWW[[#This Row],['# People with access to soap]]&gt;WWWW[[#This Row],['# People with access to Sanity Pads]],WWWW[[#This Row],['# People with access to soap]],WWWW[[#This Row],['# People with access to Sanity Pads]])</f>
        <v>0</v>
      </c>
      <c r="CY16"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6" s="79">
        <f>IF(WWWW[[#This Row],[HRP3]]/WWWW[[#This Row],[Total PoP ]]&gt;100%,100%,WWWW[[#This Row],[HRP3]]/WWWW[[#This Row],[Total PoP ]])</f>
        <v>0</v>
      </c>
      <c r="DA16" s="83">
        <f>1-WWWW[[#This Row],[Hygiene Coverage%]]</f>
        <v>1</v>
      </c>
      <c r="DB16" s="82">
        <f>WWWW[[#This Row],['# people reached by regular dedicated hygiene promotion_5]]/WWWW[[#This Row],[Total PoP ]]</f>
        <v>0</v>
      </c>
      <c r="DC16" s="82">
        <f>IF(WWWW[[#This Row],['#_households that received standard amount of soap for this quarter]]/WWWW[[#This Row],[Total HH]]&gt;1,1,WWWW[[#This Row],['#_households that received standard amount of soap for this quarter]]/WWWW[[#This Row],[Total HH]])</f>
        <v>0</v>
      </c>
      <c r="DD16" s="82">
        <f>IF(WWWW[[#This Row],['#_households that received standard amount of sanitary pads for this quarter]]/WWWW[[#This Row],[Total HH]]&gt;1,1,WWWW[[#This Row],['#_households that received standard amount of sanitary pads for this quarter]]/WWWW[[#This Row],[Total HH]])</f>
        <v>0</v>
      </c>
      <c r="DE16" s="81">
        <f>WWWW[[#This Row],['#_Constructed/Existing hand washing stations]]-WWWW[[#This Row],['#_Non-Functional_hand_washing_stations]]</f>
        <v>0</v>
      </c>
      <c r="DF16" s="667">
        <f>IF(WWWW[[#This Row],['# Functional hand washing stations during reporting period]]*20&gt;WWWW[[#This Row],[Total HH]],WWWW[[#This Row],[Total HH]],WWWW[[#This Row],['# Functional hand washing stations during reporting period]]*20)</f>
        <v>0</v>
      </c>
      <c r="DG16" s="80">
        <f>IF(WWWW[[#This Row],[Is sufficient soap available for TLS? (Yes/No)]]="yes",WWWW[[#This Row],['#_Constructed/Existing hand washing stations at TLS]],0)</f>
        <v>0</v>
      </c>
      <c r="DH16" s="667">
        <f>IF(WWWW[[#This Row],['# Functional hand washing stations during reporting period]]*100&gt;WWWW[[#This Row],[Total PoP ]],WWWW[[#This Row],[Total PoP ]],WWWW[[#This Row],['# Functional hand washing stations during reporting period]]*100)</f>
        <v>0</v>
      </c>
      <c r="DI16" s="667" t="str">
        <f>IF(WWWW[[#This Row],['#_students at TLS_CFS]]="","No","Yes")</f>
        <v>No</v>
      </c>
      <c r="DJ16" s="245">
        <f>VLOOKUP(WWWW[[#This Row],[Site Name]],SiteDB6[[Site Name]:[CCCM Management]],6,FALSE)</f>
        <v>0</v>
      </c>
      <c r="DK16" s="245" t="str">
        <f>VLOOKUP(WWWW[[#This Row],[Site Name]],SiteDB6[[Site Name]:[CCCM Focal Agency]],7,FALSE)</f>
        <v>uncovered</v>
      </c>
      <c r="DL16" s="245" t="str">
        <f>VLOOKUP(WWWW[[#This Row],[Site Name]],SiteDB6[[Site Name]:[Location Type 1]],9,FALSE)</f>
        <v>Camp</v>
      </c>
      <c r="DM16" s="245" t="str">
        <f>VLOOKUP(WWWW[[#This Row],[Site Name]],SiteDB6[[Site Name]:[Type of Accommodation]],10,FALSE)</f>
        <v>Boarding School</v>
      </c>
      <c r="DN16" s="245" t="str">
        <f>VLOOKUP(WWWW[[#This Row],[Site Name]],SiteDB6[[Site Name]:[Ethnic or GCA/NGCA]],11,FALSE)</f>
        <v>NGCA</v>
      </c>
      <c r="DO16" s="245">
        <f>VLOOKUP(WWWW[[#This Row],[Site Name]],SiteDB6[[Site Name]:[Lat]],12,FALSE)</f>
        <v>24.752471</v>
      </c>
      <c r="DP16" s="245">
        <f>VLOOKUP(WWWW[[#This Row],[Site Name]],SiteDB6[[Site Name]:[Long]],13,FALSE)</f>
        <v>97.541793999999996</v>
      </c>
      <c r="DQ16" s="245" t="str">
        <f>VLOOKUP(WWWW[[#This Row],[Site Name]],SiteDB6[[Site Name]:[Pcode]],3,FALSE)</f>
        <v>MMR001CMP208</v>
      </c>
      <c r="DR16" s="215" t="str">
        <f t="shared" si="1"/>
        <v>Covered</v>
      </c>
      <c r="DS16" s="215"/>
      <c r="DT16" s="20"/>
      <c r="DU16" s="20"/>
      <c r="DV16" s="20"/>
      <c r="DW16" s="20"/>
      <c r="DX16" s="20"/>
      <c r="DY16" s="20"/>
      <c r="DZ16" s="20"/>
      <c r="EA16" s="20"/>
      <c r="EB16" s="20"/>
      <c r="EC16" s="20"/>
      <c r="ED16" s="20"/>
      <c r="EE16" s="20"/>
      <c r="EF16" s="20"/>
      <c r="EG16" s="20"/>
      <c r="EH16" s="20"/>
    </row>
    <row r="17" spans="1:138" ht="15.75" customHeight="1">
      <c r="A17" s="259" t="s">
        <v>2525</v>
      </c>
      <c r="B17" s="663" t="s">
        <v>38</v>
      </c>
      <c r="C17" s="663" t="s">
        <v>38</v>
      </c>
      <c r="D17" s="663" t="s">
        <v>3119</v>
      </c>
      <c r="E17" s="663" t="s">
        <v>39</v>
      </c>
      <c r="F17" s="663" t="s">
        <v>213</v>
      </c>
      <c r="G17" s="663" t="str">
        <f>VLOOKUP(WWWW[[#This Row],[Site Name]],SiteDB6[[Site Name]:[Location Type]],8,FALSE)</f>
        <v>Camp</v>
      </c>
      <c r="H17" s="663" t="s">
        <v>240</v>
      </c>
      <c r="I17" s="700">
        <v>101</v>
      </c>
      <c r="J17" s="700">
        <v>458</v>
      </c>
      <c r="K17" s="642" t="s">
        <v>2986</v>
      </c>
      <c r="L17" s="78" t="s">
        <v>2980</v>
      </c>
      <c r="M17" s="700">
        <v>260</v>
      </c>
      <c r="N17" s="700"/>
      <c r="O17" s="700"/>
      <c r="P17" s="700"/>
      <c r="Q17" s="663" t="s">
        <v>43</v>
      </c>
      <c r="R17" s="700"/>
      <c r="S17" s="700"/>
      <c r="T17" s="700"/>
      <c r="U17" s="700"/>
      <c r="V17" s="700"/>
      <c r="W17" s="700"/>
      <c r="X17" s="700"/>
      <c r="Y17" s="700"/>
      <c r="Z17" s="700"/>
      <c r="AA17" s="700">
        <v>1</v>
      </c>
      <c r="AB17" s="700"/>
      <c r="AC17" s="700"/>
      <c r="AD17" s="700"/>
      <c r="AE17" s="700"/>
      <c r="AF17" s="700"/>
      <c r="AG17" s="700"/>
      <c r="AH17" s="700"/>
      <c r="AI17" s="700"/>
      <c r="AJ17" s="700"/>
      <c r="AK17" s="700"/>
      <c r="AL17" s="700"/>
      <c r="AM17" s="700"/>
      <c r="AN17" s="700"/>
      <c r="AO17" s="667"/>
      <c r="AP17" s="719">
        <v>86</v>
      </c>
      <c r="AQ17" s="663"/>
      <c r="AR17" s="663"/>
      <c r="AS17" s="667"/>
      <c r="AT17" s="663"/>
      <c r="AU17" s="667"/>
      <c r="AV17" s="667"/>
      <c r="AW17" s="81"/>
      <c r="AX17" s="81" t="s">
        <v>43</v>
      </c>
      <c r="AY17" s="81" t="s">
        <v>145</v>
      </c>
      <c r="AZ17" s="81">
        <v>3</v>
      </c>
      <c r="BA17" s="81"/>
      <c r="BB17" s="667"/>
      <c r="BC17" s="667"/>
      <c r="BD17" s="667"/>
      <c r="BE17" s="667"/>
      <c r="BF17" s="667"/>
      <c r="BG17" s="720">
        <v>3</v>
      </c>
      <c r="BH17" s="667"/>
      <c r="BI17" s="700"/>
      <c r="BJ17" s="700">
        <v>2</v>
      </c>
      <c r="BK17" s="721">
        <v>40</v>
      </c>
      <c r="BL17" s="667"/>
      <c r="BM17" s="667" t="s">
        <v>144</v>
      </c>
      <c r="BN17" s="667"/>
      <c r="BO17" s="82"/>
      <c r="BP17" s="667"/>
      <c r="BQ17" s="79" t="str">
        <f>IFERROR(WWWW[[#This Row],['#_Water sources treated]]/WWWW[[#This Row],['#_Water sources tested for contamination]],"no test")</f>
        <v>no test</v>
      </c>
      <c r="BR17" s="82" t="str">
        <f>IFERROR(WWWW[[#This Row],['#_Household received remediation action due to contamination]]/WWWW[[#This Row],['#_Household water samples tested for contamination]],"no test")</f>
        <v>no test</v>
      </c>
      <c r="BS17" s="81" t="str">
        <f>IF(AND(WWWW[[#This Row],[% of water sources treated]]="no test",WWWW[[#This Row],[% Household received corrective actions]]="no test"),"No Test","Tested")</f>
        <v>No Test</v>
      </c>
      <c r="BT17" s="81">
        <f>WWWW[[#This Row],['#_Constructed/existing protected hand dug well]]-WWWW[[#This Row],['#_Non-functional protected hand dug well]]</f>
        <v>0</v>
      </c>
      <c r="BU17" s="81">
        <f>(WWWW[[#This Row],['#_Constructed/Existing tube wells/boreholes/handpumps_WASH_agency]]+WWWW[[#This Row],['#_Non-Cluster partner water tube-wells/boreholes/handpumps]])-WWWW[[#This Row],['#_Non-functional tube wells/boreholes/handpumps]]</f>
        <v>0</v>
      </c>
      <c r="BV17" s="81">
        <f>WWWW[[#This Row],['#_Constructed/Existingwater storage tank with gravity fed reticulation system]]-WWWW[[#This Row],['#_Non-functional storage tank gravity fed reticulation system]]</f>
        <v>1</v>
      </c>
      <c r="BW17" s="81">
        <f>WWWW[[#This Row],['#_Water boating or water trucking]]</f>
        <v>0</v>
      </c>
      <c r="BX17" s="81">
        <f>WWWW[[#This Row],['#_Constructed/Existing water distribution system from river or natural spring]]</f>
        <v>0</v>
      </c>
      <c r="BY17"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0.14556040756914121</v>
      </c>
      <c r="BZ17"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0.14556040756914121</v>
      </c>
      <c r="CA17" s="82">
        <f>IF(WWWW[[#This Row],[Location Type 1]]="Village",WWWW[[#This Row],[Access to safe drinking water for Village]],WWWW[[#This Row],[Access to safe drinking water for Camp]])</f>
        <v>0.14556040756914121</v>
      </c>
      <c r="CB17" s="80">
        <f>WWWW[[#This Row],[%Equitable and continuous access to sufficient quantity of safe drinking water]]*WWWW[[#This Row],[Total PoP ]]</f>
        <v>66.666666666666671</v>
      </c>
      <c r="CC17" s="82">
        <f>IF((WWWW[[#This Row],['#_Constructed/Existing protected/fenced ponds]]*250)/WWWW[[#This Row],[Total PoP ]]&gt;1,1,(WWWW[[#This Row],['#_Constructed/Existing protected/fenced ponds]]*250)/WWWW[[#This Row],[Total PoP ]])</f>
        <v>0</v>
      </c>
      <c r="CD17" s="80">
        <f>WWWW[[#This Row],[% Access to unimproved water points]]*WWWW[[#This Row],[Total PoP ]]</f>
        <v>0</v>
      </c>
      <c r="CE17"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0.14556040756914121</v>
      </c>
      <c r="CF17"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G17" s="80">
        <f>WWWW[[#This Row],[HRP1]]/500</f>
        <v>0.13333333333333333</v>
      </c>
      <c r="CH17" s="79">
        <f>1-WWWW[[#This Row],[% Equitable and continuous access to sufficient quantity of domestic water]]</f>
        <v>0.85443959243085876</v>
      </c>
      <c r="CI17" s="80">
        <f>WWWW[[#This Row],[%equitable and continuous access to sufficient quantity of safe drinking and domestic water''s GAP]]*WWWW[[#This Row],[Total PoP ]]</f>
        <v>391.33333333333331</v>
      </c>
      <c r="CJ17" s="81">
        <f>IF(WWWW[[#This Row],[Total required water points]]-WWWW[[#This Row],['#Water points coverage]]&lt;0,0,WWWW[[#This Row],[Total required water points]]-WWWW[[#This Row],['#Water points coverage]])</f>
        <v>0.8666666666666667</v>
      </c>
      <c r="CK17" s="81">
        <f>ROUND(IF(WWWW[[#This Row],[Total PoP ]]&lt;500,1,WWWW[[#This Row],[Total PoP ]]/500),0)</f>
        <v>1</v>
      </c>
      <c r="CL17" s="81">
        <f>(WWWW[[#This Row],['#_Constructed latrines_by_WASHAgencies]]+WWWW[[#This Row],['#_Non Cluster partner latrines]])-WWWW[[#This Row],['#_Non-functional latrines]]</f>
        <v>86</v>
      </c>
      <c r="CM17"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7"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458</v>
      </c>
      <c r="CO17"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7" s="81">
        <f>IF(WWWW[[#This Row],[Location Type 1]]="Village","NA",IF(WWWW[[#This Row],['#_Constructed/Existing latrines in TLS]]*50&gt;WWWW[[#This Row],['#_students at TLS_CFS]],WWWW[[#This Row],['#_students at TLS_CFS]],(WWWW[[#This Row],['#_Constructed/Existing latrines in TLS]]*50)))</f>
        <v>0</v>
      </c>
      <c r="CQ17" s="81">
        <f>ROUND(IF(WWWW[[#This Row],[Location Type 1]]="camp",WWWW[[#This Row],[Total PoP ]]/20,IF(WWWW[[#This Row],[Location Type 1]]="Temporary Location",WWWW[[#This Row],[Total PoP ]]/50,(WWWW[[#This Row],[Total PoP ]]/6))),0)</f>
        <v>23</v>
      </c>
      <c r="CR17" s="80">
        <f>IF(WWWW[[#This Row],[Total required Latrines]]-(WWWW[[#This Row],['#_Constructed latrines_by_WASHAgencies]]+WWWW[[#This Row],['#_Non Cluster partner latrines]])&lt;0,0,WWWW[[#This Row],[Total required Latrines]]-(WWWW[[#This Row],['#_Constructed latrines_by_WASHAgencies]]+WWWW[[#This Row],['#_Non Cluster partner latrines]]))</f>
        <v>0</v>
      </c>
      <c r="CS17" s="79">
        <f>1-WWWW[[#This Row],[% people access to functioning Latrine]]</f>
        <v>0</v>
      </c>
      <c r="CT17" s="83">
        <f>IF(OR(WWWW[[#This Row],['#_Non-functional latrines]]="",WWWW[[#This Row],['#_Non-functional latrines]]=0),0,WWWW[[#This Row],['#_Non-functional latrines]]/(WWWW[[#This Row],['#_Constructed latrines_by_WASHAgencies]]+WWWW[[#This Row],['#_Non Cluster partner latrines]]))</f>
        <v>0</v>
      </c>
      <c r="CU17" s="80">
        <f>IF(500*(WWWW[[#This Row],['#_male hygiene promoters]]+WWWW[[#This Row],['#_female hygiene promoters]])&gt;WWWW[[#This Row],[Total PoP ]],WWWW[[#This Row],[Total PoP ]],500*(WWWW[[#This Row],['#_male hygiene promoters]]+WWWW[[#This Row],['#_female hygiene promoters]]))</f>
        <v>458</v>
      </c>
      <c r="CV17"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200</v>
      </c>
      <c r="CW17"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7" s="81">
        <f>IF(WWWW[[#This Row],['# People with access to soap]]&gt;WWWW[[#This Row],['# People with access to Sanity Pads]],WWWW[[#This Row],['# People with access to soap]],WWWW[[#This Row],['# People with access to Sanity Pads]])</f>
        <v>200</v>
      </c>
      <c r="CY17" s="81">
        <f>IF(WWWW[[#This Row],['# people reached by regular dedicated hygiene promotion_5]]&gt;WWWW[[#This Row],['# People received regular supply of hygiene items_6]],WWWW[[#This Row],['# people reached by regular dedicated hygiene promotion_5]],WWWW[[#This Row],['# People received regular supply of hygiene items_6]])</f>
        <v>458</v>
      </c>
      <c r="CZ17" s="79">
        <f>IF(WWWW[[#This Row],[HRP3]]/WWWW[[#This Row],[Total PoP ]]&gt;100%,100%,WWWW[[#This Row],[HRP3]]/WWWW[[#This Row],[Total PoP ]])</f>
        <v>1</v>
      </c>
      <c r="DA17" s="83">
        <f>1-WWWW[[#This Row],[Hygiene Coverage%]]</f>
        <v>0</v>
      </c>
      <c r="DB17" s="82">
        <f>WWWW[[#This Row],['# people reached by regular dedicated hygiene promotion_5]]/WWWW[[#This Row],[Total PoP ]]</f>
        <v>1</v>
      </c>
      <c r="DC17" s="82">
        <f>IF(WWWW[[#This Row],['#_households that received standard amount of soap for this quarter]]/WWWW[[#This Row],[Total HH]]&gt;1,1,WWWW[[#This Row],['#_households that received standard amount of soap for this quarter]]/WWWW[[#This Row],[Total HH]])</f>
        <v>0.39603960396039606</v>
      </c>
      <c r="DD17" s="82">
        <f>IF(WWWW[[#This Row],['#_households that received standard amount of sanitary pads for this quarter]]/WWWW[[#This Row],[Total HH]]&gt;1,1,WWWW[[#This Row],['#_households that received standard amount of sanitary pads for this quarter]]/WWWW[[#This Row],[Total HH]])</f>
        <v>0</v>
      </c>
      <c r="DE17" s="81">
        <f>WWWW[[#This Row],['#_Constructed/Existing hand washing stations]]-WWWW[[#This Row],['#_Non-Functional_hand_washing_stations]]</f>
        <v>0</v>
      </c>
      <c r="DF17" s="667">
        <f>IF(WWWW[[#This Row],['# Functional hand washing stations during reporting period]]*20&gt;WWWW[[#This Row],[Total HH]],WWWW[[#This Row],[Total HH]],WWWW[[#This Row],['# Functional hand washing stations during reporting period]]*20)</f>
        <v>0</v>
      </c>
      <c r="DG17" s="80">
        <f>IF(WWWW[[#This Row],[Is sufficient soap available for TLS? (Yes/No)]]="yes",WWWW[[#This Row],['#_Constructed/Existing hand washing stations at TLS]],0)</f>
        <v>0</v>
      </c>
      <c r="DH17" s="667">
        <f>IF(WWWW[[#This Row],['# Functional hand washing stations during reporting period]]*100&gt;WWWW[[#This Row],[Total PoP ]],WWWW[[#This Row],[Total PoP ]],WWWW[[#This Row],['# Functional hand washing stations during reporting period]]*100)</f>
        <v>0</v>
      </c>
      <c r="DI17" s="667" t="str">
        <f>IF(WWWW[[#This Row],['#_students at TLS_CFS]]="","No","Yes")</f>
        <v>Yes</v>
      </c>
      <c r="DJ17" s="245" t="str">
        <f>VLOOKUP(WWWW[[#This Row],[Site Name]],SiteDB6[[Site Name]:[CCCM Management]],6,FALSE)</f>
        <v>Yes</v>
      </c>
      <c r="DK17" s="245" t="str">
        <f>VLOOKUP(WWWW[[#This Row],[Site Name]],SiteDB6[[Site Name]:[CCCM Focal Agency]],7,FALSE)</f>
        <v>KMSS-MYT</v>
      </c>
      <c r="DL17" s="245" t="str">
        <f>VLOOKUP(WWWW[[#This Row],[Site Name]],SiteDB6[[Site Name]:[Location Type 1]],9,FALSE)</f>
        <v>Camp</v>
      </c>
      <c r="DM17" s="245" t="str">
        <f>VLOOKUP(WWWW[[#This Row],[Site Name]],SiteDB6[[Site Name]:[Type of Accommodation]],10,FALSE)</f>
        <v>Camp</v>
      </c>
      <c r="DN17" s="245" t="str">
        <f>VLOOKUP(WWWW[[#This Row],[Site Name]],SiteDB6[[Site Name]:[Ethnic or GCA/NGCA]],11,FALSE)</f>
        <v>NGCA</v>
      </c>
      <c r="DO17" s="245">
        <f>VLOOKUP(WWWW[[#This Row],[Site Name]],SiteDB6[[Site Name]:[Lat]],12,FALSE)</f>
        <v>24.461033</v>
      </c>
      <c r="DP17" s="245">
        <f>VLOOKUP(WWWW[[#This Row],[Site Name]],SiteDB6[[Site Name]:[Long]],13,FALSE)</f>
        <v>97.537099999999995</v>
      </c>
      <c r="DQ17" s="245" t="str">
        <f>VLOOKUP(WWWW[[#This Row],[Site Name]],SiteDB6[[Site Name]:[Pcode]],3,FALSE)</f>
        <v>MMR001CMP123</v>
      </c>
      <c r="DR17" s="215" t="str">
        <f t="shared" si="1"/>
        <v>Covered</v>
      </c>
      <c r="DS17" s="215"/>
      <c r="DT17" s="20"/>
      <c r="DU17" s="20"/>
      <c r="DV17" s="20"/>
      <c r="DW17" s="20"/>
      <c r="DX17" s="20"/>
      <c r="DY17" s="20"/>
      <c r="DZ17" s="20"/>
      <c r="EA17" s="20"/>
      <c r="EB17" s="20"/>
      <c r="EC17" s="20"/>
      <c r="ED17" s="20"/>
      <c r="EE17" s="20"/>
      <c r="EF17" s="20"/>
      <c r="EG17" s="20"/>
      <c r="EH17" s="20"/>
    </row>
    <row r="18" spans="1:138" ht="34.5" customHeight="1">
      <c r="A18" s="259" t="s">
        <v>2525</v>
      </c>
      <c r="B18" s="663" t="s">
        <v>149</v>
      </c>
      <c r="C18" s="663" t="s">
        <v>149</v>
      </c>
      <c r="D18" s="663"/>
      <c r="E18" s="663" t="s">
        <v>39</v>
      </c>
      <c r="F18" s="663" t="s">
        <v>222</v>
      </c>
      <c r="G18" s="663" t="str">
        <f>VLOOKUP(WWWW[[#This Row],[Site Name]],SiteDB6[[Site Name]:[Location Type]],8,FALSE)</f>
        <v>Camp_not registered</v>
      </c>
      <c r="H18" s="663" t="s">
        <v>2095</v>
      </c>
      <c r="I18" s="700">
        <v>86</v>
      </c>
      <c r="J18" s="700">
        <v>381</v>
      </c>
      <c r="K18" s="642"/>
      <c r="L18" s="78"/>
      <c r="M18" s="700"/>
      <c r="N18" s="700"/>
      <c r="O18" s="700"/>
      <c r="P18" s="700"/>
      <c r="Q18" s="77"/>
      <c r="R18" s="377"/>
      <c r="S18" s="377"/>
      <c r="T18" s="700">
        <v>0</v>
      </c>
      <c r="U18" s="377"/>
      <c r="V18" s="377"/>
      <c r="W18" s="700">
        <v>0</v>
      </c>
      <c r="X18" s="377"/>
      <c r="Y18" s="377"/>
      <c r="Z18" s="377"/>
      <c r="AA18" s="377"/>
      <c r="AB18" s="377"/>
      <c r="AC18" s="377"/>
      <c r="AD18" s="377"/>
      <c r="AE18" s="377"/>
      <c r="AF18" s="377"/>
      <c r="AG18" s="377"/>
      <c r="AH18" s="700">
        <v>0</v>
      </c>
      <c r="AI18" s="377"/>
      <c r="AJ18" s="377"/>
      <c r="AK18" s="377"/>
      <c r="AL18" s="377"/>
      <c r="AM18" s="377"/>
      <c r="AN18" s="377"/>
      <c r="AO18" s="215"/>
      <c r="AP18" s="700">
        <v>0</v>
      </c>
      <c r="AQ18" s="377"/>
      <c r="AR18" s="77"/>
      <c r="AS18" s="377"/>
      <c r="AT18" s="377"/>
      <c r="AU18" s="377"/>
      <c r="AV18" s="377"/>
      <c r="AW18" s="700">
        <v>0</v>
      </c>
      <c r="AX18" s="694" t="s">
        <v>144</v>
      </c>
      <c r="AY18" s="694" t="s">
        <v>148</v>
      </c>
      <c r="AZ18" s="377"/>
      <c r="BA18" s="377"/>
      <c r="BB18" s="377"/>
      <c r="BC18" s="215"/>
      <c r="BD18" s="377"/>
      <c r="BE18" s="377"/>
      <c r="BF18" s="377"/>
      <c r="BG18" s="377"/>
      <c r="BH18" s="377"/>
      <c r="BI18" s="377"/>
      <c r="BJ18" s="377"/>
      <c r="BK18" s="377"/>
      <c r="BL18" s="377"/>
      <c r="BM18" s="215"/>
      <c r="BN18" s="80"/>
      <c r="BO18" s="82"/>
      <c r="BP18" s="215"/>
      <c r="BQ18" s="79" t="str">
        <f>IFERROR(WWWW[[#This Row],['#_Water sources treated]]/WWWW[[#This Row],['#_Water sources tested for contamination]],"no test")</f>
        <v>no test</v>
      </c>
      <c r="BR18" s="82" t="str">
        <f>IFERROR(WWWW[[#This Row],['#_Household received remediation action due to contamination]]/WWWW[[#This Row],['#_Household water samples tested for contamination]],"no test")</f>
        <v>no test</v>
      </c>
      <c r="BS18" s="81" t="str">
        <f>IF(AND(WWWW[[#This Row],[% of water sources treated]]="no test",WWWW[[#This Row],[% Household received corrective actions]]="no test"),"No Test","Tested")</f>
        <v>No Test</v>
      </c>
      <c r="BT18" s="81">
        <f>WWWW[[#This Row],['#_Constructed/existing protected hand dug well]]-WWWW[[#This Row],['#_Non-functional protected hand dug well]]</f>
        <v>0</v>
      </c>
      <c r="BU18" s="81">
        <f>(WWWW[[#This Row],['#_Constructed/Existing tube wells/boreholes/handpumps_WASH_agency]]+WWWW[[#This Row],['#_Non-Cluster partner water tube-wells/boreholes/handpumps]])-WWWW[[#This Row],['#_Non-functional tube wells/boreholes/handpumps]]</f>
        <v>0</v>
      </c>
      <c r="BV18" s="81">
        <f>WWWW[[#This Row],['#_Constructed/Existingwater storage tank with gravity fed reticulation system]]-WWWW[[#This Row],['#_Non-functional storage tank gravity fed reticulation system]]</f>
        <v>0</v>
      </c>
      <c r="BW18" s="81">
        <f>WWWW[[#This Row],['#_Water boating or water trucking]]</f>
        <v>0</v>
      </c>
      <c r="BX18" s="81">
        <f>WWWW[[#This Row],['#_Constructed/Existing water distribution system from river or natural spring]]</f>
        <v>0</v>
      </c>
      <c r="BY18"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8"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8" s="82">
        <f>IF(WWWW[[#This Row],[Location Type 1]]="Village",WWWW[[#This Row],[Access to safe drinking water for Village]],WWWW[[#This Row],[Access to safe drinking water for Camp]])</f>
        <v>0</v>
      </c>
      <c r="CB18" s="80">
        <f>WWWW[[#This Row],[%Equitable and continuous access to sufficient quantity of safe drinking water]]*WWWW[[#This Row],[Total PoP ]]</f>
        <v>0</v>
      </c>
      <c r="CC18" s="82">
        <f>IF((WWWW[[#This Row],['#_Constructed/Existing protected/fenced ponds]]*250)/WWWW[[#This Row],[Total PoP ]]&gt;1,1,(WWWW[[#This Row],['#_Constructed/Existing protected/fenced ponds]]*250)/WWWW[[#This Row],[Total PoP ]])</f>
        <v>0</v>
      </c>
      <c r="CD18" s="80">
        <f>WWWW[[#This Row],[% Access to unimproved water points]]*WWWW[[#This Row],[Total PoP ]]</f>
        <v>0</v>
      </c>
      <c r="CE18"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8"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8" s="80">
        <f>WWWW[[#This Row],[HRP1]]/500</f>
        <v>0</v>
      </c>
      <c r="CH18" s="79">
        <f>1-WWWW[[#This Row],[% Equitable and continuous access to sufficient quantity of domestic water]]</f>
        <v>1</v>
      </c>
      <c r="CI18" s="80">
        <f>WWWW[[#This Row],[%equitable and continuous access to sufficient quantity of safe drinking and domestic water''s GAP]]*WWWW[[#This Row],[Total PoP ]]</f>
        <v>381</v>
      </c>
      <c r="CJ18" s="81">
        <f>IF(WWWW[[#This Row],[Total required water points]]-WWWW[[#This Row],['#Water points coverage]]&lt;0,0,WWWW[[#This Row],[Total required water points]]-WWWW[[#This Row],['#Water points coverage]])</f>
        <v>1</v>
      </c>
      <c r="CK18" s="81">
        <f>ROUND(IF(WWWW[[#This Row],[Total PoP ]]&lt;500,1,WWWW[[#This Row],[Total PoP ]]/500),0)</f>
        <v>1</v>
      </c>
      <c r="CL18" s="81">
        <f>(WWWW[[#This Row],['#_Constructed latrines_by_WASHAgencies]]+WWWW[[#This Row],['#_Non Cluster partner latrines]])-WWWW[[#This Row],['#_Non-functional latrines]]</f>
        <v>0</v>
      </c>
      <c r="CM18"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8"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8"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8" s="81">
        <f>IF(WWWW[[#This Row],[Location Type 1]]="Village","NA",IF(WWWW[[#This Row],['#_Constructed/Existing latrines in TLS]]*50&gt;WWWW[[#This Row],['#_students at TLS_CFS]],WWWW[[#This Row],['#_students at TLS_CFS]],(WWWW[[#This Row],['#_Constructed/Existing latrines in TLS]]*50)))</f>
        <v>0</v>
      </c>
      <c r="CQ18" s="81">
        <f>ROUND(IF(WWWW[[#This Row],[Location Type 1]]="camp",WWWW[[#This Row],[Total PoP ]]/20,IF(WWWW[[#This Row],[Location Type 1]]="Temporary Location",WWWW[[#This Row],[Total PoP ]]/50,(WWWW[[#This Row],[Total PoP ]]/6))),0)</f>
        <v>19</v>
      </c>
      <c r="CR18" s="80">
        <f>IF(WWWW[[#This Row],[Total required Latrines]]-(WWWW[[#This Row],['#_Constructed latrines_by_WASHAgencies]]+WWWW[[#This Row],['#_Non Cluster partner latrines]])&lt;0,0,WWWW[[#This Row],[Total required Latrines]]-(WWWW[[#This Row],['#_Constructed latrines_by_WASHAgencies]]+WWWW[[#This Row],['#_Non Cluster partner latrines]]))</f>
        <v>19</v>
      </c>
      <c r="CS18" s="79">
        <f>1-WWWW[[#This Row],[% people access to functioning Latrine]]</f>
        <v>1</v>
      </c>
      <c r="CT18" s="83">
        <f>IF(OR(WWWW[[#This Row],['#_Non-functional latrines]]="",WWWW[[#This Row],['#_Non-functional latrines]]=0),0,WWWW[[#This Row],['#_Non-functional latrines]]/(WWWW[[#This Row],['#_Constructed latrines_by_WASHAgencies]]+WWWW[[#This Row],['#_Non Cluster partner latrines]]))</f>
        <v>0</v>
      </c>
      <c r="CU18" s="80">
        <f>IF(500*(WWWW[[#This Row],['#_male hygiene promoters]]+WWWW[[#This Row],['#_female hygiene promoters]])&gt;WWWW[[#This Row],[Total PoP ]],WWWW[[#This Row],[Total PoP ]],500*(WWWW[[#This Row],['#_male hygiene promoters]]+WWWW[[#This Row],['#_female hygiene promoters]]))</f>
        <v>0</v>
      </c>
      <c r="CV18"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8"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8" s="81">
        <f>IF(WWWW[[#This Row],['# People with access to soap]]&gt;WWWW[[#This Row],['# People with access to Sanity Pads]],WWWW[[#This Row],['# People with access to soap]],WWWW[[#This Row],['# People with access to Sanity Pads]])</f>
        <v>0</v>
      </c>
      <c r="CY18"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8" s="79">
        <f>IF(WWWW[[#This Row],[HRP3]]/WWWW[[#This Row],[Total PoP ]]&gt;100%,100%,WWWW[[#This Row],[HRP3]]/WWWW[[#This Row],[Total PoP ]])</f>
        <v>0</v>
      </c>
      <c r="DA18" s="83">
        <f>1-WWWW[[#This Row],[Hygiene Coverage%]]</f>
        <v>1</v>
      </c>
      <c r="DB18" s="82">
        <f>WWWW[[#This Row],['# people reached by regular dedicated hygiene promotion_5]]/WWWW[[#This Row],[Total PoP ]]</f>
        <v>0</v>
      </c>
      <c r="DC18" s="82">
        <f>IF(WWWW[[#This Row],['#_households that received standard amount of soap for this quarter]]/WWWW[[#This Row],[Total HH]]&gt;1,1,WWWW[[#This Row],['#_households that received standard amount of soap for this quarter]]/WWWW[[#This Row],[Total HH]])</f>
        <v>0</v>
      </c>
      <c r="DD18" s="82">
        <f>IF(WWWW[[#This Row],['#_households that received standard amount of sanitary pads for this quarter]]/WWWW[[#This Row],[Total HH]]&gt;1,1,WWWW[[#This Row],['#_households that received standard amount of sanitary pads for this quarter]]/WWWW[[#This Row],[Total HH]])</f>
        <v>0</v>
      </c>
      <c r="DE18" s="81">
        <f>WWWW[[#This Row],['#_Constructed/Existing hand washing stations]]-WWWW[[#This Row],['#_Non-Functional_hand_washing_stations]]</f>
        <v>0</v>
      </c>
      <c r="DF18" s="667">
        <f>IF(WWWW[[#This Row],['# Functional hand washing stations during reporting period]]*20&gt;WWWW[[#This Row],[Total HH]],WWWW[[#This Row],[Total HH]],WWWW[[#This Row],['# Functional hand washing stations during reporting period]]*20)</f>
        <v>0</v>
      </c>
      <c r="DG18" s="80">
        <f>IF(WWWW[[#This Row],[Is sufficient soap available for TLS? (Yes/No)]]="yes",WWWW[[#This Row],['#_Constructed/Existing hand washing stations at TLS]],0)</f>
        <v>0</v>
      </c>
      <c r="DH18" s="667">
        <f>IF(WWWW[[#This Row],['# Functional hand washing stations during reporting period]]*100&gt;WWWW[[#This Row],[Total PoP ]],WWWW[[#This Row],[Total PoP ]],WWWW[[#This Row],['# Functional hand washing stations during reporting period]]*100)</f>
        <v>0</v>
      </c>
      <c r="DI18" s="667" t="str">
        <f>IF(WWWW[[#This Row],['#_students at TLS_CFS]]="","No","Yes")</f>
        <v>No</v>
      </c>
      <c r="DJ18" s="245">
        <f>VLOOKUP(WWWW[[#This Row],[Site Name]],SiteDB6[[Site Name]:[CCCM Management]],6,FALSE)</f>
        <v>0</v>
      </c>
      <c r="DK18" s="245">
        <f>VLOOKUP(WWWW[[#This Row],[Site Name]],SiteDB6[[Site Name]:[CCCM Focal Agency]],7,FALSE)</f>
        <v>0</v>
      </c>
      <c r="DL18" s="245" t="str">
        <f>VLOOKUP(WWWW[[#This Row],[Site Name]],SiteDB6[[Site Name]:[Location Type 1]],9,FALSE)</f>
        <v>Camp</v>
      </c>
      <c r="DM18" s="245" t="str">
        <f>VLOOKUP(WWWW[[#This Row],[Site Name]],SiteDB6[[Site Name]:[Type of Accommodation]],10,FALSE)</f>
        <v>Camp like setting</v>
      </c>
      <c r="DN18" s="245" t="str">
        <f>VLOOKUP(WWWW[[#This Row],[Site Name]],SiteDB6[[Site Name]:[Ethnic or GCA/NGCA]],11,FALSE)</f>
        <v>NGCA</v>
      </c>
      <c r="DO18" s="245">
        <f>VLOOKUP(WWWW[[#This Row],[Site Name]],SiteDB6[[Site Name]:[Lat]],12,FALSE)</f>
        <v>0</v>
      </c>
      <c r="DP18" s="245">
        <f>VLOOKUP(WWWW[[#This Row],[Site Name]],SiteDB6[[Site Name]:[Long]],13,FALSE)</f>
        <v>0</v>
      </c>
      <c r="DQ18" s="245">
        <f>VLOOKUP(WWWW[[#This Row],[Site Name]],SiteDB6[[Site Name]:[Pcode]],3,FALSE)</f>
        <v>0</v>
      </c>
      <c r="DR18" s="215" t="str">
        <f t="shared" si="1"/>
        <v>Covered</v>
      </c>
      <c r="DS18" s="215"/>
      <c r="DT18" s="20"/>
      <c r="DU18" s="20"/>
      <c r="DV18" s="20"/>
      <c r="DW18" s="20"/>
      <c r="DX18" s="20"/>
      <c r="DY18" s="20"/>
      <c r="DZ18" s="20"/>
      <c r="EA18" s="20"/>
      <c r="EB18" s="20"/>
      <c r="EC18" s="20"/>
      <c r="ED18" s="20"/>
      <c r="EE18" s="20"/>
      <c r="EF18" s="20"/>
      <c r="EG18" s="20"/>
      <c r="EH18" s="20"/>
    </row>
    <row r="19" spans="1:138" ht="18.75" customHeight="1">
      <c r="A19" s="259" t="s">
        <v>2525</v>
      </c>
      <c r="B19" s="663" t="s">
        <v>284</v>
      </c>
      <c r="C19" s="663" t="s">
        <v>284</v>
      </c>
      <c r="D19" s="663" t="s">
        <v>2962</v>
      </c>
      <c r="E19" s="663" t="s">
        <v>39</v>
      </c>
      <c r="F19" s="663" t="s">
        <v>213</v>
      </c>
      <c r="G19" s="663" t="str">
        <f>VLOOKUP(WWWW[[#This Row],[Site Name]],SiteDB6[[Site Name]:[Location Type]],8,FALSE)</f>
        <v>Camp</v>
      </c>
      <c r="H19" s="663" t="s">
        <v>289</v>
      </c>
      <c r="I19" s="700">
        <v>40</v>
      </c>
      <c r="J19" s="700">
        <v>240</v>
      </c>
      <c r="K19" s="642" t="s">
        <v>2963</v>
      </c>
      <c r="L19" s="78" t="s">
        <v>2964</v>
      </c>
      <c r="M19" s="700"/>
      <c r="N19" s="700">
        <v>0</v>
      </c>
      <c r="O19" s="700">
        <v>0</v>
      </c>
      <c r="P19" s="700">
        <v>0</v>
      </c>
      <c r="Q19" s="77" t="s">
        <v>43</v>
      </c>
      <c r="R19" s="377">
        <v>4</v>
      </c>
      <c r="S19" s="377">
        <v>7</v>
      </c>
      <c r="T19" s="377">
        <v>1</v>
      </c>
      <c r="U19" s="377">
        <v>0</v>
      </c>
      <c r="V19" s="377"/>
      <c r="W19" s="377">
        <v>0</v>
      </c>
      <c r="X19" s="377">
        <v>0</v>
      </c>
      <c r="Y19" s="377"/>
      <c r="Z19" s="377"/>
      <c r="AA19" s="377"/>
      <c r="AB19" s="377"/>
      <c r="AC19" s="377"/>
      <c r="AD19" s="377"/>
      <c r="AE19" s="377"/>
      <c r="AF19" s="377"/>
      <c r="AG19" s="377"/>
      <c r="AH19" s="377"/>
      <c r="AI19" s="377">
        <v>1</v>
      </c>
      <c r="AJ19" s="377">
        <v>1</v>
      </c>
      <c r="AK19" s="377">
        <v>4</v>
      </c>
      <c r="AL19" s="377">
        <v>0</v>
      </c>
      <c r="AM19" s="377"/>
      <c r="AN19" s="377"/>
      <c r="AO19" s="215"/>
      <c r="AP19" s="377">
        <v>9</v>
      </c>
      <c r="AQ19" s="377"/>
      <c r="AR19" s="77"/>
      <c r="AS19" s="377"/>
      <c r="AT19" s="377"/>
      <c r="AU19" s="377">
        <v>9</v>
      </c>
      <c r="AV19" s="377"/>
      <c r="AW19" s="377"/>
      <c r="AX19" s="245" t="s">
        <v>43</v>
      </c>
      <c r="AY19" s="245" t="s">
        <v>145</v>
      </c>
      <c r="AZ19" s="377">
        <v>0</v>
      </c>
      <c r="BA19" s="377">
        <v>0</v>
      </c>
      <c r="BB19" s="377"/>
      <c r="BC19" s="215"/>
      <c r="BD19" s="377">
        <v>4</v>
      </c>
      <c r="BE19" s="377">
        <v>2</v>
      </c>
      <c r="BF19" s="377"/>
      <c r="BG19" s="377">
        <v>1</v>
      </c>
      <c r="BH19" s="377"/>
      <c r="BI19" s="377">
        <v>0</v>
      </c>
      <c r="BJ19" s="377">
        <v>1</v>
      </c>
      <c r="BK19" s="377">
        <v>3</v>
      </c>
      <c r="BL19" s="377">
        <v>38</v>
      </c>
      <c r="BM19" s="215"/>
      <c r="BN19" s="80"/>
      <c r="BO19" s="82"/>
      <c r="BP19" s="215"/>
      <c r="BQ19" s="79">
        <f>IFERROR(WWWW[[#This Row],['#_Water sources treated]]/WWWW[[#This Row],['#_Water sources tested for contamination]],"no test")</f>
        <v>1</v>
      </c>
      <c r="BR19" s="82">
        <f>IFERROR(WWWW[[#This Row],['#_Household received remediation action due to contamination]]/WWWW[[#This Row],['#_Household water samples tested for contamination]],"no test")</f>
        <v>0</v>
      </c>
      <c r="BS19" s="81" t="str">
        <f>IF(AND(WWWW[[#This Row],[% of water sources treated]]="no test",WWWW[[#This Row],[% Household received corrective actions]]="no test"),"No Test","Tested")</f>
        <v>Tested</v>
      </c>
      <c r="BT19" s="81">
        <f>WWWW[[#This Row],['#_Constructed/existing protected hand dug well]]-WWWW[[#This Row],['#_Non-functional protected hand dug well]]</f>
        <v>1</v>
      </c>
      <c r="BU19" s="81">
        <f>(WWWW[[#This Row],['#_Constructed/Existing tube wells/boreholes/handpumps_WASH_agency]]+WWWW[[#This Row],['#_Non-Cluster partner water tube-wells/boreholes/handpumps]])-WWWW[[#This Row],['#_Non-functional tube wells/boreholes/handpumps]]</f>
        <v>0</v>
      </c>
      <c r="BV19" s="81">
        <f>WWWW[[#This Row],['#_Constructed/Existingwater storage tank with gravity fed reticulation system]]-WWWW[[#This Row],['#_Non-functional storage tank gravity fed reticulation system]]</f>
        <v>0</v>
      </c>
      <c r="BW19" s="81">
        <f>WWWW[[#This Row],['#_Water boating or water trucking]]</f>
        <v>0</v>
      </c>
      <c r="BX19" s="81">
        <f>WWWW[[#This Row],['#_Constructed/Existing water distribution system from river or natural spring]]</f>
        <v>0</v>
      </c>
      <c r="BY19"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9"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9" s="82">
        <f>IF(WWWW[[#This Row],[Location Type 1]]="Village",WWWW[[#This Row],[Access to safe drinking water for Village]],WWWW[[#This Row],[Access to safe drinking water for Camp]])</f>
        <v>1</v>
      </c>
      <c r="CB19" s="80">
        <f>WWWW[[#This Row],[%Equitable and continuous access to sufficient quantity of safe drinking water]]*WWWW[[#This Row],[Total PoP ]]</f>
        <v>240</v>
      </c>
      <c r="CC19" s="82">
        <f>IF((WWWW[[#This Row],['#_Constructed/Existing protected/fenced ponds]]*250)/WWWW[[#This Row],[Total PoP ]]&gt;1,1,(WWWW[[#This Row],['#_Constructed/Existing protected/fenced ponds]]*250)/WWWW[[#This Row],[Total PoP ]])</f>
        <v>0</v>
      </c>
      <c r="CD19" s="80">
        <f>WWWW[[#This Row],[% Access to unimproved water points]]*WWWW[[#This Row],[Total PoP ]]</f>
        <v>0</v>
      </c>
      <c r="CE19"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9"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240</v>
      </c>
      <c r="CG19" s="80">
        <f>WWWW[[#This Row],[HRP1]]/500</f>
        <v>0.48</v>
      </c>
      <c r="CH19" s="79">
        <f>1-WWWW[[#This Row],[% Equitable and continuous access to sufficient quantity of domestic water]]</f>
        <v>0</v>
      </c>
      <c r="CI19" s="80">
        <f>WWWW[[#This Row],[%equitable and continuous access to sufficient quantity of safe drinking and domestic water''s GAP]]*WWWW[[#This Row],[Total PoP ]]</f>
        <v>0</v>
      </c>
      <c r="CJ19" s="81">
        <f>IF(WWWW[[#This Row],[Total required water points]]-WWWW[[#This Row],['#Water points coverage]]&lt;0,0,WWWW[[#This Row],[Total required water points]]-WWWW[[#This Row],['#Water points coverage]])</f>
        <v>0.52</v>
      </c>
      <c r="CK19" s="81">
        <f>ROUND(IF(WWWW[[#This Row],[Total PoP ]]&lt;500,1,WWWW[[#This Row],[Total PoP ]]/500),0)</f>
        <v>1</v>
      </c>
      <c r="CL19" s="81">
        <f>(WWWW[[#This Row],['#_Constructed latrines_by_WASHAgencies]]+WWWW[[#This Row],['#_Non Cluster partner latrines]])-WWWW[[#This Row],['#_Non-functional latrines]]</f>
        <v>9</v>
      </c>
      <c r="CM19"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0.75</v>
      </c>
      <c r="CN19"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180</v>
      </c>
      <c r="CO19"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180</v>
      </c>
      <c r="CP19" s="81">
        <f>IF(WWWW[[#This Row],[Location Type 1]]="Village","NA",IF(WWWW[[#This Row],['#_Constructed/Existing latrines in TLS]]*50&gt;WWWW[[#This Row],['#_students at TLS_CFS]],WWWW[[#This Row],['#_students at TLS_CFS]],(WWWW[[#This Row],['#_Constructed/Existing latrines in TLS]]*50)))</f>
        <v>0</v>
      </c>
      <c r="CQ19" s="81">
        <f>ROUND(IF(WWWW[[#This Row],[Location Type 1]]="camp",WWWW[[#This Row],[Total PoP ]]/20,IF(WWWW[[#This Row],[Location Type 1]]="Temporary Location",WWWW[[#This Row],[Total PoP ]]/50,(WWWW[[#This Row],[Total PoP ]]/6))),0)</f>
        <v>12</v>
      </c>
      <c r="CR19" s="80">
        <f>IF(WWWW[[#This Row],[Total required Latrines]]-(WWWW[[#This Row],['#_Constructed latrines_by_WASHAgencies]]+WWWW[[#This Row],['#_Non Cluster partner latrines]])&lt;0,0,WWWW[[#This Row],[Total required Latrines]]-(WWWW[[#This Row],['#_Constructed latrines_by_WASHAgencies]]+WWWW[[#This Row],['#_Non Cluster partner latrines]]))</f>
        <v>3</v>
      </c>
      <c r="CS19" s="79">
        <f>1-WWWW[[#This Row],[% people access to functioning Latrine]]</f>
        <v>0.25</v>
      </c>
      <c r="CT19" s="83">
        <f>IF(OR(WWWW[[#This Row],['#_Non-functional latrines]]="",WWWW[[#This Row],['#_Non-functional latrines]]=0),0,WWWW[[#This Row],['#_Non-functional latrines]]/(WWWW[[#This Row],['#_Constructed latrines_by_WASHAgencies]]+WWWW[[#This Row],['#_Non Cluster partner latrines]]))</f>
        <v>0</v>
      </c>
      <c r="CU19" s="80">
        <f>IF(500*(WWWW[[#This Row],['#_male hygiene promoters]]+WWWW[[#This Row],['#_female hygiene promoters]])&gt;WWWW[[#This Row],[Total PoP ]],WWWW[[#This Row],[Total PoP ]],500*(WWWW[[#This Row],['#_male hygiene promoters]]+WWWW[[#This Row],['#_female hygiene promoters]]))</f>
        <v>240</v>
      </c>
      <c r="CV19"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15</v>
      </c>
      <c r="CW19"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190</v>
      </c>
      <c r="CX19" s="81">
        <f>IF(WWWW[[#This Row],['# People with access to soap]]&gt;WWWW[[#This Row],['# People with access to Sanity Pads]],WWWW[[#This Row],['# People with access to soap]],WWWW[[#This Row],['# People with access to Sanity Pads]])</f>
        <v>190</v>
      </c>
      <c r="CY19" s="81">
        <f>IF(WWWW[[#This Row],['# people reached by regular dedicated hygiene promotion_5]]&gt;WWWW[[#This Row],['# People received regular supply of hygiene items_6]],WWWW[[#This Row],['# people reached by regular dedicated hygiene promotion_5]],WWWW[[#This Row],['# People received regular supply of hygiene items_6]])</f>
        <v>240</v>
      </c>
      <c r="CZ19" s="79">
        <f>IF(WWWW[[#This Row],[HRP3]]/WWWW[[#This Row],[Total PoP ]]&gt;100%,100%,WWWW[[#This Row],[HRP3]]/WWWW[[#This Row],[Total PoP ]])</f>
        <v>1</v>
      </c>
      <c r="DA19" s="83">
        <f>1-WWWW[[#This Row],[Hygiene Coverage%]]</f>
        <v>0</v>
      </c>
      <c r="DB19" s="82">
        <f>WWWW[[#This Row],['# people reached by regular dedicated hygiene promotion_5]]/WWWW[[#This Row],[Total PoP ]]</f>
        <v>1</v>
      </c>
      <c r="DC19" s="82">
        <f>IF(WWWW[[#This Row],['#_households that received standard amount of soap for this quarter]]/WWWW[[#This Row],[Total HH]]&gt;1,1,WWWW[[#This Row],['#_households that received standard amount of soap for this quarter]]/WWWW[[#This Row],[Total HH]])</f>
        <v>7.4999999999999997E-2</v>
      </c>
      <c r="DD19" s="82">
        <f>IF(WWWW[[#This Row],['#_households that received standard amount of sanitary pads for this quarter]]/WWWW[[#This Row],[Total HH]]&gt;1,1,WWWW[[#This Row],['#_households that received standard amount of sanitary pads for this quarter]]/WWWW[[#This Row],[Total HH]])</f>
        <v>0.95</v>
      </c>
      <c r="DE19" s="81">
        <f>WWWW[[#This Row],['#_Constructed/Existing hand washing stations]]-WWWW[[#This Row],['#_Non-Functional_hand_washing_stations]]</f>
        <v>2</v>
      </c>
      <c r="DF19" s="667">
        <f>IF(WWWW[[#This Row],['# Functional hand washing stations during reporting period]]*20&gt;WWWW[[#This Row],[Total HH]],WWWW[[#This Row],[Total HH]],WWWW[[#This Row],['# Functional hand washing stations during reporting period]]*20)</f>
        <v>40</v>
      </c>
      <c r="DG19" s="80">
        <f>IF(WWWW[[#This Row],[Is sufficient soap available for TLS? (Yes/No)]]="yes",WWWW[[#This Row],['#_Constructed/Existing hand washing stations at TLS]],0)</f>
        <v>0</v>
      </c>
      <c r="DH19" s="667">
        <f>IF(WWWW[[#This Row],['# Functional hand washing stations during reporting period]]*100&gt;WWWW[[#This Row],[Total PoP ]],WWWW[[#This Row],[Total PoP ]],WWWW[[#This Row],['# Functional hand washing stations during reporting period]]*100)</f>
        <v>200</v>
      </c>
      <c r="DI19" s="667" t="str">
        <f>IF(WWWW[[#This Row],['#_students at TLS_CFS]]="","No","Yes")</f>
        <v>No</v>
      </c>
      <c r="DJ19" s="245" t="str">
        <f>VLOOKUP(WWWW[[#This Row],[Site Name]],SiteDB6[[Site Name]:[CCCM Management]],6,FALSE)</f>
        <v>Yes</v>
      </c>
      <c r="DK19" s="245" t="str">
        <f>VLOOKUP(WWWW[[#This Row],[Site Name]],SiteDB6[[Site Name]:[CCCM Focal Agency]],7,FALSE)</f>
        <v>KBC</v>
      </c>
      <c r="DL19" s="245" t="str">
        <f>VLOOKUP(WWWW[[#This Row],[Site Name]],SiteDB6[[Site Name]:[Location Type 1]],9,FALSE)</f>
        <v>Camp</v>
      </c>
      <c r="DM19" s="245" t="str">
        <f>VLOOKUP(WWWW[[#This Row],[Site Name]],SiteDB6[[Site Name]:[Type of Accommodation]],10,FALSE)</f>
        <v>Camp</v>
      </c>
      <c r="DN19" s="245" t="str">
        <f>VLOOKUP(WWWW[[#This Row],[Site Name]],SiteDB6[[Site Name]:[Ethnic or GCA/NGCA]],11,FALSE)</f>
        <v>GCA</v>
      </c>
      <c r="DO19" s="245">
        <f>VLOOKUP(WWWW[[#This Row],[Site Name]],SiteDB6[[Site Name]:[Lat]],12,FALSE)</f>
        <v>24.200972</v>
      </c>
      <c r="DP19" s="245">
        <f>VLOOKUP(WWWW[[#This Row],[Site Name]],SiteDB6[[Site Name]:[Long]],13,FALSE)</f>
        <v>97.718582999999995</v>
      </c>
      <c r="DQ19" s="245" t="str">
        <f>VLOOKUP(WWWW[[#This Row],[Site Name]],SiteDB6[[Site Name]:[Pcode]],3,FALSE)</f>
        <v>MMR001CMP071</v>
      </c>
      <c r="DR19" s="215" t="str">
        <f t="shared" si="1"/>
        <v>Covered</v>
      </c>
      <c r="DS19" s="215"/>
      <c r="DT19" s="20"/>
      <c r="DU19" s="20"/>
      <c r="DV19" s="20"/>
      <c r="DW19" s="20"/>
      <c r="DX19" s="20"/>
      <c r="DY19" s="20"/>
      <c r="DZ19" s="20"/>
      <c r="EA19" s="20"/>
      <c r="EB19" s="20"/>
      <c r="EC19" s="20"/>
      <c r="ED19" s="20"/>
      <c r="EE19" s="20"/>
      <c r="EF19" s="20"/>
      <c r="EG19" s="20"/>
      <c r="EH19" s="20"/>
    </row>
    <row r="20" spans="1:138" ht="12.75" customHeight="1">
      <c r="A20" s="259" t="s">
        <v>2525</v>
      </c>
      <c r="B20" s="663" t="s">
        <v>200</v>
      </c>
      <c r="C20" s="663" t="s">
        <v>200</v>
      </c>
      <c r="D20" s="663" t="s">
        <v>2967</v>
      </c>
      <c r="E20" s="663" t="s">
        <v>39</v>
      </c>
      <c r="F20" s="663" t="s">
        <v>213</v>
      </c>
      <c r="G20" s="663" t="str">
        <f>VLOOKUP(WWWW[[#This Row],[Site Name]],SiteDB6[[Site Name]:[Location Type]],8,FALSE)</f>
        <v>Camp_not registered</v>
      </c>
      <c r="H20" s="663" t="s">
        <v>215</v>
      </c>
      <c r="I20" s="379">
        <v>17</v>
      </c>
      <c r="J20" s="379">
        <v>106</v>
      </c>
      <c r="K20" s="642">
        <v>43466</v>
      </c>
      <c r="L20" s="78">
        <v>43830</v>
      </c>
      <c r="M20" s="700"/>
      <c r="N20" s="700"/>
      <c r="O20" s="700"/>
      <c r="P20" s="700"/>
      <c r="Q20" s="77" t="s">
        <v>144</v>
      </c>
      <c r="R20" s="377"/>
      <c r="S20" s="377"/>
      <c r="T20" s="377">
        <v>1</v>
      </c>
      <c r="U20" s="377"/>
      <c r="V20" s="377"/>
      <c r="W20" s="377"/>
      <c r="X20" s="377"/>
      <c r="Y20" s="377"/>
      <c r="Z20" s="377"/>
      <c r="AA20" s="377"/>
      <c r="AB20" s="377"/>
      <c r="AC20" s="377"/>
      <c r="AD20" s="377"/>
      <c r="AE20" s="377"/>
      <c r="AF20" s="377"/>
      <c r="AG20" s="377"/>
      <c r="AH20" s="377"/>
      <c r="AI20" s="377"/>
      <c r="AJ20" s="377"/>
      <c r="AK20" s="377"/>
      <c r="AL20" s="377"/>
      <c r="AM20" s="377"/>
      <c r="AN20" s="377"/>
      <c r="AO20" s="215"/>
      <c r="AP20" s="377">
        <v>4</v>
      </c>
      <c r="AQ20" s="377"/>
      <c r="AR20" s="77"/>
      <c r="AS20" s="377">
        <v>1</v>
      </c>
      <c r="AT20" s="377"/>
      <c r="AU20" s="377"/>
      <c r="AV20" s="377"/>
      <c r="AW20" s="377"/>
      <c r="AX20" s="694" t="s">
        <v>43</v>
      </c>
      <c r="AY20" s="694" t="s">
        <v>145</v>
      </c>
      <c r="AZ20" s="377"/>
      <c r="BA20" s="377"/>
      <c r="BB20" s="377"/>
      <c r="BC20" s="215"/>
      <c r="BD20" s="377">
        <v>2</v>
      </c>
      <c r="BE20" s="377"/>
      <c r="BF20" s="377"/>
      <c r="BG20" s="377">
        <v>2</v>
      </c>
      <c r="BH20" s="377"/>
      <c r="BI20" s="377"/>
      <c r="BJ20" s="377"/>
      <c r="BK20" s="377"/>
      <c r="BL20" s="377"/>
      <c r="BM20" s="215"/>
      <c r="BN20" s="80"/>
      <c r="BO20" s="82"/>
      <c r="BP20" s="215"/>
      <c r="BQ20" s="79" t="str">
        <f>IFERROR(WWWW[[#This Row],['#_Water sources treated]]/WWWW[[#This Row],['#_Water sources tested for contamination]],"no test")</f>
        <v>no test</v>
      </c>
      <c r="BR20" s="82" t="str">
        <f>IFERROR(WWWW[[#This Row],['#_Household received remediation action due to contamination]]/WWWW[[#This Row],['#_Household water samples tested for contamination]],"no test")</f>
        <v>no test</v>
      </c>
      <c r="BS20" s="81" t="str">
        <f>IF(AND(WWWW[[#This Row],[% of water sources treated]]="no test",WWWW[[#This Row],[% Household received corrective actions]]="no test"),"No Test","Tested")</f>
        <v>No Test</v>
      </c>
      <c r="BT20" s="81">
        <f>WWWW[[#This Row],['#_Constructed/existing protected hand dug well]]-WWWW[[#This Row],['#_Non-functional protected hand dug well]]</f>
        <v>1</v>
      </c>
      <c r="BU20" s="81">
        <f>(WWWW[[#This Row],['#_Constructed/Existing tube wells/boreholes/handpumps_WASH_agency]]+WWWW[[#This Row],['#_Non-Cluster partner water tube-wells/boreholes/handpumps]])-WWWW[[#This Row],['#_Non-functional tube wells/boreholes/handpumps]]</f>
        <v>0</v>
      </c>
      <c r="BV20" s="81">
        <f>WWWW[[#This Row],['#_Constructed/Existingwater storage tank with gravity fed reticulation system]]-WWWW[[#This Row],['#_Non-functional storage tank gravity fed reticulation system]]</f>
        <v>0</v>
      </c>
      <c r="BW20" s="81">
        <f>WWWW[[#This Row],['#_Water boating or water trucking]]</f>
        <v>0</v>
      </c>
      <c r="BX20" s="81">
        <f>WWWW[[#This Row],['#_Constructed/Existing water distribution system from river or natural spring]]</f>
        <v>0</v>
      </c>
      <c r="BY20"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20"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20" s="82">
        <f>IF(WWWW[[#This Row],[Location Type 1]]="Village",WWWW[[#This Row],[Access to safe drinking water for Village]],WWWW[[#This Row],[Access to safe drinking water for Camp]])</f>
        <v>1</v>
      </c>
      <c r="CB20" s="80">
        <f>WWWW[[#This Row],[%Equitable and continuous access to sufficient quantity of safe drinking water]]*WWWW[[#This Row],[Total PoP ]]</f>
        <v>106</v>
      </c>
      <c r="CC20" s="82">
        <f>IF((WWWW[[#This Row],['#_Constructed/Existing protected/fenced ponds]]*250)/WWWW[[#This Row],[Total PoP ]]&gt;1,1,(WWWW[[#This Row],['#_Constructed/Existing protected/fenced ponds]]*250)/WWWW[[#This Row],[Total PoP ]])</f>
        <v>0</v>
      </c>
      <c r="CD20" s="80">
        <f>WWWW[[#This Row],[% Access to unimproved water points]]*WWWW[[#This Row],[Total PoP ]]</f>
        <v>0</v>
      </c>
      <c r="CE20"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20"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106</v>
      </c>
      <c r="CG20" s="80">
        <f>WWWW[[#This Row],[HRP1]]/500</f>
        <v>0.21199999999999999</v>
      </c>
      <c r="CH20" s="79">
        <f>1-WWWW[[#This Row],[% Equitable and continuous access to sufficient quantity of domestic water]]</f>
        <v>0</v>
      </c>
      <c r="CI20" s="80">
        <f>WWWW[[#This Row],[%equitable and continuous access to sufficient quantity of safe drinking and domestic water''s GAP]]*WWWW[[#This Row],[Total PoP ]]</f>
        <v>0</v>
      </c>
      <c r="CJ20" s="81">
        <f>IF(WWWW[[#This Row],[Total required water points]]-WWWW[[#This Row],['#Water points coverage]]&lt;0,0,WWWW[[#This Row],[Total required water points]]-WWWW[[#This Row],['#Water points coverage]])</f>
        <v>0.78800000000000003</v>
      </c>
      <c r="CK20" s="81">
        <f>ROUND(IF(WWWW[[#This Row],[Total PoP ]]&lt;500,1,WWWW[[#This Row],[Total PoP ]]/500),0)</f>
        <v>1</v>
      </c>
      <c r="CL20" s="81">
        <f>(WWWW[[#This Row],['#_Constructed latrines_by_WASHAgencies]]+WWWW[[#This Row],['#_Non Cluster partner latrines]])-WWWW[[#This Row],['#_Non-functional latrines]]</f>
        <v>3</v>
      </c>
      <c r="CM20"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0.56603773584905659</v>
      </c>
      <c r="CN20"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60</v>
      </c>
      <c r="CO20"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20" s="81">
        <f>IF(WWWW[[#This Row],[Location Type 1]]="Village","NA",IF(WWWW[[#This Row],['#_Constructed/Existing latrines in TLS]]*50&gt;WWWW[[#This Row],['#_students at TLS_CFS]],WWWW[[#This Row],['#_students at TLS_CFS]],(WWWW[[#This Row],['#_Constructed/Existing latrines in TLS]]*50)))</f>
        <v>0</v>
      </c>
      <c r="CQ20" s="81">
        <f>ROUND(IF(WWWW[[#This Row],[Location Type 1]]="camp",WWWW[[#This Row],[Total PoP ]]/20,IF(WWWW[[#This Row],[Location Type 1]]="Temporary Location",WWWW[[#This Row],[Total PoP ]]/50,(WWWW[[#This Row],[Total PoP ]]/6))),0)</f>
        <v>5</v>
      </c>
      <c r="CR20" s="80">
        <f>IF(WWWW[[#This Row],[Total required Latrines]]-(WWWW[[#This Row],['#_Constructed latrines_by_WASHAgencies]]+WWWW[[#This Row],['#_Non Cluster partner latrines]])&lt;0,0,WWWW[[#This Row],[Total required Latrines]]-(WWWW[[#This Row],['#_Constructed latrines_by_WASHAgencies]]+WWWW[[#This Row],['#_Non Cluster partner latrines]]))</f>
        <v>1</v>
      </c>
      <c r="CS20" s="79">
        <f>1-WWWW[[#This Row],[% people access to functioning Latrine]]</f>
        <v>0.43396226415094341</v>
      </c>
      <c r="CT20" s="83">
        <f>IF(OR(WWWW[[#This Row],['#_Non-functional latrines]]="",WWWW[[#This Row],['#_Non-functional latrines]]=0),0,WWWW[[#This Row],['#_Non-functional latrines]]/(WWWW[[#This Row],['#_Constructed latrines_by_WASHAgencies]]+WWWW[[#This Row],['#_Non Cluster partner latrines]]))</f>
        <v>0.25</v>
      </c>
      <c r="CU20" s="80">
        <f>IF(500*(WWWW[[#This Row],['#_male hygiene promoters]]+WWWW[[#This Row],['#_female hygiene promoters]])&gt;WWWW[[#This Row],[Total PoP ]],WWWW[[#This Row],[Total PoP ]],500*(WWWW[[#This Row],['#_male hygiene promoters]]+WWWW[[#This Row],['#_female hygiene promoters]]))</f>
        <v>0</v>
      </c>
      <c r="CV20"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0"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0" s="81">
        <f>IF(WWWW[[#This Row],['# People with access to soap]]&gt;WWWW[[#This Row],['# People with access to Sanity Pads]],WWWW[[#This Row],['# People with access to soap]],WWWW[[#This Row],['# People with access to Sanity Pads]])</f>
        <v>0</v>
      </c>
      <c r="CY20"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0" s="79">
        <f>IF(WWWW[[#This Row],[HRP3]]/WWWW[[#This Row],[Total PoP ]]&gt;100%,100%,WWWW[[#This Row],[HRP3]]/WWWW[[#This Row],[Total PoP ]])</f>
        <v>0</v>
      </c>
      <c r="DA20" s="83">
        <f>1-WWWW[[#This Row],[Hygiene Coverage%]]</f>
        <v>1</v>
      </c>
      <c r="DB20" s="82">
        <f>WWWW[[#This Row],['# people reached by regular dedicated hygiene promotion_5]]/WWWW[[#This Row],[Total PoP ]]</f>
        <v>0</v>
      </c>
      <c r="DC20" s="82">
        <f>IF(WWWW[[#This Row],['#_households that received standard amount of soap for this quarter]]/WWWW[[#This Row],[Total HH]]&gt;1,1,WWWW[[#This Row],['#_households that received standard amount of soap for this quarter]]/WWWW[[#This Row],[Total HH]])</f>
        <v>0</v>
      </c>
      <c r="DD20" s="82">
        <f>IF(WWWW[[#This Row],['#_households that received standard amount of sanitary pads for this quarter]]/WWWW[[#This Row],[Total HH]]&gt;1,1,WWWW[[#This Row],['#_households that received standard amount of sanitary pads for this quarter]]/WWWW[[#This Row],[Total HH]])</f>
        <v>0</v>
      </c>
      <c r="DE20" s="81">
        <f>WWWW[[#This Row],['#_Constructed/Existing hand washing stations]]-WWWW[[#This Row],['#_Non-Functional_hand_washing_stations]]</f>
        <v>2</v>
      </c>
      <c r="DF20" s="667">
        <f>IF(WWWW[[#This Row],['# Functional hand washing stations during reporting period]]*20&gt;WWWW[[#This Row],[Total HH]],WWWW[[#This Row],[Total HH]],WWWW[[#This Row],['# Functional hand washing stations during reporting period]]*20)</f>
        <v>17</v>
      </c>
      <c r="DG20" s="80">
        <f>IF(WWWW[[#This Row],[Is sufficient soap available for TLS? (Yes/No)]]="yes",WWWW[[#This Row],['#_Constructed/Existing hand washing stations at TLS]],0)</f>
        <v>0</v>
      </c>
      <c r="DH20" s="667">
        <f>IF(WWWW[[#This Row],['# Functional hand washing stations during reporting period]]*100&gt;WWWW[[#This Row],[Total PoP ]],WWWW[[#This Row],[Total PoP ]],WWWW[[#This Row],['# Functional hand washing stations during reporting period]]*100)</f>
        <v>106</v>
      </c>
      <c r="DI20" s="667" t="str">
        <f>IF(WWWW[[#This Row],['#_students at TLS_CFS]]="","No","Yes")</f>
        <v>No</v>
      </c>
      <c r="DJ20" s="245">
        <f>VLOOKUP(WWWW[[#This Row],[Site Name]],SiteDB6[[Site Name]:[CCCM Management]],6,FALSE)</f>
        <v>0</v>
      </c>
      <c r="DK20" s="245">
        <f>VLOOKUP(WWWW[[#This Row],[Site Name]],SiteDB6[[Site Name]:[CCCM Focal Agency]],7,FALSE)</f>
        <v>0</v>
      </c>
      <c r="DL20" s="245" t="str">
        <f>VLOOKUP(WWWW[[#This Row],[Site Name]],SiteDB6[[Site Name]:[Location Type 1]],9,FALSE)</f>
        <v>Camp</v>
      </c>
      <c r="DM20" s="245" t="str">
        <f>VLOOKUP(WWWW[[#This Row],[Site Name]],SiteDB6[[Site Name]:[Type of Accommodation]],10,FALSE)</f>
        <v>Camp</v>
      </c>
      <c r="DN20" s="245" t="str">
        <f>VLOOKUP(WWWW[[#This Row],[Site Name]],SiteDB6[[Site Name]:[Ethnic or GCA/NGCA]],11,FALSE)</f>
        <v>GCA</v>
      </c>
      <c r="DO20" s="245">
        <f>VLOOKUP(WWWW[[#This Row],[Site Name]],SiteDB6[[Site Name]:[Lat]],12,FALSE)</f>
        <v>0</v>
      </c>
      <c r="DP20" s="245">
        <f>VLOOKUP(WWWW[[#This Row],[Site Name]],SiteDB6[[Site Name]:[Long]],13,FALSE)</f>
        <v>0</v>
      </c>
      <c r="DQ20" s="245">
        <f>VLOOKUP(WWWW[[#This Row],[Site Name]],SiteDB6[[Site Name]:[Pcode]],3,FALSE)</f>
        <v>0</v>
      </c>
      <c r="DR20" s="215" t="str">
        <f t="shared" si="1"/>
        <v>Covered</v>
      </c>
      <c r="DS20" s="215"/>
      <c r="DT20" s="20"/>
      <c r="DU20" s="20"/>
      <c r="DV20" s="20"/>
      <c r="DW20" s="20"/>
      <c r="DX20" s="20"/>
      <c r="DY20" s="20"/>
      <c r="DZ20" s="20"/>
      <c r="EA20" s="20"/>
      <c r="EB20" s="20"/>
      <c r="EC20" s="20"/>
      <c r="ED20" s="20"/>
      <c r="EE20" s="20"/>
      <c r="EF20" s="20"/>
      <c r="EG20" s="20"/>
      <c r="EH20" s="20"/>
    </row>
    <row r="21" spans="1:138" ht="20.25" customHeight="1">
      <c r="A21" s="259" t="s">
        <v>2525</v>
      </c>
      <c r="B21" s="663" t="s">
        <v>250</v>
      </c>
      <c r="C21" s="663" t="s">
        <v>250</v>
      </c>
      <c r="D21" s="663" t="s">
        <v>315</v>
      </c>
      <c r="E21" s="663" t="s">
        <v>39</v>
      </c>
      <c r="F21" s="663" t="s">
        <v>154</v>
      </c>
      <c r="G21" s="663" t="str">
        <f>VLOOKUP(WWWW[[#This Row],[Site Name]],SiteDB6[[Site Name]:[Location Type]],8,FALSE)</f>
        <v>Camp</v>
      </c>
      <c r="H21" s="663" t="s">
        <v>253</v>
      </c>
      <c r="I21" s="700">
        <v>162</v>
      </c>
      <c r="J21" s="700">
        <v>830</v>
      </c>
      <c r="K21" s="642">
        <v>43313</v>
      </c>
      <c r="L21" s="78">
        <v>44043</v>
      </c>
      <c r="M21" s="700"/>
      <c r="N21" s="700">
        <v>1</v>
      </c>
      <c r="O21" s="700"/>
      <c r="P21" s="700"/>
      <c r="Q21" s="77" t="s">
        <v>43</v>
      </c>
      <c r="R21" s="377">
        <v>2</v>
      </c>
      <c r="S21" s="377">
        <v>3</v>
      </c>
      <c r="T21" s="377">
        <v>0</v>
      </c>
      <c r="U21" s="377"/>
      <c r="V21" s="377"/>
      <c r="W21" s="377">
        <v>0</v>
      </c>
      <c r="X21" s="377"/>
      <c r="Y21" s="377"/>
      <c r="Z21" s="377"/>
      <c r="AA21" s="377">
        <v>1</v>
      </c>
      <c r="AB21" s="377"/>
      <c r="AC21" s="377"/>
      <c r="AD21" s="377"/>
      <c r="AE21" s="377"/>
      <c r="AF21" s="377"/>
      <c r="AG21" s="377"/>
      <c r="AH21" s="377">
        <v>1</v>
      </c>
      <c r="AI21" s="377"/>
      <c r="AJ21" s="377"/>
      <c r="AK21" s="377"/>
      <c r="AL21" s="377"/>
      <c r="AM21" s="377"/>
      <c r="AN21" s="377"/>
      <c r="AO21" s="215"/>
      <c r="AP21" s="377">
        <v>40</v>
      </c>
      <c r="AQ21" s="377">
        <v>12</v>
      </c>
      <c r="AR21" s="77" t="s">
        <v>1249</v>
      </c>
      <c r="AS21" s="377">
        <v>0</v>
      </c>
      <c r="AT21" s="377">
        <v>0</v>
      </c>
      <c r="AU21" s="377">
        <v>0</v>
      </c>
      <c r="AV21" s="377">
        <v>0</v>
      </c>
      <c r="AW21" s="377">
        <v>0</v>
      </c>
      <c r="AX21" s="245" t="s">
        <v>144</v>
      </c>
      <c r="AY21" s="245" t="s">
        <v>1200</v>
      </c>
      <c r="AZ21" s="377">
        <v>0</v>
      </c>
      <c r="BA21" s="377">
        <v>0</v>
      </c>
      <c r="BB21" s="377">
        <v>0</v>
      </c>
      <c r="BC21" s="215"/>
      <c r="BD21" s="377">
        <v>5</v>
      </c>
      <c r="BE21" s="377">
        <v>5</v>
      </c>
      <c r="BF21" s="377">
        <v>0</v>
      </c>
      <c r="BG21" s="377">
        <v>8</v>
      </c>
      <c r="BH21" s="377">
        <v>8</v>
      </c>
      <c r="BI21" s="377">
        <v>2</v>
      </c>
      <c r="BJ21" s="377">
        <v>3</v>
      </c>
      <c r="BK21" s="377">
        <v>0</v>
      </c>
      <c r="BL21" s="377">
        <v>0</v>
      </c>
      <c r="BM21" s="215" t="s">
        <v>144</v>
      </c>
      <c r="BN21" s="80">
        <v>0</v>
      </c>
      <c r="BO21" s="82">
        <v>0.2</v>
      </c>
      <c r="BP21" s="215"/>
      <c r="BQ21" s="79" t="str">
        <f>IFERROR(WWWW[[#This Row],['#_Water sources treated]]/WWWW[[#This Row],['#_Water sources tested for contamination]],"no test")</f>
        <v>no test</v>
      </c>
      <c r="BR21" s="82" t="str">
        <f>IFERROR(WWWW[[#This Row],['#_Household received remediation action due to contamination]]/WWWW[[#This Row],['#_Household water samples tested for contamination]],"no test")</f>
        <v>no test</v>
      </c>
      <c r="BS21" s="81" t="str">
        <f>IF(AND(WWWW[[#This Row],[% of water sources treated]]="no test",WWWW[[#This Row],[% Household received corrective actions]]="no test"),"No Test","Tested")</f>
        <v>No Test</v>
      </c>
      <c r="BT21" s="81">
        <f>WWWW[[#This Row],['#_Constructed/existing protected hand dug well]]-WWWW[[#This Row],['#_Non-functional protected hand dug well]]</f>
        <v>0</v>
      </c>
      <c r="BU21" s="81">
        <f>(WWWW[[#This Row],['#_Constructed/Existing tube wells/boreholes/handpumps_WASH_agency]]+WWWW[[#This Row],['#_Non-Cluster partner water tube-wells/boreholes/handpumps]])-WWWW[[#This Row],['#_Non-functional tube wells/boreholes/handpumps]]</f>
        <v>0</v>
      </c>
      <c r="BV21" s="81">
        <f>WWWW[[#This Row],['#_Constructed/Existingwater storage tank with gravity fed reticulation system]]-WWWW[[#This Row],['#_Non-functional storage tank gravity fed reticulation system]]</f>
        <v>1</v>
      </c>
      <c r="BW21" s="81">
        <f>WWWW[[#This Row],['#_Water boating or water trucking]]</f>
        <v>0</v>
      </c>
      <c r="BX21" s="81">
        <f>WWWW[[#This Row],['#_Constructed/Existing water distribution system from river or natural spring]]</f>
        <v>0</v>
      </c>
      <c r="BY21"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8.0321285140562249E-2</v>
      </c>
      <c r="BZ21"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8.0321285140562249E-2</v>
      </c>
      <c r="CA21" s="82">
        <f>IF(WWWW[[#This Row],[Location Type 1]]="Village",WWWW[[#This Row],[Access to safe drinking water for Village]],WWWW[[#This Row],[Access to safe drinking water for Camp]])</f>
        <v>8.0321285140562249E-2</v>
      </c>
      <c r="CB21" s="80">
        <f>WWWW[[#This Row],[%Equitable and continuous access to sufficient quantity of safe drinking water]]*WWWW[[#This Row],[Total PoP ]]</f>
        <v>66.666666666666671</v>
      </c>
      <c r="CC21" s="82">
        <f>IF((WWWW[[#This Row],['#_Constructed/Existing protected/fenced ponds]]*250)/WWWW[[#This Row],[Total PoP ]]&gt;1,1,(WWWW[[#This Row],['#_Constructed/Existing protected/fenced ponds]]*250)/WWWW[[#This Row],[Total PoP ]])</f>
        <v>0</v>
      </c>
      <c r="CD21" s="80">
        <f>WWWW[[#This Row],[% Access to unimproved water points]]*WWWW[[#This Row],[Total PoP ]]</f>
        <v>0</v>
      </c>
      <c r="CE21"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8.0321285140562249E-2</v>
      </c>
      <c r="CF21"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G21" s="80">
        <f>WWWW[[#This Row],[HRP1]]/500</f>
        <v>0.13333333333333333</v>
      </c>
      <c r="CH21" s="79">
        <f>1-WWWW[[#This Row],[% Equitable and continuous access to sufficient quantity of domestic water]]</f>
        <v>0.91967871485943775</v>
      </c>
      <c r="CI21" s="80">
        <f>WWWW[[#This Row],[%equitable and continuous access to sufficient quantity of safe drinking and domestic water''s GAP]]*WWWW[[#This Row],[Total PoP ]]</f>
        <v>763.33333333333337</v>
      </c>
      <c r="CJ21" s="81">
        <f>IF(WWWW[[#This Row],[Total required water points]]-WWWW[[#This Row],['#Water points coverage]]&lt;0,0,WWWW[[#This Row],[Total required water points]]-WWWW[[#This Row],['#Water points coverage]])</f>
        <v>1.8666666666666667</v>
      </c>
      <c r="CK21" s="81">
        <f>ROUND(IF(WWWW[[#This Row],[Total PoP ]]&lt;500,1,WWWW[[#This Row],[Total PoP ]]/500),0)</f>
        <v>2</v>
      </c>
      <c r="CL21" s="81">
        <f>(WWWW[[#This Row],['#_Constructed latrines_by_WASHAgencies]]+WWWW[[#This Row],['#_Non Cluster partner latrines]])-WWWW[[#This Row],['#_Non-functional latrines]]</f>
        <v>52</v>
      </c>
      <c r="CM21"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21"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830</v>
      </c>
      <c r="CO21"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21" s="81">
        <f>IF(WWWW[[#This Row],[Location Type 1]]="Village","NA",IF(WWWW[[#This Row],['#_Constructed/Existing latrines in TLS]]*50&gt;WWWW[[#This Row],['#_students at TLS_CFS]],WWWW[[#This Row],['#_students at TLS_CFS]],(WWWW[[#This Row],['#_Constructed/Existing latrines in TLS]]*50)))</f>
        <v>0</v>
      </c>
      <c r="CQ21" s="81">
        <f>ROUND(IF(WWWW[[#This Row],[Location Type 1]]="camp",WWWW[[#This Row],[Total PoP ]]/20,IF(WWWW[[#This Row],[Location Type 1]]="Temporary Location",WWWW[[#This Row],[Total PoP ]]/50,(WWWW[[#This Row],[Total PoP ]]/6))),0)</f>
        <v>42</v>
      </c>
      <c r="CR21" s="80">
        <f>IF(WWWW[[#This Row],[Total required Latrines]]-(WWWW[[#This Row],['#_Constructed latrines_by_WASHAgencies]]+WWWW[[#This Row],['#_Non Cluster partner latrines]])&lt;0,0,WWWW[[#This Row],[Total required Latrines]]-(WWWW[[#This Row],['#_Constructed latrines_by_WASHAgencies]]+WWWW[[#This Row],['#_Non Cluster partner latrines]]))</f>
        <v>0</v>
      </c>
      <c r="CS21" s="79">
        <f>1-WWWW[[#This Row],[% people access to functioning Latrine]]</f>
        <v>0</v>
      </c>
      <c r="CT21" s="83">
        <f>IF(OR(WWWW[[#This Row],['#_Non-functional latrines]]="",WWWW[[#This Row],['#_Non-functional latrines]]=0),0,WWWW[[#This Row],['#_Non-functional latrines]]/(WWWW[[#This Row],['#_Constructed latrines_by_WASHAgencies]]+WWWW[[#This Row],['#_Non Cluster partner latrines]]))</f>
        <v>0</v>
      </c>
      <c r="CU21" s="80">
        <f>IF(500*(WWWW[[#This Row],['#_male hygiene promoters]]+WWWW[[#This Row],['#_female hygiene promoters]])&gt;WWWW[[#This Row],[Total PoP ]],WWWW[[#This Row],[Total PoP ]],500*(WWWW[[#This Row],['#_male hygiene promoters]]+WWWW[[#This Row],['#_female hygiene promoters]]))</f>
        <v>830</v>
      </c>
      <c r="CV21"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1"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1" s="81">
        <f>IF(WWWW[[#This Row],['# People with access to soap]]&gt;WWWW[[#This Row],['# People with access to Sanity Pads]],WWWW[[#This Row],['# People with access to soap]],WWWW[[#This Row],['# People with access to Sanity Pads]])</f>
        <v>0</v>
      </c>
      <c r="CY21" s="81">
        <f>IF(WWWW[[#This Row],['# people reached by regular dedicated hygiene promotion_5]]&gt;WWWW[[#This Row],['# People received regular supply of hygiene items_6]],WWWW[[#This Row],['# people reached by regular dedicated hygiene promotion_5]],WWWW[[#This Row],['# People received regular supply of hygiene items_6]])</f>
        <v>830</v>
      </c>
      <c r="CZ21" s="79">
        <f>IF(WWWW[[#This Row],[HRP3]]/WWWW[[#This Row],[Total PoP ]]&gt;100%,100%,WWWW[[#This Row],[HRP3]]/WWWW[[#This Row],[Total PoP ]])</f>
        <v>1</v>
      </c>
      <c r="DA21" s="83">
        <f>1-WWWW[[#This Row],[Hygiene Coverage%]]</f>
        <v>0</v>
      </c>
      <c r="DB21" s="82">
        <f>WWWW[[#This Row],['# people reached by regular dedicated hygiene promotion_5]]/WWWW[[#This Row],[Total PoP ]]</f>
        <v>1</v>
      </c>
      <c r="DC21" s="82">
        <f>IF(WWWW[[#This Row],['#_households that received standard amount of soap for this quarter]]/WWWW[[#This Row],[Total HH]]&gt;1,1,WWWW[[#This Row],['#_households that received standard amount of soap for this quarter]]/WWWW[[#This Row],[Total HH]])</f>
        <v>0</v>
      </c>
      <c r="DD21" s="82">
        <f>IF(WWWW[[#This Row],['#_households that received standard amount of sanitary pads for this quarter]]/WWWW[[#This Row],[Total HH]]&gt;1,1,WWWW[[#This Row],['#_households that received standard amount of sanitary pads for this quarter]]/WWWW[[#This Row],[Total HH]])</f>
        <v>0</v>
      </c>
      <c r="DE21" s="81">
        <f>WWWW[[#This Row],['#_Constructed/Existing hand washing stations]]-WWWW[[#This Row],['#_Non-Functional_hand_washing_stations]]</f>
        <v>0</v>
      </c>
      <c r="DF21" s="667">
        <f>IF(WWWW[[#This Row],['# Functional hand washing stations during reporting period]]*20&gt;WWWW[[#This Row],[Total HH]],WWWW[[#This Row],[Total HH]],WWWW[[#This Row],['# Functional hand washing stations during reporting period]]*20)</f>
        <v>0</v>
      </c>
      <c r="DG21" s="80">
        <f>IF(WWWW[[#This Row],[Is sufficient soap available for TLS? (Yes/No)]]="yes",WWWW[[#This Row],['#_Constructed/Existing hand washing stations at TLS]],0)</f>
        <v>0</v>
      </c>
      <c r="DH21" s="667">
        <f>IF(WWWW[[#This Row],['# Functional hand washing stations during reporting period]]*100&gt;WWWW[[#This Row],[Total PoP ]],WWWW[[#This Row],[Total PoP ]],WWWW[[#This Row],['# Functional hand washing stations during reporting period]]*100)</f>
        <v>0</v>
      </c>
      <c r="DI21" s="667" t="str">
        <f>IF(WWWW[[#This Row],['#_students at TLS_CFS]]="","No","Yes")</f>
        <v>No</v>
      </c>
      <c r="DJ21" s="245" t="str">
        <f>VLOOKUP(WWWW[[#This Row],[Site Name]],SiteDB6[[Site Name]:[CCCM Management]],6,FALSE)</f>
        <v>Yes</v>
      </c>
      <c r="DK21" s="245" t="str">
        <f>VLOOKUP(WWWW[[#This Row],[Site Name]],SiteDB6[[Site Name]:[CCCM Focal Agency]],7,FALSE)</f>
        <v>Shalom</v>
      </c>
      <c r="DL21" s="245" t="str">
        <f>VLOOKUP(WWWW[[#This Row],[Site Name]],SiteDB6[[Site Name]:[Location Type 1]],9,FALSE)</f>
        <v>Camp</v>
      </c>
      <c r="DM21" s="245" t="str">
        <f>VLOOKUP(WWWW[[#This Row],[Site Name]],SiteDB6[[Site Name]:[Type of Accommodation]],10,FALSE)</f>
        <v>Camp</v>
      </c>
      <c r="DN21" s="245" t="str">
        <f>VLOOKUP(WWWW[[#This Row],[Site Name]],SiteDB6[[Site Name]:[Ethnic or GCA/NGCA]],11,FALSE)</f>
        <v>GCA</v>
      </c>
      <c r="DO21" s="245">
        <f>VLOOKUP(WWWW[[#This Row],[Site Name]],SiteDB6[[Site Name]:[Lat]],12,FALSE)</f>
        <v>25.889410000000002</v>
      </c>
      <c r="DP21" s="245">
        <f>VLOOKUP(WWWW[[#This Row],[Site Name]],SiteDB6[[Site Name]:[Long]],13,FALSE)</f>
        <v>98.131550000000004</v>
      </c>
      <c r="DQ21" s="245" t="str">
        <f>VLOOKUP(WWWW[[#This Row],[Site Name]],SiteDB6[[Site Name]:[Pcode]],3,FALSE)</f>
        <v>MMR001CMP042</v>
      </c>
      <c r="DR21" s="215" t="str">
        <f t="shared" si="1"/>
        <v>Covered</v>
      </c>
      <c r="DS21" s="215"/>
      <c r="DT21" s="20"/>
      <c r="DU21" s="20"/>
      <c r="DV21" s="20"/>
      <c r="DW21" s="20"/>
      <c r="DX21" s="20"/>
      <c r="DY21" s="20"/>
      <c r="DZ21" s="20"/>
      <c r="EA21" s="20"/>
      <c r="EB21" s="20"/>
      <c r="EC21" s="20"/>
      <c r="ED21" s="20"/>
      <c r="EE21" s="20"/>
      <c r="EF21" s="20"/>
      <c r="EG21" s="20"/>
      <c r="EH21" s="20"/>
    </row>
    <row r="22" spans="1:138" ht="15.75" customHeight="1">
      <c r="A22" s="259" t="s">
        <v>2525</v>
      </c>
      <c r="B22" s="259" t="s">
        <v>149</v>
      </c>
      <c r="C22" s="663" t="s">
        <v>149</v>
      </c>
      <c r="D22" s="663" t="s">
        <v>152</v>
      </c>
      <c r="E22" s="663" t="s">
        <v>39</v>
      </c>
      <c r="F22" s="663" t="s">
        <v>167</v>
      </c>
      <c r="G22" s="663" t="str">
        <f>VLOOKUP(WWWW[[#This Row],[Site Name]],SiteDB6[[Site Name]:[Location Type]],8,FALSE)</f>
        <v>Camp</v>
      </c>
      <c r="H22" s="663" t="s">
        <v>168</v>
      </c>
      <c r="I22" s="700">
        <v>43</v>
      </c>
      <c r="J22" s="700">
        <v>197</v>
      </c>
      <c r="K22" s="642">
        <v>43556</v>
      </c>
      <c r="L22" s="78">
        <v>43677</v>
      </c>
      <c r="M22" s="700"/>
      <c r="N22" s="700"/>
      <c r="O22" s="700"/>
      <c r="P22" s="700"/>
      <c r="Q22" s="77" t="s">
        <v>43</v>
      </c>
      <c r="R22" s="377"/>
      <c r="S22" s="377"/>
      <c r="T22" s="700">
        <v>0</v>
      </c>
      <c r="U22" s="377"/>
      <c r="V22" s="377"/>
      <c r="W22" s="700">
        <v>3</v>
      </c>
      <c r="X22" s="377"/>
      <c r="Y22" s="377"/>
      <c r="Z22" s="377"/>
      <c r="AA22" s="377"/>
      <c r="AB22" s="377"/>
      <c r="AC22" s="377"/>
      <c r="AD22" s="377"/>
      <c r="AE22" s="377"/>
      <c r="AF22" s="377"/>
      <c r="AG22" s="377"/>
      <c r="AH22" s="700">
        <v>3</v>
      </c>
      <c r="AI22" s="377"/>
      <c r="AJ22" s="377"/>
      <c r="AK22" s="377"/>
      <c r="AL22" s="377"/>
      <c r="AM22" s="377"/>
      <c r="AN22" s="377"/>
      <c r="AO22" s="215"/>
      <c r="AP22" s="700">
        <v>7</v>
      </c>
      <c r="AQ22" s="377"/>
      <c r="AR22" s="77"/>
      <c r="AS22" s="377"/>
      <c r="AT22" s="377"/>
      <c r="AU22" s="377">
        <v>9</v>
      </c>
      <c r="AV22" s="377"/>
      <c r="AW22" s="700">
        <v>7</v>
      </c>
      <c r="AX22" s="245" t="s">
        <v>43</v>
      </c>
      <c r="AY22" s="245" t="s">
        <v>145</v>
      </c>
      <c r="AZ22" s="377"/>
      <c r="BA22" s="377"/>
      <c r="BB22" s="377"/>
      <c r="BC22" s="215"/>
      <c r="BD22" s="377"/>
      <c r="BE22" s="377"/>
      <c r="BF22" s="377"/>
      <c r="BG22" s="377">
        <v>3</v>
      </c>
      <c r="BH22" s="377"/>
      <c r="BI22" s="377"/>
      <c r="BJ22" s="377">
        <v>2</v>
      </c>
      <c r="BK22" s="377"/>
      <c r="BL22" s="377"/>
      <c r="BM22" s="215"/>
      <c r="BN22" s="80"/>
      <c r="BO22" s="82"/>
      <c r="BP22" s="215"/>
      <c r="BQ22" s="79" t="str">
        <f>IFERROR(WWWW[[#This Row],['#_Water sources treated]]/WWWW[[#This Row],['#_Water sources tested for contamination]],"no test")</f>
        <v>no test</v>
      </c>
      <c r="BR22" s="82" t="str">
        <f>IFERROR(WWWW[[#This Row],['#_Household received remediation action due to contamination]]/WWWW[[#This Row],['#_Household water samples tested for contamination]],"no test")</f>
        <v>no test</v>
      </c>
      <c r="BS22" s="81" t="str">
        <f>IF(AND(WWWW[[#This Row],[% of water sources treated]]="no test",WWWW[[#This Row],[% Household received corrective actions]]="no test"),"No Test","Tested")</f>
        <v>No Test</v>
      </c>
      <c r="BT22" s="81">
        <f>WWWW[[#This Row],['#_Constructed/existing protected hand dug well]]-WWWW[[#This Row],['#_Non-functional protected hand dug well]]</f>
        <v>0</v>
      </c>
      <c r="BU22" s="81">
        <f>(WWWW[[#This Row],['#_Constructed/Existing tube wells/boreholes/handpumps_WASH_agency]]+WWWW[[#This Row],['#_Non-Cluster partner water tube-wells/boreholes/handpumps]])-WWWW[[#This Row],['#_Non-functional tube wells/boreholes/handpumps]]</f>
        <v>3</v>
      </c>
      <c r="BV22" s="81">
        <f>WWWW[[#This Row],['#_Constructed/Existingwater storage tank with gravity fed reticulation system]]-WWWW[[#This Row],['#_Non-functional storage tank gravity fed reticulation system]]</f>
        <v>0</v>
      </c>
      <c r="BW22" s="81">
        <f>WWWW[[#This Row],['#_Water boating or water trucking]]</f>
        <v>0</v>
      </c>
      <c r="BX22" s="81">
        <f>WWWW[[#This Row],['#_Constructed/Existing water distribution system from river or natural spring]]</f>
        <v>0</v>
      </c>
      <c r="BY22"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22"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22" s="82">
        <f>IF(WWWW[[#This Row],[Location Type 1]]="Village",WWWW[[#This Row],[Access to safe drinking water for Village]],WWWW[[#This Row],[Access to safe drinking water for Camp]])</f>
        <v>1</v>
      </c>
      <c r="CB22" s="80">
        <f>WWWW[[#This Row],[%Equitable and continuous access to sufficient quantity of safe drinking water]]*WWWW[[#This Row],[Total PoP ]]</f>
        <v>197</v>
      </c>
      <c r="CC22" s="82">
        <f>IF((WWWW[[#This Row],['#_Constructed/Existing protected/fenced ponds]]*250)/WWWW[[#This Row],[Total PoP ]]&gt;1,1,(WWWW[[#This Row],['#_Constructed/Existing protected/fenced ponds]]*250)/WWWW[[#This Row],[Total PoP ]])</f>
        <v>0</v>
      </c>
      <c r="CD22" s="80">
        <f>WWWW[[#This Row],[% Access to unimproved water points]]*WWWW[[#This Row],[Total PoP ]]</f>
        <v>0</v>
      </c>
      <c r="CE22"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22"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197</v>
      </c>
      <c r="CG22" s="80">
        <f>WWWW[[#This Row],[HRP1]]/500</f>
        <v>0.39400000000000002</v>
      </c>
      <c r="CH22" s="79">
        <f>1-WWWW[[#This Row],[% Equitable and continuous access to sufficient quantity of domestic water]]</f>
        <v>0</v>
      </c>
      <c r="CI22" s="80">
        <f>WWWW[[#This Row],[%equitable and continuous access to sufficient quantity of safe drinking and domestic water''s GAP]]*WWWW[[#This Row],[Total PoP ]]</f>
        <v>0</v>
      </c>
      <c r="CJ22" s="81">
        <f>IF(WWWW[[#This Row],[Total required water points]]-WWWW[[#This Row],['#Water points coverage]]&lt;0,0,WWWW[[#This Row],[Total required water points]]-WWWW[[#This Row],['#Water points coverage]])</f>
        <v>0.60599999999999998</v>
      </c>
      <c r="CK22" s="81">
        <f>ROUND(IF(WWWW[[#This Row],[Total PoP ]]&lt;500,1,WWWW[[#This Row],[Total PoP ]]/500),0)</f>
        <v>1</v>
      </c>
      <c r="CL22" s="81">
        <f>(WWWW[[#This Row],['#_Constructed latrines_by_WASHAgencies]]+WWWW[[#This Row],['#_Non Cluster partner latrines]])-WWWW[[#This Row],['#_Non-functional latrines]]</f>
        <v>7</v>
      </c>
      <c r="CM22"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0.71065989847715738</v>
      </c>
      <c r="CN22"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140</v>
      </c>
      <c r="CO22"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180</v>
      </c>
      <c r="CP22" s="81">
        <f>IF(WWWW[[#This Row],[Location Type 1]]="Village","NA",IF(WWWW[[#This Row],['#_Constructed/Existing latrines in TLS]]*50&gt;WWWW[[#This Row],['#_students at TLS_CFS]],WWWW[[#This Row],['#_students at TLS_CFS]],(WWWW[[#This Row],['#_Constructed/Existing latrines in TLS]]*50)))</f>
        <v>0</v>
      </c>
      <c r="CQ22" s="81">
        <f>ROUND(IF(WWWW[[#This Row],[Location Type 1]]="camp",WWWW[[#This Row],[Total PoP ]]/20,IF(WWWW[[#This Row],[Location Type 1]]="Temporary Location",WWWW[[#This Row],[Total PoP ]]/50,(WWWW[[#This Row],[Total PoP ]]/6))),0)</f>
        <v>10</v>
      </c>
      <c r="CR22" s="80">
        <f>IF(WWWW[[#This Row],[Total required Latrines]]-(WWWW[[#This Row],['#_Constructed latrines_by_WASHAgencies]]+WWWW[[#This Row],['#_Non Cluster partner latrines]])&lt;0,0,WWWW[[#This Row],[Total required Latrines]]-(WWWW[[#This Row],['#_Constructed latrines_by_WASHAgencies]]+WWWW[[#This Row],['#_Non Cluster partner latrines]]))</f>
        <v>3</v>
      </c>
      <c r="CS22" s="79">
        <f>1-WWWW[[#This Row],[% people access to functioning Latrine]]</f>
        <v>0.28934010152284262</v>
      </c>
      <c r="CT22" s="83">
        <f>IF(OR(WWWW[[#This Row],['#_Non-functional latrines]]="",WWWW[[#This Row],['#_Non-functional latrines]]=0),0,WWWW[[#This Row],['#_Non-functional latrines]]/(WWWW[[#This Row],['#_Constructed latrines_by_WASHAgencies]]+WWWW[[#This Row],['#_Non Cluster partner latrines]]))</f>
        <v>0</v>
      </c>
      <c r="CU22" s="80">
        <f>IF(500*(WWWW[[#This Row],['#_male hygiene promoters]]+WWWW[[#This Row],['#_female hygiene promoters]])&gt;WWWW[[#This Row],[Total PoP ]],WWWW[[#This Row],[Total PoP ]],500*(WWWW[[#This Row],['#_male hygiene promoters]]+WWWW[[#This Row],['#_female hygiene promoters]]))</f>
        <v>197</v>
      </c>
      <c r="CV22"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2"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2" s="81">
        <f>IF(WWWW[[#This Row],['# People with access to soap]]&gt;WWWW[[#This Row],['# People with access to Sanity Pads]],WWWW[[#This Row],['# People with access to soap]],WWWW[[#This Row],['# People with access to Sanity Pads]])</f>
        <v>0</v>
      </c>
      <c r="CY22" s="81">
        <f>IF(WWWW[[#This Row],['# people reached by regular dedicated hygiene promotion_5]]&gt;WWWW[[#This Row],['# People received regular supply of hygiene items_6]],WWWW[[#This Row],['# people reached by regular dedicated hygiene promotion_5]],WWWW[[#This Row],['# People received regular supply of hygiene items_6]])</f>
        <v>197</v>
      </c>
      <c r="CZ22" s="79">
        <f>IF(WWWW[[#This Row],[HRP3]]/WWWW[[#This Row],[Total PoP ]]&gt;100%,100%,WWWW[[#This Row],[HRP3]]/WWWW[[#This Row],[Total PoP ]])</f>
        <v>1</v>
      </c>
      <c r="DA22" s="83">
        <f>1-WWWW[[#This Row],[Hygiene Coverage%]]</f>
        <v>0</v>
      </c>
      <c r="DB22" s="82">
        <f>WWWW[[#This Row],['# people reached by regular dedicated hygiene promotion_5]]/WWWW[[#This Row],[Total PoP ]]</f>
        <v>1</v>
      </c>
      <c r="DC22" s="82">
        <f>IF(WWWW[[#This Row],['#_households that received standard amount of soap for this quarter]]/WWWW[[#This Row],[Total HH]]&gt;1,1,WWWW[[#This Row],['#_households that received standard amount of soap for this quarter]]/WWWW[[#This Row],[Total HH]])</f>
        <v>0</v>
      </c>
      <c r="DD22" s="82">
        <f>IF(WWWW[[#This Row],['#_households that received standard amount of sanitary pads for this quarter]]/WWWW[[#This Row],[Total HH]]&gt;1,1,WWWW[[#This Row],['#_households that received standard amount of sanitary pads for this quarter]]/WWWW[[#This Row],[Total HH]])</f>
        <v>0</v>
      </c>
      <c r="DE22" s="81">
        <f>WWWW[[#This Row],['#_Constructed/Existing hand washing stations]]-WWWW[[#This Row],['#_Non-Functional_hand_washing_stations]]</f>
        <v>0</v>
      </c>
      <c r="DF22" s="667">
        <f>IF(WWWW[[#This Row],['# Functional hand washing stations during reporting period]]*20&gt;WWWW[[#This Row],[Total HH]],WWWW[[#This Row],[Total HH]],WWWW[[#This Row],['# Functional hand washing stations during reporting period]]*20)</f>
        <v>0</v>
      </c>
      <c r="DG22" s="80">
        <f>IF(WWWW[[#This Row],[Is sufficient soap available for TLS? (Yes/No)]]="yes",WWWW[[#This Row],['#_Constructed/Existing hand washing stations at TLS]],0)</f>
        <v>0</v>
      </c>
      <c r="DH22" s="667">
        <f>IF(WWWW[[#This Row],['# Functional hand washing stations during reporting period]]*100&gt;WWWW[[#This Row],[Total PoP ]],WWWW[[#This Row],[Total PoP ]],WWWW[[#This Row],['# Functional hand washing stations during reporting period]]*100)</f>
        <v>0</v>
      </c>
      <c r="DI22" s="667" t="str">
        <f>IF(WWWW[[#This Row],['#_students at TLS_CFS]]="","No","Yes")</f>
        <v>No</v>
      </c>
      <c r="DJ22" s="245" t="str">
        <f>VLOOKUP(WWWW[[#This Row],[Site Name]],SiteDB6[[Site Name]:[CCCM Management]],6,FALSE)</f>
        <v>Yes</v>
      </c>
      <c r="DK22" s="245" t="str">
        <f>VLOOKUP(WWWW[[#This Row],[Site Name]],SiteDB6[[Site Name]:[CCCM Focal Agency]],7,FALSE)</f>
        <v>KBC</v>
      </c>
      <c r="DL22" s="245" t="str">
        <f>VLOOKUP(WWWW[[#This Row],[Site Name]],SiteDB6[[Site Name]:[Location Type 1]],9,FALSE)</f>
        <v>Camp</v>
      </c>
      <c r="DM22" s="245" t="str">
        <f>VLOOKUP(WWWW[[#This Row],[Site Name]],SiteDB6[[Site Name]:[Type of Accommodation]],10,FALSE)</f>
        <v>Camp</v>
      </c>
      <c r="DN22" s="245" t="str">
        <f>VLOOKUP(WWWW[[#This Row],[Site Name]],SiteDB6[[Site Name]:[Ethnic or GCA/NGCA]],11,FALSE)</f>
        <v>GCA</v>
      </c>
      <c r="DO22" s="245">
        <f>VLOOKUP(WWWW[[#This Row],[Site Name]],SiteDB6[[Site Name]:[Lat]],12,FALSE)</f>
        <v>25.395974089999999</v>
      </c>
      <c r="DP22" s="245">
        <f>VLOOKUP(WWWW[[#This Row],[Site Name]],SiteDB6[[Site Name]:[Long]],13,FALSE)</f>
        <v>97.382997579999994</v>
      </c>
      <c r="DQ22" s="245" t="str">
        <f>VLOOKUP(WWWW[[#This Row],[Site Name]],SiteDB6[[Site Name]:[Pcode]],3,FALSE)</f>
        <v>MMR001CMP010</v>
      </c>
      <c r="DR22" s="215" t="str">
        <f t="shared" si="1"/>
        <v>Covered</v>
      </c>
      <c r="DS22" s="215"/>
      <c r="DT22" s="20"/>
      <c r="DU22" s="20"/>
      <c r="DV22" s="20"/>
      <c r="DW22" s="20"/>
      <c r="DX22" s="20"/>
      <c r="DY22" s="20"/>
      <c r="DZ22" s="20"/>
      <c r="EA22" s="20"/>
      <c r="EB22" s="20"/>
      <c r="EC22" s="20"/>
      <c r="ED22" s="20"/>
      <c r="EE22" s="20"/>
      <c r="EF22" s="20"/>
      <c r="EG22" s="20"/>
      <c r="EH22" s="20"/>
    </row>
    <row r="23" spans="1:138" ht="15.75" customHeight="1">
      <c r="A23" s="259" t="s">
        <v>2525</v>
      </c>
      <c r="B23" s="663" t="s">
        <v>250</v>
      </c>
      <c r="C23" s="663" t="s">
        <v>250</v>
      </c>
      <c r="D23" s="663" t="s">
        <v>315</v>
      </c>
      <c r="E23" s="663" t="s">
        <v>39</v>
      </c>
      <c r="F23" s="663" t="s">
        <v>154</v>
      </c>
      <c r="G23" s="663" t="str">
        <f>VLOOKUP(WWWW[[#This Row],[Site Name]],SiteDB6[[Site Name]:[Location Type]],8,FALSE)</f>
        <v>Camp</v>
      </c>
      <c r="H23" s="663" t="s">
        <v>255</v>
      </c>
      <c r="I23" s="700">
        <v>205</v>
      </c>
      <c r="J23" s="700">
        <v>856</v>
      </c>
      <c r="K23" s="642">
        <v>43313</v>
      </c>
      <c r="L23" s="78">
        <v>44043</v>
      </c>
      <c r="M23" s="700"/>
      <c r="N23" s="700">
        <v>1</v>
      </c>
      <c r="O23" s="700"/>
      <c r="P23" s="700"/>
      <c r="Q23" s="663" t="s">
        <v>43</v>
      </c>
      <c r="R23" s="377">
        <v>4</v>
      </c>
      <c r="S23" s="377">
        <v>2</v>
      </c>
      <c r="T23" s="377">
        <v>0</v>
      </c>
      <c r="U23" s="377"/>
      <c r="V23" s="377"/>
      <c r="W23" s="377">
        <v>0</v>
      </c>
      <c r="X23" s="377"/>
      <c r="Y23" s="377"/>
      <c r="Z23" s="377"/>
      <c r="AA23" s="377">
        <v>0</v>
      </c>
      <c r="AB23" s="377"/>
      <c r="AC23" s="377"/>
      <c r="AD23" s="377"/>
      <c r="AE23" s="377"/>
      <c r="AF23" s="377"/>
      <c r="AG23" s="377"/>
      <c r="AH23" s="377">
        <v>2</v>
      </c>
      <c r="AI23" s="377"/>
      <c r="AJ23" s="377"/>
      <c r="AK23" s="377"/>
      <c r="AL23" s="377"/>
      <c r="AM23" s="377"/>
      <c r="AN23" s="377"/>
      <c r="AO23" s="215"/>
      <c r="AP23" s="377">
        <v>47</v>
      </c>
      <c r="AQ23" s="377">
        <v>14</v>
      </c>
      <c r="AR23" s="77" t="s">
        <v>3128</v>
      </c>
      <c r="AS23" s="377">
        <v>0</v>
      </c>
      <c r="AT23" s="377">
        <v>0</v>
      </c>
      <c r="AU23" s="377">
        <v>0</v>
      </c>
      <c r="AV23" s="377">
        <v>0</v>
      </c>
      <c r="AW23" s="700">
        <v>0</v>
      </c>
      <c r="AX23" s="694" t="s">
        <v>144</v>
      </c>
      <c r="AY23" s="245" t="s">
        <v>1200</v>
      </c>
      <c r="AZ23" s="377">
        <v>0</v>
      </c>
      <c r="BA23" s="377">
        <v>0</v>
      </c>
      <c r="BB23" s="377">
        <v>0</v>
      </c>
      <c r="BC23" s="215"/>
      <c r="BD23" s="377">
        <v>3</v>
      </c>
      <c r="BE23" s="377">
        <v>3</v>
      </c>
      <c r="BF23" s="377">
        <v>0</v>
      </c>
      <c r="BG23" s="377">
        <v>12</v>
      </c>
      <c r="BH23" s="377">
        <v>12</v>
      </c>
      <c r="BI23" s="377">
        <v>4</v>
      </c>
      <c r="BJ23" s="377">
        <v>2</v>
      </c>
      <c r="BK23" s="377">
        <v>0</v>
      </c>
      <c r="BL23" s="377">
        <v>0</v>
      </c>
      <c r="BM23" s="215" t="s">
        <v>144</v>
      </c>
      <c r="BN23" s="80">
        <v>0</v>
      </c>
      <c r="BO23" s="82">
        <v>0.2</v>
      </c>
      <c r="BP23" s="215"/>
      <c r="BQ23" s="79" t="str">
        <f>IFERROR(WWWW[[#This Row],['#_Water sources treated]]/WWWW[[#This Row],['#_Water sources tested for contamination]],"no test")</f>
        <v>no test</v>
      </c>
      <c r="BR23" s="82" t="str">
        <f>IFERROR(WWWW[[#This Row],['#_Household received remediation action due to contamination]]/WWWW[[#This Row],['#_Household water samples tested for contamination]],"no test")</f>
        <v>no test</v>
      </c>
      <c r="BS23" s="81" t="str">
        <f>IF(AND(WWWW[[#This Row],[% of water sources treated]]="no test",WWWW[[#This Row],[% Household received corrective actions]]="no test"),"No Test","Tested")</f>
        <v>No Test</v>
      </c>
      <c r="BT23" s="81">
        <f>WWWW[[#This Row],['#_Constructed/existing protected hand dug well]]-WWWW[[#This Row],['#_Non-functional protected hand dug well]]</f>
        <v>0</v>
      </c>
      <c r="BU23" s="81">
        <f>(WWWW[[#This Row],['#_Constructed/Existing tube wells/boreholes/handpumps_WASH_agency]]+WWWW[[#This Row],['#_Non-Cluster partner water tube-wells/boreholes/handpumps]])-WWWW[[#This Row],['#_Non-functional tube wells/boreholes/handpumps]]</f>
        <v>0</v>
      </c>
      <c r="BV23" s="81">
        <f>WWWW[[#This Row],['#_Constructed/Existingwater storage tank with gravity fed reticulation system]]-WWWW[[#This Row],['#_Non-functional storage tank gravity fed reticulation system]]</f>
        <v>0</v>
      </c>
      <c r="BW23" s="81">
        <f>WWWW[[#This Row],['#_Water boating or water trucking]]</f>
        <v>0</v>
      </c>
      <c r="BX23" s="81">
        <f>WWWW[[#This Row],['#_Constructed/Existing water distribution system from river or natural spring]]</f>
        <v>0</v>
      </c>
      <c r="BY23"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3"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3" s="82">
        <f>IF(WWWW[[#This Row],[Location Type 1]]="Village",WWWW[[#This Row],[Access to safe drinking water for Village]],WWWW[[#This Row],[Access to safe drinking water for Camp]])</f>
        <v>0</v>
      </c>
      <c r="CB23" s="80">
        <f>WWWW[[#This Row],[%Equitable and continuous access to sufficient quantity of safe drinking water]]*WWWW[[#This Row],[Total PoP ]]</f>
        <v>0</v>
      </c>
      <c r="CC23" s="82">
        <f>IF((WWWW[[#This Row],['#_Constructed/Existing protected/fenced ponds]]*250)/WWWW[[#This Row],[Total PoP ]]&gt;1,1,(WWWW[[#This Row],['#_Constructed/Existing protected/fenced ponds]]*250)/WWWW[[#This Row],[Total PoP ]])</f>
        <v>0</v>
      </c>
      <c r="CD23" s="80">
        <f>WWWW[[#This Row],[% Access to unimproved water points]]*WWWW[[#This Row],[Total PoP ]]</f>
        <v>0</v>
      </c>
      <c r="CE23"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3"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3" s="80">
        <f>WWWW[[#This Row],[HRP1]]/500</f>
        <v>0</v>
      </c>
      <c r="CH23" s="79">
        <f>1-WWWW[[#This Row],[% Equitable and continuous access to sufficient quantity of domestic water]]</f>
        <v>1</v>
      </c>
      <c r="CI23" s="80">
        <f>WWWW[[#This Row],[%equitable and continuous access to sufficient quantity of safe drinking and domestic water''s GAP]]*WWWW[[#This Row],[Total PoP ]]</f>
        <v>856</v>
      </c>
      <c r="CJ23" s="81">
        <f>IF(WWWW[[#This Row],[Total required water points]]-WWWW[[#This Row],['#Water points coverage]]&lt;0,0,WWWW[[#This Row],[Total required water points]]-WWWW[[#This Row],['#Water points coverage]])</f>
        <v>2</v>
      </c>
      <c r="CK23" s="81">
        <f>ROUND(IF(WWWW[[#This Row],[Total PoP ]]&lt;500,1,WWWW[[#This Row],[Total PoP ]]/500),0)</f>
        <v>2</v>
      </c>
      <c r="CL23" s="81">
        <f>(WWWW[[#This Row],['#_Constructed latrines_by_WASHAgencies]]+WWWW[[#This Row],['#_Non Cluster partner latrines]])-WWWW[[#This Row],['#_Non-functional latrines]]</f>
        <v>61</v>
      </c>
      <c r="CM23"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23"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856</v>
      </c>
      <c r="CO23"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23" s="81">
        <f>IF(WWWW[[#This Row],[Location Type 1]]="Village","NA",IF(WWWW[[#This Row],['#_Constructed/Existing latrines in TLS]]*50&gt;WWWW[[#This Row],['#_students at TLS_CFS]],WWWW[[#This Row],['#_students at TLS_CFS]],(WWWW[[#This Row],['#_Constructed/Existing latrines in TLS]]*50)))</f>
        <v>0</v>
      </c>
      <c r="CQ23" s="81">
        <f>ROUND(IF(WWWW[[#This Row],[Location Type 1]]="camp",WWWW[[#This Row],[Total PoP ]]/20,IF(WWWW[[#This Row],[Location Type 1]]="Temporary Location",WWWW[[#This Row],[Total PoP ]]/50,(WWWW[[#This Row],[Total PoP ]]/6))),0)</f>
        <v>43</v>
      </c>
      <c r="CR23" s="80">
        <f>IF(WWWW[[#This Row],[Total required Latrines]]-(WWWW[[#This Row],['#_Constructed latrines_by_WASHAgencies]]+WWWW[[#This Row],['#_Non Cluster partner latrines]])&lt;0,0,WWWW[[#This Row],[Total required Latrines]]-(WWWW[[#This Row],['#_Constructed latrines_by_WASHAgencies]]+WWWW[[#This Row],['#_Non Cluster partner latrines]]))</f>
        <v>0</v>
      </c>
      <c r="CS23" s="79">
        <f>1-WWWW[[#This Row],[% people access to functioning Latrine]]</f>
        <v>0</v>
      </c>
      <c r="CT23" s="83">
        <f>IF(OR(WWWW[[#This Row],['#_Non-functional latrines]]="",WWWW[[#This Row],['#_Non-functional latrines]]=0),0,WWWW[[#This Row],['#_Non-functional latrines]]/(WWWW[[#This Row],['#_Constructed latrines_by_WASHAgencies]]+WWWW[[#This Row],['#_Non Cluster partner latrines]]))</f>
        <v>0</v>
      </c>
      <c r="CU23" s="80">
        <f>IF(500*(WWWW[[#This Row],['#_male hygiene promoters]]+WWWW[[#This Row],['#_female hygiene promoters]])&gt;WWWW[[#This Row],[Total PoP ]],WWWW[[#This Row],[Total PoP ]],500*(WWWW[[#This Row],['#_male hygiene promoters]]+WWWW[[#This Row],['#_female hygiene promoters]]))</f>
        <v>856</v>
      </c>
      <c r="CV23"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3"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3" s="81">
        <f>IF(WWWW[[#This Row],['# People with access to soap]]&gt;WWWW[[#This Row],['# People with access to Sanity Pads]],WWWW[[#This Row],['# People with access to soap]],WWWW[[#This Row],['# People with access to Sanity Pads]])</f>
        <v>0</v>
      </c>
      <c r="CY23" s="81">
        <f>IF(WWWW[[#This Row],['# people reached by regular dedicated hygiene promotion_5]]&gt;WWWW[[#This Row],['# People received regular supply of hygiene items_6]],WWWW[[#This Row],['# people reached by regular dedicated hygiene promotion_5]],WWWW[[#This Row],['# People received regular supply of hygiene items_6]])</f>
        <v>856</v>
      </c>
      <c r="CZ23" s="79">
        <f>IF(WWWW[[#This Row],[HRP3]]/WWWW[[#This Row],[Total PoP ]]&gt;100%,100%,WWWW[[#This Row],[HRP3]]/WWWW[[#This Row],[Total PoP ]])</f>
        <v>1</v>
      </c>
      <c r="DA23" s="83">
        <f>1-WWWW[[#This Row],[Hygiene Coverage%]]</f>
        <v>0</v>
      </c>
      <c r="DB23" s="82">
        <f>WWWW[[#This Row],['# people reached by regular dedicated hygiene promotion_5]]/WWWW[[#This Row],[Total PoP ]]</f>
        <v>1</v>
      </c>
      <c r="DC23" s="82">
        <f>IF(WWWW[[#This Row],['#_households that received standard amount of soap for this quarter]]/WWWW[[#This Row],[Total HH]]&gt;1,1,WWWW[[#This Row],['#_households that received standard amount of soap for this quarter]]/WWWW[[#This Row],[Total HH]])</f>
        <v>0</v>
      </c>
      <c r="DD23" s="82">
        <f>IF(WWWW[[#This Row],['#_households that received standard amount of sanitary pads for this quarter]]/WWWW[[#This Row],[Total HH]]&gt;1,1,WWWW[[#This Row],['#_households that received standard amount of sanitary pads for this quarter]]/WWWW[[#This Row],[Total HH]])</f>
        <v>0</v>
      </c>
      <c r="DE23" s="81">
        <f>WWWW[[#This Row],['#_Constructed/Existing hand washing stations]]-WWWW[[#This Row],['#_Non-Functional_hand_washing_stations]]</f>
        <v>0</v>
      </c>
      <c r="DF23" s="667">
        <f>IF(WWWW[[#This Row],['# Functional hand washing stations during reporting period]]*20&gt;WWWW[[#This Row],[Total HH]],WWWW[[#This Row],[Total HH]],WWWW[[#This Row],['# Functional hand washing stations during reporting period]]*20)</f>
        <v>0</v>
      </c>
      <c r="DG23" s="80">
        <f>IF(WWWW[[#This Row],[Is sufficient soap available for TLS? (Yes/No)]]="yes",WWWW[[#This Row],['#_Constructed/Existing hand washing stations at TLS]],0)</f>
        <v>0</v>
      </c>
      <c r="DH23" s="667">
        <f>IF(WWWW[[#This Row],['# Functional hand washing stations during reporting period]]*100&gt;WWWW[[#This Row],[Total PoP ]],WWWW[[#This Row],[Total PoP ]],WWWW[[#This Row],['# Functional hand washing stations during reporting period]]*100)</f>
        <v>0</v>
      </c>
      <c r="DI23" s="667" t="str">
        <f>IF(WWWW[[#This Row],['#_students at TLS_CFS]]="","No","Yes")</f>
        <v>No</v>
      </c>
      <c r="DJ23" s="245" t="str">
        <f>VLOOKUP(WWWW[[#This Row],[Site Name]],SiteDB6[[Site Name]:[CCCM Management]],6,FALSE)</f>
        <v>Yes</v>
      </c>
      <c r="DK23" s="245" t="str">
        <f>VLOOKUP(WWWW[[#This Row],[Site Name]],SiteDB6[[Site Name]:[CCCM Focal Agency]],7,FALSE)</f>
        <v>Shalom</v>
      </c>
      <c r="DL23" s="245" t="str">
        <f>VLOOKUP(WWWW[[#This Row],[Site Name]],SiteDB6[[Site Name]:[Location Type 1]],9,FALSE)</f>
        <v>Camp</v>
      </c>
      <c r="DM23" s="245" t="str">
        <f>VLOOKUP(WWWW[[#This Row],[Site Name]],SiteDB6[[Site Name]:[Type of Accommodation]],10,FALSE)</f>
        <v>Camp</v>
      </c>
      <c r="DN23" s="245" t="str">
        <f>VLOOKUP(WWWW[[#This Row],[Site Name]],SiteDB6[[Site Name]:[Ethnic or GCA/NGCA]],11,FALSE)</f>
        <v>GCA</v>
      </c>
      <c r="DO23" s="245">
        <f>VLOOKUP(WWWW[[#This Row],[Site Name]],SiteDB6[[Site Name]:[Lat]],12,FALSE)</f>
        <v>25.887339999999998</v>
      </c>
      <c r="DP23" s="245">
        <f>VLOOKUP(WWWW[[#This Row],[Site Name]],SiteDB6[[Site Name]:[Long]],13,FALSE)</f>
        <v>98.129990000000006</v>
      </c>
      <c r="DQ23" s="245" t="str">
        <f>VLOOKUP(WWWW[[#This Row],[Site Name]],SiteDB6[[Site Name]:[Pcode]],3,FALSE)</f>
        <v>MMR001CMP195</v>
      </c>
      <c r="DR23" s="215" t="str">
        <f t="shared" si="1"/>
        <v>Covered</v>
      </c>
      <c r="DS23" s="215"/>
      <c r="DT23" s="20"/>
      <c r="DU23" s="20"/>
      <c r="DV23" s="20"/>
      <c r="DW23" s="20"/>
      <c r="DX23" s="20"/>
      <c r="DY23" s="20"/>
      <c r="DZ23" s="20"/>
      <c r="EA23" s="20"/>
      <c r="EB23" s="20"/>
      <c r="EC23" s="20"/>
      <c r="ED23" s="20"/>
      <c r="EE23" s="20"/>
      <c r="EF23" s="20"/>
      <c r="EG23" s="20"/>
      <c r="EH23" s="20"/>
    </row>
    <row r="24" spans="1:138" ht="15.75" customHeight="1">
      <c r="A24" s="259" t="s">
        <v>2525</v>
      </c>
      <c r="B24" s="663" t="s">
        <v>317</v>
      </c>
      <c r="C24" s="663" t="s">
        <v>317</v>
      </c>
      <c r="D24" s="663"/>
      <c r="E24" s="663" t="s">
        <v>39</v>
      </c>
      <c r="F24" s="663" t="s">
        <v>156</v>
      </c>
      <c r="G24" s="663" t="str">
        <f>VLOOKUP(WWWW[[#This Row],[Site Name]],SiteDB6[[Site Name]:[Location Type]],8,FALSE)</f>
        <v>Camp</v>
      </c>
      <c r="H24" s="77" t="s">
        <v>238</v>
      </c>
      <c r="I24" s="700">
        <v>70</v>
      </c>
      <c r="J24" s="700">
        <v>350</v>
      </c>
      <c r="K24" s="642"/>
      <c r="L24" s="78"/>
      <c r="M24" s="700"/>
      <c r="N24" s="700"/>
      <c r="O24" s="700"/>
      <c r="P24" s="700"/>
      <c r="Q24" s="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215"/>
      <c r="AP24" s="377"/>
      <c r="AQ24" s="377"/>
      <c r="AR24" s="77"/>
      <c r="AS24" s="377"/>
      <c r="AT24" s="377"/>
      <c r="AU24" s="377"/>
      <c r="AV24" s="377"/>
      <c r="AW24" s="377"/>
      <c r="AX24" s="245"/>
      <c r="AY24" s="245"/>
      <c r="AZ24" s="377"/>
      <c r="BA24" s="377"/>
      <c r="BB24" s="377"/>
      <c r="BC24" s="215"/>
      <c r="BD24" s="377"/>
      <c r="BE24" s="377"/>
      <c r="BF24" s="377"/>
      <c r="BG24" s="377"/>
      <c r="BH24" s="377"/>
      <c r="BI24" s="377"/>
      <c r="BJ24" s="377"/>
      <c r="BK24" s="377"/>
      <c r="BL24" s="377"/>
      <c r="BM24" s="215"/>
      <c r="BN24" s="80"/>
      <c r="BO24" s="82"/>
      <c r="BP24" s="215"/>
      <c r="BQ24" s="79" t="str">
        <f>IFERROR(WWWW[[#This Row],['#_Water sources treated]]/WWWW[[#This Row],['#_Water sources tested for contamination]],"no test")</f>
        <v>no test</v>
      </c>
      <c r="BR24" s="82" t="str">
        <f>IFERROR(WWWW[[#This Row],['#_Household received remediation action due to contamination]]/WWWW[[#This Row],['#_Household water samples tested for contamination]],"no test")</f>
        <v>no test</v>
      </c>
      <c r="BS24" s="81" t="str">
        <f>IF(AND(WWWW[[#This Row],[% of water sources treated]]="no test",WWWW[[#This Row],[% Household received corrective actions]]="no test"),"No Test","Tested")</f>
        <v>No Test</v>
      </c>
      <c r="BT24" s="81">
        <f>WWWW[[#This Row],['#_Constructed/existing protected hand dug well]]-WWWW[[#This Row],['#_Non-functional protected hand dug well]]</f>
        <v>0</v>
      </c>
      <c r="BU24" s="81">
        <f>(WWWW[[#This Row],['#_Constructed/Existing tube wells/boreholes/handpumps_WASH_agency]]+WWWW[[#This Row],['#_Non-Cluster partner water tube-wells/boreholes/handpumps]])-WWWW[[#This Row],['#_Non-functional tube wells/boreholes/handpumps]]</f>
        <v>0</v>
      </c>
      <c r="BV24" s="81">
        <f>WWWW[[#This Row],['#_Constructed/Existingwater storage tank with gravity fed reticulation system]]-WWWW[[#This Row],['#_Non-functional storage tank gravity fed reticulation system]]</f>
        <v>0</v>
      </c>
      <c r="BW24" s="81">
        <f>WWWW[[#This Row],['#_Water boating or water trucking]]</f>
        <v>0</v>
      </c>
      <c r="BX24" s="81">
        <f>WWWW[[#This Row],['#_Constructed/Existing water distribution system from river or natural spring]]</f>
        <v>0</v>
      </c>
      <c r="BY24"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4"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4" s="82">
        <f>IF(WWWW[[#This Row],[Location Type 1]]="Village",WWWW[[#This Row],[Access to safe drinking water for Village]],WWWW[[#This Row],[Access to safe drinking water for Camp]])</f>
        <v>0</v>
      </c>
      <c r="CB24" s="80">
        <f>WWWW[[#This Row],[%Equitable and continuous access to sufficient quantity of safe drinking water]]*WWWW[[#This Row],[Total PoP ]]</f>
        <v>0</v>
      </c>
      <c r="CC24" s="82">
        <f>IF((WWWW[[#This Row],['#_Constructed/Existing protected/fenced ponds]]*250)/WWWW[[#This Row],[Total PoP ]]&gt;1,1,(WWWW[[#This Row],['#_Constructed/Existing protected/fenced ponds]]*250)/WWWW[[#This Row],[Total PoP ]])</f>
        <v>0</v>
      </c>
      <c r="CD24" s="80">
        <f>WWWW[[#This Row],[% Access to unimproved water points]]*WWWW[[#This Row],[Total PoP ]]</f>
        <v>0</v>
      </c>
      <c r="CE24"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4"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4" s="80">
        <f>WWWW[[#This Row],[HRP1]]/500</f>
        <v>0</v>
      </c>
      <c r="CH24" s="79">
        <f>1-WWWW[[#This Row],[% Equitable and continuous access to sufficient quantity of domestic water]]</f>
        <v>1</v>
      </c>
      <c r="CI24" s="80">
        <f>WWWW[[#This Row],[%equitable and continuous access to sufficient quantity of safe drinking and domestic water''s GAP]]*WWWW[[#This Row],[Total PoP ]]</f>
        <v>350</v>
      </c>
      <c r="CJ24" s="81">
        <f>IF(WWWW[[#This Row],[Total required water points]]-WWWW[[#This Row],['#Water points coverage]]&lt;0,0,WWWW[[#This Row],[Total required water points]]-WWWW[[#This Row],['#Water points coverage]])</f>
        <v>1</v>
      </c>
      <c r="CK24" s="81">
        <f>ROUND(IF(WWWW[[#This Row],[Total PoP ]]&lt;500,1,WWWW[[#This Row],[Total PoP ]]/500),0)</f>
        <v>1</v>
      </c>
      <c r="CL24" s="81">
        <f>(WWWW[[#This Row],['#_Constructed latrines_by_WASHAgencies]]+WWWW[[#This Row],['#_Non Cluster partner latrines]])-WWWW[[#This Row],['#_Non-functional latrines]]</f>
        <v>0</v>
      </c>
      <c r="CM24"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4"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4"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24" s="81">
        <f>IF(WWWW[[#This Row],[Location Type 1]]="Village","NA",IF(WWWW[[#This Row],['#_Constructed/Existing latrines in TLS]]*50&gt;WWWW[[#This Row],['#_students at TLS_CFS]],WWWW[[#This Row],['#_students at TLS_CFS]],(WWWW[[#This Row],['#_Constructed/Existing latrines in TLS]]*50)))</f>
        <v>0</v>
      </c>
      <c r="CQ24" s="81">
        <f>ROUND(IF(WWWW[[#This Row],[Location Type 1]]="camp",WWWW[[#This Row],[Total PoP ]]/20,IF(WWWW[[#This Row],[Location Type 1]]="Temporary Location",WWWW[[#This Row],[Total PoP ]]/50,(WWWW[[#This Row],[Total PoP ]]/6))),0)</f>
        <v>18</v>
      </c>
      <c r="CR24" s="80">
        <f>IF(WWWW[[#This Row],[Total required Latrines]]-(WWWW[[#This Row],['#_Constructed latrines_by_WASHAgencies]]+WWWW[[#This Row],['#_Non Cluster partner latrines]])&lt;0,0,WWWW[[#This Row],[Total required Latrines]]-(WWWW[[#This Row],['#_Constructed latrines_by_WASHAgencies]]+WWWW[[#This Row],['#_Non Cluster partner latrines]]))</f>
        <v>18</v>
      </c>
      <c r="CS24" s="79">
        <f>1-WWWW[[#This Row],[% people access to functioning Latrine]]</f>
        <v>1</v>
      </c>
      <c r="CT24" s="83">
        <f>IF(OR(WWWW[[#This Row],['#_Non-functional latrines]]="",WWWW[[#This Row],['#_Non-functional latrines]]=0),0,WWWW[[#This Row],['#_Non-functional latrines]]/(WWWW[[#This Row],['#_Constructed latrines_by_WASHAgencies]]+WWWW[[#This Row],['#_Non Cluster partner latrines]]))</f>
        <v>0</v>
      </c>
      <c r="CU24" s="80">
        <f>IF(500*(WWWW[[#This Row],['#_male hygiene promoters]]+WWWW[[#This Row],['#_female hygiene promoters]])&gt;WWWW[[#This Row],[Total PoP ]],WWWW[[#This Row],[Total PoP ]],500*(WWWW[[#This Row],['#_male hygiene promoters]]+WWWW[[#This Row],['#_female hygiene promoters]]))</f>
        <v>0</v>
      </c>
      <c r="CV24"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4"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4" s="81">
        <f>IF(WWWW[[#This Row],['# People with access to soap]]&gt;WWWW[[#This Row],['# People with access to Sanity Pads]],WWWW[[#This Row],['# People with access to soap]],WWWW[[#This Row],['# People with access to Sanity Pads]])</f>
        <v>0</v>
      </c>
      <c r="CY24"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4" s="79">
        <f>IF(WWWW[[#This Row],[HRP3]]/WWWW[[#This Row],[Total PoP ]]&gt;100%,100%,WWWW[[#This Row],[HRP3]]/WWWW[[#This Row],[Total PoP ]])</f>
        <v>0</v>
      </c>
      <c r="DA24" s="83">
        <f>1-WWWW[[#This Row],[Hygiene Coverage%]]</f>
        <v>1</v>
      </c>
      <c r="DB24" s="82">
        <f>WWWW[[#This Row],['# people reached by regular dedicated hygiene promotion_5]]/WWWW[[#This Row],[Total PoP ]]</f>
        <v>0</v>
      </c>
      <c r="DC24" s="82">
        <f>IF(WWWW[[#This Row],['#_households that received standard amount of soap for this quarter]]/WWWW[[#This Row],[Total HH]]&gt;1,1,WWWW[[#This Row],['#_households that received standard amount of soap for this quarter]]/WWWW[[#This Row],[Total HH]])</f>
        <v>0</v>
      </c>
      <c r="DD24" s="82">
        <f>IF(WWWW[[#This Row],['#_households that received standard amount of sanitary pads for this quarter]]/WWWW[[#This Row],[Total HH]]&gt;1,1,WWWW[[#This Row],['#_households that received standard amount of sanitary pads for this quarter]]/WWWW[[#This Row],[Total HH]])</f>
        <v>0</v>
      </c>
      <c r="DE24" s="81">
        <f>WWWW[[#This Row],['#_Constructed/Existing hand washing stations]]-WWWW[[#This Row],['#_Non-Functional_hand_washing_stations]]</f>
        <v>0</v>
      </c>
      <c r="DF24" s="667">
        <f>IF(WWWW[[#This Row],['# Functional hand washing stations during reporting period]]*20&gt;WWWW[[#This Row],[Total HH]],WWWW[[#This Row],[Total HH]],WWWW[[#This Row],['# Functional hand washing stations during reporting period]]*20)</f>
        <v>0</v>
      </c>
      <c r="DG24" s="80">
        <f>IF(WWWW[[#This Row],[Is sufficient soap available for TLS? (Yes/No)]]="yes",WWWW[[#This Row],['#_Constructed/Existing hand washing stations at TLS]],0)</f>
        <v>0</v>
      </c>
      <c r="DH24" s="667">
        <f>IF(WWWW[[#This Row],['# Functional hand washing stations during reporting period]]*100&gt;WWWW[[#This Row],[Total PoP ]],WWWW[[#This Row],[Total PoP ]],WWWW[[#This Row],['# Functional hand washing stations during reporting period]]*100)</f>
        <v>0</v>
      </c>
      <c r="DI24" s="667" t="str">
        <f>IF(WWWW[[#This Row],['#_students at TLS_CFS]]="","No","Yes")</f>
        <v>No</v>
      </c>
      <c r="DJ24" s="245" t="str">
        <f>VLOOKUP(WWWW[[#This Row],[Site Name]],SiteDB6[[Site Name]:[CCCM Management]],6,FALSE)</f>
        <v>Yes</v>
      </c>
      <c r="DK24" s="245" t="str">
        <f>VLOOKUP(WWWW[[#This Row],[Site Name]],SiteDB6[[Site Name]:[CCCM Focal Agency]],7,FALSE)</f>
        <v>KMSS-MYT</v>
      </c>
      <c r="DL24" s="245" t="str">
        <f>VLOOKUP(WWWW[[#This Row],[Site Name]],SiteDB6[[Site Name]:[Location Type 1]],9,FALSE)</f>
        <v>Camp</v>
      </c>
      <c r="DM24" s="245" t="str">
        <f>VLOOKUP(WWWW[[#This Row],[Site Name]],SiteDB6[[Site Name]:[Type of Accommodation]],10,FALSE)</f>
        <v>Camp</v>
      </c>
      <c r="DN24" s="245" t="str">
        <f>VLOOKUP(WWWW[[#This Row],[Site Name]],SiteDB6[[Site Name]:[Ethnic or GCA/NGCA]],11,FALSE)</f>
        <v>GCA</v>
      </c>
      <c r="DO24" s="245">
        <f>VLOOKUP(WWWW[[#This Row],[Site Name]],SiteDB6[[Site Name]:[Lat]],12,FALSE)</f>
        <v>25.656009999999998</v>
      </c>
      <c r="DP24" s="245">
        <f>VLOOKUP(WWWW[[#This Row],[Site Name]],SiteDB6[[Site Name]:[Long]],13,FALSE)</f>
        <v>96.361609999999999</v>
      </c>
      <c r="DQ24" s="245" t="str">
        <f>VLOOKUP(WWWW[[#This Row],[Site Name]],SiteDB6[[Site Name]:[Pcode]],3,FALSE)</f>
        <v>MMR001CMP168</v>
      </c>
      <c r="DR24" s="215" t="str">
        <f t="shared" si="1"/>
        <v>Notcovered</v>
      </c>
      <c r="DS24" s="215"/>
      <c r="DT24" s="20"/>
      <c r="DU24" s="20"/>
      <c r="DV24" s="20"/>
      <c r="DW24" s="20"/>
      <c r="DX24" s="20"/>
      <c r="DY24" s="20"/>
      <c r="DZ24" s="20"/>
      <c r="EA24" s="20"/>
      <c r="EB24" s="20"/>
      <c r="EC24" s="20"/>
      <c r="ED24" s="20"/>
      <c r="EE24" s="20"/>
      <c r="EF24" s="20"/>
      <c r="EG24" s="20"/>
      <c r="EH24" s="20"/>
    </row>
    <row r="25" spans="1:138" ht="15.75" customHeight="1">
      <c r="A25" s="259" t="s">
        <v>2525</v>
      </c>
      <c r="B25" s="663" t="s">
        <v>2982</v>
      </c>
      <c r="C25" s="663" t="s">
        <v>2982</v>
      </c>
      <c r="D25" s="663" t="s">
        <v>2983</v>
      </c>
      <c r="E25" s="663" t="s">
        <v>39</v>
      </c>
      <c r="F25" s="663" t="s">
        <v>213</v>
      </c>
      <c r="G25" s="663" t="str">
        <f>VLOOKUP(WWWW[[#This Row],[Site Name]],SiteDB6[[Site Name]:[Location Type]],8,FALSE)</f>
        <v>Camp</v>
      </c>
      <c r="H25" s="663" t="s">
        <v>225</v>
      </c>
      <c r="I25" s="700">
        <v>718</v>
      </c>
      <c r="J25" s="700">
        <v>3652</v>
      </c>
      <c r="K25" s="642" t="s">
        <v>2984</v>
      </c>
      <c r="L25" s="78" t="s">
        <v>2985</v>
      </c>
      <c r="M25" s="700">
        <v>772</v>
      </c>
      <c r="N25" s="700">
        <v>0</v>
      </c>
      <c r="O25" s="700">
        <v>0</v>
      </c>
      <c r="P25" s="700">
        <v>0</v>
      </c>
      <c r="Q25" s="663" t="s">
        <v>43</v>
      </c>
      <c r="R25" s="700">
        <v>0</v>
      </c>
      <c r="S25" s="700">
        <v>0</v>
      </c>
      <c r="T25" s="700">
        <v>3</v>
      </c>
      <c r="U25" s="700"/>
      <c r="V25" s="700"/>
      <c r="W25" s="700"/>
      <c r="X25" s="700"/>
      <c r="Y25" s="700"/>
      <c r="Z25" s="700"/>
      <c r="AA25" s="700">
        <v>2</v>
      </c>
      <c r="AB25" s="700"/>
      <c r="AC25" s="700"/>
      <c r="AD25" s="700"/>
      <c r="AE25" s="700"/>
      <c r="AF25" s="700"/>
      <c r="AG25" s="700"/>
      <c r="AH25" s="700">
        <v>1</v>
      </c>
      <c r="AI25" s="700">
        <v>1</v>
      </c>
      <c r="AJ25" s="700">
        <v>0</v>
      </c>
      <c r="AK25" s="700">
        <v>1</v>
      </c>
      <c r="AL25" s="700">
        <v>0</v>
      </c>
      <c r="AM25" s="700"/>
      <c r="AN25" s="700"/>
      <c r="AO25" s="215"/>
      <c r="AP25" s="377">
        <v>300</v>
      </c>
      <c r="AQ25" s="377"/>
      <c r="AR25" s="77"/>
      <c r="AS25" s="377"/>
      <c r="AT25" s="377">
        <v>2</v>
      </c>
      <c r="AU25" s="377"/>
      <c r="AV25" s="377"/>
      <c r="AW25" s="377"/>
      <c r="AX25" s="245" t="s">
        <v>43</v>
      </c>
      <c r="AY25" s="245" t="s">
        <v>145</v>
      </c>
      <c r="AZ25" s="377">
        <v>6</v>
      </c>
      <c r="BA25" s="377"/>
      <c r="BB25" s="377"/>
      <c r="BC25" s="215"/>
      <c r="BD25" s="377">
        <v>50</v>
      </c>
      <c r="BE25" s="377"/>
      <c r="BF25" s="377"/>
      <c r="BG25" s="377">
        <v>22</v>
      </c>
      <c r="BH25" s="377"/>
      <c r="BI25" s="377"/>
      <c r="BJ25" s="377">
        <v>3</v>
      </c>
      <c r="BK25" s="377">
        <v>0</v>
      </c>
      <c r="BL25" s="377">
        <v>0</v>
      </c>
      <c r="BM25" s="215" t="s">
        <v>144</v>
      </c>
      <c r="BN25" s="80"/>
      <c r="BO25" s="82"/>
      <c r="BP25" s="215"/>
      <c r="BQ25" s="79">
        <f>IFERROR(WWWW[[#This Row],['#_Water sources treated]]/WWWW[[#This Row],['#_Water sources tested for contamination]],"no test")</f>
        <v>0</v>
      </c>
      <c r="BR25" s="82">
        <f>IFERROR(WWWW[[#This Row],['#_Household received remediation action due to contamination]]/WWWW[[#This Row],['#_Household water samples tested for contamination]],"no test")</f>
        <v>0</v>
      </c>
      <c r="BS25" s="81" t="str">
        <f>IF(AND(WWWW[[#This Row],[% of water sources treated]]="no test",WWWW[[#This Row],[% Household received corrective actions]]="no test"),"No Test","Tested")</f>
        <v>Tested</v>
      </c>
      <c r="BT25" s="81">
        <f>WWWW[[#This Row],['#_Constructed/existing protected hand dug well]]-WWWW[[#This Row],['#_Non-functional protected hand dug well]]</f>
        <v>3</v>
      </c>
      <c r="BU25" s="81">
        <f>(WWWW[[#This Row],['#_Constructed/Existing tube wells/boreholes/handpumps_WASH_agency]]+WWWW[[#This Row],['#_Non-Cluster partner water tube-wells/boreholes/handpumps]])-WWWW[[#This Row],['#_Non-functional tube wells/boreholes/handpumps]]</f>
        <v>0</v>
      </c>
      <c r="BV25" s="81">
        <f>WWWW[[#This Row],['#_Constructed/Existingwater storage tank with gravity fed reticulation system]]-WWWW[[#This Row],['#_Non-functional storage tank gravity fed reticulation system]]</f>
        <v>2</v>
      </c>
      <c r="BW25" s="81">
        <f>WWWW[[#This Row],['#_Water boating or water trucking]]</f>
        <v>0</v>
      </c>
      <c r="BX25" s="81">
        <f>WWWW[[#This Row],['#_Constructed/Existing water distribution system from river or natural spring]]</f>
        <v>0</v>
      </c>
      <c r="BY25"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0.36509675063891928</v>
      </c>
      <c r="BZ25"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0.24187659729828406</v>
      </c>
      <c r="CA25" s="82">
        <f>IF(WWWW[[#This Row],[Location Type 1]]="Village",WWWW[[#This Row],[Access to safe drinking water for Village]],WWWW[[#This Row],[Access to safe drinking water for Camp]])</f>
        <v>0.36509675063891928</v>
      </c>
      <c r="CB25" s="80">
        <f>WWWW[[#This Row],[%Equitable and continuous access to sufficient quantity of safe drinking water]]*WWWW[[#This Row],[Total PoP ]]</f>
        <v>1333.3333333333333</v>
      </c>
      <c r="CC25" s="82">
        <f>IF((WWWW[[#This Row],['#_Constructed/Existing protected/fenced ponds]]*250)/WWWW[[#This Row],[Total PoP ]]&gt;1,1,(WWWW[[#This Row],['#_Constructed/Existing protected/fenced ponds]]*250)/WWWW[[#This Row],[Total PoP ]])</f>
        <v>0</v>
      </c>
      <c r="CD25" s="80">
        <f>WWWW[[#This Row],[% Access to unimproved water points]]*WWWW[[#This Row],[Total PoP ]]</f>
        <v>0</v>
      </c>
      <c r="CE25"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0.36509675063891928</v>
      </c>
      <c r="CF25"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1333.3333333333333</v>
      </c>
      <c r="CG25" s="80">
        <f>WWWW[[#This Row],[HRP1]]/500</f>
        <v>2.6666666666666665</v>
      </c>
      <c r="CH25" s="79">
        <f>1-WWWW[[#This Row],[% Equitable and continuous access to sufficient quantity of domestic water]]</f>
        <v>0.63490324936108067</v>
      </c>
      <c r="CI25" s="80">
        <f>WWWW[[#This Row],[%equitable and continuous access to sufficient quantity of safe drinking and domestic water''s GAP]]*WWWW[[#This Row],[Total PoP ]]</f>
        <v>2318.6666666666665</v>
      </c>
      <c r="CJ25" s="81">
        <f>IF(WWWW[[#This Row],[Total required water points]]-WWWW[[#This Row],['#Water points coverage]]&lt;0,0,WWWW[[#This Row],[Total required water points]]-WWWW[[#This Row],['#Water points coverage]])</f>
        <v>4.3333333333333339</v>
      </c>
      <c r="CK25" s="81">
        <f>ROUND(IF(WWWW[[#This Row],[Total PoP ]]&lt;500,1,WWWW[[#This Row],[Total PoP ]]/500),0)</f>
        <v>7</v>
      </c>
      <c r="CL25" s="81">
        <f>(WWWW[[#This Row],['#_Constructed latrines_by_WASHAgencies]]+WWWW[[#This Row],['#_Non Cluster partner latrines]])-WWWW[[#This Row],['#_Non-functional latrines]]</f>
        <v>300</v>
      </c>
      <c r="CM25"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25"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3652</v>
      </c>
      <c r="CO25"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25" s="81">
        <f>IF(WWWW[[#This Row],[Location Type 1]]="Village","NA",IF(WWWW[[#This Row],['#_Constructed/Existing latrines in TLS]]*50&gt;WWWW[[#This Row],['#_students at TLS_CFS]],WWWW[[#This Row],['#_students at TLS_CFS]],(WWWW[[#This Row],['#_Constructed/Existing latrines in TLS]]*50)))</f>
        <v>0</v>
      </c>
      <c r="CQ25" s="81">
        <f>ROUND(IF(WWWW[[#This Row],[Location Type 1]]="camp",WWWW[[#This Row],[Total PoP ]]/20,IF(WWWW[[#This Row],[Location Type 1]]="Temporary Location",WWWW[[#This Row],[Total PoP ]]/50,(WWWW[[#This Row],[Total PoP ]]/6))),0)</f>
        <v>183</v>
      </c>
      <c r="CR25" s="80">
        <f>IF(WWWW[[#This Row],[Total required Latrines]]-(WWWW[[#This Row],['#_Constructed latrines_by_WASHAgencies]]+WWWW[[#This Row],['#_Non Cluster partner latrines]])&lt;0,0,WWWW[[#This Row],[Total required Latrines]]-(WWWW[[#This Row],['#_Constructed latrines_by_WASHAgencies]]+WWWW[[#This Row],['#_Non Cluster partner latrines]]))</f>
        <v>0</v>
      </c>
      <c r="CS25" s="79">
        <f>1-WWWW[[#This Row],[% people access to functioning Latrine]]</f>
        <v>0</v>
      </c>
      <c r="CT25" s="83">
        <f>IF(OR(WWWW[[#This Row],['#_Non-functional latrines]]="",WWWW[[#This Row],['#_Non-functional latrines]]=0),0,WWWW[[#This Row],['#_Non-functional latrines]]/(WWWW[[#This Row],['#_Constructed latrines_by_WASHAgencies]]+WWWW[[#This Row],['#_Non Cluster partner latrines]]))</f>
        <v>0</v>
      </c>
      <c r="CU25" s="80">
        <f>IF(500*(WWWW[[#This Row],['#_male hygiene promoters]]+WWWW[[#This Row],['#_female hygiene promoters]])&gt;WWWW[[#This Row],[Total PoP ]],WWWW[[#This Row],[Total PoP ]],500*(WWWW[[#This Row],['#_male hygiene promoters]]+WWWW[[#This Row],['#_female hygiene promoters]]))</f>
        <v>1500</v>
      </c>
      <c r="CV25"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5"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5" s="81">
        <f>IF(WWWW[[#This Row],['# People with access to soap]]&gt;WWWW[[#This Row],['# People with access to Sanity Pads]],WWWW[[#This Row],['# People with access to soap]],WWWW[[#This Row],['# People with access to Sanity Pads]])</f>
        <v>0</v>
      </c>
      <c r="CY25" s="81">
        <f>IF(WWWW[[#This Row],['# people reached by regular dedicated hygiene promotion_5]]&gt;WWWW[[#This Row],['# People received regular supply of hygiene items_6]],WWWW[[#This Row],['# people reached by regular dedicated hygiene promotion_5]],WWWW[[#This Row],['# People received regular supply of hygiene items_6]])</f>
        <v>1500</v>
      </c>
      <c r="CZ25" s="79">
        <f>IF(WWWW[[#This Row],[HRP3]]/WWWW[[#This Row],[Total PoP ]]&gt;100%,100%,WWWW[[#This Row],[HRP3]]/WWWW[[#This Row],[Total PoP ]])</f>
        <v>0.41073384446878425</v>
      </c>
      <c r="DA25" s="83">
        <f>1-WWWW[[#This Row],[Hygiene Coverage%]]</f>
        <v>0.58926615553121575</v>
      </c>
      <c r="DB25" s="82">
        <f>WWWW[[#This Row],['# people reached by regular dedicated hygiene promotion_5]]/WWWW[[#This Row],[Total PoP ]]</f>
        <v>0.41073384446878425</v>
      </c>
      <c r="DC25" s="82">
        <f>IF(WWWW[[#This Row],['#_households that received standard amount of soap for this quarter]]/WWWW[[#This Row],[Total HH]]&gt;1,1,WWWW[[#This Row],['#_households that received standard amount of soap for this quarter]]/WWWW[[#This Row],[Total HH]])</f>
        <v>0</v>
      </c>
      <c r="DD25" s="82">
        <f>IF(WWWW[[#This Row],['#_households that received standard amount of sanitary pads for this quarter]]/WWWW[[#This Row],[Total HH]]&gt;1,1,WWWW[[#This Row],['#_households that received standard amount of sanitary pads for this quarter]]/WWWW[[#This Row],[Total HH]])</f>
        <v>0</v>
      </c>
      <c r="DE25" s="81">
        <f>WWWW[[#This Row],['#_Constructed/Existing hand washing stations]]-WWWW[[#This Row],['#_Non-Functional_hand_washing_stations]]</f>
        <v>50</v>
      </c>
      <c r="DF25" s="667">
        <f>IF(WWWW[[#This Row],['# Functional hand washing stations during reporting period]]*20&gt;WWWW[[#This Row],[Total HH]],WWWW[[#This Row],[Total HH]],WWWW[[#This Row],['# Functional hand washing stations during reporting period]]*20)</f>
        <v>718</v>
      </c>
      <c r="DG25" s="80">
        <f>IF(WWWW[[#This Row],[Is sufficient soap available for TLS? (Yes/No)]]="yes",WWWW[[#This Row],['#_Constructed/Existing hand washing stations at TLS]],0)</f>
        <v>0</v>
      </c>
      <c r="DH25" s="667">
        <f>IF(WWWW[[#This Row],['# Functional hand washing stations during reporting period]]*100&gt;WWWW[[#This Row],[Total PoP ]],WWWW[[#This Row],[Total PoP ]],WWWW[[#This Row],['# Functional hand washing stations during reporting period]]*100)</f>
        <v>3652</v>
      </c>
      <c r="DI25" s="667" t="str">
        <f>IF(WWWW[[#This Row],['#_students at TLS_CFS]]="","No","Yes")</f>
        <v>Yes</v>
      </c>
      <c r="DJ25" s="245" t="str">
        <f>VLOOKUP(WWWW[[#This Row],[Site Name]],SiteDB6[[Site Name]:[CCCM Management]],6,FALSE)</f>
        <v>Yes</v>
      </c>
      <c r="DK25" s="245" t="str">
        <f>VLOOKUP(WWWW[[#This Row],[Site Name]],SiteDB6[[Site Name]:[CCCM Focal Agency]],7,FALSE)</f>
        <v>KMSS-MYT</v>
      </c>
      <c r="DL25" s="245" t="str">
        <f>VLOOKUP(WWWW[[#This Row],[Site Name]],SiteDB6[[Site Name]:[Location Type 1]],9,FALSE)</f>
        <v>Camp</v>
      </c>
      <c r="DM25" s="245" t="str">
        <f>VLOOKUP(WWWW[[#This Row],[Site Name]],SiteDB6[[Site Name]:[Type of Accommodation]],10,FALSE)</f>
        <v>Camp</v>
      </c>
      <c r="DN25" s="245" t="str">
        <f>VLOOKUP(WWWW[[#This Row],[Site Name]],SiteDB6[[Site Name]:[Ethnic or GCA/NGCA]],11,FALSE)</f>
        <v>NGCA</v>
      </c>
      <c r="DO25" s="245">
        <f>VLOOKUP(WWWW[[#This Row],[Site Name]],SiteDB6[[Site Name]:[Lat]],12,FALSE)</f>
        <v>24.661905999999998</v>
      </c>
      <c r="DP25" s="245">
        <f>VLOOKUP(WWWW[[#This Row],[Site Name]],SiteDB6[[Site Name]:[Long]],13,FALSE)</f>
        <v>97.573126000000002</v>
      </c>
      <c r="DQ25" s="245" t="str">
        <f>VLOOKUP(WWWW[[#This Row],[Site Name]],SiteDB6[[Site Name]:[Pcode]],3,FALSE)</f>
        <v>MMR001CMP122</v>
      </c>
      <c r="DR25" s="215" t="str">
        <f t="shared" si="1"/>
        <v>Covered</v>
      </c>
      <c r="DS25" s="215"/>
      <c r="DT25" s="20"/>
      <c r="DU25" s="20"/>
      <c r="DV25" s="20"/>
      <c r="DW25" s="20"/>
      <c r="DX25" s="20"/>
      <c r="DY25" s="20"/>
      <c r="DZ25" s="20"/>
      <c r="EA25" s="20"/>
      <c r="EB25" s="20"/>
      <c r="EC25" s="20"/>
      <c r="ED25" s="20"/>
      <c r="EE25" s="20"/>
      <c r="EF25" s="20"/>
      <c r="EG25" s="20"/>
      <c r="EH25" s="20"/>
    </row>
    <row r="26" spans="1:138" ht="15.75" customHeight="1">
      <c r="A26" s="259" t="s">
        <v>2525</v>
      </c>
      <c r="B26" s="663" t="s">
        <v>38</v>
      </c>
      <c r="C26" s="663" t="s">
        <v>38</v>
      </c>
      <c r="D26" s="663" t="s">
        <v>3120</v>
      </c>
      <c r="E26" s="663" t="s">
        <v>39</v>
      </c>
      <c r="F26" s="663" t="s">
        <v>167</v>
      </c>
      <c r="G26" s="663" t="str">
        <f>VLOOKUP(WWWW[[#This Row],[Site Name]],SiteDB6[[Site Name]:[Location Type]],8,FALSE)</f>
        <v>Camp</v>
      </c>
      <c r="H26" s="663" t="s">
        <v>241</v>
      </c>
      <c r="I26" s="700">
        <v>90</v>
      </c>
      <c r="J26" s="700">
        <v>430</v>
      </c>
      <c r="K26" s="642">
        <v>43466</v>
      </c>
      <c r="L26" s="78" t="s">
        <v>2981</v>
      </c>
      <c r="M26" s="700"/>
      <c r="N26" s="700"/>
      <c r="O26" s="700"/>
      <c r="P26" s="700"/>
      <c r="Q26" s="663" t="s">
        <v>43</v>
      </c>
      <c r="R26" s="700"/>
      <c r="S26" s="700"/>
      <c r="T26" s="700">
        <v>1</v>
      </c>
      <c r="U26" s="700"/>
      <c r="V26" s="700"/>
      <c r="W26" s="700"/>
      <c r="X26" s="700"/>
      <c r="Y26" s="700"/>
      <c r="Z26" s="700"/>
      <c r="AA26" s="700"/>
      <c r="AB26" s="700"/>
      <c r="AC26" s="700"/>
      <c r="AD26" s="700"/>
      <c r="AE26" s="700"/>
      <c r="AF26" s="700"/>
      <c r="AG26" s="700"/>
      <c r="AH26" s="700"/>
      <c r="AI26" s="700"/>
      <c r="AJ26" s="700"/>
      <c r="AK26" s="700"/>
      <c r="AL26" s="700"/>
      <c r="AM26" s="700"/>
      <c r="AN26" s="700"/>
      <c r="AO26" s="667"/>
      <c r="AP26" s="719">
        <v>22</v>
      </c>
      <c r="AQ26" s="663"/>
      <c r="AR26" s="663"/>
      <c r="AS26" s="667"/>
      <c r="AT26" s="663"/>
      <c r="AU26" s="667"/>
      <c r="AV26" s="667"/>
      <c r="AW26" s="81"/>
      <c r="AX26" s="81" t="s">
        <v>43</v>
      </c>
      <c r="AY26" s="81" t="s">
        <v>145</v>
      </c>
      <c r="AZ26" s="81"/>
      <c r="BA26" s="81"/>
      <c r="BB26" s="667"/>
      <c r="BC26" s="667"/>
      <c r="BD26" s="667"/>
      <c r="BE26" s="667"/>
      <c r="BF26" s="667"/>
      <c r="BG26" s="720">
        <v>3</v>
      </c>
      <c r="BH26" s="667"/>
      <c r="BI26" s="700"/>
      <c r="BJ26" s="700">
        <v>2</v>
      </c>
      <c r="BK26" s="721">
        <v>40</v>
      </c>
      <c r="BL26" s="667"/>
      <c r="BM26" s="667"/>
      <c r="BN26" s="667"/>
      <c r="BO26" s="82"/>
      <c r="BP26" s="667"/>
      <c r="BQ26" s="79" t="str">
        <f>IFERROR(WWWW[[#This Row],['#_Water sources treated]]/WWWW[[#This Row],['#_Water sources tested for contamination]],"no test")</f>
        <v>no test</v>
      </c>
      <c r="BR26" s="82" t="str">
        <f>IFERROR(WWWW[[#This Row],['#_Household received remediation action due to contamination]]/WWWW[[#This Row],['#_Household water samples tested for contamination]],"no test")</f>
        <v>no test</v>
      </c>
      <c r="BS26" s="81" t="str">
        <f>IF(AND(WWWW[[#This Row],[% of water sources treated]]="no test",WWWW[[#This Row],[% Household received corrective actions]]="no test"),"No Test","Tested")</f>
        <v>No Test</v>
      </c>
      <c r="BT26" s="81">
        <f>WWWW[[#This Row],['#_Constructed/existing protected hand dug well]]-WWWW[[#This Row],['#_Non-functional protected hand dug well]]</f>
        <v>1</v>
      </c>
      <c r="BU26" s="81">
        <f>(WWWW[[#This Row],['#_Constructed/Existing tube wells/boreholes/handpumps_WASH_agency]]+WWWW[[#This Row],['#_Non-Cluster partner water tube-wells/boreholes/handpumps]])-WWWW[[#This Row],['#_Non-functional tube wells/boreholes/handpumps]]</f>
        <v>0</v>
      </c>
      <c r="BV26" s="81">
        <f>WWWW[[#This Row],['#_Constructed/Existingwater storage tank with gravity fed reticulation system]]-WWWW[[#This Row],['#_Non-functional storage tank gravity fed reticulation system]]</f>
        <v>0</v>
      </c>
      <c r="BW26" s="81">
        <f>WWWW[[#This Row],['#_Water boating or water trucking]]</f>
        <v>0</v>
      </c>
      <c r="BX26" s="81">
        <f>WWWW[[#This Row],['#_Constructed/Existing water distribution system from river or natural spring]]</f>
        <v>0</v>
      </c>
      <c r="BY26"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0.93023255813953487</v>
      </c>
      <c r="BZ26"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0.58139534883720934</v>
      </c>
      <c r="CA26" s="82">
        <f>IF(WWWW[[#This Row],[Location Type 1]]="Village",WWWW[[#This Row],[Access to safe drinking water for Village]],WWWW[[#This Row],[Access to safe drinking water for Camp]])</f>
        <v>0.93023255813953487</v>
      </c>
      <c r="CB26" s="80">
        <f>WWWW[[#This Row],[%Equitable and continuous access to sufficient quantity of safe drinking water]]*WWWW[[#This Row],[Total PoP ]]</f>
        <v>400</v>
      </c>
      <c r="CC26" s="82">
        <f>IF((WWWW[[#This Row],['#_Constructed/Existing protected/fenced ponds]]*250)/WWWW[[#This Row],[Total PoP ]]&gt;1,1,(WWWW[[#This Row],['#_Constructed/Existing protected/fenced ponds]]*250)/WWWW[[#This Row],[Total PoP ]])</f>
        <v>0</v>
      </c>
      <c r="CD26" s="80">
        <f>WWWW[[#This Row],[% Access to unimproved water points]]*WWWW[[#This Row],[Total PoP ]]</f>
        <v>0</v>
      </c>
      <c r="CE26"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0.93023255813953487</v>
      </c>
      <c r="CF26"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400</v>
      </c>
      <c r="CG26" s="80">
        <f>WWWW[[#This Row],[HRP1]]/500</f>
        <v>0.8</v>
      </c>
      <c r="CH26" s="79">
        <f>1-WWWW[[#This Row],[% Equitable and continuous access to sufficient quantity of domestic water]]</f>
        <v>6.9767441860465129E-2</v>
      </c>
      <c r="CI26" s="80">
        <f>WWWW[[#This Row],[%equitable and continuous access to sufficient quantity of safe drinking and domestic water''s GAP]]*WWWW[[#This Row],[Total PoP ]]</f>
        <v>30.000000000000007</v>
      </c>
      <c r="CJ26" s="81">
        <f>IF(WWWW[[#This Row],[Total required water points]]-WWWW[[#This Row],['#Water points coverage]]&lt;0,0,WWWW[[#This Row],[Total required water points]]-WWWW[[#This Row],['#Water points coverage]])</f>
        <v>0.19999999999999996</v>
      </c>
      <c r="CK26" s="81">
        <f>ROUND(IF(WWWW[[#This Row],[Total PoP ]]&lt;500,1,WWWW[[#This Row],[Total PoP ]]/500),0)</f>
        <v>1</v>
      </c>
      <c r="CL26" s="81">
        <f>(WWWW[[#This Row],['#_Constructed latrines_by_WASHAgencies]]+WWWW[[#This Row],['#_Non Cluster partner latrines]])-WWWW[[#This Row],['#_Non-functional latrines]]</f>
        <v>22</v>
      </c>
      <c r="CM26"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26"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430</v>
      </c>
      <c r="CO26"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26" s="81">
        <f>IF(WWWW[[#This Row],[Location Type 1]]="Village","NA",IF(WWWW[[#This Row],['#_Constructed/Existing latrines in TLS]]*50&gt;WWWW[[#This Row],['#_students at TLS_CFS]],WWWW[[#This Row],['#_students at TLS_CFS]],(WWWW[[#This Row],['#_Constructed/Existing latrines in TLS]]*50)))</f>
        <v>0</v>
      </c>
      <c r="CQ26" s="81">
        <f>ROUND(IF(WWWW[[#This Row],[Location Type 1]]="camp",WWWW[[#This Row],[Total PoP ]]/20,IF(WWWW[[#This Row],[Location Type 1]]="Temporary Location",WWWW[[#This Row],[Total PoP ]]/50,(WWWW[[#This Row],[Total PoP ]]/6))),0)</f>
        <v>22</v>
      </c>
      <c r="CR26" s="80">
        <f>IF(WWWW[[#This Row],[Total required Latrines]]-(WWWW[[#This Row],['#_Constructed latrines_by_WASHAgencies]]+WWWW[[#This Row],['#_Non Cluster partner latrines]])&lt;0,0,WWWW[[#This Row],[Total required Latrines]]-(WWWW[[#This Row],['#_Constructed latrines_by_WASHAgencies]]+WWWW[[#This Row],['#_Non Cluster partner latrines]]))</f>
        <v>0</v>
      </c>
      <c r="CS26" s="79">
        <f>1-WWWW[[#This Row],[% people access to functioning Latrine]]</f>
        <v>0</v>
      </c>
      <c r="CT26" s="83">
        <f>IF(OR(WWWW[[#This Row],['#_Non-functional latrines]]="",WWWW[[#This Row],['#_Non-functional latrines]]=0),0,WWWW[[#This Row],['#_Non-functional latrines]]/(WWWW[[#This Row],['#_Constructed latrines_by_WASHAgencies]]+WWWW[[#This Row],['#_Non Cluster partner latrines]]))</f>
        <v>0</v>
      </c>
      <c r="CU26" s="80">
        <f>IF(500*(WWWW[[#This Row],['#_male hygiene promoters]]+WWWW[[#This Row],['#_female hygiene promoters]])&gt;WWWW[[#This Row],[Total PoP ]],WWWW[[#This Row],[Total PoP ]],500*(WWWW[[#This Row],['#_male hygiene promoters]]+WWWW[[#This Row],['#_female hygiene promoters]]))</f>
        <v>430</v>
      </c>
      <c r="CV26"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200</v>
      </c>
      <c r="CW26"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6" s="81">
        <f>IF(WWWW[[#This Row],['# People with access to soap]]&gt;WWWW[[#This Row],['# People with access to Sanity Pads]],WWWW[[#This Row],['# People with access to soap]],WWWW[[#This Row],['# People with access to Sanity Pads]])</f>
        <v>200</v>
      </c>
      <c r="CY26" s="81">
        <f>IF(WWWW[[#This Row],['# people reached by regular dedicated hygiene promotion_5]]&gt;WWWW[[#This Row],['# People received regular supply of hygiene items_6]],WWWW[[#This Row],['# people reached by regular dedicated hygiene promotion_5]],WWWW[[#This Row],['# People received regular supply of hygiene items_6]])</f>
        <v>430</v>
      </c>
      <c r="CZ26" s="79">
        <f>IF(WWWW[[#This Row],[HRP3]]/WWWW[[#This Row],[Total PoP ]]&gt;100%,100%,WWWW[[#This Row],[HRP3]]/WWWW[[#This Row],[Total PoP ]])</f>
        <v>1</v>
      </c>
      <c r="DA26" s="83">
        <f>1-WWWW[[#This Row],[Hygiene Coverage%]]</f>
        <v>0</v>
      </c>
      <c r="DB26" s="82">
        <f>WWWW[[#This Row],['# people reached by regular dedicated hygiene promotion_5]]/WWWW[[#This Row],[Total PoP ]]</f>
        <v>1</v>
      </c>
      <c r="DC26" s="82">
        <f>IF(WWWW[[#This Row],['#_households that received standard amount of soap for this quarter]]/WWWW[[#This Row],[Total HH]]&gt;1,1,WWWW[[#This Row],['#_households that received standard amount of soap for this quarter]]/WWWW[[#This Row],[Total HH]])</f>
        <v>0.44444444444444442</v>
      </c>
      <c r="DD26" s="82">
        <f>IF(WWWW[[#This Row],['#_households that received standard amount of sanitary pads for this quarter]]/WWWW[[#This Row],[Total HH]]&gt;1,1,WWWW[[#This Row],['#_households that received standard amount of sanitary pads for this quarter]]/WWWW[[#This Row],[Total HH]])</f>
        <v>0</v>
      </c>
      <c r="DE26" s="81">
        <f>WWWW[[#This Row],['#_Constructed/Existing hand washing stations]]-WWWW[[#This Row],['#_Non-Functional_hand_washing_stations]]</f>
        <v>0</v>
      </c>
      <c r="DF26" s="667">
        <f>IF(WWWW[[#This Row],['# Functional hand washing stations during reporting period]]*20&gt;WWWW[[#This Row],[Total HH]],WWWW[[#This Row],[Total HH]],WWWW[[#This Row],['# Functional hand washing stations during reporting period]]*20)</f>
        <v>0</v>
      </c>
      <c r="DG26" s="80">
        <f>IF(WWWW[[#This Row],[Is sufficient soap available for TLS? (Yes/No)]]="yes",WWWW[[#This Row],['#_Constructed/Existing hand washing stations at TLS]],0)</f>
        <v>0</v>
      </c>
      <c r="DH26" s="667">
        <f>IF(WWWW[[#This Row],['# Functional hand washing stations during reporting period]]*100&gt;WWWW[[#This Row],[Total PoP ]],WWWW[[#This Row],[Total PoP ]],WWWW[[#This Row],['# Functional hand washing stations during reporting period]]*100)</f>
        <v>0</v>
      </c>
      <c r="DI26" s="667" t="str">
        <f>IF(WWWW[[#This Row],['#_students at TLS_CFS]]="","No","Yes")</f>
        <v>No</v>
      </c>
      <c r="DJ26" s="245" t="str">
        <f>VLOOKUP(WWWW[[#This Row],[Site Name]],SiteDB6[[Site Name]:[CCCM Management]],6,FALSE)</f>
        <v>Yes</v>
      </c>
      <c r="DK26" s="245" t="str">
        <f>VLOOKUP(WWWW[[#This Row],[Site Name]],SiteDB6[[Site Name]:[CCCM Focal Agency]],7,FALSE)</f>
        <v>KMSS-MYT</v>
      </c>
      <c r="DL26" s="245" t="str">
        <f>VLOOKUP(WWWW[[#This Row],[Site Name]],SiteDB6[[Site Name]:[Location Type 1]],9,FALSE)</f>
        <v>Camp</v>
      </c>
      <c r="DM26" s="245" t="str">
        <f>VLOOKUP(WWWW[[#This Row],[Site Name]],SiteDB6[[Site Name]:[Type of Accommodation]],10,FALSE)</f>
        <v>Camp</v>
      </c>
      <c r="DN26" s="245" t="str">
        <f>VLOOKUP(WWWW[[#This Row],[Site Name]],SiteDB6[[Site Name]:[Ethnic or GCA/NGCA]],11,FALSE)</f>
        <v>GCA</v>
      </c>
      <c r="DO26" s="245">
        <f>VLOOKUP(WWWW[[#This Row],[Site Name]],SiteDB6[[Site Name]:[Lat]],12,FALSE)</f>
        <v>25.401061110000001</v>
      </c>
      <c r="DP26" s="245">
        <f>VLOOKUP(WWWW[[#This Row],[Site Name]],SiteDB6[[Site Name]:[Long]],13,FALSE)</f>
        <v>97.379594999999995</v>
      </c>
      <c r="DQ26" s="245" t="str">
        <f>VLOOKUP(WWWW[[#This Row],[Site Name]],SiteDB6[[Site Name]:[Pcode]],3,FALSE)</f>
        <v>MMR001CMP019</v>
      </c>
      <c r="DR26" s="215" t="str">
        <f t="shared" si="1"/>
        <v>Covered</v>
      </c>
      <c r="DS26" s="215"/>
      <c r="DT26" s="20"/>
      <c r="DU26" s="20"/>
      <c r="DV26" s="20"/>
      <c r="DW26" s="20"/>
      <c r="DX26" s="20"/>
      <c r="DY26" s="20"/>
      <c r="DZ26" s="20"/>
      <c r="EA26" s="20"/>
      <c r="EB26" s="20"/>
      <c r="EC26" s="20"/>
      <c r="ED26" s="20"/>
      <c r="EE26" s="20"/>
      <c r="EF26" s="20"/>
      <c r="EG26" s="20"/>
      <c r="EH26" s="20"/>
    </row>
    <row r="27" spans="1:138" ht="15.75" customHeight="1">
      <c r="A27" s="259" t="s">
        <v>2525</v>
      </c>
      <c r="B27" s="663" t="s">
        <v>250</v>
      </c>
      <c r="C27" s="663" t="s">
        <v>250</v>
      </c>
      <c r="D27" s="663" t="s">
        <v>315</v>
      </c>
      <c r="E27" s="663" t="s">
        <v>39</v>
      </c>
      <c r="F27" s="663" t="s">
        <v>156</v>
      </c>
      <c r="G27" s="663" t="str">
        <f>VLOOKUP(WWWW[[#This Row],[Site Name]],SiteDB6[[Site Name]:[Location Type]],8,FALSE)</f>
        <v>Camp</v>
      </c>
      <c r="H27" s="663" t="s">
        <v>256</v>
      </c>
      <c r="I27" s="700">
        <v>70</v>
      </c>
      <c r="J27" s="700">
        <v>371</v>
      </c>
      <c r="K27" s="642">
        <v>43313</v>
      </c>
      <c r="L27" s="78">
        <v>44043</v>
      </c>
      <c r="M27" s="700">
        <v>0</v>
      </c>
      <c r="N27" s="700">
        <v>1</v>
      </c>
      <c r="O27" s="700">
        <v>0</v>
      </c>
      <c r="P27" s="700">
        <v>0</v>
      </c>
      <c r="Q27" s="663" t="s">
        <v>43</v>
      </c>
      <c r="R27" s="377">
        <v>10</v>
      </c>
      <c r="S27" s="377">
        <v>3</v>
      </c>
      <c r="T27" s="377">
        <v>0</v>
      </c>
      <c r="U27" s="377">
        <v>0</v>
      </c>
      <c r="V27" s="377">
        <v>0</v>
      </c>
      <c r="W27" s="377">
        <v>0</v>
      </c>
      <c r="X27" s="377">
        <v>0</v>
      </c>
      <c r="Y27" s="377">
        <v>0</v>
      </c>
      <c r="Z27" s="377">
        <v>0</v>
      </c>
      <c r="AA27" s="700">
        <v>0</v>
      </c>
      <c r="AB27" s="377">
        <v>0</v>
      </c>
      <c r="AC27" s="377">
        <v>0</v>
      </c>
      <c r="AD27" s="377">
        <v>0</v>
      </c>
      <c r="AE27" s="377">
        <v>0</v>
      </c>
      <c r="AF27" s="377">
        <v>0</v>
      </c>
      <c r="AG27" s="377">
        <v>0</v>
      </c>
      <c r="AH27" s="377">
        <v>1</v>
      </c>
      <c r="AI27" s="377"/>
      <c r="AJ27" s="377"/>
      <c r="AK27" s="377"/>
      <c r="AL27" s="377"/>
      <c r="AM27" s="377">
        <v>0</v>
      </c>
      <c r="AN27" s="377">
        <v>0</v>
      </c>
      <c r="AO27" s="215"/>
      <c r="AP27" s="377">
        <v>15</v>
      </c>
      <c r="AQ27" s="377">
        <v>7</v>
      </c>
      <c r="AR27" s="77" t="s">
        <v>3129</v>
      </c>
      <c r="AS27" s="377">
        <v>0</v>
      </c>
      <c r="AT27" s="377">
        <v>2</v>
      </c>
      <c r="AU27" s="377">
        <v>0</v>
      </c>
      <c r="AV27" s="377"/>
      <c r="AW27" s="700">
        <v>0</v>
      </c>
      <c r="AX27" s="245" t="s">
        <v>43</v>
      </c>
      <c r="AY27" s="245" t="s">
        <v>145</v>
      </c>
      <c r="AZ27" s="377">
        <v>0</v>
      </c>
      <c r="BA27" s="377">
        <v>0</v>
      </c>
      <c r="BB27" s="377">
        <v>0</v>
      </c>
      <c r="BC27" s="215"/>
      <c r="BD27" s="377">
        <v>0</v>
      </c>
      <c r="BE27" s="377">
        <v>0</v>
      </c>
      <c r="BF27" s="377">
        <v>0</v>
      </c>
      <c r="BG27" s="377">
        <v>2</v>
      </c>
      <c r="BH27" s="377">
        <v>0</v>
      </c>
      <c r="BI27" s="377">
        <v>8</v>
      </c>
      <c r="BJ27" s="377">
        <v>5</v>
      </c>
      <c r="BK27" s="377">
        <v>0</v>
      </c>
      <c r="BL27" s="377">
        <v>0</v>
      </c>
      <c r="BM27" s="215" t="s">
        <v>144</v>
      </c>
      <c r="BN27" s="80">
        <v>0</v>
      </c>
      <c r="BO27" s="82">
        <v>0.1</v>
      </c>
      <c r="BP27" s="215"/>
      <c r="BQ27" s="79" t="str">
        <f>IFERROR(WWWW[[#This Row],['#_Water sources treated]]/WWWW[[#This Row],['#_Water sources tested for contamination]],"no test")</f>
        <v>no test</v>
      </c>
      <c r="BR27" s="82" t="str">
        <f>IFERROR(WWWW[[#This Row],['#_Household received remediation action due to contamination]]/WWWW[[#This Row],['#_Household water samples tested for contamination]],"no test")</f>
        <v>no test</v>
      </c>
      <c r="BS27" s="81" t="str">
        <f>IF(AND(WWWW[[#This Row],[% of water sources treated]]="no test",WWWW[[#This Row],[% Household received corrective actions]]="no test"),"No Test","Tested")</f>
        <v>No Test</v>
      </c>
      <c r="BT27" s="81">
        <f>WWWW[[#This Row],['#_Constructed/existing protected hand dug well]]-WWWW[[#This Row],['#_Non-functional protected hand dug well]]</f>
        <v>0</v>
      </c>
      <c r="BU27" s="81">
        <f>(WWWW[[#This Row],['#_Constructed/Existing tube wells/boreholes/handpumps_WASH_agency]]+WWWW[[#This Row],['#_Non-Cluster partner water tube-wells/boreholes/handpumps]])-WWWW[[#This Row],['#_Non-functional tube wells/boreholes/handpumps]]</f>
        <v>0</v>
      </c>
      <c r="BV27" s="81">
        <f>WWWW[[#This Row],['#_Constructed/Existingwater storage tank with gravity fed reticulation system]]-WWWW[[#This Row],['#_Non-functional storage tank gravity fed reticulation system]]</f>
        <v>0</v>
      </c>
      <c r="BW27" s="81">
        <f>WWWW[[#This Row],['#_Water boating or water trucking]]</f>
        <v>0</v>
      </c>
      <c r="BX27" s="81">
        <f>WWWW[[#This Row],['#_Constructed/Existing water distribution system from river or natural spring]]</f>
        <v>0</v>
      </c>
      <c r="BY27"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7"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7" s="82">
        <f>IF(WWWW[[#This Row],[Location Type 1]]="Village",WWWW[[#This Row],[Access to safe drinking water for Village]],WWWW[[#This Row],[Access to safe drinking water for Camp]])</f>
        <v>0</v>
      </c>
      <c r="CB27" s="80">
        <f>WWWW[[#This Row],[%Equitable and continuous access to sufficient quantity of safe drinking water]]*WWWW[[#This Row],[Total PoP ]]</f>
        <v>0</v>
      </c>
      <c r="CC27" s="82">
        <f>IF((WWWW[[#This Row],['#_Constructed/Existing protected/fenced ponds]]*250)/WWWW[[#This Row],[Total PoP ]]&gt;1,1,(WWWW[[#This Row],['#_Constructed/Existing protected/fenced ponds]]*250)/WWWW[[#This Row],[Total PoP ]])</f>
        <v>0</v>
      </c>
      <c r="CD27" s="80">
        <f>WWWW[[#This Row],[% Access to unimproved water points]]*WWWW[[#This Row],[Total PoP ]]</f>
        <v>0</v>
      </c>
      <c r="CE27"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7"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7" s="80">
        <f>WWWW[[#This Row],[HRP1]]/500</f>
        <v>0</v>
      </c>
      <c r="CH27" s="79">
        <f>1-WWWW[[#This Row],[% Equitable and continuous access to sufficient quantity of domestic water]]</f>
        <v>1</v>
      </c>
      <c r="CI27" s="80">
        <f>WWWW[[#This Row],[%equitable and continuous access to sufficient quantity of safe drinking and domestic water''s GAP]]*WWWW[[#This Row],[Total PoP ]]</f>
        <v>371</v>
      </c>
      <c r="CJ27" s="81">
        <f>IF(WWWW[[#This Row],[Total required water points]]-WWWW[[#This Row],['#Water points coverage]]&lt;0,0,WWWW[[#This Row],[Total required water points]]-WWWW[[#This Row],['#Water points coverage]])</f>
        <v>1</v>
      </c>
      <c r="CK27" s="81">
        <f>ROUND(IF(WWWW[[#This Row],[Total PoP ]]&lt;500,1,WWWW[[#This Row],[Total PoP ]]/500),0)</f>
        <v>1</v>
      </c>
      <c r="CL27" s="81">
        <f>(WWWW[[#This Row],['#_Constructed latrines_by_WASHAgencies]]+WWWW[[#This Row],['#_Non Cluster partner latrines]])-WWWW[[#This Row],['#_Non-functional latrines]]</f>
        <v>22</v>
      </c>
      <c r="CM27"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27"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371</v>
      </c>
      <c r="CO27"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27" s="81">
        <f>IF(WWWW[[#This Row],[Location Type 1]]="Village","NA",IF(WWWW[[#This Row],['#_Constructed/Existing latrines in TLS]]*50&gt;WWWW[[#This Row],['#_students at TLS_CFS]],WWWW[[#This Row],['#_students at TLS_CFS]],(WWWW[[#This Row],['#_Constructed/Existing latrines in TLS]]*50)))</f>
        <v>0</v>
      </c>
      <c r="CQ27" s="81">
        <f>ROUND(IF(WWWW[[#This Row],[Location Type 1]]="camp",WWWW[[#This Row],[Total PoP ]]/20,IF(WWWW[[#This Row],[Location Type 1]]="Temporary Location",WWWW[[#This Row],[Total PoP ]]/50,(WWWW[[#This Row],[Total PoP ]]/6))),0)</f>
        <v>19</v>
      </c>
      <c r="CR27" s="80">
        <f>IF(WWWW[[#This Row],[Total required Latrines]]-(WWWW[[#This Row],['#_Constructed latrines_by_WASHAgencies]]+WWWW[[#This Row],['#_Non Cluster partner latrines]])&lt;0,0,WWWW[[#This Row],[Total required Latrines]]-(WWWW[[#This Row],['#_Constructed latrines_by_WASHAgencies]]+WWWW[[#This Row],['#_Non Cluster partner latrines]]))</f>
        <v>0</v>
      </c>
      <c r="CS27" s="79">
        <f>1-WWWW[[#This Row],[% people access to functioning Latrine]]</f>
        <v>0</v>
      </c>
      <c r="CT27" s="83">
        <f>IF(OR(WWWW[[#This Row],['#_Non-functional latrines]]="",WWWW[[#This Row],['#_Non-functional latrines]]=0),0,WWWW[[#This Row],['#_Non-functional latrines]]/(WWWW[[#This Row],['#_Constructed latrines_by_WASHAgencies]]+WWWW[[#This Row],['#_Non Cluster partner latrines]]))</f>
        <v>0</v>
      </c>
      <c r="CU27" s="80">
        <f>IF(500*(WWWW[[#This Row],['#_male hygiene promoters]]+WWWW[[#This Row],['#_female hygiene promoters]])&gt;WWWW[[#This Row],[Total PoP ]],WWWW[[#This Row],[Total PoP ]],500*(WWWW[[#This Row],['#_male hygiene promoters]]+WWWW[[#This Row],['#_female hygiene promoters]]))</f>
        <v>371</v>
      </c>
      <c r="CV27"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7"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7" s="81">
        <f>IF(WWWW[[#This Row],['# People with access to soap]]&gt;WWWW[[#This Row],['# People with access to Sanity Pads]],WWWW[[#This Row],['# People with access to soap]],WWWW[[#This Row],['# People with access to Sanity Pads]])</f>
        <v>0</v>
      </c>
      <c r="CY27" s="81">
        <f>IF(WWWW[[#This Row],['# people reached by regular dedicated hygiene promotion_5]]&gt;WWWW[[#This Row],['# People received regular supply of hygiene items_6]],WWWW[[#This Row],['# people reached by regular dedicated hygiene promotion_5]],WWWW[[#This Row],['# People received regular supply of hygiene items_6]])</f>
        <v>371</v>
      </c>
      <c r="CZ27" s="79">
        <f>IF(WWWW[[#This Row],[HRP3]]/WWWW[[#This Row],[Total PoP ]]&gt;100%,100%,WWWW[[#This Row],[HRP3]]/WWWW[[#This Row],[Total PoP ]])</f>
        <v>1</v>
      </c>
      <c r="DA27" s="83">
        <f>1-WWWW[[#This Row],[Hygiene Coverage%]]</f>
        <v>0</v>
      </c>
      <c r="DB27" s="82">
        <f>WWWW[[#This Row],['# people reached by regular dedicated hygiene promotion_5]]/WWWW[[#This Row],[Total PoP ]]</f>
        <v>1</v>
      </c>
      <c r="DC27" s="82">
        <f>IF(WWWW[[#This Row],['#_households that received standard amount of soap for this quarter]]/WWWW[[#This Row],[Total HH]]&gt;1,1,WWWW[[#This Row],['#_households that received standard amount of soap for this quarter]]/WWWW[[#This Row],[Total HH]])</f>
        <v>0</v>
      </c>
      <c r="DD27" s="82">
        <f>IF(WWWW[[#This Row],['#_households that received standard amount of sanitary pads for this quarter]]/WWWW[[#This Row],[Total HH]]&gt;1,1,WWWW[[#This Row],['#_households that received standard amount of sanitary pads for this quarter]]/WWWW[[#This Row],[Total HH]])</f>
        <v>0</v>
      </c>
      <c r="DE27" s="81">
        <f>WWWW[[#This Row],['#_Constructed/Existing hand washing stations]]-WWWW[[#This Row],['#_Non-Functional_hand_washing_stations]]</f>
        <v>0</v>
      </c>
      <c r="DF27" s="667">
        <f>IF(WWWW[[#This Row],['# Functional hand washing stations during reporting period]]*20&gt;WWWW[[#This Row],[Total HH]],WWWW[[#This Row],[Total HH]],WWWW[[#This Row],['# Functional hand washing stations during reporting period]]*20)</f>
        <v>0</v>
      </c>
      <c r="DG27" s="80">
        <f>IF(WWWW[[#This Row],[Is sufficient soap available for TLS? (Yes/No)]]="yes",WWWW[[#This Row],['#_Constructed/Existing hand washing stations at TLS]],0)</f>
        <v>0</v>
      </c>
      <c r="DH27" s="667">
        <f>IF(WWWW[[#This Row],['# Functional hand washing stations during reporting period]]*100&gt;WWWW[[#This Row],[Total PoP ]],WWWW[[#This Row],[Total PoP ]],WWWW[[#This Row],['# Functional hand washing stations during reporting period]]*100)</f>
        <v>0</v>
      </c>
      <c r="DI27" s="667" t="str">
        <f>IF(WWWW[[#This Row],['#_students at TLS_CFS]]="","No","Yes")</f>
        <v>Yes</v>
      </c>
      <c r="DJ27" s="245" t="str">
        <f>VLOOKUP(WWWW[[#This Row],[Site Name]],SiteDB6[[Site Name]:[CCCM Management]],6,FALSE)</f>
        <v>Yes</v>
      </c>
      <c r="DK27" s="245" t="str">
        <f>VLOOKUP(WWWW[[#This Row],[Site Name]],SiteDB6[[Site Name]:[CCCM Focal Agency]],7,FALSE)</f>
        <v>Shalom</v>
      </c>
      <c r="DL27" s="245" t="str">
        <f>VLOOKUP(WWWW[[#This Row],[Site Name]],SiteDB6[[Site Name]:[Location Type 1]],9,FALSE)</f>
        <v>Camp</v>
      </c>
      <c r="DM27" s="245" t="str">
        <f>VLOOKUP(WWWW[[#This Row],[Site Name]],SiteDB6[[Site Name]:[Type of Accommodation]],10,FALSE)</f>
        <v>Camp</v>
      </c>
      <c r="DN27" s="245" t="str">
        <f>VLOOKUP(WWWW[[#This Row],[Site Name]],SiteDB6[[Site Name]:[Ethnic or GCA/NGCA]],11,FALSE)</f>
        <v>GCA</v>
      </c>
      <c r="DO27" s="245">
        <f>VLOOKUP(WWWW[[#This Row],[Site Name]],SiteDB6[[Site Name]:[Lat]],12,FALSE)</f>
        <v>25.635300000000001</v>
      </c>
      <c r="DP27" s="245">
        <f>VLOOKUP(WWWW[[#This Row],[Site Name]],SiteDB6[[Site Name]:[Long]],13,FALSE)</f>
        <v>96.345569999999995</v>
      </c>
      <c r="DQ27" s="245" t="str">
        <f>VLOOKUP(WWWW[[#This Row],[Site Name]],SiteDB6[[Site Name]:[Pcode]],3,FALSE)</f>
        <v>MMR001CMP176</v>
      </c>
      <c r="DR27" s="215" t="str">
        <f t="shared" si="1"/>
        <v>Covered</v>
      </c>
      <c r="DS27" s="215"/>
      <c r="DT27" s="20"/>
      <c r="DU27" s="20"/>
      <c r="DV27" s="20"/>
      <c r="DW27" s="20"/>
      <c r="DX27" s="20"/>
      <c r="DY27" s="20"/>
      <c r="DZ27" s="20"/>
      <c r="EA27" s="20"/>
      <c r="EB27" s="20"/>
      <c r="EC27" s="20"/>
      <c r="ED27" s="20"/>
      <c r="EE27" s="20"/>
      <c r="EF27" s="20"/>
      <c r="EG27" s="20"/>
      <c r="EH27" s="20"/>
    </row>
    <row r="28" spans="1:138" ht="15.75" customHeight="1">
      <c r="A28" s="259" t="s">
        <v>2525</v>
      </c>
      <c r="B28" s="663" t="s">
        <v>250</v>
      </c>
      <c r="C28" s="663" t="s">
        <v>250</v>
      </c>
      <c r="D28" s="663" t="s">
        <v>315</v>
      </c>
      <c r="E28" s="663" t="s">
        <v>39</v>
      </c>
      <c r="F28" s="663" t="s">
        <v>156</v>
      </c>
      <c r="G28" s="663" t="str">
        <f>VLOOKUP(WWWW[[#This Row],[Site Name]],SiteDB6[[Site Name]:[Location Type]],8,FALSE)</f>
        <v>Camp</v>
      </c>
      <c r="H28" s="663" t="s">
        <v>257</v>
      </c>
      <c r="I28" s="700">
        <v>13</v>
      </c>
      <c r="J28" s="700">
        <v>83</v>
      </c>
      <c r="K28" s="642">
        <v>43313</v>
      </c>
      <c r="L28" s="78">
        <v>44043</v>
      </c>
      <c r="M28" s="700">
        <v>0</v>
      </c>
      <c r="N28" s="700">
        <v>1</v>
      </c>
      <c r="O28" s="700">
        <v>0</v>
      </c>
      <c r="P28" s="700">
        <v>0</v>
      </c>
      <c r="Q28" s="663" t="s">
        <v>43</v>
      </c>
      <c r="R28" s="377">
        <v>0</v>
      </c>
      <c r="S28" s="377">
        <v>1</v>
      </c>
      <c r="T28" s="377">
        <v>2</v>
      </c>
      <c r="U28" s="377">
        <v>1</v>
      </c>
      <c r="V28" s="377">
        <v>1</v>
      </c>
      <c r="W28" s="377">
        <v>0</v>
      </c>
      <c r="X28" s="377">
        <v>0</v>
      </c>
      <c r="Y28" s="377">
        <v>0</v>
      </c>
      <c r="Z28" s="377">
        <v>0</v>
      </c>
      <c r="AA28" s="700">
        <v>0</v>
      </c>
      <c r="AB28" s="377">
        <v>0</v>
      </c>
      <c r="AC28" s="377">
        <v>0</v>
      </c>
      <c r="AD28" s="377">
        <v>0</v>
      </c>
      <c r="AE28" s="377">
        <v>0</v>
      </c>
      <c r="AF28" s="377">
        <v>0</v>
      </c>
      <c r="AG28" s="377">
        <v>0</v>
      </c>
      <c r="AH28" s="377">
        <v>0</v>
      </c>
      <c r="AI28" s="377"/>
      <c r="AJ28" s="377"/>
      <c r="AK28" s="377"/>
      <c r="AL28" s="377"/>
      <c r="AM28" s="377">
        <v>0</v>
      </c>
      <c r="AN28" s="379">
        <v>0</v>
      </c>
      <c r="AO28" s="215"/>
      <c r="AP28" s="377">
        <v>4</v>
      </c>
      <c r="AQ28" s="377">
        <v>1</v>
      </c>
      <c r="AR28" s="77" t="s">
        <v>250</v>
      </c>
      <c r="AS28" s="377">
        <v>0</v>
      </c>
      <c r="AT28" s="377">
        <v>4</v>
      </c>
      <c r="AU28" s="377">
        <v>0</v>
      </c>
      <c r="AV28" s="377"/>
      <c r="AW28" s="700">
        <v>0</v>
      </c>
      <c r="AX28" s="245" t="s">
        <v>43</v>
      </c>
      <c r="AY28" s="245" t="s">
        <v>144</v>
      </c>
      <c r="AZ28" s="377">
        <v>0</v>
      </c>
      <c r="BA28" s="377">
        <v>0</v>
      </c>
      <c r="BB28" s="377">
        <v>0</v>
      </c>
      <c r="BC28" s="215"/>
      <c r="BD28" s="377">
        <v>3</v>
      </c>
      <c r="BE28" s="377">
        <v>2</v>
      </c>
      <c r="BF28" s="377">
        <v>0</v>
      </c>
      <c r="BG28" s="377">
        <v>1</v>
      </c>
      <c r="BH28" s="377">
        <v>0</v>
      </c>
      <c r="BI28" s="377">
        <v>1</v>
      </c>
      <c r="BJ28" s="377">
        <v>2</v>
      </c>
      <c r="BK28" s="377">
        <v>0</v>
      </c>
      <c r="BL28" s="377">
        <v>0</v>
      </c>
      <c r="BM28" s="215" t="s">
        <v>144</v>
      </c>
      <c r="BN28" s="80">
        <v>0</v>
      </c>
      <c r="BO28" s="82">
        <v>0.3</v>
      </c>
      <c r="BP28" s="215"/>
      <c r="BQ28" s="79" t="str">
        <f>IFERROR(WWWW[[#This Row],['#_Water sources treated]]/WWWW[[#This Row],['#_Water sources tested for contamination]],"no test")</f>
        <v>no test</v>
      </c>
      <c r="BR28" s="82" t="str">
        <f>IFERROR(WWWW[[#This Row],['#_Household received remediation action due to contamination]]/WWWW[[#This Row],['#_Household water samples tested for contamination]],"no test")</f>
        <v>no test</v>
      </c>
      <c r="BS28" s="81" t="str">
        <f>IF(AND(WWWW[[#This Row],[% of water sources treated]]="no test",WWWW[[#This Row],[% Household received corrective actions]]="no test"),"No Test","Tested")</f>
        <v>No Test</v>
      </c>
      <c r="BT28" s="81">
        <f>WWWW[[#This Row],['#_Constructed/existing protected hand dug well]]-WWWW[[#This Row],['#_Non-functional protected hand dug well]]</f>
        <v>1</v>
      </c>
      <c r="BU28" s="81">
        <f>(WWWW[[#This Row],['#_Constructed/Existing tube wells/boreholes/handpumps_WASH_agency]]+WWWW[[#This Row],['#_Non-Cluster partner water tube-wells/boreholes/handpumps]])-WWWW[[#This Row],['#_Non-functional tube wells/boreholes/handpumps]]</f>
        <v>0</v>
      </c>
      <c r="BV28" s="81">
        <f>WWWW[[#This Row],['#_Constructed/Existingwater storage tank with gravity fed reticulation system]]-WWWW[[#This Row],['#_Non-functional storage tank gravity fed reticulation system]]</f>
        <v>0</v>
      </c>
      <c r="BW28" s="81">
        <f>WWWW[[#This Row],['#_Water boating or water trucking]]</f>
        <v>0</v>
      </c>
      <c r="BX28" s="81">
        <f>WWWW[[#This Row],['#_Constructed/Existing water distribution system from river or natural spring]]</f>
        <v>0</v>
      </c>
      <c r="BY28"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28"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28" s="82">
        <f>IF(WWWW[[#This Row],[Location Type 1]]="Village",WWWW[[#This Row],[Access to safe drinking water for Village]],WWWW[[#This Row],[Access to safe drinking water for Camp]])</f>
        <v>1</v>
      </c>
      <c r="CB28" s="80">
        <f>WWWW[[#This Row],[%Equitable and continuous access to sufficient quantity of safe drinking water]]*WWWW[[#This Row],[Total PoP ]]</f>
        <v>83</v>
      </c>
      <c r="CC28" s="82">
        <f>IF((WWWW[[#This Row],['#_Constructed/Existing protected/fenced ponds]]*250)/WWWW[[#This Row],[Total PoP ]]&gt;1,1,(WWWW[[#This Row],['#_Constructed/Existing protected/fenced ponds]]*250)/WWWW[[#This Row],[Total PoP ]])</f>
        <v>0</v>
      </c>
      <c r="CD28" s="80">
        <f>WWWW[[#This Row],[% Access to unimproved water points]]*WWWW[[#This Row],[Total PoP ]]</f>
        <v>0</v>
      </c>
      <c r="CE28"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28"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83</v>
      </c>
      <c r="CG28" s="80">
        <f>WWWW[[#This Row],[HRP1]]/500</f>
        <v>0.16600000000000001</v>
      </c>
      <c r="CH28" s="79">
        <f>1-WWWW[[#This Row],[% Equitable and continuous access to sufficient quantity of domestic water]]</f>
        <v>0</v>
      </c>
      <c r="CI28" s="80">
        <f>WWWW[[#This Row],[%equitable and continuous access to sufficient quantity of safe drinking and domestic water''s GAP]]*WWWW[[#This Row],[Total PoP ]]</f>
        <v>0</v>
      </c>
      <c r="CJ28" s="81">
        <f>IF(WWWW[[#This Row],[Total required water points]]-WWWW[[#This Row],['#Water points coverage]]&lt;0,0,WWWW[[#This Row],[Total required water points]]-WWWW[[#This Row],['#Water points coverage]])</f>
        <v>0.83399999999999996</v>
      </c>
      <c r="CK28" s="81">
        <f>ROUND(IF(WWWW[[#This Row],[Total PoP ]]&lt;500,1,WWWW[[#This Row],[Total PoP ]]/500),0)</f>
        <v>1</v>
      </c>
      <c r="CL28" s="81">
        <f>(WWWW[[#This Row],['#_Constructed latrines_by_WASHAgencies]]+WWWW[[#This Row],['#_Non Cluster partner latrines]])-WWWW[[#This Row],['#_Non-functional latrines]]</f>
        <v>5</v>
      </c>
      <c r="CM28"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28"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83</v>
      </c>
      <c r="CO28"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28" s="81">
        <f>IF(WWWW[[#This Row],[Location Type 1]]="Village","NA",IF(WWWW[[#This Row],['#_Constructed/Existing latrines in TLS]]*50&gt;WWWW[[#This Row],['#_students at TLS_CFS]],WWWW[[#This Row],['#_students at TLS_CFS]],(WWWW[[#This Row],['#_Constructed/Existing latrines in TLS]]*50)))</f>
        <v>0</v>
      </c>
      <c r="CQ28" s="81">
        <f>ROUND(IF(WWWW[[#This Row],[Location Type 1]]="camp",WWWW[[#This Row],[Total PoP ]]/20,IF(WWWW[[#This Row],[Location Type 1]]="Temporary Location",WWWW[[#This Row],[Total PoP ]]/50,(WWWW[[#This Row],[Total PoP ]]/6))),0)</f>
        <v>4</v>
      </c>
      <c r="CR28" s="80">
        <f>IF(WWWW[[#This Row],[Total required Latrines]]-(WWWW[[#This Row],['#_Constructed latrines_by_WASHAgencies]]+WWWW[[#This Row],['#_Non Cluster partner latrines]])&lt;0,0,WWWW[[#This Row],[Total required Latrines]]-(WWWW[[#This Row],['#_Constructed latrines_by_WASHAgencies]]+WWWW[[#This Row],['#_Non Cluster partner latrines]]))</f>
        <v>0</v>
      </c>
      <c r="CS28" s="79">
        <f>1-WWWW[[#This Row],[% people access to functioning Latrine]]</f>
        <v>0</v>
      </c>
      <c r="CT28" s="83">
        <f>IF(OR(WWWW[[#This Row],['#_Non-functional latrines]]="",WWWW[[#This Row],['#_Non-functional latrines]]=0),0,WWWW[[#This Row],['#_Non-functional latrines]]/(WWWW[[#This Row],['#_Constructed latrines_by_WASHAgencies]]+WWWW[[#This Row],['#_Non Cluster partner latrines]]))</f>
        <v>0</v>
      </c>
      <c r="CU28" s="80">
        <f>IF(500*(WWWW[[#This Row],['#_male hygiene promoters]]+WWWW[[#This Row],['#_female hygiene promoters]])&gt;WWWW[[#This Row],[Total PoP ]],WWWW[[#This Row],[Total PoP ]],500*(WWWW[[#This Row],['#_male hygiene promoters]]+WWWW[[#This Row],['#_female hygiene promoters]]))</f>
        <v>83</v>
      </c>
      <c r="CV28"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8"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8" s="81">
        <f>IF(WWWW[[#This Row],['# People with access to soap]]&gt;WWWW[[#This Row],['# People with access to Sanity Pads]],WWWW[[#This Row],['# People with access to soap]],WWWW[[#This Row],['# People with access to Sanity Pads]])</f>
        <v>0</v>
      </c>
      <c r="CY28" s="81">
        <f>IF(WWWW[[#This Row],['# people reached by regular dedicated hygiene promotion_5]]&gt;WWWW[[#This Row],['# People received regular supply of hygiene items_6]],WWWW[[#This Row],['# people reached by regular dedicated hygiene promotion_5]],WWWW[[#This Row],['# People received regular supply of hygiene items_6]])</f>
        <v>83</v>
      </c>
      <c r="CZ28" s="79">
        <f>IF(WWWW[[#This Row],[HRP3]]/WWWW[[#This Row],[Total PoP ]]&gt;100%,100%,WWWW[[#This Row],[HRP3]]/WWWW[[#This Row],[Total PoP ]])</f>
        <v>1</v>
      </c>
      <c r="DA28" s="83">
        <f>1-WWWW[[#This Row],[Hygiene Coverage%]]</f>
        <v>0</v>
      </c>
      <c r="DB28" s="82">
        <f>WWWW[[#This Row],['# people reached by regular dedicated hygiene promotion_5]]/WWWW[[#This Row],[Total PoP ]]</f>
        <v>1</v>
      </c>
      <c r="DC28" s="82">
        <f>IF(WWWW[[#This Row],['#_households that received standard amount of soap for this quarter]]/WWWW[[#This Row],[Total HH]]&gt;1,1,WWWW[[#This Row],['#_households that received standard amount of soap for this quarter]]/WWWW[[#This Row],[Total HH]])</f>
        <v>0</v>
      </c>
      <c r="DD28" s="82">
        <f>IF(WWWW[[#This Row],['#_households that received standard amount of sanitary pads for this quarter]]/WWWW[[#This Row],[Total HH]]&gt;1,1,WWWW[[#This Row],['#_households that received standard amount of sanitary pads for this quarter]]/WWWW[[#This Row],[Total HH]])</f>
        <v>0</v>
      </c>
      <c r="DE28" s="81">
        <f>WWWW[[#This Row],['#_Constructed/Existing hand washing stations]]-WWWW[[#This Row],['#_Non-Functional_hand_washing_stations]]</f>
        <v>1</v>
      </c>
      <c r="DF28" s="667">
        <f>IF(WWWW[[#This Row],['# Functional hand washing stations during reporting period]]*20&gt;WWWW[[#This Row],[Total HH]],WWWW[[#This Row],[Total HH]],WWWW[[#This Row],['# Functional hand washing stations during reporting period]]*20)</f>
        <v>13</v>
      </c>
      <c r="DG28" s="80">
        <f>IF(WWWW[[#This Row],[Is sufficient soap available for TLS? (Yes/No)]]="yes",WWWW[[#This Row],['#_Constructed/Existing hand washing stations at TLS]],0)</f>
        <v>0</v>
      </c>
      <c r="DH28" s="667">
        <f>IF(WWWW[[#This Row],['# Functional hand washing stations during reporting period]]*100&gt;WWWW[[#This Row],[Total PoP ]],WWWW[[#This Row],[Total PoP ]],WWWW[[#This Row],['# Functional hand washing stations during reporting period]]*100)</f>
        <v>83</v>
      </c>
      <c r="DI28" s="667" t="str">
        <f>IF(WWWW[[#This Row],['#_students at TLS_CFS]]="","No","Yes")</f>
        <v>Yes</v>
      </c>
      <c r="DJ28" s="245" t="str">
        <f>VLOOKUP(WWWW[[#This Row],[Site Name]],SiteDB6[[Site Name]:[CCCM Management]],6,FALSE)</f>
        <v>Yes</v>
      </c>
      <c r="DK28" s="245" t="str">
        <f>VLOOKUP(WWWW[[#This Row],[Site Name]],SiteDB6[[Site Name]:[CCCM Focal Agency]],7,FALSE)</f>
        <v>Shalom</v>
      </c>
      <c r="DL28" s="245" t="str">
        <f>VLOOKUP(WWWW[[#This Row],[Site Name]],SiteDB6[[Site Name]:[Location Type 1]],9,FALSE)</f>
        <v>Camp</v>
      </c>
      <c r="DM28" s="245" t="str">
        <f>VLOOKUP(WWWW[[#This Row],[Site Name]],SiteDB6[[Site Name]:[Type of Accommodation]],10,FALSE)</f>
        <v>Camp</v>
      </c>
      <c r="DN28" s="245" t="str">
        <f>VLOOKUP(WWWW[[#This Row],[Site Name]],SiteDB6[[Site Name]:[Ethnic or GCA/NGCA]],11,FALSE)</f>
        <v>GCA</v>
      </c>
      <c r="DO28" s="245">
        <f>VLOOKUP(WWWW[[#This Row],[Site Name]],SiteDB6[[Site Name]:[Lat]],12,FALSE)</f>
        <v>25.616509000000001</v>
      </c>
      <c r="DP28" s="245">
        <f>VLOOKUP(WWWW[[#This Row],[Site Name]],SiteDB6[[Site Name]:[Long]],13,FALSE)</f>
        <v>96.317350000000005</v>
      </c>
      <c r="DQ28" s="245" t="str">
        <f>VLOOKUP(WWWW[[#This Row],[Site Name]],SiteDB6[[Site Name]:[Pcode]],3,FALSE)</f>
        <v>MMR001CMP190</v>
      </c>
      <c r="DR28" s="215" t="str">
        <f t="shared" si="1"/>
        <v>Covered</v>
      </c>
      <c r="DS28" s="215"/>
      <c r="DT28" s="20"/>
      <c r="DU28" s="20"/>
      <c r="DV28" s="20"/>
      <c r="DW28" s="20"/>
      <c r="DX28" s="20"/>
      <c r="DY28" s="20"/>
      <c r="DZ28" s="20"/>
      <c r="EA28" s="20"/>
      <c r="EB28" s="20"/>
      <c r="EC28" s="20"/>
      <c r="ED28" s="20"/>
      <c r="EE28" s="20"/>
      <c r="EF28" s="20"/>
      <c r="EG28" s="20"/>
      <c r="EH28" s="20"/>
    </row>
    <row r="29" spans="1:138" ht="15.75" customHeight="1">
      <c r="A29" s="259" t="s">
        <v>2525</v>
      </c>
      <c r="B29" s="663" t="s">
        <v>250</v>
      </c>
      <c r="C29" s="663" t="s">
        <v>250</v>
      </c>
      <c r="D29" s="663" t="s">
        <v>315</v>
      </c>
      <c r="E29" s="663" t="s">
        <v>39</v>
      </c>
      <c r="F29" s="663" t="s">
        <v>156</v>
      </c>
      <c r="G29" s="663" t="str">
        <f>VLOOKUP(WWWW[[#This Row],[Site Name]],SiteDB6[[Site Name]:[Location Type]],8,FALSE)</f>
        <v>Camp</v>
      </c>
      <c r="H29" s="663" t="s">
        <v>258</v>
      </c>
      <c r="I29" s="700">
        <v>36</v>
      </c>
      <c r="J29" s="700">
        <v>228</v>
      </c>
      <c r="K29" s="642">
        <v>43313</v>
      </c>
      <c r="L29" s="78">
        <v>44043</v>
      </c>
      <c r="M29" s="700">
        <v>0</v>
      </c>
      <c r="N29" s="700">
        <v>1</v>
      </c>
      <c r="O29" s="700">
        <v>0</v>
      </c>
      <c r="P29" s="700">
        <v>0</v>
      </c>
      <c r="Q29" s="663" t="s">
        <v>43</v>
      </c>
      <c r="R29" s="377">
        <v>2</v>
      </c>
      <c r="S29" s="377">
        <v>2</v>
      </c>
      <c r="T29" s="377">
        <v>1</v>
      </c>
      <c r="U29" s="377">
        <v>0</v>
      </c>
      <c r="V29" s="377">
        <v>0</v>
      </c>
      <c r="W29" s="377">
        <v>0</v>
      </c>
      <c r="X29" s="377">
        <v>0</v>
      </c>
      <c r="Y29" s="377">
        <v>0</v>
      </c>
      <c r="Z29" s="377">
        <v>0</v>
      </c>
      <c r="AA29" s="700">
        <v>0</v>
      </c>
      <c r="AB29" s="377">
        <v>0</v>
      </c>
      <c r="AC29" s="377">
        <v>0</v>
      </c>
      <c r="AD29" s="377">
        <v>0</v>
      </c>
      <c r="AE29" s="377">
        <v>0</v>
      </c>
      <c r="AF29" s="377">
        <v>0</v>
      </c>
      <c r="AG29" s="377">
        <v>0</v>
      </c>
      <c r="AH29" s="377">
        <v>1</v>
      </c>
      <c r="AI29" s="377"/>
      <c r="AJ29" s="377"/>
      <c r="AK29" s="377"/>
      <c r="AL29" s="377"/>
      <c r="AM29" s="377">
        <v>0</v>
      </c>
      <c r="AN29" s="377">
        <v>0</v>
      </c>
      <c r="AO29" s="215"/>
      <c r="AP29" s="377">
        <v>10</v>
      </c>
      <c r="AQ29" s="377">
        <v>0</v>
      </c>
      <c r="AR29" s="77" t="s">
        <v>250</v>
      </c>
      <c r="AS29" s="377">
        <v>0</v>
      </c>
      <c r="AT29" s="377">
        <v>0</v>
      </c>
      <c r="AU29" s="377">
        <v>0</v>
      </c>
      <c r="AV29" s="377"/>
      <c r="AW29" s="700">
        <v>0</v>
      </c>
      <c r="AX29" s="694" t="s">
        <v>43</v>
      </c>
      <c r="AY29" s="245" t="s">
        <v>145</v>
      </c>
      <c r="AZ29" s="377">
        <v>0</v>
      </c>
      <c r="BA29" s="377">
        <v>0</v>
      </c>
      <c r="BB29" s="377">
        <v>0</v>
      </c>
      <c r="BC29" s="215"/>
      <c r="BD29" s="377">
        <v>0</v>
      </c>
      <c r="BE29" s="377">
        <v>0</v>
      </c>
      <c r="BF29" s="377">
        <v>0</v>
      </c>
      <c r="BG29" s="377">
        <v>3</v>
      </c>
      <c r="BH29" s="377">
        <v>0</v>
      </c>
      <c r="BI29" s="377">
        <v>2</v>
      </c>
      <c r="BJ29" s="377">
        <v>2</v>
      </c>
      <c r="BK29" s="377">
        <v>0</v>
      </c>
      <c r="BL29" s="377">
        <v>0</v>
      </c>
      <c r="BM29" s="215" t="s">
        <v>144</v>
      </c>
      <c r="BN29" s="80">
        <v>0</v>
      </c>
      <c r="BO29" s="82">
        <v>0.9</v>
      </c>
      <c r="BP29" s="215"/>
      <c r="BQ29" s="79" t="str">
        <f>IFERROR(WWWW[[#This Row],['#_Water sources treated]]/WWWW[[#This Row],['#_Water sources tested for contamination]],"no test")</f>
        <v>no test</v>
      </c>
      <c r="BR29" s="82" t="str">
        <f>IFERROR(WWWW[[#This Row],['#_Household received remediation action due to contamination]]/WWWW[[#This Row],['#_Household water samples tested for contamination]],"no test")</f>
        <v>no test</v>
      </c>
      <c r="BS29" s="81" t="str">
        <f>IF(AND(WWWW[[#This Row],[% of water sources treated]]="no test",WWWW[[#This Row],[% Household received corrective actions]]="no test"),"No Test","Tested")</f>
        <v>No Test</v>
      </c>
      <c r="BT29" s="81">
        <f>WWWW[[#This Row],['#_Constructed/existing protected hand dug well]]-WWWW[[#This Row],['#_Non-functional protected hand dug well]]</f>
        <v>1</v>
      </c>
      <c r="BU29" s="81">
        <f>(WWWW[[#This Row],['#_Constructed/Existing tube wells/boreholes/handpumps_WASH_agency]]+WWWW[[#This Row],['#_Non-Cluster partner water tube-wells/boreholes/handpumps]])-WWWW[[#This Row],['#_Non-functional tube wells/boreholes/handpumps]]</f>
        <v>0</v>
      </c>
      <c r="BV29" s="81">
        <f>WWWW[[#This Row],['#_Constructed/Existingwater storage tank with gravity fed reticulation system]]-WWWW[[#This Row],['#_Non-functional storage tank gravity fed reticulation system]]</f>
        <v>0</v>
      </c>
      <c r="BW29" s="81">
        <f>WWWW[[#This Row],['#_Water boating or water trucking]]</f>
        <v>0</v>
      </c>
      <c r="BX29" s="81">
        <f>WWWW[[#This Row],['#_Constructed/Existing water distribution system from river or natural spring]]</f>
        <v>0</v>
      </c>
      <c r="BY29"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29"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29" s="82">
        <f>IF(WWWW[[#This Row],[Location Type 1]]="Village",WWWW[[#This Row],[Access to safe drinking water for Village]],WWWW[[#This Row],[Access to safe drinking water for Camp]])</f>
        <v>1</v>
      </c>
      <c r="CB29" s="80">
        <f>WWWW[[#This Row],[%Equitable and continuous access to sufficient quantity of safe drinking water]]*WWWW[[#This Row],[Total PoP ]]</f>
        <v>228</v>
      </c>
      <c r="CC29" s="82">
        <f>IF((WWWW[[#This Row],['#_Constructed/Existing protected/fenced ponds]]*250)/WWWW[[#This Row],[Total PoP ]]&gt;1,1,(WWWW[[#This Row],['#_Constructed/Existing protected/fenced ponds]]*250)/WWWW[[#This Row],[Total PoP ]])</f>
        <v>0</v>
      </c>
      <c r="CD29" s="80">
        <f>WWWW[[#This Row],[% Access to unimproved water points]]*WWWW[[#This Row],[Total PoP ]]</f>
        <v>0</v>
      </c>
      <c r="CE29"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29"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228</v>
      </c>
      <c r="CG29" s="80">
        <f>WWWW[[#This Row],[HRP1]]/500</f>
        <v>0.45600000000000002</v>
      </c>
      <c r="CH29" s="79">
        <f>1-WWWW[[#This Row],[% Equitable and continuous access to sufficient quantity of domestic water]]</f>
        <v>0</v>
      </c>
      <c r="CI29" s="80">
        <f>WWWW[[#This Row],[%equitable and continuous access to sufficient quantity of safe drinking and domestic water''s GAP]]*WWWW[[#This Row],[Total PoP ]]</f>
        <v>0</v>
      </c>
      <c r="CJ29" s="81">
        <f>IF(WWWW[[#This Row],[Total required water points]]-WWWW[[#This Row],['#Water points coverage]]&lt;0,0,WWWW[[#This Row],[Total required water points]]-WWWW[[#This Row],['#Water points coverage]])</f>
        <v>0.54400000000000004</v>
      </c>
      <c r="CK29" s="81">
        <f>ROUND(IF(WWWW[[#This Row],[Total PoP ]]&lt;500,1,WWWW[[#This Row],[Total PoP ]]/500),0)</f>
        <v>1</v>
      </c>
      <c r="CL29" s="81">
        <f>(WWWW[[#This Row],['#_Constructed latrines_by_WASHAgencies]]+WWWW[[#This Row],['#_Non Cluster partner latrines]])-WWWW[[#This Row],['#_Non-functional latrines]]</f>
        <v>10</v>
      </c>
      <c r="CM29"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0.8771929824561403</v>
      </c>
      <c r="CN29"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200</v>
      </c>
      <c r="CO29"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29" s="81">
        <f>IF(WWWW[[#This Row],[Location Type 1]]="Village","NA",IF(WWWW[[#This Row],['#_Constructed/Existing latrines in TLS]]*50&gt;WWWW[[#This Row],['#_students at TLS_CFS]],WWWW[[#This Row],['#_students at TLS_CFS]],(WWWW[[#This Row],['#_Constructed/Existing latrines in TLS]]*50)))</f>
        <v>0</v>
      </c>
      <c r="CQ29" s="81">
        <f>ROUND(IF(WWWW[[#This Row],[Location Type 1]]="camp",WWWW[[#This Row],[Total PoP ]]/20,IF(WWWW[[#This Row],[Location Type 1]]="Temporary Location",WWWW[[#This Row],[Total PoP ]]/50,(WWWW[[#This Row],[Total PoP ]]/6))),0)</f>
        <v>11</v>
      </c>
      <c r="CR29" s="80">
        <f>IF(WWWW[[#This Row],[Total required Latrines]]-(WWWW[[#This Row],['#_Constructed latrines_by_WASHAgencies]]+WWWW[[#This Row],['#_Non Cluster partner latrines]])&lt;0,0,WWWW[[#This Row],[Total required Latrines]]-(WWWW[[#This Row],['#_Constructed latrines_by_WASHAgencies]]+WWWW[[#This Row],['#_Non Cluster partner latrines]]))</f>
        <v>1</v>
      </c>
      <c r="CS29" s="79">
        <f>1-WWWW[[#This Row],[% people access to functioning Latrine]]</f>
        <v>0.1228070175438597</v>
      </c>
      <c r="CT29" s="83">
        <f>IF(OR(WWWW[[#This Row],['#_Non-functional latrines]]="",WWWW[[#This Row],['#_Non-functional latrines]]=0),0,WWWW[[#This Row],['#_Non-functional latrines]]/(WWWW[[#This Row],['#_Constructed latrines_by_WASHAgencies]]+WWWW[[#This Row],['#_Non Cluster partner latrines]]))</f>
        <v>0</v>
      </c>
      <c r="CU29" s="80">
        <f>IF(500*(WWWW[[#This Row],['#_male hygiene promoters]]+WWWW[[#This Row],['#_female hygiene promoters]])&gt;WWWW[[#This Row],[Total PoP ]],WWWW[[#This Row],[Total PoP ]],500*(WWWW[[#This Row],['#_male hygiene promoters]]+WWWW[[#This Row],['#_female hygiene promoters]]))</f>
        <v>228</v>
      </c>
      <c r="CV29"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9"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9" s="81">
        <f>IF(WWWW[[#This Row],['# People with access to soap]]&gt;WWWW[[#This Row],['# People with access to Sanity Pads]],WWWW[[#This Row],['# People with access to soap]],WWWW[[#This Row],['# People with access to Sanity Pads]])</f>
        <v>0</v>
      </c>
      <c r="CY29" s="81">
        <f>IF(WWWW[[#This Row],['# people reached by regular dedicated hygiene promotion_5]]&gt;WWWW[[#This Row],['# People received regular supply of hygiene items_6]],WWWW[[#This Row],['# people reached by regular dedicated hygiene promotion_5]],WWWW[[#This Row],['# People received regular supply of hygiene items_6]])</f>
        <v>228</v>
      </c>
      <c r="CZ29" s="79">
        <f>IF(WWWW[[#This Row],[HRP3]]/WWWW[[#This Row],[Total PoP ]]&gt;100%,100%,WWWW[[#This Row],[HRP3]]/WWWW[[#This Row],[Total PoP ]])</f>
        <v>1</v>
      </c>
      <c r="DA29" s="83">
        <f>1-WWWW[[#This Row],[Hygiene Coverage%]]</f>
        <v>0</v>
      </c>
      <c r="DB29" s="82">
        <f>WWWW[[#This Row],['# people reached by regular dedicated hygiene promotion_5]]/WWWW[[#This Row],[Total PoP ]]</f>
        <v>1</v>
      </c>
      <c r="DC29" s="82">
        <f>IF(WWWW[[#This Row],['#_households that received standard amount of soap for this quarter]]/WWWW[[#This Row],[Total HH]]&gt;1,1,WWWW[[#This Row],['#_households that received standard amount of soap for this quarter]]/WWWW[[#This Row],[Total HH]])</f>
        <v>0</v>
      </c>
      <c r="DD29" s="82">
        <f>IF(WWWW[[#This Row],['#_households that received standard amount of sanitary pads for this quarter]]/WWWW[[#This Row],[Total HH]]&gt;1,1,WWWW[[#This Row],['#_households that received standard amount of sanitary pads for this quarter]]/WWWW[[#This Row],[Total HH]])</f>
        <v>0</v>
      </c>
      <c r="DE29" s="81">
        <f>WWWW[[#This Row],['#_Constructed/Existing hand washing stations]]-WWWW[[#This Row],['#_Non-Functional_hand_washing_stations]]</f>
        <v>0</v>
      </c>
      <c r="DF29" s="667">
        <f>IF(WWWW[[#This Row],['# Functional hand washing stations during reporting period]]*20&gt;WWWW[[#This Row],[Total HH]],WWWW[[#This Row],[Total HH]],WWWW[[#This Row],['# Functional hand washing stations during reporting period]]*20)</f>
        <v>0</v>
      </c>
      <c r="DG29" s="80">
        <f>IF(WWWW[[#This Row],[Is sufficient soap available for TLS? (Yes/No)]]="yes",WWWW[[#This Row],['#_Constructed/Existing hand washing stations at TLS]],0)</f>
        <v>0</v>
      </c>
      <c r="DH29" s="667">
        <f>IF(WWWW[[#This Row],['# Functional hand washing stations during reporting period]]*100&gt;WWWW[[#This Row],[Total PoP ]],WWWW[[#This Row],[Total PoP ]],WWWW[[#This Row],['# Functional hand washing stations during reporting period]]*100)</f>
        <v>0</v>
      </c>
      <c r="DI29" s="667" t="str">
        <f>IF(WWWW[[#This Row],['#_students at TLS_CFS]]="","No","Yes")</f>
        <v>Yes</v>
      </c>
      <c r="DJ29" s="245" t="str">
        <f>VLOOKUP(WWWW[[#This Row],[Site Name]],SiteDB6[[Site Name]:[CCCM Management]],6,FALSE)</f>
        <v>Yes</v>
      </c>
      <c r="DK29" s="245" t="str">
        <f>VLOOKUP(WWWW[[#This Row],[Site Name]],SiteDB6[[Site Name]:[CCCM Focal Agency]],7,FALSE)</f>
        <v>KBC</v>
      </c>
      <c r="DL29" s="245" t="str">
        <f>VLOOKUP(WWWW[[#This Row],[Site Name]],SiteDB6[[Site Name]:[Location Type 1]],9,FALSE)</f>
        <v>Camp</v>
      </c>
      <c r="DM29" s="245" t="str">
        <f>VLOOKUP(WWWW[[#This Row],[Site Name]],SiteDB6[[Site Name]:[Type of Accommodation]],10,FALSE)</f>
        <v>Camp</v>
      </c>
      <c r="DN29" s="245" t="str">
        <f>VLOOKUP(WWWW[[#This Row],[Site Name]],SiteDB6[[Site Name]:[Ethnic or GCA/NGCA]],11,FALSE)</f>
        <v>GCA</v>
      </c>
      <c r="DO29" s="245">
        <f>VLOOKUP(WWWW[[#This Row],[Site Name]],SiteDB6[[Site Name]:[Lat]],12,FALSE)</f>
        <v>25.647649999999999</v>
      </c>
      <c r="DP29" s="245">
        <f>VLOOKUP(WWWW[[#This Row],[Site Name]],SiteDB6[[Site Name]:[Long]],13,FALSE)</f>
        <v>96.346469999999997</v>
      </c>
      <c r="DQ29" s="245" t="str">
        <f>VLOOKUP(WWWW[[#This Row],[Site Name]],SiteDB6[[Site Name]:[Pcode]],3,FALSE)</f>
        <v>MMR001CMP169</v>
      </c>
      <c r="DR29" s="215" t="str">
        <f t="shared" si="1"/>
        <v>Covered</v>
      </c>
      <c r="DS29" s="215"/>
      <c r="DT29" s="20"/>
      <c r="DU29" s="20"/>
      <c r="DV29" s="20"/>
      <c r="DW29" s="20"/>
      <c r="DX29" s="20"/>
      <c r="DY29" s="20"/>
      <c r="DZ29" s="20"/>
      <c r="EA29" s="20"/>
      <c r="EB29" s="20"/>
      <c r="EC29" s="20"/>
      <c r="ED29" s="20"/>
      <c r="EE29" s="20"/>
      <c r="EF29" s="20"/>
      <c r="EG29" s="20"/>
      <c r="EH29" s="20"/>
    </row>
    <row r="30" spans="1:138" ht="15.75" customHeight="1">
      <c r="A30" s="259" t="s">
        <v>2525</v>
      </c>
      <c r="B30" s="663" t="s">
        <v>250</v>
      </c>
      <c r="C30" s="663" t="s">
        <v>250</v>
      </c>
      <c r="D30" s="663" t="s">
        <v>315</v>
      </c>
      <c r="E30" s="663" t="s">
        <v>39</v>
      </c>
      <c r="F30" s="663" t="s">
        <v>156</v>
      </c>
      <c r="G30" s="663" t="str">
        <f>VLOOKUP(WWWW[[#This Row],[Site Name]],SiteDB6[[Site Name]:[Location Type]],8,FALSE)</f>
        <v>Camp</v>
      </c>
      <c r="H30" s="663" t="s">
        <v>259</v>
      </c>
      <c r="I30" s="700">
        <v>6</v>
      </c>
      <c r="J30" s="700">
        <v>31</v>
      </c>
      <c r="K30" s="642">
        <v>43313</v>
      </c>
      <c r="L30" s="78">
        <v>44043</v>
      </c>
      <c r="M30" s="700">
        <v>0</v>
      </c>
      <c r="N30" s="700">
        <v>1</v>
      </c>
      <c r="O30" s="700">
        <v>0</v>
      </c>
      <c r="P30" s="700">
        <v>0</v>
      </c>
      <c r="Q30" s="663" t="s">
        <v>43</v>
      </c>
      <c r="R30" s="377">
        <v>1</v>
      </c>
      <c r="S30" s="377">
        <v>2</v>
      </c>
      <c r="T30" s="377">
        <v>0</v>
      </c>
      <c r="U30" s="377">
        <v>0</v>
      </c>
      <c r="V30" s="377">
        <v>0</v>
      </c>
      <c r="W30" s="377">
        <v>0</v>
      </c>
      <c r="X30" s="377">
        <v>0</v>
      </c>
      <c r="Y30" s="377">
        <v>0</v>
      </c>
      <c r="Z30" s="377">
        <v>0</v>
      </c>
      <c r="AA30" s="377">
        <v>0</v>
      </c>
      <c r="AB30" s="377">
        <v>0</v>
      </c>
      <c r="AC30" s="377">
        <v>0</v>
      </c>
      <c r="AD30" s="377">
        <v>0</v>
      </c>
      <c r="AE30" s="377">
        <v>0</v>
      </c>
      <c r="AF30" s="377">
        <v>0</v>
      </c>
      <c r="AG30" s="377">
        <v>0</v>
      </c>
      <c r="AH30" s="377">
        <v>0</v>
      </c>
      <c r="AI30" s="377"/>
      <c r="AJ30" s="377"/>
      <c r="AK30" s="377"/>
      <c r="AL30" s="377"/>
      <c r="AM30" s="377">
        <v>0</v>
      </c>
      <c r="AN30" s="377">
        <v>0</v>
      </c>
      <c r="AO30" s="215"/>
      <c r="AP30" s="377">
        <v>2</v>
      </c>
      <c r="AQ30" s="377">
        <v>0</v>
      </c>
      <c r="AR30" s="77" t="s">
        <v>250</v>
      </c>
      <c r="AS30" s="377">
        <v>0</v>
      </c>
      <c r="AT30" s="377">
        <v>0</v>
      </c>
      <c r="AU30" s="377">
        <v>0</v>
      </c>
      <c r="AV30" s="377"/>
      <c r="AW30" s="700">
        <v>0</v>
      </c>
      <c r="AX30" s="694" t="s">
        <v>43</v>
      </c>
      <c r="AY30" s="245" t="s">
        <v>144</v>
      </c>
      <c r="AZ30" s="377">
        <v>0</v>
      </c>
      <c r="BA30" s="377">
        <v>0</v>
      </c>
      <c r="BB30" s="377">
        <v>0</v>
      </c>
      <c r="BC30" s="215"/>
      <c r="BD30" s="377">
        <v>0</v>
      </c>
      <c r="BE30" s="377">
        <v>0</v>
      </c>
      <c r="BF30" s="377">
        <v>0</v>
      </c>
      <c r="BG30" s="377">
        <v>1</v>
      </c>
      <c r="BH30" s="377">
        <v>0</v>
      </c>
      <c r="BI30" s="377">
        <v>1</v>
      </c>
      <c r="BJ30" s="377">
        <v>2</v>
      </c>
      <c r="BK30" s="377">
        <v>0</v>
      </c>
      <c r="BL30" s="377">
        <v>0</v>
      </c>
      <c r="BM30" s="215" t="s">
        <v>144</v>
      </c>
      <c r="BN30" s="80">
        <v>0</v>
      </c>
      <c r="BO30" s="82">
        <v>0.3</v>
      </c>
      <c r="BP30" s="215"/>
      <c r="BQ30" s="79" t="str">
        <f>IFERROR(WWWW[[#This Row],['#_Water sources treated]]/WWWW[[#This Row],['#_Water sources tested for contamination]],"no test")</f>
        <v>no test</v>
      </c>
      <c r="BR30" s="82" t="str">
        <f>IFERROR(WWWW[[#This Row],['#_Household received remediation action due to contamination]]/WWWW[[#This Row],['#_Household water samples tested for contamination]],"no test")</f>
        <v>no test</v>
      </c>
      <c r="BS30" s="81" t="str">
        <f>IF(AND(WWWW[[#This Row],[% of water sources treated]]="no test",WWWW[[#This Row],[% Household received corrective actions]]="no test"),"No Test","Tested")</f>
        <v>No Test</v>
      </c>
      <c r="BT30" s="81">
        <f>WWWW[[#This Row],['#_Constructed/existing protected hand dug well]]-WWWW[[#This Row],['#_Non-functional protected hand dug well]]</f>
        <v>0</v>
      </c>
      <c r="BU30" s="81">
        <f>(WWWW[[#This Row],['#_Constructed/Existing tube wells/boreholes/handpumps_WASH_agency]]+WWWW[[#This Row],['#_Non-Cluster partner water tube-wells/boreholes/handpumps]])-WWWW[[#This Row],['#_Non-functional tube wells/boreholes/handpumps]]</f>
        <v>0</v>
      </c>
      <c r="BV30" s="81">
        <f>WWWW[[#This Row],['#_Constructed/Existingwater storage tank with gravity fed reticulation system]]-WWWW[[#This Row],['#_Non-functional storage tank gravity fed reticulation system]]</f>
        <v>0</v>
      </c>
      <c r="BW30" s="81">
        <f>WWWW[[#This Row],['#_Water boating or water trucking]]</f>
        <v>0</v>
      </c>
      <c r="BX30" s="81">
        <f>WWWW[[#This Row],['#_Constructed/Existing water distribution system from river or natural spring]]</f>
        <v>0</v>
      </c>
      <c r="BY30"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0"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0" s="82">
        <f>IF(WWWW[[#This Row],[Location Type 1]]="Village",WWWW[[#This Row],[Access to safe drinking water for Village]],WWWW[[#This Row],[Access to safe drinking water for Camp]])</f>
        <v>0</v>
      </c>
      <c r="CB30" s="80">
        <f>WWWW[[#This Row],[%Equitable and continuous access to sufficient quantity of safe drinking water]]*WWWW[[#This Row],[Total PoP ]]</f>
        <v>0</v>
      </c>
      <c r="CC30" s="82">
        <f>IF((WWWW[[#This Row],['#_Constructed/Existing protected/fenced ponds]]*250)/WWWW[[#This Row],[Total PoP ]]&gt;1,1,(WWWW[[#This Row],['#_Constructed/Existing protected/fenced ponds]]*250)/WWWW[[#This Row],[Total PoP ]])</f>
        <v>0</v>
      </c>
      <c r="CD30" s="80">
        <f>WWWW[[#This Row],[% Access to unimproved water points]]*WWWW[[#This Row],[Total PoP ]]</f>
        <v>0</v>
      </c>
      <c r="CE30"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0"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0" s="80">
        <f>WWWW[[#This Row],[HRP1]]/500</f>
        <v>0</v>
      </c>
      <c r="CH30" s="79">
        <f>1-WWWW[[#This Row],[% Equitable and continuous access to sufficient quantity of domestic water]]</f>
        <v>1</v>
      </c>
      <c r="CI30" s="80">
        <f>WWWW[[#This Row],[%equitable and continuous access to sufficient quantity of safe drinking and domestic water''s GAP]]*WWWW[[#This Row],[Total PoP ]]</f>
        <v>31</v>
      </c>
      <c r="CJ30" s="81">
        <f>IF(WWWW[[#This Row],[Total required water points]]-WWWW[[#This Row],['#Water points coverage]]&lt;0,0,WWWW[[#This Row],[Total required water points]]-WWWW[[#This Row],['#Water points coverage]])</f>
        <v>1</v>
      </c>
      <c r="CK30" s="81">
        <f>ROUND(IF(WWWW[[#This Row],[Total PoP ]]&lt;500,1,WWWW[[#This Row],[Total PoP ]]/500),0)</f>
        <v>1</v>
      </c>
      <c r="CL30" s="81">
        <f>(WWWW[[#This Row],['#_Constructed latrines_by_WASHAgencies]]+WWWW[[#This Row],['#_Non Cluster partner latrines]])-WWWW[[#This Row],['#_Non-functional latrines]]</f>
        <v>2</v>
      </c>
      <c r="CM30"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30"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31</v>
      </c>
      <c r="CO30"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30" s="81">
        <f>IF(WWWW[[#This Row],[Location Type 1]]="Village","NA",IF(WWWW[[#This Row],['#_Constructed/Existing latrines in TLS]]*50&gt;WWWW[[#This Row],['#_students at TLS_CFS]],WWWW[[#This Row],['#_students at TLS_CFS]],(WWWW[[#This Row],['#_Constructed/Existing latrines in TLS]]*50)))</f>
        <v>0</v>
      </c>
      <c r="CQ30" s="81">
        <f>ROUND(IF(WWWW[[#This Row],[Location Type 1]]="camp",WWWW[[#This Row],[Total PoP ]]/20,IF(WWWW[[#This Row],[Location Type 1]]="Temporary Location",WWWW[[#This Row],[Total PoP ]]/50,(WWWW[[#This Row],[Total PoP ]]/6))),0)</f>
        <v>2</v>
      </c>
      <c r="CR30" s="80">
        <f>IF(WWWW[[#This Row],[Total required Latrines]]-(WWWW[[#This Row],['#_Constructed latrines_by_WASHAgencies]]+WWWW[[#This Row],['#_Non Cluster partner latrines]])&lt;0,0,WWWW[[#This Row],[Total required Latrines]]-(WWWW[[#This Row],['#_Constructed latrines_by_WASHAgencies]]+WWWW[[#This Row],['#_Non Cluster partner latrines]]))</f>
        <v>0</v>
      </c>
      <c r="CS30" s="79">
        <f>1-WWWW[[#This Row],[% people access to functioning Latrine]]</f>
        <v>0</v>
      </c>
      <c r="CT30" s="83">
        <f>IF(OR(WWWW[[#This Row],['#_Non-functional latrines]]="",WWWW[[#This Row],['#_Non-functional latrines]]=0),0,WWWW[[#This Row],['#_Non-functional latrines]]/(WWWW[[#This Row],['#_Constructed latrines_by_WASHAgencies]]+WWWW[[#This Row],['#_Non Cluster partner latrines]]))</f>
        <v>0</v>
      </c>
      <c r="CU30" s="80">
        <f>IF(500*(WWWW[[#This Row],['#_male hygiene promoters]]+WWWW[[#This Row],['#_female hygiene promoters]])&gt;WWWW[[#This Row],[Total PoP ]],WWWW[[#This Row],[Total PoP ]],500*(WWWW[[#This Row],['#_male hygiene promoters]]+WWWW[[#This Row],['#_female hygiene promoters]]))</f>
        <v>31</v>
      </c>
      <c r="CV30"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0"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0" s="81">
        <f>IF(WWWW[[#This Row],['# People with access to soap]]&gt;WWWW[[#This Row],['# People with access to Sanity Pads]],WWWW[[#This Row],['# People with access to soap]],WWWW[[#This Row],['# People with access to Sanity Pads]])</f>
        <v>0</v>
      </c>
      <c r="CY30" s="81">
        <f>IF(WWWW[[#This Row],['# people reached by regular dedicated hygiene promotion_5]]&gt;WWWW[[#This Row],['# People received regular supply of hygiene items_6]],WWWW[[#This Row],['# people reached by regular dedicated hygiene promotion_5]],WWWW[[#This Row],['# People received regular supply of hygiene items_6]])</f>
        <v>31</v>
      </c>
      <c r="CZ30" s="79">
        <f>IF(WWWW[[#This Row],[HRP3]]/WWWW[[#This Row],[Total PoP ]]&gt;100%,100%,WWWW[[#This Row],[HRP3]]/WWWW[[#This Row],[Total PoP ]])</f>
        <v>1</v>
      </c>
      <c r="DA30" s="83">
        <f>1-WWWW[[#This Row],[Hygiene Coverage%]]</f>
        <v>0</v>
      </c>
      <c r="DB30" s="82">
        <f>WWWW[[#This Row],['# people reached by regular dedicated hygiene promotion_5]]/WWWW[[#This Row],[Total PoP ]]</f>
        <v>1</v>
      </c>
      <c r="DC30" s="82">
        <f>IF(WWWW[[#This Row],['#_households that received standard amount of soap for this quarter]]/WWWW[[#This Row],[Total HH]]&gt;1,1,WWWW[[#This Row],['#_households that received standard amount of soap for this quarter]]/WWWW[[#This Row],[Total HH]])</f>
        <v>0</v>
      </c>
      <c r="DD30" s="82">
        <f>IF(WWWW[[#This Row],['#_households that received standard amount of sanitary pads for this quarter]]/WWWW[[#This Row],[Total HH]]&gt;1,1,WWWW[[#This Row],['#_households that received standard amount of sanitary pads for this quarter]]/WWWW[[#This Row],[Total HH]])</f>
        <v>0</v>
      </c>
      <c r="DE30" s="81">
        <f>WWWW[[#This Row],['#_Constructed/Existing hand washing stations]]-WWWW[[#This Row],['#_Non-Functional_hand_washing_stations]]</f>
        <v>0</v>
      </c>
      <c r="DF30" s="667">
        <f>IF(WWWW[[#This Row],['# Functional hand washing stations during reporting period]]*20&gt;WWWW[[#This Row],[Total HH]],WWWW[[#This Row],[Total HH]],WWWW[[#This Row],['# Functional hand washing stations during reporting period]]*20)</f>
        <v>0</v>
      </c>
      <c r="DG30" s="80">
        <f>IF(WWWW[[#This Row],[Is sufficient soap available for TLS? (Yes/No)]]="yes",WWWW[[#This Row],['#_Constructed/Existing hand washing stations at TLS]],0)</f>
        <v>0</v>
      </c>
      <c r="DH30" s="667">
        <f>IF(WWWW[[#This Row],['# Functional hand washing stations during reporting period]]*100&gt;WWWW[[#This Row],[Total PoP ]],WWWW[[#This Row],[Total PoP ]],WWWW[[#This Row],['# Functional hand washing stations during reporting period]]*100)</f>
        <v>0</v>
      </c>
      <c r="DI30" s="667" t="str">
        <f>IF(WWWW[[#This Row],['#_students at TLS_CFS]]="","No","Yes")</f>
        <v>Yes</v>
      </c>
      <c r="DJ30" s="245" t="str">
        <f>VLOOKUP(WWWW[[#This Row],[Site Name]],SiteDB6[[Site Name]:[CCCM Management]],6,FALSE)</f>
        <v>Yes</v>
      </c>
      <c r="DK30" s="245" t="str">
        <f>VLOOKUP(WWWW[[#This Row],[Site Name]],SiteDB6[[Site Name]:[CCCM Focal Agency]],7,FALSE)</f>
        <v>uncovered</v>
      </c>
      <c r="DL30" s="245" t="str">
        <f>VLOOKUP(WWWW[[#This Row],[Site Name]],SiteDB6[[Site Name]:[Location Type 1]],9,FALSE)</f>
        <v>Camp</v>
      </c>
      <c r="DM30" s="245" t="str">
        <f>VLOOKUP(WWWW[[#This Row],[Site Name]],SiteDB6[[Site Name]:[Type of Accommodation]],10,FALSE)</f>
        <v>Camp like setting</v>
      </c>
      <c r="DN30" s="245" t="str">
        <f>VLOOKUP(WWWW[[#This Row],[Site Name]],SiteDB6[[Site Name]:[Ethnic or GCA/NGCA]],11,FALSE)</f>
        <v>GCA</v>
      </c>
      <c r="DO30" s="245">
        <f>VLOOKUP(WWWW[[#This Row],[Site Name]],SiteDB6[[Site Name]:[Lat]],12,FALSE)</f>
        <v>25.582065</v>
      </c>
      <c r="DP30" s="245">
        <f>VLOOKUP(WWWW[[#This Row],[Site Name]],SiteDB6[[Site Name]:[Long]],13,FALSE)</f>
        <v>96.283377000000002</v>
      </c>
      <c r="DQ30" s="245" t="str">
        <f>VLOOKUP(WWWW[[#This Row],[Site Name]],SiteDB6[[Site Name]:[Pcode]],3,FALSE)</f>
        <v>MMR001CMP109</v>
      </c>
      <c r="DR30" s="215" t="str">
        <f t="shared" si="1"/>
        <v>Covered</v>
      </c>
      <c r="DS30" s="215"/>
      <c r="DT30" s="20"/>
      <c r="DU30" s="20"/>
      <c r="DV30" s="20"/>
      <c r="DW30" s="20"/>
      <c r="DX30" s="20"/>
      <c r="DY30" s="20"/>
      <c r="DZ30" s="20"/>
      <c r="EA30" s="20"/>
      <c r="EB30" s="20"/>
      <c r="EC30" s="20"/>
      <c r="ED30" s="20"/>
      <c r="EE30" s="20"/>
      <c r="EF30" s="20"/>
      <c r="EG30" s="20"/>
      <c r="EH30" s="20"/>
    </row>
    <row r="31" spans="1:138" ht="15.75" customHeight="1">
      <c r="A31" s="259" t="s">
        <v>2525</v>
      </c>
      <c r="B31" s="663" t="s">
        <v>250</v>
      </c>
      <c r="C31" s="663" t="s">
        <v>250</v>
      </c>
      <c r="D31" s="663" t="s">
        <v>315</v>
      </c>
      <c r="E31" s="663" t="s">
        <v>39</v>
      </c>
      <c r="F31" s="663" t="s">
        <v>156</v>
      </c>
      <c r="G31" s="663" t="str">
        <f>VLOOKUP(WWWW[[#This Row],[Site Name]],SiteDB6[[Site Name]:[Location Type]],8,FALSE)</f>
        <v>Camp</v>
      </c>
      <c r="H31" s="663" t="s">
        <v>260</v>
      </c>
      <c r="I31" s="700">
        <v>70</v>
      </c>
      <c r="J31" s="700">
        <v>377</v>
      </c>
      <c r="K31" s="642">
        <v>43313</v>
      </c>
      <c r="L31" s="78">
        <v>44043</v>
      </c>
      <c r="M31" s="700">
        <v>0</v>
      </c>
      <c r="N31" s="700">
        <v>1</v>
      </c>
      <c r="O31" s="700">
        <v>0</v>
      </c>
      <c r="P31" s="700">
        <v>0</v>
      </c>
      <c r="Q31" s="663" t="s">
        <v>43</v>
      </c>
      <c r="R31" s="377">
        <v>4</v>
      </c>
      <c r="S31" s="377">
        <v>4</v>
      </c>
      <c r="T31" s="377">
        <v>0</v>
      </c>
      <c r="U31" s="377">
        <v>0</v>
      </c>
      <c r="V31" s="377">
        <v>0</v>
      </c>
      <c r="W31" s="377">
        <v>0</v>
      </c>
      <c r="X31" s="377">
        <v>0</v>
      </c>
      <c r="Y31" s="377">
        <v>0</v>
      </c>
      <c r="Z31" s="377">
        <v>0</v>
      </c>
      <c r="AA31" s="377">
        <v>0</v>
      </c>
      <c r="AB31" s="377">
        <v>0</v>
      </c>
      <c r="AC31" s="377">
        <v>0</v>
      </c>
      <c r="AD31" s="377">
        <v>0</v>
      </c>
      <c r="AE31" s="377">
        <v>0</v>
      </c>
      <c r="AF31" s="377">
        <v>0</v>
      </c>
      <c r="AG31" s="377">
        <v>0</v>
      </c>
      <c r="AH31" s="377">
        <v>0</v>
      </c>
      <c r="AI31" s="377"/>
      <c r="AJ31" s="377"/>
      <c r="AK31" s="377"/>
      <c r="AL31" s="377"/>
      <c r="AM31" s="377">
        <v>0</v>
      </c>
      <c r="AN31" s="377">
        <v>0</v>
      </c>
      <c r="AO31" s="215"/>
      <c r="AP31" s="377">
        <v>24</v>
      </c>
      <c r="AQ31" s="377">
        <v>0</v>
      </c>
      <c r="AR31" s="77" t="s">
        <v>250</v>
      </c>
      <c r="AS31" s="377">
        <v>0</v>
      </c>
      <c r="AT31" s="377">
        <v>4</v>
      </c>
      <c r="AU31" s="377">
        <v>0</v>
      </c>
      <c r="AV31" s="377"/>
      <c r="AW31" s="700">
        <v>0</v>
      </c>
      <c r="AX31" s="694" t="s">
        <v>43</v>
      </c>
      <c r="AY31" s="245" t="s">
        <v>145</v>
      </c>
      <c r="AZ31" s="377">
        <v>0</v>
      </c>
      <c r="BA31" s="377">
        <v>1</v>
      </c>
      <c r="BB31" s="377">
        <v>0</v>
      </c>
      <c r="BC31" s="215"/>
      <c r="BD31" s="377">
        <v>3</v>
      </c>
      <c r="BE31" s="377">
        <v>0</v>
      </c>
      <c r="BF31" s="377">
        <v>0</v>
      </c>
      <c r="BG31" s="377">
        <v>3</v>
      </c>
      <c r="BH31" s="377">
        <v>0</v>
      </c>
      <c r="BI31" s="377">
        <v>2</v>
      </c>
      <c r="BJ31" s="377">
        <v>3</v>
      </c>
      <c r="BK31" s="377">
        <v>0</v>
      </c>
      <c r="BL31" s="377">
        <v>0</v>
      </c>
      <c r="BM31" s="215" t="s">
        <v>144</v>
      </c>
      <c r="BN31" s="80">
        <v>0</v>
      </c>
      <c r="BO31" s="82">
        <v>0.25</v>
      </c>
      <c r="BP31" s="215"/>
      <c r="BQ31" s="79" t="str">
        <f>IFERROR(WWWW[[#This Row],['#_Water sources treated]]/WWWW[[#This Row],['#_Water sources tested for contamination]],"no test")</f>
        <v>no test</v>
      </c>
      <c r="BR31" s="82" t="str">
        <f>IFERROR(WWWW[[#This Row],['#_Household received remediation action due to contamination]]/WWWW[[#This Row],['#_Household water samples tested for contamination]],"no test")</f>
        <v>no test</v>
      </c>
      <c r="BS31" s="81" t="str">
        <f>IF(AND(WWWW[[#This Row],[% of water sources treated]]="no test",WWWW[[#This Row],[% Household received corrective actions]]="no test"),"No Test","Tested")</f>
        <v>No Test</v>
      </c>
      <c r="BT31" s="81">
        <f>WWWW[[#This Row],['#_Constructed/existing protected hand dug well]]-WWWW[[#This Row],['#_Non-functional protected hand dug well]]</f>
        <v>0</v>
      </c>
      <c r="BU31" s="81">
        <f>(WWWW[[#This Row],['#_Constructed/Existing tube wells/boreholes/handpumps_WASH_agency]]+WWWW[[#This Row],['#_Non-Cluster partner water tube-wells/boreholes/handpumps]])-WWWW[[#This Row],['#_Non-functional tube wells/boreholes/handpumps]]</f>
        <v>0</v>
      </c>
      <c r="BV31" s="81">
        <f>WWWW[[#This Row],['#_Constructed/Existingwater storage tank with gravity fed reticulation system]]-WWWW[[#This Row],['#_Non-functional storage tank gravity fed reticulation system]]</f>
        <v>0</v>
      </c>
      <c r="BW31" s="81">
        <f>WWWW[[#This Row],['#_Water boating or water trucking]]</f>
        <v>0</v>
      </c>
      <c r="BX31" s="81">
        <f>WWWW[[#This Row],['#_Constructed/Existing water distribution system from river or natural spring]]</f>
        <v>0</v>
      </c>
      <c r="BY31"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1"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1" s="82">
        <f>IF(WWWW[[#This Row],[Location Type 1]]="Village",WWWW[[#This Row],[Access to safe drinking water for Village]],WWWW[[#This Row],[Access to safe drinking water for Camp]])</f>
        <v>0</v>
      </c>
      <c r="CB31" s="80">
        <f>WWWW[[#This Row],[%Equitable and continuous access to sufficient quantity of safe drinking water]]*WWWW[[#This Row],[Total PoP ]]</f>
        <v>0</v>
      </c>
      <c r="CC31" s="82">
        <f>IF((WWWW[[#This Row],['#_Constructed/Existing protected/fenced ponds]]*250)/WWWW[[#This Row],[Total PoP ]]&gt;1,1,(WWWW[[#This Row],['#_Constructed/Existing protected/fenced ponds]]*250)/WWWW[[#This Row],[Total PoP ]])</f>
        <v>0</v>
      </c>
      <c r="CD31" s="80">
        <f>WWWW[[#This Row],[% Access to unimproved water points]]*WWWW[[#This Row],[Total PoP ]]</f>
        <v>0</v>
      </c>
      <c r="CE31"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1"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1" s="80">
        <f>WWWW[[#This Row],[HRP1]]/500</f>
        <v>0</v>
      </c>
      <c r="CH31" s="79">
        <f>1-WWWW[[#This Row],[% Equitable and continuous access to sufficient quantity of domestic water]]</f>
        <v>1</v>
      </c>
      <c r="CI31" s="80">
        <f>WWWW[[#This Row],[%equitable and continuous access to sufficient quantity of safe drinking and domestic water''s GAP]]*WWWW[[#This Row],[Total PoP ]]</f>
        <v>377</v>
      </c>
      <c r="CJ31" s="81">
        <f>IF(WWWW[[#This Row],[Total required water points]]-WWWW[[#This Row],['#Water points coverage]]&lt;0,0,WWWW[[#This Row],[Total required water points]]-WWWW[[#This Row],['#Water points coverage]])</f>
        <v>1</v>
      </c>
      <c r="CK31" s="81">
        <f>ROUND(IF(WWWW[[#This Row],[Total PoP ]]&lt;500,1,WWWW[[#This Row],[Total PoP ]]/500),0)</f>
        <v>1</v>
      </c>
      <c r="CL31" s="81">
        <f>(WWWW[[#This Row],['#_Constructed latrines_by_WASHAgencies]]+WWWW[[#This Row],['#_Non Cluster partner latrines]])-WWWW[[#This Row],['#_Non-functional latrines]]</f>
        <v>24</v>
      </c>
      <c r="CM31"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31"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377</v>
      </c>
      <c r="CO31"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31" s="81">
        <f>IF(WWWW[[#This Row],[Location Type 1]]="Village","NA",IF(WWWW[[#This Row],['#_Constructed/Existing latrines in TLS]]*50&gt;WWWW[[#This Row],['#_students at TLS_CFS]],WWWW[[#This Row],['#_students at TLS_CFS]],(WWWW[[#This Row],['#_Constructed/Existing latrines in TLS]]*50)))</f>
        <v>0</v>
      </c>
      <c r="CQ31" s="81">
        <f>ROUND(IF(WWWW[[#This Row],[Location Type 1]]="camp",WWWW[[#This Row],[Total PoP ]]/20,IF(WWWW[[#This Row],[Location Type 1]]="Temporary Location",WWWW[[#This Row],[Total PoP ]]/50,(WWWW[[#This Row],[Total PoP ]]/6))),0)</f>
        <v>19</v>
      </c>
      <c r="CR31" s="80">
        <f>IF(WWWW[[#This Row],[Total required Latrines]]-(WWWW[[#This Row],['#_Constructed latrines_by_WASHAgencies]]+WWWW[[#This Row],['#_Non Cluster partner latrines]])&lt;0,0,WWWW[[#This Row],[Total required Latrines]]-(WWWW[[#This Row],['#_Constructed latrines_by_WASHAgencies]]+WWWW[[#This Row],['#_Non Cluster partner latrines]]))</f>
        <v>0</v>
      </c>
      <c r="CS31" s="79">
        <f>1-WWWW[[#This Row],[% people access to functioning Latrine]]</f>
        <v>0</v>
      </c>
      <c r="CT31" s="83">
        <f>IF(OR(WWWW[[#This Row],['#_Non-functional latrines]]="",WWWW[[#This Row],['#_Non-functional latrines]]=0),0,WWWW[[#This Row],['#_Non-functional latrines]]/(WWWW[[#This Row],['#_Constructed latrines_by_WASHAgencies]]+WWWW[[#This Row],['#_Non Cluster partner latrines]]))</f>
        <v>0</v>
      </c>
      <c r="CU31" s="80">
        <f>IF(500*(WWWW[[#This Row],['#_male hygiene promoters]]+WWWW[[#This Row],['#_female hygiene promoters]])&gt;WWWW[[#This Row],[Total PoP ]],WWWW[[#This Row],[Total PoP ]],500*(WWWW[[#This Row],['#_male hygiene promoters]]+WWWW[[#This Row],['#_female hygiene promoters]]))</f>
        <v>377</v>
      </c>
      <c r="CV31"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1"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1" s="81">
        <f>IF(WWWW[[#This Row],['# People with access to soap]]&gt;WWWW[[#This Row],['# People with access to Sanity Pads]],WWWW[[#This Row],['# People with access to soap]],WWWW[[#This Row],['# People with access to Sanity Pads]])</f>
        <v>0</v>
      </c>
      <c r="CY31" s="81">
        <f>IF(WWWW[[#This Row],['# people reached by regular dedicated hygiene promotion_5]]&gt;WWWW[[#This Row],['# People received regular supply of hygiene items_6]],WWWW[[#This Row],['# people reached by regular dedicated hygiene promotion_5]],WWWW[[#This Row],['# People received regular supply of hygiene items_6]])</f>
        <v>377</v>
      </c>
      <c r="CZ31" s="79">
        <f>IF(WWWW[[#This Row],[HRP3]]/WWWW[[#This Row],[Total PoP ]]&gt;100%,100%,WWWW[[#This Row],[HRP3]]/WWWW[[#This Row],[Total PoP ]])</f>
        <v>1</v>
      </c>
      <c r="DA31" s="83">
        <f>1-WWWW[[#This Row],[Hygiene Coverage%]]</f>
        <v>0</v>
      </c>
      <c r="DB31" s="82">
        <f>WWWW[[#This Row],['# people reached by regular dedicated hygiene promotion_5]]/WWWW[[#This Row],[Total PoP ]]</f>
        <v>1</v>
      </c>
      <c r="DC31" s="82">
        <f>IF(WWWW[[#This Row],['#_households that received standard amount of soap for this quarter]]/WWWW[[#This Row],[Total HH]]&gt;1,1,WWWW[[#This Row],['#_households that received standard amount of soap for this quarter]]/WWWW[[#This Row],[Total HH]])</f>
        <v>0</v>
      </c>
      <c r="DD31" s="82">
        <f>IF(WWWW[[#This Row],['#_households that received standard amount of sanitary pads for this quarter]]/WWWW[[#This Row],[Total HH]]&gt;1,1,WWWW[[#This Row],['#_households that received standard amount of sanitary pads for this quarter]]/WWWW[[#This Row],[Total HH]])</f>
        <v>0</v>
      </c>
      <c r="DE31" s="81">
        <f>WWWW[[#This Row],['#_Constructed/Existing hand washing stations]]-WWWW[[#This Row],['#_Non-Functional_hand_washing_stations]]</f>
        <v>3</v>
      </c>
      <c r="DF31" s="667">
        <f>IF(WWWW[[#This Row],['# Functional hand washing stations during reporting period]]*20&gt;WWWW[[#This Row],[Total HH]],WWWW[[#This Row],[Total HH]],WWWW[[#This Row],['# Functional hand washing stations during reporting period]]*20)</f>
        <v>60</v>
      </c>
      <c r="DG31" s="80">
        <f>IF(WWWW[[#This Row],[Is sufficient soap available for TLS? (Yes/No)]]="yes",WWWW[[#This Row],['#_Constructed/Existing hand washing stations at TLS]],0)</f>
        <v>0</v>
      </c>
      <c r="DH31" s="667">
        <f>IF(WWWW[[#This Row],['# Functional hand washing stations during reporting period]]*100&gt;WWWW[[#This Row],[Total PoP ]],WWWW[[#This Row],[Total PoP ]],WWWW[[#This Row],['# Functional hand washing stations during reporting period]]*100)</f>
        <v>300</v>
      </c>
      <c r="DI31" s="667" t="str">
        <f>IF(WWWW[[#This Row],['#_students at TLS_CFS]]="","No","Yes")</f>
        <v>Yes</v>
      </c>
      <c r="DJ31" s="245" t="str">
        <f>VLOOKUP(WWWW[[#This Row],[Site Name]],SiteDB6[[Site Name]:[CCCM Management]],6,FALSE)</f>
        <v>Yes</v>
      </c>
      <c r="DK31" s="245" t="str">
        <f>VLOOKUP(WWWW[[#This Row],[Site Name]],SiteDB6[[Site Name]:[CCCM Focal Agency]],7,FALSE)</f>
        <v>Shalom</v>
      </c>
      <c r="DL31" s="245" t="str">
        <f>VLOOKUP(WWWW[[#This Row],[Site Name]],SiteDB6[[Site Name]:[Location Type 1]],9,FALSE)</f>
        <v>Camp</v>
      </c>
      <c r="DM31" s="245" t="str">
        <f>VLOOKUP(WWWW[[#This Row],[Site Name]],SiteDB6[[Site Name]:[Type of Accommodation]],10,FALSE)</f>
        <v>Camp</v>
      </c>
      <c r="DN31" s="245" t="str">
        <f>VLOOKUP(WWWW[[#This Row],[Site Name]],SiteDB6[[Site Name]:[Ethnic or GCA/NGCA]],11,FALSE)</f>
        <v>GCA</v>
      </c>
      <c r="DO31" s="245">
        <f>VLOOKUP(WWWW[[#This Row],[Site Name]],SiteDB6[[Site Name]:[Lat]],12,FALSE)</f>
        <v>25.637309999999999</v>
      </c>
      <c r="DP31" s="245">
        <f>VLOOKUP(WWWW[[#This Row],[Site Name]],SiteDB6[[Site Name]:[Long]],13,FALSE)</f>
        <v>96.35257</v>
      </c>
      <c r="DQ31" s="245" t="str">
        <f>VLOOKUP(WWWW[[#This Row],[Site Name]],SiteDB6[[Site Name]:[Pcode]],3,FALSE)</f>
        <v>MMR001CMP174</v>
      </c>
      <c r="DR31" s="215" t="str">
        <f t="shared" si="1"/>
        <v>Covered</v>
      </c>
      <c r="DS31" s="215"/>
      <c r="DT31" s="20"/>
      <c r="DU31" s="20"/>
      <c r="DV31" s="20"/>
      <c r="DW31" s="20"/>
      <c r="DX31" s="20"/>
      <c r="DY31" s="20"/>
      <c r="DZ31" s="20"/>
      <c r="EA31" s="20"/>
      <c r="EB31" s="20"/>
      <c r="EC31" s="20"/>
      <c r="ED31" s="20"/>
      <c r="EE31" s="20"/>
      <c r="EF31" s="20"/>
      <c r="EG31" s="20"/>
      <c r="EH31" s="20"/>
    </row>
    <row r="32" spans="1:138" ht="15.75" customHeight="1">
      <c r="A32" s="259" t="s">
        <v>2525</v>
      </c>
      <c r="B32" s="259" t="s">
        <v>149</v>
      </c>
      <c r="C32" s="663" t="s">
        <v>149</v>
      </c>
      <c r="D32" s="663" t="s">
        <v>158</v>
      </c>
      <c r="E32" s="663" t="s">
        <v>39</v>
      </c>
      <c r="F32" s="663" t="s">
        <v>150</v>
      </c>
      <c r="G32" s="663" t="str">
        <f>VLOOKUP(WWWW[[#This Row],[Site Name]],SiteDB6[[Site Name]:[Location Type]],8,FALSE)</f>
        <v>Camp</v>
      </c>
      <c r="H32" s="663" t="s">
        <v>183</v>
      </c>
      <c r="I32" s="700">
        <v>140</v>
      </c>
      <c r="J32" s="700">
        <v>875</v>
      </c>
      <c r="K32" s="642">
        <v>43556</v>
      </c>
      <c r="L32" s="78">
        <v>43677</v>
      </c>
      <c r="M32" s="700"/>
      <c r="N32" s="700"/>
      <c r="O32" s="700"/>
      <c r="P32" s="700"/>
      <c r="Q32" s="77" t="s">
        <v>43</v>
      </c>
      <c r="R32" s="377"/>
      <c r="S32" s="377"/>
      <c r="T32" s="700">
        <v>0</v>
      </c>
      <c r="U32" s="377"/>
      <c r="V32" s="377"/>
      <c r="W32" s="700">
        <v>0</v>
      </c>
      <c r="X32" s="377"/>
      <c r="Y32" s="377"/>
      <c r="Z32" s="377"/>
      <c r="AA32" s="377">
        <v>1</v>
      </c>
      <c r="AB32" s="377"/>
      <c r="AC32" s="377"/>
      <c r="AD32" s="377"/>
      <c r="AE32" s="377"/>
      <c r="AF32" s="377"/>
      <c r="AG32" s="377"/>
      <c r="AH32" s="700">
        <v>0</v>
      </c>
      <c r="AI32" s="377"/>
      <c r="AJ32" s="377"/>
      <c r="AK32" s="377"/>
      <c r="AL32" s="377"/>
      <c r="AM32" s="377"/>
      <c r="AN32" s="377"/>
      <c r="AO32" s="215"/>
      <c r="AP32" s="700">
        <v>50</v>
      </c>
      <c r="AQ32" s="377"/>
      <c r="AR32" s="77"/>
      <c r="AS32" s="377"/>
      <c r="AT32" s="377"/>
      <c r="AU32" s="377"/>
      <c r="AV32" s="377"/>
      <c r="AW32" s="700">
        <v>50</v>
      </c>
      <c r="AX32" s="245" t="s">
        <v>43</v>
      </c>
      <c r="AY32" s="245" t="s">
        <v>145</v>
      </c>
      <c r="AZ32" s="377"/>
      <c r="BA32" s="377"/>
      <c r="BB32" s="377"/>
      <c r="BC32" s="215"/>
      <c r="BD32" s="377"/>
      <c r="BE32" s="377"/>
      <c r="BF32" s="377"/>
      <c r="BG32" s="377">
        <v>4</v>
      </c>
      <c r="BH32" s="377"/>
      <c r="BI32" s="377"/>
      <c r="BJ32" s="377">
        <v>3</v>
      </c>
      <c r="BK32" s="377"/>
      <c r="BL32" s="377"/>
      <c r="BM32" s="215"/>
      <c r="BN32" s="80"/>
      <c r="BO32" s="82"/>
      <c r="BP32" s="215"/>
      <c r="BQ32" s="79" t="str">
        <f>IFERROR(WWWW[[#This Row],['#_Water sources treated]]/WWWW[[#This Row],['#_Water sources tested for contamination]],"no test")</f>
        <v>no test</v>
      </c>
      <c r="BR32" s="82" t="str">
        <f>IFERROR(WWWW[[#This Row],['#_Household received remediation action due to contamination]]/WWWW[[#This Row],['#_Household water samples tested for contamination]],"no test")</f>
        <v>no test</v>
      </c>
      <c r="BS32" s="81" t="str">
        <f>IF(AND(WWWW[[#This Row],[% of water sources treated]]="no test",WWWW[[#This Row],[% Household received corrective actions]]="no test"),"No Test","Tested")</f>
        <v>No Test</v>
      </c>
      <c r="BT32" s="81">
        <f>WWWW[[#This Row],['#_Constructed/existing protected hand dug well]]-WWWW[[#This Row],['#_Non-functional protected hand dug well]]</f>
        <v>0</v>
      </c>
      <c r="BU32" s="81">
        <f>(WWWW[[#This Row],['#_Constructed/Existing tube wells/boreholes/handpumps_WASH_agency]]+WWWW[[#This Row],['#_Non-Cluster partner water tube-wells/boreholes/handpumps]])-WWWW[[#This Row],['#_Non-functional tube wells/boreholes/handpumps]]</f>
        <v>0</v>
      </c>
      <c r="BV32" s="81">
        <f>WWWW[[#This Row],['#_Constructed/Existingwater storage tank with gravity fed reticulation system]]-WWWW[[#This Row],['#_Non-functional storage tank gravity fed reticulation system]]</f>
        <v>1</v>
      </c>
      <c r="BW32" s="81">
        <f>WWWW[[#This Row],['#_Water boating or water trucking]]</f>
        <v>0</v>
      </c>
      <c r="BX32" s="81">
        <f>WWWW[[#This Row],['#_Constructed/Existing water distribution system from river or natural spring]]</f>
        <v>0</v>
      </c>
      <c r="BY32"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7.6190476190476197E-2</v>
      </c>
      <c r="BZ32"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7.6190476190476197E-2</v>
      </c>
      <c r="CA32" s="82">
        <f>IF(WWWW[[#This Row],[Location Type 1]]="Village",WWWW[[#This Row],[Access to safe drinking water for Village]],WWWW[[#This Row],[Access to safe drinking water for Camp]])</f>
        <v>7.6190476190476197E-2</v>
      </c>
      <c r="CB32" s="80">
        <f>WWWW[[#This Row],[%Equitable and continuous access to sufficient quantity of safe drinking water]]*WWWW[[#This Row],[Total PoP ]]</f>
        <v>66.666666666666671</v>
      </c>
      <c r="CC32" s="82">
        <f>IF((WWWW[[#This Row],['#_Constructed/Existing protected/fenced ponds]]*250)/WWWW[[#This Row],[Total PoP ]]&gt;1,1,(WWWW[[#This Row],['#_Constructed/Existing protected/fenced ponds]]*250)/WWWW[[#This Row],[Total PoP ]])</f>
        <v>0</v>
      </c>
      <c r="CD32" s="80">
        <f>WWWW[[#This Row],[% Access to unimproved water points]]*WWWW[[#This Row],[Total PoP ]]</f>
        <v>0</v>
      </c>
      <c r="CE32"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7.6190476190476197E-2</v>
      </c>
      <c r="CF32"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G32" s="80">
        <f>WWWW[[#This Row],[HRP1]]/500</f>
        <v>0.13333333333333333</v>
      </c>
      <c r="CH32" s="79">
        <f>1-WWWW[[#This Row],[% Equitable and continuous access to sufficient quantity of domestic water]]</f>
        <v>0.92380952380952386</v>
      </c>
      <c r="CI32" s="80">
        <f>WWWW[[#This Row],[%equitable and continuous access to sufficient quantity of safe drinking and domestic water''s GAP]]*WWWW[[#This Row],[Total PoP ]]</f>
        <v>808.33333333333337</v>
      </c>
      <c r="CJ32" s="81">
        <f>IF(WWWW[[#This Row],[Total required water points]]-WWWW[[#This Row],['#Water points coverage]]&lt;0,0,WWWW[[#This Row],[Total required water points]]-WWWW[[#This Row],['#Water points coverage]])</f>
        <v>1.8666666666666667</v>
      </c>
      <c r="CK32" s="81">
        <f>ROUND(IF(WWWW[[#This Row],[Total PoP ]]&lt;500,1,WWWW[[#This Row],[Total PoP ]]/500),0)</f>
        <v>2</v>
      </c>
      <c r="CL32" s="81">
        <f>(WWWW[[#This Row],['#_Constructed latrines_by_WASHAgencies]]+WWWW[[#This Row],['#_Non Cluster partner latrines]])-WWWW[[#This Row],['#_Non-functional latrines]]</f>
        <v>50</v>
      </c>
      <c r="CM32"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32"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875</v>
      </c>
      <c r="CO32"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32" s="81">
        <f>IF(WWWW[[#This Row],[Location Type 1]]="Village","NA",IF(WWWW[[#This Row],['#_Constructed/Existing latrines in TLS]]*50&gt;WWWW[[#This Row],['#_students at TLS_CFS]],WWWW[[#This Row],['#_students at TLS_CFS]],(WWWW[[#This Row],['#_Constructed/Existing latrines in TLS]]*50)))</f>
        <v>0</v>
      </c>
      <c r="CQ32" s="81">
        <f>ROUND(IF(WWWW[[#This Row],[Location Type 1]]="camp",WWWW[[#This Row],[Total PoP ]]/20,IF(WWWW[[#This Row],[Location Type 1]]="Temporary Location",WWWW[[#This Row],[Total PoP ]]/50,(WWWW[[#This Row],[Total PoP ]]/6))),0)</f>
        <v>44</v>
      </c>
      <c r="CR32" s="80">
        <f>IF(WWWW[[#This Row],[Total required Latrines]]-(WWWW[[#This Row],['#_Constructed latrines_by_WASHAgencies]]+WWWW[[#This Row],['#_Non Cluster partner latrines]])&lt;0,0,WWWW[[#This Row],[Total required Latrines]]-(WWWW[[#This Row],['#_Constructed latrines_by_WASHAgencies]]+WWWW[[#This Row],['#_Non Cluster partner latrines]]))</f>
        <v>0</v>
      </c>
      <c r="CS32" s="79">
        <f>1-WWWW[[#This Row],[% people access to functioning Latrine]]</f>
        <v>0</v>
      </c>
      <c r="CT32" s="83">
        <f>IF(OR(WWWW[[#This Row],['#_Non-functional latrines]]="",WWWW[[#This Row],['#_Non-functional latrines]]=0),0,WWWW[[#This Row],['#_Non-functional latrines]]/(WWWW[[#This Row],['#_Constructed latrines_by_WASHAgencies]]+WWWW[[#This Row],['#_Non Cluster partner latrines]]))</f>
        <v>0</v>
      </c>
      <c r="CU32" s="80">
        <f>IF(500*(WWWW[[#This Row],['#_male hygiene promoters]]+WWWW[[#This Row],['#_female hygiene promoters]])&gt;WWWW[[#This Row],[Total PoP ]],WWWW[[#This Row],[Total PoP ]],500*(WWWW[[#This Row],['#_male hygiene promoters]]+WWWW[[#This Row],['#_female hygiene promoters]]))</f>
        <v>875</v>
      </c>
      <c r="CV32"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2"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2" s="81">
        <f>IF(WWWW[[#This Row],['# People with access to soap]]&gt;WWWW[[#This Row],['# People with access to Sanity Pads]],WWWW[[#This Row],['# People with access to soap]],WWWW[[#This Row],['# People with access to Sanity Pads]])</f>
        <v>0</v>
      </c>
      <c r="CY32" s="81">
        <f>IF(WWWW[[#This Row],['# people reached by regular dedicated hygiene promotion_5]]&gt;WWWW[[#This Row],['# People received regular supply of hygiene items_6]],WWWW[[#This Row],['# people reached by regular dedicated hygiene promotion_5]],WWWW[[#This Row],['# People received regular supply of hygiene items_6]])</f>
        <v>875</v>
      </c>
      <c r="CZ32" s="79">
        <f>IF(WWWW[[#This Row],[HRP3]]/WWWW[[#This Row],[Total PoP ]]&gt;100%,100%,WWWW[[#This Row],[HRP3]]/WWWW[[#This Row],[Total PoP ]])</f>
        <v>1</v>
      </c>
      <c r="DA32" s="83">
        <f>1-WWWW[[#This Row],[Hygiene Coverage%]]</f>
        <v>0</v>
      </c>
      <c r="DB32" s="82">
        <f>WWWW[[#This Row],['# people reached by regular dedicated hygiene promotion_5]]/WWWW[[#This Row],[Total PoP ]]</f>
        <v>1</v>
      </c>
      <c r="DC32" s="82">
        <f>IF(WWWW[[#This Row],['#_households that received standard amount of soap for this quarter]]/WWWW[[#This Row],[Total HH]]&gt;1,1,WWWW[[#This Row],['#_households that received standard amount of soap for this quarter]]/WWWW[[#This Row],[Total HH]])</f>
        <v>0</v>
      </c>
      <c r="DD32" s="82">
        <f>IF(WWWW[[#This Row],['#_households that received standard amount of sanitary pads for this quarter]]/WWWW[[#This Row],[Total HH]]&gt;1,1,WWWW[[#This Row],['#_households that received standard amount of sanitary pads for this quarter]]/WWWW[[#This Row],[Total HH]])</f>
        <v>0</v>
      </c>
      <c r="DE32" s="81">
        <f>WWWW[[#This Row],['#_Constructed/Existing hand washing stations]]-WWWW[[#This Row],['#_Non-Functional_hand_washing_stations]]</f>
        <v>0</v>
      </c>
      <c r="DF32" s="667">
        <f>IF(WWWW[[#This Row],['# Functional hand washing stations during reporting period]]*20&gt;WWWW[[#This Row],[Total HH]],WWWW[[#This Row],[Total HH]],WWWW[[#This Row],['# Functional hand washing stations during reporting period]]*20)</f>
        <v>0</v>
      </c>
      <c r="DG32" s="80">
        <f>IF(WWWW[[#This Row],[Is sufficient soap available for TLS? (Yes/No)]]="yes",WWWW[[#This Row],['#_Constructed/Existing hand washing stations at TLS]],0)</f>
        <v>0</v>
      </c>
      <c r="DH32" s="667">
        <f>IF(WWWW[[#This Row],['# Functional hand washing stations during reporting period]]*100&gt;WWWW[[#This Row],[Total PoP ]],WWWW[[#This Row],[Total PoP ]],WWWW[[#This Row],['# Functional hand washing stations during reporting period]]*100)</f>
        <v>0</v>
      </c>
      <c r="DI32" s="667" t="str">
        <f>IF(WWWW[[#This Row],['#_students at TLS_CFS]]="","No","Yes")</f>
        <v>No</v>
      </c>
      <c r="DJ32" s="245" t="str">
        <f>VLOOKUP(WWWW[[#This Row],[Site Name]],SiteDB6[[Site Name]:[CCCM Management]],6,FALSE)</f>
        <v>Yes</v>
      </c>
      <c r="DK32" s="245" t="str">
        <f>VLOOKUP(WWWW[[#This Row],[Site Name]],SiteDB6[[Site Name]:[CCCM Focal Agency]],7,FALSE)</f>
        <v>KBC-MYT</v>
      </c>
      <c r="DL32" s="245" t="str">
        <f>VLOOKUP(WWWW[[#This Row],[Site Name]],SiteDB6[[Site Name]:[Location Type 1]],9,FALSE)</f>
        <v>Camp</v>
      </c>
      <c r="DM32" s="245" t="str">
        <f>VLOOKUP(WWWW[[#This Row],[Site Name]],SiteDB6[[Site Name]:[Type of Accommodation]],10,FALSE)</f>
        <v>Camp</v>
      </c>
      <c r="DN32" s="245" t="str">
        <f>VLOOKUP(WWWW[[#This Row],[Site Name]],SiteDB6[[Site Name]:[Ethnic or GCA/NGCA]],11,FALSE)</f>
        <v>NGCA</v>
      </c>
      <c r="DO32" s="245">
        <f>VLOOKUP(WWWW[[#This Row],[Site Name]],SiteDB6[[Site Name]:[Lat]],12,FALSE)</f>
        <v>25.200333000000001</v>
      </c>
      <c r="DP32" s="245">
        <f>VLOOKUP(WWWW[[#This Row],[Site Name]],SiteDB6[[Site Name]:[Long]],13,FALSE)</f>
        <v>97.807182999999995</v>
      </c>
      <c r="DQ32" s="245" t="str">
        <f>VLOOKUP(WWWW[[#This Row],[Site Name]],SiteDB6[[Site Name]:[Pcode]],3,FALSE)</f>
        <v>MMR001CMP115</v>
      </c>
      <c r="DR32" s="215" t="str">
        <f t="shared" si="1"/>
        <v>Covered</v>
      </c>
      <c r="DS32" s="215"/>
      <c r="DT32" s="20"/>
      <c r="DU32" s="20"/>
      <c r="DV32" s="20"/>
      <c r="DW32" s="20"/>
      <c r="DX32" s="20"/>
      <c r="DY32" s="20"/>
      <c r="DZ32" s="20"/>
      <c r="EA32" s="20"/>
      <c r="EB32" s="20"/>
      <c r="EC32" s="20"/>
      <c r="ED32" s="20"/>
      <c r="EE32" s="20"/>
      <c r="EF32" s="20"/>
      <c r="EG32" s="20"/>
      <c r="EH32" s="20"/>
    </row>
    <row r="33" spans="1:138" ht="15.75" customHeight="1">
      <c r="A33" s="259" t="s">
        <v>2525</v>
      </c>
      <c r="B33" s="663" t="s">
        <v>250</v>
      </c>
      <c r="C33" s="663" t="s">
        <v>250</v>
      </c>
      <c r="D33" s="663" t="s">
        <v>315</v>
      </c>
      <c r="E33" s="663" t="s">
        <v>39</v>
      </c>
      <c r="F33" s="663" t="s">
        <v>156</v>
      </c>
      <c r="G33" s="663" t="str">
        <f>VLOOKUP(WWWW[[#This Row],[Site Name]],SiteDB6[[Site Name]:[Location Type]],8,FALSE)</f>
        <v>Camp</v>
      </c>
      <c r="H33" s="663" t="s">
        <v>261</v>
      </c>
      <c r="I33" s="700">
        <v>2</v>
      </c>
      <c r="J33" s="700">
        <v>14</v>
      </c>
      <c r="K33" s="642">
        <v>43313</v>
      </c>
      <c r="L33" s="78">
        <v>44043</v>
      </c>
      <c r="M33" s="700"/>
      <c r="N33" s="700">
        <v>0</v>
      </c>
      <c r="O33" s="700"/>
      <c r="P33" s="700"/>
      <c r="Q33" s="663"/>
      <c r="R33" s="377"/>
      <c r="S33" s="377"/>
      <c r="T33" s="377"/>
      <c r="U33" s="377"/>
      <c r="V33" s="377"/>
      <c r="W33" s="377">
        <v>0</v>
      </c>
      <c r="X33" s="377"/>
      <c r="Y33" s="377"/>
      <c r="Z33" s="377"/>
      <c r="AA33" s="700"/>
      <c r="AB33" s="377"/>
      <c r="AC33" s="377"/>
      <c r="AD33" s="377"/>
      <c r="AE33" s="377"/>
      <c r="AF33" s="377"/>
      <c r="AG33" s="377"/>
      <c r="AH33" s="377"/>
      <c r="AI33" s="377"/>
      <c r="AJ33" s="377"/>
      <c r="AK33" s="377"/>
      <c r="AL33" s="377"/>
      <c r="AM33" s="377"/>
      <c r="AN33" s="377"/>
      <c r="AO33" s="215"/>
      <c r="AP33" s="377">
        <v>0</v>
      </c>
      <c r="AQ33" s="377"/>
      <c r="AR33" s="77"/>
      <c r="AS33" s="377"/>
      <c r="AT33" s="377"/>
      <c r="AU33" s="377"/>
      <c r="AV33" s="377"/>
      <c r="AW33" s="700">
        <v>0</v>
      </c>
      <c r="AX33" s="694"/>
      <c r="AY33" s="245"/>
      <c r="AZ33" s="377"/>
      <c r="BA33" s="377"/>
      <c r="BB33" s="377"/>
      <c r="BC33" s="215"/>
      <c r="BD33" s="377"/>
      <c r="BE33" s="377"/>
      <c r="BF33" s="377">
        <v>0</v>
      </c>
      <c r="BG33" s="377"/>
      <c r="BH33" s="377"/>
      <c r="BI33" s="377"/>
      <c r="BJ33" s="377"/>
      <c r="BK33" s="377"/>
      <c r="BL33" s="377"/>
      <c r="BM33" s="215"/>
      <c r="BN33" s="80"/>
      <c r="BO33" s="82"/>
      <c r="BP33" s="215"/>
      <c r="BQ33" s="79" t="str">
        <f>IFERROR(WWWW[[#This Row],['#_Water sources treated]]/WWWW[[#This Row],['#_Water sources tested for contamination]],"no test")</f>
        <v>no test</v>
      </c>
      <c r="BR33" s="82" t="str">
        <f>IFERROR(WWWW[[#This Row],['#_Household received remediation action due to contamination]]/WWWW[[#This Row],['#_Household water samples tested for contamination]],"no test")</f>
        <v>no test</v>
      </c>
      <c r="BS33" s="81" t="str">
        <f>IF(AND(WWWW[[#This Row],[% of water sources treated]]="no test",WWWW[[#This Row],[% Household received corrective actions]]="no test"),"No Test","Tested")</f>
        <v>No Test</v>
      </c>
      <c r="BT33" s="81">
        <f>WWWW[[#This Row],['#_Constructed/existing protected hand dug well]]-WWWW[[#This Row],['#_Non-functional protected hand dug well]]</f>
        <v>0</v>
      </c>
      <c r="BU33" s="81">
        <f>(WWWW[[#This Row],['#_Constructed/Existing tube wells/boreholes/handpumps_WASH_agency]]+WWWW[[#This Row],['#_Non-Cluster partner water tube-wells/boreholes/handpumps]])-WWWW[[#This Row],['#_Non-functional tube wells/boreholes/handpumps]]</f>
        <v>0</v>
      </c>
      <c r="BV33" s="81">
        <f>WWWW[[#This Row],['#_Constructed/Existingwater storage tank with gravity fed reticulation system]]-WWWW[[#This Row],['#_Non-functional storage tank gravity fed reticulation system]]</f>
        <v>0</v>
      </c>
      <c r="BW33" s="81">
        <f>WWWW[[#This Row],['#_Water boating or water trucking]]</f>
        <v>0</v>
      </c>
      <c r="BX33" s="81">
        <f>WWWW[[#This Row],['#_Constructed/Existing water distribution system from river or natural spring]]</f>
        <v>0</v>
      </c>
      <c r="BY33"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3"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3" s="82">
        <f>IF(WWWW[[#This Row],[Location Type 1]]="Village",WWWW[[#This Row],[Access to safe drinking water for Village]],WWWW[[#This Row],[Access to safe drinking water for Camp]])</f>
        <v>0</v>
      </c>
      <c r="CB33" s="80">
        <f>WWWW[[#This Row],[%Equitable and continuous access to sufficient quantity of safe drinking water]]*WWWW[[#This Row],[Total PoP ]]</f>
        <v>0</v>
      </c>
      <c r="CC33" s="82">
        <f>IF((WWWW[[#This Row],['#_Constructed/Existing protected/fenced ponds]]*250)/WWWW[[#This Row],[Total PoP ]]&gt;1,1,(WWWW[[#This Row],['#_Constructed/Existing protected/fenced ponds]]*250)/WWWW[[#This Row],[Total PoP ]])</f>
        <v>0</v>
      </c>
      <c r="CD33" s="80">
        <f>WWWW[[#This Row],[% Access to unimproved water points]]*WWWW[[#This Row],[Total PoP ]]</f>
        <v>0</v>
      </c>
      <c r="CE33"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3"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3" s="80">
        <f>WWWW[[#This Row],[HRP1]]/500</f>
        <v>0</v>
      </c>
      <c r="CH33" s="79">
        <f>1-WWWW[[#This Row],[% Equitable and continuous access to sufficient quantity of domestic water]]</f>
        <v>1</v>
      </c>
      <c r="CI33" s="80">
        <f>WWWW[[#This Row],[%equitable and continuous access to sufficient quantity of safe drinking and domestic water''s GAP]]*WWWW[[#This Row],[Total PoP ]]</f>
        <v>14</v>
      </c>
      <c r="CJ33" s="81">
        <f>IF(WWWW[[#This Row],[Total required water points]]-WWWW[[#This Row],['#Water points coverage]]&lt;0,0,WWWW[[#This Row],[Total required water points]]-WWWW[[#This Row],['#Water points coverage]])</f>
        <v>1</v>
      </c>
      <c r="CK33" s="81">
        <f>ROUND(IF(WWWW[[#This Row],[Total PoP ]]&lt;500,1,WWWW[[#This Row],[Total PoP ]]/500),0)</f>
        <v>1</v>
      </c>
      <c r="CL33" s="81">
        <f>(WWWW[[#This Row],['#_Constructed latrines_by_WASHAgencies]]+WWWW[[#This Row],['#_Non Cluster partner latrines]])-WWWW[[#This Row],['#_Non-functional latrines]]</f>
        <v>0</v>
      </c>
      <c r="CM33"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3"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3"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33" s="81">
        <f>IF(WWWW[[#This Row],[Location Type 1]]="Village","NA",IF(WWWW[[#This Row],['#_Constructed/Existing latrines in TLS]]*50&gt;WWWW[[#This Row],['#_students at TLS_CFS]],WWWW[[#This Row],['#_students at TLS_CFS]],(WWWW[[#This Row],['#_Constructed/Existing latrines in TLS]]*50)))</f>
        <v>0</v>
      </c>
      <c r="CQ33" s="81">
        <f>ROUND(IF(WWWW[[#This Row],[Location Type 1]]="camp",WWWW[[#This Row],[Total PoP ]]/20,IF(WWWW[[#This Row],[Location Type 1]]="Temporary Location",WWWW[[#This Row],[Total PoP ]]/50,(WWWW[[#This Row],[Total PoP ]]/6))),0)</f>
        <v>1</v>
      </c>
      <c r="CR33" s="80">
        <f>IF(WWWW[[#This Row],[Total required Latrines]]-(WWWW[[#This Row],['#_Constructed latrines_by_WASHAgencies]]+WWWW[[#This Row],['#_Non Cluster partner latrines]])&lt;0,0,WWWW[[#This Row],[Total required Latrines]]-(WWWW[[#This Row],['#_Constructed latrines_by_WASHAgencies]]+WWWW[[#This Row],['#_Non Cluster partner latrines]]))</f>
        <v>1</v>
      </c>
      <c r="CS33" s="79">
        <f>1-WWWW[[#This Row],[% people access to functioning Latrine]]</f>
        <v>1</v>
      </c>
      <c r="CT33" s="83">
        <f>IF(OR(WWWW[[#This Row],['#_Non-functional latrines]]="",WWWW[[#This Row],['#_Non-functional latrines]]=0),0,WWWW[[#This Row],['#_Non-functional latrines]]/(WWWW[[#This Row],['#_Constructed latrines_by_WASHAgencies]]+WWWW[[#This Row],['#_Non Cluster partner latrines]]))</f>
        <v>0</v>
      </c>
      <c r="CU33" s="80">
        <f>IF(500*(WWWW[[#This Row],['#_male hygiene promoters]]+WWWW[[#This Row],['#_female hygiene promoters]])&gt;WWWW[[#This Row],[Total PoP ]],WWWW[[#This Row],[Total PoP ]],500*(WWWW[[#This Row],['#_male hygiene promoters]]+WWWW[[#This Row],['#_female hygiene promoters]]))</f>
        <v>0</v>
      </c>
      <c r="CV33"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3"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3" s="81">
        <f>IF(WWWW[[#This Row],['# People with access to soap]]&gt;WWWW[[#This Row],['# People with access to Sanity Pads]],WWWW[[#This Row],['# People with access to soap]],WWWW[[#This Row],['# People with access to Sanity Pads]])</f>
        <v>0</v>
      </c>
      <c r="CY33"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3" s="79">
        <f>IF(WWWW[[#This Row],[HRP3]]/WWWW[[#This Row],[Total PoP ]]&gt;100%,100%,WWWW[[#This Row],[HRP3]]/WWWW[[#This Row],[Total PoP ]])</f>
        <v>0</v>
      </c>
      <c r="DA33" s="83">
        <f>1-WWWW[[#This Row],[Hygiene Coverage%]]</f>
        <v>1</v>
      </c>
      <c r="DB33" s="82">
        <f>WWWW[[#This Row],['# people reached by regular dedicated hygiene promotion_5]]/WWWW[[#This Row],[Total PoP ]]</f>
        <v>0</v>
      </c>
      <c r="DC33" s="82">
        <f>IF(WWWW[[#This Row],['#_households that received standard amount of soap for this quarter]]/WWWW[[#This Row],[Total HH]]&gt;1,1,WWWW[[#This Row],['#_households that received standard amount of soap for this quarter]]/WWWW[[#This Row],[Total HH]])</f>
        <v>0</v>
      </c>
      <c r="DD33" s="82">
        <f>IF(WWWW[[#This Row],['#_households that received standard amount of sanitary pads for this quarter]]/WWWW[[#This Row],[Total HH]]&gt;1,1,WWWW[[#This Row],['#_households that received standard amount of sanitary pads for this quarter]]/WWWW[[#This Row],[Total HH]])</f>
        <v>0</v>
      </c>
      <c r="DE33" s="81">
        <f>WWWW[[#This Row],['#_Constructed/Existing hand washing stations]]-WWWW[[#This Row],['#_Non-Functional_hand_washing_stations]]</f>
        <v>0</v>
      </c>
      <c r="DF33" s="667">
        <f>IF(WWWW[[#This Row],['# Functional hand washing stations during reporting period]]*20&gt;WWWW[[#This Row],[Total HH]],WWWW[[#This Row],[Total HH]],WWWW[[#This Row],['# Functional hand washing stations during reporting period]]*20)</f>
        <v>0</v>
      </c>
      <c r="DG33" s="80">
        <f>IF(WWWW[[#This Row],[Is sufficient soap available for TLS? (Yes/No)]]="yes",WWWW[[#This Row],['#_Constructed/Existing hand washing stations at TLS]],0)</f>
        <v>0</v>
      </c>
      <c r="DH33" s="667">
        <f>IF(WWWW[[#This Row],['# Functional hand washing stations during reporting period]]*100&gt;WWWW[[#This Row],[Total PoP ]],WWWW[[#This Row],[Total PoP ]],WWWW[[#This Row],['# Functional hand washing stations during reporting period]]*100)</f>
        <v>0</v>
      </c>
      <c r="DI33" s="667" t="str">
        <f>IF(WWWW[[#This Row],['#_students at TLS_CFS]]="","No","Yes")</f>
        <v>No</v>
      </c>
      <c r="DJ33" s="245" t="str">
        <f>VLOOKUP(WWWW[[#This Row],[Site Name]],SiteDB6[[Site Name]:[CCCM Management]],6,FALSE)</f>
        <v>Yes</v>
      </c>
      <c r="DK33" s="245" t="str">
        <f>VLOOKUP(WWWW[[#This Row],[Site Name]],SiteDB6[[Site Name]:[CCCM Focal Agency]],7,FALSE)</f>
        <v>uncovered</v>
      </c>
      <c r="DL33" s="245" t="str">
        <f>VLOOKUP(WWWW[[#This Row],[Site Name]],SiteDB6[[Site Name]:[Location Type 1]],9,FALSE)</f>
        <v>Camp</v>
      </c>
      <c r="DM33" s="245" t="str">
        <f>VLOOKUP(WWWW[[#This Row],[Site Name]],SiteDB6[[Site Name]:[Type of Accommodation]],10,FALSE)</f>
        <v>Camp like setting</v>
      </c>
      <c r="DN33" s="245" t="str">
        <f>VLOOKUP(WWWW[[#This Row],[Site Name]],SiteDB6[[Site Name]:[Ethnic or GCA/NGCA]],11,FALSE)</f>
        <v>GCA</v>
      </c>
      <c r="DO33" s="245">
        <f>VLOOKUP(WWWW[[#This Row],[Site Name]],SiteDB6[[Site Name]:[Lat]],12,FALSE)</f>
        <v>25.615960999999999</v>
      </c>
      <c r="DP33" s="245">
        <f>VLOOKUP(WWWW[[#This Row],[Site Name]],SiteDB6[[Site Name]:[Long]],13,FALSE)</f>
        <v>96.316564</v>
      </c>
      <c r="DQ33" s="245" t="str">
        <f>VLOOKUP(WWWW[[#This Row],[Site Name]],SiteDB6[[Site Name]:[Pcode]],3,FALSE)</f>
        <v>MMR001CMP191</v>
      </c>
      <c r="DR33" s="215" t="str">
        <f t="shared" si="1"/>
        <v>Covered</v>
      </c>
      <c r="DS33" s="215"/>
      <c r="DT33" s="20"/>
      <c r="DU33" s="20"/>
      <c r="DV33" s="20"/>
      <c r="DW33" s="20"/>
      <c r="DX33" s="20"/>
      <c r="DY33" s="20"/>
      <c r="DZ33" s="20"/>
      <c r="EA33" s="20"/>
      <c r="EB33" s="20"/>
      <c r="EC33" s="20"/>
      <c r="ED33" s="20"/>
      <c r="EE33" s="20"/>
      <c r="EF33" s="20"/>
      <c r="EG33" s="20"/>
      <c r="EH33" s="20"/>
    </row>
    <row r="34" spans="1:138" ht="15.75" customHeight="1">
      <c r="A34" s="259" t="s">
        <v>2525</v>
      </c>
      <c r="B34" s="663" t="s">
        <v>250</v>
      </c>
      <c r="C34" s="663" t="s">
        <v>250</v>
      </c>
      <c r="D34" s="663" t="s">
        <v>315</v>
      </c>
      <c r="E34" s="663" t="s">
        <v>39</v>
      </c>
      <c r="F34" s="663" t="s">
        <v>156</v>
      </c>
      <c r="G34" s="663" t="str">
        <f>VLOOKUP(WWWW[[#This Row],[Site Name]],SiteDB6[[Site Name]:[Location Type]],8,FALSE)</f>
        <v>Camp</v>
      </c>
      <c r="H34" s="663" t="s">
        <v>262</v>
      </c>
      <c r="I34" s="700">
        <v>107</v>
      </c>
      <c r="J34" s="700">
        <v>519</v>
      </c>
      <c r="K34" s="642">
        <v>43313</v>
      </c>
      <c r="L34" s="78">
        <v>44043</v>
      </c>
      <c r="M34" s="700">
        <v>28</v>
      </c>
      <c r="N34" s="700">
        <v>1</v>
      </c>
      <c r="O34" s="700">
        <v>0</v>
      </c>
      <c r="P34" s="700">
        <v>0</v>
      </c>
      <c r="Q34" s="663" t="s">
        <v>43</v>
      </c>
      <c r="R34" s="377">
        <v>4</v>
      </c>
      <c r="S34" s="377">
        <v>1</v>
      </c>
      <c r="T34" s="377">
        <v>0</v>
      </c>
      <c r="U34" s="377">
        <v>0</v>
      </c>
      <c r="V34" s="377">
        <v>0</v>
      </c>
      <c r="W34" s="377">
        <v>0</v>
      </c>
      <c r="X34" s="377">
        <v>0</v>
      </c>
      <c r="Y34" s="377">
        <v>0</v>
      </c>
      <c r="Z34" s="377">
        <v>0</v>
      </c>
      <c r="AA34" s="700">
        <v>1</v>
      </c>
      <c r="AB34" s="377">
        <v>0</v>
      </c>
      <c r="AC34" s="377">
        <v>1</v>
      </c>
      <c r="AD34" s="377">
        <v>0</v>
      </c>
      <c r="AE34" s="377">
        <v>4</v>
      </c>
      <c r="AF34" s="377">
        <v>1</v>
      </c>
      <c r="AG34" s="377">
        <v>0</v>
      </c>
      <c r="AH34" s="377">
        <v>1</v>
      </c>
      <c r="AI34" s="377"/>
      <c r="AJ34" s="377"/>
      <c r="AK34" s="377"/>
      <c r="AL34" s="377"/>
      <c r="AM34" s="377">
        <v>0</v>
      </c>
      <c r="AN34" s="377">
        <v>0</v>
      </c>
      <c r="AO34" s="215"/>
      <c r="AP34" s="377">
        <v>34</v>
      </c>
      <c r="AQ34" s="377">
        <v>0</v>
      </c>
      <c r="AR34" s="77" t="s">
        <v>250</v>
      </c>
      <c r="AS34" s="377">
        <v>2</v>
      </c>
      <c r="AT34" s="377">
        <v>16</v>
      </c>
      <c r="AU34" s="377">
        <v>14</v>
      </c>
      <c r="AV34" s="377"/>
      <c r="AW34" s="700">
        <v>0</v>
      </c>
      <c r="AX34" s="694" t="s">
        <v>43</v>
      </c>
      <c r="AY34" s="245" t="s">
        <v>145</v>
      </c>
      <c r="AZ34" s="377">
        <v>0</v>
      </c>
      <c r="BA34" s="377">
        <v>0</v>
      </c>
      <c r="BB34" s="377">
        <v>2</v>
      </c>
      <c r="BC34" s="215"/>
      <c r="BD34" s="377">
        <v>5</v>
      </c>
      <c r="BE34" s="377">
        <v>0</v>
      </c>
      <c r="BF34" s="377">
        <v>0</v>
      </c>
      <c r="BG34" s="377">
        <v>5</v>
      </c>
      <c r="BH34" s="377">
        <v>0</v>
      </c>
      <c r="BI34" s="377">
        <v>4</v>
      </c>
      <c r="BJ34" s="377">
        <v>4</v>
      </c>
      <c r="BK34" s="377">
        <v>0</v>
      </c>
      <c r="BL34" s="377">
        <v>0</v>
      </c>
      <c r="BM34" s="215" t="s">
        <v>144</v>
      </c>
      <c r="BN34" s="80">
        <v>0</v>
      </c>
      <c r="BO34" s="82">
        <v>0.3</v>
      </c>
      <c r="BP34" s="215"/>
      <c r="BQ34" s="79" t="str">
        <f>IFERROR(WWWW[[#This Row],['#_Water sources treated]]/WWWW[[#This Row],['#_Water sources tested for contamination]],"no test")</f>
        <v>no test</v>
      </c>
      <c r="BR34" s="82" t="str">
        <f>IFERROR(WWWW[[#This Row],['#_Household received remediation action due to contamination]]/WWWW[[#This Row],['#_Household water samples tested for contamination]],"no test")</f>
        <v>no test</v>
      </c>
      <c r="BS34" s="81" t="str">
        <f>IF(AND(WWWW[[#This Row],[% of water sources treated]]="no test",WWWW[[#This Row],[% Household received corrective actions]]="no test"),"No Test","Tested")</f>
        <v>No Test</v>
      </c>
      <c r="BT34" s="81">
        <f>WWWW[[#This Row],['#_Constructed/existing protected hand dug well]]-WWWW[[#This Row],['#_Non-functional protected hand dug well]]</f>
        <v>0</v>
      </c>
      <c r="BU34" s="81">
        <f>(WWWW[[#This Row],['#_Constructed/Existing tube wells/boreholes/handpumps_WASH_agency]]+WWWW[[#This Row],['#_Non-Cluster partner water tube-wells/boreholes/handpumps]])-WWWW[[#This Row],['#_Non-functional tube wells/boreholes/handpumps]]</f>
        <v>0</v>
      </c>
      <c r="BV34" s="81">
        <f>WWWW[[#This Row],['#_Constructed/Existingwater storage tank with gravity fed reticulation system]]-WWWW[[#This Row],['#_Non-functional storage tank gravity fed reticulation system]]</f>
        <v>1</v>
      </c>
      <c r="BW34" s="81">
        <f>WWWW[[#This Row],['#_Water boating or water trucking]]</f>
        <v>0</v>
      </c>
      <c r="BX34" s="81">
        <f>WWWW[[#This Row],['#_Constructed/Existing water distribution system from river or natural spring]]</f>
        <v>1</v>
      </c>
      <c r="BY34"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0.1285806037251124</v>
      </c>
      <c r="BZ34"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0.1285806037251124</v>
      </c>
      <c r="CA34" s="82">
        <f>IF(WWWW[[#This Row],[Location Type 1]]="Village",WWWW[[#This Row],[Access to safe drinking water for Village]],WWWW[[#This Row],[Access to safe drinking water for Camp]])</f>
        <v>0.1285806037251124</v>
      </c>
      <c r="CB34" s="80">
        <f>WWWW[[#This Row],[%Equitable and continuous access to sufficient quantity of safe drinking water]]*WWWW[[#This Row],[Total PoP ]]</f>
        <v>66.733333333333334</v>
      </c>
      <c r="CC34" s="82">
        <f>IF((WWWW[[#This Row],['#_Constructed/Existing protected/fenced ponds]]*250)/WWWW[[#This Row],[Total PoP ]]&gt;1,1,(WWWW[[#This Row],['#_Constructed/Existing protected/fenced ponds]]*250)/WWWW[[#This Row],[Total PoP ]])</f>
        <v>1</v>
      </c>
      <c r="CD34" s="80">
        <f>WWWW[[#This Row],[% Access to unimproved water points]]*WWWW[[#This Row],[Total PoP ]]</f>
        <v>519</v>
      </c>
      <c r="CE34"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4"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519</v>
      </c>
      <c r="CG34" s="80">
        <f>WWWW[[#This Row],[HRP1]]/500</f>
        <v>1.038</v>
      </c>
      <c r="CH34" s="79">
        <f>1-WWWW[[#This Row],[% Equitable and continuous access to sufficient quantity of domestic water]]</f>
        <v>0</v>
      </c>
      <c r="CI34" s="80">
        <f>WWWW[[#This Row],[%equitable and continuous access to sufficient quantity of safe drinking and domestic water''s GAP]]*WWWW[[#This Row],[Total PoP ]]</f>
        <v>0</v>
      </c>
      <c r="CJ34" s="81">
        <f>IF(WWWW[[#This Row],[Total required water points]]-WWWW[[#This Row],['#Water points coverage]]&lt;0,0,WWWW[[#This Row],[Total required water points]]-WWWW[[#This Row],['#Water points coverage]])</f>
        <v>0</v>
      </c>
      <c r="CK34" s="81">
        <f>ROUND(IF(WWWW[[#This Row],[Total PoP ]]&lt;500,1,WWWW[[#This Row],[Total PoP ]]/500),0)</f>
        <v>1</v>
      </c>
      <c r="CL34" s="81">
        <f>(WWWW[[#This Row],['#_Constructed latrines_by_WASHAgencies]]+WWWW[[#This Row],['#_Non Cluster partner latrines]])-WWWW[[#This Row],['#_Non-functional latrines]]</f>
        <v>32</v>
      </c>
      <c r="CM34"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34"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519</v>
      </c>
      <c r="CO34"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280</v>
      </c>
      <c r="CP34" s="81">
        <f>IF(WWWW[[#This Row],[Location Type 1]]="Village","NA",IF(WWWW[[#This Row],['#_Constructed/Existing latrines in TLS]]*50&gt;WWWW[[#This Row],['#_students at TLS_CFS]],WWWW[[#This Row],['#_students at TLS_CFS]],(WWWW[[#This Row],['#_Constructed/Existing latrines in TLS]]*50)))</f>
        <v>28</v>
      </c>
      <c r="CQ34" s="81">
        <f>ROUND(IF(WWWW[[#This Row],[Location Type 1]]="camp",WWWW[[#This Row],[Total PoP ]]/20,IF(WWWW[[#This Row],[Location Type 1]]="Temporary Location",WWWW[[#This Row],[Total PoP ]]/50,(WWWW[[#This Row],[Total PoP ]]/6))),0)</f>
        <v>26</v>
      </c>
      <c r="CR34" s="80">
        <f>IF(WWWW[[#This Row],[Total required Latrines]]-(WWWW[[#This Row],['#_Constructed latrines_by_WASHAgencies]]+WWWW[[#This Row],['#_Non Cluster partner latrines]])&lt;0,0,WWWW[[#This Row],[Total required Latrines]]-(WWWW[[#This Row],['#_Constructed latrines_by_WASHAgencies]]+WWWW[[#This Row],['#_Non Cluster partner latrines]]))</f>
        <v>0</v>
      </c>
      <c r="CS34" s="79">
        <f>1-WWWW[[#This Row],[% people access to functioning Latrine]]</f>
        <v>0</v>
      </c>
      <c r="CT34" s="83">
        <f>IF(OR(WWWW[[#This Row],['#_Non-functional latrines]]="",WWWW[[#This Row],['#_Non-functional latrines]]=0),0,WWWW[[#This Row],['#_Non-functional latrines]]/(WWWW[[#This Row],['#_Constructed latrines_by_WASHAgencies]]+WWWW[[#This Row],['#_Non Cluster partner latrines]]))</f>
        <v>5.8823529411764705E-2</v>
      </c>
      <c r="CU34" s="80">
        <f>IF(500*(WWWW[[#This Row],['#_male hygiene promoters]]+WWWW[[#This Row],['#_female hygiene promoters]])&gt;WWWW[[#This Row],[Total PoP ]],WWWW[[#This Row],[Total PoP ]],500*(WWWW[[#This Row],['#_male hygiene promoters]]+WWWW[[#This Row],['#_female hygiene promoters]]))</f>
        <v>519</v>
      </c>
      <c r="CV34"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4"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4" s="81">
        <f>IF(WWWW[[#This Row],['# People with access to soap]]&gt;WWWW[[#This Row],['# People with access to Sanity Pads]],WWWW[[#This Row],['# People with access to soap]],WWWW[[#This Row],['# People with access to Sanity Pads]])</f>
        <v>0</v>
      </c>
      <c r="CY34" s="81">
        <f>IF(WWWW[[#This Row],['# people reached by regular dedicated hygiene promotion_5]]&gt;WWWW[[#This Row],['# People received regular supply of hygiene items_6]],WWWW[[#This Row],['# people reached by regular dedicated hygiene promotion_5]],WWWW[[#This Row],['# People received regular supply of hygiene items_6]])</f>
        <v>519</v>
      </c>
      <c r="CZ34" s="79">
        <f>IF(WWWW[[#This Row],[HRP3]]/WWWW[[#This Row],[Total PoP ]]&gt;100%,100%,WWWW[[#This Row],[HRP3]]/WWWW[[#This Row],[Total PoP ]])</f>
        <v>1</v>
      </c>
      <c r="DA34" s="83">
        <f>1-WWWW[[#This Row],[Hygiene Coverage%]]</f>
        <v>0</v>
      </c>
      <c r="DB34" s="82">
        <f>WWWW[[#This Row],['# people reached by regular dedicated hygiene promotion_5]]/WWWW[[#This Row],[Total PoP ]]</f>
        <v>1</v>
      </c>
      <c r="DC34" s="82">
        <f>IF(WWWW[[#This Row],['#_households that received standard amount of soap for this quarter]]/WWWW[[#This Row],[Total HH]]&gt;1,1,WWWW[[#This Row],['#_households that received standard amount of soap for this quarter]]/WWWW[[#This Row],[Total HH]])</f>
        <v>0</v>
      </c>
      <c r="DD34" s="82">
        <f>IF(WWWW[[#This Row],['#_households that received standard amount of sanitary pads for this quarter]]/WWWW[[#This Row],[Total HH]]&gt;1,1,WWWW[[#This Row],['#_households that received standard amount of sanitary pads for this quarter]]/WWWW[[#This Row],[Total HH]])</f>
        <v>0</v>
      </c>
      <c r="DE34" s="81">
        <f>WWWW[[#This Row],['#_Constructed/Existing hand washing stations]]-WWWW[[#This Row],['#_Non-Functional_hand_washing_stations]]</f>
        <v>5</v>
      </c>
      <c r="DF34" s="667">
        <f>IF(WWWW[[#This Row],['# Functional hand washing stations during reporting period]]*20&gt;WWWW[[#This Row],[Total HH]],WWWW[[#This Row],[Total HH]],WWWW[[#This Row],['# Functional hand washing stations during reporting period]]*20)</f>
        <v>100</v>
      </c>
      <c r="DG34" s="80">
        <f>IF(WWWW[[#This Row],[Is sufficient soap available for TLS? (Yes/No)]]="yes",WWWW[[#This Row],['#_Constructed/Existing hand washing stations at TLS]],0)</f>
        <v>0</v>
      </c>
      <c r="DH34" s="667">
        <f>IF(WWWW[[#This Row],['# Functional hand washing stations during reporting period]]*100&gt;WWWW[[#This Row],[Total PoP ]],WWWW[[#This Row],[Total PoP ]],WWWW[[#This Row],['# Functional hand washing stations during reporting period]]*100)</f>
        <v>500</v>
      </c>
      <c r="DI34" s="667" t="str">
        <f>IF(WWWW[[#This Row],['#_students at TLS_CFS]]="","No","Yes")</f>
        <v>Yes</v>
      </c>
      <c r="DJ34" s="245" t="str">
        <f>VLOOKUP(WWWW[[#This Row],[Site Name]],SiteDB6[[Site Name]:[CCCM Management]],6,FALSE)</f>
        <v>Yes</v>
      </c>
      <c r="DK34" s="245" t="str">
        <f>VLOOKUP(WWWW[[#This Row],[Site Name]],SiteDB6[[Site Name]:[CCCM Focal Agency]],7,FALSE)</f>
        <v>KBC</v>
      </c>
      <c r="DL34" s="245" t="str">
        <f>VLOOKUP(WWWW[[#This Row],[Site Name]],SiteDB6[[Site Name]:[Location Type 1]],9,FALSE)</f>
        <v>Camp</v>
      </c>
      <c r="DM34" s="245" t="str">
        <f>VLOOKUP(WWWW[[#This Row],[Site Name]],SiteDB6[[Site Name]:[Type of Accommodation]],10,FALSE)</f>
        <v>Camp</v>
      </c>
      <c r="DN34" s="245" t="str">
        <f>VLOOKUP(WWWW[[#This Row],[Site Name]],SiteDB6[[Site Name]:[Ethnic or GCA/NGCA]],11,FALSE)</f>
        <v>GCA</v>
      </c>
      <c r="DO34" s="245">
        <f>VLOOKUP(WWWW[[#This Row],[Site Name]],SiteDB6[[Site Name]:[Lat]],12,FALSE)</f>
        <v>25.611160000000002</v>
      </c>
      <c r="DP34" s="245">
        <f>VLOOKUP(WWWW[[#This Row],[Site Name]],SiteDB6[[Site Name]:[Long]],13,FALSE)</f>
        <v>96.312790000000007</v>
      </c>
      <c r="DQ34" s="245" t="str">
        <f>VLOOKUP(WWWW[[#This Row],[Site Name]],SiteDB6[[Site Name]:[Pcode]],3,FALSE)</f>
        <v>MMR001CMP229</v>
      </c>
      <c r="DR34" s="215" t="str">
        <f t="shared" si="1"/>
        <v>Covered</v>
      </c>
      <c r="DS34" s="215"/>
      <c r="DT34" s="20"/>
      <c r="DU34" s="20"/>
      <c r="DV34" s="20"/>
      <c r="DW34" s="20"/>
      <c r="DX34" s="20"/>
      <c r="DY34" s="20"/>
      <c r="DZ34" s="20"/>
      <c r="EA34" s="20"/>
      <c r="EB34" s="20"/>
      <c r="EC34" s="20"/>
      <c r="ED34" s="20"/>
      <c r="EE34" s="20"/>
      <c r="EF34" s="20"/>
      <c r="EG34" s="20"/>
      <c r="EH34" s="20"/>
    </row>
    <row r="35" spans="1:138" ht="15.75" customHeight="1">
      <c r="A35" s="259" t="s">
        <v>2525</v>
      </c>
      <c r="B35" s="259" t="s">
        <v>149</v>
      </c>
      <c r="C35" s="663" t="s">
        <v>149</v>
      </c>
      <c r="D35" s="663" t="s">
        <v>158</v>
      </c>
      <c r="E35" s="663" t="s">
        <v>39</v>
      </c>
      <c r="F35" s="663" t="s">
        <v>156</v>
      </c>
      <c r="G35" s="663" t="str">
        <f>VLOOKUP(WWWW[[#This Row],[Site Name]],SiteDB6[[Site Name]:[Location Type]],8,FALSE)</f>
        <v>Camp</v>
      </c>
      <c r="H35" s="663" t="s">
        <v>157</v>
      </c>
      <c r="I35" s="700">
        <v>31</v>
      </c>
      <c r="J35" s="700">
        <v>132</v>
      </c>
      <c r="K35" s="642">
        <v>43556</v>
      </c>
      <c r="L35" s="78">
        <v>43677</v>
      </c>
      <c r="M35" s="700"/>
      <c r="N35" s="700"/>
      <c r="O35" s="700"/>
      <c r="P35" s="700"/>
      <c r="Q35" s="77" t="s">
        <v>43</v>
      </c>
      <c r="R35" s="377"/>
      <c r="S35" s="377"/>
      <c r="T35" s="700">
        <v>0</v>
      </c>
      <c r="U35" s="377"/>
      <c r="V35" s="377"/>
      <c r="W35" s="700">
        <v>1</v>
      </c>
      <c r="X35" s="377"/>
      <c r="Y35" s="377"/>
      <c r="Z35" s="377"/>
      <c r="AA35" s="377"/>
      <c r="AB35" s="377"/>
      <c r="AC35" s="377"/>
      <c r="AD35" s="377"/>
      <c r="AE35" s="377"/>
      <c r="AF35" s="377"/>
      <c r="AG35" s="377"/>
      <c r="AH35" s="700">
        <v>0</v>
      </c>
      <c r="AI35" s="377"/>
      <c r="AJ35" s="377"/>
      <c r="AK35" s="377"/>
      <c r="AL35" s="377"/>
      <c r="AM35" s="377"/>
      <c r="AN35" s="377"/>
      <c r="AO35" s="215"/>
      <c r="AP35" s="700">
        <v>9</v>
      </c>
      <c r="AQ35" s="377"/>
      <c r="AR35" s="77"/>
      <c r="AS35" s="377"/>
      <c r="AT35" s="377"/>
      <c r="AU35" s="377"/>
      <c r="AV35" s="377"/>
      <c r="AW35" s="700">
        <v>9</v>
      </c>
      <c r="AX35" s="245" t="s">
        <v>43</v>
      </c>
      <c r="AY35" s="245" t="s">
        <v>145</v>
      </c>
      <c r="AZ35" s="377"/>
      <c r="BA35" s="377"/>
      <c r="BB35" s="377"/>
      <c r="BC35" s="215"/>
      <c r="BD35" s="377"/>
      <c r="BE35" s="377"/>
      <c r="BF35" s="377"/>
      <c r="BG35" s="377">
        <v>2</v>
      </c>
      <c r="BH35" s="377"/>
      <c r="BI35" s="377"/>
      <c r="BJ35" s="377">
        <v>1</v>
      </c>
      <c r="BK35" s="377"/>
      <c r="BL35" s="377"/>
      <c r="BM35" s="215"/>
      <c r="BN35" s="80"/>
      <c r="BO35" s="82"/>
      <c r="BP35" s="215"/>
      <c r="BQ35" s="79" t="str">
        <f>IFERROR(WWWW[[#This Row],['#_Water sources treated]]/WWWW[[#This Row],['#_Water sources tested for contamination]],"no test")</f>
        <v>no test</v>
      </c>
      <c r="BR35" s="82" t="str">
        <f>IFERROR(WWWW[[#This Row],['#_Household received remediation action due to contamination]]/WWWW[[#This Row],['#_Household water samples tested for contamination]],"no test")</f>
        <v>no test</v>
      </c>
      <c r="BS35" s="81" t="str">
        <f>IF(AND(WWWW[[#This Row],[% of water sources treated]]="no test",WWWW[[#This Row],[% Household received corrective actions]]="no test"),"No Test","Tested")</f>
        <v>No Test</v>
      </c>
      <c r="BT35" s="81">
        <f>WWWW[[#This Row],['#_Constructed/existing protected hand dug well]]-WWWW[[#This Row],['#_Non-functional protected hand dug well]]</f>
        <v>0</v>
      </c>
      <c r="BU35" s="81">
        <f>(WWWW[[#This Row],['#_Constructed/Existing tube wells/boreholes/handpumps_WASH_agency]]+WWWW[[#This Row],['#_Non-Cluster partner water tube-wells/boreholes/handpumps]])-WWWW[[#This Row],['#_Non-functional tube wells/boreholes/handpumps]]</f>
        <v>1</v>
      </c>
      <c r="BV35" s="81">
        <f>WWWW[[#This Row],['#_Constructed/Existingwater storage tank with gravity fed reticulation system]]-WWWW[[#This Row],['#_Non-functional storage tank gravity fed reticulation system]]</f>
        <v>0</v>
      </c>
      <c r="BW35" s="81">
        <f>WWWW[[#This Row],['#_Water boating or water trucking]]</f>
        <v>0</v>
      </c>
      <c r="BX35" s="81">
        <f>WWWW[[#This Row],['#_Constructed/Existing water distribution system from river or natural spring]]</f>
        <v>0</v>
      </c>
      <c r="BY35"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35"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35" s="82">
        <f>IF(WWWW[[#This Row],[Location Type 1]]="Village",WWWW[[#This Row],[Access to safe drinking water for Village]],WWWW[[#This Row],[Access to safe drinking water for Camp]])</f>
        <v>1</v>
      </c>
      <c r="CB35" s="80">
        <f>WWWW[[#This Row],[%Equitable and continuous access to sufficient quantity of safe drinking water]]*WWWW[[#This Row],[Total PoP ]]</f>
        <v>132</v>
      </c>
      <c r="CC35" s="82">
        <f>IF((WWWW[[#This Row],['#_Constructed/Existing protected/fenced ponds]]*250)/WWWW[[#This Row],[Total PoP ]]&gt;1,1,(WWWW[[#This Row],['#_Constructed/Existing protected/fenced ponds]]*250)/WWWW[[#This Row],[Total PoP ]])</f>
        <v>0</v>
      </c>
      <c r="CD35" s="80">
        <f>WWWW[[#This Row],[% Access to unimproved water points]]*WWWW[[#This Row],[Total PoP ]]</f>
        <v>0</v>
      </c>
      <c r="CE35"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5"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132</v>
      </c>
      <c r="CG35" s="80">
        <f>WWWW[[#This Row],[HRP1]]/500</f>
        <v>0.26400000000000001</v>
      </c>
      <c r="CH35" s="79">
        <f>1-WWWW[[#This Row],[% Equitable and continuous access to sufficient quantity of domestic water]]</f>
        <v>0</v>
      </c>
      <c r="CI35" s="80">
        <f>WWWW[[#This Row],[%equitable and continuous access to sufficient quantity of safe drinking and domestic water''s GAP]]*WWWW[[#This Row],[Total PoP ]]</f>
        <v>0</v>
      </c>
      <c r="CJ35" s="81">
        <f>IF(WWWW[[#This Row],[Total required water points]]-WWWW[[#This Row],['#Water points coverage]]&lt;0,0,WWWW[[#This Row],[Total required water points]]-WWWW[[#This Row],['#Water points coverage]])</f>
        <v>0.73599999999999999</v>
      </c>
      <c r="CK35" s="81">
        <f>ROUND(IF(WWWW[[#This Row],[Total PoP ]]&lt;500,1,WWWW[[#This Row],[Total PoP ]]/500),0)</f>
        <v>1</v>
      </c>
      <c r="CL35" s="81">
        <f>(WWWW[[#This Row],['#_Constructed latrines_by_WASHAgencies]]+WWWW[[#This Row],['#_Non Cluster partner latrines]])-WWWW[[#This Row],['#_Non-functional latrines]]</f>
        <v>9</v>
      </c>
      <c r="CM35"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35"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132</v>
      </c>
      <c r="CO35"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35" s="81">
        <f>IF(WWWW[[#This Row],[Location Type 1]]="Village","NA",IF(WWWW[[#This Row],['#_Constructed/Existing latrines in TLS]]*50&gt;WWWW[[#This Row],['#_students at TLS_CFS]],WWWW[[#This Row],['#_students at TLS_CFS]],(WWWW[[#This Row],['#_Constructed/Existing latrines in TLS]]*50)))</f>
        <v>0</v>
      </c>
      <c r="CQ35" s="81">
        <f>ROUND(IF(WWWW[[#This Row],[Location Type 1]]="camp",WWWW[[#This Row],[Total PoP ]]/20,IF(WWWW[[#This Row],[Location Type 1]]="Temporary Location",WWWW[[#This Row],[Total PoP ]]/50,(WWWW[[#This Row],[Total PoP ]]/6))),0)</f>
        <v>7</v>
      </c>
      <c r="CR35" s="80">
        <f>IF(WWWW[[#This Row],[Total required Latrines]]-(WWWW[[#This Row],['#_Constructed latrines_by_WASHAgencies]]+WWWW[[#This Row],['#_Non Cluster partner latrines]])&lt;0,0,WWWW[[#This Row],[Total required Latrines]]-(WWWW[[#This Row],['#_Constructed latrines_by_WASHAgencies]]+WWWW[[#This Row],['#_Non Cluster partner latrines]]))</f>
        <v>0</v>
      </c>
      <c r="CS35" s="79">
        <f>1-WWWW[[#This Row],[% people access to functioning Latrine]]</f>
        <v>0</v>
      </c>
      <c r="CT35" s="83">
        <f>IF(OR(WWWW[[#This Row],['#_Non-functional latrines]]="",WWWW[[#This Row],['#_Non-functional latrines]]=0),0,WWWW[[#This Row],['#_Non-functional latrines]]/(WWWW[[#This Row],['#_Constructed latrines_by_WASHAgencies]]+WWWW[[#This Row],['#_Non Cluster partner latrines]]))</f>
        <v>0</v>
      </c>
      <c r="CU35" s="80">
        <f>IF(500*(WWWW[[#This Row],['#_male hygiene promoters]]+WWWW[[#This Row],['#_female hygiene promoters]])&gt;WWWW[[#This Row],[Total PoP ]],WWWW[[#This Row],[Total PoP ]],500*(WWWW[[#This Row],['#_male hygiene promoters]]+WWWW[[#This Row],['#_female hygiene promoters]]))</f>
        <v>132</v>
      </c>
      <c r="CV35"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5"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5" s="81">
        <f>IF(WWWW[[#This Row],['# People with access to soap]]&gt;WWWW[[#This Row],['# People with access to Sanity Pads]],WWWW[[#This Row],['# People with access to soap]],WWWW[[#This Row],['# People with access to Sanity Pads]])</f>
        <v>0</v>
      </c>
      <c r="CY35" s="81">
        <f>IF(WWWW[[#This Row],['# people reached by regular dedicated hygiene promotion_5]]&gt;WWWW[[#This Row],['# People received regular supply of hygiene items_6]],WWWW[[#This Row],['# people reached by regular dedicated hygiene promotion_5]],WWWW[[#This Row],['# People received regular supply of hygiene items_6]])</f>
        <v>132</v>
      </c>
      <c r="CZ35" s="79">
        <f>IF(WWWW[[#This Row],[HRP3]]/WWWW[[#This Row],[Total PoP ]]&gt;100%,100%,WWWW[[#This Row],[HRP3]]/WWWW[[#This Row],[Total PoP ]])</f>
        <v>1</v>
      </c>
      <c r="DA35" s="83">
        <f>1-WWWW[[#This Row],[Hygiene Coverage%]]</f>
        <v>0</v>
      </c>
      <c r="DB35" s="82">
        <f>WWWW[[#This Row],['# people reached by regular dedicated hygiene promotion_5]]/WWWW[[#This Row],[Total PoP ]]</f>
        <v>1</v>
      </c>
      <c r="DC35" s="82">
        <f>IF(WWWW[[#This Row],['#_households that received standard amount of soap for this quarter]]/WWWW[[#This Row],[Total HH]]&gt;1,1,WWWW[[#This Row],['#_households that received standard amount of soap for this quarter]]/WWWW[[#This Row],[Total HH]])</f>
        <v>0</v>
      </c>
      <c r="DD35" s="82">
        <f>IF(WWWW[[#This Row],['#_households that received standard amount of sanitary pads for this quarter]]/WWWW[[#This Row],[Total HH]]&gt;1,1,WWWW[[#This Row],['#_households that received standard amount of sanitary pads for this quarter]]/WWWW[[#This Row],[Total HH]])</f>
        <v>0</v>
      </c>
      <c r="DE35" s="81">
        <f>WWWW[[#This Row],['#_Constructed/Existing hand washing stations]]-WWWW[[#This Row],['#_Non-Functional_hand_washing_stations]]</f>
        <v>0</v>
      </c>
      <c r="DF35" s="667">
        <f>IF(WWWW[[#This Row],['# Functional hand washing stations during reporting period]]*20&gt;WWWW[[#This Row],[Total HH]],WWWW[[#This Row],[Total HH]],WWWW[[#This Row],['# Functional hand washing stations during reporting period]]*20)</f>
        <v>0</v>
      </c>
      <c r="DG35" s="80">
        <f>IF(WWWW[[#This Row],[Is sufficient soap available for TLS? (Yes/No)]]="yes",WWWW[[#This Row],['#_Constructed/Existing hand washing stations at TLS]],0)</f>
        <v>0</v>
      </c>
      <c r="DH35" s="667">
        <f>IF(WWWW[[#This Row],['# Functional hand washing stations during reporting period]]*100&gt;WWWW[[#This Row],[Total PoP ]],WWWW[[#This Row],[Total PoP ]],WWWW[[#This Row],['# Functional hand washing stations during reporting period]]*100)</f>
        <v>0</v>
      </c>
      <c r="DI35" s="667" t="str">
        <f>IF(WWWW[[#This Row],['#_students at TLS_CFS]]="","No","Yes")</f>
        <v>No</v>
      </c>
      <c r="DJ35" s="245" t="str">
        <f>VLOOKUP(WWWW[[#This Row],[Site Name]],SiteDB6[[Site Name]:[CCCM Management]],6,FALSE)</f>
        <v>Yes</v>
      </c>
      <c r="DK35" s="245" t="str">
        <f>VLOOKUP(WWWW[[#This Row],[Site Name]],SiteDB6[[Site Name]:[CCCM Focal Agency]],7,FALSE)</f>
        <v>KBC</v>
      </c>
      <c r="DL35" s="245" t="str">
        <f>VLOOKUP(WWWW[[#This Row],[Site Name]],SiteDB6[[Site Name]:[Location Type 1]],9,FALSE)</f>
        <v>Camp</v>
      </c>
      <c r="DM35" s="245" t="str">
        <f>VLOOKUP(WWWW[[#This Row],[Site Name]],SiteDB6[[Site Name]:[Type of Accommodation]],10,FALSE)</f>
        <v>Camp</v>
      </c>
      <c r="DN35" s="245" t="str">
        <f>VLOOKUP(WWWW[[#This Row],[Site Name]],SiteDB6[[Site Name]:[Ethnic or GCA/NGCA]],11,FALSE)</f>
        <v>GCA</v>
      </c>
      <c r="DO35" s="245">
        <f>VLOOKUP(WWWW[[#This Row],[Site Name]],SiteDB6[[Site Name]:[Lat]],12,FALSE)</f>
        <v>25.51352</v>
      </c>
      <c r="DP35" s="245">
        <f>VLOOKUP(WWWW[[#This Row],[Site Name]],SiteDB6[[Site Name]:[Long]],13,FALSE)</f>
        <v>96.705960000000005</v>
      </c>
      <c r="DQ35" s="245" t="str">
        <f>VLOOKUP(WWWW[[#This Row],[Site Name]],SiteDB6[[Site Name]:[Pcode]],3,FALSE)</f>
        <v>MMR001CMP148</v>
      </c>
      <c r="DR35" s="215" t="str">
        <f t="shared" si="1"/>
        <v>Covered</v>
      </c>
      <c r="DS35" s="215"/>
      <c r="DT35" s="20"/>
      <c r="DU35" s="20"/>
      <c r="DV35" s="20"/>
      <c r="DW35" s="20"/>
      <c r="DX35" s="20"/>
      <c r="DY35" s="20"/>
      <c r="DZ35" s="20"/>
      <c r="EA35" s="20"/>
      <c r="EB35" s="20"/>
      <c r="EC35" s="20"/>
      <c r="ED35" s="20"/>
      <c r="EE35" s="20"/>
      <c r="EF35" s="20"/>
      <c r="EG35" s="20"/>
      <c r="EH35" s="20"/>
    </row>
    <row r="36" spans="1:138" ht="15.75" customHeight="1">
      <c r="A36" s="259" t="s">
        <v>2525</v>
      </c>
      <c r="B36" s="663" t="s">
        <v>38</v>
      </c>
      <c r="C36" s="663" t="s">
        <v>38</v>
      </c>
      <c r="D36" s="663" t="s">
        <v>328</v>
      </c>
      <c r="E36" s="663" t="s">
        <v>39</v>
      </c>
      <c r="F36" s="663" t="s">
        <v>167</v>
      </c>
      <c r="G36" s="663" t="str">
        <f>VLOOKUP(WWWW[[#This Row],[Site Name]],SiteDB6[[Site Name]:[Location Type]],8,FALSE)</f>
        <v>Camp</v>
      </c>
      <c r="H36" s="663" t="s">
        <v>1116</v>
      </c>
      <c r="I36" s="700">
        <v>14</v>
      </c>
      <c r="J36" s="700">
        <v>39</v>
      </c>
      <c r="K36" s="642">
        <v>43374</v>
      </c>
      <c r="L36" s="78">
        <v>43830</v>
      </c>
      <c r="M36" s="700"/>
      <c r="N36" s="700"/>
      <c r="O36" s="700"/>
      <c r="P36" s="700"/>
      <c r="Q36" s="663"/>
      <c r="R36" s="700"/>
      <c r="S36" s="700"/>
      <c r="T36" s="700"/>
      <c r="U36" s="700"/>
      <c r="V36" s="700"/>
      <c r="W36" s="700">
        <v>1</v>
      </c>
      <c r="X36" s="700"/>
      <c r="Y36" s="700"/>
      <c r="Z36" s="700"/>
      <c r="AA36" s="700"/>
      <c r="AB36" s="700"/>
      <c r="AC36" s="700"/>
      <c r="AD36" s="700"/>
      <c r="AE36" s="700"/>
      <c r="AF36" s="700"/>
      <c r="AG36" s="700"/>
      <c r="AH36" s="700"/>
      <c r="AI36" s="700"/>
      <c r="AJ36" s="700"/>
      <c r="AK36" s="700"/>
      <c r="AL36" s="700"/>
      <c r="AM36" s="700"/>
      <c r="AN36" s="700"/>
      <c r="AO36" s="667"/>
      <c r="AP36" s="719">
        <v>4</v>
      </c>
      <c r="AQ36" s="721"/>
      <c r="AR36" s="721"/>
      <c r="AS36" s="719"/>
      <c r="AT36" s="721"/>
      <c r="AU36" s="667"/>
      <c r="AV36" s="667"/>
      <c r="AW36" s="81"/>
      <c r="AX36" s="81" t="s">
        <v>144</v>
      </c>
      <c r="AY36" s="81" t="s">
        <v>144</v>
      </c>
      <c r="AZ36" s="81"/>
      <c r="BA36" s="81"/>
      <c r="BB36" s="667"/>
      <c r="BC36" s="667"/>
      <c r="BD36" s="667"/>
      <c r="BE36" s="667"/>
      <c r="BF36" s="667"/>
      <c r="BG36" s="719">
        <v>2</v>
      </c>
      <c r="BH36" s="667"/>
      <c r="BI36" s="719"/>
      <c r="BJ36" s="719">
        <v>1</v>
      </c>
      <c r="BK36" s="719">
        <v>14</v>
      </c>
      <c r="BL36" s="719">
        <v>9</v>
      </c>
      <c r="BM36" s="667"/>
      <c r="BN36" s="667"/>
      <c r="BO36" s="82"/>
      <c r="BP36" s="667"/>
      <c r="BQ36" s="79" t="str">
        <f>IFERROR(WWWW[[#This Row],['#_Water sources treated]]/WWWW[[#This Row],['#_Water sources tested for contamination]],"no test")</f>
        <v>no test</v>
      </c>
      <c r="BR36" s="82" t="str">
        <f>IFERROR(WWWW[[#This Row],['#_Household received remediation action due to contamination]]/WWWW[[#This Row],['#_Household water samples tested for contamination]],"no test")</f>
        <v>no test</v>
      </c>
      <c r="BS36" s="81" t="str">
        <f>IF(AND(WWWW[[#This Row],[% of water sources treated]]="no test",WWWW[[#This Row],[% Household received corrective actions]]="no test"),"No Test","Tested")</f>
        <v>No Test</v>
      </c>
      <c r="BT36" s="81">
        <f>WWWW[[#This Row],['#_Constructed/existing protected hand dug well]]-WWWW[[#This Row],['#_Non-functional protected hand dug well]]</f>
        <v>0</v>
      </c>
      <c r="BU36" s="81">
        <f>(WWWW[[#This Row],['#_Constructed/Existing tube wells/boreholes/handpumps_WASH_agency]]+WWWW[[#This Row],['#_Non-Cluster partner water tube-wells/boreholes/handpumps]])-WWWW[[#This Row],['#_Non-functional tube wells/boreholes/handpumps]]</f>
        <v>1</v>
      </c>
      <c r="BV36" s="81">
        <f>WWWW[[#This Row],['#_Constructed/Existingwater storage tank with gravity fed reticulation system]]-WWWW[[#This Row],['#_Non-functional storage tank gravity fed reticulation system]]</f>
        <v>0</v>
      </c>
      <c r="BW36" s="81">
        <f>WWWW[[#This Row],['#_Water boating or water trucking]]</f>
        <v>0</v>
      </c>
      <c r="BX36" s="81">
        <f>WWWW[[#This Row],['#_Constructed/Existing water distribution system from river or natural spring]]</f>
        <v>0</v>
      </c>
      <c r="BY36"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36"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36" s="82">
        <f>IF(WWWW[[#This Row],[Location Type 1]]="Village",WWWW[[#This Row],[Access to safe drinking water for Village]],WWWW[[#This Row],[Access to safe drinking water for Camp]])</f>
        <v>1</v>
      </c>
      <c r="CB36" s="80">
        <f>WWWW[[#This Row],[%Equitable and continuous access to sufficient quantity of safe drinking water]]*WWWW[[#This Row],[Total PoP ]]</f>
        <v>39</v>
      </c>
      <c r="CC36" s="82">
        <f>IF((WWWW[[#This Row],['#_Constructed/Existing protected/fenced ponds]]*250)/WWWW[[#This Row],[Total PoP ]]&gt;1,1,(WWWW[[#This Row],['#_Constructed/Existing protected/fenced ponds]]*250)/WWWW[[#This Row],[Total PoP ]])</f>
        <v>0</v>
      </c>
      <c r="CD36" s="80">
        <f>WWWW[[#This Row],[% Access to unimproved water points]]*WWWW[[#This Row],[Total PoP ]]</f>
        <v>0</v>
      </c>
      <c r="CE36"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6"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39</v>
      </c>
      <c r="CG36" s="80">
        <f>WWWW[[#This Row],[HRP1]]/500</f>
        <v>7.8E-2</v>
      </c>
      <c r="CH36" s="79">
        <f>1-WWWW[[#This Row],[% Equitable and continuous access to sufficient quantity of domestic water]]</f>
        <v>0</v>
      </c>
      <c r="CI36" s="80">
        <f>WWWW[[#This Row],[%equitable and continuous access to sufficient quantity of safe drinking and domestic water''s GAP]]*WWWW[[#This Row],[Total PoP ]]</f>
        <v>0</v>
      </c>
      <c r="CJ36" s="81">
        <f>IF(WWWW[[#This Row],[Total required water points]]-WWWW[[#This Row],['#Water points coverage]]&lt;0,0,WWWW[[#This Row],[Total required water points]]-WWWW[[#This Row],['#Water points coverage]])</f>
        <v>0.92200000000000004</v>
      </c>
      <c r="CK36" s="81">
        <f>ROUND(IF(WWWW[[#This Row],[Total PoP ]]&lt;500,1,WWWW[[#This Row],[Total PoP ]]/500),0)</f>
        <v>1</v>
      </c>
      <c r="CL36" s="81">
        <f>(WWWW[[#This Row],['#_Constructed latrines_by_WASHAgencies]]+WWWW[[#This Row],['#_Non Cluster partner latrines]])-WWWW[[#This Row],['#_Non-functional latrines]]</f>
        <v>4</v>
      </c>
      <c r="CM36"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36"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39</v>
      </c>
      <c r="CO36"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36" s="81">
        <f>IF(WWWW[[#This Row],[Location Type 1]]="Village","NA",IF(WWWW[[#This Row],['#_Constructed/Existing latrines in TLS]]*50&gt;WWWW[[#This Row],['#_students at TLS_CFS]],WWWW[[#This Row],['#_students at TLS_CFS]],(WWWW[[#This Row],['#_Constructed/Existing latrines in TLS]]*50)))</f>
        <v>0</v>
      </c>
      <c r="CQ36" s="81">
        <f>ROUND(IF(WWWW[[#This Row],[Location Type 1]]="camp",WWWW[[#This Row],[Total PoP ]]/20,IF(WWWW[[#This Row],[Location Type 1]]="Temporary Location",WWWW[[#This Row],[Total PoP ]]/50,(WWWW[[#This Row],[Total PoP ]]/6))),0)</f>
        <v>2</v>
      </c>
      <c r="CR36" s="80">
        <f>IF(WWWW[[#This Row],[Total required Latrines]]-(WWWW[[#This Row],['#_Constructed latrines_by_WASHAgencies]]+WWWW[[#This Row],['#_Non Cluster partner latrines]])&lt;0,0,WWWW[[#This Row],[Total required Latrines]]-(WWWW[[#This Row],['#_Constructed latrines_by_WASHAgencies]]+WWWW[[#This Row],['#_Non Cluster partner latrines]]))</f>
        <v>0</v>
      </c>
      <c r="CS36" s="79">
        <f>1-WWWW[[#This Row],[% people access to functioning Latrine]]</f>
        <v>0</v>
      </c>
      <c r="CT36" s="83">
        <f>IF(OR(WWWW[[#This Row],['#_Non-functional latrines]]="",WWWW[[#This Row],['#_Non-functional latrines]]=0),0,WWWW[[#This Row],['#_Non-functional latrines]]/(WWWW[[#This Row],['#_Constructed latrines_by_WASHAgencies]]+WWWW[[#This Row],['#_Non Cluster partner latrines]]))</f>
        <v>0</v>
      </c>
      <c r="CU36" s="80">
        <f>IF(500*(WWWW[[#This Row],['#_male hygiene promoters]]+WWWW[[#This Row],['#_female hygiene promoters]])&gt;WWWW[[#This Row],[Total PoP ]],WWWW[[#This Row],[Total PoP ]],500*(WWWW[[#This Row],['#_male hygiene promoters]]+WWWW[[#This Row],['#_female hygiene promoters]]))</f>
        <v>39</v>
      </c>
      <c r="CV36"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39</v>
      </c>
      <c r="CW36"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39</v>
      </c>
      <c r="CX36" s="81">
        <f>IF(WWWW[[#This Row],['# People with access to soap]]&gt;WWWW[[#This Row],['# People with access to Sanity Pads]],WWWW[[#This Row],['# People with access to soap]],WWWW[[#This Row],['# People with access to Sanity Pads]])</f>
        <v>39</v>
      </c>
      <c r="CY36" s="81">
        <f>IF(WWWW[[#This Row],['# people reached by regular dedicated hygiene promotion_5]]&gt;WWWW[[#This Row],['# People received regular supply of hygiene items_6]],WWWW[[#This Row],['# people reached by regular dedicated hygiene promotion_5]],WWWW[[#This Row],['# People received regular supply of hygiene items_6]])</f>
        <v>39</v>
      </c>
      <c r="CZ36" s="79">
        <f>IF(WWWW[[#This Row],[HRP3]]/WWWW[[#This Row],[Total PoP ]]&gt;100%,100%,WWWW[[#This Row],[HRP3]]/WWWW[[#This Row],[Total PoP ]])</f>
        <v>1</v>
      </c>
      <c r="DA36" s="83">
        <f>1-WWWW[[#This Row],[Hygiene Coverage%]]</f>
        <v>0</v>
      </c>
      <c r="DB36" s="82">
        <f>WWWW[[#This Row],['# people reached by regular dedicated hygiene promotion_5]]/WWWW[[#This Row],[Total PoP ]]</f>
        <v>1</v>
      </c>
      <c r="DC36" s="82">
        <f>IF(WWWW[[#This Row],['#_households that received standard amount of soap for this quarter]]/WWWW[[#This Row],[Total HH]]&gt;1,1,WWWW[[#This Row],['#_households that received standard amount of soap for this quarter]]/WWWW[[#This Row],[Total HH]])</f>
        <v>1</v>
      </c>
      <c r="DD36" s="82">
        <f>IF(WWWW[[#This Row],['#_households that received standard amount of sanitary pads for this quarter]]/WWWW[[#This Row],[Total HH]]&gt;1,1,WWWW[[#This Row],['#_households that received standard amount of sanitary pads for this quarter]]/WWWW[[#This Row],[Total HH]])</f>
        <v>0.6428571428571429</v>
      </c>
      <c r="DE36" s="81">
        <f>WWWW[[#This Row],['#_Constructed/Existing hand washing stations]]-WWWW[[#This Row],['#_Non-Functional_hand_washing_stations]]</f>
        <v>0</v>
      </c>
      <c r="DF36" s="667">
        <f>IF(WWWW[[#This Row],['# Functional hand washing stations during reporting period]]*20&gt;WWWW[[#This Row],[Total HH]],WWWW[[#This Row],[Total HH]],WWWW[[#This Row],['# Functional hand washing stations during reporting period]]*20)</f>
        <v>0</v>
      </c>
      <c r="DG36" s="80">
        <f>IF(WWWW[[#This Row],[Is sufficient soap available for TLS? (Yes/No)]]="yes",WWWW[[#This Row],['#_Constructed/Existing hand washing stations at TLS]],0)</f>
        <v>0</v>
      </c>
      <c r="DH36" s="667">
        <f>IF(WWWW[[#This Row],['# Functional hand washing stations during reporting period]]*100&gt;WWWW[[#This Row],[Total PoP ]],WWWW[[#This Row],[Total PoP ]],WWWW[[#This Row],['# Functional hand washing stations during reporting period]]*100)</f>
        <v>0</v>
      </c>
      <c r="DI36" s="667" t="str">
        <f>IF(WWWW[[#This Row],['#_students at TLS_CFS]]="","No","Yes")</f>
        <v>No</v>
      </c>
      <c r="DJ36" s="245">
        <f>VLOOKUP(WWWW[[#This Row],[Site Name]],SiteDB6[[Site Name]:[CCCM Management]],6,FALSE)</f>
        <v>0</v>
      </c>
      <c r="DK36" s="245" t="str">
        <f>VLOOKUP(WWWW[[#This Row],[Site Name]],SiteDB6[[Site Name]:[CCCM Focal Agency]],7,FALSE)</f>
        <v>KMSS-MYT</v>
      </c>
      <c r="DL36" s="245" t="str">
        <f>VLOOKUP(WWWW[[#This Row],[Site Name]],SiteDB6[[Site Name]:[Location Type 1]],9,FALSE)</f>
        <v>Camp</v>
      </c>
      <c r="DM36" s="245" t="str">
        <f>VLOOKUP(WWWW[[#This Row],[Site Name]],SiteDB6[[Site Name]:[Type of Accommodation]],10,FALSE)</f>
        <v>Camp</v>
      </c>
      <c r="DN36" s="245" t="str">
        <f>VLOOKUP(WWWW[[#This Row],[Site Name]],SiteDB6[[Site Name]:[Ethnic or GCA/NGCA]],11,FALSE)</f>
        <v>GCA</v>
      </c>
      <c r="DO36" s="245">
        <f>VLOOKUP(WWWW[[#This Row],[Site Name]],SiteDB6[[Site Name]:[Lat]],12,FALSE)</f>
        <v>0</v>
      </c>
      <c r="DP36" s="245">
        <f>VLOOKUP(WWWW[[#This Row],[Site Name]],SiteDB6[[Site Name]:[Long]],13,FALSE)</f>
        <v>0</v>
      </c>
      <c r="DQ36" s="245" t="str">
        <f>VLOOKUP(WWWW[[#This Row],[Site Name]],SiteDB6[[Site Name]:[Pcode]],3,FALSE)</f>
        <v>MMR001CMP256</v>
      </c>
      <c r="DR36" s="215" t="str">
        <f t="shared" si="1"/>
        <v>Covered</v>
      </c>
      <c r="DS36" s="215"/>
      <c r="DT36" s="20"/>
      <c r="DU36" s="20"/>
      <c r="DV36" s="20"/>
      <c r="DW36" s="20"/>
      <c r="DX36" s="20"/>
      <c r="DY36" s="20"/>
      <c r="DZ36" s="20"/>
      <c r="EA36" s="20"/>
      <c r="EB36" s="20"/>
      <c r="EC36" s="20"/>
      <c r="ED36" s="20"/>
      <c r="EE36" s="20"/>
      <c r="EF36" s="20"/>
      <c r="EG36" s="20"/>
      <c r="EH36" s="20"/>
    </row>
    <row r="37" spans="1:138" ht="15.75" customHeight="1">
      <c r="A37" s="259" t="s">
        <v>2525</v>
      </c>
      <c r="B37" s="663" t="s">
        <v>250</v>
      </c>
      <c r="C37" s="663" t="s">
        <v>250</v>
      </c>
      <c r="D37" s="663" t="s">
        <v>315</v>
      </c>
      <c r="E37" s="663" t="s">
        <v>39</v>
      </c>
      <c r="F37" s="663" t="s">
        <v>156</v>
      </c>
      <c r="G37" s="663" t="str">
        <f>VLOOKUP(WWWW[[#This Row],[Site Name]],SiteDB6[[Site Name]:[Location Type]],8,FALSE)</f>
        <v>Camp</v>
      </c>
      <c r="H37" s="663" t="s">
        <v>251</v>
      </c>
      <c r="I37" s="700">
        <v>123</v>
      </c>
      <c r="J37" s="700">
        <v>672</v>
      </c>
      <c r="K37" s="642">
        <v>43313</v>
      </c>
      <c r="L37" s="78">
        <v>44043</v>
      </c>
      <c r="M37" s="700">
        <v>23</v>
      </c>
      <c r="N37" s="700">
        <v>2</v>
      </c>
      <c r="O37" s="700">
        <v>0</v>
      </c>
      <c r="P37" s="700">
        <v>0</v>
      </c>
      <c r="Q37" s="663" t="s">
        <v>43</v>
      </c>
      <c r="R37" s="377">
        <v>1</v>
      </c>
      <c r="S37" s="377">
        <v>2</v>
      </c>
      <c r="T37" s="377">
        <v>0</v>
      </c>
      <c r="U37" s="377">
        <v>0</v>
      </c>
      <c r="V37" s="377">
        <v>0</v>
      </c>
      <c r="W37" s="377">
        <v>0</v>
      </c>
      <c r="X37" s="377">
        <v>0</v>
      </c>
      <c r="Y37" s="377">
        <v>0</v>
      </c>
      <c r="Z37" s="377">
        <v>0</v>
      </c>
      <c r="AA37" s="700">
        <v>1</v>
      </c>
      <c r="AB37" s="377">
        <v>0</v>
      </c>
      <c r="AC37" s="377">
        <v>1</v>
      </c>
      <c r="AD37" s="377">
        <v>0</v>
      </c>
      <c r="AE37" s="377">
        <v>1</v>
      </c>
      <c r="AF37" s="377">
        <v>1</v>
      </c>
      <c r="AG37" s="377">
        <v>0</v>
      </c>
      <c r="AH37" s="377">
        <v>0</v>
      </c>
      <c r="AI37" s="377"/>
      <c r="AJ37" s="377"/>
      <c r="AK37" s="377"/>
      <c r="AL37" s="377"/>
      <c r="AM37" s="377">
        <v>0</v>
      </c>
      <c r="AN37" s="377">
        <v>0</v>
      </c>
      <c r="AO37" s="215"/>
      <c r="AP37" s="377">
        <v>18</v>
      </c>
      <c r="AQ37" s="377">
        <v>1</v>
      </c>
      <c r="AR37" s="77" t="s">
        <v>3129</v>
      </c>
      <c r="AS37" s="377">
        <v>1</v>
      </c>
      <c r="AT37" s="377">
        <v>0</v>
      </c>
      <c r="AU37" s="377">
        <v>0</v>
      </c>
      <c r="AV37" s="377"/>
      <c r="AW37" s="700">
        <v>0</v>
      </c>
      <c r="AX37" s="694" t="s">
        <v>43</v>
      </c>
      <c r="AY37" s="245" t="s">
        <v>145</v>
      </c>
      <c r="AZ37" s="377">
        <v>0</v>
      </c>
      <c r="BA37" s="377">
        <v>0</v>
      </c>
      <c r="BB37" s="377">
        <v>0</v>
      </c>
      <c r="BC37" s="215"/>
      <c r="BD37" s="377">
        <v>3</v>
      </c>
      <c r="BE37" s="377">
        <v>5</v>
      </c>
      <c r="BF37" s="377">
        <v>0</v>
      </c>
      <c r="BG37" s="377">
        <v>4</v>
      </c>
      <c r="BH37" s="377"/>
      <c r="BI37" s="377">
        <v>1</v>
      </c>
      <c r="BJ37" s="377">
        <v>2</v>
      </c>
      <c r="BK37" s="377">
        <v>0</v>
      </c>
      <c r="BL37" s="377">
        <v>0</v>
      </c>
      <c r="BM37" s="215" t="s">
        <v>144</v>
      </c>
      <c r="BN37" s="80">
        <v>0</v>
      </c>
      <c r="BO37" s="82">
        <v>0.05</v>
      </c>
      <c r="BP37" s="215"/>
      <c r="BQ37" s="79" t="str">
        <f>IFERROR(WWWW[[#This Row],['#_Water sources treated]]/WWWW[[#This Row],['#_Water sources tested for contamination]],"no test")</f>
        <v>no test</v>
      </c>
      <c r="BR37" s="82" t="str">
        <f>IFERROR(WWWW[[#This Row],['#_Household received remediation action due to contamination]]/WWWW[[#This Row],['#_Household water samples tested for contamination]],"no test")</f>
        <v>no test</v>
      </c>
      <c r="BS37" s="81" t="str">
        <f>IF(AND(WWWW[[#This Row],[% of water sources treated]]="no test",WWWW[[#This Row],[% Household received corrective actions]]="no test"),"No Test","Tested")</f>
        <v>No Test</v>
      </c>
      <c r="BT37" s="81">
        <f>WWWW[[#This Row],['#_Constructed/existing protected hand dug well]]-WWWW[[#This Row],['#_Non-functional protected hand dug well]]</f>
        <v>0</v>
      </c>
      <c r="BU37" s="81">
        <f>(WWWW[[#This Row],['#_Constructed/Existing tube wells/boreholes/handpumps_WASH_agency]]+WWWW[[#This Row],['#_Non-Cluster partner water tube-wells/boreholes/handpumps]])-WWWW[[#This Row],['#_Non-functional tube wells/boreholes/handpumps]]</f>
        <v>0</v>
      </c>
      <c r="BV37" s="81">
        <f>WWWW[[#This Row],['#_Constructed/Existingwater storage tank with gravity fed reticulation system]]-WWWW[[#This Row],['#_Non-functional storage tank gravity fed reticulation system]]</f>
        <v>1</v>
      </c>
      <c r="BW37" s="81">
        <f>WWWW[[#This Row],['#_Water boating or water trucking]]</f>
        <v>0</v>
      </c>
      <c r="BX37" s="81">
        <f>WWWW[[#This Row],['#_Constructed/Existing water distribution system from river or natural spring]]</f>
        <v>1</v>
      </c>
      <c r="BY37"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9.9305555555555564E-2</v>
      </c>
      <c r="BZ37"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9.9305555555555564E-2</v>
      </c>
      <c r="CA37" s="82">
        <f>IF(WWWW[[#This Row],[Location Type 1]]="Village",WWWW[[#This Row],[Access to safe drinking water for Village]],WWWW[[#This Row],[Access to safe drinking water for Camp]])</f>
        <v>9.9305555555555564E-2</v>
      </c>
      <c r="CB37" s="80">
        <f>WWWW[[#This Row],[%Equitable and continuous access to sufficient quantity of safe drinking water]]*WWWW[[#This Row],[Total PoP ]]</f>
        <v>66.733333333333334</v>
      </c>
      <c r="CC37" s="82">
        <f>IF((WWWW[[#This Row],['#_Constructed/Existing protected/fenced ponds]]*250)/WWWW[[#This Row],[Total PoP ]]&gt;1,1,(WWWW[[#This Row],['#_Constructed/Existing protected/fenced ponds]]*250)/WWWW[[#This Row],[Total PoP ]])</f>
        <v>0.37202380952380953</v>
      </c>
      <c r="CD37" s="80">
        <f>WWWW[[#This Row],[% Access to unimproved water points]]*WWWW[[#This Row],[Total PoP ]]</f>
        <v>250</v>
      </c>
      <c r="CE37"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0.47132936507936507</v>
      </c>
      <c r="CF37"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316.73333333333335</v>
      </c>
      <c r="CG37" s="80">
        <f>WWWW[[#This Row],[HRP1]]/500</f>
        <v>0.63346666666666673</v>
      </c>
      <c r="CH37" s="79">
        <f>1-WWWW[[#This Row],[% Equitable and continuous access to sufficient quantity of domestic water]]</f>
        <v>0.52867063492063493</v>
      </c>
      <c r="CI37" s="80">
        <f>WWWW[[#This Row],[%equitable and continuous access to sufficient quantity of safe drinking and domestic water''s GAP]]*WWWW[[#This Row],[Total PoP ]]</f>
        <v>355.26666666666665</v>
      </c>
      <c r="CJ37" s="81">
        <f>IF(WWWW[[#This Row],[Total required water points]]-WWWW[[#This Row],['#Water points coverage]]&lt;0,0,WWWW[[#This Row],[Total required water points]]-WWWW[[#This Row],['#Water points coverage]])</f>
        <v>0.36653333333333327</v>
      </c>
      <c r="CK37" s="81">
        <f>ROUND(IF(WWWW[[#This Row],[Total PoP ]]&lt;500,1,WWWW[[#This Row],[Total PoP ]]/500),0)</f>
        <v>1</v>
      </c>
      <c r="CL37" s="81">
        <f>(WWWW[[#This Row],['#_Constructed latrines_by_WASHAgencies]]+WWWW[[#This Row],['#_Non Cluster partner latrines]])-WWWW[[#This Row],['#_Non-functional latrines]]</f>
        <v>18</v>
      </c>
      <c r="CM37"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0.5357142857142857</v>
      </c>
      <c r="CN37"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360</v>
      </c>
      <c r="CO37"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37" s="81">
        <f>IF(WWWW[[#This Row],[Location Type 1]]="Village","NA",IF(WWWW[[#This Row],['#_Constructed/Existing latrines in TLS]]*50&gt;WWWW[[#This Row],['#_students at TLS_CFS]],WWWW[[#This Row],['#_students at TLS_CFS]],(WWWW[[#This Row],['#_Constructed/Existing latrines in TLS]]*50)))</f>
        <v>0</v>
      </c>
      <c r="CQ37" s="81">
        <f>ROUND(IF(WWWW[[#This Row],[Location Type 1]]="camp",WWWW[[#This Row],[Total PoP ]]/20,IF(WWWW[[#This Row],[Location Type 1]]="Temporary Location",WWWW[[#This Row],[Total PoP ]]/50,(WWWW[[#This Row],[Total PoP ]]/6))),0)</f>
        <v>34</v>
      </c>
      <c r="CR37" s="80">
        <f>IF(WWWW[[#This Row],[Total required Latrines]]-(WWWW[[#This Row],['#_Constructed latrines_by_WASHAgencies]]+WWWW[[#This Row],['#_Non Cluster partner latrines]])&lt;0,0,WWWW[[#This Row],[Total required Latrines]]-(WWWW[[#This Row],['#_Constructed latrines_by_WASHAgencies]]+WWWW[[#This Row],['#_Non Cluster partner latrines]]))</f>
        <v>15</v>
      </c>
      <c r="CS37" s="79">
        <f>1-WWWW[[#This Row],[% people access to functioning Latrine]]</f>
        <v>0.4642857142857143</v>
      </c>
      <c r="CT37" s="83">
        <f>IF(OR(WWWW[[#This Row],['#_Non-functional latrines]]="",WWWW[[#This Row],['#_Non-functional latrines]]=0),0,WWWW[[#This Row],['#_Non-functional latrines]]/(WWWW[[#This Row],['#_Constructed latrines_by_WASHAgencies]]+WWWW[[#This Row],['#_Non Cluster partner latrines]]))</f>
        <v>5.2631578947368418E-2</v>
      </c>
      <c r="CU37" s="80">
        <f>IF(500*(WWWW[[#This Row],['#_male hygiene promoters]]+WWWW[[#This Row],['#_female hygiene promoters]])&gt;WWWW[[#This Row],[Total PoP ]],WWWW[[#This Row],[Total PoP ]],500*(WWWW[[#This Row],['#_male hygiene promoters]]+WWWW[[#This Row],['#_female hygiene promoters]]))</f>
        <v>672</v>
      </c>
      <c r="CV37"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7"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7" s="81">
        <f>IF(WWWW[[#This Row],['# People with access to soap]]&gt;WWWW[[#This Row],['# People with access to Sanity Pads]],WWWW[[#This Row],['# People with access to soap]],WWWW[[#This Row],['# People with access to Sanity Pads]])</f>
        <v>0</v>
      </c>
      <c r="CY37" s="81">
        <f>IF(WWWW[[#This Row],['# people reached by regular dedicated hygiene promotion_5]]&gt;WWWW[[#This Row],['# People received regular supply of hygiene items_6]],WWWW[[#This Row],['# people reached by regular dedicated hygiene promotion_5]],WWWW[[#This Row],['# People received regular supply of hygiene items_6]])</f>
        <v>672</v>
      </c>
      <c r="CZ37" s="79">
        <f>IF(WWWW[[#This Row],[HRP3]]/WWWW[[#This Row],[Total PoP ]]&gt;100%,100%,WWWW[[#This Row],[HRP3]]/WWWW[[#This Row],[Total PoP ]])</f>
        <v>1</v>
      </c>
      <c r="DA37" s="83">
        <f>1-WWWW[[#This Row],[Hygiene Coverage%]]</f>
        <v>0</v>
      </c>
      <c r="DB37" s="82">
        <f>WWWW[[#This Row],['# people reached by regular dedicated hygiene promotion_5]]/WWWW[[#This Row],[Total PoP ]]</f>
        <v>1</v>
      </c>
      <c r="DC37" s="82">
        <f>IF(WWWW[[#This Row],['#_households that received standard amount of soap for this quarter]]/WWWW[[#This Row],[Total HH]]&gt;1,1,WWWW[[#This Row],['#_households that received standard amount of soap for this quarter]]/WWWW[[#This Row],[Total HH]])</f>
        <v>0</v>
      </c>
      <c r="DD37" s="82">
        <f>IF(WWWW[[#This Row],['#_households that received standard amount of sanitary pads for this quarter]]/WWWW[[#This Row],[Total HH]]&gt;1,1,WWWW[[#This Row],['#_households that received standard amount of sanitary pads for this quarter]]/WWWW[[#This Row],[Total HH]])</f>
        <v>0</v>
      </c>
      <c r="DE37" s="81">
        <f>WWWW[[#This Row],['#_Constructed/Existing hand washing stations]]-WWWW[[#This Row],['#_Non-Functional_hand_washing_stations]]</f>
        <v>-2</v>
      </c>
      <c r="DF37" s="667">
        <f>IF(WWWW[[#This Row],['# Functional hand washing stations during reporting period]]*20&gt;WWWW[[#This Row],[Total HH]],WWWW[[#This Row],[Total HH]],WWWW[[#This Row],['# Functional hand washing stations during reporting period]]*20)</f>
        <v>-40</v>
      </c>
      <c r="DG37" s="80">
        <f>IF(WWWW[[#This Row],[Is sufficient soap available for TLS? (Yes/No)]]="yes",WWWW[[#This Row],['#_Constructed/Existing hand washing stations at TLS]],0)</f>
        <v>0</v>
      </c>
      <c r="DH37" s="667">
        <f>IF(WWWW[[#This Row],['# Functional hand washing stations during reporting period]]*100&gt;WWWW[[#This Row],[Total PoP ]],WWWW[[#This Row],[Total PoP ]],WWWW[[#This Row],['# Functional hand washing stations during reporting period]]*100)</f>
        <v>-200</v>
      </c>
      <c r="DI37" s="667" t="str">
        <f>IF(WWWW[[#This Row],['#_students at TLS_CFS]]="","No","Yes")</f>
        <v>Yes</v>
      </c>
      <c r="DJ37" s="245" t="str">
        <f>VLOOKUP(WWWW[[#This Row],[Site Name]],SiteDB6[[Site Name]:[CCCM Management]],6,FALSE)</f>
        <v>Yes</v>
      </c>
      <c r="DK37" s="245" t="str">
        <f>VLOOKUP(WWWW[[#This Row],[Site Name]],SiteDB6[[Site Name]:[CCCM Focal Agency]],7,FALSE)</f>
        <v>KBC</v>
      </c>
      <c r="DL37" s="245" t="str">
        <f>VLOOKUP(WWWW[[#This Row],[Site Name]],SiteDB6[[Site Name]:[Location Type 1]],9,FALSE)</f>
        <v>Camp</v>
      </c>
      <c r="DM37" s="245" t="str">
        <f>VLOOKUP(WWWW[[#This Row],[Site Name]],SiteDB6[[Site Name]:[Type of Accommodation]],10,FALSE)</f>
        <v>camp</v>
      </c>
      <c r="DN37" s="245" t="str">
        <f>VLOOKUP(WWWW[[#This Row],[Site Name]],SiteDB6[[Site Name]:[Ethnic or GCA/NGCA]],11,FALSE)</f>
        <v>GCA</v>
      </c>
      <c r="DO37" s="245">
        <f>VLOOKUP(WWWW[[#This Row],[Site Name]],SiteDB6[[Site Name]:[Lat]],12,FALSE)</f>
        <v>0</v>
      </c>
      <c r="DP37" s="245">
        <f>VLOOKUP(WWWW[[#This Row],[Site Name]],SiteDB6[[Site Name]:[Long]],13,FALSE)</f>
        <v>0</v>
      </c>
      <c r="DQ37" s="245" t="str">
        <f>VLOOKUP(WWWW[[#This Row],[Site Name]],SiteDB6[[Site Name]:[Pcode]],3,FALSE)</f>
        <v>MMR001CMP250</v>
      </c>
      <c r="DR37" s="215" t="str">
        <f t="shared" si="1"/>
        <v>Covered</v>
      </c>
      <c r="DS37" s="215"/>
      <c r="DT37" s="20"/>
      <c r="DU37" s="20"/>
      <c r="DV37" s="20"/>
      <c r="DW37" s="20"/>
      <c r="DX37" s="20"/>
      <c r="DY37" s="20"/>
      <c r="DZ37" s="20"/>
      <c r="EA37" s="20"/>
      <c r="EB37" s="20"/>
      <c r="EC37" s="20"/>
      <c r="ED37" s="20"/>
      <c r="EE37" s="20"/>
      <c r="EF37" s="20"/>
      <c r="EG37" s="20"/>
      <c r="EH37" s="20"/>
    </row>
    <row r="38" spans="1:138" ht="15.75" customHeight="1">
      <c r="A38" s="259" t="s">
        <v>2525</v>
      </c>
      <c r="B38" s="663" t="s">
        <v>250</v>
      </c>
      <c r="C38" s="663" t="s">
        <v>250</v>
      </c>
      <c r="D38" s="663" t="s">
        <v>315</v>
      </c>
      <c r="E38" s="663" t="s">
        <v>39</v>
      </c>
      <c r="F38" s="663" t="s">
        <v>156</v>
      </c>
      <c r="G38" s="663" t="str">
        <f>VLOOKUP(WWWW[[#This Row],[Site Name]],SiteDB6[[Site Name]:[Location Type]],8,FALSE)</f>
        <v>Camp</v>
      </c>
      <c r="H38" s="663" t="s">
        <v>263</v>
      </c>
      <c r="I38" s="700">
        <v>18</v>
      </c>
      <c r="J38" s="700">
        <v>103</v>
      </c>
      <c r="K38" s="642">
        <v>43313</v>
      </c>
      <c r="L38" s="78">
        <v>44043</v>
      </c>
      <c r="M38" s="700">
        <v>0</v>
      </c>
      <c r="N38" s="700">
        <v>1</v>
      </c>
      <c r="O38" s="700">
        <v>0</v>
      </c>
      <c r="P38" s="700">
        <v>0</v>
      </c>
      <c r="Q38" s="663" t="s">
        <v>43</v>
      </c>
      <c r="R38" s="377">
        <v>1</v>
      </c>
      <c r="S38" s="377">
        <v>2</v>
      </c>
      <c r="T38" s="377">
        <v>0</v>
      </c>
      <c r="U38" s="377">
        <v>0</v>
      </c>
      <c r="V38" s="377">
        <v>0</v>
      </c>
      <c r="W38" s="377">
        <v>0</v>
      </c>
      <c r="X38" s="377">
        <v>0</v>
      </c>
      <c r="Y38" s="377">
        <v>0</v>
      </c>
      <c r="Z38" s="377">
        <v>0</v>
      </c>
      <c r="AA38" s="377">
        <v>2</v>
      </c>
      <c r="AB38" s="377">
        <v>0</v>
      </c>
      <c r="AC38" s="377">
        <v>1</v>
      </c>
      <c r="AD38" s="377">
        <v>0</v>
      </c>
      <c r="AE38" s="377">
        <v>2</v>
      </c>
      <c r="AF38" s="377">
        <v>1</v>
      </c>
      <c r="AG38" s="377">
        <v>1</v>
      </c>
      <c r="AH38" s="377">
        <v>0</v>
      </c>
      <c r="AI38" s="377"/>
      <c r="AJ38" s="377"/>
      <c r="AK38" s="377"/>
      <c r="AL38" s="377"/>
      <c r="AM38" s="377">
        <v>0</v>
      </c>
      <c r="AN38" s="377">
        <v>0</v>
      </c>
      <c r="AO38" s="215"/>
      <c r="AP38" s="377">
        <v>4</v>
      </c>
      <c r="AQ38" s="377">
        <v>0</v>
      </c>
      <c r="AR38" s="77" t="s">
        <v>250</v>
      </c>
      <c r="AS38" s="377">
        <v>0</v>
      </c>
      <c r="AT38" s="377">
        <v>0</v>
      </c>
      <c r="AU38" s="377">
        <v>0</v>
      </c>
      <c r="AV38" s="377"/>
      <c r="AW38" s="700">
        <v>0</v>
      </c>
      <c r="AX38" s="694" t="s">
        <v>43</v>
      </c>
      <c r="AY38" s="245" t="s">
        <v>144</v>
      </c>
      <c r="AZ38" s="377">
        <v>0</v>
      </c>
      <c r="BA38" s="377">
        <v>0</v>
      </c>
      <c r="BB38" s="377">
        <v>0</v>
      </c>
      <c r="BC38" s="215"/>
      <c r="BD38" s="377">
        <v>2</v>
      </c>
      <c r="BE38" s="377">
        <v>0</v>
      </c>
      <c r="BF38" s="377">
        <v>0</v>
      </c>
      <c r="BG38" s="377">
        <v>2</v>
      </c>
      <c r="BH38" s="377">
        <v>0</v>
      </c>
      <c r="BI38" s="377">
        <v>1</v>
      </c>
      <c r="BJ38" s="377">
        <v>2</v>
      </c>
      <c r="BK38" s="377">
        <v>0</v>
      </c>
      <c r="BL38" s="377">
        <v>0</v>
      </c>
      <c r="BM38" s="215" t="s">
        <v>144</v>
      </c>
      <c r="BN38" s="80">
        <v>0</v>
      </c>
      <c r="BO38" s="82">
        <v>0.3</v>
      </c>
      <c r="BP38" s="215"/>
      <c r="BQ38" s="79" t="str">
        <f>IFERROR(WWWW[[#This Row],['#_Water sources treated]]/WWWW[[#This Row],['#_Water sources tested for contamination]],"no test")</f>
        <v>no test</v>
      </c>
      <c r="BR38" s="82" t="str">
        <f>IFERROR(WWWW[[#This Row],['#_Household received remediation action due to contamination]]/WWWW[[#This Row],['#_Household water samples tested for contamination]],"no test")</f>
        <v>no test</v>
      </c>
      <c r="BS38" s="81" t="str">
        <f>IF(AND(WWWW[[#This Row],[% of water sources treated]]="no test",WWWW[[#This Row],[% Household received corrective actions]]="no test"),"No Test","Tested")</f>
        <v>No Test</v>
      </c>
      <c r="BT38" s="81">
        <f>WWWW[[#This Row],['#_Constructed/existing protected hand dug well]]-WWWW[[#This Row],['#_Non-functional protected hand dug well]]</f>
        <v>0</v>
      </c>
      <c r="BU38" s="81">
        <f>(WWWW[[#This Row],['#_Constructed/Existing tube wells/boreholes/handpumps_WASH_agency]]+WWWW[[#This Row],['#_Non-Cluster partner water tube-wells/boreholes/handpumps]])-WWWW[[#This Row],['#_Non-functional tube wells/boreholes/handpumps]]</f>
        <v>0</v>
      </c>
      <c r="BV38" s="81">
        <f>WWWW[[#This Row],['#_Constructed/Existingwater storage tank with gravity fed reticulation system]]-WWWW[[#This Row],['#_Non-functional storage tank gravity fed reticulation system]]</f>
        <v>2</v>
      </c>
      <c r="BW38" s="81">
        <f>WWWW[[#This Row],['#_Water boating or water trucking]]</f>
        <v>0</v>
      </c>
      <c r="BX38" s="81">
        <f>WWWW[[#This Row],['#_Constructed/Existing water distribution system from river or natural spring]]</f>
        <v>1</v>
      </c>
      <c r="BY38"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38"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38" s="82">
        <f>IF(WWWW[[#This Row],[Location Type 1]]="Village",WWWW[[#This Row],[Access to safe drinking water for Village]],WWWW[[#This Row],[Access to safe drinking water for Camp]])</f>
        <v>1</v>
      </c>
      <c r="CB38" s="80">
        <f>WWWW[[#This Row],[%Equitable and continuous access to sufficient quantity of safe drinking water]]*WWWW[[#This Row],[Total PoP ]]</f>
        <v>103</v>
      </c>
      <c r="CC38" s="82">
        <f>IF((WWWW[[#This Row],['#_Constructed/Existing protected/fenced ponds]]*250)/WWWW[[#This Row],[Total PoP ]]&gt;1,1,(WWWW[[#This Row],['#_Constructed/Existing protected/fenced ponds]]*250)/WWWW[[#This Row],[Total PoP ]])</f>
        <v>1</v>
      </c>
      <c r="CD38" s="80">
        <f>WWWW[[#This Row],[% Access to unimproved water points]]*WWWW[[#This Row],[Total PoP ]]</f>
        <v>103</v>
      </c>
      <c r="CE38"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8"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103</v>
      </c>
      <c r="CG38" s="80">
        <f>WWWW[[#This Row],[HRP1]]/500</f>
        <v>0.20599999999999999</v>
      </c>
      <c r="CH38" s="79">
        <f>1-WWWW[[#This Row],[% Equitable and continuous access to sufficient quantity of domestic water]]</f>
        <v>0</v>
      </c>
      <c r="CI38" s="80">
        <f>WWWW[[#This Row],[%equitable and continuous access to sufficient quantity of safe drinking and domestic water''s GAP]]*WWWW[[#This Row],[Total PoP ]]</f>
        <v>0</v>
      </c>
      <c r="CJ38" s="81">
        <f>IF(WWWW[[#This Row],[Total required water points]]-WWWW[[#This Row],['#Water points coverage]]&lt;0,0,WWWW[[#This Row],[Total required water points]]-WWWW[[#This Row],['#Water points coverage]])</f>
        <v>0.79400000000000004</v>
      </c>
      <c r="CK38" s="81">
        <f>ROUND(IF(WWWW[[#This Row],[Total PoP ]]&lt;500,1,WWWW[[#This Row],[Total PoP ]]/500),0)</f>
        <v>1</v>
      </c>
      <c r="CL38" s="81">
        <f>(WWWW[[#This Row],['#_Constructed latrines_by_WASHAgencies]]+WWWW[[#This Row],['#_Non Cluster partner latrines]])-WWWW[[#This Row],['#_Non-functional latrines]]</f>
        <v>4</v>
      </c>
      <c r="CM38"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0.77669902912621358</v>
      </c>
      <c r="CN38"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80</v>
      </c>
      <c r="CO38"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38" s="81">
        <f>IF(WWWW[[#This Row],[Location Type 1]]="Village","NA",IF(WWWW[[#This Row],['#_Constructed/Existing latrines in TLS]]*50&gt;WWWW[[#This Row],['#_students at TLS_CFS]],WWWW[[#This Row],['#_students at TLS_CFS]],(WWWW[[#This Row],['#_Constructed/Existing latrines in TLS]]*50)))</f>
        <v>0</v>
      </c>
      <c r="CQ38" s="81">
        <f>ROUND(IF(WWWW[[#This Row],[Location Type 1]]="camp",WWWW[[#This Row],[Total PoP ]]/20,IF(WWWW[[#This Row],[Location Type 1]]="Temporary Location",WWWW[[#This Row],[Total PoP ]]/50,(WWWW[[#This Row],[Total PoP ]]/6))),0)</f>
        <v>5</v>
      </c>
      <c r="CR38" s="80">
        <f>IF(WWWW[[#This Row],[Total required Latrines]]-(WWWW[[#This Row],['#_Constructed latrines_by_WASHAgencies]]+WWWW[[#This Row],['#_Non Cluster partner latrines]])&lt;0,0,WWWW[[#This Row],[Total required Latrines]]-(WWWW[[#This Row],['#_Constructed latrines_by_WASHAgencies]]+WWWW[[#This Row],['#_Non Cluster partner latrines]]))</f>
        <v>1</v>
      </c>
      <c r="CS38" s="79">
        <f>1-WWWW[[#This Row],[% people access to functioning Latrine]]</f>
        <v>0.22330097087378642</v>
      </c>
      <c r="CT38" s="83">
        <f>IF(OR(WWWW[[#This Row],['#_Non-functional latrines]]="",WWWW[[#This Row],['#_Non-functional latrines]]=0),0,WWWW[[#This Row],['#_Non-functional latrines]]/(WWWW[[#This Row],['#_Constructed latrines_by_WASHAgencies]]+WWWW[[#This Row],['#_Non Cluster partner latrines]]))</f>
        <v>0</v>
      </c>
      <c r="CU38" s="80">
        <f>IF(500*(WWWW[[#This Row],['#_male hygiene promoters]]+WWWW[[#This Row],['#_female hygiene promoters]])&gt;WWWW[[#This Row],[Total PoP ]],WWWW[[#This Row],[Total PoP ]],500*(WWWW[[#This Row],['#_male hygiene promoters]]+WWWW[[#This Row],['#_female hygiene promoters]]))</f>
        <v>103</v>
      </c>
      <c r="CV38"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8"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8" s="81">
        <f>IF(WWWW[[#This Row],['# People with access to soap]]&gt;WWWW[[#This Row],['# People with access to Sanity Pads]],WWWW[[#This Row],['# People with access to soap]],WWWW[[#This Row],['# People with access to Sanity Pads]])</f>
        <v>0</v>
      </c>
      <c r="CY38" s="81">
        <f>IF(WWWW[[#This Row],['# people reached by regular dedicated hygiene promotion_5]]&gt;WWWW[[#This Row],['# People received regular supply of hygiene items_6]],WWWW[[#This Row],['# people reached by regular dedicated hygiene promotion_5]],WWWW[[#This Row],['# People received regular supply of hygiene items_6]])</f>
        <v>103</v>
      </c>
      <c r="CZ38" s="79">
        <f>IF(WWWW[[#This Row],[HRP3]]/WWWW[[#This Row],[Total PoP ]]&gt;100%,100%,WWWW[[#This Row],[HRP3]]/WWWW[[#This Row],[Total PoP ]])</f>
        <v>1</v>
      </c>
      <c r="DA38" s="83">
        <f>1-WWWW[[#This Row],[Hygiene Coverage%]]</f>
        <v>0</v>
      </c>
      <c r="DB38" s="82">
        <f>WWWW[[#This Row],['# people reached by regular dedicated hygiene promotion_5]]/WWWW[[#This Row],[Total PoP ]]</f>
        <v>1</v>
      </c>
      <c r="DC38" s="82">
        <f>IF(WWWW[[#This Row],['#_households that received standard amount of soap for this quarter]]/WWWW[[#This Row],[Total HH]]&gt;1,1,WWWW[[#This Row],['#_households that received standard amount of soap for this quarter]]/WWWW[[#This Row],[Total HH]])</f>
        <v>0</v>
      </c>
      <c r="DD38" s="82">
        <f>IF(WWWW[[#This Row],['#_households that received standard amount of sanitary pads for this quarter]]/WWWW[[#This Row],[Total HH]]&gt;1,1,WWWW[[#This Row],['#_households that received standard amount of sanitary pads for this quarter]]/WWWW[[#This Row],[Total HH]])</f>
        <v>0</v>
      </c>
      <c r="DE38" s="81">
        <f>WWWW[[#This Row],['#_Constructed/Existing hand washing stations]]-WWWW[[#This Row],['#_Non-Functional_hand_washing_stations]]</f>
        <v>2</v>
      </c>
      <c r="DF38" s="667">
        <f>IF(WWWW[[#This Row],['# Functional hand washing stations during reporting period]]*20&gt;WWWW[[#This Row],[Total HH]],WWWW[[#This Row],[Total HH]],WWWW[[#This Row],['# Functional hand washing stations during reporting period]]*20)</f>
        <v>18</v>
      </c>
      <c r="DG38" s="80">
        <f>IF(WWWW[[#This Row],[Is sufficient soap available for TLS? (Yes/No)]]="yes",WWWW[[#This Row],['#_Constructed/Existing hand washing stations at TLS]],0)</f>
        <v>0</v>
      </c>
      <c r="DH38" s="667">
        <f>IF(WWWW[[#This Row],['# Functional hand washing stations during reporting period]]*100&gt;WWWW[[#This Row],[Total PoP ]],WWWW[[#This Row],[Total PoP ]],WWWW[[#This Row],['# Functional hand washing stations during reporting period]]*100)</f>
        <v>103</v>
      </c>
      <c r="DI38" s="667" t="str">
        <f>IF(WWWW[[#This Row],['#_students at TLS_CFS]]="","No","Yes")</f>
        <v>Yes</v>
      </c>
      <c r="DJ38" s="245" t="str">
        <f>VLOOKUP(WWWW[[#This Row],[Site Name]],SiteDB6[[Site Name]:[CCCM Management]],6,FALSE)</f>
        <v>Yes</v>
      </c>
      <c r="DK38" s="245" t="str">
        <f>VLOOKUP(WWWW[[#This Row],[Site Name]],SiteDB6[[Site Name]:[CCCM Focal Agency]],7,FALSE)</f>
        <v>Shalom</v>
      </c>
      <c r="DL38" s="245" t="str">
        <f>VLOOKUP(WWWW[[#This Row],[Site Name]],SiteDB6[[Site Name]:[Location Type 1]],9,FALSE)</f>
        <v>Camp</v>
      </c>
      <c r="DM38" s="245" t="str">
        <f>VLOOKUP(WWWW[[#This Row],[Site Name]],SiteDB6[[Site Name]:[Type of Accommodation]],10,FALSE)</f>
        <v>Camp</v>
      </c>
      <c r="DN38" s="245" t="str">
        <f>VLOOKUP(WWWW[[#This Row],[Site Name]],SiteDB6[[Site Name]:[Ethnic or GCA/NGCA]],11,FALSE)</f>
        <v>GCA</v>
      </c>
      <c r="DO38" s="245">
        <f>VLOOKUP(WWWW[[#This Row],[Site Name]],SiteDB6[[Site Name]:[Lat]],12,FALSE)</f>
        <v>25.566510000000001</v>
      </c>
      <c r="DP38" s="245">
        <f>VLOOKUP(WWWW[[#This Row],[Site Name]],SiteDB6[[Site Name]:[Long]],13,FALSE)</f>
        <v>96.269199999999998</v>
      </c>
      <c r="DQ38" s="245" t="str">
        <f>VLOOKUP(WWWW[[#This Row],[Site Name]],SiteDB6[[Site Name]:[Pcode]],3,FALSE)</f>
        <v>MMR001CMP181</v>
      </c>
      <c r="DR38" s="215" t="str">
        <f t="shared" si="1"/>
        <v>Covered</v>
      </c>
      <c r="DS38" s="215"/>
      <c r="DT38" s="20"/>
      <c r="DU38" s="20"/>
      <c r="DV38" s="20"/>
      <c r="DW38" s="20"/>
      <c r="DX38" s="20"/>
      <c r="DY38" s="20"/>
      <c r="DZ38" s="20"/>
      <c r="EA38" s="20"/>
      <c r="EB38" s="20"/>
      <c r="EC38" s="20"/>
      <c r="ED38" s="20"/>
      <c r="EE38" s="20"/>
      <c r="EF38" s="20"/>
      <c r="EG38" s="20"/>
      <c r="EH38" s="20"/>
    </row>
    <row r="39" spans="1:138" ht="15.75" customHeight="1">
      <c r="A39" s="259" t="s">
        <v>2525</v>
      </c>
      <c r="B39" s="663" t="s">
        <v>250</v>
      </c>
      <c r="C39" s="663" t="s">
        <v>250</v>
      </c>
      <c r="D39" s="663" t="s">
        <v>315</v>
      </c>
      <c r="E39" s="663" t="s">
        <v>39</v>
      </c>
      <c r="F39" s="663" t="s">
        <v>156</v>
      </c>
      <c r="G39" s="663" t="str">
        <f>VLOOKUP(WWWW[[#This Row],[Site Name]],SiteDB6[[Site Name]:[Location Type]],8,FALSE)</f>
        <v>Camp</v>
      </c>
      <c r="H39" s="663" t="s">
        <v>264</v>
      </c>
      <c r="I39" s="700">
        <v>12</v>
      </c>
      <c r="J39" s="700">
        <v>60</v>
      </c>
      <c r="K39" s="642">
        <v>43313</v>
      </c>
      <c r="L39" s="78">
        <v>44043</v>
      </c>
      <c r="M39" s="700">
        <v>0</v>
      </c>
      <c r="N39" s="700">
        <v>1</v>
      </c>
      <c r="O39" s="700">
        <v>0</v>
      </c>
      <c r="P39" s="700">
        <v>0</v>
      </c>
      <c r="Q39" s="663" t="s">
        <v>43</v>
      </c>
      <c r="R39" s="377">
        <v>3</v>
      </c>
      <c r="S39" s="377">
        <v>4</v>
      </c>
      <c r="T39" s="377">
        <v>0</v>
      </c>
      <c r="U39" s="377">
        <v>0</v>
      </c>
      <c r="V39" s="377">
        <v>0</v>
      </c>
      <c r="W39" s="377">
        <v>0</v>
      </c>
      <c r="X39" s="377">
        <v>0</v>
      </c>
      <c r="Y39" s="377">
        <v>0</v>
      </c>
      <c r="Z39" s="377">
        <v>0</v>
      </c>
      <c r="AA39" s="377">
        <v>0</v>
      </c>
      <c r="AB39" s="377">
        <v>0</v>
      </c>
      <c r="AC39" s="377">
        <v>0</v>
      </c>
      <c r="AD39" s="377">
        <v>0</v>
      </c>
      <c r="AE39" s="377">
        <v>0</v>
      </c>
      <c r="AF39" s="377">
        <v>1</v>
      </c>
      <c r="AG39" s="377">
        <v>0</v>
      </c>
      <c r="AH39" s="377">
        <v>1</v>
      </c>
      <c r="AI39" s="377"/>
      <c r="AJ39" s="377"/>
      <c r="AK39" s="377"/>
      <c r="AL39" s="377"/>
      <c r="AM39" s="377">
        <v>0</v>
      </c>
      <c r="AN39" s="377">
        <v>0</v>
      </c>
      <c r="AO39" s="215"/>
      <c r="AP39" s="377">
        <v>2</v>
      </c>
      <c r="AQ39" s="377">
        <v>0</v>
      </c>
      <c r="AR39" s="77" t="s">
        <v>250</v>
      </c>
      <c r="AS39" s="377">
        <v>0</v>
      </c>
      <c r="AT39" s="377">
        <v>0</v>
      </c>
      <c r="AU39" s="377">
        <v>0</v>
      </c>
      <c r="AV39" s="377"/>
      <c r="AW39" s="700">
        <v>0</v>
      </c>
      <c r="AX39" s="694" t="s">
        <v>43</v>
      </c>
      <c r="AY39" s="245" t="s">
        <v>144</v>
      </c>
      <c r="AZ39" s="377">
        <v>0</v>
      </c>
      <c r="BA39" s="377">
        <v>0</v>
      </c>
      <c r="BB39" s="377">
        <v>0</v>
      </c>
      <c r="BC39" s="215"/>
      <c r="BD39" s="377">
        <v>1</v>
      </c>
      <c r="BE39" s="377">
        <v>0</v>
      </c>
      <c r="BF39" s="377">
        <v>0</v>
      </c>
      <c r="BG39" s="377">
        <v>2</v>
      </c>
      <c r="BH39" s="377">
        <v>0</v>
      </c>
      <c r="BI39" s="377">
        <v>3</v>
      </c>
      <c r="BJ39" s="377">
        <v>4</v>
      </c>
      <c r="BK39" s="377">
        <v>0</v>
      </c>
      <c r="BL39" s="377">
        <v>0</v>
      </c>
      <c r="BM39" s="215" t="s">
        <v>144</v>
      </c>
      <c r="BN39" s="80">
        <v>0</v>
      </c>
      <c r="BO39" s="82">
        <v>0.4</v>
      </c>
      <c r="BP39" s="215"/>
      <c r="BQ39" s="79" t="str">
        <f>IFERROR(WWWW[[#This Row],['#_Water sources treated]]/WWWW[[#This Row],['#_Water sources tested for contamination]],"no test")</f>
        <v>no test</v>
      </c>
      <c r="BR39" s="82" t="str">
        <f>IFERROR(WWWW[[#This Row],['#_Household received remediation action due to contamination]]/WWWW[[#This Row],['#_Household water samples tested for contamination]],"no test")</f>
        <v>no test</v>
      </c>
      <c r="BS39" s="81" t="str">
        <f>IF(AND(WWWW[[#This Row],[% of water sources treated]]="no test",WWWW[[#This Row],[% Household received corrective actions]]="no test"),"No Test","Tested")</f>
        <v>No Test</v>
      </c>
      <c r="BT39" s="81">
        <f>WWWW[[#This Row],['#_Constructed/existing protected hand dug well]]-WWWW[[#This Row],['#_Non-functional protected hand dug well]]</f>
        <v>0</v>
      </c>
      <c r="BU39" s="81">
        <f>(WWWW[[#This Row],['#_Constructed/Existing tube wells/boreholes/handpumps_WASH_agency]]+WWWW[[#This Row],['#_Non-Cluster partner water tube-wells/boreholes/handpumps]])-WWWW[[#This Row],['#_Non-functional tube wells/boreholes/handpumps]]</f>
        <v>0</v>
      </c>
      <c r="BV39" s="81">
        <f>WWWW[[#This Row],['#_Constructed/Existingwater storage tank with gravity fed reticulation system]]-WWWW[[#This Row],['#_Non-functional storage tank gravity fed reticulation system]]</f>
        <v>0</v>
      </c>
      <c r="BW39" s="81">
        <f>WWWW[[#This Row],['#_Water boating or water trucking]]</f>
        <v>0</v>
      </c>
      <c r="BX39" s="81">
        <f>WWWW[[#This Row],['#_Constructed/Existing water distribution system from river or natural spring]]</f>
        <v>1</v>
      </c>
      <c r="BY39"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1.1111111111111111E-3</v>
      </c>
      <c r="BZ39"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1.1111111111111111E-3</v>
      </c>
      <c r="CA39" s="82">
        <f>IF(WWWW[[#This Row],[Location Type 1]]="Village",WWWW[[#This Row],[Access to safe drinking water for Village]],WWWW[[#This Row],[Access to safe drinking water for Camp]])</f>
        <v>1.1111111111111111E-3</v>
      </c>
      <c r="CB39" s="80">
        <f>WWWW[[#This Row],[%Equitable and continuous access to sufficient quantity of safe drinking water]]*WWWW[[#This Row],[Total PoP ]]</f>
        <v>6.6666666666666666E-2</v>
      </c>
      <c r="CC39" s="82">
        <f>IF((WWWW[[#This Row],['#_Constructed/Existing protected/fenced ponds]]*250)/WWWW[[#This Row],[Total PoP ]]&gt;1,1,(WWWW[[#This Row],['#_Constructed/Existing protected/fenced ponds]]*250)/WWWW[[#This Row],[Total PoP ]])</f>
        <v>0</v>
      </c>
      <c r="CD39" s="80">
        <f>WWWW[[#This Row],[% Access to unimproved water points]]*WWWW[[#This Row],[Total PoP ]]</f>
        <v>0</v>
      </c>
      <c r="CE39"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1.1111111111111111E-3</v>
      </c>
      <c r="CF39"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6.6666666666666666E-2</v>
      </c>
      <c r="CG39" s="80">
        <f>WWWW[[#This Row],[HRP1]]/500</f>
        <v>1.3333333333333334E-4</v>
      </c>
      <c r="CH39" s="79">
        <f>1-WWWW[[#This Row],[% Equitable and continuous access to sufficient quantity of domestic water]]</f>
        <v>0.99888888888888894</v>
      </c>
      <c r="CI39" s="80">
        <f>WWWW[[#This Row],[%equitable and continuous access to sufficient quantity of safe drinking and domestic water''s GAP]]*WWWW[[#This Row],[Total PoP ]]</f>
        <v>59.933333333333337</v>
      </c>
      <c r="CJ39" s="81">
        <f>IF(WWWW[[#This Row],[Total required water points]]-WWWW[[#This Row],['#Water points coverage]]&lt;0,0,WWWW[[#This Row],[Total required water points]]-WWWW[[#This Row],['#Water points coverage]])</f>
        <v>0.99986666666666668</v>
      </c>
      <c r="CK39" s="81">
        <f>ROUND(IF(WWWW[[#This Row],[Total PoP ]]&lt;500,1,WWWW[[#This Row],[Total PoP ]]/500),0)</f>
        <v>1</v>
      </c>
      <c r="CL39" s="81">
        <f>(WWWW[[#This Row],['#_Constructed latrines_by_WASHAgencies]]+WWWW[[#This Row],['#_Non Cluster partner latrines]])-WWWW[[#This Row],['#_Non-functional latrines]]</f>
        <v>2</v>
      </c>
      <c r="CM39"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0.66666666666666663</v>
      </c>
      <c r="CN39"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40</v>
      </c>
      <c r="CO39"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39" s="81">
        <f>IF(WWWW[[#This Row],[Location Type 1]]="Village","NA",IF(WWWW[[#This Row],['#_Constructed/Existing latrines in TLS]]*50&gt;WWWW[[#This Row],['#_students at TLS_CFS]],WWWW[[#This Row],['#_students at TLS_CFS]],(WWWW[[#This Row],['#_Constructed/Existing latrines in TLS]]*50)))</f>
        <v>0</v>
      </c>
      <c r="CQ39" s="81">
        <f>ROUND(IF(WWWW[[#This Row],[Location Type 1]]="camp",WWWW[[#This Row],[Total PoP ]]/20,IF(WWWW[[#This Row],[Location Type 1]]="Temporary Location",WWWW[[#This Row],[Total PoP ]]/50,(WWWW[[#This Row],[Total PoP ]]/6))),0)</f>
        <v>3</v>
      </c>
      <c r="CR39" s="80">
        <f>IF(WWWW[[#This Row],[Total required Latrines]]-(WWWW[[#This Row],['#_Constructed latrines_by_WASHAgencies]]+WWWW[[#This Row],['#_Non Cluster partner latrines]])&lt;0,0,WWWW[[#This Row],[Total required Latrines]]-(WWWW[[#This Row],['#_Constructed latrines_by_WASHAgencies]]+WWWW[[#This Row],['#_Non Cluster partner latrines]]))</f>
        <v>1</v>
      </c>
      <c r="CS39" s="79">
        <f>1-WWWW[[#This Row],[% people access to functioning Latrine]]</f>
        <v>0.33333333333333337</v>
      </c>
      <c r="CT39" s="83">
        <f>IF(OR(WWWW[[#This Row],['#_Non-functional latrines]]="",WWWW[[#This Row],['#_Non-functional latrines]]=0),0,WWWW[[#This Row],['#_Non-functional latrines]]/(WWWW[[#This Row],['#_Constructed latrines_by_WASHAgencies]]+WWWW[[#This Row],['#_Non Cluster partner latrines]]))</f>
        <v>0</v>
      </c>
      <c r="CU39" s="80">
        <f>IF(500*(WWWW[[#This Row],['#_male hygiene promoters]]+WWWW[[#This Row],['#_female hygiene promoters]])&gt;WWWW[[#This Row],[Total PoP ]],WWWW[[#This Row],[Total PoP ]],500*(WWWW[[#This Row],['#_male hygiene promoters]]+WWWW[[#This Row],['#_female hygiene promoters]]))</f>
        <v>60</v>
      </c>
      <c r="CV39"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9"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9" s="81">
        <f>IF(WWWW[[#This Row],['# People with access to soap]]&gt;WWWW[[#This Row],['# People with access to Sanity Pads]],WWWW[[#This Row],['# People with access to soap]],WWWW[[#This Row],['# People with access to Sanity Pads]])</f>
        <v>0</v>
      </c>
      <c r="CY39" s="81">
        <f>IF(WWWW[[#This Row],['# people reached by regular dedicated hygiene promotion_5]]&gt;WWWW[[#This Row],['# People received regular supply of hygiene items_6]],WWWW[[#This Row],['# people reached by regular dedicated hygiene promotion_5]],WWWW[[#This Row],['# People received regular supply of hygiene items_6]])</f>
        <v>60</v>
      </c>
      <c r="CZ39" s="79">
        <f>IF(WWWW[[#This Row],[HRP3]]/WWWW[[#This Row],[Total PoP ]]&gt;100%,100%,WWWW[[#This Row],[HRP3]]/WWWW[[#This Row],[Total PoP ]])</f>
        <v>1</v>
      </c>
      <c r="DA39" s="83">
        <f>1-WWWW[[#This Row],[Hygiene Coverage%]]</f>
        <v>0</v>
      </c>
      <c r="DB39" s="82">
        <f>WWWW[[#This Row],['# people reached by regular dedicated hygiene promotion_5]]/WWWW[[#This Row],[Total PoP ]]</f>
        <v>1</v>
      </c>
      <c r="DC39" s="82">
        <f>IF(WWWW[[#This Row],['#_households that received standard amount of soap for this quarter]]/WWWW[[#This Row],[Total HH]]&gt;1,1,WWWW[[#This Row],['#_households that received standard amount of soap for this quarter]]/WWWW[[#This Row],[Total HH]])</f>
        <v>0</v>
      </c>
      <c r="DD39" s="82">
        <f>IF(WWWW[[#This Row],['#_households that received standard amount of sanitary pads for this quarter]]/WWWW[[#This Row],[Total HH]]&gt;1,1,WWWW[[#This Row],['#_households that received standard amount of sanitary pads for this quarter]]/WWWW[[#This Row],[Total HH]])</f>
        <v>0</v>
      </c>
      <c r="DE39" s="81">
        <f>WWWW[[#This Row],['#_Constructed/Existing hand washing stations]]-WWWW[[#This Row],['#_Non-Functional_hand_washing_stations]]</f>
        <v>1</v>
      </c>
      <c r="DF39" s="667">
        <f>IF(WWWW[[#This Row],['# Functional hand washing stations during reporting period]]*20&gt;WWWW[[#This Row],[Total HH]],WWWW[[#This Row],[Total HH]],WWWW[[#This Row],['# Functional hand washing stations during reporting period]]*20)</f>
        <v>12</v>
      </c>
      <c r="DG39" s="80">
        <f>IF(WWWW[[#This Row],[Is sufficient soap available for TLS? (Yes/No)]]="yes",WWWW[[#This Row],['#_Constructed/Existing hand washing stations at TLS]],0)</f>
        <v>0</v>
      </c>
      <c r="DH39" s="667">
        <f>IF(WWWW[[#This Row],['# Functional hand washing stations during reporting period]]*100&gt;WWWW[[#This Row],[Total PoP ]],WWWW[[#This Row],[Total PoP ]],WWWW[[#This Row],['# Functional hand washing stations during reporting period]]*100)</f>
        <v>60</v>
      </c>
      <c r="DI39" s="667" t="str">
        <f>IF(WWWW[[#This Row],['#_students at TLS_CFS]]="","No","Yes")</f>
        <v>Yes</v>
      </c>
      <c r="DJ39" s="245" t="str">
        <f>VLOOKUP(WWWW[[#This Row],[Site Name]],SiteDB6[[Site Name]:[CCCM Management]],6,FALSE)</f>
        <v>Yes</v>
      </c>
      <c r="DK39" s="245" t="str">
        <f>VLOOKUP(WWWW[[#This Row],[Site Name]],SiteDB6[[Site Name]:[CCCM Focal Agency]],7,FALSE)</f>
        <v>Shalom</v>
      </c>
      <c r="DL39" s="245" t="str">
        <f>VLOOKUP(WWWW[[#This Row],[Site Name]],SiteDB6[[Site Name]:[Location Type 1]],9,FALSE)</f>
        <v>Camp</v>
      </c>
      <c r="DM39" s="245" t="str">
        <f>VLOOKUP(WWWW[[#This Row],[Site Name]],SiteDB6[[Site Name]:[Type of Accommodation]],10,FALSE)</f>
        <v>Camp</v>
      </c>
      <c r="DN39" s="245" t="str">
        <f>VLOOKUP(WWWW[[#This Row],[Site Name]],SiteDB6[[Site Name]:[Ethnic or GCA/NGCA]],11,FALSE)</f>
        <v>GCA</v>
      </c>
      <c r="DO39" s="245">
        <f>VLOOKUP(WWWW[[#This Row],[Site Name]],SiteDB6[[Site Name]:[Lat]],12,FALSE)</f>
        <v>25.61842</v>
      </c>
      <c r="DP39" s="245">
        <f>VLOOKUP(WWWW[[#This Row],[Site Name]],SiteDB6[[Site Name]:[Long]],13,FALSE)</f>
        <v>96.316400000000002</v>
      </c>
      <c r="DQ39" s="245" t="str">
        <f>VLOOKUP(WWWW[[#This Row],[Site Name]],SiteDB6[[Site Name]:[Pcode]],3,FALSE)</f>
        <v>MMR001CMP167</v>
      </c>
      <c r="DR39" s="215" t="str">
        <f t="shared" si="1"/>
        <v>Covered</v>
      </c>
      <c r="DS39" s="215"/>
      <c r="DT39" s="20"/>
      <c r="DU39" s="20"/>
      <c r="DV39" s="20"/>
      <c r="DW39" s="20"/>
      <c r="DX39" s="20"/>
      <c r="DY39" s="20"/>
      <c r="DZ39" s="20"/>
      <c r="EA39" s="20"/>
      <c r="EB39" s="20"/>
      <c r="EC39" s="20"/>
      <c r="ED39" s="20"/>
      <c r="EE39" s="20"/>
      <c r="EF39" s="20"/>
      <c r="EG39" s="20"/>
      <c r="EH39" s="20"/>
    </row>
    <row r="40" spans="1:138" ht="15.75" customHeight="1">
      <c r="A40" s="259" t="s">
        <v>2525</v>
      </c>
      <c r="B40" s="663" t="s">
        <v>317</v>
      </c>
      <c r="C40" s="663" t="s">
        <v>317</v>
      </c>
      <c r="D40" s="663"/>
      <c r="E40" s="663" t="s">
        <v>39</v>
      </c>
      <c r="F40" s="663" t="s">
        <v>160</v>
      </c>
      <c r="G40" s="663" t="str">
        <f>VLOOKUP(WWWW[[#This Row],[Site Name]],SiteDB6[[Site Name]:[Location Type]],8,FALSE)</f>
        <v>Camp</v>
      </c>
      <c r="H40" s="77" t="s">
        <v>2017</v>
      </c>
      <c r="I40" s="700">
        <v>6</v>
      </c>
      <c r="J40" s="700">
        <v>32</v>
      </c>
      <c r="K40" s="642"/>
      <c r="L40" s="78"/>
      <c r="M40" s="700"/>
      <c r="N40" s="700"/>
      <c r="O40" s="700"/>
      <c r="P40" s="700"/>
      <c r="Q40" s="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215"/>
      <c r="AP40" s="377"/>
      <c r="AQ40" s="377"/>
      <c r="AR40" s="77"/>
      <c r="AS40" s="377"/>
      <c r="AT40" s="377"/>
      <c r="AU40" s="377"/>
      <c r="AV40" s="377"/>
      <c r="AW40" s="377"/>
      <c r="AX40" s="245"/>
      <c r="AY40" s="245"/>
      <c r="AZ40" s="377"/>
      <c r="BA40" s="377"/>
      <c r="BB40" s="377"/>
      <c r="BC40" s="215"/>
      <c r="BD40" s="377"/>
      <c r="BE40" s="377"/>
      <c r="BF40" s="377"/>
      <c r="BG40" s="377"/>
      <c r="BH40" s="377"/>
      <c r="BI40" s="377"/>
      <c r="BJ40" s="377"/>
      <c r="BK40" s="377"/>
      <c r="BL40" s="377"/>
      <c r="BM40" s="215"/>
      <c r="BN40" s="80"/>
      <c r="BO40" s="82"/>
      <c r="BP40" s="215"/>
      <c r="BQ40" s="79" t="str">
        <f>IFERROR(WWWW[[#This Row],['#_Water sources treated]]/WWWW[[#This Row],['#_Water sources tested for contamination]],"no test")</f>
        <v>no test</v>
      </c>
      <c r="BR40" s="82" t="str">
        <f>IFERROR(WWWW[[#This Row],['#_Household received remediation action due to contamination]]/WWWW[[#This Row],['#_Household water samples tested for contamination]],"no test")</f>
        <v>no test</v>
      </c>
      <c r="BS40" s="81" t="str">
        <f>IF(AND(WWWW[[#This Row],[% of water sources treated]]="no test",WWWW[[#This Row],[% Household received corrective actions]]="no test"),"No Test","Tested")</f>
        <v>No Test</v>
      </c>
      <c r="BT40" s="81">
        <f>WWWW[[#This Row],['#_Constructed/existing protected hand dug well]]-WWWW[[#This Row],['#_Non-functional protected hand dug well]]</f>
        <v>0</v>
      </c>
      <c r="BU40" s="81">
        <f>(WWWW[[#This Row],['#_Constructed/Existing tube wells/boreholes/handpumps_WASH_agency]]+WWWW[[#This Row],['#_Non-Cluster partner water tube-wells/boreholes/handpumps]])-WWWW[[#This Row],['#_Non-functional tube wells/boreholes/handpumps]]</f>
        <v>0</v>
      </c>
      <c r="BV40" s="81">
        <f>WWWW[[#This Row],['#_Constructed/Existingwater storage tank with gravity fed reticulation system]]-WWWW[[#This Row],['#_Non-functional storage tank gravity fed reticulation system]]</f>
        <v>0</v>
      </c>
      <c r="BW40" s="81">
        <f>WWWW[[#This Row],['#_Water boating or water trucking]]</f>
        <v>0</v>
      </c>
      <c r="BX40" s="81">
        <f>WWWW[[#This Row],['#_Constructed/Existing water distribution system from river or natural spring]]</f>
        <v>0</v>
      </c>
      <c r="BY40"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0"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0" s="82">
        <f>IF(WWWW[[#This Row],[Location Type 1]]="Village",WWWW[[#This Row],[Access to safe drinking water for Village]],WWWW[[#This Row],[Access to safe drinking water for Camp]])</f>
        <v>0</v>
      </c>
      <c r="CB40" s="80">
        <f>WWWW[[#This Row],[%Equitable and continuous access to sufficient quantity of safe drinking water]]*WWWW[[#This Row],[Total PoP ]]</f>
        <v>0</v>
      </c>
      <c r="CC40" s="82">
        <f>IF((WWWW[[#This Row],['#_Constructed/Existing protected/fenced ponds]]*250)/WWWW[[#This Row],[Total PoP ]]&gt;1,1,(WWWW[[#This Row],['#_Constructed/Existing protected/fenced ponds]]*250)/WWWW[[#This Row],[Total PoP ]])</f>
        <v>0</v>
      </c>
      <c r="CD40" s="80">
        <f>WWWW[[#This Row],[% Access to unimproved water points]]*WWWW[[#This Row],[Total PoP ]]</f>
        <v>0</v>
      </c>
      <c r="CE40"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0"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0" s="80">
        <f>WWWW[[#This Row],[HRP1]]/500</f>
        <v>0</v>
      </c>
      <c r="CH40" s="79">
        <f>1-WWWW[[#This Row],[% Equitable and continuous access to sufficient quantity of domestic water]]</f>
        <v>1</v>
      </c>
      <c r="CI40" s="80">
        <f>WWWW[[#This Row],[%equitable and continuous access to sufficient quantity of safe drinking and domestic water''s GAP]]*WWWW[[#This Row],[Total PoP ]]</f>
        <v>32</v>
      </c>
      <c r="CJ40" s="81">
        <f>IF(WWWW[[#This Row],[Total required water points]]-WWWW[[#This Row],['#Water points coverage]]&lt;0,0,WWWW[[#This Row],[Total required water points]]-WWWW[[#This Row],['#Water points coverage]])</f>
        <v>1</v>
      </c>
      <c r="CK40" s="81">
        <f>ROUND(IF(WWWW[[#This Row],[Total PoP ]]&lt;500,1,WWWW[[#This Row],[Total PoP ]]/500),0)</f>
        <v>1</v>
      </c>
      <c r="CL40" s="81">
        <f>(WWWW[[#This Row],['#_Constructed latrines_by_WASHAgencies]]+WWWW[[#This Row],['#_Non Cluster partner latrines]])-WWWW[[#This Row],['#_Non-functional latrines]]</f>
        <v>0</v>
      </c>
      <c r="CM40"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0"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0"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0" s="81">
        <f>IF(WWWW[[#This Row],[Location Type 1]]="Village","NA",IF(WWWW[[#This Row],['#_Constructed/Existing latrines in TLS]]*50&gt;WWWW[[#This Row],['#_students at TLS_CFS]],WWWW[[#This Row],['#_students at TLS_CFS]],(WWWW[[#This Row],['#_Constructed/Existing latrines in TLS]]*50)))</f>
        <v>0</v>
      </c>
      <c r="CQ40" s="81">
        <f>ROUND(IF(WWWW[[#This Row],[Location Type 1]]="camp",WWWW[[#This Row],[Total PoP ]]/20,IF(WWWW[[#This Row],[Location Type 1]]="Temporary Location",WWWW[[#This Row],[Total PoP ]]/50,(WWWW[[#This Row],[Total PoP ]]/6))),0)</f>
        <v>2</v>
      </c>
      <c r="CR40" s="80">
        <f>IF(WWWW[[#This Row],[Total required Latrines]]-(WWWW[[#This Row],['#_Constructed latrines_by_WASHAgencies]]+WWWW[[#This Row],['#_Non Cluster partner latrines]])&lt;0,0,WWWW[[#This Row],[Total required Latrines]]-(WWWW[[#This Row],['#_Constructed latrines_by_WASHAgencies]]+WWWW[[#This Row],['#_Non Cluster partner latrines]]))</f>
        <v>2</v>
      </c>
      <c r="CS40" s="79">
        <f>1-WWWW[[#This Row],[% people access to functioning Latrine]]</f>
        <v>1</v>
      </c>
      <c r="CT40" s="83">
        <f>IF(OR(WWWW[[#This Row],['#_Non-functional latrines]]="",WWWW[[#This Row],['#_Non-functional latrines]]=0),0,WWWW[[#This Row],['#_Non-functional latrines]]/(WWWW[[#This Row],['#_Constructed latrines_by_WASHAgencies]]+WWWW[[#This Row],['#_Non Cluster partner latrines]]))</f>
        <v>0</v>
      </c>
      <c r="CU40" s="80">
        <f>IF(500*(WWWW[[#This Row],['#_male hygiene promoters]]+WWWW[[#This Row],['#_female hygiene promoters]])&gt;WWWW[[#This Row],[Total PoP ]],WWWW[[#This Row],[Total PoP ]],500*(WWWW[[#This Row],['#_male hygiene promoters]]+WWWW[[#This Row],['#_female hygiene promoters]]))</f>
        <v>0</v>
      </c>
      <c r="CV40"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0"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0" s="81">
        <f>IF(WWWW[[#This Row],['# People with access to soap]]&gt;WWWW[[#This Row],['# People with access to Sanity Pads]],WWWW[[#This Row],['# People with access to soap]],WWWW[[#This Row],['# People with access to Sanity Pads]])</f>
        <v>0</v>
      </c>
      <c r="CY40"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0" s="79">
        <f>IF(WWWW[[#This Row],[HRP3]]/WWWW[[#This Row],[Total PoP ]]&gt;100%,100%,WWWW[[#This Row],[HRP3]]/WWWW[[#This Row],[Total PoP ]])</f>
        <v>0</v>
      </c>
      <c r="DA40" s="83">
        <f>1-WWWW[[#This Row],[Hygiene Coverage%]]</f>
        <v>1</v>
      </c>
      <c r="DB40" s="82">
        <f>WWWW[[#This Row],['# people reached by regular dedicated hygiene promotion_5]]/WWWW[[#This Row],[Total PoP ]]</f>
        <v>0</v>
      </c>
      <c r="DC40" s="82">
        <f>IF(WWWW[[#This Row],['#_households that received standard amount of soap for this quarter]]/WWWW[[#This Row],[Total HH]]&gt;1,1,WWWW[[#This Row],['#_households that received standard amount of soap for this quarter]]/WWWW[[#This Row],[Total HH]])</f>
        <v>0</v>
      </c>
      <c r="DD40" s="82">
        <f>IF(WWWW[[#This Row],['#_households that received standard amount of sanitary pads for this quarter]]/WWWW[[#This Row],[Total HH]]&gt;1,1,WWWW[[#This Row],['#_households that received standard amount of sanitary pads for this quarter]]/WWWW[[#This Row],[Total HH]])</f>
        <v>0</v>
      </c>
      <c r="DE40" s="81">
        <f>WWWW[[#This Row],['#_Constructed/Existing hand washing stations]]-WWWW[[#This Row],['#_Non-Functional_hand_washing_stations]]</f>
        <v>0</v>
      </c>
      <c r="DF40" s="667">
        <f>IF(WWWW[[#This Row],['# Functional hand washing stations during reporting period]]*20&gt;WWWW[[#This Row],[Total HH]],WWWW[[#This Row],[Total HH]],WWWW[[#This Row],['# Functional hand washing stations during reporting period]]*20)</f>
        <v>0</v>
      </c>
      <c r="DG40" s="80">
        <f>IF(WWWW[[#This Row],[Is sufficient soap available for TLS? (Yes/No)]]="yes",WWWW[[#This Row],['#_Constructed/Existing hand washing stations at TLS]],0)</f>
        <v>0</v>
      </c>
      <c r="DH40" s="667">
        <f>IF(WWWW[[#This Row],['# Functional hand washing stations during reporting period]]*100&gt;WWWW[[#This Row],[Total PoP ]],WWWW[[#This Row],[Total PoP ]],WWWW[[#This Row],['# Functional hand washing stations during reporting period]]*100)</f>
        <v>0</v>
      </c>
      <c r="DI40" s="667" t="str">
        <f>IF(WWWW[[#This Row],['#_students at TLS_CFS]]="","No","Yes")</f>
        <v>No</v>
      </c>
      <c r="DJ40" s="245">
        <f>VLOOKUP(WWWW[[#This Row],[Site Name]],SiteDB6[[Site Name]:[CCCM Management]],6,FALSE)</f>
        <v>0</v>
      </c>
      <c r="DK40" s="245" t="str">
        <f>VLOOKUP(WWWW[[#This Row],[Site Name]],SiteDB6[[Site Name]:[CCCM Focal Agency]],7,FALSE)</f>
        <v>uncovered</v>
      </c>
      <c r="DL40" s="245" t="str">
        <f>VLOOKUP(WWWW[[#This Row],[Site Name]],SiteDB6[[Site Name]:[Location Type 1]],9,FALSE)</f>
        <v>Camp</v>
      </c>
      <c r="DM40" s="245" t="str">
        <f>VLOOKUP(WWWW[[#This Row],[Site Name]],SiteDB6[[Site Name]:[Type of Accommodation]],10,FALSE)</f>
        <v>Camp like setting</v>
      </c>
      <c r="DN40" s="245" t="str">
        <f>VLOOKUP(WWWW[[#This Row],[Site Name]],SiteDB6[[Site Name]:[Ethnic or GCA/NGCA]],11,FALSE)</f>
        <v>GCA</v>
      </c>
      <c r="DO40" s="245">
        <f>VLOOKUP(WWWW[[#This Row],[Site Name]],SiteDB6[[Site Name]:[Lat]],12,FALSE)</f>
        <v>0</v>
      </c>
      <c r="DP40" s="245">
        <f>VLOOKUP(WWWW[[#This Row],[Site Name]],SiteDB6[[Site Name]:[Long]],13,FALSE)</f>
        <v>0</v>
      </c>
      <c r="DQ40" s="245" t="str">
        <f>VLOOKUP(WWWW[[#This Row],[Site Name]],SiteDB6[[Site Name]:[Pcode]],3,FALSE)</f>
        <v>MMR001CMP262</v>
      </c>
      <c r="DR40" s="215" t="str">
        <f t="shared" si="1"/>
        <v>Notcovered</v>
      </c>
      <c r="DS40" s="215"/>
      <c r="DT40" s="20"/>
      <c r="DU40" s="20"/>
      <c r="DV40" s="20"/>
      <c r="DW40" s="20"/>
      <c r="DX40" s="20"/>
      <c r="DY40" s="20"/>
      <c r="DZ40" s="20"/>
      <c r="EA40" s="20"/>
      <c r="EB40" s="20"/>
      <c r="EC40" s="20"/>
      <c r="ED40" s="20"/>
      <c r="EE40" s="20"/>
      <c r="EF40" s="20"/>
      <c r="EG40" s="20"/>
      <c r="EH40" s="20"/>
    </row>
    <row r="41" spans="1:138" ht="15.75" customHeight="1">
      <c r="A41" s="259" t="s">
        <v>2525</v>
      </c>
      <c r="B41" s="663" t="s">
        <v>317</v>
      </c>
      <c r="C41" s="663" t="s">
        <v>317</v>
      </c>
      <c r="D41" s="663"/>
      <c r="E41" s="663" t="s">
        <v>39</v>
      </c>
      <c r="F41" s="663" t="s">
        <v>156</v>
      </c>
      <c r="G41" s="663" t="str">
        <f>VLOOKUP(WWWW[[#This Row],[Site Name]],SiteDB6[[Site Name]:[Location Type]],8,FALSE)</f>
        <v>Camp</v>
      </c>
      <c r="H41" s="844" t="s">
        <v>265</v>
      </c>
      <c r="I41" s="700">
        <v>3</v>
      </c>
      <c r="J41" s="700">
        <v>15</v>
      </c>
      <c r="K41" s="642"/>
      <c r="L41" s="78">
        <v>44043</v>
      </c>
      <c r="M41" s="700"/>
      <c r="N41" s="700">
        <v>0</v>
      </c>
      <c r="O41" s="700"/>
      <c r="P41" s="700"/>
      <c r="Q41" s="663" t="s">
        <v>43</v>
      </c>
      <c r="R41" s="377"/>
      <c r="S41" s="377"/>
      <c r="T41" s="377">
        <v>1</v>
      </c>
      <c r="U41" s="377"/>
      <c r="V41" s="377"/>
      <c r="W41" s="377">
        <v>1</v>
      </c>
      <c r="X41" s="377"/>
      <c r="Y41" s="377"/>
      <c r="Z41" s="377"/>
      <c r="AA41" s="377">
        <v>0</v>
      </c>
      <c r="AB41" s="377"/>
      <c r="AC41" s="377"/>
      <c r="AD41" s="377"/>
      <c r="AE41" s="377"/>
      <c r="AF41" s="377"/>
      <c r="AG41" s="377"/>
      <c r="AH41" s="377">
        <v>1</v>
      </c>
      <c r="AI41" s="377"/>
      <c r="AJ41" s="377"/>
      <c r="AK41" s="377"/>
      <c r="AL41" s="377"/>
      <c r="AM41" s="377"/>
      <c r="AN41" s="377"/>
      <c r="AO41" s="215"/>
      <c r="AP41" s="377">
        <v>0</v>
      </c>
      <c r="AQ41" s="377"/>
      <c r="AR41" s="77"/>
      <c r="AS41" s="377"/>
      <c r="AT41" s="377"/>
      <c r="AU41" s="377"/>
      <c r="AV41" s="377"/>
      <c r="AW41" s="700">
        <v>0</v>
      </c>
      <c r="AX41" s="694" t="s">
        <v>43</v>
      </c>
      <c r="AY41" s="245" t="s">
        <v>1200</v>
      </c>
      <c r="AZ41" s="377"/>
      <c r="BA41" s="377"/>
      <c r="BB41" s="377"/>
      <c r="BC41" s="215"/>
      <c r="BD41" s="377"/>
      <c r="BE41" s="377"/>
      <c r="BF41" s="377">
        <v>0</v>
      </c>
      <c r="BG41" s="377"/>
      <c r="BH41" s="377"/>
      <c r="BI41" s="377"/>
      <c r="BJ41" s="377"/>
      <c r="BK41" s="377"/>
      <c r="BL41" s="377"/>
      <c r="BM41" s="215"/>
      <c r="BN41" s="80"/>
      <c r="BO41" s="82"/>
      <c r="BP41" s="215"/>
      <c r="BQ41" s="79" t="str">
        <f>IFERROR(WWWW[[#This Row],['#_Water sources treated]]/WWWW[[#This Row],['#_Water sources tested for contamination]],"no test")</f>
        <v>no test</v>
      </c>
      <c r="BR41" s="82" t="str">
        <f>IFERROR(WWWW[[#This Row],['#_Household received remediation action due to contamination]]/WWWW[[#This Row],['#_Household water samples tested for contamination]],"no test")</f>
        <v>no test</v>
      </c>
      <c r="BS41" s="81" t="str">
        <f>IF(AND(WWWW[[#This Row],[% of water sources treated]]="no test",WWWW[[#This Row],[% Household received corrective actions]]="no test"),"No Test","Tested")</f>
        <v>No Test</v>
      </c>
      <c r="BT41" s="81">
        <f>WWWW[[#This Row],['#_Constructed/existing protected hand dug well]]-WWWW[[#This Row],['#_Non-functional protected hand dug well]]</f>
        <v>1</v>
      </c>
      <c r="BU41" s="81">
        <f>(WWWW[[#This Row],['#_Constructed/Existing tube wells/boreholes/handpumps_WASH_agency]]+WWWW[[#This Row],['#_Non-Cluster partner water tube-wells/boreholes/handpumps]])-WWWW[[#This Row],['#_Non-functional tube wells/boreholes/handpumps]]</f>
        <v>1</v>
      </c>
      <c r="BV41" s="81">
        <f>WWWW[[#This Row],['#_Constructed/Existingwater storage tank with gravity fed reticulation system]]-WWWW[[#This Row],['#_Non-functional storage tank gravity fed reticulation system]]</f>
        <v>0</v>
      </c>
      <c r="BW41" s="81">
        <f>WWWW[[#This Row],['#_Water boating or water trucking]]</f>
        <v>0</v>
      </c>
      <c r="BX41" s="81">
        <f>WWWW[[#This Row],['#_Constructed/Existing water distribution system from river or natural spring]]</f>
        <v>0</v>
      </c>
      <c r="BY41"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41"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41" s="82">
        <f>IF(WWWW[[#This Row],[Location Type 1]]="Village",WWWW[[#This Row],[Access to safe drinking water for Village]],WWWW[[#This Row],[Access to safe drinking water for Camp]])</f>
        <v>1</v>
      </c>
      <c r="CB41" s="80">
        <f>WWWW[[#This Row],[%Equitable and continuous access to sufficient quantity of safe drinking water]]*WWWW[[#This Row],[Total PoP ]]</f>
        <v>15</v>
      </c>
      <c r="CC41" s="82">
        <f>IF((WWWW[[#This Row],['#_Constructed/Existing protected/fenced ponds]]*250)/WWWW[[#This Row],[Total PoP ]]&gt;1,1,(WWWW[[#This Row],['#_Constructed/Existing protected/fenced ponds]]*250)/WWWW[[#This Row],[Total PoP ]])</f>
        <v>0</v>
      </c>
      <c r="CD41" s="80">
        <f>WWWW[[#This Row],[% Access to unimproved water points]]*WWWW[[#This Row],[Total PoP ]]</f>
        <v>0</v>
      </c>
      <c r="CE41"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41"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v>
      </c>
      <c r="CG41" s="80">
        <f>WWWW[[#This Row],[HRP1]]/500</f>
        <v>0.03</v>
      </c>
      <c r="CH41" s="79">
        <f>1-WWWW[[#This Row],[% Equitable and continuous access to sufficient quantity of domestic water]]</f>
        <v>0</v>
      </c>
      <c r="CI41" s="80">
        <f>WWWW[[#This Row],[%equitable and continuous access to sufficient quantity of safe drinking and domestic water''s GAP]]*WWWW[[#This Row],[Total PoP ]]</f>
        <v>0</v>
      </c>
      <c r="CJ41" s="81">
        <f>IF(WWWW[[#This Row],[Total required water points]]-WWWW[[#This Row],['#Water points coverage]]&lt;0,0,WWWW[[#This Row],[Total required water points]]-WWWW[[#This Row],['#Water points coverage]])</f>
        <v>0.97</v>
      </c>
      <c r="CK41" s="81">
        <f>ROUND(IF(WWWW[[#This Row],[Total PoP ]]&lt;500,1,WWWW[[#This Row],[Total PoP ]]/500),0)</f>
        <v>1</v>
      </c>
      <c r="CL41" s="81">
        <f>(WWWW[[#This Row],['#_Constructed latrines_by_WASHAgencies]]+WWWW[[#This Row],['#_Non Cluster partner latrines]])-WWWW[[#This Row],['#_Non-functional latrines]]</f>
        <v>0</v>
      </c>
      <c r="CM41"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1"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1"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1" s="81">
        <f>IF(WWWW[[#This Row],[Location Type 1]]="Village","NA",IF(WWWW[[#This Row],['#_Constructed/Existing latrines in TLS]]*50&gt;WWWW[[#This Row],['#_students at TLS_CFS]],WWWW[[#This Row],['#_students at TLS_CFS]],(WWWW[[#This Row],['#_Constructed/Existing latrines in TLS]]*50)))</f>
        <v>0</v>
      </c>
      <c r="CQ41" s="81">
        <f>ROUND(IF(WWWW[[#This Row],[Location Type 1]]="camp",WWWW[[#This Row],[Total PoP ]]/20,IF(WWWW[[#This Row],[Location Type 1]]="Temporary Location",WWWW[[#This Row],[Total PoP ]]/50,(WWWW[[#This Row],[Total PoP ]]/6))),0)</f>
        <v>1</v>
      </c>
      <c r="CR41" s="80">
        <f>IF(WWWW[[#This Row],[Total required Latrines]]-(WWWW[[#This Row],['#_Constructed latrines_by_WASHAgencies]]+WWWW[[#This Row],['#_Non Cluster partner latrines]])&lt;0,0,WWWW[[#This Row],[Total required Latrines]]-(WWWW[[#This Row],['#_Constructed latrines_by_WASHAgencies]]+WWWW[[#This Row],['#_Non Cluster partner latrines]]))</f>
        <v>1</v>
      </c>
      <c r="CS41" s="79">
        <f>1-WWWW[[#This Row],[% people access to functioning Latrine]]</f>
        <v>1</v>
      </c>
      <c r="CT41" s="83">
        <f>IF(OR(WWWW[[#This Row],['#_Non-functional latrines]]="",WWWW[[#This Row],['#_Non-functional latrines]]=0),0,WWWW[[#This Row],['#_Non-functional latrines]]/(WWWW[[#This Row],['#_Constructed latrines_by_WASHAgencies]]+WWWW[[#This Row],['#_Non Cluster partner latrines]]))</f>
        <v>0</v>
      </c>
      <c r="CU41" s="80">
        <f>IF(500*(WWWW[[#This Row],['#_male hygiene promoters]]+WWWW[[#This Row],['#_female hygiene promoters]])&gt;WWWW[[#This Row],[Total PoP ]],WWWW[[#This Row],[Total PoP ]],500*(WWWW[[#This Row],['#_male hygiene promoters]]+WWWW[[#This Row],['#_female hygiene promoters]]))</f>
        <v>0</v>
      </c>
      <c r="CV41"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1"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1" s="81">
        <f>IF(WWWW[[#This Row],['# People with access to soap]]&gt;WWWW[[#This Row],['# People with access to Sanity Pads]],WWWW[[#This Row],['# People with access to soap]],WWWW[[#This Row],['# People with access to Sanity Pads]])</f>
        <v>0</v>
      </c>
      <c r="CY41"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1" s="79">
        <f>IF(WWWW[[#This Row],[HRP3]]/WWWW[[#This Row],[Total PoP ]]&gt;100%,100%,WWWW[[#This Row],[HRP3]]/WWWW[[#This Row],[Total PoP ]])</f>
        <v>0</v>
      </c>
      <c r="DA41" s="83">
        <f>1-WWWW[[#This Row],[Hygiene Coverage%]]</f>
        <v>1</v>
      </c>
      <c r="DB41" s="82">
        <f>WWWW[[#This Row],['# people reached by regular dedicated hygiene promotion_5]]/WWWW[[#This Row],[Total PoP ]]</f>
        <v>0</v>
      </c>
      <c r="DC41" s="82">
        <f>IF(WWWW[[#This Row],['#_households that received standard amount of soap for this quarter]]/WWWW[[#This Row],[Total HH]]&gt;1,1,WWWW[[#This Row],['#_households that received standard amount of soap for this quarter]]/WWWW[[#This Row],[Total HH]])</f>
        <v>0</v>
      </c>
      <c r="DD41" s="82">
        <f>IF(WWWW[[#This Row],['#_households that received standard amount of sanitary pads for this quarter]]/WWWW[[#This Row],[Total HH]]&gt;1,1,WWWW[[#This Row],['#_households that received standard amount of sanitary pads for this quarter]]/WWWW[[#This Row],[Total HH]])</f>
        <v>0</v>
      </c>
      <c r="DE41" s="81">
        <f>WWWW[[#This Row],['#_Constructed/Existing hand washing stations]]-WWWW[[#This Row],['#_Non-Functional_hand_washing_stations]]</f>
        <v>0</v>
      </c>
      <c r="DF41" s="667">
        <f>IF(WWWW[[#This Row],['# Functional hand washing stations during reporting period]]*20&gt;WWWW[[#This Row],[Total HH]],WWWW[[#This Row],[Total HH]],WWWW[[#This Row],['# Functional hand washing stations during reporting period]]*20)</f>
        <v>0</v>
      </c>
      <c r="DG41" s="80">
        <f>IF(WWWW[[#This Row],[Is sufficient soap available for TLS? (Yes/No)]]="yes",WWWW[[#This Row],['#_Constructed/Existing hand washing stations at TLS]],0)</f>
        <v>0</v>
      </c>
      <c r="DH41" s="667">
        <f>IF(WWWW[[#This Row],['# Functional hand washing stations during reporting period]]*100&gt;WWWW[[#This Row],[Total PoP ]],WWWW[[#This Row],[Total PoP ]],WWWW[[#This Row],['# Functional hand washing stations during reporting period]]*100)</f>
        <v>0</v>
      </c>
      <c r="DI41" s="667" t="str">
        <f>IF(WWWW[[#This Row],['#_students at TLS_CFS]]="","No","Yes")</f>
        <v>No</v>
      </c>
      <c r="DJ41" s="245" t="str">
        <f>VLOOKUP(WWWW[[#This Row],[Site Name]],SiteDB6[[Site Name]:[CCCM Management]],6,FALSE)</f>
        <v>Yes</v>
      </c>
      <c r="DK41" s="245" t="str">
        <f>VLOOKUP(WWWW[[#This Row],[Site Name]],SiteDB6[[Site Name]:[CCCM Focal Agency]],7,FALSE)</f>
        <v>uncovered</v>
      </c>
      <c r="DL41" s="245" t="str">
        <f>VLOOKUP(WWWW[[#This Row],[Site Name]],SiteDB6[[Site Name]:[Location Type 1]],9,FALSE)</f>
        <v>Camp</v>
      </c>
      <c r="DM41" s="245" t="str">
        <f>VLOOKUP(WWWW[[#This Row],[Site Name]],SiteDB6[[Site Name]:[Type of Accommodation]],10,FALSE)</f>
        <v>Camp like setting</v>
      </c>
      <c r="DN41" s="245" t="str">
        <f>VLOOKUP(WWWW[[#This Row],[Site Name]],SiteDB6[[Site Name]:[Ethnic or GCA/NGCA]],11,FALSE)</f>
        <v>GCA</v>
      </c>
      <c r="DO41" s="245">
        <f>VLOOKUP(WWWW[[#This Row],[Site Name]],SiteDB6[[Site Name]:[Lat]],12,FALSE)</f>
        <v>25.6145</v>
      </c>
      <c r="DP41" s="245">
        <f>VLOOKUP(WWWW[[#This Row],[Site Name]],SiteDB6[[Site Name]:[Long]],13,FALSE)</f>
        <v>96.319829999999996</v>
      </c>
      <c r="DQ41" s="245" t="str">
        <f>VLOOKUP(WWWW[[#This Row],[Site Name]],SiteDB6[[Site Name]:[Pcode]],3,FALSE)</f>
        <v>MMR001CMP091</v>
      </c>
      <c r="DR41" s="215" t="str">
        <f t="shared" si="1"/>
        <v>Notcovered</v>
      </c>
      <c r="DS41" s="215"/>
      <c r="DT41" s="20"/>
      <c r="DU41" s="20"/>
      <c r="DV41" s="20"/>
      <c r="DW41" s="20"/>
      <c r="DX41" s="20"/>
      <c r="DY41" s="20"/>
      <c r="DZ41" s="20"/>
      <c r="EA41" s="20"/>
      <c r="EB41" s="20"/>
      <c r="EC41" s="20"/>
      <c r="ED41" s="20"/>
      <c r="EE41" s="20"/>
      <c r="EF41" s="20"/>
      <c r="EG41" s="20"/>
      <c r="EH41" s="20"/>
    </row>
    <row r="42" spans="1:138" ht="15.75" customHeight="1">
      <c r="A42" s="259" t="s">
        <v>2525</v>
      </c>
      <c r="B42" s="663" t="s">
        <v>317</v>
      </c>
      <c r="C42" s="663" t="s">
        <v>317</v>
      </c>
      <c r="D42" s="663" t="s">
        <v>158</v>
      </c>
      <c r="E42" s="663" t="s">
        <v>39</v>
      </c>
      <c r="F42" s="663" t="s">
        <v>156</v>
      </c>
      <c r="G42" s="663" t="str">
        <f>VLOOKUP(WWWW[[#This Row],[Site Name]],SiteDB6[[Site Name]:[Location Type]],8,FALSE)</f>
        <v>Camp</v>
      </c>
      <c r="H42" s="77" t="s">
        <v>198</v>
      </c>
      <c r="I42" s="700">
        <v>10</v>
      </c>
      <c r="J42" s="700">
        <v>18</v>
      </c>
      <c r="K42" s="642"/>
      <c r="L42" s="78">
        <v>43465</v>
      </c>
      <c r="M42" s="700"/>
      <c r="N42" s="700"/>
      <c r="O42" s="700"/>
      <c r="P42" s="700"/>
      <c r="Q42" s="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215"/>
      <c r="AP42" s="377"/>
      <c r="AQ42" s="377"/>
      <c r="AR42" s="77"/>
      <c r="AS42" s="377"/>
      <c r="AT42" s="377"/>
      <c r="AU42" s="377"/>
      <c r="AV42" s="377"/>
      <c r="AW42" s="377"/>
      <c r="AX42" s="245"/>
      <c r="AY42" s="245"/>
      <c r="AZ42" s="377"/>
      <c r="BA42" s="377"/>
      <c r="BB42" s="377"/>
      <c r="BC42" s="215"/>
      <c r="BD42" s="377"/>
      <c r="BE42" s="377"/>
      <c r="BF42" s="377"/>
      <c r="BG42" s="377"/>
      <c r="BH42" s="377"/>
      <c r="BI42" s="377"/>
      <c r="BJ42" s="377"/>
      <c r="BK42" s="377"/>
      <c r="BL42" s="377"/>
      <c r="BM42" s="215"/>
      <c r="BN42" s="80"/>
      <c r="BO42" s="82"/>
      <c r="BP42" s="215"/>
      <c r="BQ42" s="79" t="str">
        <f>IFERROR(WWWW[[#This Row],['#_Water sources treated]]/WWWW[[#This Row],['#_Water sources tested for contamination]],"no test")</f>
        <v>no test</v>
      </c>
      <c r="BR42" s="82" t="str">
        <f>IFERROR(WWWW[[#This Row],['#_Household received remediation action due to contamination]]/WWWW[[#This Row],['#_Household water samples tested for contamination]],"no test")</f>
        <v>no test</v>
      </c>
      <c r="BS42" s="81" t="str">
        <f>IF(AND(WWWW[[#This Row],[% of water sources treated]]="no test",WWWW[[#This Row],[% Household received corrective actions]]="no test"),"No Test","Tested")</f>
        <v>No Test</v>
      </c>
      <c r="BT42" s="81">
        <f>WWWW[[#This Row],['#_Constructed/existing protected hand dug well]]-WWWW[[#This Row],['#_Non-functional protected hand dug well]]</f>
        <v>0</v>
      </c>
      <c r="BU42" s="81">
        <f>(WWWW[[#This Row],['#_Constructed/Existing tube wells/boreholes/handpumps_WASH_agency]]+WWWW[[#This Row],['#_Non-Cluster partner water tube-wells/boreholes/handpumps]])-WWWW[[#This Row],['#_Non-functional tube wells/boreholes/handpumps]]</f>
        <v>0</v>
      </c>
      <c r="BV42" s="81">
        <f>WWWW[[#This Row],['#_Constructed/Existingwater storage tank with gravity fed reticulation system]]-WWWW[[#This Row],['#_Non-functional storage tank gravity fed reticulation system]]</f>
        <v>0</v>
      </c>
      <c r="BW42" s="81">
        <f>WWWW[[#This Row],['#_Water boating or water trucking]]</f>
        <v>0</v>
      </c>
      <c r="BX42" s="81">
        <f>WWWW[[#This Row],['#_Constructed/Existing water distribution system from river or natural spring]]</f>
        <v>0</v>
      </c>
      <c r="BY42"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2"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2" s="82">
        <f>IF(WWWW[[#This Row],[Location Type 1]]="Village",WWWW[[#This Row],[Access to safe drinking water for Village]],WWWW[[#This Row],[Access to safe drinking water for Camp]])</f>
        <v>0</v>
      </c>
      <c r="CB42" s="80">
        <f>WWWW[[#This Row],[%Equitable and continuous access to sufficient quantity of safe drinking water]]*WWWW[[#This Row],[Total PoP ]]</f>
        <v>0</v>
      </c>
      <c r="CC42" s="82">
        <f>IF((WWWW[[#This Row],['#_Constructed/Existing protected/fenced ponds]]*250)/WWWW[[#This Row],[Total PoP ]]&gt;1,1,(WWWW[[#This Row],['#_Constructed/Existing protected/fenced ponds]]*250)/WWWW[[#This Row],[Total PoP ]])</f>
        <v>0</v>
      </c>
      <c r="CD42" s="80">
        <f>WWWW[[#This Row],[% Access to unimproved water points]]*WWWW[[#This Row],[Total PoP ]]</f>
        <v>0</v>
      </c>
      <c r="CE42"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2"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2" s="80">
        <f>WWWW[[#This Row],[HRP1]]/500</f>
        <v>0</v>
      </c>
      <c r="CH42" s="79">
        <f>1-WWWW[[#This Row],[% Equitable and continuous access to sufficient quantity of domestic water]]</f>
        <v>1</v>
      </c>
      <c r="CI42" s="80">
        <f>WWWW[[#This Row],[%equitable and continuous access to sufficient quantity of safe drinking and domestic water''s GAP]]*WWWW[[#This Row],[Total PoP ]]</f>
        <v>18</v>
      </c>
      <c r="CJ42" s="81">
        <f>IF(WWWW[[#This Row],[Total required water points]]-WWWW[[#This Row],['#Water points coverage]]&lt;0,0,WWWW[[#This Row],[Total required water points]]-WWWW[[#This Row],['#Water points coverage]])</f>
        <v>1</v>
      </c>
      <c r="CK42" s="81">
        <f>ROUND(IF(WWWW[[#This Row],[Total PoP ]]&lt;500,1,WWWW[[#This Row],[Total PoP ]]/500),0)</f>
        <v>1</v>
      </c>
      <c r="CL42" s="81">
        <f>(WWWW[[#This Row],['#_Constructed latrines_by_WASHAgencies]]+WWWW[[#This Row],['#_Non Cluster partner latrines]])-WWWW[[#This Row],['#_Non-functional latrines]]</f>
        <v>0</v>
      </c>
      <c r="CM42"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2"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2"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2" s="81">
        <f>IF(WWWW[[#This Row],[Location Type 1]]="Village","NA",IF(WWWW[[#This Row],['#_Constructed/Existing latrines in TLS]]*50&gt;WWWW[[#This Row],['#_students at TLS_CFS]],WWWW[[#This Row],['#_students at TLS_CFS]],(WWWW[[#This Row],['#_Constructed/Existing latrines in TLS]]*50)))</f>
        <v>0</v>
      </c>
      <c r="CQ42" s="81">
        <f>ROUND(IF(WWWW[[#This Row],[Location Type 1]]="camp",WWWW[[#This Row],[Total PoP ]]/20,IF(WWWW[[#This Row],[Location Type 1]]="Temporary Location",WWWW[[#This Row],[Total PoP ]]/50,(WWWW[[#This Row],[Total PoP ]]/6))),0)</f>
        <v>1</v>
      </c>
      <c r="CR42" s="80">
        <f>IF(WWWW[[#This Row],[Total required Latrines]]-(WWWW[[#This Row],['#_Constructed latrines_by_WASHAgencies]]+WWWW[[#This Row],['#_Non Cluster partner latrines]])&lt;0,0,WWWW[[#This Row],[Total required Latrines]]-(WWWW[[#This Row],['#_Constructed latrines_by_WASHAgencies]]+WWWW[[#This Row],['#_Non Cluster partner latrines]]))</f>
        <v>1</v>
      </c>
      <c r="CS42" s="79">
        <f>1-WWWW[[#This Row],[% people access to functioning Latrine]]</f>
        <v>1</v>
      </c>
      <c r="CT42" s="83">
        <f>IF(OR(WWWW[[#This Row],['#_Non-functional latrines]]="",WWWW[[#This Row],['#_Non-functional latrines]]=0),0,WWWW[[#This Row],['#_Non-functional latrines]]/(WWWW[[#This Row],['#_Constructed latrines_by_WASHAgencies]]+WWWW[[#This Row],['#_Non Cluster partner latrines]]))</f>
        <v>0</v>
      </c>
      <c r="CU42" s="80">
        <f>IF(500*(WWWW[[#This Row],['#_male hygiene promoters]]+WWWW[[#This Row],['#_female hygiene promoters]])&gt;WWWW[[#This Row],[Total PoP ]],WWWW[[#This Row],[Total PoP ]],500*(WWWW[[#This Row],['#_male hygiene promoters]]+WWWW[[#This Row],['#_female hygiene promoters]]))</f>
        <v>0</v>
      </c>
      <c r="CV42"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2"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2" s="81">
        <f>IF(WWWW[[#This Row],['# People with access to soap]]&gt;WWWW[[#This Row],['# People with access to Sanity Pads]],WWWW[[#This Row],['# People with access to soap]],WWWW[[#This Row],['# People with access to Sanity Pads]])</f>
        <v>0</v>
      </c>
      <c r="CY42"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2" s="79">
        <f>IF(WWWW[[#This Row],[HRP3]]/WWWW[[#This Row],[Total PoP ]]&gt;100%,100%,WWWW[[#This Row],[HRP3]]/WWWW[[#This Row],[Total PoP ]])</f>
        <v>0</v>
      </c>
      <c r="DA42" s="83">
        <f>1-WWWW[[#This Row],[Hygiene Coverage%]]</f>
        <v>1</v>
      </c>
      <c r="DB42" s="82">
        <f>WWWW[[#This Row],['# people reached by regular dedicated hygiene promotion_5]]/WWWW[[#This Row],[Total PoP ]]</f>
        <v>0</v>
      </c>
      <c r="DC42" s="82">
        <f>IF(WWWW[[#This Row],['#_households that received standard amount of soap for this quarter]]/WWWW[[#This Row],[Total HH]]&gt;1,1,WWWW[[#This Row],['#_households that received standard amount of soap for this quarter]]/WWWW[[#This Row],[Total HH]])</f>
        <v>0</v>
      </c>
      <c r="DD42" s="82">
        <f>IF(WWWW[[#This Row],['#_households that received standard amount of sanitary pads for this quarter]]/WWWW[[#This Row],[Total HH]]&gt;1,1,WWWW[[#This Row],['#_households that received standard amount of sanitary pads for this quarter]]/WWWW[[#This Row],[Total HH]])</f>
        <v>0</v>
      </c>
      <c r="DE42" s="81">
        <f>WWWW[[#This Row],['#_Constructed/Existing hand washing stations]]-WWWW[[#This Row],['#_Non-Functional_hand_washing_stations]]</f>
        <v>0</v>
      </c>
      <c r="DF42" s="667">
        <f>IF(WWWW[[#This Row],['# Functional hand washing stations during reporting period]]*20&gt;WWWW[[#This Row],[Total HH]],WWWW[[#This Row],[Total HH]],WWWW[[#This Row],['# Functional hand washing stations during reporting period]]*20)</f>
        <v>0</v>
      </c>
      <c r="DG42" s="80">
        <f>IF(WWWW[[#This Row],[Is sufficient soap available for TLS? (Yes/No)]]="yes",WWWW[[#This Row],['#_Constructed/Existing hand washing stations at TLS]],0)</f>
        <v>0</v>
      </c>
      <c r="DH42" s="667">
        <f>IF(WWWW[[#This Row],['# Functional hand washing stations during reporting period]]*100&gt;WWWW[[#This Row],[Total PoP ]],WWWW[[#This Row],[Total PoP ]],WWWW[[#This Row],['# Functional hand washing stations during reporting period]]*100)</f>
        <v>0</v>
      </c>
      <c r="DI42" s="667" t="str">
        <f>IF(WWWW[[#This Row],['#_students at TLS_CFS]]="","No","Yes")</f>
        <v>No</v>
      </c>
      <c r="DJ42" s="245" t="str">
        <f>VLOOKUP(WWWW[[#This Row],[Site Name]],SiteDB6[[Site Name]:[CCCM Management]],6,FALSE)</f>
        <v>Yes</v>
      </c>
      <c r="DK42" s="245" t="str">
        <f>VLOOKUP(WWWW[[#This Row],[Site Name]],SiteDB6[[Site Name]:[CCCM Focal Agency]],7,FALSE)</f>
        <v>KMSS-MYT</v>
      </c>
      <c r="DL42" s="245" t="str">
        <f>VLOOKUP(WWWW[[#This Row],[Site Name]],SiteDB6[[Site Name]:[Location Type 1]],9,FALSE)</f>
        <v>Camp</v>
      </c>
      <c r="DM42" s="245" t="str">
        <f>VLOOKUP(WWWW[[#This Row],[Site Name]],SiteDB6[[Site Name]:[Type of Accommodation]],10,FALSE)</f>
        <v>Camp</v>
      </c>
      <c r="DN42" s="245" t="str">
        <f>VLOOKUP(WWWW[[#This Row],[Site Name]],SiteDB6[[Site Name]:[Ethnic or GCA/NGCA]],11,FALSE)</f>
        <v>GCA</v>
      </c>
      <c r="DO42" s="245">
        <f>VLOOKUP(WWWW[[#This Row],[Site Name]],SiteDB6[[Site Name]:[Lat]],12,FALSE)</f>
        <v>25.920006000000001</v>
      </c>
      <c r="DP42" s="245">
        <f>VLOOKUP(WWWW[[#This Row],[Site Name]],SiteDB6[[Site Name]:[Long]],13,FALSE)</f>
        <v>96.662092000000001</v>
      </c>
      <c r="DQ42" s="245" t="str">
        <f>VLOOKUP(WWWW[[#This Row],[Site Name]],SiteDB6[[Site Name]:[Pcode]],3,FALSE)</f>
        <v>MMR001CMP247</v>
      </c>
      <c r="DR42" s="215" t="str">
        <f t="shared" si="1"/>
        <v>Notcovered</v>
      </c>
      <c r="DS42" s="215"/>
      <c r="DT42" s="20"/>
      <c r="DU42" s="20"/>
      <c r="DV42" s="20"/>
      <c r="DW42" s="20"/>
      <c r="DX42" s="20"/>
      <c r="DY42" s="20"/>
      <c r="DZ42" s="20"/>
      <c r="EA42" s="20"/>
      <c r="EB42" s="20"/>
      <c r="EC42" s="20"/>
      <c r="ED42" s="20"/>
      <c r="EE42" s="20"/>
      <c r="EF42" s="20"/>
      <c r="EG42" s="20"/>
      <c r="EH42" s="20"/>
    </row>
    <row r="43" spans="1:138" ht="15.75" customHeight="1">
      <c r="A43" s="259" t="s">
        <v>2525</v>
      </c>
      <c r="B43" s="663" t="s">
        <v>250</v>
      </c>
      <c r="C43" s="663" t="s">
        <v>250</v>
      </c>
      <c r="D43" s="663" t="s">
        <v>315</v>
      </c>
      <c r="E43" s="663" t="s">
        <v>39</v>
      </c>
      <c r="F43" s="663" t="s">
        <v>156</v>
      </c>
      <c r="G43" s="663" t="str">
        <f>VLOOKUP(WWWW[[#This Row],[Site Name]],SiteDB6[[Site Name]:[Location Type]],8,FALSE)</f>
        <v>Camp</v>
      </c>
      <c r="H43" s="663" t="s">
        <v>266</v>
      </c>
      <c r="I43" s="700">
        <v>11</v>
      </c>
      <c r="J43" s="700">
        <v>42</v>
      </c>
      <c r="K43" s="642">
        <v>43313</v>
      </c>
      <c r="L43" s="78">
        <v>44043</v>
      </c>
      <c r="M43" s="700">
        <v>0</v>
      </c>
      <c r="N43" s="700">
        <v>1</v>
      </c>
      <c r="O43" s="700">
        <v>0</v>
      </c>
      <c r="P43" s="700">
        <v>0</v>
      </c>
      <c r="Q43" s="663" t="s">
        <v>43</v>
      </c>
      <c r="R43" s="377">
        <v>4</v>
      </c>
      <c r="S43" s="377">
        <v>2</v>
      </c>
      <c r="T43" s="377">
        <v>1</v>
      </c>
      <c r="U43" s="377">
        <v>0</v>
      </c>
      <c r="V43" s="377">
        <v>0</v>
      </c>
      <c r="W43" s="377">
        <v>0</v>
      </c>
      <c r="X43" s="377">
        <v>0</v>
      </c>
      <c r="Y43" s="377">
        <v>0</v>
      </c>
      <c r="Z43" s="377">
        <v>0</v>
      </c>
      <c r="AA43" s="377">
        <v>2</v>
      </c>
      <c r="AB43" s="377">
        <v>0</v>
      </c>
      <c r="AC43" s="377">
        <v>0</v>
      </c>
      <c r="AD43" s="377">
        <v>0</v>
      </c>
      <c r="AE43" s="377">
        <v>0</v>
      </c>
      <c r="AF43" s="377">
        <v>1</v>
      </c>
      <c r="AG43" s="377">
        <v>0</v>
      </c>
      <c r="AH43" s="377">
        <v>1</v>
      </c>
      <c r="AI43" s="377"/>
      <c r="AJ43" s="377"/>
      <c r="AK43" s="377"/>
      <c r="AL43" s="377"/>
      <c r="AM43" s="377">
        <v>0</v>
      </c>
      <c r="AN43" s="377">
        <v>0</v>
      </c>
      <c r="AO43" s="215"/>
      <c r="AP43" s="377">
        <v>4</v>
      </c>
      <c r="AQ43" s="377">
        <v>0</v>
      </c>
      <c r="AR43" s="77" t="s">
        <v>250</v>
      </c>
      <c r="AS43" s="377">
        <v>0</v>
      </c>
      <c r="AT43" s="377">
        <v>3</v>
      </c>
      <c r="AU43" s="377">
        <v>0</v>
      </c>
      <c r="AV43" s="377">
        <v>0</v>
      </c>
      <c r="AW43" s="700">
        <v>0</v>
      </c>
      <c r="AX43" s="694" t="s">
        <v>43</v>
      </c>
      <c r="AY43" s="245" t="s">
        <v>144</v>
      </c>
      <c r="AZ43" s="377">
        <v>0</v>
      </c>
      <c r="BA43" s="377">
        <v>0</v>
      </c>
      <c r="BB43" s="377">
        <v>0</v>
      </c>
      <c r="BC43" s="215">
        <v>0</v>
      </c>
      <c r="BD43" s="377">
        <v>0</v>
      </c>
      <c r="BE43" s="377">
        <v>0</v>
      </c>
      <c r="BF43" s="377">
        <v>0</v>
      </c>
      <c r="BG43" s="377">
        <v>2</v>
      </c>
      <c r="BH43" s="377">
        <v>0</v>
      </c>
      <c r="BI43" s="377">
        <v>4</v>
      </c>
      <c r="BJ43" s="377">
        <v>2</v>
      </c>
      <c r="BK43" s="377">
        <v>0</v>
      </c>
      <c r="BL43" s="377">
        <v>0</v>
      </c>
      <c r="BM43" s="215" t="s">
        <v>144</v>
      </c>
      <c r="BN43" s="80">
        <v>0</v>
      </c>
      <c r="BO43" s="82">
        <v>0.4</v>
      </c>
      <c r="BP43" s="215"/>
      <c r="BQ43" s="79" t="str">
        <f>IFERROR(WWWW[[#This Row],['#_Water sources treated]]/WWWW[[#This Row],['#_Water sources tested for contamination]],"no test")</f>
        <v>no test</v>
      </c>
      <c r="BR43" s="82" t="str">
        <f>IFERROR(WWWW[[#This Row],['#_Household received remediation action due to contamination]]/WWWW[[#This Row],['#_Household water samples tested for contamination]],"no test")</f>
        <v>no test</v>
      </c>
      <c r="BS43" s="81" t="str">
        <f>IF(AND(WWWW[[#This Row],[% of water sources treated]]="no test",WWWW[[#This Row],[% Household received corrective actions]]="no test"),"No Test","Tested")</f>
        <v>No Test</v>
      </c>
      <c r="BT43" s="81">
        <f>WWWW[[#This Row],['#_Constructed/existing protected hand dug well]]-WWWW[[#This Row],['#_Non-functional protected hand dug well]]</f>
        <v>1</v>
      </c>
      <c r="BU43" s="81">
        <f>(WWWW[[#This Row],['#_Constructed/Existing tube wells/boreholes/handpumps_WASH_agency]]+WWWW[[#This Row],['#_Non-Cluster partner water tube-wells/boreholes/handpumps]])-WWWW[[#This Row],['#_Non-functional tube wells/boreholes/handpumps]]</f>
        <v>0</v>
      </c>
      <c r="BV43" s="81">
        <f>WWWW[[#This Row],['#_Constructed/Existingwater storage tank with gravity fed reticulation system]]-WWWW[[#This Row],['#_Non-functional storage tank gravity fed reticulation system]]</f>
        <v>2</v>
      </c>
      <c r="BW43" s="81">
        <f>WWWW[[#This Row],['#_Water boating or water trucking]]</f>
        <v>0</v>
      </c>
      <c r="BX43" s="81">
        <f>WWWW[[#This Row],['#_Constructed/Existing water distribution system from river or natural spring]]</f>
        <v>1</v>
      </c>
      <c r="BY43"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43"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43" s="82">
        <f>IF(WWWW[[#This Row],[Location Type 1]]="Village",WWWW[[#This Row],[Access to safe drinking water for Village]],WWWW[[#This Row],[Access to safe drinking water for Camp]])</f>
        <v>1</v>
      </c>
      <c r="CB43" s="80">
        <f>WWWW[[#This Row],[%Equitable and continuous access to sufficient quantity of safe drinking water]]*WWWW[[#This Row],[Total PoP ]]</f>
        <v>42</v>
      </c>
      <c r="CC43" s="82">
        <f>IF((WWWW[[#This Row],['#_Constructed/Existing protected/fenced ponds]]*250)/WWWW[[#This Row],[Total PoP ]]&gt;1,1,(WWWW[[#This Row],['#_Constructed/Existing protected/fenced ponds]]*250)/WWWW[[#This Row],[Total PoP ]])</f>
        <v>0</v>
      </c>
      <c r="CD43" s="80">
        <f>WWWW[[#This Row],[% Access to unimproved water points]]*WWWW[[#This Row],[Total PoP ]]</f>
        <v>0</v>
      </c>
      <c r="CE43"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43"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42</v>
      </c>
      <c r="CG43" s="80">
        <f>WWWW[[#This Row],[HRP1]]/500</f>
        <v>8.4000000000000005E-2</v>
      </c>
      <c r="CH43" s="79">
        <f>1-WWWW[[#This Row],[% Equitable and continuous access to sufficient quantity of domestic water]]</f>
        <v>0</v>
      </c>
      <c r="CI43" s="80">
        <f>WWWW[[#This Row],[%equitable and continuous access to sufficient quantity of safe drinking and domestic water''s GAP]]*WWWW[[#This Row],[Total PoP ]]</f>
        <v>0</v>
      </c>
      <c r="CJ43" s="81">
        <f>IF(WWWW[[#This Row],[Total required water points]]-WWWW[[#This Row],['#Water points coverage]]&lt;0,0,WWWW[[#This Row],[Total required water points]]-WWWW[[#This Row],['#Water points coverage]])</f>
        <v>0.91600000000000004</v>
      </c>
      <c r="CK43" s="81">
        <f>ROUND(IF(WWWW[[#This Row],[Total PoP ]]&lt;500,1,WWWW[[#This Row],[Total PoP ]]/500),0)</f>
        <v>1</v>
      </c>
      <c r="CL43" s="81">
        <f>(WWWW[[#This Row],['#_Constructed latrines_by_WASHAgencies]]+WWWW[[#This Row],['#_Non Cluster partner latrines]])-WWWW[[#This Row],['#_Non-functional latrines]]</f>
        <v>4</v>
      </c>
      <c r="CM43"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43"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42</v>
      </c>
      <c r="CO43"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3" s="81">
        <f>IF(WWWW[[#This Row],[Location Type 1]]="Village","NA",IF(WWWW[[#This Row],['#_Constructed/Existing latrines in TLS]]*50&gt;WWWW[[#This Row],['#_students at TLS_CFS]],WWWW[[#This Row],['#_students at TLS_CFS]],(WWWW[[#This Row],['#_Constructed/Existing latrines in TLS]]*50)))</f>
        <v>0</v>
      </c>
      <c r="CQ43" s="81">
        <f>ROUND(IF(WWWW[[#This Row],[Location Type 1]]="camp",WWWW[[#This Row],[Total PoP ]]/20,IF(WWWW[[#This Row],[Location Type 1]]="Temporary Location",WWWW[[#This Row],[Total PoP ]]/50,(WWWW[[#This Row],[Total PoP ]]/6))),0)</f>
        <v>2</v>
      </c>
      <c r="CR43" s="80">
        <f>IF(WWWW[[#This Row],[Total required Latrines]]-(WWWW[[#This Row],['#_Constructed latrines_by_WASHAgencies]]+WWWW[[#This Row],['#_Non Cluster partner latrines]])&lt;0,0,WWWW[[#This Row],[Total required Latrines]]-(WWWW[[#This Row],['#_Constructed latrines_by_WASHAgencies]]+WWWW[[#This Row],['#_Non Cluster partner latrines]]))</f>
        <v>0</v>
      </c>
      <c r="CS43" s="79">
        <f>1-WWWW[[#This Row],[% people access to functioning Latrine]]</f>
        <v>0</v>
      </c>
      <c r="CT43" s="83">
        <f>IF(OR(WWWW[[#This Row],['#_Non-functional latrines]]="",WWWW[[#This Row],['#_Non-functional latrines]]=0),0,WWWW[[#This Row],['#_Non-functional latrines]]/(WWWW[[#This Row],['#_Constructed latrines_by_WASHAgencies]]+WWWW[[#This Row],['#_Non Cluster partner latrines]]))</f>
        <v>0</v>
      </c>
      <c r="CU43" s="80">
        <f>IF(500*(WWWW[[#This Row],['#_male hygiene promoters]]+WWWW[[#This Row],['#_female hygiene promoters]])&gt;WWWW[[#This Row],[Total PoP ]],WWWW[[#This Row],[Total PoP ]],500*(WWWW[[#This Row],['#_male hygiene promoters]]+WWWW[[#This Row],['#_female hygiene promoters]]))</f>
        <v>42</v>
      </c>
      <c r="CV43"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3"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3" s="81">
        <f>IF(WWWW[[#This Row],['# People with access to soap]]&gt;WWWW[[#This Row],['# People with access to Sanity Pads]],WWWW[[#This Row],['# People with access to soap]],WWWW[[#This Row],['# People with access to Sanity Pads]])</f>
        <v>0</v>
      </c>
      <c r="CY43" s="81">
        <f>IF(WWWW[[#This Row],['# people reached by regular dedicated hygiene promotion_5]]&gt;WWWW[[#This Row],['# People received regular supply of hygiene items_6]],WWWW[[#This Row],['# people reached by regular dedicated hygiene promotion_5]],WWWW[[#This Row],['# People received regular supply of hygiene items_6]])</f>
        <v>42</v>
      </c>
      <c r="CZ43" s="79">
        <f>IF(WWWW[[#This Row],[HRP3]]/WWWW[[#This Row],[Total PoP ]]&gt;100%,100%,WWWW[[#This Row],[HRP3]]/WWWW[[#This Row],[Total PoP ]])</f>
        <v>1</v>
      </c>
      <c r="DA43" s="83">
        <f>1-WWWW[[#This Row],[Hygiene Coverage%]]</f>
        <v>0</v>
      </c>
      <c r="DB43" s="82">
        <f>WWWW[[#This Row],['# people reached by regular dedicated hygiene promotion_5]]/WWWW[[#This Row],[Total PoP ]]</f>
        <v>1</v>
      </c>
      <c r="DC43" s="82">
        <f>IF(WWWW[[#This Row],['#_households that received standard amount of soap for this quarter]]/WWWW[[#This Row],[Total HH]]&gt;1,1,WWWW[[#This Row],['#_households that received standard amount of soap for this quarter]]/WWWW[[#This Row],[Total HH]])</f>
        <v>0</v>
      </c>
      <c r="DD43" s="82">
        <f>IF(WWWW[[#This Row],['#_households that received standard amount of sanitary pads for this quarter]]/WWWW[[#This Row],[Total HH]]&gt;1,1,WWWW[[#This Row],['#_households that received standard amount of sanitary pads for this quarter]]/WWWW[[#This Row],[Total HH]])</f>
        <v>0</v>
      </c>
      <c r="DE43" s="81">
        <f>WWWW[[#This Row],['#_Constructed/Existing hand washing stations]]-WWWW[[#This Row],['#_Non-Functional_hand_washing_stations]]</f>
        <v>0</v>
      </c>
      <c r="DF43" s="667">
        <f>IF(WWWW[[#This Row],['# Functional hand washing stations during reporting period]]*20&gt;WWWW[[#This Row],[Total HH]],WWWW[[#This Row],[Total HH]],WWWW[[#This Row],['# Functional hand washing stations during reporting period]]*20)</f>
        <v>0</v>
      </c>
      <c r="DG43" s="80">
        <f>IF(WWWW[[#This Row],[Is sufficient soap available for TLS? (Yes/No)]]="yes",WWWW[[#This Row],['#_Constructed/Existing hand washing stations at TLS]],0)</f>
        <v>0</v>
      </c>
      <c r="DH43" s="667">
        <f>IF(WWWW[[#This Row],['# Functional hand washing stations during reporting period]]*100&gt;WWWW[[#This Row],[Total PoP ]],WWWW[[#This Row],[Total PoP ]],WWWW[[#This Row],['# Functional hand washing stations during reporting period]]*100)</f>
        <v>0</v>
      </c>
      <c r="DI43" s="667" t="str">
        <f>IF(WWWW[[#This Row],['#_students at TLS_CFS]]="","No","Yes")</f>
        <v>Yes</v>
      </c>
      <c r="DJ43" s="245" t="str">
        <f>VLOOKUP(WWWW[[#This Row],[Site Name]],SiteDB6[[Site Name]:[CCCM Management]],6,FALSE)</f>
        <v>Yes</v>
      </c>
      <c r="DK43" s="245" t="str">
        <f>VLOOKUP(WWWW[[#This Row],[Site Name]],SiteDB6[[Site Name]:[CCCM Focal Agency]],7,FALSE)</f>
        <v>uncovered</v>
      </c>
      <c r="DL43" s="245" t="str">
        <f>VLOOKUP(WWWW[[#This Row],[Site Name]],SiteDB6[[Site Name]:[Location Type 1]],9,FALSE)</f>
        <v>Camp</v>
      </c>
      <c r="DM43" s="245" t="str">
        <f>VLOOKUP(WWWW[[#This Row],[Site Name]],SiteDB6[[Site Name]:[Type of Accommodation]],10,FALSE)</f>
        <v>Camp like setting</v>
      </c>
      <c r="DN43" s="245" t="str">
        <f>VLOOKUP(WWWW[[#This Row],[Site Name]],SiteDB6[[Site Name]:[Ethnic or GCA/NGCA]],11,FALSE)</f>
        <v>GCA</v>
      </c>
      <c r="DO43" s="245">
        <f>VLOOKUP(WWWW[[#This Row],[Site Name]],SiteDB6[[Site Name]:[Lat]],12,FALSE)</f>
        <v>25.617998</v>
      </c>
      <c r="DP43" s="245">
        <f>VLOOKUP(WWWW[[#This Row],[Site Name]],SiteDB6[[Site Name]:[Long]],13,FALSE)</f>
        <v>96.339590000000001</v>
      </c>
      <c r="DQ43" s="245" t="str">
        <f>VLOOKUP(WWWW[[#This Row],[Site Name]],SiteDB6[[Site Name]:[Pcode]],3,FALSE)</f>
        <v>MMR001CMP192</v>
      </c>
      <c r="DR43" s="215" t="str">
        <f t="shared" si="1"/>
        <v>Covered</v>
      </c>
      <c r="DS43" s="215"/>
      <c r="DT43" s="20"/>
      <c r="DU43" s="20"/>
      <c r="DV43" s="20"/>
      <c r="DW43" s="20"/>
      <c r="DX43" s="20"/>
      <c r="DY43" s="20"/>
      <c r="DZ43" s="20"/>
      <c r="EA43" s="20"/>
      <c r="EB43" s="20"/>
      <c r="EC43" s="20"/>
      <c r="ED43" s="20"/>
      <c r="EE43" s="20"/>
      <c r="EF43" s="20"/>
      <c r="EG43" s="20"/>
      <c r="EH43" s="20"/>
    </row>
    <row r="44" spans="1:138" ht="15.75" customHeight="1">
      <c r="A44" s="259" t="s">
        <v>2525</v>
      </c>
      <c r="B44" s="663" t="s">
        <v>38</v>
      </c>
      <c r="C44" s="663" t="s">
        <v>38</v>
      </c>
      <c r="D44" s="663" t="s">
        <v>328</v>
      </c>
      <c r="E44" s="663" t="s">
        <v>39</v>
      </c>
      <c r="F44" s="663" t="s">
        <v>156</v>
      </c>
      <c r="G44" s="663" t="str">
        <f>VLOOKUP(WWWW[[#This Row],[Site Name]],SiteDB6[[Site Name]:[Location Type]],8,FALSE)</f>
        <v>Camp</v>
      </c>
      <c r="H44" s="663" t="s">
        <v>2034</v>
      </c>
      <c r="I44" s="700">
        <v>16</v>
      </c>
      <c r="J44" s="700">
        <v>63</v>
      </c>
      <c r="K44" s="642">
        <v>43374</v>
      </c>
      <c r="L44" s="78">
        <v>43830</v>
      </c>
      <c r="M44" s="700"/>
      <c r="N44" s="700"/>
      <c r="O44" s="700"/>
      <c r="P44" s="700"/>
      <c r="Q44" s="663"/>
      <c r="R44" s="700"/>
      <c r="S44" s="700"/>
      <c r="T44" s="700"/>
      <c r="U44" s="700"/>
      <c r="V44" s="700"/>
      <c r="W44" s="700"/>
      <c r="X44" s="700">
        <v>1</v>
      </c>
      <c r="Y44" s="700"/>
      <c r="Z44" s="700"/>
      <c r="AA44" s="700"/>
      <c r="AB44" s="700"/>
      <c r="AC44" s="700"/>
      <c r="AD44" s="700"/>
      <c r="AE44" s="700"/>
      <c r="AF44" s="700"/>
      <c r="AG44" s="700"/>
      <c r="AH44" s="700"/>
      <c r="AI44" s="700"/>
      <c r="AJ44" s="700"/>
      <c r="AK44" s="700"/>
      <c r="AL44" s="700"/>
      <c r="AM44" s="700"/>
      <c r="AN44" s="700"/>
      <c r="AO44" s="702"/>
      <c r="AP44" s="719">
        <v>2</v>
      </c>
      <c r="AQ44" s="721"/>
      <c r="AR44" s="721"/>
      <c r="AS44" s="719"/>
      <c r="AT44" s="721">
        <v>2</v>
      </c>
      <c r="AU44" s="667"/>
      <c r="AV44" s="667"/>
      <c r="AW44" s="81"/>
      <c r="AX44" s="81" t="s">
        <v>144</v>
      </c>
      <c r="AY44" s="81" t="s">
        <v>144</v>
      </c>
      <c r="AZ44" s="81"/>
      <c r="BA44" s="81"/>
      <c r="BB44" s="667"/>
      <c r="BC44" s="667"/>
      <c r="BD44" s="667"/>
      <c r="BE44" s="667"/>
      <c r="BF44" s="667"/>
      <c r="BG44" s="719">
        <v>2</v>
      </c>
      <c r="BH44" s="667"/>
      <c r="BI44" s="719"/>
      <c r="BJ44" s="719">
        <v>1</v>
      </c>
      <c r="BK44" s="719">
        <v>16</v>
      </c>
      <c r="BL44" s="719">
        <v>24</v>
      </c>
      <c r="BM44" s="667"/>
      <c r="BN44" s="667"/>
      <c r="BO44" s="82"/>
      <c r="BP44" s="667"/>
      <c r="BQ44" s="79" t="str">
        <f>IFERROR(WWWW[[#This Row],['#_Water sources treated]]/WWWW[[#This Row],['#_Water sources tested for contamination]],"no test")</f>
        <v>no test</v>
      </c>
      <c r="BR44" s="82" t="str">
        <f>IFERROR(WWWW[[#This Row],['#_Household received remediation action due to contamination]]/WWWW[[#This Row],['#_Household water samples tested for contamination]],"no test")</f>
        <v>no test</v>
      </c>
      <c r="BS44" s="81" t="str">
        <f>IF(AND(WWWW[[#This Row],[% of water sources treated]]="no test",WWWW[[#This Row],[% Household received corrective actions]]="no test"),"No Test","Tested")</f>
        <v>No Test</v>
      </c>
      <c r="BT44" s="81">
        <f>WWWW[[#This Row],['#_Constructed/existing protected hand dug well]]-WWWW[[#This Row],['#_Non-functional protected hand dug well]]</f>
        <v>0</v>
      </c>
      <c r="BU44" s="81">
        <f>(WWWW[[#This Row],['#_Constructed/Existing tube wells/boreholes/handpumps_WASH_agency]]+WWWW[[#This Row],['#_Non-Cluster partner water tube-wells/boreholes/handpumps]])-WWWW[[#This Row],['#_Non-functional tube wells/boreholes/handpumps]]</f>
        <v>1</v>
      </c>
      <c r="BV44" s="81">
        <f>WWWW[[#This Row],['#_Constructed/Existingwater storage tank with gravity fed reticulation system]]-WWWW[[#This Row],['#_Non-functional storage tank gravity fed reticulation system]]</f>
        <v>0</v>
      </c>
      <c r="BW44" s="81">
        <f>WWWW[[#This Row],['#_Water boating or water trucking]]</f>
        <v>0</v>
      </c>
      <c r="BX44" s="81">
        <f>WWWW[[#This Row],['#_Constructed/Existing water distribution system from river or natural spring]]</f>
        <v>0</v>
      </c>
      <c r="BY44"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44"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44" s="82">
        <f>IF(WWWW[[#This Row],[Location Type 1]]="Village",WWWW[[#This Row],[Access to safe drinking water for Village]],WWWW[[#This Row],[Access to safe drinking water for Camp]])</f>
        <v>1</v>
      </c>
      <c r="CB44" s="80">
        <f>WWWW[[#This Row],[%Equitable and continuous access to sufficient quantity of safe drinking water]]*WWWW[[#This Row],[Total PoP ]]</f>
        <v>63</v>
      </c>
      <c r="CC44" s="82">
        <f>IF((WWWW[[#This Row],['#_Constructed/Existing protected/fenced ponds]]*250)/WWWW[[#This Row],[Total PoP ]]&gt;1,1,(WWWW[[#This Row],['#_Constructed/Existing protected/fenced ponds]]*250)/WWWW[[#This Row],[Total PoP ]])</f>
        <v>0</v>
      </c>
      <c r="CD44" s="80">
        <f>WWWW[[#This Row],[% Access to unimproved water points]]*WWWW[[#This Row],[Total PoP ]]</f>
        <v>0</v>
      </c>
      <c r="CE44"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44"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63</v>
      </c>
      <c r="CG44" s="80">
        <f>WWWW[[#This Row],[HRP1]]/500</f>
        <v>0.126</v>
      </c>
      <c r="CH44" s="79">
        <f>1-WWWW[[#This Row],[% Equitable and continuous access to sufficient quantity of domestic water]]</f>
        <v>0</v>
      </c>
      <c r="CI44" s="80">
        <f>WWWW[[#This Row],[%equitable and continuous access to sufficient quantity of safe drinking and domestic water''s GAP]]*WWWW[[#This Row],[Total PoP ]]</f>
        <v>0</v>
      </c>
      <c r="CJ44" s="81">
        <f>IF(WWWW[[#This Row],[Total required water points]]-WWWW[[#This Row],['#Water points coverage]]&lt;0,0,WWWW[[#This Row],[Total required water points]]-WWWW[[#This Row],['#Water points coverage]])</f>
        <v>0.874</v>
      </c>
      <c r="CK44" s="81">
        <f>ROUND(IF(WWWW[[#This Row],[Total PoP ]]&lt;500,1,WWWW[[#This Row],[Total PoP ]]/500),0)</f>
        <v>1</v>
      </c>
      <c r="CL44" s="81">
        <f>(WWWW[[#This Row],['#_Constructed latrines_by_WASHAgencies]]+WWWW[[#This Row],['#_Non Cluster partner latrines]])-WWWW[[#This Row],['#_Non-functional latrines]]</f>
        <v>2</v>
      </c>
      <c r="CM44"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0.63492063492063489</v>
      </c>
      <c r="CN44"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40</v>
      </c>
      <c r="CO44"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4" s="81">
        <f>IF(WWWW[[#This Row],[Location Type 1]]="Village","NA",IF(WWWW[[#This Row],['#_Constructed/Existing latrines in TLS]]*50&gt;WWWW[[#This Row],['#_students at TLS_CFS]],WWWW[[#This Row],['#_students at TLS_CFS]],(WWWW[[#This Row],['#_Constructed/Existing latrines in TLS]]*50)))</f>
        <v>0</v>
      </c>
      <c r="CQ44" s="81">
        <f>ROUND(IF(WWWW[[#This Row],[Location Type 1]]="camp",WWWW[[#This Row],[Total PoP ]]/20,IF(WWWW[[#This Row],[Location Type 1]]="Temporary Location",WWWW[[#This Row],[Total PoP ]]/50,(WWWW[[#This Row],[Total PoP ]]/6))),0)</f>
        <v>3</v>
      </c>
      <c r="CR44" s="80">
        <f>IF(WWWW[[#This Row],[Total required Latrines]]-(WWWW[[#This Row],['#_Constructed latrines_by_WASHAgencies]]+WWWW[[#This Row],['#_Non Cluster partner latrines]])&lt;0,0,WWWW[[#This Row],[Total required Latrines]]-(WWWW[[#This Row],['#_Constructed latrines_by_WASHAgencies]]+WWWW[[#This Row],['#_Non Cluster partner latrines]]))</f>
        <v>1</v>
      </c>
      <c r="CS44" s="79">
        <f>1-WWWW[[#This Row],[% people access to functioning Latrine]]</f>
        <v>0.36507936507936511</v>
      </c>
      <c r="CT44" s="83">
        <f>IF(OR(WWWW[[#This Row],['#_Non-functional latrines]]="",WWWW[[#This Row],['#_Non-functional latrines]]=0),0,WWWW[[#This Row],['#_Non-functional latrines]]/(WWWW[[#This Row],['#_Constructed latrines_by_WASHAgencies]]+WWWW[[#This Row],['#_Non Cluster partner latrines]]))</f>
        <v>0</v>
      </c>
      <c r="CU44" s="80">
        <f>IF(500*(WWWW[[#This Row],['#_male hygiene promoters]]+WWWW[[#This Row],['#_female hygiene promoters]])&gt;WWWW[[#This Row],[Total PoP ]],WWWW[[#This Row],[Total PoP ]],500*(WWWW[[#This Row],['#_male hygiene promoters]]+WWWW[[#This Row],['#_female hygiene promoters]]))</f>
        <v>63</v>
      </c>
      <c r="CV44"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63</v>
      </c>
      <c r="CW44"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63</v>
      </c>
      <c r="CX44" s="81">
        <f>IF(WWWW[[#This Row],['# People with access to soap]]&gt;WWWW[[#This Row],['# People with access to Sanity Pads]],WWWW[[#This Row],['# People with access to soap]],WWWW[[#This Row],['# People with access to Sanity Pads]])</f>
        <v>63</v>
      </c>
      <c r="CY44" s="81">
        <f>IF(WWWW[[#This Row],['# people reached by regular dedicated hygiene promotion_5]]&gt;WWWW[[#This Row],['# People received regular supply of hygiene items_6]],WWWW[[#This Row],['# people reached by regular dedicated hygiene promotion_5]],WWWW[[#This Row],['# People received regular supply of hygiene items_6]])</f>
        <v>63</v>
      </c>
      <c r="CZ44" s="79">
        <f>IF(WWWW[[#This Row],[HRP3]]/WWWW[[#This Row],[Total PoP ]]&gt;100%,100%,WWWW[[#This Row],[HRP3]]/WWWW[[#This Row],[Total PoP ]])</f>
        <v>1</v>
      </c>
      <c r="DA44" s="83">
        <f>1-WWWW[[#This Row],[Hygiene Coverage%]]</f>
        <v>0</v>
      </c>
      <c r="DB44" s="82">
        <f>WWWW[[#This Row],['# people reached by regular dedicated hygiene promotion_5]]/WWWW[[#This Row],[Total PoP ]]</f>
        <v>1</v>
      </c>
      <c r="DC44" s="82">
        <f>IF(WWWW[[#This Row],['#_households that received standard amount of soap for this quarter]]/WWWW[[#This Row],[Total HH]]&gt;1,1,WWWW[[#This Row],['#_households that received standard amount of soap for this quarter]]/WWWW[[#This Row],[Total HH]])</f>
        <v>1</v>
      </c>
      <c r="DD44" s="82">
        <f>IF(WWWW[[#This Row],['#_households that received standard amount of sanitary pads for this quarter]]/WWWW[[#This Row],[Total HH]]&gt;1,1,WWWW[[#This Row],['#_households that received standard amount of sanitary pads for this quarter]]/WWWW[[#This Row],[Total HH]])</f>
        <v>1</v>
      </c>
      <c r="DE44" s="81">
        <f>WWWW[[#This Row],['#_Constructed/Existing hand washing stations]]-WWWW[[#This Row],['#_Non-Functional_hand_washing_stations]]</f>
        <v>0</v>
      </c>
      <c r="DF44" s="667">
        <f>IF(WWWW[[#This Row],['# Functional hand washing stations during reporting period]]*20&gt;WWWW[[#This Row],[Total HH]],WWWW[[#This Row],[Total HH]],WWWW[[#This Row],['# Functional hand washing stations during reporting period]]*20)</f>
        <v>0</v>
      </c>
      <c r="DG44" s="80">
        <f>IF(WWWW[[#This Row],[Is sufficient soap available for TLS? (Yes/No)]]="yes",WWWW[[#This Row],['#_Constructed/Existing hand washing stations at TLS]],0)</f>
        <v>0</v>
      </c>
      <c r="DH44" s="667">
        <f>IF(WWWW[[#This Row],['# Functional hand washing stations during reporting period]]*100&gt;WWWW[[#This Row],[Total PoP ]],WWWW[[#This Row],[Total PoP ]],WWWW[[#This Row],['# Functional hand washing stations during reporting period]]*100)</f>
        <v>0</v>
      </c>
      <c r="DI44" s="667" t="str">
        <f>IF(WWWW[[#This Row],['#_students at TLS_CFS]]="","No","Yes")</f>
        <v>No</v>
      </c>
      <c r="DJ44" s="245">
        <f>VLOOKUP(WWWW[[#This Row],[Site Name]],SiteDB6[[Site Name]:[CCCM Management]],6,FALSE)</f>
        <v>0</v>
      </c>
      <c r="DK44" s="245" t="str">
        <f>VLOOKUP(WWWW[[#This Row],[Site Name]],SiteDB6[[Site Name]:[CCCM Focal Agency]],7,FALSE)</f>
        <v>KMSS-MYT</v>
      </c>
      <c r="DL44" s="245" t="str">
        <f>VLOOKUP(WWWW[[#This Row],[Site Name]],SiteDB6[[Site Name]:[Location Type 1]],9,FALSE)</f>
        <v>Camp</v>
      </c>
      <c r="DM44" s="245" t="str">
        <f>VLOOKUP(WWWW[[#This Row],[Site Name]],SiteDB6[[Site Name]:[Type of Accommodation]],10,FALSE)</f>
        <v>Camp</v>
      </c>
      <c r="DN44" s="245" t="str">
        <f>VLOOKUP(WWWW[[#This Row],[Site Name]],SiteDB6[[Site Name]:[Ethnic or GCA/NGCA]],11,FALSE)</f>
        <v>GCA</v>
      </c>
      <c r="DO44" s="245">
        <f>VLOOKUP(WWWW[[#This Row],[Site Name]],SiteDB6[[Site Name]:[Lat]],12,FALSE)</f>
        <v>0</v>
      </c>
      <c r="DP44" s="245">
        <f>VLOOKUP(WWWW[[#This Row],[Site Name]],SiteDB6[[Site Name]:[Long]],13,FALSE)</f>
        <v>0</v>
      </c>
      <c r="DQ44" s="245" t="str">
        <f>VLOOKUP(WWWW[[#This Row],[Site Name]],SiteDB6[[Site Name]:[Pcode]],3,FALSE)</f>
        <v>MMR001CMP270</v>
      </c>
      <c r="DR44" s="215" t="str">
        <f t="shared" si="1"/>
        <v>Covered</v>
      </c>
      <c r="DS44" s="215"/>
      <c r="DT44" s="20"/>
      <c r="DU44" s="20"/>
      <c r="DV44" s="20"/>
      <c r="DW44" s="20"/>
      <c r="DX44" s="20"/>
      <c r="DY44" s="20"/>
      <c r="DZ44" s="20"/>
      <c r="EA44" s="20"/>
      <c r="EB44" s="20"/>
      <c r="EC44" s="20"/>
      <c r="ED44" s="20"/>
      <c r="EE44" s="20"/>
      <c r="EF44" s="20"/>
      <c r="EG44" s="20"/>
      <c r="EH44" s="20"/>
    </row>
    <row r="45" spans="1:138" ht="15.75" customHeight="1">
      <c r="A45" s="259" t="s">
        <v>2525</v>
      </c>
      <c r="B45" s="663" t="s">
        <v>250</v>
      </c>
      <c r="C45" s="663" t="s">
        <v>250</v>
      </c>
      <c r="D45" s="663" t="s">
        <v>315</v>
      </c>
      <c r="E45" s="663" t="s">
        <v>39</v>
      </c>
      <c r="F45" s="663" t="s">
        <v>156</v>
      </c>
      <c r="G45" s="663" t="str">
        <f>VLOOKUP(WWWW[[#This Row],[Site Name]],SiteDB6[[Site Name]:[Location Type]],8,FALSE)</f>
        <v>Camp</v>
      </c>
      <c r="H45" s="663" t="s">
        <v>267</v>
      </c>
      <c r="I45" s="700">
        <v>10</v>
      </c>
      <c r="J45" s="700">
        <v>38</v>
      </c>
      <c r="K45" s="642">
        <v>43313</v>
      </c>
      <c r="L45" s="78">
        <v>44043</v>
      </c>
      <c r="M45" s="700">
        <v>0</v>
      </c>
      <c r="N45" s="700">
        <v>1</v>
      </c>
      <c r="O45" s="700">
        <v>0</v>
      </c>
      <c r="P45" s="700">
        <v>0</v>
      </c>
      <c r="Q45" s="663" t="s">
        <v>43</v>
      </c>
      <c r="R45" s="377">
        <v>2</v>
      </c>
      <c r="S45" s="377">
        <v>2</v>
      </c>
      <c r="T45" s="377">
        <v>1</v>
      </c>
      <c r="U45" s="377">
        <v>0</v>
      </c>
      <c r="V45" s="377">
        <v>0</v>
      </c>
      <c r="W45" s="377">
        <v>0</v>
      </c>
      <c r="X45" s="377">
        <v>0</v>
      </c>
      <c r="Y45" s="377">
        <v>0</v>
      </c>
      <c r="Z45" s="377">
        <v>0</v>
      </c>
      <c r="AA45" s="377">
        <v>2</v>
      </c>
      <c r="AB45" s="377">
        <v>0</v>
      </c>
      <c r="AC45" s="377">
        <v>1</v>
      </c>
      <c r="AD45" s="377">
        <v>0</v>
      </c>
      <c r="AE45" s="377">
        <v>1</v>
      </c>
      <c r="AF45" s="377">
        <v>1</v>
      </c>
      <c r="AG45" s="377">
        <v>0</v>
      </c>
      <c r="AH45" s="377">
        <v>1</v>
      </c>
      <c r="AI45" s="377"/>
      <c r="AJ45" s="377"/>
      <c r="AK45" s="377"/>
      <c r="AL45" s="377"/>
      <c r="AM45" s="377">
        <v>0</v>
      </c>
      <c r="AN45" s="377">
        <v>0</v>
      </c>
      <c r="AO45" s="215"/>
      <c r="AP45" s="377">
        <v>2</v>
      </c>
      <c r="AQ45" s="377">
        <v>0</v>
      </c>
      <c r="AR45" s="77" t="s">
        <v>250</v>
      </c>
      <c r="AS45" s="377">
        <v>0</v>
      </c>
      <c r="AT45" s="377">
        <v>0</v>
      </c>
      <c r="AU45" s="377">
        <v>0</v>
      </c>
      <c r="AV45" s="377"/>
      <c r="AW45" s="700">
        <v>0</v>
      </c>
      <c r="AX45" s="694" t="s">
        <v>43</v>
      </c>
      <c r="AY45" s="245" t="s">
        <v>145</v>
      </c>
      <c r="AZ45" s="377">
        <v>0</v>
      </c>
      <c r="BA45" s="377">
        <v>0</v>
      </c>
      <c r="BB45" s="377">
        <v>0</v>
      </c>
      <c r="BC45" s="215"/>
      <c r="BD45" s="377">
        <v>1</v>
      </c>
      <c r="BE45" s="377">
        <v>0</v>
      </c>
      <c r="BF45" s="377">
        <v>0</v>
      </c>
      <c r="BG45" s="377">
        <v>1</v>
      </c>
      <c r="BH45" s="377">
        <v>0</v>
      </c>
      <c r="BI45" s="377">
        <v>2</v>
      </c>
      <c r="BJ45" s="377">
        <v>2</v>
      </c>
      <c r="BK45" s="377">
        <v>0</v>
      </c>
      <c r="BL45" s="377">
        <v>0</v>
      </c>
      <c r="BM45" s="215" t="s">
        <v>144</v>
      </c>
      <c r="BN45" s="80">
        <v>0</v>
      </c>
      <c r="BO45" s="82">
        <v>0.4</v>
      </c>
      <c r="BP45" s="215"/>
      <c r="BQ45" s="79" t="str">
        <f>IFERROR(WWWW[[#This Row],['#_Water sources treated]]/WWWW[[#This Row],['#_Water sources tested for contamination]],"no test")</f>
        <v>no test</v>
      </c>
      <c r="BR45" s="82" t="str">
        <f>IFERROR(WWWW[[#This Row],['#_Household received remediation action due to contamination]]/WWWW[[#This Row],['#_Household water samples tested for contamination]],"no test")</f>
        <v>no test</v>
      </c>
      <c r="BS45" s="81" t="str">
        <f>IF(AND(WWWW[[#This Row],[% of water sources treated]]="no test",WWWW[[#This Row],[% Household received corrective actions]]="no test"),"No Test","Tested")</f>
        <v>No Test</v>
      </c>
      <c r="BT45" s="81">
        <f>WWWW[[#This Row],['#_Constructed/existing protected hand dug well]]-WWWW[[#This Row],['#_Non-functional protected hand dug well]]</f>
        <v>1</v>
      </c>
      <c r="BU45" s="81">
        <f>(WWWW[[#This Row],['#_Constructed/Existing tube wells/boreholes/handpumps_WASH_agency]]+WWWW[[#This Row],['#_Non-Cluster partner water tube-wells/boreholes/handpumps]])-WWWW[[#This Row],['#_Non-functional tube wells/boreholes/handpumps]]</f>
        <v>0</v>
      </c>
      <c r="BV45" s="81">
        <f>WWWW[[#This Row],['#_Constructed/Existingwater storage tank with gravity fed reticulation system]]-WWWW[[#This Row],['#_Non-functional storage tank gravity fed reticulation system]]</f>
        <v>2</v>
      </c>
      <c r="BW45" s="81">
        <f>WWWW[[#This Row],['#_Water boating or water trucking]]</f>
        <v>0</v>
      </c>
      <c r="BX45" s="81">
        <f>WWWW[[#This Row],['#_Constructed/Existing water distribution system from river or natural spring]]</f>
        <v>1</v>
      </c>
      <c r="BY45"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45"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45" s="82">
        <f>IF(WWWW[[#This Row],[Location Type 1]]="Village",WWWW[[#This Row],[Access to safe drinking water for Village]],WWWW[[#This Row],[Access to safe drinking water for Camp]])</f>
        <v>1</v>
      </c>
      <c r="CB45" s="80">
        <f>WWWW[[#This Row],[%Equitable and continuous access to sufficient quantity of safe drinking water]]*WWWW[[#This Row],[Total PoP ]]</f>
        <v>38</v>
      </c>
      <c r="CC45" s="82">
        <f>IF((WWWW[[#This Row],['#_Constructed/Existing protected/fenced ponds]]*250)/WWWW[[#This Row],[Total PoP ]]&gt;1,1,(WWWW[[#This Row],['#_Constructed/Existing protected/fenced ponds]]*250)/WWWW[[#This Row],[Total PoP ]])</f>
        <v>1</v>
      </c>
      <c r="CD45" s="80">
        <f>WWWW[[#This Row],[% Access to unimproved water points]]*WWWW[[#This Row],[Total PoP ]]</f>
        <v>38</v>
      </c>
      <c r="CE45"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45"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38</v>
      </c>
      <c r="CG45" s="80">
        <f>WWWW[[#This Row],[HRP1]]/500</f>
        <v>7.5999999999999998E-2</v>
      </c>
      <c r="CH45" s="79">
        <f>1-WWWW[[#This Row],[% Equitable and continuous access to sufficient quantity of domestic water]]</f>
        <v>0</v>
      </c>
      <c r="CI45" s="80">
        <f>WWWW[[#This Row],[%equitable and continuous access to sufficient quantity of safe drinking and domestic water''s GAP]]*WWWW[[#This Row],[Total PoP ]]</f>
        <v>0</v>
      </c>
      <c r="CJ45" s="81">
        <f>IF(WWWW[[#This Row],[Total required water points]]-WWWW[[#This Row],['#Water points coverage]]&lt;0,0,WWWW[[#This Row],[Total required water points]]-WWWW[[#This Row],['#Water points coverage]])</f>
        <v>0.92400000000000004</v>
      </c>
      <c r="CK45" s="81">
        <f>ROUND(IF(WWWW[[#This Row],[Total PoP ]]&lt;500,1,WWWW[[#This Row],[Total PoP ]]/500),0)</f>
        <v>1</v>
      </c>
      <c r="CL45" s="81">
        <f>(WWWW[[#This Row],['#_Constructed latrines_by_WASHAgencies]]+WWWW[[#This Row],['#_Non Cluster partner latrines]])-WWWW[[#This Row],['#_Non-functional latrines]]</f>
        <v>2</v>
      </c>
      <c r="CM45"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45"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38</v>
      </c>
      <c r="CO45"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5" s="81">
        <f>IF(WWWW[[#This Row],[Location Type 1]]="Village","NA",IF(WWWW[[#This Row],['#_Constructed/Existing latrines in TLS]]*50&gt;WWWW[[#This Row],['#_students at TLS_CFS]],WWWW[[#This Row],['#_students at TLS_CFS]],(WWWW[[#This Row],['#_Constructed/Existing latrines in TLS]]*50)))</f>
        <v>0</v>
      </c>
      <c r="CQ45" s="81">
        <f>ROUND(IF(WWWW[[#This Row],[Location Type 1]]="camp",WWWW[[#This Row],[Total PoP ]]/20,IF(WWWW[[#This Row],[Location Type 1]]="Temporary Location",WWWW[[#This Row],[Total PoP ]]/50,(WWWW[[#This Row],[Total PoP ]]/6))),0)</f>
        <v>2</v>
      </c>
      <c r="CR45" s="80">
        <f>IF(WWWW[[#This Row],[Total required Latrines]]-(WWWW[[#This Row],['#_Constructed latrines_by_WASHAgencies]]+WWWW[[#This Row],['#_Non Cluster partner latrines]])&lt;0,0,WWWW[[#This Row],[Total required Latrines]]-(WWWW[[#This Row],['#_Constructed latrines_by_WASHAgencies]]+WWWW[[#This Row],['#_Non Cluster partner latrines]]))</f>
        <v>0</v>
      </c>
      <c r="CS45" s="79">
        <f>1-WWWW[[#This Row],[% people access to functioning Latrine]]</f>
        <v>0</v>
      </c>
      <c r="CT45" s="83">
        <f>IF(OR(WWWW[[#This Row],['#_Non-functional latrines]]="",WWWW[[#This Row],['#_Non-functional latrines]]=0),0,WWWW[[#This Row],['#_Non-functional latrines]]/(WWWW[[#This Row],['#_Constructed latrines_by_WASHAgencies]]+WWWW[[#This Row],['#_Non Cluster partner latrines]]))</f>
        <v>0</v>
      </c>
      <c r="CU45" s="80">
        <f>IF(500*(WWWW[[#This Row],['#_male hygiene promoters]]+WWWW[[#This Row],['#_female hygiene promoters]])&gt;WWWW[[#This Row],[Total PoP ]],WWWW[[#This Row],[Total PoP ]],500*(WWWW[[#This Row],['#_male hygiene promoters]]+WWWW[[#This Row],['#_female hygiene promoters]]))</f>
        <v>38</v>
      </c>
      <c r="CV45"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5"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5" s="81">
        <f>IF(WWWW[[#This Row],['# People with access to soap]]&gt;WWWW[[#This Row],['# People with access to Sanity Pads]],WWWW[[#This Row],['# People with access to soap]],WWWW[[#This Row],['# People with access to Sanity Pads]])</f>
        <v>0</v>
      </c>
      <c r="CY45" s="81">
        <f>IF(WWWW[[#This Row],['# people reached by regular dedicated hygiene promotion_5]]&gt;WWWW[[#This Row],['# People received regular supply of hygiene items_6]],WWWW[[#This Row],['# people reached by regular dedicated hygiene promotion_5]],WWWW[[#This Row],['# People received regular supply of hygiene items_6]])</f>
        <v>38</v>
      </c>
      <c r="CZ45" s="79">
        <f>IF(WWWW[[#This Row],[HRP3]]/WWWW[[#This Row],[Total PoP ]]&gt;100%,100%,WWWW[[#This Row],[HRP3]]/WWWW[[#This Row],[Total PoP ]])</f>
        <v>1</v>
      </c>
      <c r="DA45" s="83">
        <f>1-WWWW[[#This Row],[Hygiene Coverage%]]</f>
        <v>0</v>
      </c>
      <c r="DB45" s="82">
        <f>WWWW[[#This Row],['# people reached by regular dedicated hygiene promotion_5]]/WWWW[[#This Row],[Total PoP ]]</f>
        <v>1</v>
      </c>
      <c r="DC45" s="82">
        <f>IF(WWWW[[#This Row],['#_households that received standard amount of soap for this quarter]]/WWWW[[#This Row],[Total HH]]&gt;1,1,WWWW[[#This Row],['#_households that received standard amount of soap for this quarter]]/WWWW[[#This Row],[Total HH]])</f>
        <v>0</v>
      </c>
      <c r="DD45" s="82">
        <f>IF(WWWW[[#This Row],['#_households that received standard amount of sanitary pads for this quarter]]/WWWW[[#This Row],[Total HH]]&gt;1,1,WWWW[[#This Row],['#_households that received standard amount of sanitary pads for this quarter]]/WWWW[[#This Row],[Total HH]])</f>
        <v>0</v>
      </c>
      <c r="DE45" s="81">
        <f>WWWW[[#This Row],['#_Constructed/Existing hand washing stations]]-WWWW[[#This Row],['#_Non-Functional_hand_washing_stations]]</f>
        <v>1</v>
      </c>
      <c r="DF45" s="667">
        <f>IF(WWWW[[#This Row],['# Functional hand washing stations during reporting period]]*20&gt;WWWW[[#This Row],[Total HH]],WWWW[[#This Row],[Total HH]],WWWW[[#This Row],['# Functional hand washing stations during reporting period]]*20)</f>
        <v>10</v>
      </c>
      <c r="DG45" s="80">
        <f>IF(WWWW[[#This Row],[Is sufficient soap available for TLS? (Yes/No)]]="yes",WWWW[[#This Row],['#_Constructed/Existing hand washing stations at TLS]],0)</f>
        <v>0</v>
      </c>
      <c r="DH45" s="667">
        <f>IF(WWWW[[#This Row],['# Functional hand washing stations during reporting period]]*100&gt;WWWW[[#This Row],[Total PoP ]],WWWW[[#This Row],[Total PoP ]],WWWW[[#This Row],['# Functional hand washing stations during reporting period]]*100)</f>
        <v>38</v>
      </c>
      <c r="DI45" s="667" t="str">
        <f>IF(WWWW[[#This Row],['#_students at TLS_CFS]]="","No","Yes")</f>
        <v>Yes</v>
      </c>
      <c r="DJ45" s="245" t="str">
        <f>VLOOKUP(WWWW[[#This Row],[Site Name]],SiteDB6[[Site Name]:[CCCM Management]],6,FALSE)</f>
        <v>Yes</v>
      </c>
      <c r="DK45" s="245" t="str">
        <f>VLOOKUP(WWWW[[#This Row],[Site Name]],SiteDB6[[Site Name]:[CCCM Focal Agency]],7,FALSE)</f>
        <v>uncovered</v>
      </c>
      <c r="DL45" s="245" t="str">
        <f>VLOOKUP(WWWW[[#This Row],[Site Name]],SiteDB6[[Site Name]:[Location Type 1]],9,FALSE)</f>
        <v>Camp</v>
      </c>
      <c r="DM45" s="245" t="str">
        <f>VLOOKUP(WWWW[[#This Row],[Site Name]],SiteDB6[[Site Name]:[Type of Accommodation]],10,FALSE)</f>
        <v>Camp like setting</v>
      </c>
      <c r="DN45" s="245" t="str">
        <f>VLOOKUP(WWWW[[#This Row],[Site Name]],SiteDB6[[Site Name]:[Ethnic or GCA/NGCA]],11,FALSE)</f>
        <v>GCA</v>
      </c>
      <c r="DO45" s="245">
        <f>VLOOKUP(WWWW[[#This Row],[Site Name]],SiteDB6[[Site Name]:[Lat]],12,FALSE)</f>
        <v>25.56551</v>
      </c>
      <c r="DP45" s="245">
        <f>VLOOKUP(WWWW[[#This Row],[Site Name]],SiteDB6[[Site Name]:[Long]],13,FALSE)</f>
        <v>96.279200000000003</v>
      </c>
      <c r="DQ45" s="245" t="str">
        <f>VLOOKUP(WWWW[[#This Row],[Site Name]],SiteDB6[[Site Name]:[Pcode]],3,FALSE)</f>
        <v>MMR001CMP182</v>
      </c>
      <c r="DR45" s="215" t="str">
        <f t="shared" si="1"/>
        <v>Covered</v>
      </c>
      <c r="DS45" s="215"/>
      <c r="DT45" s="20"/>
      <c r="DU45" s="20"/>
      <c r="DV45" s="20"/>
      <c r="DW45" s="20"/>
      <c r="DX45" s="20"/>
      <c r="DY45" s="20"/>
      <c r="DZ45" s="20"/>
      <c r="EA45" s="20"/>
      <c r="EB45" s="20"/>
      <c r="EC45" s="20"/>
      <c r="ED45" s="20"/>
      <c r="EE45" s="20"/>
      <c r="EF45" s="20"/>
      <c r="EG45" s="20"/>
      <c r="EH45" s="20"/>
    </row>
    <row r="46" spans="1:138" ht="15.75" customHeight="1">
      <c r="A46" s="259" t="s">
        <v>2525</v>
      </c>
      <c r="B46" s="259" t="s">
        <v>149</v>
      </c>
      <c r="C46" s="663" t="s">
        <v>149</v>
      </c>
      <c r="D46" s="663" t="s">
        <v>152</v>
      </c>
      <c r="E46" s="663" t="s">
        <v>39</v>
      </c>
      <c r="F46" s="663" t="s">
        <v>154</v>
      </c>
      <c r="G46" s="663" t="str">
        <f>VLOOKUP(WWWW[[#This Row],[Site Name]],SiteDB6[[Site Name]:[Location Type]],8,FALSE)</f>
        <v>Camp</v>
      </c>
      <c r="H46" s="663" t="s">
        <v>155</v>
      </c>
      <c r="I46" s="700">
        <v>169</v>
      </c>
      <c r="J46" s="700">
        <v>837</v>
      </c>
      <c r="K46" s="642">
        <v>43556</v>
      </c>
      <c r="L46" s="78">
        <v>43677</v>
      </c>
      <c r="M46" s="700"/>
      <c r="N46" s="700"/>
      <c r="O46" s="700"/>
      <c r="P46" s="700"/>
      <c r="Q46" s="77" t="s">
        <v>43</v>
      </c>
      <c r="R46" s="377"/>
      <c r="S46" s="377"/>
      <c r="T46" s="700">
        <v>0</v>
      </c>
      <c r="U46" s="377"/>
      <c r="V46" s="377"/>
      <c r="W46" s="700">
        <v>0</v>
      </c>
      <c r="X46" s="377"/>
      <c r="Y46" s="377"/>
      <c r="Z46" s="377"/>
      <c r="AA46" s="377">
        <v>1</v>
      </c>
      <c r="AB46" s="377"/>
      <c r="AC46" s="377"/>
      <c r="AD46" s="377"/>
      <c r="AE46" s="377"/>
      <c r="AF46" s="377"/>
      <c r="AG46" s="377"/>
      <c r="AH46" s="700">
        <v>0</v>
      </c>
      <c r="AI46" s="377"/>
      <c r="AJ46" s="377"/>
      <c r="AK46" s="377"/>
      <c r="AL46" s="377"/>
      <c r="AM46" s="377"/>
      <c r="AN46" s="377"/>
      <c r="AO46" s="215"/>
      <c r="AP46" s="700">
        <v>32</v>
      </c>
      <c r="AQ46" s="377"/>
      <c r="AR46" s="77"/>
      <c r="AS46" s="377"/>
      <c r="AT46" s="377"/>
      <c r="AU46" s="377"/>
      <c r="AV46" s="377"/>
      <c r="AW46" s="700">
        <v>32</v>
      </c>
      <c r="AX46" s="245" t="s">
        <v>43</v>
      </c>
      <c r="AY46" s="245" t="s">
        <v>145</v>
      </c>
      <c r="AZ46" s="377"/>
      <c r="BA46" s="377"/>
      <c r="BB46" s="377">
        <v>5</v>
      </c>
      <c r="BC46" s="215"/>
      <c r="BD46" s="377"/>
      <c r="BE46" s="377"/>
      <c r="BF46" s="377"/>
      <c r="BG46" s="377">
        <v>4</v>
      </c>
      <c r="BH46" s="377"/>
      <c r="BI46" s="377"/>
      <c r="BJ46" s="377">
        <v>3</v>
      </c>
      <c r="BK46" s="377"/>
      <c r="BL46" s="377"/>
      <c r="BM46" s="215"/>
      <c r="BN46" s="80"/>
      <c r="BO46" s="82"/>
      <c r="BP46" s="215"/>
      <c r="BQ46" s="79" t="str">
        <f>IFERROR(WWWW[[#This Row],['#_Water sources treated]]/WWWW[[#This Row],['#_Water sources tested for contamination]],"no test")</f>
        <v>no test</v>
      </c>
      <c r="BR46" s="82" t="str">
        <f>IFERROR(WWWW[[#This Row],['#_Household received remediation action due to contamination]]/WWWW[[#This Row],['#_Household water samples tested for contamination]],"no test")</f>
        <v>no test</v>
      </c>
      <c r="BS46" s="81" t="str">
        <f>IF(AND(WWWW[[#This Row],[% of water sources treated]]="no test",WWWW[[#This Row],[% Household received corrective actions]]="no test"),"No Test","Tested")</f>
        <v>No Test</v>
      </c>
      <c r="BT46" s="81">
        <f>WWWW[[#This Row],['#_Constructed/existing protected hand dug well]]-WWWW[[#This Row],['#_Non-functional protected hand dug well]]</f>
        <v>0</v>
      </c>
      <c r="BU46" s="81">
        <f>(WWWW[[#This Row],['#_Constructed/Existing tube wells/boreholes/handpumps_WASH_agency]]+WWWW[[#This Row],['#_Non-Cluster partner water tube-wells/boreholes/handpumps]])-WWWW[[#This Row],['#_Non-functional tube wells/boreholes/handpumps]]</f>
        <v>0</v>
      </c>
      <c r="BV46" s="81">
        <f>WWWW[[#This Row],['#_Constructed/Existingwater storage tank with gravity fed reticulation system]]-WWWW[[#This Row],['#_Non-functional storage tank gravity fed reticulation system]]</f>
        <v>1</v>
      </c>
      <c r="BW46" s="81">
        <f>WWWW[[#This Row],['#_Water boating or water trucking]]</f>
        <v>0</v>
      </c>
      <c r="BX46" s="81">
        <f>WWWW[[#This Row],['#_Constructed/Existing water distribution system from river or natural spring]]</f>
        <v>0</v>
      </c>
      <c r="BY46"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7.9649542015133412E-2</v>
      </c>
      <c r="BZ46"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7.9649542015133412E-2</v>
      </c>
      <c r="CA46" s="82">
        <f>IF(WWWW[[#This Row],[Location Type 1]]="Village",WWWW[[#This Row],[Access to safe drinking water for Village]],WWWW[[#This Row],[Access to safe drinking water for Camp]])</f>
        <v>7.9649542015133412E-2</v>
      </c>
      <c r="CB46" s="80">
        <f>WWWW[[#This Row],[%Equitable and continuous access to sufficient quantity of safe drinking water]]*WWWW[[#This Row],[Total PoP ]]</f>
        <v>66.666666666666671</v>
      </c>
      <c r="CC46" s="82">
        <f>IF((WWWW[[#This Row],['#_Constructed/Existing protected/fenced ponds]]*250)/WWWW[[#This Row],[Total PoP ]]&gt;1,1,(WWWW[[#This Row],['#_Constructed/Existing protected/fenced ponds]]*250)/WWWW[[#This Row],[Total PoP ]])</f>
        <v>0</v>
      </c>
      <c r="CD46" s="80">
        <f>WWWW[[#This Row],[% Access to unimproved water points]]*WWWW[[#This Row],[Total PoP ]]</f>
        <v>0</v>
      </c>
      <c r="CE46"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7.9649542015133412E-2</v>
      </c>
      <c r="CF46"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G46" s="80">
        <f>WWWW[[#This Row],[HRP1]]/500</f>
        <v>0.13333333333333333</v>
      </c>
      <c r="CH46" s="79">
        <f>1-WWWW[[#This Row],[% Equitable and continuous access to sufficient quantity of domestic water]]</f>
        <v>0.92035045798486659</v>
      </c>
      <c r="CI46" s="80">
        <f>WWWW[[#This Row],[%equitable and continuous access to sufficient quantity of safe drinking and domestic water''s GAP]]*WWWW[[#This Row],[Total PoP ]]</f>
        <v>770.33333333333337</v>
      </c>
      <c r="CJ46" s="81">
        <f>IF(WWWW[[#This Row],[Total required water points]]-WWWW[[#This Row],['#Water points coverage]]&lt;0,0,WWWW[[#This Row],[Total required water points]]-WWWW[[#This Row],['#Water points coverage]])</f>
        <v>1.8666666666666667</v>
      </c>
      <c r="CK46" s="81">
        <f>ROUND(IF(WWWW[[#This Row],[Total PoP ]]&lt;500,1,WWWW[[#This Row],[Total PoP ]]/500),0)</f>
        <v>2</v>
      </c>
      <c r="CL46" s="81">
        <f>(WWWW[[#This Row],['#_Constructed latrines_by_WASHAgencies]]+WWWW[[#This Row],['#_Non Cluster partner latrines]])-WWWW[[#This Row],['#_Non-functional latrines]]</f>
        <v>32</v>
      </c>
      <c r="CM46"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0.7646356033452808</v>
      </c>
      <c r="CN46"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640</v>
      </c>
      <c r="CO46"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6" s="81">
        <f>IF(WWWW[[#This Row],[Location Type 1]]="Village","NA",IF(WWWW[[#This Row],['#_Constructed/Existing latrines in TLS]]*50&gt;WWWW[[#This Row],['#_students at TLS_CFS]],WWWW[[#This Row],['#_students at TLS_CFS]],(WWWW[[#This Row],['#_Constructed/Existing latrines in TLS]]*50)))</f>
        <v>0</v>
      </c>
      <c r="CQ46" s="81">
        <f>ROUND(IF(WWWW[[#This Row],[Location Type 1]]="camp",WWWW[[#This Row],[Total PoP ]]/20,IF(WWWW[[#This Row],[Location Type 1]]="Temporary Location",WWWW[[#This Row],[Total PoP ]]/50,(WWWW[[#This Row],[Total PoP ]]/6))),0)</f>
        <v>42</v>
      </c>
      <c r="CR46" s="80">
        <f>IF(WWWW[[#This Row],[Total required Latrines]]-(WWWW[[#This Row],['#_Constructed latrines_by_WASHAgencies]]+WWWW[[#This Row],['#_Non Cluster partner latrines]])&lt;0,0,WWWW[[#This Row],[Total required Latrines]]-(WWWW[[#This Row],['#_Constructed latrines_by_WASHAgencies]]+WWWW[[#This Row],['#_Non Cluster partner latrines]]))</f>
        <v>10</v>
      </c>
      <c r="CS46" s="79">
        <f>1-WWWW[[#This Row],[% people access to functioning Latrine]]</f>
        <v>0.2353643966547192</v>
      </c>
      <c r="CT46" s="83">
        <f>IF(OR(WWWW[[#This Row],['#_Non-functional latrines]]="",WWWW[[#This Row],['#_Non-functional latrines]]=0),0,WWWW[[#This Row],['#_Non-functional latrines]]/(WWWW[[#This Row],['#_Constructed latrines_by_WASHAgencies]]+WWWW[[#This Row],['#_Non Cluster partner latrines]]))</f>
        <v>0</v>
      </c>
      <c r="CU46" s="80">
        <f>IF(500*(WWWW[[#This Row],['#_male hygiene promoters]]+WWWW[[#This Row],['#_female hygiene promoters]])&gt;WWWW[[#This Row],[Total PoP ]],WWWW[[#This Row],[Total PoP ]],500*(WWWW[[#This Row],['#_male hygiene promoters]]+WWWW[[#This Row],['#_female hygiene promoters]]))</f>
        <v>837</v>
      </c>
      <c r="CV46"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6"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6" s="81">
        <f>IF(WWWW[[#This Row],['# People with access to soap]]&gt;WWWW[[#This Row],['# People with access to Sanity Pads]],WWWW[[#This Row],['# People with access to soap]],WWWW[[#This Row],['# People with access to Sanity Pads]])</f>
        <v>0</v>
      </c>
      <c r="CY46" s="81">
        <f>IF(WWWW[[#This Row],['# people reached by regular dedicated hygiene promotion_5]]&gt;WWWW[[#This Row],['# People received regular supply of hygiene items_6]],WWWW[[#This Row],['# people reached by regular dedicated hygiene promotion_5]],WWWW[[#This Row],['# People received regular supply of hygiene items_6]])</f>
        <v>837</v>
      </c>
      <c r="CZ46" s="79">
        <f>IF(WWWW[[#This Row],[HRP3]]/WWWW[[#This Row],[Total PoP ]]&gt;100%,100%,WWWW[[#This Row],[HRP3]]/WWWW[[#This Row],[Total PoP ]])</f>
        <v>1</v>
      </c>
      <c r="DA46" s="83">
        <f>1-WWWW[[#This Row],[Hygiene Coverage%]]</f>
        <v>0</v>
      </c>
      <c r="DB46" s="82">
        <f>WWWW[[#This Row],['# people reached by regular dedicated hygiene promotion_5]]/WWWW[[#This Row],[Total PoP ]]</f>
        <v>1</v>
      </c>
      <c r="DC46" s="82">
        <f>IF(WWWW[[#This Row],['#_households that received standard amount of soap for this quarter]]/WWWW[[#This Row],[Total HH]]&gt;1,1,WWWW[[#This Row],['#_households that received standard amount of soap for this quarter]]/WWWW[[#This Row],[Total HH]])</f>
        <v>0</v>
      </c>
      <c r="DD46" s="82">
        <f>IF(WWWW[[#This Row],['#_households that received standard amount of sanitary pads for this quarter]]/WWWW[[#This Row],[Total HH]]&gt;1,1,WWWW[[#This Row],['#_households that received standard amount of sanitary pads for this quarter]]/WWWW[[#This Row],[Total HH]])</f>
        <v>0</v>
      </c>
      <c r="DE46" s="81">
        <f>WWWW[[#This Row],['#_Constructed/Existing hand washing stations]]-WWWW[[#This Row],['#_Non-Functional_hand_washing_stations]]</f>
        <v>0</v>
      </c>
      <c r="DF46" s="667">
        <f>IF(WWWW[[#This Row],['# Functional hand washing stations during reporting period]]*20&gt;WWWW[[#This Row],[Total HH]],WWWW[[#This Row],[Total HH]],WWWW[[#This Row],['# Functional hand washing stations during reporting period]]*20)</f>
        <v>0</v>
      </c>
      <c r="DG46" s="80">
        <f>IF(WWWW[[#This Row],[Is sufficient soap available for TLS? (Yes/No)]]="yes",WWWW[[#This Row],['#_Constructed/Existing hand washing stations at TLS]],0)</f>
        <v>0</v>
      </c>
      <c r="DH46" s="667">
        <f>IF(WWWW[[#This Row],['# Functional hand washing stations during reporting period]]*100&gt;WWWW[[#This Row],[Total PoP ]],WWWW[[#This Row],[Total PoP ]],WWWW[[#This Row],['# Functional hand washing stations during reporting period]]*100)</f>
        <v>0</v>
      </c>
      <c r="DI46" s="667" t="str">
        <f>IF(WWWW[[#This Row],['#_students at TLS_CFS]]="","No","Yes")</f>
        <v>No</v>
      </c>
      <c r="DJ46" s="245" t="str">
        <f>VLOOKUP(WWWW[[#This Row],[Site Name]],SiteDB6[[Site Name]:[CCCM Management]],6,FALSE)</f>
        <v>Yes</v>
      </c>
      <c r="DK46" s="245" t="str">
        <f>VLOOKUP(WWWW[[#This Row],[Site Name]],SiteDB6[[Site Name]:[CCCM Focal Agency]],7,FALSE)</f>
        <v>KBC</v>
      </c>
      <c r="DL46" s="245" t="str">
        <f>VLOOKUP(WWWW[[#This Row],[Site Name]],SiteDB6[[Site Name]:[Location Type 1]],9,FALSE)</f>
        <v>Camp</v>
      </c>
      <c r="DM46" s="245" t="str">
        <f>VLOOKUP(WWWW[[#This Row],[Site Name]],SiteDB6[[Site Name]:[Type of Accommodation]],10,FALSE)</f>
        <v>Camp</v>
      </c>
      <c r="DN46" s="245" t="str">
        <f>VLOOKUP(WWWW[[#This Row],[Site Name]],SiteDB6[[Site Name]:[Ethnic or GCA/NGCA]],11,FALSE)</f>
        <v>NGCA</v>
      </c>
      <c r="DO46" s="245">
        <f>VLOOKUP(WWWW[[#This Row],[Site Name]],SiteDB6[[Site Name]:[Lat]],12,FALSE)</f>
        <v>25.754110000000001</v>
      </c>
      <c r="DP46" s="245">
        <f>VLOOKUP(WWWW[[#This Row],[Site Name]],SiteDB6[[Site Name]:[Long]],13,FALSE)</f>
        <v>98.475719999999995</v>
      </c>
      <c r="DQ46" s="245" t="str">
        <f>VLOOKUP(WWWW[[#This Row],[Site Name]],SiteDB6[[Site Name]:[Pcode]],3,FALSE)</f>
        <v>MMR001CMP043</v>
      </c>
      <c r="DR46" s="215" t="str">
        <f t="shared" ref="DR46:DR75" si="2">IF(C46="none","Notcovered","Covered")</f>
        <v>Covered</v>
      </c>
      <c r="DS46" s="215"/>
      <c r="DT46" s="20"/>
      <c r="DU46" s="20"/>
      <c r="DV46" s="20"/>
      <c r="DW46" s="20"/>
      <c r="DX46" s="20"/>
      <c r="DY46" s="20"/>
      <c r="DZ46" s="20"/>
      <c r="EA46" s="20"/>
      <c r="EB46" s="20"/>
      <c r="EC46" s="20"/>
      <c r="ED46" s="20"/>
      <c r="EE46" s="20"/>
      <c r="EF46" s="20"/>
      <c r="EG46" s="20"/>
      <c r="EH46" s="20"/>
    </row>
    <row r="47" spans="1:138" ht="15.75" customHeight="1">
      <c r="A47" s="259" t="s">
        <v>2525</v>
      </c>
      <c r="B47" s="663" t="s">
        <v>149</v>
      </c>
      <c r="C47" s="663" t="s">
        <v>149</v>
      </c>
      <c r="D47" s="663"/>
      <c r="E47" s="663" t="s">
        <v>39</v>
      </c>
      <c r="F47" s="663" t="s">
        <v>165</v>
      </c>
      <c r="G47" s="663" t="str">
        <f>VLOOKUP(WWWW[[#This Row],[Site Name]],SiteDB6[[Site Name]:[Location Type]],8,FALSE)</f>
        <v>Camp_not registered</v>
      </c>
      <c r="H47" s="663" t="s">
        <v>2096</v>
      </c>
      <c r="I47" s="700">
        <v>39</v>
      </c>
      <c r="J47" s="700">
        <v>121</v>
      </c>
      <c r="K47" s="642"/>
      <c r="L47" s="78"/>
      <c r="M47" s="700"/>
      <c r="N47" s="700"/>
      <c r="O47" s="700"/>
      <c r="P47" s="700"/>
      <c r="Q47" s="77"/>
      <c r="R47" s="377"/>
      <c r="S47" s="377"/>
      <c r="T47" s="700">
        <v>0</v>
      </c>
      <c r="U47" s="377"/>
      <c r="V47" s="377"/>
      <c r="W47" s="700">
        <v>0</v>
      </c>
      <c r="X47" s="377"/>
      <c r="Y47" s="377"/>
      <c r="Z47" s="377"/>
      <c r="AA47" s="377"/>
      <c r="AB47" s="377"/>
      <c r="AC47" s="377"/>
      <c r="AD47" s="377"/>
      <c r="AE47" s="377"/>
      <c r="AF47" s="377"/>
      <c r="AG47" s="377"/>
      <c r="AH47" s="700">
        <v>0</v>
      </c>
      <c r="AI47" s="377"/>
      <c r="AJ47" s="377"/>
      <c r="AK47" s="377"/>
      <c r="AL47" s="377"/>
      <c r="AM47" s="377"/>
      <c r="AN47" s="377"/>
      <c r="AO47" s="215"/>
      <c r="AP47" s="700">
        <v>0</v>
      </c>
      <c r="AQ47" s="377"/>
      <c r="AR47" s="77"/>
      <c r="AS47" s="377"/>
      <c r="AT47" s="377"/>
      <c r="AU47" s="377"/>
      <c r="AV47" s="377"/>
      <c r="AW47" s="700">
        <v>0</v>
      </c>
      <c r="AX47" s="694" t="s">
        <v>144</v>
      </c>
      <c r="AY47" s="694" t="s">
        <v>148</v>
      </c>
      <c r="AZ47" s="377"/>
      <c r="BA47" s="377"/>
      <c r="BB47" s="377"/>
      <c r="BC47" s="215"/>
      <c r="BD47" s="377"/>
      <c r="BE47" s="377"/>
      <c r="BF47" s="377"/>
      <c r="BG47" s="377"/>
      <c r="BH47" s="377"/>
      <c r="BI47" s="377"/>
      <c r="BJ47" s="377"/>
      <c r="BK47" s="377"/>
      <c r="BL47" s="377"/>
      <c r="BM47" s="215"/>
      <c r="BN47" s="80"/>
      <c r="BO47" s="82"/>
      <c r="BP47" s="215"/>
      <c r="BQ47" s="79" t="str">
        <f>IFERROR(WWWW[[#This Row],['#_Water sources treated]]/WWWW[[#This Row],['#_Water sources tested for contamination]],"no test")</f>
        <v>no test</v>
      </c>
      <c r="BR47" s="82" t="str">
        <f>IFERROR(WWWW[[#This Row],['#_Household received remediation action due to contamination]]/WWWW[[#This Row],['#_Household water samples tested for contamination]],"no test")</f>
        <v>no test</v>
      </c>
      <c r="BS47" s="81" t="str">
        <f>IF(AND(WWWW[[#This Row],[% of water sources treated]]="no test",WWWW[[#This Row],[% Household received corrective actions]]="no test"),"No Test","Tested")</f>
        <v>No Test</v>
      </c>
      <c r="BT47" s="81">
        <f>WWWW[[#This Row],['#_Constructed/existing protected hand dug well]]-WWWW[[#This Row],['#_Non-functional protected hand dug well]]</f>
        <v>0</v>
      </c>
      <c r="BU47" s="81">
        <f>(WWWW[[#This Row],['#_Constructed/Existing tube wells/boreholes/handpumps_WASH_agency]]+WWWW[[#This Row],['#_Non-Cluster partner water tube-wells/boreholes/handpumps]])-WWWW[[#This Row],['#_Non-functional tube wells/boreholes/handpumps]]</f>
        <v>0</v>
      </c>
      <c r="BV47" s="81">
        <f>WWWW[[#This Row],['#_Constructed/Existingwater storage tank with gravity fed reticulation system]]-WWWW[[#This Row],['#_Non-functional storage tank gravity fed reticulation system]]</f>
        <v>0</v>
      </c>
      <c r="BW47" s="81">
        <f>WWWW[[#This Row],['#_Water boating or water trucking]]</f>
        <v>0</v>
      </c>
      <c r="BX47" s="81">
        <f>WWWW[[#This Row],['#_Constructed/Existing water distribution system from river or natural spring]]</f>
        <v>0</v>
      </c>
      <c r="BY47"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7"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7" s="82">
        <f>IF(WWWW[[#This Row],[Location Type 1]]="Village",WWWW[[#This Row],[Access to safe drinking water for Village]],WWWW[[#This Row],[Access to safe drinking water for Camp]])</f>
        <v>0</v>
      </c>
      <c r="CB47" s="80">
        <f>WWWW[[#This Row],[%Equitable and continuous access to sufficient quantity of safe drinking water]]*WWWW[[#This Row],[Total PoP ]]</f>
        <v>0</v>
      </c>
      <c r="CC47" s="82">
        <f>IF((WWWW[[#This Row],['#_Constructed/Existing protected/fenced ponds]]*250)/WWWW[[#This Row],[Total PoP ]]&gt;1,1,(WWWW[[#This Row],['#_Constructed/Existing protected/fenced ponds]]*250)/WWWW[[#This Row],[Total PoP ]])</f>
        <v>0</v>
      </c>
      <c r="CD47" s="80">
        <f>WWWW[[#This Row],[% Access to unimproved water points]]*WWWW[[#This Row],[Total PoP ]]</f>
        <v>0</v>
      </c>
      <c r="CE47"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7"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7" s="80">
        <f>WWWW[[#This Row],[HRP1]]/500</f>
        <v>0</v>
      </c>
      <c r="CH47" s="79">
        <f>1-WWWW[[#This Row],[% Equitable and continuous access to sufficient quantity of domestic water]]</f>
        <v>1</v>
      </c>
      <c r="CI47" s="80">
        <f>WWWW[[#This Row],[%equitable and continuous access to sufficient quantity of safe drinking and domestic water''s GAP]]*WWWW[[#This Row],[Total PoP ]]</f>
        <v>121</v>
      </c>
      <c r="CJ47" s="81">
        <f>IF(WWWW[[#This Row],[Total required water points]]-WWWW[[#This Row],['#Water points coverage]]&lt;0,0,WWWW[[#This Row],[Total required water points]]-WWWW[[#This Row],['#Water points coverage]])</f>
        <v>1</v>
      </c>
      <c r="CK47" s="81">
        <f>ROUND(IF(WWWW[[#This Row],[Total PoP ]]&lt;500,1,WWWW[[#This Row],[Total PoP ]]/500),0)</f>
        <v>1</v>
      </c>
      <c r="CL47" s="81">
        <f>(WWWW[[#This Row],['#_Constructed latrines_by_WASHAgencies]]+WWWW[[#This Row],['#_Non Cluster partner latrines]])-WWWW[[#This Row],['#_Non-functional latrines]]</f>
        <v>0</v>
      </c>
      <c r="CM47"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7"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7"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7" s="81">
        <f>IF(WWWW[[#This Row],[Location Type 1]]="Village","NA",IF(WWWW[[#This Row],['#_Constructed/Existing latrines in TLS]]*50&gt;WWWW[[#This Row],['#_students at TLS_CFS]],WWWW[[#This Row],['#_students at TLS_CFS]],(WWWW[[#This Row],['#_Constructed/Existing latrines in TLS]]*50)))</f>
        <v>0</v>
      </c>
      <c r="CQ47" s="81">
        <f>ROUND(IF(WWWW[[#This Row],[Location Type 1]]="camp",WWWW[[#This Row],[Total PoP ]]/20,IF(WWWW[[#This Row],[Location Type 1]]="Temporary Location",WWWW[[#This Row],[Total PoP ]]/50,(WWWW[[#This Row],[Total PoP ]]/6))),0)</f>
        <v>6</v>
      </c>
      <c r="CR47" s="80">
        <f>IF(WWWW[[#This Row],[Total required Latrines]]-(WWWW[[#This Row],['#_Constructed latrines_by_WASHAgencies]]+WWWW[[#This Row],['#_Non Cluster partner latrines]])&lt;0,0,WWWW[[#This Row],[Total required Latrines]]-(WWWW[[#This Row],['#_Constructed latrines_by_WASHAgencies]]+WWWW[[#This Row],['#_Non Cluster partner latrines]]))</f>
        <v>6</v>
      </c>
      <c r="CS47" s="79">
        <f>1-WWWW[[#This Row],[% people access to functioning Latrine]]</f>
        <v>1</v>
      </c>
      <c r="CT47" s="83">
        <f>IF(OR(WWWW[[#This Row],['#_Non-functional latrines]]="",WWWW[[#This Row],['#_Non-functional latrines]]=0),0,WWWW[[#This Row],['#_Non-functional latrines]]/(WWWW[[#This Row],['#_Constructed latrines_by_WASHAgencies]]+WWWW[[#This Row],['#_Non Cluster partner latrines]]))</f>
        <v>0</v>
      </c>
      <c r="CU47" s="80">
        <f>IF(500*(WWWW[[#This Row],['#_male hygiene promoters]]+WWWW[[#This Row],['#_female hygiene promoters]])&gt;WWWW[[#This Row],[Total PoP ]],WWWW[[#This Row],[Total PoP ]],500*(WWWW[[#This Row],['#_male hygiene promoters]]+WWWW[[#This Row],['#_female hygiene promoters]]))</f>
        <v>0</v>
      </c>
      <c r="CV47"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7"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7" s="81">
        <f>IF(WWWW[[#This Row],['# People with access to soap]]&gt;WWWW[[#This Row],['# People with access to Sanity Pads]],WWWW[[#This Row],['# People with access to soap]],WWWW[[#This Row],['# People with access to Sanity Pads]])</f>
        <v>0</v>
      </c>
      <c r="CY47"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7" s="79">
        <f>IF(WWWW[[#This Row],[HRP3]]/WWWW[[#This Row],[Total PoP ]]&gt;100%,100%,WWWW[[#This Row],[HRP3]]/WWWW[[#This Row],[Total PoP ]])</f>
        <v>0</v>
      </c>
      <c r="DA47" s="83">
        <f>1-WWWW[[#This Row],[Hygiene Coverage%]]</f>
        <v>1</v>
      </c>
      <c r="DB47" s="82">
        <f>WWWW[[#This Row],['# people reached by regular dedicated hygiene promotion_5]]/WWWW[[#This Row],[Total PoP ]]</f>
        <v>0</v>
      </c>
      <c r="DC47" s="82">
        <f>IF(WWWW[[#This Row],['#_households that received standard amount of soap for this quarter]]/WWWW[[#This Row],[Total HH]]&gt;1,1,WWWW[[#This Row],['#_households that received standard amount of soap for this quarter]]/WWWW[[#This Row],[Total HH]])</f>
        <v>0</v>
      </c>
      <c r="DD47" s="82">
        <f>IF(WWWW[[#This Row],['#_households that received standard amount of sanitary pads for this quarter]]/WWWW[[#This Row],[Total HH]]&gt;1,1,WWWW[[#This Row],['#_households that received standard amount of sanitary pads for this quarter]]/WWWW[[#This Row],[Total HH]])</f>
        <v>0</v>
      </c>
      <c r="DE47" s="81">
        <f>WWWW[[#This Row],['#_Constructed/Existing hand washing stations]]-WWWW[[#This Row],['#_Non-Functional_hand_washing_stations]]</f>
        <v>0</v>
      </c>
      <c r="DF47" s="667">
        <f>IF(WWWW[[#This Row],['# Functional hand washing stations during reporting period]]*20&gt;WWWW[[#This Row],[Total HH]],WWWW[[#This Row],[Total HH]],WWWW[[#This Row],['# Functional hand washing stations during reporting period]]*20)</f>
        <v>0</v>
      </c>
      <c r="DG47" s="80">
        <f>IF(WWWW[[#This Row],[Is sufficient soap available for TLS? (Yes/No)]]="yes",WWWW[[#This Row],['#_Constructed/Existing hand washing stations at TLS]],0)</f>
        <v>0</v>
      </c>
      <c r="DH47" s="667">
        <f>IF(WWWW[[#This Row],['# Functional hand washing stations during reporting period]]*100&gt;WWWW[[#This Row],[Total PoP ]],WWWW[[#This Row],[Total PoP ]],WWWW[[#This Row],['# Functional hand washing stations during reporting period]]*100)</f>
        <v>0</v>
      </c>
      <c r="DI47" s="667" t="str">
        <f>IF(WWWW[[#This Row],['#_students at TLS_CFS]]="","No","Yes")</f>
        <v>No</v>
      </c>
      <c r="DJ47" s="245">
        <f>VLOOKUP(WWWW[[#This Row],[Site Name]],SiteDB6[[Site Name]:[CCCM Management]],6,FALSE)</f>
        <v>0</v>
      </c>
      <c r="DK47" s="245">
        <f>VLOOKUP(WWWW[[#This Row],[Site Name]],SiteDB6[[Site Name]:[CCCM Focal Agency]],7,FALSE)</f>
        <v>0</v>
      </c>
      <c r="DL47" s="245" t="str">
        <f>VLOOKUP(WWWW[[#This Row],[Site Name]],SiteDB6[[Site Name]:[Location Type 1]],9,FALSE)</f>
        <v>Camp</v>
      </c>
      <c r="DM47" s="245" t="str">
        <f>VLOOKUP(WWWW[[#This Row],[Site Name]],SiteDB6[[Site Name]:[Type of Accommodation]],10,FALSE)</f>
        <v>Camp like setting</v>
      </c>
      <c r="DN47" s="245" t="str">
        <f>VLOOKUP(WWWW[[#This Row],[Site Name]],SiteDB6[[Site Name]:[Ethnic or GCA/NGCA]],11,FALSE)</f>
        <v>NGCA</v>
      </c>
      <c r="DO47" s="245">
        <f>VLOOKUP(WWWW[[#This Row],[Site Name]],SiteDB6[[Site Name]:[Lat]],12,FALSE)</f>
        <v>0</v>
      </c>
      <c r="DP47" s="245">
        <f>VLOOKUP(WWWW[[#This Row],[Site Name]],SiteDB6[[Site Name]:[Long]],13,FALSE)</f>
        <v>0</v>
      </c>
      <c r="DQ47" s="245">
        <f>VLOOKUP(WWWW[[#This Row],[Site Name]],SiteDB6[[Site Name]:[Pcode]],3,FALSE)</f>
        <v>0</v>
      </c>
      <c r="DR47" s="215" t="str">
        <f t="shared" si="2"/>
        <v>Covered</v>
      </c>
      <c r="DS47" s="215"/>
      <c r="DT47" s="20"/>
      <c r="DU47" s="20"/>
      <c r="DV47" s="20"/>
      <c r="DW47" s="20"/>
      <c r="DX47" s="20"/>
      <c r="DY47" s="20"/>
      <c r="DZ47" s="20"/>
      <c r="EA47" s="20"/>
      <c r="EB47" s="20"/>
      <c r="EC47" s="20"/>
      <c r="ED47" s="20"/>
      <c r="EE47" s="20"/>
      <c r="EF47" s="20"/>
      <c r="EG47" s="20"/>
      <c r="EH47" s="20"/>
    </row>
    <row r="48" spans="1:138" ht="15.75" customHeight="1">
      <c r="A48" s="259" t="s">
        <v>2525</v>
      </c>
      <c r="B48" s="663" t="s">
        <v>38</v>
      </c>
      <c r="C48" s="663" t="s">
        <v>38</v>
      </c>
      <c r="D48" s="663" t="s">
        <v>328</v>
      </c>
      <c r="E48" s="663" t="s">
        <v>39</v>
      </c>
      <c r="F48" s="663" t="s">
        <v>160</v>
      </c>
      <c r="G48" s="663" t="str">
        <f>VLOOKUP(WWWW[[#This Row],[Site Name]],SiteDB6[[Site Name]:[Location Type]],8,FALSE)</f>
        <v>Camp</v>
      </c>
      <c r="H48" s="663" t="s">
        <v>2016</v>
      </c>
      <c r="I48" s="700">
        <v>79</v>
      </c>
      <c r="J48" s="700">
        <v>396</v>
      </c>
      <c r="K48" s="642">
        <v>43374</v>
      </c>
      <c r="L48" s="78">
        <v>43830</v>
      </c>
      <c r="M48" s="700"/>
      <c r="N48" s="700"/>
      <c r="O48" s="700"/>
      <c r="P48" s="700"/>
      <c r="Q48" s="663"/>
      <c r="R48" s="700"/>
      <c r="S48" s="700"/>
      <c r="T48" s="700"/>
      <c r="U48" s="700"/>
      <c r="V48" s="700"/>
      <c r="W48" s="700"/>
      <c r="X48" s="700">
        <v>1</v>
      </c>
      <c r="Y48" s="700"/>
      <c r="Z48" s="700"/>
      <c r="AA48" s="700"/>
      <c r="AB48" s="700"/>
      <c r="AC48" s="700"/>
      <c r="AD48" s="700"/>
      <c r="AE48" s="700"/>
      <c r="AF48" s="700"/>
      <c r="AG48" s="700"/>
      <c r="AH48" s="700"/>
      <c r="AI48" s="700"/>
      <c r="AJ48" s="700"/>
      <c r="AK48" s="700"/>
      <c r="AL48" s="700"/>
      <c r="AM48" s="700"/>
      <c r="AN48" s="700"/>
      <c r="AO48" s="667"/>
      <c r="AP48" s="719">
        <v>6</v>
      </c>
      <c r="AQ48" s="721"/>
      <c r="AR48" s="721"/>
      <c r="AS48" s="719">
        <v>4</v>
      </c>
      <c r="AT48" s="721"/>
      <c r="AU48" s="667"/>
      <c r="AV48" s="667"/>
      <c r="AW48" s="81"/>
      <c r="AX48" s="81" t="s">
        <v>43</v>
      </c>
      <c r="AY48" s="81" t="s">
        <v>1200</v>
      </c>
      <c r="AZ48" s="81"/>
      <c r="BA48" s="81"/>
      <c r="BB48" s="667"/>
      <c r="BC48" s="667"/>
      <c r="BD48" s="667"/>
      <c r="BE48" s="667"/>
      <c r="BF48" s="667"/>
      <c r="BG48" s="719">
        <v>2</v>
      </c>
      <c r="BH48" s="667"/>
      <c r="BI48" s="719"/>
      <c r="BJ48" s="719">
        <v>1</v>
      </c>
      <c r="BK48" s="719">
        <v>79</v>
      </c>
      <c r="BL48" s="719">
        <v>94</v>
      </c>
      <c r="BM48" s="667"/>
      <c r="BN48" s="667"/>
      <c r="BO48" s="82"/>
      <c r="BP48" s="667"/>
      <c r="BQ48" s="79" t="str">
        <f>IFERROR(WWWW[[#This Row],['#_Water sources treated]]/WWWW[[#This Row],['#_Water sources tested for contamination]],"no test")</f>
        <v>no test</v>
      </c>
      <c r="BR48" s="82" t="str">
        <f>IFERROR(WWWW[[#This Row],['#_Household received remediation action due to contamination]]/WWWW[[#This Row],['#_Household water samples tested for contamination]],"no test")</f>
        <v>no test</v>
      </c>
      <c r="BS48" s="81" t="str">
        <f>IF(AND(WWWW[[#This Row],[% of water sources treated]]="no test",WWWW[[#This Row],[% Household received corrective actions]]="no test"),"No Test","Tested")</f>
        <v>No Test</v>
      </c>
      <c r="BT48" s="81">
        <f>WWWW[[#This Row],['#_Constructed/existing protected hand dug well]]-WWWW[[#This Row],['#_Non-functional protected hand dug well]]</f>
        <v>0</v>
      </c>
      <c r="BU48" s="81">
        <f>(WWWW[[#This Row],['#_Constructed/Existing tube wells/boreholes/handpumps_WASH_agency]]+WWWW[[#This Row],['#_Non-Cluster partner water tube-wells/boreholes/handpumps]])-WWWW[[#This Row],['#_Non-functional tube wells/boreholes/handpumps]]</f>
        <v>1</v>
      </c>
      <c r="BV48" s="81">
        <f>WWWW[[#This Row],['#_Constructed/Existingwater storage tank with gravity fed reticulation system]]-WWWW[[#This Row],['#_Non-functional storage tank gravity fed reticulation system]]</f>
        <v>0</v>
      </c>
      <c r="BW48" s="81">
        <f>WWWW[[#This Row],['#_Water boating or water trucking]]</f>
        <v>0</v>
      </c>
      <c r="BX48" s="81">
        <f>WWWW[[#This Row],['#_Constructed/Existing water distribution system from river or natural spring]]</f>
        <v>0</v>
      </c>
      <c r="BY48"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48"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0.63131313131313127</v>
      </c>
      <c r="CA48" s="82">
        <f>IF(WWWW[[#This Row],[Location Type 1]]="Village",WWWW[[#This Row],[Access to safe drinking water for Village]],WWWW[[#This Row],[Access to safe drinking water for Camp]])</f>
        <v>1</v>
      </c>
      <c r="CB48" s="80">
        <f>WWWW[[#This Row],[%Equitable and continuous access to sufficient quantity of safe drinking water]]*WWWW[[#This Row],[Total PoP ]]</f>
        <v>396</v>
      </c>
      <c r="CC48" s="82">
        <f>IF((WWWW[[#This Row],['#_Constructed/Existing protected/fenced ponds]]*250)/WWWW[[#This Row],[Total PoP ]]&gt;1,1,(WWWW[[#This Row],['#_Constructed/Existing protected/fenced ponds]]*250)/WWWW[[#This Row],[Total PoP ]])</f>
        <v>0</v>
      </c>
      <c r="CD48" s="80">
        <f>WWWW[[#This Row],[% Access to unimproved water points]]*WWWW[[#This Row],[Total PoP ]]</f>
        <v>0</v>
      </c>
      <c r="CE48"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48"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396</v>
      </c>
      <c r="CG48" s="80">
        <f>WWWW[[#This Row],[HRP1]]/500</f>
        <v>0.79200000000000004</v>
      </c>
      <c r="CH48" s="79">
        <f>1-WWWW[[#This Row],[% Equitable and continuous access to sufficient quantity of domestic water]]</f>
        <v>0</v>
      </c>
      <c r="CI48" s="80">
        <f>WWWW[[#This Row],[%equitable and continuous access to sufficient quantity of safe drinking and domestic water''s GAP]]*WWWW[[#This Row],[Total PoP ]]</f>
        <v>0</v>
      </c>
      <c r="CJ48" s="81">
        <f>IF(WWWW[[#This Row],[Total required water points]]-WWWW[[#This Row],['#Water points coverage]]&lt;0,0,WWWW[[#This Row],[Total required water points]]-WWWW[[#This Row],['#Water points coverage]])</f>
        <v>0.20799999999999996</v>
      </c>
      <c r="CK48" s="81">
        <f>ROUND(IF(WWWW[[#This Row],[Total PoP ]]&lt;500,1,WWWW[[#This Row],[Total PoP ]]/500),0)</f>
        <v>1</v>
      </c>
      <c r="CL48" s="81">
        <f>(WWWW[[#This Row],['#_Constructed latrines_by_WASHAgencies]]+WWWW[[#This Row],['#_Non Cluster partner latrines]])-WWWW[[#This Row],['#_Non-functional latrines]]</f>
        <v>2</v>
      </c>
      <c r="CM48"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0.10101010101010101</v>
      </c>
      <c r="CN48"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40</v>
      </c>
      <c r="CO48"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8" s="81">
        <f>IF(WWWW[[#This Row],[Location Type 1]]="Village","NA",IF(WWWW[[#This Row],['#_Constructed/Existing latrines in TLS]]*50&gt;WWWW[[#This Row],['#_students at TLS_CFS]],WWWW[[#This Row],['#_students at TLS_CFS]],(WWWW[[#This Row],['#_Constructed/Existing latrines in TLS]]*50)))</f>
        <v>0</v>
      </c>
      <c r="CQ48" s="81">
        <f>ROUND(IF(WWWW[[#This Row],[Location Type 1]]="camp",WWWW[[#This Row],[Total PoP ]]/20,IF(WWWW[[#This Row],[Location Type 1]]="Temporary Location",WWWW[[#This Row],[Total PoP ]]/50,(WWWW[[#This Row],[Total PoP ]]/6))),0)</f>
        <v>20</v>
      </c>
      <c r="CR48" s="80">
        <f>IF(WWWW[[#This Row],[Total required Latrines]]-(WWWW[[#This Row],['#_Constructed latrines_by_WASHAgencies]]+WWWW[[#This Row],['#_Non Cluster partner latrines]])&lt;0,0,WWWW[[#This Row],[Total required Latrines]]-(WWWW[[#This Row],['#_Constructed latrines_by_WASHAgencies]]+WWWW[[#This Row],['#_Non Cluster partner latrines]]))</f>
        <v>14</v>
      </c>
      <c r="CS48" s="79">
        <f>1-WWWW[[#This Row],[% people access to functioning Latrine]]</f>
        <v>0.89898989898989901</v>
      </c>
      <c r="CT48" s="83">
        <f>IF(OR(WWWW[[#This Row],['#_Non-functional latrines]]="",WWWW[[#This Row],['#_Non-functional latrines]]=0),0,WWWW[[#This Row],['#_Non-functional latrines]]/(WWWW[[#This Row],['#_Constructed latrines_by_WASHAgencies]]+WWWW[[#This Row],['#_Non Cluster partner latrines]]))</f>
        <v>0.66666666666666663</v>
      </c>
      <c r="CU48" s="80">
        <f>IF(500*(WWWW[[#This Row],['#_male hygiene promoters]]+WWWW[[#This Row],['#_female hygiene promoters]])&gt;WWWW[[#This Row],[Total PoP ]],WWWW[[#This Row],[Total PoP ]],500*(WWWW[[#This Row],['#_male hygiene promoters]]+WWWW[[#This Row],['#_female hygiene promoters]]))</f>
        <v>396</v>
      </c>
      <c r="CV48"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396</v>
      </c>
      <c r="CW48"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396</v>
      </c>
      <c r="CX48" s="81">
        <f>IF(WWWW[[#This Row],['# People with access to soap]]&gt;WWWW[[#This Row],['# People with access to Sanity Pads]],WWWW[[#This Row],['# People with access to soap]],WWWW[[#This Row],['# People with access to Sanity Pads]])</f>
        <v>396</v>
      </c>
      <c r="CY48" s="81">
        <f>IF(WWWW[[#This Row],['# people reached by regular dedicated hygiene promotion_5]]&gt;WWWW[[#This Row],['# People received regular supply of hygiene items_6]],WWWW[[#This Row],['# people reached by regular dedicated hygiene promotion_5]],WWWW[[#This Row],['# People received regular supply of hygiene items_6]])</f>
        <v>396</v>
      </c>
      <c r="CZ48" s="79">
        <f>IF(WWWW[[#This Row],[HRP3]]/WWWW[[#This Row],[Total PoP ]]&gt;100%,100%,WWWW[[#This Row],[HRP3]]/WWWW[[#This Row],[Total PoP ]])</f>
        <v>1</v>
      </c>
      <c r="DA48" s="83">
        <f>1-WWWW[[#This Row],[Hygiene Coverage%]]</f>
        <v>0</v>
      </c>
      <c r="DB48" s="82">
        <f>WWWW[[#This Row],['# people reached by regular dedicated hygiene promotion_5]]/WWWW[[#This Row],[Total PoP ]]</f>
        <v>1</v>
      </c>
      <c r="DC48" s="82">
        <f>IF(WWWW[[#This Row],['#_households that received standard amount of soap for this quarter]]/WWWW[[#This Row],[Total HH]]&gt;1,1,WWWW[[#This Row],['#_households that received standard amount of soap for this quarter]]/WWWW[[#This Row],[Total HH]])</f>
        <v>1</v>
      </c>
      <c r="DD48" s="82">
        <f>IF(WWWW[[#This Row],['#_households that received standard amount of sanitary pads for this quarter]]/WWWW[[#This Row],[Total HH]]&gt;1,1,WWWW[[#This Row],['#_households that received standard amount of sanitary pads for this quarter]]/WWWW[[#This Row],[Total HH]])</f>
        <v>1</v>
      </c>
      <c r="DE48" s="81">
        <f>WWWW[[#This Row],['#_Constructed/Existing hand washing stations]]-WWWW[[#This Row],['#_Non-Functional_hand_washing_stations]]</f>
        <v>0</v>
      </c>
      <c r="DF48" s="667">
        <f>IF(WWWW[[#This Row],['# Functional hand washing stations during reporting period]]*20&gt;WWWW[[#This Row],[Total HH]],WWWW[[#This Row],[Total HH]],WWWW[[#This Row],['# Functional hand washing stations during reporting period]]*20)</f>
        <v>0</v>
      </c>
      <c r="DG48" s="80">
        <f>IF(WWWW[[#This Row],[Is sufficient soap available for TLS? (Yes/No)]]="yes",WWWW[[#This Row],['#_Constructed/Existing hand washing stations at TLS]],0)</f>
        <v>0</v>
      </c>
      <c r="DH48" s="667">
        <f>IF(WWWW[[#This Row],['# Functional hand washing stations during reporting period]]*100&gt;WWWW[[#This Row],[Total PoP ]],WWWW[[#This Row],[Total PoP ]],WWWW[[#This Row],['# Functional hand washing stations during reporting period]]*100)</f>
        <v>0</v>
      </c>
      <c r="DI48" s="667" t="str">
        <f>IF(WWWW[[#This Row],['#_students at TLS_CFS]]="","No","Yes")</f>
        <v>No</v>
      </c>
      <c r="DJ48" s="245">
        <f>VLOOKUP(WWWW[[#This Row],[Site Name]],SiteDB6[[Site Name]:[CCCM Management]],6,FALSE)</f>
        <v>0</v>
      </c>
      <c r="DK48" s="245" t="str">
        <f>VLOOKUP(WWWW[[#This Row],[Site Name]],SiteDB6[[Site Name]:[CCCM Focal Agency]],7,FALSE)</f>
        <v>KMSS-MYT</v>
      </c>
      <c r="DL48" s="245" t="str">
        <f>VLOOKUP(WWWW[[#This Row],[Site Name]],SiteDB6[[Site Name]:[Location Type 1]],9,FALSE)</f>
        <v>Camp</v>
      </c>
      <c r="DM48" s="245" t="str">
        <f>VLOOKUP(WWWW[[#This Row],[Site Name]],SiteDB6[[Site Name]:[Type of Accommodation]],10,FALSE)</f>
        <v>Camp</v>
      </c>
      <c r="DN48" s="245" t="str">
        <f>VLOOKUP(WWWW[[#This Row],[Site Name]],SiteDB6[[Site Name]:[Ethnic or GCA/NGCA]],11,FALSE)</f>
        <v>GCA</v>
      </c>
      <c r="DO48" s="245">
        <f>VLOOKUP(WWWW[[#This Row],[Site Name]],SiteDB6[[Site Name]:[Lat]],12,FALSE)</f>
        <v>97.013800000000003</v>
      </c>
      <c r="DP48" s="245">
        <f>VLOOKUP(WWWW[[#This Row],[Site Name]],SiteDB6[[Site Name]:[Long]],13,FALSE)</f>
        <v>25.383465999999999</v>
      </c>
      <c r="DQ48" s="245" t="str">
        <f>VLOOKUP(WWWW[[#This Row],[Site Name]],SiteDB6[[Site Name]:[Pcode]],3,FALSE)</f>
        <v>MMR001CMP260</v>
      </c>
      <c r="DR48" s="215" t="str">
        <f t="shared" si="2"/>
        <v>Covered</v>
      </c>
      <c r="DS48" s="215"/>
      <c r="DT48" s="20"/>
      <c r="DU48" s="20"/>
      <c r="DV48" s="20"/>
      <c r="DW48" s="20"/>
      <c r="DX48" s="20"/>
      <c r="DY48" s="20"/>
      <c r="DZ48" s="20"/>
      <c r="EA48" s="20"/>
      <c r="EB48" s="20"/>
      <c r="EC48" s="20"/>
      <c r="ED48" s="20"/>
      <c r="EE48" s="20"/>
      <c r="EF48" s="20"/>
      <c r="EG48" s="20"/>
      <c r="EH48" s="20"/>
    </row>
    <row r="49" spans="1:138" ht="15.75" customHeight="1">
      <c r="A49" s="259" t="s">
        <v>2525</v>
      </c>
      <c r="B49" s="663" t="s">
        <v>250</v>
      </c>
      <c r="C49" s="663" t="s">
        <v>250</v>
      </c>
      <c r="D49" s="663" t="s">
        <v>315</v>
      </c>
      <c r="E49" s="663" t="s">
        <v>39</v>
      </c>
      <c r="F49" s="663" t="s">
        <v>156</v>
      </c>
      <c r="G49" s="663" t="str">
        <f>VLOOKUP(WWWW[[#This Row],[Site Name]],SiteDB6[[Site Name]:[Location Type]],8,FALSE)</f>
        <v>Camp</v>
      </c>
      <c r="H49" s="663" t="s">
        <v>269</v>
      </c>
      <c r="I49" s="700">
        <v>32</v>
      </c>
      <c r="J49" s="700">
        <v>172</v>
      </c>
      <c r="K49" s="642">
        <v>43313</v>
      </c>
      <c r="L49" s="78">
        <v>44043</v>
      </c>
      <c r="M49" s="700">
        <v>0</v>
      </c>
      <c r="N49" s="700">
        <v>1</v>
      </c>
      <c r="O49" s="700">
        <v>0</v>
      </c>
      <c r="P49" s="700">
        <v>0</v>
      </c>
      <c r="Q49" s="663" t="s">
        <v>43</v>
      </c>
      <c r="R49" s="377">
        <v>4</v>
      </c>
      <c r="S49" s="377">
        <v>1</v>
      </c>
      <c r="T49" s="377">
        <v>0</v>
      </c>
      <c r="U49" s="377">
        <v>0</v>
      </c>
      <c r="V49" s="377">
        <v>0</v>
      </c>
      <c r="W49" s="377">
        <v>0</v>
      </c>
      <c r="X49" s="377">
        <v>0</v>
      </c>
      <c r="Y49" s="377">
        <v>0</v>
      </c>
      <c r="Z49" s="377">
        <v>0</v>
      </c>
      <c r="AA49" s="377">
        <v>1</v>
      </c>
      <c r="AB49" s="377">
        <v>0</v>
      </c>
      <c r="AC49" s="377">
        <v>1</v>
      </c>
      <c r="AD49" s="377">
        <v>0</v>
      </c>
      <c r="AE49" s="377">
        <v>1</v>
      </c>
      <c r="AF49" s="377">
        <v>1</v>
      </c>
      <c r="AG49" s="377">
        <v>0</v>
      </c>
      <c r="AH49" s="377">
        <v>1</v>
      </c>
      <c r="AI49" s="377"/>
      <c r="AJ49" s="377"/>
      <c r="AK49" s="377"/>
      <c r="AL49" s="377"/>
      <c r="AM49" s="377">
        <v>0</v>
      </c>
      <c r="AN49" s="377">
        <v>0</v>
      </c>
      <c r="AO49" s="215"/>
      <c r="AP49" s="377">
        <v>10</v>
      </c>
      <c r="AQ49" s="377">
        <v>1</v>
      </c>
      <c r="AR49" s="77" t="s">
        <v>250</v>
      </c>
      <c r="AS49" s="377">
        <v>0</v>
      </c>
      <c r="AT49" s="377">
        <v>4</v>
      </c>
      <c r="AU49" s="377">
        <v>0</v>
      </c>
      <c r="AV49" s="377"/>
      <c r="AW49" s="700">
        <v>0</v>
      </c>
      <c r="AX49" s="694" t="s">
        <v>43</v>
      </c>
      <c r="AY49" s="245" t="s">
        <v>144</v>
      </c>
      <c r="AZ49" s="377">
        <v>0</v>
      </c>
      <c r="BA49" s="377">
        <v>0</v>
      </c>
      <c r="BB49" s="377">
        <v>0</v>
      </c>
      <c r="BC49" s="215"/>
      <c r="BD49" s="377">
        <v>2</v>
      </c>
      <c r="BE49" s="377">
        <v>0</v>
      </c>
      <c r="BF49" s="377">
        <v>2</v>
      </c>
      <c r="BG49" s="377">
        <v>0</v>
      </c>
      <c r="BH49" s="377">
        <v>1</v>
      </c>
      <c r="BI49" s="377">
        <v>1</v>
      </c>
      <c r="BJ49" s="377">
        <v>0</v>
      </c>
      <c r="BK49" s="377">
        <v>0</v>
      </c>
      <c r="BL49" s="377">
        <v>0</v>
      </c>
      <c r="BM49" s="215" t="s">
        <v>144</v>
      </c>
      <c r="BN49" s="80">
        <v>0</v>
      </c>
      <c r="BO49" s="82">
        <v>0.05</v>
      </c>
      <c r="BP49" s="215"/>
      <c r="BQ49" s="79" t="str">
        <f>IFERROR(WWWW[[#This Row],['#_Water sources treated]]/WWWW[[#This Row],['#_Water sources tested for contamination]],"no test")</f>
        <v>no test</v>
      </c>
      <c r="BR49" s="82" t="str">
        <f>IFERROR(WWWW[[#This Row],['#_Household received remediation action due to contamination]]/WWWW[[#This Row],['#_Household water samples tested for contamination]],"no test")</f>
        <v>no test</v>
      </c>
      <c r="BS49" s="81" t="str">
        <f>IF(AND(WWWW[[#This Row],[% of water sources treated]]="no test",WWWW[[#This Row],[% Household received corrective actions]]="no test"),"No Test","Tested")</f>
        <v>No Test</v>
      </c>
      <c r="BT49" s="81">
        <f>WWWW[[#This Row],['#_Constructed/existing protected hand dug well]]-WWWW[[#This Row],['#_Non-functional protected hand dug well]]</f>
        <v>0</v>
      </c>
      <c r="BU49" s="81">
        <f>(WWWW[[#This Row],['#_Constructed/Existing tube wells/boreholes/handpumps_WASH_agency]]+WWWW[[#This Row],['#_Non-Cluster partner water tube-wells/boreholes/handpumps]])-WWWW[[#This Row],['#_Non-functional tube wells/boreholes/handpumps]]</f>
        <v>0</v>
      </c>
      <c r="BV49" s="81">
        <f>WWWW[[#This Row],['#_Constructed/Existingwater storage tank with gravity fed reticulation system]]-WWWW[[#This Row],['#_Non-functional storage tank gravity fed reticulation system]]</f>
        <v>1</v>
      </c>
      <c r="BW49" s="81">
        <f>WWWW[[#This Row],['#_Water boating or water trucking]]</f>
        <v>0</v>
      </c>
      <c r="BX49" s="81">
        <f>WWWW[[#This Row],['#_Constructed/Existing water distribution system from river or natural spring]]</f>
        <v>1</v>
      </c>
      <c r="BY49"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0.38798449612403102</v>
      </c>
      <c r="BZ49"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0.38798449612403102</v>
      </c>
      <c r="CA49" s="82">
        <f>IF(WWWW[[#This Row],[Location Type 1]]="Village",WWWW[[#This Row],[Access to safe drinking water for Village]],WWWW[[#This Row],[Access to safe drinking water for Camp]])</f>
        <v>0.38798449612403102</v>
      </c>
      <c r="CB49" s="80">
        <f>WWWW[[#This Row],[%Equitable and continuous access to sufficient quantity of safe drinking water]]*WWWW[[#This Row],[Total PoP ]]</f>
        <v>66.733333333333334</v>
      </c>
      <c r="CC49" s="82">
        <f>IF((WWWW[[#This Row],['#_Constructed/Existing protected/fenced ponds]]*250)/WWWW[[#This Row],[Total PoP ]]&gt;1,1,(WWWW[[#This Row],['#_Constructed/Existing protected/fenced ponds]]*250)/WWWW[[#This Row],[Total PoP ]])</f>
        <v>1</v>
      </c>
      <c r="CD49" s="80">
        <f>WWWW[[#This Row],[% Access to unimproved water points]]*WWWW[[#This Row],[Total PoP ]]</f>
        <v>172</v>
      </c>
      <c r="CE49"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49"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172</v>
      </c>
      <c r="CG49" s="80">
        <f>WWWW[[#This Row],[HRP1]]/500</f>
        <v>0.34399999999999997</v>
      </c>
      <c r="CH49" s="79">
        <f>1-WWWW[[#This Row],[% Equitable and continuous access to sufficient quantity of domestic water]]</f>
        <v>0</v>
      </c>
      <c r="CI49" s="80">
        <f>WWWW[[#This Row],[%equitable and continuous access to sufficient quantity of safe drinking and domestic water''s GAP]]*WWWW[[#This Row],[Total PoP ]]</f>
        <v>0</v>
      </c>
      <c r="CJ49" s="81">
        <f>IF(WWWW[[#This Row],[Total required water points]]-WWWW[[#This Row],['#Water points coverage]]&lt;0,0,WWWW[[#This Row],[Total required water points]]-WWWW[[#This Row],['#Water points coverage]])</f>
        <v>0.65600000000000003</v>
      </c>
      <c r="CK49" s="81">
        <f>ROUND(IF(WWWW[[#This Row],[Total PoP ]]&lt;500,1,WWWW[[#This Row],[Total PoP ]]/500),0)</f>
        <v>1</v>
      </c>
      <c r="CL49" s="81">
        <f>(WWWW[[#This Row],['#_Constructed latrines_by_WASHAgencies]]+WWWW[[#This Row],['#_Non Cluster partner latrines]])-WWWW[[#This Row],['#_Non-functional latrines]]</f>
        <v>11</v>
      </c>
      <c r="CM49"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49"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172</v>
      </c>
      <c r="CO49"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9" s="81">
        <f>IF(WWWW[[#This Row],[Location Type 1]]="Village","NA",IF(WWWW[[#This Row],['#_Constructed/Existing latrines in TLS]]*50&gt;WWWW[[#This Row],['#_students at TLS_CFS]],WWWW[[#This Row],['#_students at TLS_CFS]],(WWWW[[#This Row],['#_Constructed/Existing latrines in TLS]]*50)))</f>
        <v>0</v>
      </c>
      <c r="CQ49" s="81">
        <f>ROUND(IF(WWWW[[#This Row],[Location Type 1]]="camp",WWWW[[#This Row],[Total PoP ]]/20,IF(WWWW[[#This Row],[Location Type 1]]="Temporary Location",WWWW[[#This Row],[Total PoP ]]/50,(WWWW[[#This Row],[Total PoP ]]/6))),0)</f>
        <v>9</v>
      </c>
      <c r="CR49" s="80">
        <f>IF(WWWW[[#This Row],[Total required Latrines]]-(WWWW[[#This Row],['#_Constructed latrines_by_WASHAgencies]]+WWWW[[#This Row],['#_Non Cluster partner latrines]])&lt;0,0,WWWW[[#This Row],[Total required Latrines]]-(WWWW[[#This Row],['#_Constructed latrines_by_WASHAgencies]]+WWWW[[#This Row],['#_Non Cluster partner latrines]]))</f>
        <v>0</v>
      </c>
      <c r="CS49" s="79">
        <f>1-WWWW[[#This Row],[% people access to functioning Latrine]]</f>
        <v>0</v>
      </c>
      <c r="CT49" s="83">
        <f>IF(OR(WWWW[[#This Row],['#_Non-functional latrines]]="",WWWW[[#This Row],['#_Non-functional latrines]]=0),0,WWWW[[#This Row],['#_Non-functional latrines]]/(WWWW[[#This Row],['#_Constructed latrines_by_WASHAgencies]]+WWWW[[#This Row],['#_Non Cluster partner latrines]]))</f>
        <v>0</v>
      </c>
      <c r="CU49" s="80">
        <f>IF(500*(WWWW[[#This Row],['#_male hygiene promoters]]+WWWW[[#This Row],['#_female hygiene promoters]])&gt;WWWW[[#This Row],[Total PoP ]],WWWW[[#This Row],[Total PoP ]],500*(WWWW[[#This Row],['#_male hygiene promoters]]+WWWW[[#This Row],['#_female hygiene promoters]]))</f>
        <v>172</v>
      </c>
      <c r="CV49"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9"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9" s="81">
        <f>IF(WWWW[[#This Row],['# People with access to soap]]&gt;WWWW[[#This Row],['# People with access to Sanity Pads]],WWWW[[#This Row],['# People with access to soap]],WWWW[[#This Row],['# People with access to Sanity Pads]])</f>
        <v>0</v>
      </c>
      <c r="CY49" s="81">
        <f>IF(WWWW[[#This Row],['# people reached by regular dedicated hygiene promotion_5]]&gt;WWWW[[#This Row],['# People received regular supply of hygiene items_6]],WWWW[[#This Row],['# people reached by regular dedicated hygiene promotion_5]],WWWW[[#This Row],['# People received regular supply of hygiene items_6]])</f>
        <v>172</v>
      </c>
      <c r="CZ49" s="79">
        <f>IF(WWWW[[#This Row],[HRP3]]/WWWW[[#This Row],[Total PoP ]]&gt;100%,100%,WWWW[[#This Row],[HRP3]]/WWWW[[#This Row],[Total PoP ]])</f>
        <v>1</v>
      </c>
      <c r="DA49" s="83">
        <f>1-WWWW[[#This Row],[Hygiene Coverage%]]</f>
        <v>0</v>
      </c>
      <c r="DB49" s="82">
        <f>WWWW[[#This Row],['# people reached by regular dedicated hygiene promotion_5]]/WWWW[[#This Row],[Total PoP ]]</f>
        <v>1</v>
      </c>
      <c r="DC49" s="82">
        <f>IF(WWWW[[#This Row],['#_households that received standard amount of soap for this quarter]]/WWWW[[#This Row],[Total HH]]&gt;1,1,WWWW[[#This Row],['#_households that received standard amount of soap for this quarter]]/WWWW[[#This Row],[Total HH]])</f>
        <v>0</v>
      </c>
      <c r="DD49" s="82">
        <f>IF(WWWW[[#This Row],['#_households that received standard amount of sanitary pads for this quarter]]/WWWW[[#This Row],[Total HH]]&gt;1,1,WWWW[[#This Row],['#_households that received standard amount of sanitary pads for this quarter]]/WWWW[[#This Row],[Total HH]])</f>
        <v>0</v>
      </c>
      <c r="DE49" s="81">
        <f>WWWW[[#This Row],['#_Constructed/Existing hand washing stations]]-WWWW[[#This Row],['#_Non-Functional_hand_washing_stations]]</f>
        <v>2</v>
      </c>
      <c r="DF49" s="667">
        <f>IF(WWWW[[#This Row],['# Functional hand washing stations during reporting period]]*20&gt;WWWW[[#This Row],[Total HH]],WWWW[[#This Row],[Total HH]],WWWW[[#This Row],['# Functional hand washing stations during reporting period]]*20)</f>
        <v>32</v>
      </c>
      <c r="DG49" s="80">
        <f>IF(WWWW[[#This Row],[Is sufficient soap available for TLS? (Yes/No)]]="yes",WWWW[[#This Row],['#_Constructed/Existing hand washing stations at TLS]],0)</f>
        <v>0</v>
      </c>
      <c r="DH49" s="667">
        <f>IF(WWWW[[#This Row],['# Functional hand washing stations during reporting period]]*100&gt;WWWW[[#This Row],[Total PoP ]],WWWW[[#This Row],[Total PoP ]],WWWW[[#This Row],['# Functional hand washing stations during reporting period]]*100)</f>
        <v>172</v>
      </c>
      <c r="DI49" s="667" t="str">
        <f>IF(WWWW[[#This Row],['#_students at TLS_CFS]]="","No","Yes")</f>
        <v>Yes</v>
      </c>
      <c r="DJ49" s="245" t="str">
        <f>VLOOKUP(WWWW[[#This Row],[Site Name]],SiteDB6[[Site Name]:[CCCM Management]],6,FALSE)</f>
        <v>Yes</v>
      </c>
      <c r="DK49" s="245" t="str">
        <f>VLOOKUP(WWWW[[#This Row],[Site Name]],SiteDB6[[Site Name]:[CCCM Focal Agency]],7,FALSE)</f>
        <v>KBC</v>
      </c>
      <c r="DL49" s="245" t="str">
        <f>VLOOKUP(WWWW[[#This Row],[Site Name]],SiteDB6[[Site Name]:[Location Type 1]],9,FALSE)</f>
        <v>Camp</v>
      </c>
      <c r="DM49" s="245" t="str">
        <f>VLOOKUP(WWWW[[#This Row],[Site Name]],SiteDB6[[Site Name]:[Type of Accommodation]],10,FALSE)</f>
        <v>Camp</v>
      </c>
      <c r="DN49" s="245" t="str">
        <f>VLOOKUP(WWWW[[#This Row],[Site Name]],SiteDB6[[Site Name]:[Ethnic or GCA/NGCA]],11,FALSE)</f>
        <v>GCA</v>
      </c>
      <c r="DO49" s="245">
        <f>VLOOKUP(WWWW[[#This Row],[Site Name]],SiteDB6[[Site Name]:[Lat]],12,FALSE)</f>
        <v>25.577559999999998</v>
      </c>
      <c r="DP49" s="245">
        <f>VLOOKUP(WWWW[[#This Row],[Site Name]],SiteDB6[[Site Name]:[Long]],13,FALSE)</f>
        <v>96.286680000000004</v>
      </c>
      <c r="DQ49" s="245" t="str">
        <f>VLOOKUP(WWWW[[#This Row],[Site Name]],SiteDB6[[Site Name]:[Pcode]],3,FALSE)</f>
        <v>MMR001CMP184</v>
      </c>
      <c r="DR49" s="215" t="str">
        <f t="shared" si="2"/>
        <v>Covered</v>
      </c>
      <c r="DS49" s="215"/>
      <c r="DT49" s="20"/>
      <c r="DU49" s="20"/>
      <c r="DV49" s="20"/>
      <c r="DW49" s="20"/>
      <c r="DX49" s="20"/>
      <c r="DY49" s="20"/>
      <c r="DZ49" s="20"/>
      <c r="EA49" s="20"/>
      <c r="EB49" s="20"/>
      <c r="EC49" s="20"/>
      <c r="ED49" s="20"/>
      <c r="EE49" s="20"/>
      <c r="EF49" s="20"/>
      <c r="EG49" s="20"/>
      <c r="EH49" s="20"/>
    </row>
    <row r="50" spans="1:138" ht="15.75" customHeight="1">
      <c r="A50" s="259" t="s">
        <v>2525</v>
      </c>
      <c r="B50" s="663" t="s">
        <v>250</v>
      </c>
      <c r="C50" s="663" t="s">
        <v>250</v>
      </c>
      <c r="D50" s="663" t="s">
        <v>315</v>
      </c>
      <c r="E50" s="663" t="s">
        <v>39</v>
      </c>
      <c r="F50" s="663" t="s">
        <v>156</v>
      </c>
      <c r="G50" s="663" t="str">
        <f>VLOOKUP(WWWW[[#This Row],[Site Name]],SiteDB6[[Site Name]:[Location Type]],8,FALSE)</f>
        <v>Camp</v>
      </c>
      <c r="H50" s="663" t="s">
        <v>270</v>
      </c>
      <c r="I50" s="700">
        <v>15</v>
      </c>
      <c r="J50" s="700">
        <v>67</v>
      </c>
      <c r="K50" s="642">
        <v>43313</v>
      </c>
      <c r="L50" s="78">
        <v>44043</v>
      </c>
      <c r="M50" s="700">
        <v>0</v>
      </c>
      <c r="N50" s="700">
        <v>1</v>
      </c>
      <c r="O50" s="700">
        <v>0</v>
      </c>
      <c r="P50" s="700">
        <v>0</v>
      </c>
      <c r="Q50" s="663" t="s">
        <v>43</v>
      </c>
      <c r="R50" s="377">
        <v>2</v>
      </c>
      <c r="S50" s="377">
        <v>2</v>
      </c>
      <c r="T50" s="377">
        <v>0</v>
      </c>
      <c r="U50" s="377">
        <v>0</v>
      </c>
      <c r="V50" s="377">
        <v>0</v>
      </c>
      <c r="W50" s="377">
        <v>0</v>
      </c>
      <c r="X50" s="377">
        <v>0</v>
      </c>
      <c r="Y50" s="377">
        <v>0</v>
      </c>
      <c r="Z50" s="377">
        <v>0</v>
      </c>
      <c r="AA50" s="377">
        <v>0</v>
      </c>
      <c r="AB50" s="377">
        <v>0</v>
      </c>
      <c r="AC50" s="377">
        <v>0</v>
      </c>
      <c r="AD50" s="377">
        <v>0</v>
      </c>
      <c r="AE50" s="377">
        <v>0</v>
      </c>
      <c r="AF50" s="377">
        <v>0</v>
      </c>
      <c r="AG50" s="377">
        <v>0</v>
      </c>
      <c r="AH50" s="377">
        <v>0</v>
      </c>
      <c r="AI50" s="377"/>
      <c r="AJ50" s="377"/>
      <c r="AK50" s="377"/>
      <c r="AL50" s="377"/>
      <c r="AM50" s="377">
        <v>0</v>
      </c>
      <c r="AN50" s="377">
        <v>0</v>
      </c>
      <c r="AO50" s="215"/>
      <c r="AP50" s="377">
        <v>4</v>
      </c>
      <c r="AQ50" s="377">
        <v>1</v>
      </c>
      <c r="AR50" s="77" t="s">
        <v>3130</v>
      </c>
      <c r="AS50" s="377">
        <v>0</v>
      </c>
      <c r="AT50" s="377">
        <v>0</v>
      </c>
      <c r="AU50" s="377">
        <v>0</v>
      </c>
      <c r="AV50" s="377"/>
      <c r="AW50" s="700">
        <v>0</v>
      </c>
      <c r="AX50" s="694" t="s">
        <v>43</v>
      </c>
      <c r="AY50" s="245" t="s">
        <v>144</v>
      </c>
      <c r="AZ50" s="377">
        <v>0</v>
      </c>
      <c r="BA50" s="377">
        <v>0</v>
      </c>
      <c r="BB50" s="377">
        <v>0</v>
      </c>
      <c r="BC50" s="215"/>
      <c r="BD50" s="377">
        <v>0</v>
      </c>
      <c r="BE50" s="377">
        <v>0</v>
      </c>
      <c r="BF50" s="377">
        <v>0</v>
      </c>
      <c r="BG50" s="377">
        <v>2</v>
      </c>
      <c r="BH50" s="377">
        <v>0</v>
      </c>
      <c r="BI50" s="377">
        <v>2</v>
      </c>
      <c r="BJ50" s="377">
        <v>0</v>
      </c>
      <c r="BK50" s="377">
        <v>0</v>
      </c>
      <c r="BL50" s="377">
        <v>0</v>
      </c>
      <c r="BM50" s="215" t="s">
        <v>144</v>
      </c>
      <c r="BN50" s="80">
        <v>0</v>
      </c>
      <c r="BO50" s="82">
        <v>0.65</v>
      </c>
      <c r="BP50" s="215"/>
      <c r="BQ50" s="79" t="str">
        <f>IFERROR(WWWW[[#This Row],['#_Water sources treated]]/WWWW[[#This Row],['#_Water sources tested for contamination]],"no test")</f>
        <v>no test</v>
      </c>
      <c r="BR50" s="82" t="str">
        <f>IFERROR(WWWW[[#This Row],['#_Household received remediation action due to contamination]]/WWWW[[#This Row],['#_Household water samples tested for contamination]],"no test")</f>
        <v>no test</v>
      </c>
      <c r="BS50" s="81" t="str">
        <f>IF(AND(WWWW[[#This Row],[% of water sources treated]]="no test",WWWW[[#This Row],[% Household received corrective actions]]="no test"),"No Test","Tested")</f>
        <v>No Test</v>
      </c>
      <c r="BT50" s="81">
        <f>WWWW[[#This Row],['#_Constructed/existing protected hand dug well]]-WWWW[[#This Row],['#_Non-functional protected hand dug well]]</f>
        <v>0</v>
      </c>
      <c r="BU50" s="81">
        <f>(WWWW[[#This Row],['#_Constructed/Existing tube wells/boreholes/handpumps_WASH_agency]]+WWWW[[#This Row],['#_Non-Cluster partner water tube-wells/boreholes/handpumps]])-WWWW[[#This Row],['#_Non-functional tube wells/boreholes/handpumps]]</f>
        <v>0</v>
      </c>
      <c r="BV50" s="81">
        <f>WWWW[[#This Row],['#_Constructed/Existingwater storage tank with gravity fed reticulation system]]-WWWW[[#This Row],['#_Non-functional storage tank gravity fed reticulation system]]</f>
        <v>0</v>
      </c>
      <c r="BW50" s="81">
        <f>WWWW[[#This Row],['#_Water boating or water trucking]]</f>
        <v>0</v>
      </c>
      <c r="BX50" s="81">
        <f>WWWW[[#This Row],['#_Constructed/Existing water distribution system from river or natural spring]]</f>
        <v>0</v>
      </c>
      <c r="BY50"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50"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50" s="82">
        <f>IF(WWWW[[#This Row],[Location Type 1]]="Village",WWWW[[#This Row],[Access to safe drinking water for Village]],WWWW[[#This Row],[Access to safe drinking water for Camp]])</f>
        <v>0</v>
      </c>
      <c r="CB50" s="80">
        <f>WWWW[[#This Row],[%Equitable and continuous access to sufficient quantity of safe drinking water]]*WWWW[[#This Row],[Total PoP ]]</f>
        <v>0</v>
      </c>
      <c r="CC50" s="82">
        <f>IF((WWWW[[#This Row],['#_Constructed/Existing protected/fenced ponds]]*250)/WWWW[[#This Row],[Total PoP ]]&gt;1,1,(WWWW[[#This Row],['#_Constructed/Existing protected/fenced ponds]]*250)/WWWW[[#This Row],[Total PoP ]])</f>
        <v>0</v>
      </c>
      <c r="CD50" s="80">
        <f>WWWW[[#This Row],[% Access to unimproved water points]]*WWWW[[#This Row],[Total PoP ]]</f>
        <v>0</v>
      </c>
      <c r="CE50"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50"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50" s="80">
        <f>WWWW[[#This Row],[HRP1]]/500</f>
        <v>0</v>
      </c>
      <c r="CH50" s="79">
        <f>1-WWWW[[#This Row],[% Equitable and continuous access to sufficient quantity of domestic water]]</f>
        <v>1</v>
      </c>
      <c r="CI50" s="80">
        <f>WWWW[[#This Row],[%equitable and continuous access to sufficient quantity of safe drinking and domestic water''s GAP]]*WWWW[[#This Row],[Total PoP ]]</f>
        <v>67</v>
      </c>
      <c r="CJ50" s="81">
        <f>IF(WWWW[[#This Row],[Total required water points]]-WWWW[[#This Row],['#Water points coverage]]&lt;0,0,WWWW[[#This Row],[Total required water points]]-WWWW[[#This Row],['#Water points coverage]])</f>
        <v>1</v>
      </c>
      <c r="CK50" s="81">
        <f>ROUND(IF(WWWW[[#This Row],[Total PoP ]]&lt;500,1,WWWW[[#This Row],[Total PoP ]]/500),0)</f>
        <v>1</v>
      </c>
      <c r="CL50" s="81">
        <f>(WWWW[[#This Row],['#_Constructed latrines_by_WASHAgencies]]+WWWW[[#This Row],['#_Non Cluster partner latrines]])-WWWW[[#This Row],['#_Non-functional latrines]]</f>
        <v>5</v>
      </c>
      <c r="CM50"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50"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67</v>
      </c>
      <c r="CO50"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0" s="81">
        <f>IF(WWWW[[#This Row],[Location Type 1]]="Village","NA",IF(WWWW[[#This Row],['#_Constructed/Existing latrines in TLS]]*50&gt;WWWW[[#This Row],['#_students at TLS_CFS]],WWWW[[#This Row],['#_students at TLS_CFS]],(WWWW[[#This Row],['#_Constructed/Existing latrines in TLS]]*50)))</f>
        <v>0</v>
      </c>
      <c r="CQ50" s="81">
        <f>ROUND(IF(WWWW[[#This Row],[Location Type 1]]="camp",WWWW[[#This Row],[Total PoP ]]/20,IF(WWWW[[#This Row],[Location Type 1]]="Temporary Location",WWWW[[#This Row],[Total PoP ]]/50,(WWWW[[#This Row],[Total PoP ]]/6))),0)</f>
        <v>3</v>
      </c>
      <c r="CR50" s="80">
        <f>IF(WWWW[[#This Row],[Total required Latrines]]-(WWWW[[#This Row],['#_Constructed latrines_by_WASHAgencies]]+WWWW[[#This Row],['#_Non Cluster partner latrines]])&lt;0,0,WWWW[[#This Row],[Total required Latrines]]-(WWWW[[#This Row],['#_Constructed latrines_by_WASHAgencies]]+WWWW[[#This Row],['#_Non Cluster partner latrines]]))</f>
        <v>0</v>
      </c>
      <c r="CS50" s="79">
        <f>1-WWWW[[#This Row],[% people access to functioning Latrine]]</f>
        <v>0</v>
      </c>
      <c r="CT50" s="83">
        <f>IF(OR(WWWW[[#This Row],['#_Non-functional latrines]]="",WWWW[[#This Row],['#_Non-functional latrines]]=0),0,WWWW[[#This Row],['#_Non-functional latrines]]/(WWWW[[#This Row],['#_Constructed latrines_by_WASHAgencies]]+WWWW[[#This Row],['#_Non Cluster partner latrines]]))</f>
        <v>0</v>
      </c>
      <c r="CU50" s="80">
        <f>IF(500*(WWWW[[#This Row],['#_male hygiene promoters]]+WWWW[[#This Row],['#_female hygiene promoters]])&gt;WWWW[[#This Row],[Total PoP ]],WWWW[[#This Row],[Total PoP ]],500*(WWWW[[#This Row],['#_male hygiene promoters]]+WWWW[[#This Row],['#_female hygiene promoters]]))</f>
        <v>67</v>
      </c>
      <c r="CV50"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0"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0" s="81">
        <f>IF(WWWW[[#This Row],['# People with access to soap]]&gt;WWWW[[#This Row],['# People with access to Sanity Pads]],WWWW[[#This Row],['# People with access to soap]],WWWW[[#This Row],['# People with access to Sanity Pads]])</f>
        <v>0</v>
      </c>
      <c r="CY50" s="81">
        <f>IF(WWWW[[#This Row],['# people reached by regular dedicated hygiene promotion_5]]&gt;WWWW[[#This Row],['# People received regular supply of hygiene items_6]],WWWW[[#This Row],['# people reached by regular dedicated hygiene promotion_5]],WWWW[[#This Row],['# People received regular supply of hygiene items_6]])</f>
        <v>67</v>
      </c>
      <c r="CZ50" s="79">
        <f>IF(WWWW[[#This Row],[HRP3]]/WWWW[[#This Row],[Total PoP ]]&gt;100%,100%,WWWW[[#This Row],[HRP3]]/WWWW[[#This Row],[Total PoP ]])</f>
        <v>1</v>
      </c>
      <c r="DA50" s="83">
        <f>1-WWWW[[#This Row],[Hygiene Coverage%]]</f>
        <v>0</v>
      </c>
      <c r="DB50" s="82">
        <f>WWWW[[#This Row],['# people reached by regular dedicated hygiene promotion_5]]/WWWW[[#This Row],[Total PoP ]]</f>
        <v>1</v>
      </c>
      <c r="DC50" s="82">
        <f>IF(WWWW[[#This Row],['#_households that received standard amount of soap for this quarter]]/WWWW[[#This Row],[Total HH]]&gt;1,1,WWWW[[#This Row],['#_households that received standard amount of soap for this quarter]]/WWWW[[#This Row],[Total HH]])</f>
        <v>0</v>
      </c>
      <c r="DD50" s="82">
        <f>IF(WWWW[[#This Row],['#_households that received standard amount of sanitary pads for this quarter]]/WWWW[[#This Row],[Total HH]]&gt;1,1,WWWW[[#This Row],['#_households that received standard amount of sanitary pads for this quarter]]/WWWW[[#This Row],[Total HH]])</f>
        <v>0</v>
      </c>
      <c r="DE50" s="81">
        <f>WWWW[[#This Row],['#_Constructed/Existing hand washing stations]]-WWWW[[#This Row],['#_Non-Functional_hand_washing_stations]]</f>
        <v>0</v>
      </c>
      <c r="DF50" s="667">
        <f>IF(WWWW[[#This Row],['# Functional hand washing stations during reporting period]]*20&gt;WWWW[[#This Row],[Total HH]],WWWW[[#This Row],[Total HH]],WWWW[[#This Row],['# Functional hand washing stations during reporting period]]*20)</f>
        <v>0</v>
      </c>
      <c r="DG50" s="80">
        <f>IF(WWWW[[#This Row],[Is sufficient soap available for TLS? (Yes/No)]]="yes",WWWW[[#This Row],['#_Constructed/Existing hand washing stations at TLS]],0)</f>
        <v>0</v>
      </c>
      <c r="DH50" s="667">
        <f>IF(WWWW[[#This Row],['# Functional hand washing stations during reporting period]]*100&gt;WWWW[[#This Row],[Total PoP ]],WWWW[[#This Row],[Total PoP ]],WWWW[[#This Row],['# Functional hand washing stations during reporting period]]*100)</f>
        <v>0</v>
      </c>
      <c r="DI50" s="667" t="str">
        <f>IF(WWWW[[#This Row],['#_students at TLS_CFS]]="","No","Yes")</f>
        <v>Yes</v>
      </c>
      <c r="DJ50" s="245" t="str">
        <f>VLOOKUP(WWWW[[#This Row],[Site Name]],SiteDB6[[Site Name]:[CCCM Management]],6,FALSE)</f>
        <v>Yes</v>
      </c>
      <c r="DK50" s="245" t="str">
        <f>VLOOKUP(WWWW[[#This Row],[Site Name]],SiteDB6[[Site Name]:[CCCM Focal Agency]],7,FALSE)</f>
        <v>KBC</v>
      </c>
      <c r="DL50" s="245" t="str">
        <f>VLOOKUP(WWWW[[#This Row],[Site Name]],SiteDB6[[Site Name]:[Location Type 1]],9,FALSE)</f>
        <v>Camp</v>
      </c>
      <c r="DM50" s="245" t="str">
        <f>VLOOKUP(WWWW[[#This Row],[Site Name]],SiteDB6[[Site Name]:[Type of Accommodation]],10,FALSE)</f>
        <v>Camp</v>
      </c>
      <c r="DN50" s="245" t="str">
        <f>VLOOKUP(WWWW[[#This Row],[Site Name]],SiteDB6[[Site Name]:[Ethnic or GCA/NGCA]],11,FALSE)</f>
        <v>GCA</v>
      </c>
      <c r="DO50" s="245">
        <f>VLOOKUP(WWWW[[#This Row],[Site Name]],SiteDB6[[Site Name]:[Lat]],12,FALSE)</f>
        <v>25.599250000000001</v>
      </c>
      <c r="DP50" s="245">
        <f>VLOOKUP(WWWW[[#This Row],[Site Name]],SiteDB6[[Site Name]:[Long]],13,FALSE)</f>
        <v>96.306910999999999</v>
      </c>
      <c r="DQ50" s="245" t="str">
        <f>VLOOKUP(WWWW[[#This Row],[Site Name]],SiteDB6[[Site Name]:[Pcode]],3,FALSE)</f>
        <v>MMR001CMP105</v>
      </c>
      <c r="DR50" s="215" t="str">
        <f t="shared" si="2"/>
        <v>Covered</v>
      </c>
      <c r="DS50" s="215"/>
      <c r="DT50" s="20"/>
      <c r="DU50" s="20"/>
      <c r="DV50" s="20"/>
      <c r="DW50" s="20"/>
      <c r="DX50" s="20"/>
      <c r="DY50" s="20"/>
      <c r="DZ50" s="20"/>
      <c r="EA50" s="20"/>
      <c r="EB50" s="20"/>
      <c r="EC50" s="20"/>
      <c r="ED50" s="20"/>
      <c r="EE50" s="20"/>
      <c r="EF50" s="20"/>
      <c r="EG50" s="20"/>
      <c r="EH50" s="20"/>
    </row>
    <row r="51" spans="1:138" ht="15.75" customHeight="1">
      <c r="A51" s="259" t="s">
        <v>2525</v>
      </c>
      <c r="B51" s="663" t="s">
        <v>299</v>
      </c>
      <c r="C51" s="663" t="s">
        <v>299</v>
      </c>
      <c r="D51" s="663" t="s">
        <v>1922</v>
      </c>
      <c r="E51" s="663" t="s">
        <v>39</v>
      </c>
      <c r="F51" s="663" t="s">
        <v>40</v>
      </c>
      <c r="G51" s="663" t="str">
        <f>VLOOKUP(WWWW[[#This Row],[Site Name]],SiteDB6[[Site Name]:[Location Type]],8,FALSE)</f>
        <v>Camp</v>
      </c>
      <c r="H51" s="663" t="s">
        <v>1940</v>
      </c>
      <c r="I51" s="700">
        <v>358</v>
      </c>
      <c r="J51" s="700">
        <v>1661</v>
      </c>
      <c r="K51" s="642"/>
      <c r="L51" s="78">
        <v>43799</v>
      </c>
      <c r="M51" s="700"/>
      <c r="N51" s="700">
        <v>7</v>
      </c>
      <c r="O51" s="700">
        <v>15</v>
      </c>
      <c r="P51" s="700"/>
      <c r="Q51" s="77" t="s">
        <v>43</v>
      </c>
      <c r="R51" s="377"/>
      <c r="S51" s="377"/>
      <c r="T51" s="377">
        <v>4</v>
      </c>
      <c r="U51" s="377"/>
      <c r="V51" s="377"/>
      <c r="W51" s="377"/>
      <c r="X51" s="377"/>
      <c r="Y51" s="377"/>
      <c r="Z51" s="377"/>
      <c r="AA51" s="377"/>
      <c r="AB51" s="377"/>
      <c r="AC51" s="377"/>
      <c r="AD51" s="377"/>
      <c r="AE51" s="377">
        <v>5</v>
      </c>
      <c r="AF51" s="377"/>
      <c r="AG51" s="377"/>
      <c r="AH51" s="377">
        <v>5</v>
      </c>
      <c r="AI51" s="377"/>
      <c r="AJ51" s="377"/>
      <c r="AK51" s="377">
        <v>47</v>
      </c>
      <c r="AL51" s="377">
        <v>10</v>
      </c>
      <c r="AM51" s="377">
        <v>0</v>
      </c>
      <c r="AN51" s="377">
        <v>5</v>
      </c>
      <c r="AO51" s="215"/>
      <c r="AP51" s="377">
        <v>186</v>
      </c>
      <c r="AQ51" s="377"/>
      <c r="AR51" s="77"/>
      <c r="AS51" s="377">
        <v>56</v>
      </c>
      <c r="AT51" s="377"/>
      <c r="AU51" s="377">
        <v>0</v>
      </c>
      <c r="AV51" s="377"/>
      <c r="AW51" s="377"/>
      <c r="AX51" s="245" t="s">
        <v>144</v>
      </c>
      <c r="AY51" s="245" t="s">
        <v>1200</v>
      </c>
      <c r="AZ51" s="377"/>
      <c r="BA51" s="377"/>
      <c r="BB51" s="377"/>
      <c r="BC51" s="215"/>
      <c r="BD51" s="377"/>
      <c r="BE51" s="377"/>
      <c r="BF51" s="377"/>
      <c r="BG51" s="377">
        <v>14</v>
      </c>
      <c r="BH51" s="377"/>
      <c r="BI51" s="377"/>
      <c r="BJ51" s="377">
        <v>1</v>
      </c>
      <c r="BK51" s="377">
        <v>352</v>
      </c>
      <c r="BL51" s="377"/>
      <c r="BM51" s="215"/>
      <c r="BN51" s="80">
        <v>7</v>
      </c>
      <c r="BO51" s="82"/>
      <c r="BP51" s="215"/>
      <c r="BQ51" s="79" t="str">
        <f>IFERROR(WWWW[[#This Row],['#_Water sources treated]]/WWWW[[#This Row],['#_Water sources tested for contamination]],"no test")</f>
        <v>no test</v>
      </c>
      <c r="BR51" s="82">
        <f>IFERROR(WWWW[[#This Row],['#_Household received remediation action due to contamination]]/WWWW[[#This Row],['#_Household water samples tested for contamination]],"no test")</f>
        <v>0.21276595744680851</v>
      </c>
      <c r="BS51" s="81" t="str">
        <f>IF(AND(WWWW[[#This Row],[% of water sources treated]]="no test",WWWW[[#This Row],[% Household received corrective actions]]="no test"),"No Test","Tested")</f>
        <v>Tested</v>
      </c>
      <c r="BT51" s="81">
        <f>WWWW[[#This Row],['#_Constructed/existing protected hand dug well]]-WWWW[[#This Row],['#_Non-functional protected hand dug well]]</f>
        <v>4</v>
      </c>
      <c r="BU51" s="81">
        <f>(WWWW[[#This Row],['#_Constructed/Existing tube wells/boreholes/handpumps_WASH_agency]]+WWWW[[#This Row],['#_Non-Cluster partner water tube-wells/boreholes/handpumps]])-WWWW[[#This Row],['#_Non-functional tube wells/boreholes/handpumps]]</f>
        <v>0</v>
      </c>
      <c r="BV51" s="81">
        <f>WWWW[[#This Row],['#_Constructed/Existingwater storage tank with gravity fed reticulation system]]-WWWW[[#This Row],['#_Non-functional storage tank gravity fed reticulation system]]</f>
        <v>0</v>
      </c>
      <c r="BW51" s="81">
        <f>WWWW[[#This Row],['#_Water boating or water trucking]]</f>
        <v>0</v>
      </c>
      <c r="BX51" s="81">
        <f>WWWW[[#This Row],['#_Constructed/Existing water distribution system from river or natural spring]]</f>
        <v>0</v>
      </c>
      <c r="BY51"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0.96327513546056598</v>
      </c>
      <c r="BZ51"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0.60204695966285371</v>
      </c>
      <c r="CA51" s="82">
        <f>IF(WWWW[[#This Row],[Location Type 1]]="Village",WWWW[[#This Row],[Access to safe drinking water for Village]],WWWW[[#This Row],[Access to safe drinking water for Camp]])</f>
        <v>0.96327513546056598</v>
      </c>
      <c r="CB51" s="80">
        <f>WWWW[[#This Row],[%Equitable and continuous access to sufficient quantity of safe drinking water]]*WWWW[[#This Row],[Total PoP ]]</f>
        <v>1600</v>
      </c>
      <c r="CC51" s="82">
        <f>IF((WWWW[[#This Row],['#_Constructed/Existing protected/fenced ponds]]*250)/WWWW[[#This Row],[Total PoP ]]&gt;1,1,(WWWW[[#This Row],['#_Constructed/Existing protected/fenced ponds]]*250)/WWWW[[#This Row],[Total PoP ]])</f>
        <v>0.75255869957856714</v>
      </c>
      <c r="CD51" s="80">
        <f>WWWW[[#This Row],[% Access to unimproved water points]]*WWWW[[#This Row],[Total PoP ]]</f>
        <v>1250</v>
      </c>
      <c r="CE51"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1"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1661</v>
      </c>
      <c r="CG51" s="80">
        <f>WWWW[[#This Row],[HRP1]]/500</f>
        <v>3.3220000000000001</v>
      </c>
      <c r="CH51" s="79">
        <f>1-WWWW[[#This Row],[% Equitable and continuous access to sufficient quantity of domestic water]]</f>
        <v>0</v>
      </c>
      <c r="CI51" s="80">
        <f>WWWW[[#This Row],[%equitable and continuous access to sufficient quantity of safe drinking and domestic water''s GAP]]*WWWW[[#This Row],[Total PoP ]]</f>
        <v>0</v>
      </c>
      <c r="CJ51" s="81">
        <f>IF(WWWW[[#This Row],[Total required water points]]-WWWW[[#This Row],['#Water points coverage]]&lt;0,0,WWWW[[#This Row],[Total required water points]]-WWWW[[#This Row],['#Water points coverage]])</f>
        <v>0</v>
      </c>
      <c r="CK51" s="81">
        <f>ROUND(IF(WWWW[[#This Row],[Total PoP ]]&lt;500,1,WWWW[[#This Row],[Total PoP ]]/500),0)</f>
        <v>3</v>
      </c>
      <c r="CL51" s="81">
        <f>(WWWW[[#This Row],['#_Constructed latrines_by_WASHAgencies]]+WWWW[[#This Row],['#_Non Cluster partner latrines]])-WWWW[[#This Row],['#_Non-functional latrines]]</f>
        <v>130</v>
      </c>
      <c r="CM51"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51"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1661</v>
      </c>
      <c r="CO51"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1" s="81">
        <f>IF(WWWW[[#This Row],[Location Type 1]]="Village","NA",IF(WWWW[[#This Row],['#_Constructed/Existing latrines in TLS]]*50&gt;WWWW[[#This Row],['#_students at TLS_CFS]],WWWW[[#This Row],['#_students at TLS_CFS]],(WWWW[[#This Row],['#_Constructed/Existing latrines in TLS]]*50)))</f>
        <v>0</v>
      </c>
      <c r="CQ51" s="81">
        <f>ROUND(IF(WWWW[[#This Row],[Location Type 1]]="camp",WWWW[[#This Row],[Total PoP ]]/20,IF(WWWW[[#This Row],[Location Type 1]]="Temporary Location",WWWW[[#This Row],[Total PoP ]]/50,(WWWW[[#This Row],[Total PoP ]]/6))),0)</f>
        <v>83</v>
      </c>
      <c r="CR51" s="80">
        <f>IF(WWWW[[#This Row],[Total required Latrines]]-(WWWW[[#This Row],['#_Constructed latrines_by_WASHAgencies]]+WWWW[[#This Row],['#_Non Cluster partner latrines]])&lt;0,0,WWWW[[#This Row],[Total required Latrines]]-(WWWW[[#This Row],['#_Constructed latrines_by_WASHAgencies]]+WWWW[[#This Row],['#_Non Cluster partner latrines]]))</f>
        <v>0</v>
      </c>
      <c r="CS51" s="79">
        <f>1-WWWW[[#This Row],[% people access to functioning Latrine]]</f>
        <v>0</v>
      </c>
      <c r="CT51" s="83">
        <f>IF(OR(WWWW[[#This Row],['#_Non-functional latrines]]="",WWWW[[#This Row],['#_Non-functional latrines]]=0),0,WWWW[[#This Row],['#_Non-functional latrines]]/(WWWW[[#This Row],['#_Constructed latrines_by_WASHAgencies]]+WWWW[[#This Row],['#_Non Cluster partner latrines]]))</f>
        <v>0.30107526881720431</v>
      </c>
      <c r="CU51" s="80">
        <f>IF(500*(WWWW[[#This Row],['#_male hygiene promoters]]+WWWW[[#This Row],['#_female hygiene promoters]])&gt;WWWW[[#This Row],[Total PoP ]],WWWW[[#This Row],[Total PoP ]],500*(WWWW[[#This Row],['#_male hygiene promoters]]+WWWW[[#This Row],['#_female hygiene promoters]]))</f>
        <v>500</v>
      </c>
      <c r="CV51"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1661</v>
      </c>
      <c r="CW51"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1" s="81">
        <f>IF(WWWW[[#This Row],['# People with access to soap]]&gt;WWWW[[#This Row],['# People with access to Sanity Pads]],WWWW[[#This Row],['# People with access to soap]],WWWW[[#This Row],['# People with access to Sanity Pads]])</f>
        <v>1661</v>
      </c>
      <c r="CY51" s="81">
        <f>IF(WWWW[[#This Row],['# people reached by regular dedicated hygiene promotion_5]]&gt;WWWW[[#This Row],['# People received regular supply of hygiene items_6]],WWWW[[#This Row],['# people reached by regular dedicated hygiene promotion_5]],WWWW[[#This Row],['# People received regular supply of hygiene items_6]])</f>
        <v>1661</v>
      </c>
      <c r="CZ51" s="79">
        <f>IF(WWWW[[#This Row],[HRP3]]/WWWW[[#This Row],[Total PoP ]]&gt;100%,100%,WWWW[[#This Row],[HRP3]]/WWWW[[#This Row],[Total PoP ]])</f>
        <v>1</v>
      </c>
      <c r="DA51" s="83">
        <f>1-WWWW[[#This Row],[Hygiene Coverage%]]</f>
        <v>0</v>
      </c>
      <c r="DB51" s="82">
        <f>WWWW[[#This Row],['# people reached by regular dedicated hygiene promotion_5]]/WWWW[[#This Row],[Total PoP ]]</f>
        <v>0.30102347983142685</v>
      </c>
      <c r="DC51" s="82">
        <f>IF(WWWW[[#This Row],['#_households that received standard amount of soap for this quarter]]/WWWW[[#This Row],[Total HH]]&gt;1,1,WWWW[[#This Row],['#_households that received standard amount of soap for this quarter]]/WWWW[[#This Row],[Total HH]])</f>
        <v>0.98324022346368711</v>
      </c>
      <c r="DD51" s="82">
        <f>IF(WWWW[[#This Row],['#_households that received standard amount of sanitary pads for this quarter]]/WWWW[[#This Row],[Total HH]]&gt;1,1,WWWW[[#This Row],['#_households that received standard amount of sanitary pads for this quarter]]/WWWW[[#This Row],[Total HH]])</f>
        <v>0</v>
      </c>
      <c r="DE51" s="81">
        <f>WWWW[[#This Row],['#_Constructed/Existing hand washing stations]]-WWWW[[#This Row],['#_Non-Functional_hand_washing_stations]]</f>
        <v>0</v>
      </c>
      <c r="DF51" s="667">
        <f>IF(WWWW[[#This Row],['# Functional hand washing stations during reporting period]]*20&gt;WWWW[[#This Row],[Total HH]],WWWW[[#This Row],[Total HH]],WWWW[[#This Row],['# Functional hand washing stations during reporting period]]*20)</f>
        <v>0</v>
      </c>
      <c r="DG51" s="80">
        <f>IF(WWWW[[#This Row],[Is sufficient soap available for TLS? (Yes/No)]]="yes",WWWW[[#This Row],['#_Constructed/Existing hand washing stations at TLS]],0)</f>
        <v>0</v>
      </c>
      <c r="DH51" s="667">
        <f>IF(WWWW[[#This Row],['# Functional hand washing stations during reporting period]]*100&gt;WWWW[[#This Row],[Total PoP ]],WWWW[[#This Row],[Total PoP ]],WWWW[[#This Row],['# Functional hand washing stations during reporting period]]*100)</f>
        <v>0</v>
      </c>
      <c r="DI51" s="667" t="str">
        <f>IF(WWWW[[#This Row],['#_students at TLS_CFS]]="","No","Yes")</f>
        <v>No</v>
      </c>
      <c r="DJ51" s="245" t="str">
        <f>VLOOKUP(WWWW[[#This Row],[Site Name]],SiteDB6[[Site Name]:[CCCM Management]],6,FALSE)</f>
        <v>Yes</v>
      </c>
      <c r="DK51" s="245" t="str">
        <f>VLOOKUP(WWWW[[#This Row],[Site Name]],SiteDB6[[Site Name]:[CCCM Focal Agency]],7,FALSE)</f>
        <v>KMSS-BMO</v>
      </c>
      <c r="DL51" s="245" t="str">
        <f>VLOOKUP(WWWW[[#This Row],[Site Name]],SiteDB6[[Site Name]:[Location Type 1]],9,FALSE)</f>
        <v>Camp</v>
      </c>
      <c r="DM51" s="245" t="str">
        <f>VLOOKUP(WWWW[[#This Row],[Site Name]],SiteDB6[[Site Name]:[Type of Accommodation]],10,FALSE)</f>
        <v>Camp</v>
      </c>
      <c r="DN51" s="245" t="str">
        <f>VLOOKUP(WWWW[[#This Row],[Site Name]],SiteDB6[[Site Name]:[Ethnic or GCA/NGCA]],11,FALSE)</f>
        <v>NGCA</v>
      </c>
      <c r="DO51" s="245">
        <f>VLOOKUP(WWWW[[#This Row],[Site Name]],SiteDB6[[Site Name]:[Lat]],12,FALSE)</f>
        <v>24.002433</v>
      </c>
      <c r="DP51" s="245">
        <f>VLOOKUP(WWWW[[#This Row],[Site Name]],SiteDB6[[Site Name]:[Long]],13,FALSE)</f>
        <v>97.609832999999995</v>
      </c>
      <c r="DQ51" s="245" t="str">
        <f>VLOOKUP(WWWW[[#This Row],[Site Name]],SiteDB6[[Site Name]:[Pcode]],3,FALSE)</f>
        <v>MMR001CMP129</v>
      </c>
      <c r="DR51" s="215" t="str">
        <f t="shared" si="2"/>
        <v>Covered</v>
      </c>
      <c r="DS51" s="215"/>
      <c r="DT51" s="20"/>
      <c r="DU51" s="20"/>
      <c r="DV51" s="20"/>
      <c r="DW51" s="20"/>
      <c r="DX51" s="20"/>
      <c r="DY51" s="20"/>
      <c r="DZ51" s="20"/>
      <c r="EA51" s="20"/>
      <c r="EB51" s="20"/>
      <c r="EC51" s="20"/>
      <c r="ED51" s="20"/>
      <c r="EE51" s="20"/>
      <c r="EF51" s="20"/>
      <c r="EG51" s="20"/>
      <c r="EH51" s="20"/>
    </row>
    <row r="52" spans="1:138" ht="15.75" customHeight="1">
      <c r="A52" s="259" t="s">
        <v>2525</v>
      </c>
      <c r="B52" s="663" t="s">
        <v>299</v>
      </c>
      <c r="C52" s="663" t="s">
        <v>299</v>
      </c>
      <c r="D52" s="663" t="s">
        <v>1922</v>
      </c>
      <c r="E52" s="663" t="s">
        <v>39</v>
      </c>
      <c r="F52" s="663" t="s">
        <v>40</v>
      </c>
      <c r="G52" s="663" t="str">
        <f>VLOOKUP(WWWW[[#This Row],[Site Name]],SiteDB6[[Site Name]:[Location Type]],8,FALSE)</f>
        <v>Camp</v>
      </c>
      <c r="H52" s="663" t="s">
        <v>302</v>
      </c>
      <c r="I52" s="700">
        <v>491</v>
      </c>
      <c r="J52" s="700">
        <v>2581</v>
      </c>
      <c r="K52" s="642"/>
      <c r="L52" s="78">
        <v>43799</v>
      </c>
      <c r="M52" s="700"/>
      <c r="N52" s="700">
        <v>13</v>
      </c>
      <c r="O52" s="700">
        <v>20</v>
      </c>
      <c r="P52" s="700"/>
      <c r="Q52" s="663" t="s">
        <v>43</v>
      </c>
      <c r="R52" s="377"/>
      <c r="S52" s="377"/>
      <c r="T52" s="377">
        <v>3</v>
      </c>
      <c r="U52" s="377"/>
      <c r="V52" s="377"/>
      <c r="W52" s="377"/>
      <c r="X52" s="377"/>
      <c r="Y52" s="377"/>
      <c r="Z52" s="377"/>
      <c r="AA52" s="377"/>
      <c r="AB52" s="377"/>
      <c r="AC52" s="377"/>
      <c r="AD52" s="377"/>
      <c r="AE52" s="377">
        <v>1</v>
      </c>
      <c r="AF52" s="377"/>
      <c r="AG52" s="377"/>
      <c r="AH52" s="377">
        <v>1</v>
      </c>
      <c r="AI52" s="377"/>
      <c r="AJ52" s="377"/>
      <c r="AK52" s="377">
        <v>32</v>
      </c>
      <c r="AL52" s="377">
        <v>5</v>
      </c>
      <c r="AM52" s="377">
        <v>5</v>
      </c>
      <c r="AN52" s="377">
        <v>2</v>
      </c>
      <c r="AO52" s="215"/>
      <c r="AP52" s="377">
        <v>136</v>
      </c>
      <c r="AQ52" s="377"/>
      <c r="AR52" s="77"/>
      <c r="AS52" s="377">
        <v>32</v>
      </c>
      <c r="AT52" s="377"/>
      <c r="AU52" s="377">
        <v>2</v>
      </c>
      <c r="AV52" s="377"/>
      <c r="AW52" s="377"/>
      <c r="AX52" s="694" t="s">
        <v>144</v>
      </c>
      <c r="AY52" s="694" t="s">
        <v>1200</v>
      </c>
      <c r="AZ52" s="377"/>
      <c r="BA52" s="377"/>
      <c r="BB52" s="377"/>
      <c r="BC52" s="215"/>
      <c r="BD52" s="377"/>
      <c r="BE52" s="377"/>
      <c r="BF52" s="377"/>
      <c r="BG52" s="377">
        <v>6</v>
      </c>
      <c r="BH52" s="377"/>
      <c r="BI52" s="377"/>
      <c r="BJ52" s="377"/>
      <c r="BK52" s="377">
        <v>476</v>
      </c>
      <c r="BL52" s="377"/>
      <c r="BM52" s="215"/>
      <c r="BN52" s="80">
        <v>13</v>
      </c>
      <c r="BO52" s="82"/>
      <c r="BP52" s="215"/>
      <c r="BQ52" s="79" t="str">
        <f>IFERROR(WWWW[[#This Row],['#_Water sources treated]]/WWWW[[#This Row],['#_Water sources tested for contamination]],"no test")</f>
        <v>no test</v>
      </c>
      <c r="BR52" s="82">
        <f>IFERROR(WWWW[[#This Row],['#_Household received remediation action due to contamination]]/WWWW[[#This Row],['#_Household water samples tested for contamination]],"no test")</f>
        <v>0.15625</v>
      </c>
      <c r="BS52" s="81" t="str">
        <f>IF(AND(WWWW[[#This Row],[% of water sources treated]]="no test",WWWW[[#This Row],[% Household received corrective actions]]="no test"),"No Test","Tested")</f>
        <v>Tested</v>
      </c>
      <c r="BT52" s="81">
        <f>WWWW[[#This Row],['#_Constructed/existing protected hand dug well]]-WWWW[[#This Row],['#_Non-functional protected hand dug well]]</f>
        <v>3</v>
      </c>
      <c r="BU52" s="81">
        <f>(WWWW[[#This Row],['#_Constructed/Existing tube wells/boreholes/handpumps_WASH_agency]]+WWWW[[#This Row],['#_Non-Cluster partner water tube-wells/boreholes/handpumps]])-WWWW[[#This Row],['#_Non-functional tube wells/boreholes/handpumps]]</f>
        <v>0</v>
      </c>
      <c r="BV52" s="81">
        <f>WWWW[[#This Row],['#_Constructed/Existingwater storage tank with gravity fed reticulation system]]-WWWW[[#This Row],['#_Non-functional storage tank gravity fed reticulation system]]</f>
        <v>0</v>
      </c>
      <c r="BW52" s="81">
        <f>WWWW[[#This Row],['#_Water boating or water trucking]]</f>
        <v>0</v>
      </c>
      <c r="BX52" s="81">
        <f>WWWW[[#This Row],['#_Constructed/Existing water distribution system from river or natural spring]]</f>
        <v>0</v>
      </c>
      <c r="BY52"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0.46493607129019759</v>
      </c>
      <c r="BZ52"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0.29058504455637352</v>
      </c>
      <c r="CA52" s="82">
        <f>IF(WWWW[[#This Row],[Location Type 1]]="Village",WWWW[[#This Row],[Access to safe drinking water for Village]],WWWW[[#This Row],[Access to safe drinking water for Camp]])</f>
        <v>0.46493607129019759</v>
      </c>
      <c r="CB52" s="80">
        <f>WWWW[[#This Row],[%Equitable and continuous access to sufficient quantity of safe drinking water]]*WWWW[[#This Row],[Total PoP ]]</f>
        <v>1200</v>
      </c>
      <c r="CC52" s="82">
        <f>IF((WWWW[[#This Row],['#_Constructed/Existing protected/fenced ponds]]*250)/WWWW[[#This Row],[Total PoP ]]&gt;1,1,(WWWW[[#This Row],['#_Constructed/Existing protected/fenced ponds]]*250)/WWWW[[#This Row],[Total PoP ]])</f>
        <v>9.6861681518791168E-2</v>
      </c>
      <c r="CD52" s="80">
        <f>WWWW[[#This Row],[% Access to unimproved water points]]*WWWW[[#This Row],[Total PoP ]]</f>
        <v>250</v>
      </c>
      <c r="CE52"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0.5617977528089888</v>
      </c>
      <c r="CF52"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1450</v>
      </c>
      <c r="CG52" s="80">
        <f>WWWW[[#This Row],[HRP1]]/500</f>
        <v>2.9</v>
      </c>
      <c r="CH52" s="79">
        <f>1-WWWW[[#This Row],[% Equitable and continuous access to sufficient quantity of domestic water]]</f>
        <v>0.4382022471910112</v>
      </c>
      <c r="CI52" s="80">
        <f>WWWW[[#This Row],[%equitable and continuous access to sufficient quantity of safe drinking and domestic water''s GAP]]*WWWW[[#This Row],[Total PoP ]]</f>
        <v>1131</v>
      </c>
      <c r="CJ52" s="81">
        <f>IF(WWWW[[#This Row],[Total required water points]]-WWWW[[#This Row],['#Water points coverage]]&lt;0,0,WWWW[[#This Row],[Total required water points]]-WWWW[[#This Row],['#Water points coverage]])</f>
        <v>2.1</v>
      </c>
      <c r="CK52" s="81">
        <f>ROUND(IF(WWWW[[#This Row],[Total PoP ]]&lt;500,1,WWWW[[#This Row],[Total PoP ]]/500),0)</f>
        <v>5</v>
      </c>
      <c r="CL52" s="81">
        <f>(WWWW[[#This Row],['#_Constructed latrines_by_WASHAgencies]]+WWWW[[#This Row],['#_Non Cluster partner latrines]])-WWWW[[#This Row],['#_Non-functional latrines]]</f>
        <v>104</v>
      </c>
      <c r="CM52"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0.80588919023634253</v>
      </c>
      <c r="CN52"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2080</v>
      </c>
      <c r="CO52"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40</v>
      </c>
      <c r="CP52" s="81">
        <f>IF(WWWW[[#This Row],[Location Type 1]]="Village","NA",IF(WWWW[[#This Row],['#_Constructed/Existing latrines in TLS]]*50&gt;WWWW[[#This Row],['#_students at TLS_CFS]],WWWW[[#This Row],['#_students at TLS_CFS]],(WWWW[[#This Row],['#_Constructed/Existing latrines in TLS]]*50)))</f>
        <v>0</v>
      </c>
      <c r="CQ52" s="81">
        <f>ROUND(IF(WWWW[[#This Row],[Location Type 1]]="camp",WWWW[[#This Row],[Total PoP ]]/20,IF(WWWW[[#This Row],[Location Type 1]]="Temporary Location",WWWW[[#This Row],[Total PoP ]]/50,(WWWW[[#This Row],[Total PoP ]]/6))),0)</f>
        <v>129</v>
      </c>
      <c r="CR52" s="80">
        <f>IF(WWWW[[#This Row],[Total required Latrines]]-(WWWW[[#This Row],['#_Constructed latrines_by_WASHAgencies]]+WWWW[[#This Row],['#_Non Cluster partner latrines]])&lt;0,0,WWWW[[#This Row],[Total required Latrines]]-(WWWW[[#This Row],['#_Constructed latrines_by_WASHAgencies]]+WWWW[[#This Row],['#_Non Cluster partner latrines]]))</f>
        <v>0</v>
      </c>
      <c r="CS52" s="79">
        <f>1-WWWW[[#This Row],[% people access to functioning Latrine]]</f>
        <v>0.19411080976365747</v>
      </c>
      <c r="CT52" s="83">
        <f>IF(OR(WWWW[[#This Row],['#_Non-functional latrines]]="",WWWW[[#This Row],['#_Non-functional latrines]]=0),0,WWWW[[#This Row],['#_Non-functional latrines]]/(WWWW[[#This Row],['#_Constructed latrines_by_WASHAgencies]]+WWWW[[#This Row],['#_Non Cluster partner latrines]]))</f>
        <v>0.23529411764705882</v>
      </c>
      <c r="CU52" s="80">
        <f>IF(500*(WWWW[[#This Row],['#_male hygiene promoters]]+WWWW[[#This Row],['#_female hygiene promoters]])&gt;WWWW[[#This Row],[Total PoP ]],WWWW[[#This Row],[Total PoP ]],500*(WWWW[[#This Row],['#_male hygiene promoters]]+WWWW[[#This Row],['#_female hygiene promoters]]))</f>
        <v>0</v>
      </c>
      <c r="CV52"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2380</v>
      </c>
      <c r="CW52"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2" s="81">
        <f>IF(WWWW[[#This Row],['# People with access to soap]]&gt;WWWW[[#This Row],['# People with access to Sanity Pads]],WWWW[[#This Row],['# People with access to soap]],WWWW[[#This Row],['# People with access to Sanity Pads]])</f>
        <v>2380</v>
      </c>
      <c r="CY52" s="81">
        <f>IF(WWWW[[#This Row],['# people reached by regular dedicated hygiene promotion_5]]&gt;WWWW[[#This Row],['# People received regular supply of hygiene items_6]],WWWW[[#This Row],['# people reached by regular dedicated hygiene promotion_5]],WWWW[[#This Row],['# People received regular supply of hygiene items_6]])</f>
        <v>2380</v>
      </c>
      <c r="CZ52" s="79">
        <f>IF(WWWW[[#This Row],[HRP3]]/WWWW[[#This Row],[Total PoP ]]&gt;100%,100%,WWWW[[#This Row],[HRP3]]/WWWW[[#This Row],[Total PoP ]])</f>
        <v>0.92212320805889192</v>
      </c>
      <c r="DA52" s="83">
        <f>1-WWWW[[#This Row],[Hygiene Coverage%]]</f>
        <v>7.7876791941108081E-2</v>
      </c>
      <c r="DB52" s="82">
        <f>WWWW[[#This Row],['# people reached by regular dedicated hygiene promotion_5]]/WWWW[[#This Row],[Total PoP ]]</f>
        <v>0</v>
      </c>
      <c r="DC52" s="82">
        <f>IF(WWWW[[#This Row],['#_households that received standard amount of soap for this quarter]]/WWWW[[#This Row],[Total HH]]&gt;1,1,WWWW[[#This Row],['#_households that received standard amount of soap for this quarter]]/WWWW[[#This Row],[Total HH]])</f>
        <v>0.96945010183299385</v>
      </c>
      <c r="DD52" s="82">
        <f>IF(WWWW[[#This Row],['#_households that received standard amount of sanitary pads for this quarter]]/WWWW[[#This Row],[Total HH]]&gt;1,1,WWWW[[#This Row],['#_households that received standard amount of sanitary pads for this quarter]]/WWWW[[#This Row],[Total HH]])</f>
        <v>0</v>
      </c>
      <c r="DE52" s="81">
        <f>WWWW[[#This Row],['#_Constructed/Existing hand washing stations]]-WWWW[[#This Row],['#_Non-Functional_hand_washing_stations]]</f>
        <v>0</v>
      </c>
      <c r="DF52" s="667">
        <f>IF(WWWW[[#This Row],['# Functional hand washing stations during reporting period]]*20&gt;WWWW[[#This Row],[Total HH]],WWWW[[#This Row],[Total HH]],WWWW[[#This Row],['# Functional hand washing stations during reporting period]]*20)</f>
        <v>0</v>
      </c>
      <c r="DG52" s="80">
        <f>IF(WWWW[[#This Row],[Is sufficient soap available for TLS? (Yes/No)]]="yes",WWWW[[#This Row],['#_Constructed/Existing hand washing stations at TLS]],0)</f>
        <v>0</v>
      </c>
      <c r="DH52" s="667">
        <f>IF(WWWW[[#This Row],['# Functional hand washing stations during reporting period]]*100&gt;WWWW[[#This Row],[Total PoP ]],WWWW[[#This Row],[Total PoP ]],WWWW[[#This Row],['# Functional hand washing stations during reporting period]]*100)</f>
        <v>0</v>
      </c>
      <c r="DI52" s="667" t="str">
        <f>IF(WWWW[[#This Row],['#_students at TLS_CFS]]="","No","Yes")</f>
        <v>No</v>
      </c>
      <c r="DJ52" s="245" t="str">
        <f>VLOOKUP(WWWW[[#This Row],[Site Name]],SiteDB6[[Site Name]:[CCCM Management]],6,FALSE)</f>
        <v>Yes</v>
      </c>
      <c r="DK52" s="245" t="str">
        <f>VLOOKUP(WWWW[[#This Row],[Site Name]],SiteDB6[[Site Name]:[CCCM Focal Agency]],7,FALSE)</f>
        <v>KMSS-BMO</v>
      </c>
      <c r="DL52" s="245" t="str">
        <f>VLOOKUP(WWWW[[#This Row],[Site Name]],SiteDB6[[Site Name]:[Location Type 1]],9,FALSE)</f>
        <v>Camp</v>
      </c>
      <c r="DM52" s="245" t="str">
        <f>VLOOKUP(WWWW[[#This Row],[Site Name]],SiteDB6[[Site Name]:[Type of Accommodation]],10,FALSE)</f>
        <v>Camp</v>
      </c>
      <c r="DN52" s="245" t="str">
        <f>VLOOKUP(WWWW[[#This Row],[Site Name]],SiteDB6[[Site Name]:[Ethnic or GCA/NGCA]],11,FALSE)</f>
        <v>NGCA</v>
      </c>
      <c r="DO52" s="245">
        <f>VLOOKUP(WWWW[[#This Row],[Site Name]],SiteDB6[[Site Name]:[Lat]],12,FALSE)</f>
        <v>24.056132999999999</v>
      </c>
      <c r="DP52" s="245">
        <f>VLOOKUP(WWWW[[#This Row],[Site Name]],SiteDB6[[Site Name]:[Long]],13,FALSE)</f>
        <v>97.625617000000005</v>
      </c>
      <c r="DQ52" s="245" t="str">
        <f>VLOOKUP(WWWW[[#This Row],[Site Name]],SiteDB6[[Site Name]:[Pcode]],3,FALSE)</f>
        <v>MMR001CMP128</v>
      </c>
      <c r="DR52" s="215" t="str">
        <f t="shared" si="2"/>
        <v>Covered</v>
      </c>
      <c r="DS52" s="215"/>
      <c r="DT52" s="20"/>
      <c r="DU52" s="20"/>
      <c r="DV52" s="20"/>
      <c r="DW52" s="20"/>
      <c r="DX52" s="20"/>
      <c r="DY52" s="20"/>
      <c r="DZ52" s="20"/>
      <c r="EA52" s="20"/>
      <c r="EB52" s="20"/>
      <c r="EC52" s="20"/>
      <c r="ED52" s="20"/>
      <c r="EE52" s="20"/>
      <c r="EF52" s="20"/>
      <c r="EG52" s="20"/>
      <c r="EH52" s="20"/>
    </row>
    <row r="53" spans="1:138" ht="15.75" customHeight="1">
      <c r="A53" s="259" t="s">
        <v>2525</v>
      </c>
      <c r="B53" s="259" t="s">
        <v>149</v>
      </c>
      <c r="C53" s="663" t="s">
        <v>149</v>
      </c>
      <c r="D53" s="663" t="s">
        <v>152</v>
      </c>
      <c r="E53" s="663" t="s">
        <v>39</v>
      </c>
      <c r="F53" s="663" t="s">
        <v>167</v>
      </c>
      <c r="G53" s="663" t="str">
        <f>VLOOKUP(WWWW[[#This Row],[Site Name]],SiteDB6[[Site Name]:[Location Type]],8,FALSE)</f>
        <v>Camp</v>
      </c>
      <c r="H53" s="663" t="s">
        <v>169</v>
      </c>
      <c r="I53" s="700">
        <v>197</v>
      </c>
      <c r="J53" s="700">
        <v>1050</v>
      </c>
      <c r="K53" s="642">
        <v>43556</v>
      </c>
      <c r="L53" s="78">
        <v>43677</v>
      </c>
      <c r="M53" s="700"/>
      <c r="N53" s="700"/>
      <c r="O53" s="700"/>
      <c r="P53" s="700"/>
      <c r="Q53" s="77" t="s">
        <v>43</v>
      </c>
      <c r="R53" s="377"/>
      <c r="S53" s="377"/>
      <c r="T53" s="700">
        <v>1</v>
      </c>
      <c r="U53" s="377"/>
      <c r="V53" s="377"/>
      <c r="W53" s="700">
        <v>4</v>
      </c>
      <c r="X53" s="377"/>
      <c r="Y53" s="377"/>
      <c r="Z53" s="377"/>
      <c r="AA53" s="377"/>
      <c r="AB53" s="377"/>
      <c r="AC53" s="377"/>
      <c r="AD53" s="377"/>
      <c r="AE53" s="377"/>
      <c r="AF53" s="377"/>
      <c r="AG53" s="377"/>
      <c r="AH53" s="700">
        <v>5</v>
      </c>
      <c r="AI53" s="377"/>
      <c r="AJ53" s="377"/>
      <c r="AK53" s="377"/>
      <c r="AL53" s="377"/>
      <c r="AM53" s="377"/>
      <c r="AN53" s="377"/>
      <c r="AO53" s="215"/>
      <c r="AP53" s="700">
        <v>43</v>
      </c>
      <c r="AQ53" s="377"/>
      <c r="AR53" s="77"/>
      <c r="AS53" s="377"/>
      <c r="AT53" s="377"/>
      <c r="AU53" s="377">
        <v>41</v>
      </c>
      <c r="AV53" s="377"/>
      <c r="AW53" s="700">
        <v>43</v>
      </c>
      <c r="AX53" s="245" t="s">
        <v>43</v>
      </c>
      <c r="AY53" s="245" t="s">
        <v>145</v>
      </c>
      <c r="AZ53" s="377"/>
      <c r="BA53" s="377"/>
      <c r="BB53" s="377"/>
      <c r="BC53" s="215"/>
      <c r="BD53" s="377"/>
      <c r="BE53" s="377"/>
      <c r="BF53" s="377"/>
      <c r="BG53" s="377">
        <v>3</v>
      </c>
      <c r="BH53" s="377"/>
      <c r="BI53" s="377"/>
      <c r="BJ53" s="377">
        <v>5</v>
      </c>
      <c r="BK53" s="377"/>
      <c r="BL53" s="377"/>
      <c r="BM53" s="215"/>
      <c r="BN53" s="80"/>
      <c r="BO53" s="82"/>
      <c r="BP53" s="215"/>
      <c r="BQ53" s="79" t="str">
        <f>IFERROR(WWWW[[#This Row],['#_Water sources treated]]/WWWW[[#This Row],['#_Water sources tested for contamination]],"no test")</f>
        <v>no test</v>
      </c>
      <c r="BR53" s="82" t="str">
        <f>IFERROR(WWWW[[#This Row],['#_Household received remediation action due to contamination]]/WWWW[[#This Row],['#_Household water samples tested for contamination]],"no test")</f>
        <v>no test</v>
      </c>
      <c r="BS53" s="81" t="str">
        <f>IF(AND(WWWW[[#This Row],[% of water sources treated]]="no test",WWWW[[#This Row],[% Household received corrective actions]]="no test"),"No Test","Tested")</f>
        <v>No Test</v>
      </c>
      <c r="BT53" s="81">
        <f>WWWW[[#This Row],['#_Constructed/existing protected hand dug well]]-WWWW[[#This Row],['#_Non-functional protected hand dug well]]</f>
        <v>1</v>
      </c>
      <c r="BU53" s="81">
        <f>(WWWW[[#This Row],['#_Constructed/Existing tube wells/boreholes/handpumps_WASH_agency]]+WWWW[[#This Row],['#_Non-Cluster partner water tube-wells/boreholes/handpumps]])-WWWW[[#This Row],['#_Non-functional tube wells/boreholes/handpumps]]</f>
        <v>4</v>
      </c>
      <c r="BV53" s="81">
        <f>WWWW[[#This Row],['#_Constructed/Existingwater storage tank with gravity fed reticulation system]]-WWWW[[#This Row],['#_Non-functional storage tank gravity fed reticulation system]]</f>
        <v>0</v>
      </c>
      <c r="BW53" s="81">
        <f>WWWW[[#This Row],['#_Water boating or water trucking]]</f>
        <v>0</v>
      </c>
      <c r="BX53" s="81">
        <f>WWWW[[#This Row],['#_Constructed/Existing water distribution system from river or natural spring]]</f>
        <v>0</v>
      </c>
      <c r="BY53"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53"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53" s="82">
        <f>IF(WWWW[[#This Row],[Location Type 1]]="Village",WWWW[[#This Row],[Access to safe drinking water for Village]],WWWW[[#This Row],[Access to safe drinking water for Camp]])</f>
        <v>1</v>
      </c>
      <c r="CB53" s="80">
        <f>WWWW[[#This Row],[%Equitable and continuous access to sufficient quantity of safe drinking water]]*WWWW[[#This Row],[Total PoP ]]</f>
        <v>1050</v>
      </c>
      <c r="CC53" s="82">
        <f>IF((WWWW[[#This Row],['#_Constructed/Existing protected/fenced ponds]]*250)/WWWW[[#This Row],[Total PoP ]]&gt;1,1,(WWWW[[#This Row],['#_Constructed/Existing protected/fenced ponds]]*250)/WWWW[[#This Row],[Total PoP ]])</f>
        <v>0</v>
      </c>
      <c r="CD53" s="80">
        <f>WWWW[[#This Row],[% Access to unimproved water points]]*WWWW[[#This Row],[Total PoP ]]</f>
        <v>0</v>
      </c>
      <c r="CE53"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3"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1050</v>
      </c>
      <c r="CG53" s="80">
        <f>WWWW[[#This Row],[HRP1]]/500</f>
        <v>2.1</v>
      </c>
      <c r="CH53" s="79">
        <f>1-WWWW[[#This Row],[% Equitable and continuous access to sufficient quantity of domestic water]]</f>
        <v>0</v>
      </c>
      <c r="CI53" s="80">
        <f>WWWW[[#This Row],[%equitable and continuous access to sufficient quantity of safe drinking and domestic water''s GAP]]*WWWW[[#This Row],[Total PoP ]]</f>
        <v>0</v>
      </c>
      <c r="CJ53" s="81">
        <f>IF(WWWW[[#This Row],[Total required water points]]-WWWW[[#This Row],['#Water points coverage]]&lt;0,0,WWWW[[#This Row],[Total required water points]]-WWWW[[#This Row],['#Water points coverage]])</f>
        <v>0</v>
      </c>
      <c r="CK53" s="81">
        <f>ROUND(IF(WWWW[[#This Row],[Total PoP ]]&lt;500,1,WWWW[[#This Row],[Total PoP ]]/500),0)</f>
        <v>2</v>
      </c>
      <c r="CL53" s="81">
        <f>(WWWW[[#This Row],['#_Constructed latrines_by_WASHAgencies]]+WWWW[[#This Row],['#_Non Cluster partner latrines]])-WWWW[[#This Row],['#_Non-functional latrines]]</f>
        <v>43</v>
      </c>
      <c r="CM53"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0.81904761904761902</v>
      </c>
      <c r="CN53"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860</v>
      </c>
      <c r="CO53"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820</v>
      </c>
      <c r="CP53" s="81">
        <f>IF(WWWW[[#This Row],[Location Type 1]]="Village","NA",IF(WWWW[[#This Row],['#_Constructed/Existing latrines in TLS]]*50&gt;WWWW[[#This Row],['#_students at TLS_CFS]],WWWW[[#This Row],['#_students at TLS_CFS]],(WWWW[[#This Row],['#_Constructed/Existing latrines in TLS]]*50)))</f>
        <v>0</v>
      </c>
      <c r="CQ53" s="81">
        <f>ROUND(IF(WWWW[[#This Row],[Location Type 1]]="camp",WWWW[[#This Row],[Total PoP ]]/20,IF(WWWW[[#This Row],[Location Type 1]]="Temporary Location",WWWW[[#This Row],[Total PoP ]]/50,(WWWW[[#This Row],[Total PoP ]]/6))),0)</f>
        <v>53</v>
      </c>
      <c r="CR53" s="80">
        <f>IF(WWWW[[#This Row],[Total required Latrines]]-(WWWW[[#This Row],['#_Constructed latrines_by_WASHAgencies]]+WWWW[[#This Row],['#_Non Cluster partner latrines]])&lt;0,0,WWWW[[#This Row],[Total required Latrines]]-(WWWW[[#This Row],['#_Constructed latrines_by_WASHAgencies]]+WWWW[[#This Row],['#_Non Cluster partner latrines]]))</f>
        <v>10</v>
      </c>
      <c r="CS53" s="79">
        <f>1-WWWW[[#This Row],[% people access to functioning Latrine]]</f>
        <v>0.18095238095238098</v>
      </c>
      <c r="CT53" s="83">
        <f>IF(OR(WWWW[[#This Row],['#_Non-functional latrines]]="",WWWW[[#This Row],['#_Non-functional latrines]]=0),0,WWWW[[#This Row],['#_Non-functional latrines]]/(WWWW[[#This Row],['#_Constructed latrines_by_WASHAgencies]]+WWWW[[#This Row],['#_Non Cluster partner latrines]]))</f>
        <v>0</v>
      </c>
      <c r="CU53" s="80">
        <f>IF(500*(WWWW[[#This Row],['#_male hygiene promoters]]+WWWW[[#This Row],['#_female hygiene promoters]])&gt;WWWW[[#This Row],[Total PoP ]],WWWW[[#This Row],[Total PoP ]],500*(WWWW[[#This Row],['#_male hygiene promoters]]+WWWW[[#This Row],['#_female hygiene promoters]]))</f>
        <v>1050</v>
      </c>
      <c r="CV53"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3"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3" s="81">
        <f>IF(WWWW[[#This Row],['# People with access to soap]]&gt;WWWW[[#This Row],['# People with access to Sanity Pads]],WWWW[[#This Row],['# People with access to soap]],WWWW[[#This Row],['# People with access to Sanity Pads]])</f>
        <v>0</v>
      </c>
      <c r="CY53" s="81">
        <f>IF(WWWW[[#This Row],['# people reached by regular dedicated hygiene promotion_5]]&gt;WWWW[[#This Row],['# People received regular supply of hygiene items_6]],WWWW[[#This Row],['# people reached by regular dedicated hygiene promotion_5]],WWWW[[#This Row],['# People received regular supply of hygiene items_6]])</f>
        <v>1050</v>
      </c>
      <c r="CZ53" s="79">
        <f>IF(WWWW[[#This Row],[HRP3]]/WWWW[[#This Row],[Total PoP ]]&gt;100%,100%,WWWW[[#This Row],[HRP3]]/WWWW[[#This Row],[Total PoP ]])</f>
        <v>1</v>
      </c>
      <c r="DA53" s="83">
        <f>1-WWWW[[#This Row],[Hygiene Coverage%]]</f>
        <v>0</v>
      </c>
      <c r="DB53" s="82">
        <f>WWWW[[#This Row],['# people reached by regular dedicated hygiene promotion_5]]/WWWW[[#This Row],[Total PoP ]]</f>
        <v>1</v>
      </c>
      <c r="DC53" s="82">
        <f>IF(WWWW[[#This Row],['#_households that received standard amount of soap for this quarter]]/WWWW[[#This Row],[Total HH]]&gt;1,1,WWWW[[#This Row],['#_households that received standard amount of soap for this quarter]]/WWWW[[#This Row],[Total HH]])</f>
        <v>0</v>
      </c>
      <c r="DD53" s="82">
        <f>IF(WWWW[[#This Row],['#_households that received standard amount of sanitary pads for this quarter]]/WWWW[[#This Row],[Total HH]]&gt;1,1,WWWW[[#This Row],['#_households that received standard amount of sanitary pads for this quarter]]/WWWW[[#This Row],[Total HH]])</f>
        <v>0</v>
      </c>
      <c r="DE53" s="81">
        <f>WWWW[[#This Row],['#_Constructed/Existing hand washing stations]]-WWWW[[#This Row],['#_Non-Functional_hand_washing_stations]]</f>
        <v>0</v>
      </c>
      <c r="DF53" s="667">
        <f>IF(WWWW[[#This Row],['# Functional hand washing stations during reporting period]]*20&gt;WWWW[[#This Row],[Total HH]],WWWW[[#This Row],[Total HH]],WWWW[[#This Row],['# Functional hand washing stations during reporting period]]*20)</f>
        <v>0</v>
      </c>
      <c r="DG53" s="80">
        <f>IF(WWWW[[#This Row],[Is sufficient soap available for TLS? (Yes/No)]]="yes",WWWW[[#This Row],['#_Constructed/Existing hand washing stations at TLS]],0)</f>
        <v>0</v>
      </c>
      <c r="DH53" s="667">
        <f>IF(WWWW[[#This Row],['# Functional hand washing stations during reporting period]]*100&gt;WWWW[[#This Row],[Total PoP ]],WWWW[[#This Row],[Total PoP ]],WWWW[[#This Row],['# Functional hand washing stations during reporting period]]*100)</f>
        <v>0</v>
      </c>
      <c r="DI53" s="667" t="str">
        <f>IF(WWWW[[#This Row],['#_students at TLS_CFS]]="","No","Yes")</f>
        <v>No</v>
      </c>
      <c r="DJ53" s="245" t="str">
        <f>VLOOKUP(WWWW[[#This Row],[Site Name]],SiteDB6[[Site Name]:[CCCM Management]],6,FALSE)</f>
        <v>Yes</v>
      </c>
      <c r="DK53" s="245" t="str">
        <f>VLOOKUP(WWWW[[#This Row],[Site Name]],SiteDB6[[Site Name]:[CCCM Focal Agency]],7,FALSE)</f>
        <v>KBC</v>
      </c>
      <c r="DL53" s="245" t="str">
        <f>VLOOKUP(WWWW[[#This Row],[Site Name]],SiteDB6[[Site Name]:[Location Type 1]],9,FALSE)</f>
        <v>Camp</v>
      </c>
      <c r="DM53" s="245" t="str">
        <f>VLOOKUP(WWWW[[#This Row],[Site Name]],SiteDB6[[Site Name]:[Type of Accommodation]],10,FALSE)</f>
        <v>Camp</v>
      </c>
      <c r="DN53" s="245" t="str">
        <f>VLOOKUP(WWWW[[#This Row],[Site Name]],SiteDB6[[Site Name]:[Ethnic or GCA/NGCA]],11,FALSE)</f>
        <v>GCA</v>
      </c>
      <c r="DO53" s="245">
        <f>VLOOKUP(WWWW[[#This Row],[Site Name]],SiteDB6[[Site Name]:[Lat]],12,FALSE)</f>
        <v>25.403476999999999</v>
      </c>
      <c r="DP53" s="245">
        <f>VLOOKUP(WWWW[[#This Row],[Site Name]],SiteDB6[[Site Name]:[Long]],13,FALSE)</f>
        <v>97.373361000000003</v>
      </c>
      <c r="DQ53" s="245" t="str">
        <f>VLOOKUP(WWWW[[#This Row],[Site Name]],SiteDB6[[Site Name]:[Pcode]],3,FALSE)</f>
        <v>MMR001CMP018</v>
      </c>
      <c r="DR53" s="215" t="str">
        <f t="shared" si="2"/>
        <v>Covered</v>
      </c>
      <c r="DS53" s="215"/>
      <c r="DT53" s="20"/>
      <c r="DU53" s="20"/>
      <c r="DV53" s="20"/>
      <c r="DW53" s="20"/>
      <c r="DX53" s="20"/>
      <c r="DY53" s="20"/>
      <c r="DZ53" s="20"/>
      <c r="EA53" s="20"/>
      <c r="EB53" s="20"/>
      <c r="EC53" s="20"/>
      <c r="ED53" s="20"/>
      <c r="EE53" s="20"/>
      <c r="EF53" s="20"/>
      <c r="EG53" s="20"/>
      <c r="EH53" s="20"/>
    </row>
    <row r="54" spans="1:138" ht="16.5" customHeight="1">
      <c r="A54" s="259" t="s">
        <v>2525</v>
      </c>
      <c r="B54" s="663" t="s">
        <v>38</v>
      </c>
      <c r="C54" s="663" t="s">
        <v>38</v>
      </c>
      <c r="D54" s="663" t="s">
        <v>328</v>
      </c>
      <c r="E54" s="663" t="s">
        <v>39</v>
      </c>
      <c r="F54" s="663" t="s">
        <v>156</v>
      </c>
      <c r="G54" s="663" t="str">
        <f>VLOOKUP(WWWW[[#This Row],[Site Name]],SiteDB6[[Site Name]:[Location Type]],8,FALSE)</f>
        <v>Camp</v>
      </c>
      <c r="H54" s="663" t="s">
        <v>2032</v>
      </c>
      <c r="I54" s="700">
        <v>48</v>
      </c>
      <c r="J54" s="700">
        <v>218</v>
      </c>
      <c r="K54" s="642">
        <v>43374</v>
      </c>
      <c r="L54" s="78">
        <v>43830</v>
      </c>
      <c r="M54" s="700"/>
      <c r="N54" s="700"/>
      <c r="O54" s="700"/>
      <c r="P54" s="700"/>
      <c r="Q54" s="663"/>
      <c r="R54" s="700"/>
      <c r="S54" s="700"/>
      <c r="T54" s="700"/>
      <c r="U54" s="700"/>
      <c r="V54" s="700"/>
      <c r="W54" s="700"/>
      <c r="X54" s="700"/>
      <c r="Y54" s="700"/>
      <c r="Z54" s="700"/>
      <c r="AA54" s="700">
        <v>1</v>
      </c>
      <c r="AB54" s="700"/>
      <c r="AC54" s="700"/>
      <c r="AD54" s="700"/>
      <c r="AE54" s="700"/>
      <c r="AF54" s="700"/>
      <c r="AG54" s="700"/>
      <c r="AH54" s="700"/>
      <c r="AI54" s="700"/>
      <c r="AJ54" s="700"/>
      <c r="AK54" s="700"/>
      <c r="AL54" s="700"/>
      <c r="AM54" s="700"/>
      <c r="AN54" s="700"/>
      <c r="AO54" s="667"/>
      <c r="AP54" s="719">
        <v>8</v>
      </c>
      <c r="AQ54" s="721">
        <v>4</v>
      </c>
      <c r="AR54" s="721"/>
      <c r="AS54" s="719">
        <v>4</v>
      </c>
      <c r="AT54" s="721"/>
      <c r="AU54" s="667"/>
      <c r="AV54" s="667"/>
      <c r="AW54" s="81"/>
      <c r="AX54" s="81" t="s">
        <v>144</v>
      </c>
      <c r="AY54" s="81" t="s">
        <v>144</v>
      </c>
      <c r="AZ54" s="81"/>
      <c r="BA54" s="81"/>
      <c r="BB54" s="667"/>
      <c r="BC54" s="667"/>
      <c r="BD54" s="667"/>
      <c r="BE54" s="667"/>
      <c r="BF54" s="667"/>
      <c r="BG54" s="719">
        <v>2</v>
      </c>
      <c r="BH54" s="667"/>
      <c r="BI54" s="719"/>
      <c r="BJ54" s="719">
        <v>1</v>
      </c>
      <c r="BK54" s="719">
        <v>42</v>
      </c>
      <c r="BL54" s="719">
        <v>42</v>
      </c>
      <c r="BM54" s="667"/>
      <c r="BN54" s="667"/>
      <c r="BO54" s="82"/>
      <c r="BP54" s="667"/>
      <c r="BQ54" s="79" t="str">
        <f>IFERROR(WWWW[[#This Row],['#_Water sources treated]]/WWWW[[#This Row],['#_Water sources tested for contamination]],"no test")</f>
        <v>no test</v>
      </c>
      <c r="BR54" s="82" t="str">
        <f>IFERROR(WWWW[[#This Row],['#_Household received remediation action due to contamination]]/WWWW[[#This Row],['#_Household water samples tested for contamination]],"no test")</f>
        <v>no test</v>
      </c>
      <c r="BS54" s="81" t="str">
        <f>IF(AND(WWWW[[#This Row],[% of water sources treated]]="no test",WWWW[[#This Row],[% Household received corrective actions]]="no test"),"No Test","Tested")</f>
        <v>No Test</v>
      </c>
      <c r="BT54" s="81">
        <f>WWWW[[#This Row],['#_Constructed/existing protected hand dug well]]-WWWW[[#This Row],['#_Non-functional protected hand dug well]]</f>
        <v>0</v>
      </c>
      <c r="BU54" s="81">
        <f>(WWWW[[#This Row],['#_Constructed/Existing tube wells/boreholes/handpumps_WASH_agency]]+WWWW[[#This Row],['#_Non-Cluster partner water tube-wells/boreholes/handpumps]])-WWWW[[#This Row],['#_Non-functional tube wells/boreholes/handpumps]]</f>
        <v>0</v>
      </c>
      <c r="BV54" s="81">
        <f>WWWW[[#This Row],['#_Constructed/Existingwater storage tank with gravity fed reticulation system]]-WWWW[[#This Row],['#_Non-functional storage tank gravity fed reticulation system]]</f>
        <v>1</v>
      </c>
      <c r="BW54" s="81">
        <f>WWWW[[#This Row],['#_Water boating or water trucking]]</f>
        <v>0</v>
      </c>
      <c r="BX54" s="81">
        <f>WWWW[[#This Row],['#_Constructed/Existing water distribution system from river or natural spring]]</f>
        <v>0</v>
      </c>
      <c r="BY54"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0.30581039755351686</v>
      </c>
      <c r="BZ54"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0.30581039755351686</v>
      </c>
      <c r="CA54" s="82">
        <f>IF(WWWW[[#This Row],[Location Type 1]]="Village",WWWW[[#This Row],[Access to safe drinking water for Village]],WWWW[[#This Row],[Access to safe drinking water for Camp]])</f>
        <v>0.30581039755351686</v>
      </c>
      <c r="CB54" s="80">
        <f>WWWW[[#This Row],[%Equitable and continuous access to sufficient quantity of safe drinking water]]*WWWW[[#This Row],[Total PoP ]]</f>
        <v>66.666666666666671</v>
      </c>
      <c r="CC54" s="82">
        <f>IF((WWWW[[#This Row],['#_Constructed/Existing protected/fenced ponds]]*250)/WWWW[[#This Row],[Total PoP ]]&gt;1,1,(WWWW[[#This Row],['#_Constructed/Existing protected/fenced ponds]]*250)/WWWW[[#This Row],[Total PoP ]])</f>
        <v>0</v>
      </c>
      <c r="CD54" s="80">
        <f>WWWW[[#This Row],[% Access to unimproved water points]]*WWWW[[#This Row],[Total PoP ]]</f>
        <v>0</v>
      </c>
      <c r="CE54"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0.30581039755351686</v>
      </c>
      <c r="CF54"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G54" s="80">
        <f>WWWW[[#This Row],[HRP1]]/500</f>
        <v>0.13333333333333333</v>
      </c>
      <c r="CH54" s="79">
        <f>1-WWWW[[#This Row],[% Equitable and continuous access to sufficient quantity of domestic water]]</f>
        <v>0.69418960244648309</v>
      </c>
      <c r="CI54" s="80">
        <f>WWWW[[#This Row],[%equitable and continuous access to sufficient quantity of safe drinking and domestic water''s GAP]]*WWWW[[#This Row],[Total PoP ]]</f>
        <v>151.33333333333331</v>
      </c>
      <c r="CJ54" s="81">
        <f>IF(WWWW[[#This Row],[Total required water points]]-WWWW[[#This Row],['#Water points coverage]]&lt;0,0,WWWW[[#This Row],[Total required water points]]-WWWW[[#This Row],['#Water points coverage]])</f>
        <v>0.8666666666666667</v>
      </c>
      <c r="CK54" s="81">
        <f>ROUND(IF(WWWW[[#This Row],[Total PoP ]]&lt;500,1,WWWW[[#This Row],[Total PoP ]]/500),0)</f>
        <v>1</v>
      </c>
      <c r="CL54" s="81">
        <f>(WWWW[[#This Row],['#_Constructed latrines_by_WASHAgencies]]+WWWW[[#This Row],['#_Non Cluster partner latrines]])-WWWW[[#This Row],['#_Non-functional latrines]]</f>
        <v>8</v>
      </c>
      <c r="CM54"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0.73394495412844041</v>
      </c>
      <c r="CN54"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160</v>
      </c>
      <c r="CO54"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4" s="81">
        <f>IF(WWWW[[#This Row],[Location Type 1]]="Village","NA",IF(WWWW[[#This Row],['#_Constructed/Existing latrines in TLS]]*50&gt;WWWW[[#This Row],['#_students at TLS_CFS]],WWWW[[#This Row],['#_students at TLS_CFS]],(WWWW[[#This Row],['#_Constructed/Existing latrines in TLS]]*50)))</f>
        <v>0</v>
      </c>
      <c r="CQ54" s="81">
        <f>ROUND(IF(WWWW[[#This Row],[Location Type 1]]="camp",WWWW[[#This Row],[Total PoP ]]/20,IF(WWWW[[#This Row],[Location Type 1]]="Temporary Location",WWWW[[#This Row],[Total PoP ]]/50,(WWWW[[#This Row],[Total PoP ]]/6))),0)</f>
        <v>11</v>
      </c>
      <c r="CR54" s="80">
        <f>IF(WWWW[[#This Row],[Total required Latrines]]-(WWWW[[#This Row],['#_Constructed latrines_by_WASHAgencies]]+WWWW[[#This Row],['#_Non Cluster partner latrines]])&lt;0,0,WWWW[[#This Row],[Total required Latrines]]-(WWWW[[#This Row],['#_Constructed latrines_by_WASHAgencies]]+WWWW[[#This Row],['#_Non Cluster partner latrines]]))</f>
        <v>0</v>
      </c>
      <c r="CS54" s="79">
        <f>1-WWWW[[#This Row],[% people access to functioning Latrine]]</f>
        <v>0.26605504587155959</v>
      </c>
      <c r="CT54" s="83">
        <f>IF(OR(WWWW[[#This Row],['#_Non-functional latrines]]="",WWWW[[#This Row],['#_Non-functional latrines]]=0),0,WWWW[[#This Row],['#_Non-functional latrines]]/(WWWW[[#This Row],['#_Constructed latrines_by_WASHAgencies]]+WWWW[[#This Row],['#_Non Cluster partner latrines]]))</f>
        <v>0.33333333333333331</v>
      </c>
      <c r="CU54" s="80">
        <f>IF(500*(WWWW[[#This Row],['#_male hygiene promoters]]+WWWW[[#This Row],['#_female hygiene promoters]])&gt;WWWW[[#This Row],[Total PoP ]],WWWW[[#This Row],[Total PoP ]],500*(WWWW[[#This Row],['#_male hygiene promoters]]+WWWW[[#This Row],['#_female hygiene promoters]]))</f>
        <v>218</v>
      </c>
      <c r="CV54"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210</v>
      </c>
      <c r="CW54"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210</v>
      </c>
      <c r="CX54" s="81">
        <f>IF(WWWW[[#This Row],['# People with access to soap]]&gt;WWWW[[#This Row],['# People with access to Sanity Pads]],WWWW[[#This Row],['# People with access to soap]],WWWW[[#This Row],['# People with access to Sanity Pads]])</f>
        <v>210</v>
      </c>
      <c r="CY54" s="81">
        <f>IF(WWWW[[#This Row],['# people reached by regular dedicated hygiene promotion_5]]&gt;WWWW[[#This Row],['# People received regular supply of hygiene items_6]],WWWW[[#This Row],['# people reached by regular dedicated hygiene promotion_5]],WWWW[[#This Row],['# People received regular supply of hygiene items_6]])</f>
        <v>218</v>
      </c>
      <c r="CZ54" s="79">
        <f>IF(WWWW[[#This Row],[HRP3]]/WWWW[[#This Row],[Total PoP ]]&gt;100%,100%,WWWW[[#This Row],[HRP3]]/WWWW[[#This Row],[Total PoP ]])</f>
        <v>1</v>
      </c>
      <c r="DA54" s="83">
        <f>1-WWWW[[#This Row],[Hygiene Coverage%]]</f>
        <v>0</v>
      </c>
      <c r="DB54" s="82">
        <f>WWWW[[#This Row],['# people reached by regular dedicated hygiene promotion_5]]/WWWW[[#This Row],[Total PoP ]]</f>
        <v>1</v>
      </c>
      <c r="DC54" s="82">
        <f>IF(WWWW[[#This Row],['#_households that received standard amount of soap for this quarter]]/WWWW[[#This Row],[Total HH]]&gt;1,1,WWWW[[#This Row],['#_households that received standard amount of soap for this quarter]]/WWWW[[#This Row],[Total HH]])</f>
        <v>0.875</v>
      </c>
      <c r="DD54" s="82">
        <f>IF(WWWW[[#This Row],['#_households that received standard amount of sanitary pads for this quarter]]/WWWW[[#This Row],[Total HH]]&gt;1,1,WWWW[[#This Row],['#_households that received standard amount of sanitary pads for this quarter]]/WWWW[[#This Row],[Total HH]])</f>
        <v>0.875</v>
      </c>
      <c r="DE54" s="81">
        <f>WWWW[[#This Row],['#_Constructed/Existing hand washing stations]]-WWWW[[#This Row],['#_Non-Functional_hand_washing_stations]]</f>
        <v>0</v>
      </c>
      <c r="DF54" s="667">
        <f>IF(WWWW[[#This Row],['# Functional hand washing stations during reporting period]]*20&gt;WWWW[[#This Row],[Total HH]],WWWW[[#This Row],[Total HH]],WWWW[[#This Row],['# Functional hand washing stations during reporting period]]*20)</f>
        <v>0</v>
      </c>
      <c r="DG54" s="80">
        <f>IF(WWWW[[#This Row],[Is sufficient soap available for TLS? (Yes/No)]]="yes",WWWW[[#This Row],['#_Constructed/Existing hand washing stations at TLS]],0)</f>
        <v>0</v>
      </c>
      <c r="DH54" s="667">
        <f>IF(WWWW[[#This Row],['# Functional hand washing stations during reporting period]]*100&gt;WWWW[[#This Row],[Total PoP ]],WWWW[[#This Row],[Total PoP ]],WWWW[[#This Row],['# Functional hand washing stations during reporting period]]*100)</f>
        <v>0</v>
      </c>
      <c r="DI54" s="667" t="str">
        <f>IF(WWWW[[#This Row],['#_students at TLS_CFS]]="","No","Yes")</f>
        <v>No</v>
      </c>
      <c r="DJ54" s="245">
        <f>VLOOKUP(WWWW[[#This Row],[Site Name]],SiteDB6[[Site Name]:[CCCM Management]],6,FALSE)</f>
        <v>0</v>
      </c>
      <c r="DK54" s="245" t="str">
        <f>VLOOKUP(WWWW[[#This Row],[Site Name]],SiteDB6[[Site Name]:[CCCM Focal Agency]],7,FALSE)</f>
        <v>KMSS-MYT</v>
      </c>
      <c r="DL54" s="245" t="str">
        <f>VLOOKUP(WWWW[[#This Row],[Site Name]],SiteDB6[[Site Name]:[Location Type 1]],9,FALSE)</f>
        <v>Camp</v>
      </c>
      <c r="DM54" s="245" t="str">
        <f>VLOOKUP(WWWW[[#This Row],[Site Name]],SiteDB6[[Site Name]:[Type of Accommodation]],10,FALSE)</f>
        <v>Camp</v>
      </c>
      <c r="DN54" s="245" t="str">
        <f>VLOOKUP(WWWW[[#This Row],[Site Name]],SiteDB6[[Site Name]:[Ethnic or GCA/NGCA]],11,FALSE)</f>
        <v>GCA</v>
      </c>
      <c r="DO54" s="245">
        <f>VLOOKUP(WWWW[[#This Row],[Site Name]],SiteDB6[[Site Name]:[Lat]],12,FALSE)</f>
        <v>0</v>
      </c>
      <c r="DP54" s="245">
        <f>VLOOKUP(WWWW[[#This Row],[Site Name]],SiteDB6[[Site Name]:[Long]],13,FALSE)</f>
        <v>0</v>
      </c>
      <c r="DQ54" s="245" t="str">
        <f>VLOOKUP(WWWW[[#This Row],[Site Name]],SiteDB6[[Site Name]:[Pcode]],3,FALSE)</f>
        <v>MMR001CMP268</v>
      </c>
      <c r="DR54" s="215" t="str">
        <f t="shared" si="2"/>
        <v>Covered</v>
      </c>
      <c r="DS54" s="215"/>
      <c r="DT54" s="20"/>
      <c r="DU54" s="20"/>
      <c r="DV54" s="20"/>
      <c r="DW54" s="20"/>
      <c r="DX54" s="20"/>
      <c r="DY54" s="20"/>
      <c r="DZ54" s="20"/>
      <c r="EA54" s="20"/>
      <c r="EB54" s="20"/>
      <c r="EC54" s="20"/>
      <c r="ED54" s="20"/>
      <c r="EE54" s="20"/>
      <c r="EF54" s="20"/>
      <c r="EG54" s="20"/>
      <c r="EH54" s="20"/>
    </row>
    <row r="55" spans="1:138" ht="15.75" customHeight="1">
      <c r="A55" s="259" t="s">
        <v>2525</v>
      </c>
      <c r="B55" s="663" t="s">
        <v>317</v>
      </c>
      <c r="C55" s="663" t="s">
        <v>317</v>
      </c>
      <c r="D55" s="663"/>
      <c r="E55" s="663" t="s">
        <v>39</v>
      </c>
      <c r="F55" s="663" t="s">
        <v>40</v>
      </c>
      <c r="G55" s="663" t="str">
        <f>VLOOKUP(WWWW[[#This Row],[Site Name]],SiteDB6[[Site Name]:[Location Type]],8,FALSE)</f>
        <v>Camp</v>
      </c>
      <c r="H55" s="77" t="s">
        <v>306</v>
      </c>
      <c r="I55" s="700">
        <v>127</v>
      </c>
      <c r="J55" s="700">
        <v>647</v>
      </c>
      <c r="K55" s="642"/>
      <c r="L55" s="78"/>
      <c r="M55" s="700"/>
      <c r="N55" s="700"/>
      <c r="O55" s="700"/>
      <c r="P55" s="700"/>
      <c r="Q55" s="77"/>
      <c r="R55" s="377"/>
      <c r="S55" s="377"/>
      <c r="T55" s="377"/>
      <c r="U55" s="377"/>
      <c r="V55" s="377"/>
      <c r="W55" s="377"/>
      <c r="X55" s="377"/>
      <c r="Y55" s="377"/>
      <c r="Z55" s="377"/>
      <c r="AA55" s="377"/>
      <c r="AB55" s="377"/>
      <c r="AC55" s="377"/>
      <c r="AD55" s="377"/>
      <c r="AE55" s="377"/>
      <c r="AF55" s="377"/>
      <c r="AG55" s="377"/>
      <c r="AH55" s="377"/>
      <c r="AI55" s="377"/>
      <c r="AJ55" s="377"/>
      <c r="AK55" s="377"/>
      <c r="AL55" s="377"/>
      <c r="AM55" s="377"/>
      <c r="AN55" s="377"/>
      <c r="AO55" s="215"/>
      <c r="AP55" s="377"/>
      <c r="AQ55" s="377"/>
      <c r="AR55" s="77"/>
      <c r="AS55" s="377"/>
      <c r="AT55" s="377"/>
      <c r="AU55" s="377"/>
      <c r="AV55" s="377"/>
      <c r="AW55" s="377"/>
      <c r="AX55" s="245"/>
      <c r="AY55" s="245"/>
      <c r="AZ55" s="377"/>
      <c r="BA55" s="377"/>
      <c r="BB55" s="377"/>
      <c r="BC55" s="215"/>
      <c r="BD55" s="377"/>
      <c r="BE55" s="377"/>
      <c r="BF55" s="377"/>
      <c r="BG55" s="377"/>
      <c r="BH55" s="377"/>
      <c r="BI55" s="377"/>
      <c r="BJ55" s="377"/>
      <c r="BK55" s="377"/>
      <c r="BL55" s="377"/>
      <c r="BM55" s="215"/>
      <c r="BN55" s="80"/>
      <c r="BO55" s="82"/>
      <c r="BP55" s="215"/>
      <c r="BQ55" s="79" t="str">
        <f>IFERROR(WWWW[[#This Row],['#_Water sources treated]]/WWWW[[#This Row],['#_Water sources tested for contamination]],"no test")</f>
        <v>no test</v>
      </c>
      <c r="BR55" s="82" t="str">
        <f>IFERROR(WWWW[[#This Row],['#_Household received remediation action due to contamination]]/WWWW[[#This Row],['#_Household water samples tested for contamination]],"no test")</f>
        <v>no test</v>
      </c>
      <c r="BS55" s="81" t="str">
        <f>IF(AND(WWWW[[#This Row],[% of water sources treated]]="no test",WWWW[[#This Row],[% Household received corrective actions]]="no test"),"No Test","Tested")</f>
        <v>No Test</v>
      </c>
      <c r="BT55" s="81">
        <f>WWWW[[#This Row],['#_Constructed/existing protected hand dug well]]-WWWW[[#This Row],['#_Non-functional protected hand dug well]]</f>
        <v>0</v>
      </c>
      <c r="BU55" s="81">
        <f>(WWWW[[#This Row],['#_Constructed/Existing tube wells/boreholes/handpumps_WASH_agency]]+WWWW[[#This Row],['#_Non-Cluster partner water tube-wells/boreholes/handpumps]])-WWWW[[#This Row],['#_Non-functional tube wells/boreholes/handpumps]]</f>
        <v>0</v>
      </c>
      <c r="BV55" s="81">
        <f>WWWW[[#This Row],['#_Constructed/Existingwater storage tank with gravity fed reticulation system]]-WWWW[[#This Row],['#_Non-functional storage tank gravity fed reticulation system]]</f>
        <v>0</v>
      </c>
      <c r="BW55" s="81">
        <f>WWWW[[#This Row],['#_Water boating or water trucking]]</f>
        <v>0</v>
      </c>
      <c r="BX55" s="81">
        <f>WWWW[[#This Row],['#_Constructed/Existing water distribution system from river or natural spring]]</f>
        <v>0</v>
      </c>
      <c r="BY55"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55"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55" s="82">
        <f>IF(WWWW[[#This Row],[Location Type 1]]="Village",WWWW[[#This Row],[Access to safe drinking water for Village]],WWWW[[#This Row],[Access to safe drinking water for Camp]])</f>
        <v>0</v>
      </c>
      <c r="CB55" s="80">
        <f>WWWW[[#This Row],[%Equitable and continuous access to sufficient quantity of safe drinking water]]*WWWW[[#This Row],[Total PoP ]]</f>
        <v>0</v>
      </c>
      <c r="CC55" s="82">
        <f>IF((WWWW[[#This Row],['#_Constructed/Existing protected/fenced ponds]]*250)/WWWW[[#This Row],[Total PoP ]]&gt;1,1,(WWWW[[#This Row],['#_Constructed/Existing protected/fenced ponds]]*250)/WWWW[[#This Row],[Total PoP ]])</f>
        <v>0</v>
      </c>
      <c r="CD55" s="80">
        <f>WWWW[[#This Row],[% Access to unimproved water points]]*WWWW[[#This Row],[Total PoP ]]</f>
        <v>0</v>
      </c>
      <c r="CE55"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55"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55" s="80">
        <f>WWWW[[#This Row],[HRP1]]/500</f>
        <v>0</v>
      </c>
      <c r="CH55" s="79">
        <f>1-WWWW[[#This Row],[% Equitable and continuous access to sufficient quantity of domestic water]]</f>
        <v>1</v>
      </c>
      <c r="CI55" s="80">
        <f>WWWW[[#This Row],[%equitable and continuous access to sufficient quantity of safe drinking and domestic water''s GAP]]*WWWW[[#This Row],[Total PoP ]]</f>
        <v>647</v>
      </c>
      <c r="CJ55" s="81">
        <f>IF(WWWW[[#This Row],[Total required water points]]-WWWW[[#This Row],['#Water points coverage]]&lt;0,0,WWWW[[#This Row],[Total required water points]]-WWWW[[#This Row],['#Water points coverage]])</f>
        <v>1</v>
      </c>
      <c r="CK55" s="81">
        <f>ROUND(IF(WWWW[[#This Row],[Total PoP ]]&lt;500,1,WWWW[[#This Row],[Total PoP ]]/500),0)</f>
        <v>1</v>
      </c>
      <c r="CL55" s="81">
        <f>(WWWW[[#This Row],['#_Constructed latrines_by_WASHAgencies]]+WWWW[[#This Row],['#_Non Cluster partner latrines]])-WWWW[[#This Row],['#_Non-functional latrines]]</f>
        <v>0</v>
      </c>
      <c r="CM55"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55"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55"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5" s="81">
        <f>IF(WWWW[[#This Row],[Location Type 1]]="Village","NA",IF(WWWW[[#This Row],['#_Constructed/Existing latrines in TLS]]*50&gt;WWWW[[#This Row],['#_students at TLS_CFS]],WWWW[[#This Row],['#_students at TLS_CFS]],(WWWW[[#This Row],['#_Constructed/Existing latrines in TLS]]*50)))</f>
        <v>0</v>
      </c>
      <c r="CQ55" s="81">
        <f>ROUND(IF(WWWW[[#This Row],[Location Type 1]]="camp",WWWW[[#This Row],[Total PoP ]]/20,IF(WWWW[[#This Row],[Location Type 1]]="Temporary Location",WWWW[[#This Row],[Total PoP ]]/50,(WWWW[[#This Row],[Total PoP ]]/6))),0)</f>
        <v>32</v>
      </c>
      <c r="CR55" s="80">
        <f>IF(WWWW[[#This Row],[Total required Latrines]]-(WWWW[[#This Row],['#_Constructed latrines_by_WASHAgencies]]+WWWW[[#This Row],['#_Non Cluster partner latrines]])&lt;0,0,WWWW[[#This Row],[Total required Latrines]]-(WWWW[[#This Row],['#_Constructed latrines_by_WASHAgencies]]+WWWW[[#This Row],['#_Non Cluster partner latrines]]))</f>
        <v>32</v>
      </c>
      <c r="CS55" s="79">
        <f>1-WWWW[[#This Row],[% people access to functioning Latrine]]</f>
        <v>1</v>
      </c>
      <c r="CT55" s="83">
        <f>IF(OR(WWWW[[#This Row],['#_Non-functional latrines]]="",WWWW[[#This Row],['#_Non-functional latrines]]=0),0,WWWW[[#This Row],['#_Non-functional latrines]]/(WWWW[[#This Row],['#_Constructed latrines_by_WASHAgencies]]+WWWW[[#This Row],['#_Non Cluster partner latrines]]))</f>
        <v>0</v>
      </c>
      <c r="CU55" s="80">
        <f>IF(500*(WWWW[[#This Row],['#_male hygiene promoters]]+WWWW[[#This Row],['#_female hygiene promoters]])&gt;WWWW[[#This Row],[Total PoP ]],WWWW[[#This Row],[Total PoP ]],500*(WWWW[[#This Row],['#_male hygiene promoters]]+WWWW[[#This Row],['#_female hygiene promoters]]))</f>
        <v>0</v>
      </c>
      <c r="CV55"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5"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5" s="81">
        <f>IF(WWWW[[#This Row],['# People with access to soap]]&gt;WWWW[[#This Row],['# People with access to Sanity Pads]],WWWW[[#This Row],['# People with access to soap]],WWWW[[#This Row],['# People with access to Sanity Pads]])</f>
        <v>0</v>
      </c>
      <c r="CY55"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55" s="79">
        <f>IF(WWWW[[#This Row],[HRP3]]/WWWW[[#This Row],[Total PoP ]]&gt;100%,100%,WWWW[[#This Row],[HRP3]]/WWWW[[#This Row],[Total PoP ]])</f>
        <v>0</v>
      </c>
      <c r="DA55" s="83">
        <f>1-WWWW[[#This Row],[Hygiene Coverage%]]</f>
        <v>1</v>
      </c>
      <c r="DB55" s="82">
        <f>WWWW[[#This Row],['# people reached by regular dedicated hygiene promotion_5]]/WWWW[[#This Row],[Total PoP ]]</f>
        <v>0</v>
      </c>
      <c r="DC55" s="82">
        <f>IF(WWWW[[#This Row],['#_households that received standard amount of soap for this quarter]]/WWWW[[#This Row],[Total HH]]&gt;1,1,WWWW[[#This Row],['#_households that received standard amount of soap for this quarter]]/WWWW[[#This Row],[Total HH]])</f>
        <v>0</v>
      </c>
      <c r="DD55" s="82">
        <f>IF(WWWW[[#This Row],['#_households that received standard amount of sanitary pads for this quarter]]/WWWW[[#This Row],[Total HH]]&gt;1,1,WWWW[[#This Row],['#_households that received standard amount of sanitary pads for this quarter]]/WWWW[[#This Row],[Total HH]])</f>
        <v>0</v>
      </c>
      <c r="DE55" s="81">
        <f>WWWW[[#This Row],['#_Constructed/Existing hand washing stations]]-WWWW[[#This Row],['#_Non-Functional_hand_washing_stations]]</f>
        <v>0</v>
      </c>
      <c r="DF55" s="667">
        <f>IF(WWWW[[#This Row],['# Functional hand washing stations during reporting period]]*20&gt;WWWW[[#This Row],[Total HH]],WWWW[[#This Row],[Total HH]],WWWW[[#This Row],['# Functional hand washing stations during reporting period]]*20)</f>
        <v>0</v>
      </c>
      <c r="DG55" s="80">
        <f>IF(WWWW[[#This Row],[Is sufficient soap available for TLS? (Yes/No)]]="yes",WWWW[[#This Row],['#_Constructed/Existing hand washing stations at TLS]],0)</f>
        <v>0</v>
      </c>
      <c r="DH55" s="667">
        <f>IF(WWWW[[#This Row],['# Functional hand washing stations during reporting period]]*100&gt;WWWW[[#This Row],[Total PoP ]],WWWW[[#This Row],[Total PoP ]],WWWW[[#This Row],['# Functional hand washing stations during reporting period]]*100)</f>
        <v>0</v>
      </c>
      <c r="DI55" s="667" t="str">
        <f>IF(WWWW[[#This Row],['#_students at TLS_CFS]]="","No","Yes")</f>
        <v>No</v>
      </c>
      <c r="DJ55" s="245" t="str">
        <f>VLOOKUP(WWWW[[#This Row],[Site Name]],SiteDB6[[Site Name]:[CCCM Management]],6,FALSE)</f>
        <v>Yes</v>
      </c>
      <c r="DK55" s="245" t="str">
        <f>VLOOKUP(WWWW[[#This Row],[Site Name]],SiteDB6[[Site Name]:[CCCM Focal Agency]],7,FALSE)</f>
        <v>KBC</v>
      </c>
      <c r="DL55" s="245" t="str">
        <f>VLOOKUP(WWWW[[#This Row],[Site Name]],SiteDB6[[Site Name]:[Location Type 1]],9,FALSE)</f>
        <v>Camp</v>
      </c>
      <c r="DM55" s="245" t="str">
        <f>VLOOKUP(WWWW[[#This Row],[Site Name]],SiteDB6[[Site Name]:[Type of Accommodation]],10,FALSE)</f>
        <v>Camp</v>
      </c>
      <c r="DN55" s="245" t="str">
        <f>VLOOKUP(WWWW[[#This Row],[Site Name]],SiteDB6[[Site Name]:[Ethnic or GCA/NGCA]],11,FALSE)</f>
        <v>GCA</v>
      </c>
      <c r="DO55" s="245">
        <f>VLOOKUP(WWWW[[#This Row],[Site Name]],SiteDB6[[Site Name]:[Lat]],12,FALSE)</f>
        <v>23.83013</v>
      </c>
      <c r="DP55" s="245">
        <f>VLOOKUP(WWWW[[#This Row],[Site Name]],SiteDB6[[Site Name]:[Long]],13,FALSE)</f>
        <v>97.589979999999997</v>
      </c>
      <c r="DQ55" s="245" t="str">
        <f>VLOOKUP(WWWW[[#This Row],[Site Name]],SiteDB6[[Site Name]:[Pcode]],3,FALSE)</f>
        <v>MMR001CMP133</v>
      </c>
      <c r="DR55" s="215" t="str">
        <f t="shared" si="2"/>
        <v>Notcovered</v>
      </c>
      <c r="DS55" s="215"/>
      <c r="DT55" s="20"/>
      <c r="DU55" s="20"/>
      <c r="DV55" s="20"/>
      <c r="DW55" s="20"/>
      <c r="DX55" s="20"/>
      <c r="DY55" s="20"/>
      <c r="DZ55" s="20"/>
      <c r="EA55" s="20"/>
      <c r="EB55" s="20"/>
      <c r="EC55" s="20"/>
      <c r="ED55" s="20"/>
      <c r="EE55" s="20"/>
      <c r="EF55" s="20"/>
      <c r="EG55" s="20"/>
      <c r="EH55" s="20"/>
    </row>
    <row r="56" spans="1:138" ht="15.75" customHeight="1">
      <c r="A56" s="259" t="s">
        <v>2525</v>
      </c>
      <c r="B56" s="663" t="s">
        <v>317</v>
      </c>
      <c r="C56" s="663" t="s">
        <v>317</v>
      </c>
      <c r="D56" s="663"/>
      <c r="E56" s="663" t="s">
        <v>39</v>
      </c>
      <c r="F56" s="663" t="s">
        <v>40</v>
      </c>
      <c r="G56" s="663" t="str">
        <f>VLOOKUP(WWWW[[#This Row],[Site Name]],SiteDB6[[Site Name]:[Location Type]],8,FALSE)</f>
        <v>Camp</v>
      </c>
      <c r="H56" s="77" t="s">
        <v>308</v>
      </c>
      <c r="I56" s="700">
        <v>117</v>
      </c>
      <c r="J56" s="700">
        <v>524</v>
      </c>
      <c r="K56" s="642"/>
      <c r="L56" s="78"/>
      <c r="M56" s="700"/>
      <c r="N56" s="700"/>
      <c r="O56" s="700"/>
      <c r="P56" s="700"/>
      <c r="Q56" s="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c r="AN56" s="377"/>
      <c r="AO56" s="215"/>
      <c r="AP56" s="377"/>
      <c r="AQ56" s="377"/>
      <c r="AR56" s="77"/>
      <c r="AS56" s="377"/>
      <c r="AT56" s="377"/>
      <c r="AU56" s="377"/>
      <c r="AV56" s="377"/>
      <c r="AW56" s="377"/>
      <c r="AX56" s="245"/>
      <c r="AY56" s="245"/>
      <c r="AZ56" s="377"/>
      <c r="BA56" s="377"/>
      <c r="BB56" s="377"/>
      <c r="BC56" s="215"/>
      <c r="BD56" s="377"/>
      <c r="BE56" s="377"/>
      <c r="BF56" s="377"/>
      <c r="BG56" s="377"/>
      <c r="BH56" s="377"/>
      <c r="BI56" s="377"/>
      <c r="BJ56" s="377"/>
      <c r="BK56" s="377"/>
      <c r="BL56" s="377"/>
      <c r="BM56" s="215"/>
      <c r="BN56" s="80"/>
      <c r="BO56" s="82"/>
      <c r="BP56" s="215"/>
      <c r="BQ56" s="79" t="str">
        <f>IFERROR(WWWW[[#This Row],['#_Water sources treated]]/WWWW[[#This Row],['#_Water sources tested for contamination]],"no test")</f>
        <v>no test</v>
      </c>
      <c r="BR56" s="82" t="str">
        <f>IFERROR(WWWW[[#This Row],['#_Household received remediation action due to contamination]]/WWWW[[#This Row],['#_Household water samples tested for contamination]],"no test")</f>
        <v>no test</v>
      </c>
      <c r="BS56" s="81" t="str">
        <f>IF(AND(WWWW[[#This Row],[% of water sources treated]]="no test",WWWW[[#This Row],[% Household received corrective actions]]="no test"),"No Test","Tested")</f>
        <v>No Test</v>
      </c>
      <c r="BT56" s="81">
        <f>WWWW[[#This Row],['#_Constructed/existing protected hand dug well]]-WWWW[[#This Row],['#_Non-functional protected hand dug well]]</f>
        <v>0</v>
      </c>
      <c r="BU56" s="81">
        <f>(WWWW[[#This Row],['#_Constructed/Existing tube wells/boreholes/handpumps_WASH_agency]]+WWWW[[#This Row],['#_Non-Cluster partner water tube-wells/boreholes/handpumps]])-WWWW[[#This Row],['#_Non-functional tube wells/boreholes/handpumps]]</f>
        <v>0</v>
      </c>
      <c r="BV56" s="81">
        <f>WWWW[[#This Row],['#_Constructed/Existingwater storage tank with gravity fed reticulation system]]-WWWW[[#This Row],['#_Non-functional storage tank gravity fed reticulation system]]</f>
        <v>0</v>
      </c>
      <c r="BW56" s="81">
        <f>WWWW[[#This Row],['#_Water boating or water trucking]]</f>
        <v>0</v>
      </c>
      <c r="BX56" s="81">
        <f>WWWW[[#This Row],['#_Constructed/Existing water distribution system from river or natural spring]]</f>
        <v>0</v>
      </c>
      <c r="BY56"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56"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56" s="82">
        <f>IF(WWWW[[#This Row],[Location Type 1]]="Village",WWWW[[#This Row],[Access to safe drinking water for Village]],WWWW[[#This Row],[Access to safe drinking water for Camp]])</f>
        <v>0</v>
      </c>
      <c r="CB56" s="80">
        <f>WWWW[[#This Row],[%Equitable and continuous access to sufficient quantity of safe drinking water]]*WWWW[[#This Row],[Total PoP ]]</f>
        <v>0</v>
      </c>
      <c r="CC56" s="82">
        <f>IF((WWWW[[#This Row],['#_Constructed/Existing protected/fenced ponds]]*250)/WWWW[[#This Row],[Total PoP ]]&gt;1,1,(WWWW[[#This Row],['#_Constructed/Existing protected/fenced ponds]]*250)/WWWW[[#This Row],[Total PoP ]])</f>
        <v>0</v>
      </c>
      <c r="CD56" s="80">
        <f>WWWW[[#This Row],[% Access to unimproved water points]]*WWWW[[#This Row],[Total PoP ]]</f>
        <v>0</v>
      </c>
      <c r="CE56"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56"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56" s="80">
        <f>WWWW[[#This Row],[HRP1]]/500</f>
        <v>0</v>
      </c>
      <c r="CH56" s="79">
        <f>1-WWWW[[#This Row],[% Equitable and continuous access to sufficient quantity of domestic water]]</f>
        <v>1</v>
      </c>
      <c r="CI56" s="80">
        <f>WWWW[[#This Row],[%equitable and continuous access to sufficient quantity of safe drinking and domestic water''s GAP]]*WWWW[[#This Row],[Total PoP ]]</f>
        <v>524</v>
      </c>
      <c r="CJ56" s="81">
        <f>IF(WWWW[[#This Row],[Total required water points]]-WWWW[[#This Row],['#Water points coverage]]&lt;0,0,WWWW[[#This Row],[Total required water points]]-WWWW[[#This Row],['#Water points coverage]])</f>
        <v>1</v>
      </c>
      <c r="CK56" s="81">
        <f>ROUND(IF(WWWW[[#This Row],[Total PoP ]]&lt;500,1,WWWW[[#This Row],[Total PoP ]]/500),0)</f>
        <v>1</v>
      </c>
      <c r="CL56" s="81">
        <f>(WWWW[[#This Row],['#_Constructed latrines_by_WASHAgencies]]+WWWW[[#This Row],['#_Non Cluster partner latrines]])-WWWW[[#This Row],['#_Non-functional latrines]]</f>
        <v>0</v>
      </c>
      <c r="CM56"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56"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56"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6" s="81">
        <f>IF(WWWW[[#This Row],[Location Type 1]]="Village","NA",IF(WWWW[[#This Row],['#_Constructed/Existing latrines in TLS]]*50&gt;WWWW[[#This Row],['#_students at TLS_CFS]],WWWW[[#This Row],['#_students at TLS_CFS]],(WWWW[[#This Row],['#_Constructed/Existing latrines in TLS]]*50)))</f>
        <v>0</v>
      </c>
      <c r="CQ56" s="81">
        <f>ROUND(IF(WWWW[[#This Row],[Location Type 1]]="camp",WWWW[[#This Row],[Total PoP ]]/20,IF(WWWW[[#This Row],[Location Type 1]]="Temporary Location",WWWW[[#This Row],[Total PoP ]]/50,(WWWW[[#This Row],[Total PoP ]]/6))),0)</f>
        <v>26</v>
      </c>
      <c r="CR56" s="80">
        <f>IF(WWWW[[#This Row],[Total required Latrines]]-(WWWW[[#This Row],['#_Constructed latrines_by_WASHAgencies]]+WWWW[[#This Row],['#_Non Cluster partner latrines]])&lt;0,0,WWWW[[#This Row],[Total required Latrines]]-(WWWW[[#This Row],['#_Constructed latrines_by_WASHAgencies]]+WWWW[[#This Row],['#_Non Cluster partner latrines]]))</f>
        <v>26</v>
      </c>
      <c r="CS56" s="79">
        <f>1-WWWW[[#This Row],[% people access to functioning Latrine]]</f>
        <v>1</v>
      </c>
      <c r="CT56" s="83">
        <f>IF(OR(WWWW[[#This Row],['#_Non-functional latrines]]="",WWWW[[#This Row],['#_Non-functional latrines]]=0),0,WWWW[[#This Row],['#_Non-functional latrines]]/(WWWW[[#This Row],['#_Constructed latrines_by_WASHAgencies]]+WWWW[[#This Row],['#_Non Cluster partner latrines]]))</f>
        <v>0</v>
      </c>
      <c r="CU56" s="80">
        <f>IF(500*(WWWW[[#This Row],['#_male hygiene promoters]]+WWWW[[#This Row],['#_female hygiene promoters]])&gt;WWWW[[#This Row],[Total PoP ]],WWWW[[#This Row],[Total PoP ]],500*(WWWW[[#This Row],['#_male hygiene promoters]]+WWWW[[#This Row],['#_female hygiene promoters]]))</f>
        <v>0</v>
      </c>
      <c r="CV56"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6"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6" s="81">
        <f>IF(WWWW[[#This Row],['# People with access to soap]]&gt;WWWW[[#This Row],['# People with access to Sanity Pads]],WWWW[[#This Row],['# People with access to soap]],WWWW[[#This Row],['# People with access to Sanity Pads]])</f>
        <v>0</v>
      </c>
      <c r="CY56"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56" s="79">
        <f>IF(WWWW[[#This Row],[HRP3]]/WWWW[[#This Row],[Total PoP ]]&gt;100%,100%,WWWW[[#This Row],[HRP3]]/WWWW[[#This Row],[Total PoP ]])</f>
        <v>0</v>
      </c>
      <c r="DA56" s="83">
        <f>1-WWWW[[#This Row],[Hygiene Coverage%]]</f>
        <v>1</v>
      </c>
      <c r="DB56" s="82">
        <f>WWWW[[#This Row],['# people reached by regular dedicated hygiene promotion_5]]/WWWW[[#This Row],[Total PoP ]]</f>
        <v>0</v>
      </c>
      <c r="DC56" s="82">
        <f>IF(WWWW[[#This Row],['#_households that received standard amount of soap for this quarter]]/WWWW[[#This Row],[Total HH]]&gt;1,1,WWWW[[#This Row],['#_households that received standard amount of soap for this quarter]]/WWWW[[#This Row],[Total HH]])</f>
        <v>0</v>
      </c>
      <c r="DD56" s="82">
        <f>IF(WWWW[[#This Row],['#_households that received standard amount of sanitary pads for this quarter]]/WWWW[[#This Row],[Total HH]]&gt;1,1,WWWW[[#This Row],['#_households that received standard amount of sanitary pads for this quarter]]/WWWW[[#This Row],[Total HH]])</f>
        <v>0</v>
      </c>
      <c r="DE56" s="81">
        <f>WWWW[[#This Row],['#_Constructed/Existing hand washing stations]]-WWWW[[#This Row],['#_Non-Functional_hand_washing_stations]]</f>
        <v>0</v>
      </c>
      <c r="DF56" s="667">
        <f>IF(WWWW[[#This Row],['# Functional hand washing stations during reporting period]]*20&gt;WWWW[[#This Row],[Total HH]],WWWW[[#This Row],[Total HH]],WWWW[[#This Row],['# Functional hand washing stations during reporting period]]*20)</f>
        <v>0</v>
      </c>
      <c r="DG56" s="80">
        <f>IF(WWWW[[#This Row],[Is sufficient soap available for TLS? (Yes/No)]]="yes",WWWW[[#This Row],['#_Constructed/Existing hand washing stations at TLS]],0)</f>
        <v>0</v>
      </c>
      <c r="DH56" s="667">
        <f>IF(WWWW[[#This Row],['# Functional hand washing stations during reporting period]]*100&gt;WWWW[[#This Row],[Total PoP ]],WWWW[[#This Row],[Total PoP ]],WWWW[[#This Row],['# Functional hand washing stations during reporting period]]*100)</f>
        <v>0</v>
      </c>
      <c r="DI56" s="667" t="str">
        <f>IF(WWWW[[#This Row],['#_students at TLS_CFS]]="","No","Yes")</f>
        <v>No</v>
      </c>
      <c r="DJ56" s="245" t="str">
        <f>VLOOKUP(WWWW[[#This Row],[Site Name]],SiteDB6[[Site Name]:[CCCM Management]],6,FALSE)</f>
        <v>Yes</v>
      </c>
      <c r="DK56" s="245" t="str">
        <f>VLOOKUP(WWWW[[#This Row],[Site Name]],SiteDB6[[Site Name]:[CCCM Focal Agency]],7,FALSE)</f>
        <v>KBC</v>
      </c>
      <c r="DL56" s="245" t="str">
        <f>VLOOKUP(WWWW[[#This Row],[Site Name]],SiteDB6[[Site Name]:[Location Type 1]],9,FALSE)</f>
        <v>Camp</v>
      </c>
      <c r="DM56" s="245" t="str">
        <f>VLOOKUP(WWWW[[#This Row],[Site Name]],SiteDB6[[Site Name]:[Type of Accommodation]],10,FALSE)</f>
        <v>Camp</v>
      </c>
      <c r="DN56" s="245" t="str">
        <f>VLOOKUP(WWWW[[#This Row],[Site Name]],SiteDB6[[Site Name]:[Ethnic or GCA/NGCA]],11,FALSE)</f>
        <v>GCA</v>
      </c>
      <c r="DO56" s="245">
        <f>VLOOKUP(WWWW[[#This Row],[Site Name]],SiteDB6[[Site Name]:[Lat]],12,FALSE)</f>
        <v>23.829599000000002</v>
      </c>
      <c r="DP56" s="245">
        <f>VLOOKUP(WWWW[[#This Row],[Site Name]],SiteDB6[[Site Name]:[Long]],13,FALSE)</f>
        <v>97.590767</v>
      </c>
      <c r="DQ56" s="245" t="str">
        <f>VLOOKUP(WWWW[[#This Row],[Site Name]],SiteDB6[[Site Name]:[Pcode]],3,FALSE)</f>
        <v>MMR001CMP230</v>
      </c>
      <c r="DR56" s="215" t="str">
        <f t="shared" si="2"/>
        <v>Notcovered</v>
      </c>
      <c r="DS56" s="215"/>
      <c r="DT56" s="20"/>
      <c r="DU56" s="20"/>
      <c r="DV56" s="20"/>
      <c r="DW56" s="20"/>
      <c r="DX56" s="20"/>
      <c r="DY56" s="20"/>
      <c r="DZ56" s="20"/>
      <c r="EA56" s="20"/>
      <c r="EB56" s="20"/>
      <c r="EC56" s="20"/>
      <c r="ED56" s="20"/>
      <c r="EE56" s="20"/>
      <c r="EF56" s="20"/>
      <c r="EG56" s="20"/>
      <c r="EH56" s="20"/>
    </row>
    <row r="57" spans="1:138" ht="15.75" customHeight="1">
      <c r="A57" s="259" t="s">
        <v>2525</v>
      </c>
      <c r="B57" s="663" t="s">
        <v>317</v>
      </c>
      <c r="C57" s="663" t="s">
        <v>317</v>
      </c>
      <c r="D57" s="663"/>
      <c r="E57" s="663" t="s">
        <v>39</v>
      </c>
      <c r="F57" s="663" t="s">
        <v>40</v>
      </c>
      <c r="G57" s="663" t="str">
        <f>VLOOKUP(WWWW[[#This Row],[Site Name]],SiteDB6[[Site Name]:[Location Type]],8,FALSE)</f>
        <v>Camp</v>
      </c>
      <c r="H57" s="77" t="s">
        <v>309</v>
      </c>
      <c r="I57" s="700">
        <v>443</v>
      </c>
      <c r="J57" s="700">
        <v>2338</v>
      </c>
      <c r="K57" s="642"/>
      <c r="L57" s="78"/>
      <c r="M57" s="700"/>
      <c r="N57" s="700"/>
      <c r="O57" s="700"/>
      <c r="P57" s="700"/>
      <c r="Q57" s="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215"/>
      <c r="AP57" s="377"/>
      <c r="AQ57" s="377"/>
      <c r="AR57" s="77"/>
      <c r="AS57" s="377"/>
      <c r="AT57" s="377"/>
      <c r="AU57" s="377"/>
      <c r="AV57" s="377"/>
      <c r="AW57" s="377"/>
      <c r="AX57" s="245"/>
      <c r="AY57" s="245"/>
      <c r="AZ57" s="377"/>
      <c r="BA57" s="377"/>
      <c r="BB57" s="377"/>
      <c r="BC57" s="215"/>
      <c r="BD57" s="377"/>
      <c r="BE57" s="377"/>
      <c r="BF57" s="377"/>
      <c r="BG57" s="377"/>
      <c r="BH57" s="377"/>
      <c r="BI57" s="377"/>
      <c r="BJ57" s="377"/>
      <c r="BK57" s="377"/>
      <c r="BL57" s="377"/>
      <c r="BM57" s="215"/>
      <c r="BN57" s="80"/>
      <c r="BO57" s="82"/>
      <c r="BP57" s="215"/>
      <c r="BQ57" s="79" t="str">
        <f>IFERROR(WWWW[[#This Row],['#_Water sources treated]]/WWWW[[#This Row],['#_Water sources tested for contamination]],"no test")</f>
        <v>no test</v>
      </c>
      <c r="BR57" s="82" t="str">
        <f>IFERROR(WWWW[[#This Row],['#_Household received remediation action due to contamination]]/WWWW[[#This Row],['#_Household water samples tested for contamination]],"no test")</f>
        <v>no test</v>
      </c>
      <c r="BS57" s="81" t="str">
        <f>IF(AND(WWWW[[#This Row],[% of water sources treated]]="no test",WWWW[[#This Row],[% Household received corrective actions]]="no test"),"No Test","Tested")</f>
        <v>No Test</v>
      </c>
      <c r="BT57" s="81">
        <f>WWWW[[#This Row],['#_Constructed/existing protected hand dug well]]-WWWW[[#This Row],['#_Non-functional protected hand dug well]]</f>
        <v>0</v>
      </c>
      <c r="BU57" s="81">
        <f>(WWWW[[#This Row],['#_Constructed/Existing tube wells/boreholes/handpumps_WASH_agency]]+WWWW[[#This Row],['#_Non-Cluster partner water tube-wells/boreholes/handpumps]])-WWWW[[#This Row],['#_Non-functional tube wells/boreholes/handpumps]]</f>
        <v>0</v>
      </c>
      <c r="BV57" s="81">
        <f>WWWW[[#This Row],['#_Constructed/Existingwater storage tank with gravity fed reticulation system]]-WWWW[[#This Row],['#_Non-functional storage tank gravity fed reticulation system]]</f>
        <v>0</v>
      </c>
      <c r="BW57" s="81">
        <f>WWWW[[#This Row],['#_Water boating or water trucking]]</f>
        <v>0</v>
      </c>
      <c r="BX57" s="81">
        <f>WWWW[[#This Row],['#_Constructed/Existing water distribution system from river or natural spring]]</f>
        <v>0</v>
      </c>
      <c r="BY57"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57"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57" s="82">
        <f>IF(WWWW[[#This Row],[Location Type 1]]="Village",WWWW[[#This Row],[Access to safe drinking water for Village]],WWWW[[#This Row],[Access to safe drinking water for Camp]])</f>
        <v>0</v>
      </c>
      <c r="CB57" s="80">
        <f>WWWW[[#This Row],[%Equitable and continuous access to sufficient quantity of safe drinking water]]*WWWW[[#This Row],[Total PoP ]]</f>
        <v>0</v>
      </c>
      <c r="CC57" s="82">
        <f>IF((WWWW[[#This Row],['#_Constructed/Existing protected/fenced ponds]]*250)/WWWW[[#This Row],[Total PoP ]]&gt;1,1,(WWWW[[#This Row],['#_Constructed/Existing protected/fenced ponds]]*250)/WWWW[[#This Row],[Total PoP ]])</f>
        <v>0</v>
      </c>
      <c r="CD57" s="80">
        <f>WWWW[[#This Row],[% Access to unimproved water points]]*WWWW[[#This Row],[Total PoP ]]</f>
        <v>0</v>
      </c>
      <c r="CE57"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57"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57" s="80">
        <f>WWWW[[#This Row],[HRP1]]/500</f>
        <v>0</v>
      </c>
      <c r="CH57" s="79">
        <f>1-WWWW[[#This Row],[% Equitable and continuous access to sufficient quantity of domestic water]]</f>
        <v>1</v>
      </c>
      <c r="CI57" s="80">
        <f>WWWW[[#This Row],[%equitable and continuous access to sufficient quantity of safe drinking and domestic water''s GAP]]*WWWW[[#This Row],[Total PoP ]]</f>
        <v>2338</v>
      </c>
      <c r="CJ57" s="81">
        <f>IF(WWWW[[#This Row],[Total required water points]]-WWWW[[#This Row],['#Water points coverage]]&lt;0,0,WWWW[[#This Row],[Total required water points]]-WWWW[[#This Row],['#Water points coverage]])</f>
        <v>5</v>
      </c>
      <c r="CK57" s="81">
        <f>ROUND(IF(WWWW[[#This Row],[Total PoP ]]&lt;500,1,WWWW[[#This Row],[Total PoP ]]/500),0)</f>
        <v>5</v>
      </c>
      <c r="CL57" s="81">
        <f>(WWWW[[#This Row],['#_Constructed latrines_by_WASHAgencies]]+WWWW[[#This Row],['#_Non Cluster partner latrines]])-WWWW[[#This Row],['#_Non-functional latrines]]</f>
        <v>0</v>
      </c>
      <c r="CM57"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57"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57"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7" s="81">
        <f>IF(WWWW[[#This Row],[Location Type 1]]="Village","NA",IF(WWWW[[#This Row],['#_Constructed/Existing latrines in TLS]]*50&gt;WWWW[[#This Row],['#_students at TLS_CFS]],WWWW[[#This Row],['#_students at TLS_CFS]],(WWWW[[#This Row],['#_Constructed/Existing latrines in TLS]]*50)))</f>
        <v>0</v>
      </c>
      <c r="CQ57" s="81">
        <f>ROUND(IF(WWWW[[#This Row],[Location Type 1]]="camp",WWWW[[#This Row],[Total PoP ]]/20,IF(WWWW[[#This Row],[Location Type 1]]="Temporary Location",WWWW[[#This Row],[Total PoP ]]/50,(WWWW[[#This Row],[Total PoP ]]/6))),0)</f>
        <v>117</v>
      </c>
      <c r="CR57" s="80">
        <f>IF(WWWW[[#This Row],[Total required Latrines]]-(WWWW[[#This Row],['#_Constructed latrines_by_WASHAgencies]]+WWWW[[#This Row],['#_Non Cluster partner latrines]])&lt;0,0,WWWW[[#This Row],[Total required Latrines]]-(WWWW[[#This Row],['#_Constructed latrines_by_WASHAgencies]]+WWWW[[#This Row],['#_Non Cluster partner latrines]]))</f>
        <v>117</v>
      </c>
      <c r="CS57" s="79">
        <f>1-WWWW[[#This Row],[% people access to functioning Latrine]]</f>
        <v>1</v>
      </c>
      <c r="CT57" s="83">
        <f>IF(OR(WWWW[[#This Row],['#_Non-functional latrines]]="",WWWW[[#This Row],['#_Non-functional latrines]]=0),0,WWWW[[#This Row],['#_Non-functional latrines]]/(WWWW[[#This Row],['#_Constructed latrines_by_WASHAgencies]]+WWWW[[#This Row],['#_Non Cluster partner latrines]]))</f>
        <v>0</v>
      </c>
      <c r="CU57" s="80">
        <f>IF(500*(WWWW[[#This Row],['#_male hygiene promoters]]+WWWW[[#This Row],['#_female hygiene promoters]])&gt;WWWW[[#This Row],[Total PoP ]],WWWW[[#This Row],[Total PoP ]],500*(WWWW[[#This Row],['#_male hygiene promoters]]+WWWW[[#This Row],['#_female hygiene promoters]]))</f>
        <v>0</v>
      </c>
      <c r="CV57"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7"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7" s="81">
        <f>IF(WWWW[[#This Row],['# People with access to soap]]&gt;WWWW[[#This Row],['# People with access to Sanity Pads]],WWWW[[#This Row],['# People with access to soap]],WWWW[[#This Row],['# People with access to Sanity Pads]])</f>
        <v>0</v>
      </c>
      <c r="CY57"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57" s="79">
        <f>IF(WWWW[[#This Row],[HRP3]]/WWWW[[#This Row],[Total PoP ]]&gt;100%,100%,WWWW[[#This Row],[HRP3]]/WWWW[[#This Row],[Total PoP ]])</f>
        <v>0</v>
      </c>
      <c r="DA57" s="83">
        <f>1-WWWW[[#This Row],[Hygiene Coverage%]]</f>
        <v>1</v>
      </c>
      <c r="DB57" s="82">
        <f>WWWW[[#This Row],['# people reached by regular dedicated hygiene promotion_5]]/WWWW[[#This Row],[Total PoP ]]</f>
        <v>0</v>
      </c>
      <c r="DC57" s="82">
        <f>IF(WWWW[[#This Row],['#_households that received standard amount of soap for this quarter]]/WWWW[[#This Row],[Total HH]]&gt;1,1,WWWW[[#This Row],['#_households that received standard amount of soap for this quarter]]/WWWW[[#This Row],[Total HH]])</f>
        <v>0</v>
      </c>
      <c r="DD57" s="82">
        <f>IF(WWWW[[#This Row],['#_households that received standard amount of sanitary pads for this quarter]]/WWWW[[#This Row],[Total HH]]&gt;1,1,WWWW[[#This Row],['#_households that received standard amount of sanitary pads for this quarter]]/WWWW[[#This Row],[Total HH]])</f>
        <v>0</v>
      </c>
      <c r="DE57" s="81">
        <f>WWWW[[#This Row],['#_Constructed/Existing hand washing stations]]-WWWW[[#This Row],['#_Non-Functional_hand_washing_stations]]</f>
        <v>0</v>
      </c>
      <c r="DF57" s="667">
        <f>IF(WWWW[[#This Row],['# Functional hand washing stations during reporting period]]*20&gt;WWWW[[#This Row],[Total HH]],WWWW[[#This Row],[Total HH]],WWWW[[#This Row],['# Functional hand washing stations during reporting period]]*20)</f>
        <v>0</v>
      </c>
      <c r="DG57" s="80">
        <f>IF(WWWW[[#This Row],[Is sufficient soap available for TLS? (Yes/No)]]="yes",WWWW[[#This Row],['#_Constructed/Existing hand washing stations at TLS]],0)</f>
        <v>0</v>
      </c>
      <c r="DH57" s="667">
        <f>IF(WWWW[[#This Row],['# Functional hand washing stations during reporting period]]*100&gt;WWWW[[#This Row],[Total PoP ]],WWWW[[#This Row],[Total PoP ]],WWWW[[#This Row],['# Functional hand washing stations during reporting period]]*100)</f>
        <v>0</v>
      </c>
      <c r="DI57" s="667" t="str">
        <f>IF(WWWW[[#This Row],['#_students at TLS_CFS]]="","No","Yes")</f>
        <v>No</v>
      </c>
      <c r="DJ57" s="245" t="str">
        <f>VLOOKUP(WWWW[[#This Row],[Site Name]],SiteDB6[[Site Name]:[CCCM Management]],6,FALSE)</f>
        <v>Yes</v>
      </c>
      <c r="DK57" s="245" t="str">
        <f>VLOOKUP(WWWW[[#This Row],[Site Name]],SiteDB6[[Site Name]:[CCCM Focal Agency]],7,FALSE)</f>
        <v>KMSS-BMO</v>
      </c>
      <c r="DL57" s="245" t="str">
        <f>VLOOKUP(WWWW[[#This Row],[Site Name]],SiteDB6[[Site Name]:[Location Type 1]],9,FALSE)</f>
        <v>Camp</v>
      </c>
      <c r="DM57" s="245" t="str">
        <f>VLOOKUP(WWWW[[#This Row],[Site Name]],SiteDB6[[Site Name]:[Type of Accommodation]],10,FALSE)</f>
        <v>Camp</v>
      </c>
      <c r="DN57" s="245" t="str">
        <f>VLOOKUP(WWWW[[#This Row],[Site Name]],SiteDB6[[Site Name]:[Ethnic or GCA/NGCA]],11,FALSE)</f>
        <v>GCA</v>
      </c>
      <c r="DO57" s="245">
        <f>VLOOKUP(WWWW[[#This Row],[Site Name]],SiteDB6[[Site Name]:[Lat]],12,FALSE)</f>
        <v>23.835319999999999</v>
      </c>
      <c r="DP57" s="245">
        <f>VLOOKUP(WWWW[[#This Row],[Site Name]],SiteDB6[[Site Name]:[Long]],13,FALSE)</f>
        <v>97.578490000000002</v>
      </c>
      <c r="DQ57" s="245" t="str">
        <f>VLOOKUP(WWWW[[#This Row],[Site Name]],SiteDB6[[Site Name]:[Pcode]],3,FALSE)</f>
        <v>MMR001CMP132</v>
      </c>
      <c r="DR57" s="215" t="str">
        <f t="shared" si="2"/>
        <v>Notcovered</v>
      </c>
      <c r="DS57" s="215"/>
      <c r="DT57" s="20"/>
      <c r="DU57" s="20"/>
      <c r="DV57" s="20"/>
      <c r="DW57" s="20"/>
      <c r="DX57" s="20"/>
      <c r="DY57" s="20"/>
      <c r="DZ57" s="20"/>
      <c r="EA57" s="20"/>
      <c r="EB57" s="20"/>
      <c r="EC57" s="20"/>
      <c r="ED57" s="20"/>
      <c r="EE57" s="20"/>
      <c r="EF57" s="20"/>
      <c r="EG57" s="20"/>
      <c r="EH57" s="20"/>
    </row>
    <row r="58" spans="1:138" ht="15.75" customHeight="1">
      <c r="A58" s="259" t="s">
        <v>2525</v>
      </c>
      <c r="B58" s="663" t="s">
        <v>317</v>
      </c>
      <c r="C58" s="663" t="s">
        <v>317</v>
      </c>
      <c r="D58" s="663"/>
      <c r="E58" s="663" t="s">
        <v>39</v>
      </c>
      <c r="F58" s="663" t="s">
        <v>40</v>
      </c>
      <c r="G58" s="663" t="str">
        <f>VLOOKUP(WWWW[[#This Row],[Site Name]],SiteDB6[[Site Name]:[Location Type]],8,FALSE)</f>
        <v>Camp</v>
      </c>
      <c r="H58" s="77" t="s">
        <v>310</v>
      </c>
      <c r="I58" s="700">
        <v>119</v>
      </c>
      <c r="J58" s="700">
        <v>637</v>
      </c>
      <c r="K58" s="642"/>
      <c r="L58" s="78"/>
      <c r="M58" s="378"/>
      <c r="N58" s="700"/>
      <c r="O58" s="700"/>
      <c r="P58" s="700"/>
      <c r="Q58" s="77"/>
      <c r="R58" s="377"/>
      <c r="S58" s="377"/>
      <c r="T58" s="377"/>
      <c r="U58" s="377"/>
      <c r="V58" s="377"/>
      <c r="W58" s="377"/>
      <c r="X58" s="377"/>
      <c r="Y58" s="377"/>
      <c r="Z58" s="377"/>
      <c r="AA58" s="377"/>
      <c r="AB58" s="377"/>
      <c r="AC58" s="377"/>
      <c r="AD58" s="377"/>
      <c r="AE58" s="377"/>
      <c r="AF58" s="377"/>
      <c r="AG58" s="377"/>
      <c r="AH58" s="377"/>
      <c r="AI58" s="377"/>
      <c r="AJ58" s="377"/>
      <c r="AK58" s="377"/>
      <c r="AL58" s="377"/>
      <c r="AM58" s="377"/>
      <c r="AN58" s="377"/>
      <c r="AO58" s="215"/>
      <c r="AP58" s="377"/>
      <c r="AQ58" s="377"/>
      <c r="AR58" s="77"/>
      <c r="AS58" s="377"/>
      <c r="AT58" s="377"/>
      <c r="AU58" s="377"/>
      <c r="AV58" s="377"/>
      <c r="AW58" s="377"/>
      <c r="AX58" s="245"/>
      <c r="AY58" s="245"/>
      <c r="AZ58" s="377"/>
      <c r="BA58" s="377"/>
      <c r="BB58" s="377"/>
      <c r="BC58" s="215"/>
      <c r="BD58" s="377"/>
      <c r="BE58" s="377"/>
      <c r="BF58" s="377"/>
      <c r="BG58" s="377"/>
      <c r="BH58" s="377"/>
      <c r="BI58" s="377"/>
      <c r="BJ58" s="377"/>
      <c r="BK58" s="377"/>
      <c r="BL58" s="377"/>
      <c r="BM58" s="215"/>
      <c r="BN58" s="80"/>
      <c r="BO58" s="82"/>
      <c r="BP58" s="215"/>
      <c r="BQ58" s="79" t="str">
        <f>IFERROR(WWWW[[#This Row],['#_Water sources treated]]/WWWW[[#This Row],['#_Water sources tested for contamination]],"no test")</f>
        <v>no test</v>
      </c>
      <c r="BR58" s="82" t="str">
        <f>IFERROR(WWWW[[#This Row],['#_Household received remediation action due to contamination]]/WWWW[[#This Row],['#_Household water samples tested for contamination]],"no test")</f>
        <v>no test</v>
      </c>
      <c r="BS58" s="81" t="str">
        <f>IF(AND(WWWW[[#This Row],[% of water sources treated]]="no test",WWWW[[#This Row],[% Household received corrective actions]]="no test"),"No Test","Tested")</f>
        <v>No Test</v>
      </c>
      <c r="BT58" s="81">
        <f>WWWW[[#This Row],['#_Constructed/existing protected hand dug well]]-WWWW[[#This Row],['#_Non-functional protected hand dug well]]</f>
        <v>0</v>
      </c>
      <c r="BU58" s="81">
        <f>(WWWW[[#This Row],['#_Constructed/Existing tube wells/boreholes/handpumps_WASH_agency]]+WWWW[[#This Row],['#_Non-Cluster partner water tube-wells/boreholes/handpumps]])-WWWW[[#This Row],['#_Non-functional tube wells/boreholes/handpumps]]</f>
        <v>0</v>
      </c>
      <c r="BV58" s="81">
        <f>WWWW[[#This Row],['#_Constructed/Existingwater storage tank with gravity fed reticulation system]]-WWWW[[#This Row],['#_Non-functional storage tank gravity fed reticulation system]]</f>
        <v>0</v>
      </c>
      <c r="BW58" s="81">
        <f>WWWW[[#This Row],['#_Water boating or water trucking]]</f>
        <v>0</v>
      </c>
      <c r="BX58" s="81">
        <f>WWWW[[#This Row],['#_Constructed/Existing water distribution system from river or natural spring]]</f>
        <v>0</v>
      </c>
      <c r="BY58"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58"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58" s="82">
        <f>IF(WWWW[[#This Row],[Location Type 1]]="Village",WWWW[[#This Row],[Access to safe drinking water for Village]],WWWW[[#This Row],[Access to safe drinking water for Camp]])</f>
        <v>0</v>
      </c>
      <c r="CB58" s="80">
        <f>WWWW[[#This Row],[%Equitable and continuous access to sufficient quantity of safe drinking water]]*WWWW[[#This Row],[Total PoP ]]</f>
        <v>0</v>
      </c>
      <c r="CC58" s="82">
        <f>IF((WWWW[[#This Row],['#_Constructed/Existing protected/fenced ponds]]*250)/WWWW[[#This Row],[Total PoP ]]&gt;1,1,(WWWW[[#This Row],['#_Constructed/Existing protected/fenced ponds]]*250)/WWWW[[#This Row],[Total PoP ]])</f>
        <v>0</v>
      </c>
      <c r="CD58" s="80">
        <f>WWWW[[#This Row],[% Access to unimproved water points]]*WWWW[[#This Row],[Total PoP ]]</f>
        <v>0</v>
      </c>
      <c r="CE58"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58"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58" s="80">
        <f>WWWW[[#This Row],[HRP1]]/500</f>
        <v>0</v>
      </c>
      <c r="CH58" s="79">
        <f>1-WWWW[[#This Row],[% Equitable and continuous access to sufficient quantity of domestic water]]</f>
        <v>1</v>
      </c>
      <c r="CI58" s="80">
        <f>WWWW[[#This Row],[%equitable and continuous access to sufficient quantity of safe drinking and domestic water''s GAP]]*WWWW[[#This Row],[Total PoP ]]</f>
        <v>637</v>
      </c>
      <c r="CJ58" s="81">
        <f>IF(WWWW[[#This Row],[Total required water points]]-WWWW[[#This Row],['#Water points coverage]]&lt;0,0,WWWW[[#This Row],[Total required water points]]-WWWW[[#This Row],['#Water points coverage]])</f>
        <v>1</v>
      </c>
      <c r="CK58" s="81">
        <f>ROUND(IF(WWWW[[#This Row],[Total PoP ]]&lt;500,1,WWWW[[#This Row],[Total PoP ]]/500),0)</f>
        <v>1</v>
      </c>
      <c r="CL58" s="81">
        <f>(WWWW[[#This Row],['#_Constructed latrines_by_WASHAgencies]]+WWWW[[#This Row],['#_Non Cluster partner latrines]])-WWWW[[#This Row],['#_Non-functional latrines]]</f>
        <v>0</v>
      </c>
      <c r="CM58"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58"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58"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8" s="81">
        <f>IF(WWWW[[#This Row],[Location Type 1]]="Village","NA",IF(WWWW[[#This Row],['#_Constructed/Existing latrines in TLS]]*50&gt;WWWW[[#This Row],['#_students at TLS_CFS]],WWWW[[#This Row],['#_students at TLS_CFS]],(WWWW[[#This Row],['#_Constructed/Existing latrines in TLS]]*50)))</f>
        <v>0</v>
      </c>
      <c r="CQ58" s="81">
        <f>ROUND(IF(WWWW[[#This Row],[Location Type 1]]="camp",WWWW[[#This Row],[Total PoP ]]/20,IF(WWWW[[#This Row],[Location Type 1]]="Temporary Location",WWWW[[#This Row],[Total PoP ]]/50,(WWWW[[#This Row],[Total PoP ]]/6))),0)</f>
        <v>32</v>
      </c>
      <c r="CR58" s="80">
        <f>IF(WWWW[[#This Row],[Total required Latrines]]-(WWWW[[#This Row],['#_Constructed latrines_by_WASHAgencies]]+WWWW[[#This Row],['#_Non Cluster partner latrines]])&lt;0,0,WWWW[[#This Row],[Total required Latrines]]-(WWWW[[#This Row],['#_Constructed latrines_by_WASHAgencies]]+WWWW[[#This Row],['#_Non Cluster partner latrines]]))</f>
        <v>32</v>
      </c>
      <c r="CS58" s="79">
        <f>1-WWWW[[#This Row],[% people access to functioning Latrine]]</f>
        <v>1</v>
      </c>
      <c r="CT58" s="83">
        <f>IF(OR(WWWW[[#This Row],['#_Non-functional latrines]]="",WWWW[[#This Row],['#_Non-functional latrines]]=0),0,WWWW[[#This Row],['#_Non-functional latrines]]/(WWWW[[#This Row],['#_Constructed latrines_by_WASHAgencies]]+WWWW[[#This Row],['#_Non Cluster partner latrines]]))</f>
        <v>0</v>
      </c>
      <c r="CU58" s="80">
        <f>IF(500*(WWWW[[#This Row],['#_male hygiene promoters]]+WWWW[[#This Row],['#_female hygiene promoters]])&gt;WWWW[[#This Row],[Total PoP ]],WWWW[[#This Row],[Total PoP ]],500*(WWWW[[#This Row],['#_male hygiene promoters]]+WWWW[[#This Row],['#_female hygiene promoters]]))</f>
        <v>0</v>
      </c>
      <c r="CV58"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8"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8" s="81">
        <f>IF(WWWW[[#This Row],['# People with access to soap]]&gt;WWWW[[#This Row],['# People with access to Sanity Pads]],WWWW[[#This Row],['# People with access to soap]],WWWW[[#This Row],['# People with access to Sanity Pads]])</f>
        <v>0</v>
      </c>
      <c r="CY58"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58" s="79">
        <f>IF(WWWW[[#This Row],[HRP3]]/WWWW[[#This Row],[Total PoP ]]&gt;100%,100%,WWWW[[#This Row],[HRP3]]/WWWW[[#This Row],[Total PoP ]])</f>
        <v>0</v>
      </c>
      <c r="DA58" s="83">
        <f>1-WWWW[[#This Row],[Hygiene Coverage%]]</f>
        <v>1</v>
      </c>
      <c r="DB58" s="82">
        <f>WWWW[[#This Row],['# people reached by regular dedicated hygiene promotion_5]]/WWWW[[#This Row],[Total PoP ]]</f>
        <v>0</v>
      </c>
      <c r="DC58" s="82">
        <f>IF(WWWW[[#This Row],['#_households that received standard amount of soap for this quarter]]/WWWW[[#This Row],[Total HH]]&gt;1,1,WWWW[[#This Row],['#_households that received standard amount of soap for this quarter]]/WWWW[[#This Row],[Total HH]])</f>
        <v>0</v>
      </c>
      <c r="DD58" s="82">
        <f>IF(WWWW[[#This Row],['#_households that received standard amount of sanitary pads for this quarter]]/WWWW[[#This Row],[Total HH]]&gt;1,1,WWWW[[#This Row],['#_households that received standard amount of sanitary pads for this quarter]]/WWWW[[#This Row],[Total HH]])</f>
        <v>0</v>
      </c>
      <c r="DE58" s="81">
        <f>WWWW[[#This Row],['#_Constructed/Existing hand washing stations]]-WWWW[[#This Row],['#_Non-Functional_hand_washing_stations]]</f>
        <v>0</v>
      </c>
      <c r="DF58" s="667">
        <f>IF(WWWW[[#This Row],['# Functional hand washing stations during reporting period]]*20&gt;WWWW[[#This Row],[Total HH]],WWWW[[#This Row],[Total HH]],WWWW[[#This Row],['# Functional hand washing stations during reporting period]]*20)</f>
        <v>0</v>
      </c>
      <c r="DG58" s="80">
        <f>IF(WWWW[[#This Row],[Is sufficient soap available for TLS? (Yes/No)]]="yes",WWWW[[#This Row],['#_Constructed/Existing hand washing stations at TLS]],0)</f>
        <v>0</v>
      </c>
      <c r="DH58" s="667">
        <f>IF(WWWW[[#This Row],['# Functional hand washing stations during reporting period]]*100&gt;WWWW[[#This Row],[Total PoP ]],WWWW[[#This Row],[Total PoP ]],WWWW[[#This Row],['# Functional hand washing stations during reporting period]]*100)</f>
        <v>0</v>
      </c>
      <c r="DI58" s="667" t="str">
        <f>IF(WWWW[[#This Row],['#_students at TLS_CFS]]="","No","Yes")</f>
        <v>No</v>
      </c>
      <c r="DJ58" s="245" t="str">
        <f>VLOOKUP(WWWW[[#This Row],[Site Name]],SiteDB6[[Site Name]:[CCCM Management]],6,FALSE)</f>
        <v>Yes</v>
      </c>
      <c r="DK58" s="245" t="str">
        <f>VLOOKUP(WWWW[[#This Row],[Site Name]],SiteDB6[[Site Name]:[CCCM Focal Agency]],7,FALSE)</f>
        <v>KMSS-BMO</v>
      </c>
      <c r="DL58" s="245" t="str">
        <f>VLOOKUP(WWWW[[#This Row],[Site Name]],SiteDB6[[Site Name]:[Location Type 1]],9,FALSE)</f>
        <v>Camp</v>
      </c>
      <c r="DM58" s="245" t="str">
        <f>VLOOKUP(WWWW[[#This Row],[Site Name]],SiteDB6[[Site Name]:[Type of Accommodation]],10,FALSE)</f>
        <v>Camp</v>
      </c>
      <c r="DN58" s="245" t="str">
        <f>VLOOKUP(WWWW[[#This Row],[Site Name]],SiteDB6[[Site Name]:[Ethnic or GCA/NGCA]],11,FALSE)</f>
        <v>GCA</v>
      </c>
      <c r="DO58" s="245">
        <f>VLOOKUP(WWWW[[#This Row],[Site Name]],SiteDB6[[Site Name]:[Lat]],12,FALSE)</f>
        <v>23.833477999999999</v>
      </c>
      <c r="DP58" s="245">
        <f>VLOOKUP(WWWW[[#This Row],[Site Name]],SiteDB6[[Site Name]:[Long]],13,FALSE)</f>
        <v>97.578367</v>
      </c>
      <c r="DQ58" s="245" t="str">
        <f>VLOOKUP(WWWW[[#This Row],[Site Name]],SiteDB6[[Site Name]:[Pcode]],3,FALSE)</f>
        <v>MMR001CMP228</v>
      </c>
      <c r="DR58" s="215" t="str">
        <f t="shared" si="2"/>
        <v>Notcovered</v>
      </c>
      <c r="DS58" s="215"/>
      <c r="DT58" s="20"/>
      <c r="DU58" s="20"/>
      <c r="DV58" s="20"/>
      <c r="DW58" s="20"/>
      <c r="DX58" s="20"/>
      <c r="DY58" s="20"/>
      <c r="DZ58" s="20"/>
      <c r="EA58" s="20"/>
      <c r="EB58" s="20"/>
      <c r="EC58" s="20"/>
      <c r="ED58" s="20"/>
      <c r="EE58" s="20"/>
      <c r="EF58" s="20"/>
      <c r="EG58" s="20"/>
      <c r="EH58" s="20"/>
    </row>
    <row r="59" spans="1:138" ht="15.75" customHeight="1">
      <c r="A59" s="259" t="s">
        <v>2525</v>
      </c>
      <c r="B59" s="663" t="s">
        <v>317</v>
      </c>
      <c r="C59" s="663" t="s">
        <v>317</v>
      </c>
      <c r="D59" s="74"/>
      <c r="E59" s="663" t="s">
        <v>39</v>
      </c>
      <c r="F59" s="663" t="s">
        <v>40</v>
      </c>
      <c r="G59" s="663" t="str">
        <f>VLOOKUP(WWWW[[#This Row],[Site Name]],SiteDB6[[Site Name]:[Location Type]],8,FALSE)</f>
        <v>Camp</v>
      </c>
      <c r="H59" s="77" t="s">
        <v>991</v>
      </c>
      <c r="I59" s="700">
        <v>175</v>
      </c>
      <c r="J59" s="700">
        <v>834</v>
      </c>
      <c r="K59" s="642"/>
      <c r="L59" s="78"/>
      <c r="M59" s="378"/>
      <c r="N59" s="700"/>
      <c r="O59" s="700"/>
      <c r="P59" s="700"/>
      <c r="Q59" s="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215"/>
      <c r="AP59" s="377"/>
      <c r="AQ59" s="377"/>
      <c r="AR59" s="77"/>
      <c r="AS59" s="377"/>
      <c r="AT59" s="377"/>
      <c r="AU59" s="377"/>
      <c r="AV59" s="377"/>
      <c r="AW59" s="377"/>
      <c r="AX59" s="245"/>
      <c r="AY59" s="245"/>
      <c r="AZ59" s="377"/>
      <c r="BA59" s="377"/>
      <c r="BB59" s="377"/>
      <c r="BC59" s="215"/>
      <c r="BD59" s="377"/>
      <c r="BE59" s="377"/>
      <c r="BF59" s="377"/>
      <c r="BG59" s="377"/>
      <c r="BH59" s="377"/>
      <c r="BI59" s="377"/>
      <c r="BJ59" s="377"/>
      <c r="BK59" s="377"/>
      <c r="BL59" s="377"/>
      <c r="BM59" s="215"/>
      <c r="BN59" s="80"/>
      <c r="BO59" s="82"/>
      <c r="BP59" s="215"/>
      <c r="BQ59" s="79" t="str">
        <f>IFERROR(WWWW[[#This Row],['#_Water sources treated]]/WWWW[[#This Row],['#_Water sources tested for contamination]],"no test")</f>
        <v>no test</v>
      </c>
      <c r="BR59" s="82" t="str">
        <f>IFERROR(WWWW[[#This Row],['#_Household received remediation action due to contamination]]/WWWW[[#This Row],['#_Household water samples tested for contamination]],"no test")</f>
        <v>no test</v>
      </c>
      <c r="BS59" s="81" t="str">
        <f>IF(AND(WWWW[[#This Row],[% of water sources treated]]="no test",WWWW[[#This Row],[% Household received corrective actions]]="no test"),"No Test","Tested")</f>
        <v>No Test</v>
      </c>
      <c r="BT59" s="81">
        <f>WWWW[[#This Row],['#_Constructed/existing protected hand dug well]]-WWWW[[#This Row],['#_Non-functional protected hand dug well]]</f>
        <v>0</v>
      </c>
      <c r="BU59" s="81">
        <f>(WWWW[[#This Row],['#_Constructed/Existing tube wells/boreholes/handpumps_WASH_agency]]+WWWW[[#This Row],['#_Non-Cluster partner water tube-wells/boreholes/handpumps]])-WWWW[[#This Row],['#_Non-functional tube wells/boreholes/handpumps]]</f>
        <v>0</v>
      </c>
      <c r="BV59" s="81">
        <f>WWWW[[#This Row],['#_Constructed/Existingwater storage tank with gravity fed reticulation system]]-WWWW[[#This Row],['#_Non-functional storage tank gravity fed reticulation system]]</f>
        <v>0</v>
      </c>
      <c r="BW59" s="81">
        <f>WWWW[[#This Row],['#_Water boating or water trucking]]</f>
        <v>0</v>
      </c>
      <c r="BX59" s="81">
        <f>WWWW[[#This Row],['#_Constructed/Existing water distribution system from river or natural spring]]</f>
        <v>0</v>
      </c>
      <c r="BY59"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59"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59" s="82">
        <f>IF(WWWW[[#This Row],[Location Type 1]]="Village",WWWW[[#This Row],[Access to safe drinking water for Village]],WWWW[[#This Row],[Access to safe drinking water for Camp]])</f>
        <v>0</v>
      </c>
      <c r="CB59" s="80">
        <f>WWWW[[#This Row],[%Equitable and continuous access to sufficient quantity of safe drinking water]]*WWWW[[#This Row],[Total PoP ]]</f>
        <v>0</v>
      </c>
      <c r="CC59" s="82">
        <f>IF((WWWW[[#This Row],['#_Constructed/Existing protected/fenced ponds]]*250)/WWWW[[#This Row],[Total PoP ]]&gt;1,1,(WWWW[[#This Row],['#_Constructed/Existing protected/fenced ponds]]*250)/WWWW[[#This Row],[Total PoP ]])</f>
        <v>0</v>
      </c>
      <c r="CD59" s="80">
        <f>WWWW[[#This Row],[% Access to unimproved water points]]*WWWW[[#This Row],[Total PoP ]]</f>
        <v>0</v>
      </c>
      <c r="CE59"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59"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59" s="80">
        <f>WWWW[[#This Row],[HRP1]]/500</f>
        <v>0</v>
      </c>
      <c r="CH59" s="79">
        <f>1-WWWW[[#This Row],[% Equitable and continuous access to sufficient quantity of domestic water]]</f>
        <v>1</v>
      </c>
      <c r="CI59" s="80">
        <f>WWWW[[#This Row],[%equitable and continuous access to sufficient quantity of safe drinking and domestic water''s GAP]]*WWWW[[#This Row],[Total PoP ]]</f>
        <v>834</v>
      </c>
      <c r="CJ59" s="81">
        <f>IF(WWWW[[#This Row],[Total required water points]]-WWWW[[#This Row],['#Water points coverage]]&lt;0,0,WWWW[[#This Row],[Total required water points]]-WWWW[[#This Row],['#Water points coverage]])</f>
        <v>2</v>
      </c>
      <c r="CK59" s="81">
        <f>ROUND(IF(WWWW[[#This Row],[Total PoP ]]&lt;500,1,WWWW[[#This Row],[Total PoP ]]/500),0)</f>
        <v>2</v>
      </c>
      <c r="CL59" s="81">
        <f>(WWWW[[#This Row],['#_Constructed latrines_by_WASHAgencies]]+WWWW[[#This Row],['#_Non Cluster partner latrines]])-WWWW[[#This Row],['#_Non-functional latrines]]</f>
        <v>0</v>
      </c>
      <c r="CM59"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59"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59"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9" s="81">
        <f>IF(WWWW[[#This Row],[Location Type 1]]="Village","NA",IF(WWWW[[#This Row],['#_Constructed/Existing latrines in TLS]]*50&gt;WWWW[[#This Row],['#_students at TLS_CFS]],WWWW[[#This Row],['#_students at TLS_CFS]],(WWWW[[#This Row],['#_Constructed/Existing latrines in TLS]]*50)))</f>
        <v>0</v>
      </c>
      <c r="CQ59" s="81">
        <f>ROUND(IF(WWWW[[#This Row],[Location Type 1]]="camp",WWWW[[#This Row],[Total PoP ]]/20,IF(WWWW[[#This Row],[Location Type 1]]="Temporary Location",WWWW[[#This Row],[Total PoP ]]/50,(WWWW[[#This Row],[Total PoP ]]/6))),0)</f>
        <v>42</v>
      </c>
      <c r="CR59" s="80">
        <f>IF(WWWW[[#This Row],[Total required Latrines]]-(WWWW[[#This Row],['#_Constructed latrines_by_WASHAgencies]]+WWWW[[#This Row],['#_Non Cluster partner latrines]])&lt;0,0,WWWW[[#This Row],[Total required Latrines]]-(WWWW[[#This Row],['#_Constructed latrines_by_WASHAgencies]]+WWWW[[#This Row],['#_Non Cluster partner latrines]]))</f>
        <v>42</v>
      </c>
      <c r="CS59" s="79">
        <f>1-WWWW[[#This Row],[% people access to functioning Latrine]]</f>
        <v>1</v>
      </c>
      <c r="CT59" s="83">
        <f>IF(OR(WWWW[[#This Row],['#_Non-functional latrines]]="",WWWW[[#This Row],['#_Non-functional latrines]]=0),0,WWWW[[#This Row],['#_Non-functional latrines]]/(WWWW[[#This Row],['#_Constructed latrines_by_WASHAgencies]]+WWWW[[#This Row],['#_Non Cluster partner latrines]]))</f>
        <v>0</v>
      </c>
      <c r="CU59" s="80">
        <f>IF(500*(WWWW[[#This Row],['#_male hygiene promoters]]+WWWW[[#This Row],['#_female hygiene promoters]])&gt;WWWW[[#This Row],[Total PoP ]],WWWW[[#This Row],[Total PoP ]],500*(WWWW[[#This Row],['#_male hygiene promoters]]+WWWW[[#This Row],['#_female hygiene promoters]]))</f>
        <v>0</v>
      </c>
      <c r="CV59"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9"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9" s="81">
        <f>IF(WWWW[[#This Row],['# People with access to soap]]&gt;WWWW[[#This Row],['# People with access to Sanity Pads]],WWWW[[#This Row],['# People with access to soap]],WWWW[[#This Row],['# People with access to Sanity Pads]])</f>
        <v>0</v>
      </c>
      <c r="CY59"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59" s="79">
        <f>IF(WWWW[[#This Row],[HRP3]]/WWWW[[#This Row],[Total PoP ]]&gt;100%,100%,WWWW[[#This Row],[HRP3]]/WWWW[[#This Row],[Total PoP ]])</f>
        <v>0</v>
      </c>
      <c r="DA59" s="83">
        <f>1-WWWW[[#This Row],[Hygiene Coverage%]]</f>
        <v>1</v>
      </c>
      <c r="DB59" s="82">
        <f>WWWW[[#This Row],['# people reached by regular dedicated hygiene promotion_5]]/WWWW[[#This Row],[Total PoP ]]</f>
        <v>0</v>
      </c>
      <c r="DC59" s="82">
        <f>IF(WWWW[[#This Row],['#_households that received standard amount of soap for this quarter]]/WWWW[[#This Row],[Total HH]]&gt;1,1,WWWW[[#This Row],['#_households that received standard amount of soap for this quarter]]/WWWW[[#This Row],[Total HH]])</f>
        <v>0</v>
      </c>
      <c r="DD59" s="82">
        <f>IF(WWWW[[#This Row],['#_households that received standard amount of sanitary pads for this quarter]]/WWWW[[#This Row],[Total HH]]&gt;1,1,WWWW[[#This Row],['#_households that received standard amount of sanitary pads for this quarter]]/WWWW[[#This Row],[Total HH]])</f>
        <v>0</v>
      </c>
      <c r="DE59" s="81">
        <f>WWWW[[#This Row],['#_Constructed/Existing hand washing stations]]-WWWW[[#This Row],['#_Non-Functional_hand_washing_stations]]</f>
        <v>0</v>
      </c>
      <c r="DF59" s="667">
        <f>IF(WWWW[[#This Row],['# Functional hand washing stations during reporting period]]*20&gt;WWWW[[#This Row],[Total HH]],WWWW[[#This Row],[Total HH]],WWWW[[#This Row],['# Functional hand washing stations during reporting period]]*20)</f>
        <v>0</v>
      </c>
      <c r="DG59" s="80">
        <f>IF(WWWW[[#This Row],[Is sufficient soap available for TLS? (Yes/No)]]="yes",WWWW[[#This Row],['#_Constructed/Existing hand washing stations at TLS]],0)</f>
        <v>0</v>
      </c>
      <c r="DH59" s="667">
        <f>IF(WWWW[[#This Row],['# Functional hand washing stations during reporting period]]*100&gt;WWWW[[#This Row],[Total PoP ]],WWWW[[#This Row],[Total PoP ]],WWWW[[#This Row],['# Functional hand washing stations during reporting period]]*100)</f>
        <v>0</v>
      </c>
      <c r="DI59" s="667" t="str">
        <f>IF(WWWW[[#This Row],['#_students at TLS_CFS]]="","No","Yes")</f>
        <v>No</v>
      </c>
      <c r="DJ59" s="245">
        <f>VLOOKUP(WWWW[[#This Row],[Site Name]],SiteDB6[[Site Name]:[CCCM Management]],6,FALSE)</f>
        <v>0</v>
      </c>
      <c r="DK59" s="245" t="str">
        <f>VLOOKUP(WWWW[[#This Row],[Site Name]],SiteDB6[[Site Name]:[CCCM Focal Agency]],7,FALSE)</f>
        <v>uncovered</v>
      </c>
      <c r="DL59" s="245" t="str">
        <f>VLOOKUP(WWWW[[#This Row],[Site Name]],SiteDB6[[Site Name]:[Location Type 1]],9,FALSE)</f>
        <v>Camp</v>
      </c>
      <c r="DM59" s="245" t="str">
        <f>VLOOKUP(WWWW[[#This Row],[Site Name]],SiteDB6[[Site Name]:[Type of Accommodation]],10,FALSE)</f>
        <v>Host Families</v>
      </c>
      <c r="DN59" s="245" t="str">
        <f>VLOOKUP(WWWW[[#This Row],[Site Name]],SiteDB6[[Site Name]:[Ethnic or GCA/NGCA]],11,FALSE)</f>
        <v>GCA</v>
      </c>
      <c r="DO59" s="245">
        <f>VLOOKUP(WWWW[[#This Row],[Site Name]],SiteDB6[[Site Name]:[Lat]],12,FALSE)</f>
        <v>23.827870999999998</v>
      </c>
      <c r="DP59" s="245">
        <f>VLOOKUP(WWWW[[#This Row],[Site Name]],SiteDB6[[Site Name]:[Long]],13,FALSE)</f>
        <v>97.588291999999996</v>
      </c>
      <c r="DQ59" s="245" t="str">
        <f>VLOOKUP(WWWW[[#This Row],[Site Name]],SiteDB6[[Site Name]:[Pcode]],3,FALSE)</f>
        <v>MMR001CMP134</v>
      </c>
      <c r="DR59" s="215" t="str">
        <f t="shared" si="2"/>
        <v>Notcovered</v>
      </c>
      <c r="DS59" s="215"/>
      <c r="DT59" s="20"/>
      <c r="DU59" s="20"/>
      <c r="DV59" s="20"/>
      <c r="DW59" s="20"/>
      <c r="DX59" s="20"/>
      <c r="DY59" s="20"/>
      <c r="DZ59" s="20"/>
      <c r="EA59" s="20"/>
      <c r="EB59" s="20"/>
      <c r="EC59" s="20"/>
      <c r="ED59" s="20"/>
      <c r="EE59" s="20"/>
      <c r="EF59" s="20"/>
      <c r="EG59" s="20"/>
      <c r="EH59" s="20"/>
    </row>
    <row r="60" spans="1:138" ht="15.75" customHeight="1">
      <c r="A60" s="259" t="s">
        <v>2525</v>
      </c>
      <c r="B60" s="663" t="s">
        <v>200</v>
      </c>
      <c r="C60" s="663" t="s">
        <v>200</v>
      </c>
      <c r="D60" s="663" t="s">
        <v>2967</v>
      </c>
      <c r="E60" s="663" t="s">
        <v>39</v>
      </c>
      <c r="F60" s="663" t="s">
        <v>213</v>
      </c>
      <c r="G60" s="663" t="str">
        <f>VLOOKUP(WWWW[[#This Row],[Site Name]],SiteDB6[[Site Name]:[Location Type]],8,FALSE)</f>
        <v>Camp_not registered</v>
      </c>
      <c r="H60" s="663" t="s">
        <v>217</v>
      </c>
      <c r="I60" s="379">
        <v>19</v>
      </c>
      <c r="J60" s="379">
        <v>94</v>
      </c>
      <c r="K60" s="642">
        <v>43466</v>
      </c>
      <c r="L60" s="78">
        <v>43830</v>
      </c>
      <c r="M60" s="378"/>
      <c r="N60" s="700"/>
      <c r="O60" s="700"/>
      <c r="P60" s="700"/>
      <c r="Q60" s="77" t="s">
        <v>144</v>
      </c>
      <c r="R60" s="377"/>
      <c r="S60" s="377"/>
      <c r="T60" s="377"/>
      <c r="U60" s="377"/>
      <c r="V60" s="377"/>
      <c r="W60" s="377"/>
      <c r="X60" s="377">
        <v>1</v>
      </c>
      <c r="Y60" s="377"/>
      <c r="Z60" s="377"/>
      <c r="AA60" s="377"/>
      <c r="AB60" s="377"/>
      <c r="AC60" s="377"/>
      <c r="AD60" s="377"/>
      <c r="AE60" s="377"/>
      <c r="AF60" s="377"/>
      <c r="AG60" s="377"/>
      <c r="AH60" s="377"/>
      <c r="AI60" s="377"/>
      <c r="AJ60" s="377"/>
      <c r="AK60" s="377"/>
      <c r="AL60" s="377"/>
      <c r="AM60" s="377"/>
      <c r="AN60" s="377"/>
      <c r="AO60" s="215"/>
      <c r="AP60" s="377">
        <v>5</v>
      </c>
      <c r="AQ60" s="377"/>
      <c r="AR60" s="77"/>
      <c r="AS60" s="377"/>
      <c r="AT60" s="377"/>
      <c r="AU60" s="377"/>
      <c r="AV60" s="377"/>
      <c r="AW60" s="377"/>
      <c r="AX60" s="694" t="s">
        <v>43</v>
      </c>
      <c r="AY60" s="694" t="s">
        <v>145</v>
      </c>
      <c r="AZ60" s="377"/>
      <c r="BA60" s="377"/>
      <c r="BB60" s="377"/>
      <c r="BC60" s="215"/>
      <c r="BD60" s="377">
        <v>2</v>
      </c>
      <c r="BE60" s="377"/>
      <c r="BF60" s="377"/>
      <c r="BG60" s="377">
        <v>1</v>
      </c>
      <c r="BH60" s="377"/>
      <c r="BI60" s="377"/>
      <c r="BJ60" s="377"/>
      <c r="BK60" s="377"/>
      <c r="BL60" s="377"/>
      <c r="BM60" s="215"/>
      <c r="BN60" s="80"/>
      <c r="BO60" s="82"/>
      <c r="BP60" s="215"/>
      <c r="BQ60" s="79" t="str">
        <f>IFERROR(WWWW[[#This Row],['#_Water sources treated]]/WWWW[[#This Row],['#_Water sources tested for contamination]],"no test")</f>
        <v>no test</v>
      </c>
      <c r="BR60" s="82" t="str">
        <f>IFERROR(WWWW[[#This Row],['#_Household received remediation action due to contamination]]/WWWW[[#This Row],['#_Household water samples tested for contamination]],"no test")</f>
        <v>no test</v>
      </c>
      <c r="BS60" s="81" t="str">
        <f>IF(AND(WWWW[[#This Row],[% of water sources treated]]="no test",WWWW[[#This Row],[% Household received corrective actions]]="no test"),"No Test","Tested")</f>
        <v>No Test</v>
      </c>
      <c r="BT60" s="81">
        <f>WWWW[[#This Row],['#_Constructed/existing protected hand dug well]]-WWWW[[#This Row],['#_Non-functional protected hand dug well]]</f>
        <v>0</v>
      </c>
      <c r="BU60" s="81">
        <f>(WWWW[[#This Row],['#_Constructed/Existing tube wells/boreholes/handpumps_WASH_agency]]+WWWW[[#This Row],['#_Non-Cluster partner water tube-wells/boreholes/handpumps]])-WWWW[[#This Row],['#_Non-functional tube wells/boreholes/handpumps]]</f>
        <v>1</v>
      </c>
      <c r="BV60" s="81">
        <f>WWWW[[#This Row],['#_Constructed/Existingwater storage tank with gravity fed reticulation system]]-WWWW[[#This Row],['#_Non-functional storage tank gravity fed reticulation system]]</f>
        <v>0</v>
      </c>
      <c r="BW60" s="81">
        <f>WWWW[[#This Row],['#_Water boating or water trucking]]</f>
        <v>0</v>
      </c>
      <c r="BX60" s="81">
        <f>WWWW[[#This Row],['#_Constructed/Existing water distribution system from river or natural spring]]</f>
        <v>0</v>
      </c>
      <c r="BY60"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60"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60" s="82">
        <f>IF(WWWW[[#This Row],[Location Type 1]]="Village",WWWW[[#This Row],[Access to safe drinking water for Village]],WWWW[[#This Row],[Access to safe drinking water for Camp]])</f>
        <v>1</v>
      </c>
      <c r="CB60" s="80">
        <f>WWWW[[#This Row],[%Equitable and continuous access to sufficient quantity of safe drinking water]]*WWWW[[#This Row],[Total PoP ]]</f>
        <v>94</v>
      </c>
      <c r="CC60" s="82">
        <f>IF((WWWW[[#This Row],['#_Constructed/Existing protected/fenced ponds]]*250)/WWWW[[#This Row],[Total PoP ]]&gt;1,1,(WWWW[[#This Row],['#_Constructed/Existing protected/fenced ponds]]*250)/WWWW[[#This Row],[Total PoP ]])</f>
        <v>0</v>
      </c>
      <c r="CD60" s="80">
        <f>WWWW[[#This Row],[% Access to unimproved water points]]*WWWW[[#This Row],[Total PoP ]]</f>
        <v>0</v>
      </c>
      <c r="CE60"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60"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94</v>
      </c>
      <c r="CG60" s="80">
        <f>WWWW[[#This Row],[HRP1]]/500</f>
        <v>0.188</v>
      </c>
      <c r="CH60" s="79">
        <f>1-WWWW[[#This Row],[% Equitable and continuous access to sufficient quantity of domestic water]]</f>
        <v>0</v>
      </c>
      <c r="CI60" s="80">
        <f>WWWW[[#This Row],[%equitable and continuous access to sufficient quantity of safe drinking and domestic water''s GAP]]*WWWW[[#This Row],[Total PoP ]]</f>
        <v>0</v>
      </c>
      <c r="CJ60" s="81">
        <f>IF(WWWW[[#This Row],[Total required water points]]-WWWW[[#This Row],['#Water points coverage]]&lt;0,0,WWWW[[#This Row],[Total required water points]]-WWWW[[#This Row],['#Water points coverage]])</f>
        <v>0.81200000000000006</v>
      </c>
      <c r="CK60" s="81">
        <f>ROUND(IF(WWWW[[#This Row],[Total PoP ]]&lt;500,1,WWWW[[#This Row],[Total PoP ]]/500),0)</f>
        <v>1</v>
      </c>
      <c r="CL60" s="81">
        <f>(WWWW[[#This Row],['#_Constructed latrines_by_WASHAgencies]]+WWWW[[#This Row],['#_Non Cluster partner latrines]])-WWWW[[#This Row],['#_Non-functional latrines]]</f>
        <v>5</v>
      </c>
      <c r="CM60"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60"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94</v>
      </c>
      <c r="CO60"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60" s="81">
        <f>IF(WWWW[[#This Row],[Location Type 1]]="Village","NA",IF(WWWW[[#This Row],['#_Constructed/Existing latrines in TLS]]*50&gt;WWWW[[#This Row],['#_students at TLS_CFS]],WWWW[[#This Row],['#_students at TLS_CFS]],(WWWW[[#This Row],['#_Constructed/Existing latrines in TLS]]*50)))</f>
        <v>0</v>
      </c>
      <c r="CQ60" s="81">
        <f>ROUND(IF(WWWW[[#This Row],[Location Type 1]]="camp",WWWW[[#This Row],[Total PoP ]]/20,IF(WWWW[[#This Row],[Location Type 1]]="Temporary Location",WWWW[[#This Row],[Total PoP ]]/50,(WWWW[[#This Row],[Total PoP ]]/6))),0)</f>
        <v>5</v>
      </c>
      <c r="CR60" s="80">
        <f>IF(WWWW[[#This Row],[Total required Latrines]]-(WWWW[[#This Row],['#_Constructed latrines_by_WASHAgencies]]+WWWW[[#This Row],['#_Non Cluster partner latrines]])&lt;0,0,WWWW[[#This Row],[Total required Latrines]]-(WWWW[[#This Row],['#_Constructed latrines_by_WASHAgencies]]+WWWW[[#This Row],['#_Non Cluster partner latrines]]))</f>
        <v>0</v>
      </c>
      <c r="CS60" s="79">
        <f>1-WWWW[[#This Row],[% people access to functioning Latrine]]</f>
        <v>0</v>
      </c>
      <c r="CT60" s="83">
        <f>IF(OR(WWWW[[#This Row],['#_Non-functional latrines]]="",WWWW[[#This Row],['#_Non-functional latrines]]=0),0,WWWW[[#This Row],['#_Non-functional latrines]]/(WWWW[[#This Row],['#_Constructed latrines_by_WASHAgencies]]+WWWW[[#This Row],['#_Non Cluster partner latrines]]))</f>
        <v>0</v>
      </c>
      <c r="CU60" s="80">
        <f>IF(500*(WWWW[[#This Row],['#_male hygiene promoters]]+WWWW[[#This Row],['#_female hygiene promoters]])&gt;WWWW[[#This Row],[Total PoP ]],WWWW[[#This Row],[Total PoP ]],500*(WWWW[[#This Row],['#_male hygiene promoters]]+WWWW[[#This Row],['#_female hygiene promoters]]))</f>
        <v>0</v>
      </c>
      <c r="CV60"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60"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60" s="81">
        <f>IF(WWWW[[#This Row],['# People with access to soap]]&gt;WWWW[[#This Row],['# People with access to Sanity Pads]],WWWW[[#This Row],['# People with access to soap]],WWWW[[#This Row],['# People with access to Sanity Pads]])</f>
        <v>0</v>
      </c>
      <c r="CY60"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60" s="79">
        <f>IF(WWWW[[#This Row],[HRP3]]/WWWW[[#This Row],[Total PoP ]]&gt;100%,100%,WWWW[[#This Row],[HRP3]]/WWWW[[#This Row],[Total PoP ]])</f>
        <v>0</v>
      </c>
      <c r="DA60" s="83">
        <f>1-WWWW[[#This Row],[Hygiene Coverage%]]</f>
        <v>1</v>
      </c>
      <c r="DB60" s="82">
        <f>WWWW[[#This Row],['# people reached by regular dedicated hygiene promotion_5]]/WWWW[[#This Row],[Total PoP ]]</f>
        <v>0</v>
      </c>
      <c r="DC60" s="82">
        <f>IF(WWWW[[#This Row],['#_households that received standard amount of soap for this quarter]]/WWWW[[#This Row],[Total HH]]&gt;1,1,WWWW[[#This Row],['#_households that received standard amount of soap for this quarter]]/WWWW[[#This Row],[Total HH]])</f>
        <v>0</v>
      </c>
      <c r="DD60" s="82">
        <f>IF(WWWW[[#This Row],['#_households that received standard amount of sanitary pads for this quarter]]/WWWW[[#This Row],[Total HH]]&gt;1,1,WWWW[[#This Row],['#_households that received standard amount of sanitary pads for this quarter]]/WWWW[[#This Row],[Total HH]])</f>
        <v>0</v>
      </c>
      <c r="DE60" s="81">
        <f>WWWW[[#This Row],['#_Constructed/Existing hand washing stations]]-WWWW[[#This Row],['#_Non-Functional_hand_washing_stations]]</f>
        <v>2</v>
      </c>
      <c r="DF60" s="667">
        <f>IF(WWWW[[#This Row],['# Functional hand washing stations during reporting period]]*20&gt;WWWW[[#This Row],[Total HH]],WWWW[[#This Row],[Total HH]],WWWW[[#This Row],['# Functional hand washing stations during reporting period]]*20)</f>
        <v>19</v>
      </c>
      <c r="DG60" s="80">
        <f>IF(WWWW[[#This Row],[Is sufficient soap available for TLS? (Yes/No)]]="yes",WWWW[[#This Row],['#_Constructed/Existing hand washing stations at TLS]],0)</f>
        <v>0</v>
      </c>
      <c r="DH60" s="667">
        <f>IF(WWWW[[#This Row],['# Functional hand washing stations during reporting period]]*100&gt;WWWW[[#This Row],[Total PoP ]],WWWW[[#This Row],[Total PoP ]],WWWW[[#This Row],['# Functional hand washing stations during reporting period]]*100)</f>
        <v>94</v>
      </c>
      <c r="DI60" s="667" t="str">
        <f>IF(WWWW[[#This Row],['#_students at TLS_CFS]]="","No","Yes")</f>
        <v>No</v>
      </c>
      <c r="DJ60" s="245">
        <f>VLOOKUP(WWWW[[#This Row],[Site Name]],SiteDB6[[Site Name]:[CCCM Management]],6,FALSE)</f>
        <v>0</v>
      </c>
      <c r="DK60" s="245">
        <f>VLOOKUP(WWWW[[#This Row],[Site Name]],SiteDB6[[Site Name]:[CCCM Focal Agency]],7,FALSE)</f>
        <v>0</v>
      </c>
      <c r="DL60" s="245" t="str">
        <f>VLOOKUP(WWWW[[#This Row],[Site Name]],SiteDB6[[Site Name]:[Location Type 1]],9,FALSE)</f>
        <v>Camp</v>
      </c>
      <c r="DM60" s="245" t="str">
        <f>VLOOKUP(WWWW[[#This Row],[Site Name]],SiteDB6[[Site Name]:[Type of Accommodation]],10,FALSE)</f>
        <v>Camp</v>
      </c>
      <c r="DN60" s="245" t="str">
        <f>VLOOKUP(WWWW[[#This Row],[Site Name]],SiteDB6[[Site Name]:[Ethnic or GCA/NGCA]],11,FALSE)</f>
        <v>GCA</v>
      </c>
      <c r="DO60" s="245">
        <f>VLOOKUP(WWWW[[#This Row],[Site Name]],SiteDB6[[Site Name]:[Lat]],12,FALSE)</f>
        <v>0</v>
      </c>
      <c r="DP60" s="245">
        <f>VLOOKUP(WWWW[[#This Row],[Site Name]],SiteDB6[[Site Name]:[Long]],13,FALSE)</f>
        <v>0</v>
      </c>
      <c r="DQ60" s="245">
        <f>VLOOKUP(WWWW[[#This Row],[Site Name]],SiteDB6[[Site Name]:[Pcode]],3,FALSE)</f>
        <v>0</v>
      </c>
      <c r="DR60" s="215" t="str">
        <f t="shared" si="2"/>
        <v>Covered</v>
      </c>
      <c r="DS60" s="215"/>
      <c r="DT60" s="20"/>
      <c r="DU60" s="20"/>
      <c r="DV60" s="20"/>
      <c r="DW60" s="20"/>
      <c r="DX60" s="20"/>
      <c r="DY60" s="20"/>
      <c r="DZ60" s="20"/>
      <c r="EA60" s="20"/>
      <c r="EB60" s="20"/>
      <c r="EC60" s="20"/>
      <c r="ED60" s="20"/>
      <c r="EE60" s="20"/>
      <c r="EF60" s="20"/>
      <c r="EG60" s="20"/>
      <c r="EH60" s="20"/>
    </row>
    <row r="61" spans="1:138" ht="15.75" customHeight="1">
      <c r="A61" s="259" t="s">
        <v>2525</v>
      </c>
      <c r="B61" s="663" t="s">
        <v>317</v>
      </c>
      <c r="C61" s="663" t="s">
        <v>317</v>
      </c>
      <c r="D61" s="74"/>
      <c r="E61" s="663" t="s">
        <v>39</v>
      </c>
      <c r="F61" s="663" t="s">
        <v>40</v>
      </c>
      <c r="G61" s="663" t="str">
        <f>VLOOKUP(WWWW[[#This Row],[Site Name]],SiteDB6[[Site Name]:[Location Type]],8,FALSE)</f>
        <v>Camp</v>
      </c>
      <c r="H61" s="77" t="s">
        <v>1009</v>
      </c>
      <c r="I61" s="700">
        <v>80</v>
      </c>
      <c r="J61" s="700">
        <v>290</v>
      </c>
      <c r="K61" s="642"/>
      <c r="L61" s="78"/>
      <c r="M61" s="378"/>
      <c r="N61" s="700"/>
      <c r="O61" s="700"/>
      <c r="P61" s="700"/>
      <c r="Q61" s="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215"/>
      <c r="AP61" s="377"/>
      <c r="AQ61" s="377"/>
      <c r="AR61" s="77"/>
      <c r="AS61" s="377"/>
      <c r="AT61" s="377"/>
      <c r="AU61" s="377"/>
      <c r="AV61" s="377"/>
      <c r="AW61" s="377"/>
      <c r="AX61" s="245"/>
      <c r="AY61" s="245"/>
      <c r="AZ61" s="377"/>
      <c r="BA61" s="377"/>
      <c r="BB61" s="377"/>
      <c r="BC61" s="215"/>
      <c r="BD61" s="377"/>
      <c r="BE61" s="377"/>
      <c r="BF61" s="377"/>
      <c r="BG61" s="377"/>
      <c r="BH61" s="377"/>
      <c r="BI61" s="377"/>
      <c r="BJ61" s="377"/>
      <c r="BK61" s="377"/>
      <c r="BL61" s="377"/>
      <c r="BM61" s="215"/>
      <c r="BN61" s="80"/>
      <c r="BO61" s="82"/>
      <c r="BP61" s="215"/>
      <c r="BQ61" s="79" t="str">
        <f>IFERROR(WWWW[[#This Row],['#_Water sources treated]]/WWWW[[#This Row],['#_Water sources tested for contamination]],"no test")</f>
        <v>no test</v>
      </c>
      <c r="BR61" s="82" t="str">
        <f>IFERROR(WWWW[[#This Row],['#_Household received remediation action due to contamination]]/WWWW[[#This Row],['#_Household water samples tested for contamination]],"no test")</f>
        <v>no test</v>
      </c>
      <c r="BS61" s="81" t="str">
        <f>IF(AND(WWWW[[#This Row],[% of water sources treated]]="no test",WWWW[[#This Row],[% Household received corrective actions]]="no test"),"No Test","Tested")</f>
        <v>No Test</v>
      </c>
      <c r="BT61" s="81">
        <f>WWWW[[#This Row],['#_Constructed/existing protected hand dug well]]-WWWW[[#This Row],['#_Non-functional protected hand dug well]]</f>
        <v>0</v>
      </c>
      <c r="BU61" s="81">
        <f>(WWWW[[#This Row],['#_Constructed/Existing tube wells/boreholes/handpumps_WASH_agency]]+WWWW[[#This Row],['#_Non-Cluster partner water tube-wells/boreholes/handpumps]])-WWWW[[#This Row],['#_Non-functional tube wells/boreholes/handpumps]]</f>
        <v>0</v>
      </c>
      <c r="BV61" s="81">
        <f>WWWW[[#This Row],['#_Constructed/Existingwater storage tank with gravity fed reticulation system]]-WWWW[[#This Row],['#_Non-functional storage tank gravity fed reticulation system]]</f>
        <v>0</v>
      </c>
      <c r="BW61" s="81">
        <f>WWWW[[#This Row],['#_Water boating or water trucking]]</f>
        <v>0</v>
      </c>
      <c r="BX61" s="81">
        <f>WWWW[[#This Row],['#_Constructed/Existing water distribution system from river or natural spring]]</f>
        <v>0</v>
      </c>
      <c r="BY61"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61"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61" s="82">
        <f>IF(WWWW[[#This Row],[Location Type 1]]="Village",WWWW[[#This Row],[Access to safe drinking water for Village]],WWWW[[#This Row],[Access to safe drinking water for Camp]])</f>
        <v>0</v>
      </c>
      <c r="CB61" s="80">
        <f>WWWW[[#This Row],[%Equitable and continuous access to sufficient quantity of safe drinking water]]*WWWW[[#This Row],[Total PoP ]]</f>
        <v>0</v>
      </c>
      <c r="CC61" s="82">
        <f>IF((WWWW[[#This Row],['#_Constructed/Existing protected/fenced ponds]]*250)/WWWW[[#This Row],[Total PoP ]]&gt;1,1,(WWWW[[#This Row],['#_Constructed/Existing protected/fenced ponds]]*250)/WWWW[[#This Row],[Total PoP ]])</f>
        <v>0</v>
      </c>
      <c r="CD61" s="80">
        <f>WWWW[[#This Row],[% Access to unimproved water points]]*WWWW[[#This Row],[Total PoP ]]</f>
        <v>0</v>
      </c>
      <c r="CE61"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61"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61" s="80">
        <f>WWWW[[#This Row],[HRP1]]/500</f>
        <v>0</v>
      </c>
      <c r="CH61" s="79">
        <f>1-WWWW[[#This Row],[% Equitable and continuous access to sufficient quantity of domestic water]]</f>
        <v>1</v>
      </c>
      <c r="CI61" s="80">
        <f>WWWW[[#This Row],[%equitable and continuous access to sufficient quantity of safe drinking and domestic water''s GAP]]*WWWW[[#This Row],[Total PoP ]]</f>
        <v>290</v>
      </c>
      <c r="CJ61" s="81">
        <f>IF(WWWW[[#This Row],[Total required water points]]-WWWW[[#This Row],['#Water points coverage]]&lt;0,0,WWWW[[#This Row],[Total required water points]]-WWWW[[#This Row],['#Water points coverage]])</f>
        <v>1</v>
      </c>
      <c r="CK61" s="81">
        <f>ROUND(IF(WWWW[[#This Row],[Total PoP ]]&lt;500,1,WWWW[[#This Row],[Total PoP ]]/500),0)</f>
        <v>1</v>
      </c>
      <c r="CL61" s="81">
        <f>(WWWW[[#This Row],['#_Constructed latrines_by_WASHAgencies]]+WWWW[[#This Row],['#_Non Cluster partner latrines]])-WWWW[[#This Row],['#_Non-functional latrines]]</f>
        <v>0</v>
      </c>
      <c r="CM61"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61"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61"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61" s="81">
        <f>IF(WWWW[[#This Row],[Location Type 1]]="Village","NA",IF(WWWW[[#This Row],['#_Constructed/Existing latrines in TLS]]*50&gt;WWWW[[#This Row],['#_students at TLS_CFS]],WWWW[[#This Row],['#_students at TLS_CFS]],(WWWW[[#This Row],['#_Constructed/Existing latrines in TLS]]*50)))</f>
        <v>0</v>
      </c>
      <c r="CQ61" s="81">
        <f>ROUND(IF(WWWW[[#This Row],[Location Type 1]]="camp",WWWW[[#This Row],[Total PoP ]]/20,IF(WWWW[[#This Row],[Location Type 1]]="Temporary Location",WWWW[[#This Row],[Total PoP ]]/50,(WWWW[[#This Row],[Total PoP ]]/6))),0)</f>
        <v>15</v>
      </c>
      <c r="CR61" s="80">
        <f>IF(WWWW[[#This Row],[Total required Latrines]]-(WWWW[[#This Row],['#_Constructed latrines_by_WASHAgencies]]+WWWW[[#This Row],['#_Non Cluster partner latrines]])&lt;0,0,WWWW[[#This Row],[Total required Latrines]]-(WWWW[[#This Row],['#_Constructed latrines_by_WASHAgencies]]+WWWW[[#This Row],['#_Non Cluster partner latrines]]))</f>
        <v>15</v>
      </c>
      <c r="CS61" s="79">
        <f>1-WWWW[[#This Row],[% people access to functioning Latrine]]</f>
        <v>1</v>
      </c>
      <c r="CT61" s="83">
        <f>IF(OR(WWWW[[#This Row],['#_Non-functional latrines]]="",WWWW[[#This Row],['#_Non-functional latrines]]=0),0,WWWW[[#This Row],['#_Non-functional latrines]]/(WWWW[[#This Row],['#_Constructed latrines_by_WASHAgencies]]+WWWW[[#This Row],['#_Non Cluster partner latrines]]))</f>
        <v>0</v>
      </c>
      <c r="CU61" s="80">
        <f>IF(500*(WWWW[[#This Row],['#_male hygiene promoters]]+WWWW[[#This Row],['#_female hygiene promoters]])&gt;WWWW[[#This Row],[Total PoP ]],WWWW[[#This Row],[Total PoP ]],500*(WWWW[[#This Row],['#_male hygiene promoters]]+WWWW[[#This Row],['#_female hygiene promoters]]))</f>
        <v>0</v>
      </c>
      <c r="CV61"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61"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61" s="81">
        <f>IF(WWWW[[#This Row],['# People with access to soap]]&gt;WWWW[[#This Row],['# People with access to Sanity Pads]],WWWW[[#This Row],['# People with access to soap]],WWWW[[#This Row],['# People with access to Sanity Pads]])</f>
        <v>0</v>
      </c>
      <c r="CY61"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61" s="79">
        <f>IF(WWWW[[#This Row],[HRP3]]/WWWW[[#This Row],[Total PoP ]]&gt;100%,100%,WWWW[[#This Row],[HRP3]]/WWWW[[#This Row],[Total PoP ]])</f>
        <v>0</v>
      </c>
      <c r="DA61" s="83">
        <f>1-WWWW[[#This Row],[Hygiene Coverage%]]</f>
        <v>1</v>
      </c>
      <c r="DB61" s="82">
        <f>WWWW[[#This Row],['# people reached by regular dedicated hygiene promotion_5]]/WWWW[[#This Row],[Total PoP ]]</f>
        <v>0</v>
      </c>
      <c r="DC61" s="82">
        <f>IF(WWWW[[#This Row],['#_households that received standard amount of soap for this quarter]]/WWWW[[#This Row],[Total HH]]&gt;1,1,WWWW[[#This Row],['#_households that received standard amount of soap for this quarter]]/WWWW[[#This Row],[Total HH]])</f>
        <v>0</v>
      </c>
      <c r="DD61" s="82">
        <f>IF(WWWW[[#This Row],['#_households that received standard amount of sanitary pads for this quarter]]/WWWW[[#This Row],[Total HH]]&gt;1,1,WWWW[[#This Row],['#_households that received standard amount of sanitary pads for this quarter]]/WWWW[[#This Row],[Total HH]])</f>
        <v>0</v>
      </c>
      <c r="DE61" s="81">
        <f>WWWW[[#This Row],['#_Constructed/Existing hand washing stations]]-WWWW[[#This Row],['#_Non-Functional_hand_washing_stations]]</f>
        <v>0</v>
      </c>
      <c r="DF61" s="667">
        <f>IF(WWWW[[#This Row],['# Functional hand washing stations during reporting period]]*20&gt;WWWW[[#This Row],[Total HH]],WWWW[[#This Row],[Total HH]],WWWW[[#This Row],['# Functional hand washing stations during reporting period]]*20)</f>
        <v>0</v>
      </c>
      <c r="DG61" s="80">
        <f>IF(WWWW[[#This Row],[Is sufficient soap available for TLS? (Yes/No)]]="yes",WWWW[[#This Row],['#_Constructed/Existing hand washing stations at TLS]],0)</f>
        <v>0</v>
      </c>
      <c r="DH61" s="667">
        <f>IF(WWWW[[#This Row],['# Functional hand washing stations during reporting period]]*100&gt;WWWW[[#This Row],[Total PoP ]],WWWW[[#This Row],[Total PoP ]],WWWW[[#This Row],['# Functional hand washing stations during reporting period]]*100)</f>
        <v>0</v>
      </c>
      <c r="DI61" s="667" t="str">
        <f>IF(WWWW[[#This Row],['#_students at TLS_CFS]]="","No","Yes")</f>
        <v>No</v>
      </c>
      <c r="DJ61" s="245">
        <f>VLOOKUP(WWWW[[#This Row],[Site Name]],SiteDB6[[Site Name]:[CCCM Management]],6,FALSE)</f>
        <v>0</v>
      </c>
      <c r="DK61" s="245" t="str">
        <f>VLOOKUP(WWWW[[#This Row],[Site Name]],SiteDB6[[Site Name]:[CCCM Focal Agency]],7,FALSE)</f>
        <v>uncovered</v>
      </c>
      <c r="DL61" s="245" t="str">
        <f>VLOOKUP(WWWW[[#This Row],[Site Name]],SiteDB6[[Site Name]:[Location Type 1]],9,FALSE)</f>
        <v>Camp</v>
      </c>
      <c r="DM61" s="245" t="str">
        <f>VLOOKUP(WWWW[[#This Row],[Site Name]],SiteDB6[[Site Name]:[Type of Accommodation]],10,FALSE)</f>
        <v>Host Families</v>
      </c>
      <c r="DN61" s="245" t="str">
        <f>VLOOKUP(WWWW[[#This Row],[Site Name]],SiteDB6[[Site Name]:[Ethnic or GCA/NGCA]],11,FALSE)</f>
        <v>GCA</v>
      </c>
      <c r="DO61" s="245">
        <f>VLOOKUP(WWWW[[#This Row],[Site Name]],SiteDB6[[Site Name]:[Lat]],12,FALSE)</f>
        <v>24.118618999999999</v>
      </c>
      <c r="DP61" s="245">
        <f>VLOOKUP(WWWW[[#This Row],[Site Name]],SiteDB6[[Site Name]:[Long]],13,FALSE)</f>
        <v>97.298055000000005</v>
      </c>
      <c r="DQ61" s="245" t="str">
        <f>VLOOKUP(WWWW[[#This Row],[Site Name]],SiteDB6[[Site Name]:[Pcode]],3,FALSE)</f>
        <v>MMR001CMP196</v>
      </c>
      <c r="DR61" s="215" t="str">
        <f t="shared" si="2"/>
        <v>Notcovered</v>
      </c>
      <c r="DS61" s="215"/>
      <c r="DT61" s="20"/>
      <c r="DU61" s="20"/>
      <c r="DV61" s="20"/>
      <c r="DW61" s="20"/>
      <c r="DX61" s="20"/>
      <c r="DY61" s="20"/>
      <c r="DZ61" s="20"/>
      <c r="EA61" s="20"/>
      <c r="EB61" s="20"/>
      <c r="EC61" s="20"/>
      <c r="ED61" s="20"/>
      <c r="EE61" s="20"/>
      <c r="EF61" s="20"/>
      <c r="EG61" s="20"/>
      <c r="EH61" s="20"/>
    </row>
    <row r="62" spans="1:138" ht="15.75" customHeight="1">
      <c r="A62" s="259" t="s">
        <v>2525</v>
      </c>
      <c r="B62" s="663" t="s">
        <v>38</v>
      </c>
      <c r="C62" s="663" t="s">
        <v>38</v>
      </c>
      <c r="D62" s="663" t="s">
        <v>3120</v>
      </c>
      <c r="E62" s="663" t="s">
        <v>39</v>
      </c>
      <c r="F62" s="663" t="s">
        <v>156</v>
      </c>
      <c r="G62" s="663" t="str">
        <f>VLOOKUP(WWWW[[#This Row],[Site Name]],SiteDB6[[Site Name]:[Location Type]],8,FALSE)</f>
        <v>Camp_not registered</v>
      </c>
      <c r="H62" s="663" t="s">
        <v>2088</v>
      </c>
      <c r="I62" s="700">
        <v>72</v>
      </c>
      <c r="J62" s="700">
        <v>329</v>
      </c>
      <c r="K62" s="642">
        <v>43466</v>
      </c>
      <c r="L62" s="78" t="s">
        <v>2981</v>
      </c>
      <c r="M62" s="700"/>
      <c r="N62" s="700"/>
      <c r="O62" s="700"/>
      <c r="P62" s="700"/>
      <c r="Q62" s="663" t="s">
        <v>43</v>
      </c>
      <c r="R62" s="700"/>
      <c r="S62" s="700"/>
      <c r="T62" s="700">
        <v>2</v>
      </c>
      <c r="U62" s="700"/>
      <c r="V62" s="700"/>
      <c r="W62" s="700"/>
      <c r="X62" s="700"/>
      <c r="Y62" s="700"/>
      <c r="Z62" s="700"/>
      <c r="AA62" s="700">
        <v>1</v>
      </c>
      <c r="AB62" s="700"/>
      <c r="AC62" s="700"/>
      <c r="AD62" s="700"/>
      <c r="AE62" s="700"/>
      <c r="AF62" s="700"/>
      <c r="AG62" s="700"/>
      <c r="AH62" s="700"/>
      <c r="AI62" s="700"/>
      <c r="AJ62" s="700"/>
      <c r="AK62" s="700"/>
      <c r="AL62" s="700"/>
      <c r="AM62" s="700"/>
      <c r="AN62" s="700"/>
      <c r="AO62" s="667"/>
      <c r="AP62" s="719">
        <v>12</v>
      </c>
      <c r="AQ62" s="663"/>
      <c r="AR62" s="663"/>
      <c r="AS62" s="667"/>
      <c r="AT62" s="663"/>
      <c r="AU62" s="667"/>
      <c r="AV62" s="667"/>
      <c r="AW62" s="81"/>
      <c r="AX62" s="81" t="s">
        <v>43</v>
      </c>
      <c r="AY62" s="81" t="s">
        <v>145</v>
      </c>
      <c r="AZ62" s="81"/>
      <c r="BA62" s="81"/>
      <c r="BB62" s="667"/>
      <c r="BC62" s="667"/>
      <c r="BD62" s="667"/>
      <c r="BE62" s="667"/>
      <c r="BF62" s="667"/>
      <c r="BG62" s="720">
        <v>2</v>
      </c>
      <c r="BH62" s="667"/>
      <c r="BI62" s="700">
        <v>1</v>
      </c>
      <c r="BJ62" s="700">
        <v>1</v>
      </c>
      <c r="BK62" s="721">
        <v>40</v>
      </c>
      <c r="BL62" s="667"/>
      <c r="BM62" s="667"/>
      <c r="BN62" s="667"/>
      <c r="BO62" s="82"/>
      <c r="BP62" s="667"/>
      <c r="BQ62" s="79" t="str">
        <f>IFERROR(WWWW[[#This Row],['#_Water sources treated]]/WWWW[[#This Row],['#_Water sources tested for contamination]],"no test")</f>
        <v>no test</v>
      </c>
      <c r="BR62" s="82" t="str">
        <f>IFERROR(WWWW[[#This Row],['#_Household received remediation action due to contamination]]/WWWW[[#This Row],['#_Household water samples tested for contamination]],"no test")</f>
        <v>no test</v>
      </c>
      <c r="BS62" s="81" t="str">
        <f>IF(AND(WWWW[[#This Row],[% of water sources treated]]="no test",WWWW[[#This Row],[% Household received corrective actions]]="no test"),"No Test","Tested")</f>
        <v>No Test</v>
      </c>
      <c r="BT62" s="81">
        <f>WWWW[[#This Row],['#_Constructed/existing protected hand dug well]]-WWWW[[#This Row],['#_Non-functional protected hand dug well]]</f>
        <v>2</v>
      </c>
      <c r="BU62" s="81">
        <f>(WWWW[[#This Row],['#_Constructed/Existing tube wells/boreholes/handpumps_WASH_agency]]+WWWW[[#This Row],['#_Non-Cluster partner water tube-wells/boreholes/handpumps]])-WWWW[[#This Row],['#_Non-functional tube wells/boreholes/handpumps]]</f>
        <v>0</v>
      </c>
      <c r="BV62" s="81">
        <f>WWWW[[#This Row],['#_Constructed/Existingwater storage tank with gravity fed reticulation system]]-WWWW[[#This Row],['#_Non-functional storage tank gravity fed reticulation system]]</f>
        <v>1</v>
      </c>
      <c r="BW62" s="81">
        <f>WWWW[[#This Row],['#_Water boating or water trucking]]</f>
        <v>0</v>
      </c>
      <c r="BX62" s="81">
        <f>WWWW[[#This Row],['#_Constructed/Existing water distribution system from river or natural spring]]</f>
        <v>0</v>
      </c>
      <c r="BY62"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62"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62" s="82">
        <f>IF(WWWW[[#This Row],[Location Type 1]]="Village",WWWW[[#This Row],[Access to safe drinking water for Village]],WWWW[[#This Row],[Access to safe drinking water for Camp]])</f>
        <v>1</v>
      </c>
      <c r="CB62" s="80">
        <f>WWWW[[#This Row],[%Equitable and continuous access to sufficient quantity of safe drinking water]]*WWWW[[#This Row],[Total PoP ]]</f>
        <v>329</v>
      </c>
      <c r="CC62" s="82">
        <f>IF((WWWW[[#This Row],['#_Constructed/Existing protected/fenced ponds]]*250)/WWWW[[#This Row],[Total PoP ]]&gt;1,1,(WWWW[[#This Row],['#_Constructed/Existing protected/fenced ponds]]*250)/WWWW[[#This Row],[Total PoP ]])</f>
        <v>0</v>
      </c>
      <c r="CD62" s="80">
        <f>WWWW[[#This Row],[% Access to unimproved water points]]*WWWW[[#This Row],[Total PoP ]]</f>
        <v>0</v>
      </c>
      <c r="CE62"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62"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329</v>
      </c>
      <c r="CG62" s="80">
        <f>WWWW[[#This Row],[HRP1]]/500</f>
        <v>0.65800000000000003</v>
      </c>
      <c r="CH62" s="79">
        <f>1-WWWW[[#This Row],[% Equitable and continuous access to sufficient quantity of domestic water]]</f>
        <v>0</v>
      </c>
      <c r="CI62" s="80">
        <f>WWWW[[#This Row],[%equitable and continuous access to sufficient quantity of safe drinking and domestic water''s GAP]]*WWWW[[#This Row],[Total PoP ]]</f>
        <v>0</v>
      </c>
      <c r="CJ62" s="81">
        <f>IF(WWWW[[#This Row],[Total required water points]]-WWWW[[#This Row],['#Water points coverage]]&lt;0,0,WWWW[[#This Row],[Total required water points]]-WWWW[[#This Row],['#Water points coverage]])</f>
        <v>0.34199999999999997</v>
      </c>
      <c r="CK62" s="81">
        <f>ROUND(IF(WWWW[[#This Row],[Total PoP ]]&lt;500,1,WWWW[[#This Row],[Total PoP ]]/500),0)</f>
        <v>1</v>
      </c>
      <c r="CL62" s="81">
        <f>(WWWW[[#This Row],['#_Constructed latrines_by_WASHAgencies]]+WWWW[[#This Row],['#_Non Cluster partner latrines]])-WWWW[[#This Row],['#_Non-functional latrines]]</f>
        <v>12</v>
      </c>
      <c r="CM62"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0.72948328267477203</v>
      </c>
      <c r="CN62"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240</v>
      </c>
      <c r="CO62"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62" s="81">
        <f>IF(WWWW[[#This Row],[Location Type 1]]="Village","NA",IF(WWWW[[#This Row],['#_Constructed/Existing latrines in TLS]]*50&gt;WWWW[[#This Row],['#_students at TLS_CFS]],WWWW[[#This Row],['#_students at TLS_CFS]],(WWWW[[#This Row],['#_Constructed/Existing latrines in TLS]]*50)))</f>
        <v>0</v>
      </c>
      <c r="CQ62" s="81">
        <f>ROUND(IF(WWWW[[#This Row],[Location Type 1]]="camp",WWWW[[#This Row],[Total PoP ]]/20,IF(WWWW[[#This Row],[Location Type 1]]="Temporary Location",WWWW[[#This Row],[Total PoP ]]/50,(WWWW[[#This Row],[Total PoP ]]/6))),0)</f>
        <v>16</v>
      </c>
      <c r="CR62" s="80">
        <f>IF(WWWW[[#This Row],[Total required Latrines]]-(WWWW[[#This Row],['#_Constructed latrines_by_WASHAgencies]]+WWWW[[#This Row],['#_Non Cluster partner latrines]])&lt;0,0,WWWW[[#This Row],[Total required Latrines]]-(WWWW[[#This Row],['#_Constructed latrines_by_WASHAgencies]]+WWWW[[#This Row],['#_Non Cluster partner latrines]]))</f>
        <v>4</v>
      </c>
      <c r="CS62" s="79">
        <f>1-WWWW[[#This Row],[% people access to functioning Latrine]]</f>
        <v>0.27051671732522797</v>
      </c>
      <c r="CT62" s="83">
        <f>IF(OR(WWWW[[#This Row],['#_Non-functional latrines]]="",WWWW[[#This Row],['#_Non-functional latrines]]=0),0,WWWW[[#This Row],['#_Non-functional latrines]]/(WWWW[[#This Row],['#_Constructed latrines_by_WASHAgencies]]+WWWW[[#This Row],['#_Non Cluster partner latrines]]))</f>
        <v>0</v>
      </c>
      <c r="CU62" s="80">
        <f>IF(500*(WWWW[[#This Row],['#_male hygiene promoters]]+WWWW[[#This Row],['#_female hygiene promoters]])&gt;WWWW[[#This Row],[Total PoP ]],WWWW[[#This Row],[Total PoP ]],500*(WWWW[[#This Row],['#_male hygiene promoters]]+WWWW[[#This Row],['#_female hygiene promoters]]))</f>
        <v>329</v>
      </c>
      <c r="CV62"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200</v>
      </c>
      <c r="CW62"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62" s="81">
        <f>IF(WWWW[[#This Row],['# People with access to soap]]&gt;WWWW[[#This Row],['# People with access to Sanity Pads]],WWWW[[#This Row],['# People with access to soap]],WWWW[[#This Row],['# People with access to Sanity Pads]])</f>
        <v>200</v>
      </c>
      <c r="CY62" s="81">
        <f>IF(WWWW[[#This Row],['# people reached by regular dedicated hygiene promotion_5]]&gt;WWWW[[#This Row],['# People received regular supply of hygiene items_6]],WWWW[[#This Row],['# people reached by regular dedicated hygiene promotion_5]],WWWW[[#This Row],['# People received regular supply of hygiene items_6]])</f>
        <v>329</v>
      </c>
      <c r="CZ62" s="79">
        <f>IF(WWWW[[#This Row],[HRP3]]/WWWW[[#This Row],[Total PoP ]]&gt;100%,100%,WWWW[[#This Row],[HRP3]]/WWWW[[#This Row],[Total PoP ]])</f>
        <v>1</v>
      </c>
      <c r="DA62" s="83">
        <f>1-WWWW[[#This Row],[Hygiene Coverage%]]</f>
        <v>0</v>
      </c>
      <c r="DB62" s="82">
        <f>WWWW[[#This Row],['# people reached by regular dedicated hygiene promotion_5]]/WWWW[[#This Row],[Total PoP ]]</f>
        <v>1</v>
      </c>
      <c r="DC62" s="82">
        <f>IF(WWWW[[#This Row],['#_households that received standard amount of soap for this quarter]]/WWWW[[#This Row],[Total HH]]&gt;1,1,WWWW[[#This Row],['#_households that received standard amount of soap for this quarter]]/WWWW[[#This Row],[Total HH]])</f>
        <v>0.55555555555555558</v>
      </c>
      <c r="DD62" s="82">
        <f>IF(WWWW[[#This Row],['#_households that received standard amount of sanitary pads for this quarter]]/WWWW[[#This Row],[Total HH]]&gt;1,1,WWWW[[#This Row],['#_households that received standard amount of sanitary pads for this quarter]]/WWWW[[#This Row],[Total HH]])</f>
        <v>0</v>
      </c>
      <c r="DE62" s="81">
        <f>WWWW[[#This Row],['#_Constructed/Existing hand washing stations]]-WWWW[[#This Row],['#_Non-Functional_hand_washing_stations]]</f>
        <v>0</v>
      </c>
      <c r="DF62" s="667">
        <f>IF(WWWW[[#This Row],['# Functional hand washing stations during reporting period]]*20&gt;WWWW[[#This Row],[Total HH]],WWWW[[#This Row],[Total HH]],WWWW[[#This Row],['# Functional hand washing stations during reporting period]]*20)</f>
        <v>0</v>
      </c>
      <c r="DG62" s="80">
        <f>IF(WWWW[[#This Row],[Is sufficient soap available for TLS? (Yes/No)]]="yes",WWWW[[#This Row],['#_Constructed/Existing hand washing stations at TLS]],0)</f>
        <v>0</v>
      </c>
      <c r="DH62" s="667">
        <f>IF(WWWW[[#This Row],['# Functional hand washing stations during reporting period]]*100&gt;WWWW[[#This Row],[Total PoP ]],WWWW[[#This Row],[Total PoP ]],WWWW[[#This Row],['# Functional hand washing stations during reporting period]]*100)</f>
        <v>0</v>
      </c>
      <c r="DI62" s="667" t="str">
        <f>IF(WWWW[[#This Row],['#_students at TLS_CFS]]="","No","Yes")</f>
        <v>No</v>
      </c>
      <c r="DJ62" s="245">
        <f>VLOOKUP(WWWW[[#This Row],[Site Name]],SiteDB6[[Site Name]:[CCCM Management]],6,FALSE)</f>
        <v>0</v>
      </c>
      <c r="DK62" s="245">
        <f>VLOOKUP(WWWW[[#This Row],[Site Name]],SiteDB6[[Site Name]:[CCCM Focal Agency]],7,FALSE)</f>
        <v>0</v>
      </c>
      <c r="DL62" s="245" t="str">
        <f>VLOOKUP(WWWW[[#This Row],[Site Name]],SiteDB6[[Site Name]:[Location Type 1]],9,FALSE)</f>
        <v>Camp</v>
      </c>
      <c r="DM62" s="245" t="str">
        <f>VLOOKUP(WWWW[[#This Row],[Site Name]],SiteDB6[[Site Name]:[Type of Accommodation]],10,FALSE)</f>
        <v>Camp like setting</v>
      </c>
      <c r="DN62" s="245" t="s">
        <v>46</v>
      </c>
      <c r="DO62" s="245">
        <f>VLOOKUP(WWWW[[#This Row],[Site Name]],SiteDB6[[Site Name]:[Lat]],12,FALSE)</f>
        <v>0</v>
      </c>
      <c r="DP62" s="245">
        <f>VLOOKUP(WWWW[[#This Row],[Site Name]],SiteDB6[[Site Name]:[Long]],13,FALSE)</f>
        <v>0</v>
      </c>
      <c r="DQ62" s="245">
        <f>VLOOKUP(WWWW[[#This Row],[Site Name]],SiteDB6[[Site Name]:[Pcode]],3,FALSE)</f>
        <v>0</v>
      </c>
      <c r="DR62" s="215" t="str">
        <f t="shared" si="2"/>
        <v>Covered</v>
      </c>
      <c r="DS62" s="215"/>
      <c r="DT62" s="20"/>
      <c r="DU62" s="20"/>
      <c r="DV62" s="20"/>
      <c r="DW62" s="20"/>
      <c r="DX62" s="20"/>
      <c r="DY62" s="20"/>
      <c r="DZ62" s="20"/>
      <c r="EA62" s="20"/>
      <c r="EB62" s="20"/>
      <c r="EC62" s="20"/>
      <c r="ED62" s="20"/>
      <c r="EE62" s="20"/>
      <c r="EF62" s="20"/>
      <c r="EG62" s="20"/>
      <c r="EH62" s="20"/>
    </row>
    <row r="63" spans="1:138" ht="15.75" customHeight="1">
      <c r="A63" s="259" t="s">
        <v>2525</v>
      </c>
      <c r="B63" s="259" t="s">
        <v>149</v>
      </c>
      <c r="C63" s="663" t="s">
        <v>149</v>
      </c>
      <c r="D63" s="74" t="s">
        <v>158</v>
      </c>
      <c r="E63" s="663" t="s">
        <v>39</v>
      </c>
      <c r="F63" s="663" t="s">
        <v>167</v>
      </c>
      <c r="G63" s="663" t="str">
        <f>VLOOKUP(WWWW[[#This Row],[Site Name]],SiteDB6[[Site Name]:[Location Type]],8,FALSE)</f>
        <v>Camp</v>
      </c>
      <c r="H63" s="663" t="s">
        <v>2190</v>
      </c>
      <c r="I63" s="700">
        <v>118</v>
      </c>
      <c r="J63" s="700">
        <v>489</v>
      </c>
      <c r="K63" s="642">
        <v>43556</v>
      </c>
      <c r="L63" s="78">
        <v>43677</v>
      </c>
      <c r="M63" s="378"/>
      <c r="N63" s="700"/>
      <c r="O63" s="700"/>
      <c r="P63" s="700"/>
      <c r="Q63" s="77" t="s">
        <v>43</v>
      </c>
      <c r="R63" s="377"/>
      <c r="S63" s="377"/>
      <c r="T63" s="700">
        <v>1</v>
      </c>
      <c r="U63" s="377"/>
      <c r="V63" s="377"/>
      <c r="W63" s="700">
        <v>7</v>
      </c>
      <c r="X63" s="377"/>
      <c r="Y63" s="377">
        <v>4</v>
      </c>
      <c r="Z63" s="377"/>
      <c r="AA63" s="377"/>
      <c r="AB63" s="377"/>
      <c r="AC63" s="377"/>
      <c r="AD63" s="377"/>
      <c r="AE63" s="377"/>
      <c r="AF63" s="377"/>
      <c r="AG63" s="377"/>
      <c r="AH63" s="700">
        <v>6</v>
      </c>
      <c r="AI63" s="377"/>
      <c r="AJ63" s="377"/>
      <c r="AK63" s="377"/>
      <c r="AL63" s="377"/>
      <c r="AM63" s="377"/>
      <c r="AN63" s="377"/>
      <c r="AO63" s="215"/>
      <c r="AP63" s="700">
        <v>16</v>
      </c>
      <c r="AQ63" s="377"/>
      <c r="AR63" s="77"/>
      <c r="AS63" s="377"/>
      <c r="AT63" s="377"/>
      <c r="AU63" s="377"/>
      <c r="AV63" s="377"/>
      <c r="AW63" s="700">
        <v>16</v>
      </c>
      <c r="AX63" s="245" t="s">
        <v>43</v>
      </c>
      <c r="AY63" s="245" t="s">
        <v>145</v>
      </c>
      <c r="AZ63" s="377"/>
      <c r="BA63" s="377"/>
      <c r="BB63" s="377"/>
      <c r="BC63" s="215"/>
      <c r="BD63" s="377"/>
      <c r="BE63" s="377"/>
      <c r="BF63" s="377"/>
      <c r="BG63" s="377">
        <v>0</v>
      </c>
      <c r="BH63" s="377"/>
      <c r="BI63" s="377"/>
      <c r="BJ63" s="377">
        <v>2</v>
      </c>
      <c r="BK63" s="377"/>
      <c r="BL63" s="377"/>
      <c r="BM63" s="215"/>
      <c r="BN63" s="80"/>
      <c r="BO63" s="82"/>
      <c r="BP63" s="215"/>
      <c r="BQ63" s="79" t="str">
        <f>IFERROR(WWWW[[#This Row],['#_Water sources treated]]/WWWW[[#This Row],['#_Water sources tested for contamination]],"no test")</f>
        <v>no test</v>
      </c>
      <c r="BR63" s="82" t="str">
        <f>IFERROR(WWWW[[#This Row],['#_Household received remediation action due to contamination]]/WWWW[[#This Row],['#_Household water samples tested for contamination]],"no test")</f>
        <v>no test</v>
      </c>
      <c r="BS63" s="81" t="str">
        <f>IF(AND(WWWW[[#This Row],[% of water sources treated]]="no test",WWWW[[#This Row],[% Household received corrective actions]]="no test"),"No Test","Tested")</f>
        <v>No Test</v>
      </c>
      <c r="BT63" s="81">
        <f>WWWW[[#This Row],['#_Constructed/existing protected hand dug well]]-WWWW[[#This Row],['#_Non-functional protected hand dug well]]</f>
        <v>1</v>
      </c>
      <c r="BU63" s="81">
        <f>(WWWW[[#This Row],['#_Constructed/Existing tube wells/boreholes/handpumps_WASH_agency]]+WWWW[[#This Row],['#_Non-Cluster partner water tube-wells/boreholes/handpumps]])-WWWW[[#This Row],['#_Non-functional tube wells/boreholes/handpumps]]</f>
        <v>3</v>
      </c>
      <c r="BV63" s="81">
        <f>WWWW[[#This Row],['#_Constructed/Existingwater storage tank with gravity fed reticulation system]]-WWWW[[#This Row],['#_Non-functional storage tank gravity fed reticulation system]]</f>
        <v>0</v>
      </c>
      <c r="BW63" s="81">
        <f>WWWW[[#This Row],['#_Water boating or water trucking]]</f>
        <v>0</v>
      </c>
      <c r="BX63" s="81">
        <f>WWWW[[#This Row],['#_Constructed/Existing water distribution system from river or natural spring]]</f>
        <v>0</v>
      </c>
      <c r="BY63"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63"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63" s="82">
        <f>IF(WWWW[[#This Row],[Location Type 1]]="Village",WWWW[[#This Row],[Access to safe drinking water for Village]],WWWW[[#This Row],[Access to safe drinking water for Camp]])</f>
        <v>1</v>
      </c>
      <c r="CB63" s="80">
        <f>WWWW[[#This Row],[%Equitable and continuous access to sufficient quantity of safe drinking water]]*WWWW[[#This Row],[Total PoP ]]</f>
        <v>489</v>
      </c>
      <c r="CC63" s="82">
        <f>IF((WWWW[[#This Row],['#_Constructed/Existing protected/fenced ponds]]*250)/WWWW[[#This Row],[Total PoP ]]&gt;1,1,(WWWW[[#This Row],['#_Constructed/Existing protected/fenced ponds]]*250)/WWWW[[#This Row],[Total PoP ]])</f>
        <v>0</v>
      </c>
      <c r="CD63" s="80">
        <f>WWWW[[#This Row],[% Access to unimproved water points]]*WWWW[[#This Row],[Total PoP ]]</f>
        <v>0</v>
      </c>
      <c r="CE63"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63"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489</v>
      </c>
      <c r="CG63" s="80">
        <f>WWWW[[#This Row],[HRP1]]/500</f>
        <v>0.97799999999999998</v>
      </c>
      <c r="CH63" s="79">
        <f>1-WWWW[[#This Row],[% Equitable and continuous access to sufficient quantity of domestic water]]</f>
        <v>0</v>
      </c>
      <c r="CI63" s="80">
        <f>WWWW[[#This Row],[%equitable and continuous access to sufficient quantity of safe drinking and domestic water''s GAP]]*WWWW[[#This Row],[Total PoP ]]</f>
        <v>0</v>
      </c>
      <c r="CJ63" s="81">
        <f>IF(WWWW[[#This Row],[Total required water points]]-WWWW[[#This Row],['#Water points coverage]]&lt;0,0,WWWW[[#This Row],[Total required water points]]-WWWW[[#This Row],['#Water points coverage]])</f>
        <v>2.200000000000002E-2</v>
      </c>
      <c r="CK63" s="81">
        <f>ROUND(IF(WWWW[[#This Row],[Total PoP ]]&lt;500,1,WWWW[[#This Row],[Total PoP ]]/500),0)</f>
        <v>1</v>
      </c>
      <c r="CL63" s="81">
        <f>(WWWW[[#This Row],['#_Constructed latrines_by_WASHAgencies]]+WWWW[[#This Row],['#_Non Cluster partner latrines]])-WWWW[[#This Row],['#_Non-functional latrines]]</f>
        <v>16</v>
      </c>
      <c r="CM63"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0.65439672801635995</v>
      </c>
      <c r="CN63"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320</v>
      </c>
      <c r="CO63"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63" s="81">
        <f>IF(WWWW[[#This Row],[Location Type 1]]="Village","NA",IF(WWWW[[#This Row],['#_Constructed/Existing latrines in TLS]]*50&gt;WWWW[[#This Row],['#_students at TLS_CFS]],WWWW[[#This Row],['#_students at TLS_CFS]],(WWWW[[#This Row],['#_Constructed/Existing latrines in TLS]]*50)))</f>
        <v>0</v>
      </c>
      <c r="CQ63" s="81">
        <f>ROUND(IF(WWWW[[#This Row],[Location Type 1]]="camp",WWWW[[#This Row],[Total PoP ]]/20,IF(WWWW[[#This Row],[Location Type 1]]="Temporary Location",WWWW[[#This Row],[Total PoP ]]/50,(WWWW[[#This Row],[Total PoP ]]/6))),0)</f>
        <v>24</v>
      </c>
      <c r="CR63" s="80">
        <f>IF(WWWW[[#This Row],[Total required Latrines]]-(WWWW[[#This Row],['#_Constructed latrines_by_WASHAgencies]]+WWWW[[#This Row],['#_Non Cluster partner latrines]])&lt;0,0,WWWW[[#This Row],[Total required Latrines]]-(WWWW[[#This Row],['#_Constructed latrines_by_WASHAgencies]]+WWWW[[#This Row],['#_Non Cluster partner latrines]]))</f>
        <v>8</v>
      </c>
      <c r="CS63" s="79">
        <f>1-WWWW[[#This Row],[% people access to functioning Latrine]]</f>
        <v>0.34560327198364005</v>
      </c>
      <c r="CT63" s="83">
        <f>IF(OR(WWWW[[#This Row],['#_Non-functional latrines]]="",WWWW[[#This Row],['#_Non-functional latrines]]=0),0,WWWW[[#This Row],['#_Non-functional latrines]]/(WWWW[[#This Row],['#_Constructed latrines_by_WASHAgencies]]+WWWW[[#This Row],['#_Non Cluster partner latrines]]))</f>
        <v>0</v>
      </c>
      <c r="CU63" s="80">
        <f>IF(500*(WWWW[[#This Row],['#_male hygiene promoters]]+WWWW[[#This Row],['#_female hygiene promoters]])&gt;WWWW[[#This Row],[Total PoP ]],WWWW[[#This Row],[Total PoP ]],500*(WWWW[[#This Row],['#_male hygiene promoters]]+WWWW[[#This Row],['#_female hygiene promoters]]))</f>
        <v>489</v>
      </c>
      <c r="CV63"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63"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63" s="81">
        <f>IF(WWWW[[#This Row],['# People with access to soap]]&gt;WWWW[[#This Row],['# People with access to Sanity Pads]],WWWW[[#This Row],['# People with access to soap]],WWWW[[#This Row],['# People with access to Sanity Pads]])</f>
        <v>0</v>
      </c>
      <c r="CY63" s="81">
        <f>IF(WWWW[[#This Row],['# people reached by regular dedicated hygiene promotion_5]]&gt;WWWW[[#This Row],['# People received regular supply of hygiene items_6]],WWWW[[#This Row],['# people reached by regular dedicated hygiene promotion_5]],WWWW[[#This Row],['# People received regular supply of hygiene items_6]])</f>
        <v>489</v>
      </c>
      <c r="CZ63" s="79">
        <f>IF(WWWW[[#This Row],[HRP3]]/WWWW[[#This Row],[Total PoP ]]&gt;100%,100%,WWWW[[#This Row],[HRP3]]/WWWW[[#This Row],[Total PoP ]])</f>
        <v>1</v>
      </c>
      <c r="DA63" s="83">
        <f>1-WWWW[[#This Row],[Hygiene Coverage%]]</f>
        <v>0</v>
      </c>
      <c r="DB63" s="82">
        <f>WWWW[[#This Row],['# people reached by regular dedicated hygiene promotion_5]]/WWWW[[#This Row],[Total PoP ]]</f>
        <v>1</v>
      </c>
      <c r="DC63" s="82">
        <f>IF(WWWW[[#This Row],['#_households that received standard amount of soap for this quarter]]/WWWW[[#This Row],[Total HH]]&gt;1,1,WWWW[[#This Row],['#_households that received standard amount of soap for this quarter]]/WWWW[[#This Row],[Total HH]])</f>
        <v>0</v>
      </c>
      <c r="DD63" s="82">
        <f>IF(WWWW[[#This Row],['#_households that received standard amount of sanitary pads for this quarter]]/WWWW[[#This Row],[Total HH]]&gt;1,1,WWWW[[#This Row],['#_households that received standard amount of sanitary pads for this quarter]]/WWWW[[#This Row],[Total HH]])</f>
        <v>0</v>
      </c>
      <c r="DE63" s="81">
        <f>WWWW[[#This Row],['#_Constructed/Existing hand washing stations]]-WWWW[[#This Row],['#_Non-Functional_hand_washing_stations]]</f>
        <v>0</v>
      </c>
      <c r="DF63" s="667">
        <f>IF(WWWW[[#This Row],['# Functional hand washing stations during reporting period]]*20&gt;WWWW[[#This Row],[Total HH]],WWWW[[#This Row],[Total HH]],WWWW[[#This Row],['# Functional hand washing stations during reporting period]]*20)</f>
        <v>0</v>
      </c>
      <c r="DG63" s="80">
        <f>IF(WWWW[[#This Row],[Is sufficient soap available for TLS? (Yes/No)]]="yes",WWWW[[#This Row],['#_Constructed/Existing hand washing stations at TLS]],0)</f>
        <v>0</v>
      </c>
      <c r="DH63" s="667">
        <f>IF(WWWW[[#This Row],['# Functional hand washing stations during reporting period]]*100&gt;WWWW[[#This Row],[Total PoP ]],WWWW[[#This Row],[Total PoP ]],WWWW[[#This Row],['# Functional hand washing stations during reporting period]]*100)</f>
        <v>0</v>
      </c>
      <c r="DI63" s="667" t="str">
        <f>IF(WWWW[[#This Row],['#_students at TLS_CFS]]="","No","Yes")</f>
        <v>No</v>
      </c>
      <c r="DJ63" s="245">
        <f>VLOOKUP(WWWW[[#This Row],[Site Name]],SiteDB6[[Site Name]:[CCCM Management]],6,FALSE)</f>
        <v>0</v>
      </c>
      <c r="DK63" s="245" t="str">
        <f>VLOOKUP(WWWW[[#This Row],[Site Name]],SiteDB6[[Site Name]:[CCCM Focal Agency]],7,FALSE)</f>
        <v>KBC</v>
      </c>
      <c r="DL63" s="245" t="str">
        <f>VLOOKUP(WWWW[[#This Row],[Site Name]],SiteDB6[[Site Name]:[Location Type 1]],9,FALSE)</f>
        <v>Camp</v>
      </c>
      <c r="DM63" s="245" t="str">
        <f>VLOOKUP(WWWW[[#This Row],[Site Name]],SiteDB6[[Site Name]:[Type of Accommodation]],10,FALSE)</f>
        <v>Camp</v>
      </c>
      <c r="DN63" s="245" t="str">
        <f>VLOOKUP(WWWW[[#This Row],[Site Name]],SiteDB6[[Site Name]:[Ethnic or GCA/NGCA]],11,FALSE)</f>
        <v>GCA</v>
      </c>
      <c r="DO63" s="245">
        <f>VLOOKUP(WWWW[[#This Row],[Site Name]],SiteDB6[[Site Name]:[Lat]],12,FALSE)</f>
        <v>0</v>
      </c>
      <c r="DP63" s="245">
        <f>VLOOKUP(WWWW[[#This Row],[Site Name]],SiteDB6[[Site Name]:[Long]],13,FALSE)</f>
        <v>0</v>
      </c>
      <c r="DQ63" s="245" t="str">
        <f>VLOOKUP(WWWW[[#This Row],[Site Name]],SiteDB6[[Site Name]:[Pcode]],3,FALSE)</f>
        <v>MMR001CMP265</v>
      </c>
      <c r="DR63" s="215" t="str">
        <f t="shared" si="2"/>
        <v>Covered</v>
      </c>
      <c r="DS63" s="215"/>
      <c r="DT63" s="20"/>
      <c r="DU63" s="20"/>
      <c r="DV63" s="20"/>
      <c r="DW63" s="20"/>
      <c r="DX63" s="20"/>
      <c r="DY63" s="20"/>
      <c r="DZ63" s="20"/>
      <c r="EA63" s="20"/>
      <c r="EB63" s="20"/>
      <c r="EC63" s="20"/>
      <c r="ED63" s="20"/>
      <c r="EE63" s="20"/>
      <c r="EF63" s="20"/>
      <c r="EG63" s="20"/>
      <c r="EH63" s="20"/>
    </row>
    <row r="64" spans="1:138" ht="15.75" customHeight="1">
      <c r="A64" s="259" t="s">
        <v>2525</v>
      </c>
      <c r="B64" s="663" t="s">
        <v>38</v>
      </c>
      <c r="C64" s="663" t="s">
        <v>38</v>
      </c>
      <c r="D64" s="74" t="s">
        <v>249</v>
      </c>
      <c r="E64" s="663" t="s">
        <v>39</v>
      </c>
      <c r="F64" s="663" t="s">
        <v>213</v>
      </c>
      <c r="G64" s="663" t="str">
        <f>VLOOKUP(WWWW[[#This Row],[Site Name]],SiteDB6[[Site Name]:[Location Type]],8,FALSE)</f>
        <v>Camp</v>
      </c>
      <c r="H64" s="663" t="s">
        <v>298</v>
      </c>
      <c r="I64" s="700">
        <v>1490</v>
      </c>
      <c r="J64" s="700">
        <v>8486</v>
      </c>
      <c r="K64" s="642">
        <v>43435</v>
      </c>
      <c r="L64" s="78">
        <v>43799</v>
      </c>
      <c r="M64" s="378">
        <v>1140</v>
      </c>
      <c r="N64" s="700"/>
      <c r="O64" s="700"/>
      <c r="P64" s="700"/>
      <c r="Q64" s="77" t="s">
        <v>43</v>
      </c>
      <c r="R64" s="377"/>
      <c r="S64" s="377"/>
      <c r="T64" s="377">
        <v>1</v>
      </c>
      <c r="U64" s="377"/>
      <c r="V64" s="377"/>
      <c r="W64" s="377"/>
      <c r="X64" s="377"/>
      <c r="Y64" s="377"/>
      <c r="Z64" s="377"/>
      <c r="AA64" s="377"/>
      <c r="AB64" s="377"/>
      <c r="AC64" s="377"/>
      <c r="AD64" s="377"/>
      <c r="AE64" s="377"/>
      <c r="AF64" s="377"/>
      <c r="AG64" s="377"/>
      <c r="AH64" s="377"/>
      <c r="AI64" s="377"/>
      <c r="AJ64" s="377"/>
      <c r="AK64" s="377"/>
      <c r="AL64" s="377"/>
      <c r="AM64" s="377"/>
      <c r="AN64" s="377"/>
      <c r="AO64" s="215"/>
      <c r="AP64" s="377">
        <v>22</v>
      </c>
      <c r="AQ64" s="377"/>
      <c r="AR64" s="77"/>
      <c r="AS64" s="377"/>
      <c r="AT64" s="377"/>
      <c r="AU64" s="377"/>
      <c r="AV64" s="377"/>
      <c r="AW64" s="377"/>
      <c r="AX64" s="245" t="s">
        <v>43</v>
      </c>
      <c r="AY64" s="245" t="s">
        <v>145</v>
      </c>
      <c r="AZ64" s="377">
        <v>6</v>
      </c>
      <c r="BA64" s="377"/>
      <c r="BB64" s="377"/>
      <c r="BC64" s="215"/>
      <c r="BD64" s="377"/>
      <c r="BE64" s="377"/>
      <c r="BF64" s="377"/>
      <c r="BG64" s="377">
        <v>3</v>
      </c>
      <c r="BH64" s="377"/>
      <c r="BI64" s="377"/>
      <c r="BJ64" s="377">
        <v>2</v>
      </c>
      <c r="BK64" s="377">
        <v>40</v>
      </c>
      <c r="BL64" s="377"/>
      <c r="BM64" s="215" t="s">
        <v>144</v>
      </c>
      <c r="BN64" s="80"/>
      <c r="BO64" s="82"/>
      <c r="BP64" s="215"/>
      <c r="BQ64" s="79" t="str">
        <f>IFERROR(WWWW[[#This Row],['#_Water sources treated]]/WWWW[[#This Row],['#_Water sources tested for contamination]],"no test")</f>
        <v>no test</v>
      </c>
      <c r="BR64" s="82" t="str">
        <f>IFERROR(WWWW[[#This Row],['#_Household received remediation action due to contamination]]/WWWW[[#This Row],['#_Household water samples tested for contamination]],"no test")</f>
        <v>no test</v>
      </c>
      <c r="BS64" s="81" t="str">
        <f>IF(AND(WWWW[[#This Row],[% of water sources treated]]="no test",WWWW[[#This Row],[% Household received corrective actions]]="no test"),"No Test","Tested")</f>
        <v>No Test</v>
      </c>
      <c r="BT64" s="81">
        <f>WWWW[[#This Row],['#_Constructed/existing protected hand dug well]]-WWWW[[#This Row],['#_Non-functional protected hand dug well]]</f>
        <v>1</v>
      </c>
      <c r="BU64" s="81">
        <f>(WWWW[[#This Row],['#_Constructed/Existing tube wells/boreholes/handpumps_WASH_agency]]+WWWW[[#This Row],['#_Non-Cluster partner water tube-wells/boreholes/handpumps]])-WWWW[[#This Row],['#_Non-functional tube wells/boreholes/handpumps]]</f>
        <v>0</v>
      </c>
      <c r="BV64" s="81">
        <f>WWWW[[#This Row],['#_Constructed/Existingwater storage tank with gravity fed reticulation system]]-WWWW[[#This Row],['#_Non-functional storage tank gravity fed reticulation system]]</f>
        <v>0</v>
      </c>
      <c r="BW64" s="81">
        <f>WWWW[[#This Row],['#_Water boating or water trucking]]</f>
        <v>0</v>
      </c>
      <c r="BX64" s="81">
        <f>WWWW[[#This Row],['#_Constructed/Existing water distribution system from river or natural spring]]</f>
        <v>0</v>
      </c>
      <c r="BY64"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4.7136460051850106E-2</v>
      </c>
      <c r="BZ64"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2.9460287532406315E-2</v>
      </c>
      <c r="CA64" s="82">
        <f>IF(WWWW[[#This Row],[Location Type 1]]="Village",WWWW[[#This Row],[Access to safe drinking water for Village]],WWWW[[#This Row],[Access to safe drinking water for Camp]])</f>
        <v>4.7136460051850106E-2</v>
      </c>
      <c r="CB64" s="80">
        <f>WWWW[[#This Row],[%Equitable and continuous access to sufficient quantity of safe drinking water]]*WWWW[[#This Row],[Total PoP ]]</f>
        <v>400</v>
      </c>
      <c r="CC64" s="82">
        <f>IF((WWWW[[#This Row],['#_Constructed/Existing protected/fenced ponds]]*250)/WWWW[[#This Row],[Total PoP ]]&gt;1,1,(WWWW[[#This Row],['#_Constructed/Existing protected/fenced ponds]]*250)/WWWW[[#This Row],[Total PoP ]])</f>
        <v>0</v>
      </c>
      <c r="CD64" s="80">
        <f>WWWW[[#This Row],[% Access to unimproved water points]]*WWWW[[#This Row],[Total PoP ]]</f>
        <v>0</v>
      </c>
      <c r="CE64"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4.7136460051850106E-2</v>
      </c>
      <c r="CF64"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400</v>
      </c>
      <c r="CG64" s="80">
        <f>WWWW[[#This Row],[HRP1]]/500</f>
        <v>0.8</v>
      </c>
      <c r="CH64" s="79">
        <f>1-WWWW[[#This Row],[% Equitable and continuous access to sufficient quantity of domestic water]]</f>
        <v>0.95286353994814987</v>
      </c>
      <c r="CI64" s="80">
        <f>WWWW[[#This Row],[%equitable and continuous access to sufficient quantity of safe drinking and domestic water''s GAP]]*WWWW[[#This Row],[Total PoP ]]</f>
        <v>8086</v>
      </c>
      <c r="CJ64" s="81">
        <f>IF(WWWW[[#This Row],[Total required water points]]-WWWW[[#This Row],['#Water points coverage]]&lt;0,0,WWWW[[#This Row],[Total required water points]]-WWWW[[#This Row],['#Water points coverage]])</f>
        <v>16.2</v>
      </c>
      <c r="CK64" s="81">
        <f>ROUND(IF(WWWW[[#This Row],[Total PoP ]]&lt;500,1,WWWW[[#This Row],[Total PoP ]]/500),0)</f>
        <v>17</v>
      </c>
      <c r="CL64" s="81">
        <f>(WWWW[[#This Row],['#_Constructed latrines_by_WASHAgencies]]+WWWW[[#This Row],['#_Non Cluster partner latrines]])-WWWW[[#This Row],['#_Non-functional latrines]]</f>
        <v>22</v>
      </c>
      <c r="CM64"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5.185010605703512E-2</v>
      </c>
      <c r="CN64"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440</v>
      </c>
      <c r="CO64"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64" s="81">
        <f>IF(WWWW[[#This Row],[Location Type 1]]="Village","NA",IF(WWWW[[#This Row],['#_Constructed/Existing latrines in TLS]]*50&gt;WWWW[[#This Row],['#_students at TLS_CFS]],WWWW[[#This Row],['#_students at TLS_CFS]],(WWWW[[#This Row],['#_Constructed/Existing latrines in TLS]]*50)))</f>
        <v>0</v>
      </c>
      <c r="CQ64" s="81">
        <f>ROUND(IF(WWWW[[#This Row],[Location Type 1]]="camp",WWWW[[#This Row],[Total PoP ]]/20,IF(WWWW[[#This Row],[Location Type 1]]="Temporary Location",WWWW[[#This Row],[Total PoP ]]/50,(WWWW[[#This Row],[Total PoP ]]/6))),0)</f>
        <v>424</v>
      </c>
      <c r="CR64" s="80">
        <f>IF(WWWW[[#This Row],[Total required Latrines]]-(WWWW[[#This Row],['#_Constructed latrines_by_WASHAgencies]]+WWWW[[#This Row],['#_Non Cluster partner latrines]])&lt;0,0,WWWW[[#This Row],[Total required Latrines]]-(WWWW[[#This Row],['#_Constructed latrines_by_WASHAgencies]]+WWWW[[#This Row],['#_Non Cluster partner latrines]]))</f>
        <v>402</v>
      </c>
      <c r="CS64" s="79">
        <f>1-WWWW[[#This Row],[% people access to functioning Latrine]]</f>
        <v>0.94814989394296489</v>
      </c>
      <c r="CT64" s="83">
        <f>IF(OR(WWWW[[#This Row],['#_Non-functional latrines]]="",WWWW[[#This Row],['#_Non-functional latrines]]=0),0,WWWW[[#This Row],['#_Non-functional latrines]]/(WWWW[[#This Row],['#_Constructed latrines_by_WASHAgencies]]+WWWW[[#This Row],['#_Non Cluster partner latrines]]))</f>
        <v>0</v>
      </c>
      <c r="CU64" s="80">
        <f>IF(500*(WWWW[[#This Row],['#_male hygiene promoters]]+WWWW[[#This Row],['#_female hygiene promoters]])&gt;WWWW[[#This Row],[Total PoP ]],WWWW[[#This Row],[Total PoP ]],500*(WWWW[[#This Row],['#_male hygiene promoters]]+WWWW[[#This Row],['#_female hygiene promoters]]))</f>
        <v>1000</v>
      </c>
      <c r="CV64"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200</v>
      </c>
      <c r="CW64"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64" s="81">
        <f>IF(WWWW[[#This Row],['# People with access to soap]]&gt;WWWW[[#This Row],['# People with access to Sanity Pads]],WWWW[[#This Row],['# People with access to soap]],WWWW[[#This Row],['# People with access to Sanity Pads]])</f>
        <v>200</v>
      </c>
      <c r="CY64" s="81">
        <f>IF(WWWW[[#This Row],['# people reached by regular dedicated hygiene promotion_5]]&gt;WWWW[[#This Row],['# People received regular supply of hygiene items_6]],WWWW[[#This Row],['# people reached by regular dedicated hygiene promotion_5]],WWWW[[#This Row],['# People received regular supply of hygiene items_6]])</f>
        <v>1000</v>
      </c>
      <c r="CZ64" s="79">
        <f>IF(WWWW[[#This Row],[HRP3]]/WWWW[[#This Row],[Total PoP ]]&gt;100%,100%,WWWW[[#This Row],[HRP3]]/WWWW[[#This Row],[Total PoP ]])</f>
        <v>0.11784115012962526</v>
      </c>
      <c r="DA64" s="83">
        <f>1-WWWW[[#This Row],[Hygiene Coverage%]]</f>
        <v>0.88215884987037474</v>
      </c>
      <c r="DB64" s="82">
        <f>WWWW[[#This Row],['# people reached by regular dedicated hygiene promotion_5]]/WWWW[[#This Row],[Total PoP ]]</f>
        <v>0.11784115012962526</v>
      </c>
      <c r="DC64" s="82">
        <f>IF(WWWW[[#This Row],['#_households that received standard amount of soap for this quarter]]/WWWW[[#This Row],[Total HH]]&gt;1,1,WWWW[[#This Row],['#_households that received standard amount of soap for this quarter]]/WWWW[[#This Row],[Total HH]])</f>
        <v>2.6845637583892617E-2</v>
      </c>
      <c r="DD64" s="82">
        <f>IF(WWWW[[#This Row],['#_households that received standard amount of sanitary pads for this quarter]]/WWWW[[#This Row],[Total HH]]&gt;1,1,WWWW[[#This Row],['#_households that received standard amount of sanitary pads for this quarter]]/WWWW[[#This Row],[Total HH]])</f>
        <v>0</v>
      </c>
      <c r="DE64" s="81">
        <f>WWWW[[#This Row],['#_Constructed/Existing hand washing stations]]-WWWW[[#This Row],['#_Non-Functional_hand_washing_stations]]</f>
        <v>0</v>
      </c>
      <c r="DF64" s="667">
        <f>IF(WWWW[[#This Row],['# Functional hand washing stations during reporting period]]*20&gt;WWWW[[#This Row],[Total HH]],WWWW[[#This Row],[Total HH]],WWWW[[#This Row],['# Functional hand washing stations during reporting period]]*20)</f>
        <v>0</v>
      </c>
      <c r="DG64" s="80">
        <f>IF(WWWW[[#This Row],[Is sufficient soap available for TLS? (Yes/No)]]="yes",WWWW[[#This Row],['#_Constructed/Existing hand washing stations at TLS]],0)</f>
        <v>0</v>
      </c>
      <c r="DH64" s="667">
        <f>IF(WWWW[[#This Row],['# Functional hand washing stations during reporting period]]*100&gt;WWWW[[#This Row],[Total PoP ]],WWWW[[#This Row],[Total PoP ]],WWWW[[#This Row],['# Functional hand washing stations during reporting period]]*100)</f>
        <v>0</v>
      </c>
      <c r="DI64" s="667" t="str">
        <f>IF(WWWW[[#This Row],['#_students at TLS_CFS]]="","No","Yes")</f>
        <v>Yes</v>
      </c>
      <c r="DJ64" s="245" t="str">
        <f>VLOOKUP(WWWW[[#This Row],[Site Name]],SiteDB6[[Site Name]:[CCCM Management]],6,FALSE)</f>
        <v>Yes</v>
      </c>
      <c r="DK64" s="245" t="str">
        <f>VLOOKUP(WWWW[[#This Row],[Site Name]],SiteDB6[[Site Name]:[CCCM Focal Agency]],7,FALSE)</f>
        <v>KMSS-MYT</v>
      </c>
      <c r="DL64" s="245" t="str">
        <f>VLOOKUP(WWWW[[#This Row],[Site Name]],SiteDB6[[Site Name]:[Location Type 1]],9,FALSE)</f>
        <v>Camp</v>
      </c>
      <c r="DM64" s="245" t="str">
        <f>VLOOKUP(WWWW[[#This Row],[Site Name]],SiteDB6[[Site Name]:[Type of Accommodation]],10,FALSE)</f>
        <v>Camp</v>
      </c>
      <c r="DN64" s="245" t="str">
        <f>VLOOKUP(WWWW[[#This Row],[Site Name]],SiteDB6[[Site Name]:[Ethnic or GCA/NGCA]],11,FALSE)</f>
        <v>NGCA</v>
      </c>
      <c r="DO64" s="245">
        <f>VLOOKUP(WWWW[[#This Row],[Site Name]],SiteDB6[[Site Name]:[Lat]],12,FALSE)</f>
        <v>24.688338999999999</v>
      </c>
      <c r="DP64" s="245">
        <f>VLOOKUP(WWWW[[#This Row],[Site Name]],SiteDB6[[Site Name]:[Long]],13,FALSE)</f>
        <v>97.568331999999998</v>
      </c>
      <c r="DQ64" s="245" t="str">
        <f>VLOOKUP(WWWW[[#This Row],[Site Name]],SiteDB6[[Site Name]:[Pcode]],3,FALSE)</f>
        <v>MMR001CMP121</v>
      </c>
      <c r="DR64" s="215" t="str">
        <f t="shared" si="2"/>
        <v>Covered</v>
      </c>
      <c r="DS64" s="215"/>
      <c r="DT64" s="20"/>
      <c r="DU64" s="20"/>
      <c r="DV64" s="20"/>
      <c r="DW64" s="20"/>
      <c r="DX64" s="20"/>
      <c r="DY64" s="20"/>
      <c r="DZ64" s="20"/>
      <c r="EA64" s="20"/>
      <c r="EB64" s="20"/>
      <c r="EC64" s="20"/>
      <c r="ED64" s="20"/>
      <c r="EE64" s="20"/>
      <c r="EF64" s="20"/>
      <c r="EG64" s="20"/>
      <c r="EH64" s="20"/>
    </row>
    <row r="65" spans="1:138" ht="15.75" customHeight="1">
      <c r="A65" s="259" t="s">
        <v>2525</v>
      </c>
      <c r="B65" s="259" t="s">
        <v>149</v>
      </c>
      <c r="C65" s="663" t="s">
        <v>149</v>
      </c>
      <c r="D65" s="663" t="s">
        <v>152</v>
      </c>
      <c r="E65" s="663" t="s">
        <v>39</v>
      </c>
      <c r="F65" s="663" t="s">
        <v>167</v>
      </c>
      <c r="G65" s="663" t="str">
        <f>VLOOKUP(WWWW[[#This Row],[Site Name]],SiteDB6[[Site Name]:[Location Type]],8,FALSE)</f>
        <v>Camp</v>
      </c>
      <c r="H65" s="663" t="s">
        <v>170</v>
      </c>
      <c r="I65" s="700">
        <v>43</v>
      </c>
      <c r="J65" s="700">
        <v>194</v>
      </c>
      <c r="K65" s="642">
        <v>43556</v>
      </c>
      <c r="L65" s="78">
        <v>43677</v>
      </c>
      <c r="M65" s="700"/>
      <c r="N65" s="700"/>
      <c r="O65" s="700"/>
      <c r="P65" s="700"/>
      <c r="Q65" s="77" t="s">
        <v>43</v>
      </c>
      <c r="R65" s="377"/>
      <c r="S65" s="377"/>
      <c r="T65" s="700">
        <v>0</v>
      </c>
      <c r="U65" s="377"/>
      <c r="V65" s="377"/>
      <c r="W65" s="700">
        <v>1</v>
      </c>
      <c r="X65" s="377"/>
      <c r="Y65" s="377"/>
      <c r="Z65" s="377"/>
      <c r="AA65" s="377"/>
      <c r="AB65" s="377"/>
      <c r="AC65" s="377"/>
      <c r="AD65" s="377"/>
      <c r="AE65" s="377"/>
      <c r="AF65" s="377"/>
      <c r="AG65" s="377"/>
      <c r="AH65" s="700">
        <v>2</v>
      </c>
      <c r="AI65" s="377"/>
      <c r="AJ65" s="377"/>
      <c r="AK65" s="377"/>
      <c r="AL65" s="377"/>
      <c r="AM65" s="377"/>
      <c r="AN65" s="377"/>
      <c r="AO65" s="215"/>
      <c r="AP65" s="700">
        <v>4</v>
      </c>
      <c r="AQ65" s="377"/>
      <c r="AR65" s="77"/>
      <c r="AS65" s="377"/>
      <c r="AT65" s="377"/>
      <c r="AU65" s="377"/>
      <c r="AV65" s="377"/>
      <c r="AW65" s="700">
        <v>8</v>
      </c>
      <c r="AX65" s="245" t="s">
        <v>43</v>
      </c>
      <c r="AY65" s="245" t="s">
        <v>145</v>
      </c>
      <c r="AZ65" s="377"/>
      <c r="BA65" s="377"/>
      <c r="BB65" s="377"/>
      <c r="BC65" s="215"/>
      <c r="BD65" s="377"/>
      <c r="BE65" s="377"/>
      <c r="BF65" s="377"/>
      <c r="BG65" s="377">
        <v>1</v>
      </c>
      <c r="BH65" s="377"/>
      <c r="BI65" s="377"/>
      <c r="BJ65" s="377">
        <v>1</v>
      </c>
      <c r="BK65" s="377"/>
      <c r="BL65" s="377"/>
      <c r="BM65" s="215"/>
      <c r="BN65" s="80"/>
      <c r="BO65" s="82"/>
      <c r="BP65" s="215"/>
      <c r="BQ65" s="79" t="str">
        <f>IFERROR(WWWW[[#This Row],['#_Water sources treated]]/WWWW[[#This Row],['#_Water sources tested for contamination]],"no test")</f>
        <v>no test</v>
      </c>
      <c r="BR65" s="82" t="str">
        <f>IFERROR(WWWW[[#This Row],['#_Household received remediation action due to contamination]]/WWWW[[#This Row],['#_Household water samples tested for contamination]],"no test")</f>
        <v>no test</v>
      </c>
      <c r="BS65" s="81" t="str">
        <f>IF(AND(WWWW[[#This Row],[% of water sources treated]]="no test",WWWW[[#This Row],[% Household received corrective actions]]="no test"),"No Test","Tested")</f>
        <v>No Test</v>
      </c>
      <c r="BT65" s="81">
        <f>WWWW[[#This Row],['#_Constructed/existing protected hand dug well]]-WWWW[[#This Row],['#_Non-functional protected hand dug well]]</f>
        <v>0</v>
      </c>
      <c r="BU65" s="81">
        <f>(WWWW[[#This Row],['#_Constructed/Existing tube wells/boreholes/handpumps_WASH_agency]]+WWWW[[#This Row],['#_Non-Cluster partner water tube-wells/boreholes/handpumps]])-WWWW[[#This Row],['#_Non-functional tube wells/boreholes/handpumps]]</f>
        <v>1</v>
      </c>
      <c r="BV65" s="81">
        <f>WWWW[[#This Row],['#_Constructed/Existingwater storage tank with gravity fed reticulation system]]-WWWW[[#This Row],['#_Non-functional storage tank gravity fed reticulation system]]</f>
        <v>0</v>
      </c>
      <c r="BW65" s="81">
        <f>WWWW[[#This Row],['#_Water boating or water trucking]]</f>
        <v>0</v>
      </c>
      <c r="BX65" s="81">
        <f>WWWW[[#This Row],['#_Constructed/Existing water distribution system from river or natural spring]]</f>
        <v>0</v>
      </c>
      <c r="BY65"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65"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65" s="82">
        <f>IF(WWWW[[#This Row],[Location Type 1]]="Village",WWWW[[#This Row],[Access to safe drinking water for Village]],WWWW[[#This Row],[Access to safe drinking water for Camp]])</f>
        <v>1</v>
      </c>
      <c r="CB65" s="80">
        <f>WWWW[[#This Row],[%Equitable and continuous access to sufficient quantity of safe drinking water]]*WWWW[[#This Row],[Total PoP ]]</f>
        <v>194</v>
      </c>
      <c r="CC65" s="82">
        <f>IF((WWWW[[#This Row],['#_Constructed/Existing protected/fenced ponds]]*250)/WWWW[[#This Row],[Total PoP ]]&gt;1,1,(WWWW[[#This Row],['#_Constructed/Existing protected/fenced ponds]]*250)/WWWW[[#This Row],[Total PoP ]])</f>
        <v>0</v>
      </c>
      <c r="CD65" s="80">
        <f>WWWW[[#This Row],[% Access to unimproved water points]]*WWWW[[#This Row],[Total PoP ]]</f>
        <v>0</v>
      </c>
      <c r="CE65"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65"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194</v>
      </c>
      <c r="CG65" s="80">
        <f>WWWW[[#This Row],[HRP1]]/500</f>
        <v>0.38800000000000001</v>
      </c>
      <c r="CH65" s="79">
        <f>1-WWWW[[#This Row],[% Equitable and continuous access to sufficient quantity of domestic water]]</f>
        <v>0</v>
      </c>
      <c r="CI65" s="80">
        <f>WWWW[[#This Row],[%equitable and continuous access to sufficient quantity of safe drinking and domestic water''s GAP]]*WWWW[[#This Row],[Total PoP ]]</f>
        <v>0</v>
      </c>
      <c r="CJ65" s="81">
        <f>IF(WWWW[[#This Row],[Total required water points]]-WWWW[[#This Row],['#Water points coverage]]&lt;0,0,WWWW[[#This Row],[Total required water points]]-WWWW[[#This Row],['#Water points coverage]])</f>
        <v>0.61199999999999999</v>
      </c>
      <c r="CK65" s="81">
        <f>ROUND(IF(WWWW[[#This Row],[Total PoP ]]&lt;500,1,WWWW[[#This Row],[Total PoP ]]/500),0)</f>
        <v>1</v>
      </c>
      <c r="CL65" s="81">
        <f>(WWWW[[#This Row],['#_Constructed latrines_by_WASHAgencies]]+WWWW[[#This Row],['#_Non Cluster partner latrines]])-WWWW[[#This Row],['#_Non-functional latrines]]</f>
        <v>4</v>
      </c>
      <c r="CM65"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0.41237113402061853</v>
      </c>
      <c r="CN65"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80</v>
      </c>
      <c r="CO65"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65" s="81">
        <f>IF(WWWW[[#This Row],[Location Type 1]]="Village","NA",IF(WWWW[[#This Row],['#_Constructed/Existing latrines in TLS]]*50&gt;WWWW[[#This Row],['#_students at TLS_CFS]],WWWW[[#This Row],['#_students at TLS_CFS]],(WWWW[[#This Row],['#_Constructed/Existing latrines in TLS]]*50)))</f>
        <v>0</v>
      </c>
      <c r="CQ65" s="81">
        <f>ROUND(IF(WWWW[[#This Row],[Location Type 1]]="camp",WWWW[[#This Row],[Total PoP ]]/20,IF(WWWW[[#This Row],[Location Type 1]]="Temporary Location",WWWW[[#This Row],[Total PoP ]]/50,(WWWW[[#This Row],[Total PoP ]]/6))),0)</f>
        <v>10</v>
      </c>
      <c r="CR65" s="80">
        <f>IF(WWWW[[#This Row],[Total required Latrines]]-(WWWW[[#This Row],['#_Constructed latrines_by_WASHAgencies]]+WWWW[[#This Row],['#_Non Cluster partner latrines]])&lt;0,0,WWWW[[#This Row],[Total required Latrines]]-(WWWW[[#This Row],['#_Constructed latrines_by_WASHAgencies]]+WWWW[[#This Row],['#_Non Cluster partner latrines]]))</f>
        <v>6</v>
      </c>
      <c r="CS65" s="79">
        <f>1-WWWW[[#This Row],[% people access to functioning Latrine]]</f>
        <v>0.58762886597938147</v>
      </c>
      <c r="CT65" s="83">
        <f>IF(OR(WWWW[[#This Row],['#_Non-functional latrines]]="",WWWW[[#This Row],['#_Non-functional latrines]]=0),0,WWWW[[#This Row],['#_Non-functional latrines]]/(WWWW[[#This Row],['#_Constructed latrines_by_WASHAgencies]]+WWWW[[#This Row],['#_Non Cluster partner latrines]]))</f>
        <v>0</v>
      </c>
      <c r="CU65" s="80">
        <f>IF(500*(WWWW[[#This Row],['#_male hygiene promoters]]+WWWW[[#This Row],['#_female hygiene promoters]])&gt;WWWW[[#This Row],[Total PoP ]],WWWW[[#This Row],[Total PoP ]],500*(WWWW[[#This Row],['#_male hygiene promoters]]+WWWW[[#This Row],['#_female hygiene promoters]]))</f>
        <v>194</v>
      </c>
      <c r="CV65"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65"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65" s="81">
        <f>IF(WWWW[[#This Row],['# People with access to soap]]&gt;WWWW[[#This Row],['# People with access to Sanity Pads]],WWWW[[#This Row],['# People with access to soap]],WWWW[[#This Row],['# People with access to Sanity Pads]])</f>
        <v>0</v>
      </c>
      <c r="CY65" s="81">
        <f>IF(WWWW[[#This Row],['# people reached by regular dedicated hygiene promotion_5]]&gt;WWWW[[#This Row],['# People received regular supply of hygiene items_6]],WWWW[[#This Row],['# people reached by regular dedicated hygiene promotion_5]],WWWW[[#This Row],['# People received regular supply of hygiene items_6]])</f>
        <v>194</v>
      </c>
      <c r="CZ65" s="79">
        <f>IF(WWWW[[#This Row],[HRP3]]/WWWW[[#This Row],[Total PoP ]]&gt;100%,100%,WWWW[[#This Row],[HRP3]]/WWWW[[#This Row],[Total PoP ]])</f>
        <v>1</v>
      </c>
      <c r="DA65" s="83">
        <f>1-WWWW[[#This Row],[Hygiene Coverage%]]</f>
        <v>0</v>
      </c>
      <c r="DB65" s="82">
        <f>WWWW[[#This Row],['# people reached by regular dedicated hygiene promotion_5]]/WWWW[[#This Row],[Total PoP ]]</f>
        <v>1</v>
      </c>
      <c r="DC65" s="82">
        <f>IF(WWWW[[#This Row],['#_households that received standard amount of soap for this quarter]]/WWWW[[#This Row],[Total HH]]&gt;1,1,WWWW[[#This Row],['#_households that received standard amount of soap for this quarter]]/WWWW[[#This Row],[Total HH]])</f>
        <v>0</v>
      </c>
      <c r="DD65" s="82">
        <f>IF(WWWW[[#This Row],['#_households that received standard amount of sanitary pads for this quarter]]/WWWW[[#This Row],[Total HH]]&gt;1,1,WWWW[[#This Row],['#_households that received standard amount of sanitary pads for this quarter]]/WWWW[[#This Row],[Total HH]])</f>
        <v>0</v>
      </c>
      <c r="DE65" s="81">
        <f>WWWW[[#This Row],['#_Constructed/Existing hand washing stations]]-WWWW[[#This Row],['#_Non-Functional_hand_washing_stations]]</f>
        <v>0</v>
      </c>
      <c r="DF65" s="667">
        <f>IF(WWWW[[#This Row],['# Functional hand washing stations during reporting period]]*20&gt;WWWW[[#This Row],[Total HH]],WWWW[[#This Row],[Total HH]],WWWW[[#This Row],['# Functional hand washing stations during reporting period]]*20)</f>
        <v>0</v>
      </c>
      <c r="DG65" s="80">
        <f>IF(WWWW[[#This Row],[Is sufficient soap available for TLS? (Yes/No)]]="yes",WWWW[[#This Row],['#_Constructed/Existing hand washing stations at TLS]],0)</f>
        <v>0</v>
      </c>
      <c r="DH65" s="667">
        <f>IF(WWWW[[#This Row],['# Functional hand washing stations during reporting period]]*100&gt;WWWW[[#This Row],[Total PoP ]],WWWW[[#This Row],[Total PoP ]],WWWW[[#This Row],['# Functional hand washing stations during reporting period]]*100)</f>
        <v>0</v>
      </c>
      <c r="DI65" s="667" t="str">
        <f>IF(WWWW[[#This Row],['#_students at TLS_CFS]]="","No","Yes")</f>
        <v>No</v>
      </c>
      <c r="DJ65" s="245" t="str">
        <f>VLOOKUP(WWWW[[#This Row],[Site Name]],SiteDB6[[Site Name]:[CCCM Management]],6,FALSE)</f>
        <v>Yes</v>
      </c>
      <c r="DK65" s="245" t="str">
        <f>VLOOKUP(WWWW[[#This Row],[Site Name]],SiteDB6[[Site Name]:[CCCM Focal Agency]],7,FALSE)</f>
        <v>KBC</v>
      </c>
      <c r="DL65" s="245" t="str">
        <f>VLOOKUP(WWWW[[#This Row],[Site Name]],SiteDB6[[Site Name]:[Location Type 1]],9,FALSE)</f>
        <v>Camp</v>
      </c>
      <c r="DM65" s="245" t="str">
        <f>VLOOKUP(WWWW[[#This Row],[Site Name]],SiteDB6[[Site Name]:[Type of Accommodation]],10,FALSE)</f>
        <v>Closed Camp</v>
      </c>
      <c r="DN65" s="245" t="str">
        <f>VLOOKUP(WWWW[[#This Row],[Site Name]],SiteDB6[[Site Name]:[Ethnic or GCA/NGCA]],11,FALSE)</f>
        <v>GCA</v>
      </c>
      <c r="DO65" s="245">
        <f>VLOOKUP(WWWW[[#This Row],[Site Name]],SiteDB6[[Site Name]:[Lat]],12,FALSE)</f>
        <v>25.36600361</v>
      </c>
      <c r="DP65" s="245">
        <f>VLOOKUP(WWWW[[#This Row],[Site Name]],SiteDB6[[Site Name]:[Long]],13,FALSE)</f>
        <v>97.405202779999996</v>
      </c>
      <c r="DQ65" s="245" t="str">
        <f>VLOOKUP(WWWW[[#This Row],[Site Name]],SiteDB6[[Site Name]:[Pcode]],3,FALSE)</f>
        <v>MMR001CMP013</v>
      </c>
      <c r="DR65" s="215" t="str">
        <f t="shared" si="2"/>
        <v>Covered</v>
      </c>
      <c r="DS65" s="215"/>
      <c r="DT65" s="20"/>
      <c r="DU65" s="20"/>
      <c r="DV65" s="20"/>
      <c r="DW65" s="20"/>
      <c r="DX65" s="20"/>
      <c r="DY65" s="20"/>
      <c r="DZ65" s="20"/>
      <c r="EA65" s="20"/>
      <c r="EB65" s="20"/>
      <c r="EC65" s="20"/>
      <c r="ED65" s="20"/>
      <c r="EE65" s="20"/>
      <c r="EF65" s="20"/>
      <c r="EG65" s="20"/>
      <c r="EH65" s="20"/>
    </row>
    <row r="66" spans="1:138" ht="15.75" customHeight="1">
      <c r="A66" s="259" t="s">
        <v>2525</v>
      </c>
      <c r="B66" s="663" t="s">
        <v>38</v>
      </c>
      <c r="C66" s="663" t="s">
        <v>38</v>
      </c>
      <c r="D66" s="663" t="s">
        <v>3119</v>
      </c>
      <c r="E66" s="663" t="s">
        <v>39</v>
      </c>
      <c r="F66" s="663" t="s">
        <v>150</v>
      </c>
      <c r="G66" s="663" t="str">
        <f>VLOOKUP(WWWW[[#This Row],[Site Name]],SiteDB6[[Site Name]:[Location Type]],8,FALSE)</f>
        <v>Camp</v>
      </c>
      <c r="H66" s="663" t="s">
        <v>245</v>
      </c>
      <c r="I66" s="700">
        <v>283</v>
      </c>
      <c r="J66" s="700">
        <v>1481</v>
      </c>
      <c r="K66" s="642" t="s">
        <v>2986</v>
      </c>
      <c r="L66" s="78" t="s">
        <v>2980</v>
      </c>
      <c r="M66" s="700">
        <v>85</v>
      </c>
      <c r="N66" s="700"/>
      <c r="O66" s="700"/>
      <c r="P66" s="700"/>
      <c r="Q66" s="663" t="s">
        <v>43</v>
      </c>
      <c r="R66" s="700"/>
      <c r="S66" s="700"/>
      <c r="T66" s="700">
        <v>10</v>
      </c>
      <c r="U66" s="700"/>
      <c r="V66" s="700">
        <v>1</v>
      </c>
      <c r="W66" s="700"/>
      <c r="X66" s="700"/>
      <c r="Y66" s="700"/>
      <c r="Z66" s="700"/>
      <c r="AA66" s="700"/>
      <c r="AB66" s="700"/>
      <c r="AC66" s="700"/>
      <c r="AD66" s="700"/>
      <c r="AE66" s="700"/>
      <c r="AF66" s="700"/>
      <c r="AG66" s="700"/>
      <c r="AH66" s="700"/>
      <c r="AI66" s="700"/>
      <c r="AJ66" s="700"/>
      <c r="AK66" s="700"/>
      <c r="AL66" s="700"/>
      <c r="AM66" s="700"/>
      <c r="AN66" s="700"/>
      <c r="AO66" s="667"/>
      <c r="AP66" s="719">
        <v>97</v>
      </c>
      <c r="AQ66" s="663"/>
      <c r="AR66" s="663"/>
      <c r="AS66" s="667"/>
      <c r="AT66" s="663"/>
      <c r="AU66" s="667"/>
      <c r="AV66" s="667"/>
      <c r="AW66" s="81"/>
      <c r="AX66" s="81" t="s">
        <v>43</v>
      </c>
      <c r="AY66" s="81" t="s">
        <v>145</v>
      </c>
      <c r="AZ66" s="81">
        <v>4</v>
      </c>
      <c r="BA66" s="81"/>
      <c r="BB66" s="667"/>
      <c r="BC66" s="667"/>
      <c r="BD66" s="667"/>
      <c r="BE66" s="667"/>
      <c r="BF66" s="667"/>
      <c r="BG66" s="720">
        <v>6</v>
      </c>
      <c r="BH66" s="667"/>
      <c r="BI66" s="700"/>
      <c r="BJ66" s="700">
        <v>4</v>
      </c>
      <c r="BK66" s="721">
        <v>40</v>
      </c>
      <c r="BL66" s="667"/>
      <c r="BM66" s="667" t="s">
        <v>144</v>
      </c>
      <c r="BN66" s="667"/>
      <c r="BO66" s="82"/>
      <c r="BP66" s="667"/>
      <c r="BQ66" s="79" t="str">
        <f>IFERROR(WWWW[[#This Row],['#_Water sources treated]]/WWWW[[#This Row],['#_Water sources tested for contamination]],"no test")</f>
        <v>no test</v>
      </c>
      <c r="BR66" s="82" t="str">
        <f>IFERROR(WWWW[[#This Row],['#_Household received remediation action due to contamination]]/WWWW[[#This Row],['#_Household water samples tested for contamination]],"no test")</f>
        <v>no test</v>
      </c>
      <c r="BS66" s="81" t="str">
        <f>IF(AND(WWWW[[#This Row],[% of water sources treated]]="no test",WWWW[[#This Row],[% Household received corrective actions]]="no test"),"No Test","Tested")</f>
        <v>No Test</v>
      </c>
      <c r="BT66" s="81">
        <f>WWWW[[#This Row],['#_Constructed/existing protected hand dug well]]-WWWW[[#This Row],['#_Non-functional protected hand dug well]]</f>
        <v>10</v>
      </c>
      <c r="BU66" s="81">
        <f>(WWWW[[#This Row],['#_Constructed/Existing tube wells/boreholes/handpumps_WASH_agency]]+WWWW[[#This Row],['#_Non-Cluster partner water tube-wells/boreholes/handpumps]])-WWWW[[#This Row],['#_Non-functional tube wells/boreholes/handpumps]]</f>
        <v>0</v>
      </c>
      <c r="BV66" s="81">
        <f>WWWW[[#This Row],['#_Constructed/Existingwater storage tank with gravity fed reticulation system]]-WWWW[[#This Row],['#_Non-functional storage tank gravity fed reticulation system]]</f>
        <v>0</v>
      </c>
      <c r="BW66" s="81">
        <f>WWWW[[#This Row],['#_Water boating or water trucking]]</f>
        <v>0</v>
      </c>
      <c r="BX66" s="81">
        <f>WWWW[[#This Row],['#_Constructed/Existing water distribution system from river or natural spring]]</f>
        <v>0</v>
      </c>
      <c r="BY66"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66"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66" s="82">
        <f>IF(WWWW[[#This Row],[Location Type 1]]="Village",WWWW[[#This Row],[Access to safe drinking water for Village]],WWWW[[#This Row],[Access to safe drinking water for Camp]])</f>
        <v>1</v>
      </c>
      <c r="CB66" s="80">
        <f>WWWW[[#This Row],[%Equitable and continuous access to sufficient quantity of safe drinking water]]*WWWW[[#This Row],[Total PoP ]]</f>
        <v>1481</v>
      </c>
      <c r="CC66" s="82">
        <f>IF((WWWW[[#This Row],['#_Constructed/Existing protected/fenced ponds]]*250)/WWWW[[#This Row],[Total PoP ]]&gt;1,1,(WWWW[[#This Row],['#_Constructed/Existing protected/fenced ponds]]*250)/WWWW[[#This Row],[Total PoP ]])</f>
        <v>0</v>
      </c>
      <c r="CD66" s="80">
        <f>WWWW[[#This Row],[% Access to unimproved water points]]*WWWW[[#This Row],[Total PoP ]]</f>
        <v>0</v>
      </c>
      <c r="CE66"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66"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1481</v>
      </c>
      <c r="CG66" s="80">
        <f>WWWW[[#This Row],[HRP1]]/500</f>
        <v>2.9620000000000002</v>
      </c>
      <c r="CH66" s="79">
        <f>1-WWWW[[#This Row],[% Equitable and continuous access to sufficient quantity of domestic water]]</f>
        <v>0</v>
      </c>
      <c r="CI66" s="80">
        <f>WWWW[[#This Row],[%equitable and continuous access to sufficient quantity of safe drinking and domestic water''s GAP]]*WWWW[[#This Row],[Total PoP ]]</f>
        <v>0</v>
      </c>
      <c r="CJ66" s="81">
        <f>IF(WWWW[[#This Row],[Total required water points]]-WWWW[[#This Row],['#Water points coverage]]&lt;0,0,WWWW[[#This Row],[Total required water points]]-WWWW[[#This Row],['#Water points coverage]])</f>
        <v>3.7999999999999812E-2</v>
      </c>
      <c r="CK66" s="81">
        <f>ROUND(IF(WWWW[[#This Row],[Total PoP ]]&lt;500,1,WWWW[[#This Row],[Total PoP ]]/500),0)</f>
        <v>3</v>
      </c>
      <c r="CL66" s="81">
        <f>(WWWW[[#This Row],['#_Constructed latrines_by_WASHAgencies]]+WWWW[[#This Row],['#_Non Cluster partner latrines]])-WWWW[[#This Row],['#_Non-functional latrines]]</f>
        <v>97</v>
      </c>
      <c r="CM66"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66"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1481</v>
      </c>
      <c r="CO66"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66" s="81">
        <f>IF(WWWW[[#This Row],[Location Type 1]]="Village","NA",IF(WWWW[[#This Row],['#_Constructed/Existing latrines in TLS]]*50&gt;WWWW[[#This Row],['#_students at TLS_CFS]],WWWW[[#This Row],['#_students at TLS_CFS]],(WWWW[[#This Row],['#_Constructed/Existing latrines in TLS]]*50)))</f>
        <v>0</v>
      </c>
      <c r="CQ66" s="81">
        <f>ROUND(IF(WWWW[[#This Row],[Location Type 1]]="camp",WWWW[[#This Row],[Total PoP ]]/20,IF(WWWW[[#This Row],[Location Type 1]]="Temporary Location",WWWW[[#This Row],[Total PoP ]]/50,(WWWW[[#This Row],[Total PoP ]]/6))),0)</f>
        <v>74</v>
      </c>
      <c r="CR66" s="80">
        <f>IF(WWWW[[#This Row],[Total required Latrines]]-(WWWW[[#This Row],['#_Constructed latrines_by_WASHAgencies]]+WWWW[[#This Row],['#_Non Cluster partner latrines]])&lt;0,0,WWWW[[#This Row],[Total required Latrines]]-(WWWW[[#This Row],['#_Constructed latrines_by_WASHAgencies]]+WWWW[[#This Row],['#_Non Cluster partner latrines]]))</f>
        <v>0</v>
      </c>
      <c r="CS66" s="79">
        <f>1-WWWW[[#This Row],[% people access to functioning Latrine]]</f>
        <v>0</v>
      </c>
      <c r="CT66" s="83">
        <f>IF(OR(WWWW[[#This Row],['#_Non-functional latrines]]="",WWWW[[#This Row],['#_Non-functional latrines]]=0),0,WWWW[[#This Row],['#_Non-functional latrines]]/(WWWW[[#This Row],['#_Constructed latrines_by_WASHAgencies]]+WWWW[[#This Row],['#_Non Cluster partner latrines]]))</f>
        <v>0</v>
      </c>
      <c r="CU66" s="80">
        <f>IF(500*(WWWW[[#This Row],['#_male hygiene promoters]]+WWWW[[#This Row],['#_female hygiene promoters]])&gt;WWWW[[#This Row],[Total PoP ]],WWWW[[#This Row],[Total PoP ]],500*(WWWW[[#This Row],['#_male hygiene promoters]]+WWWW[[#This Row],['#_female hygiene promoters]]))</f>
        <v>1481</v>
      </c>
      <c r="CV66"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200</v>
      </c>
      <c r="CW66"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66" s="81">
        <f>IF(WWWW[[#This Row],['# People with access to soap]]&gt;WWWW[[#This Row],['# People with access to Sanity Pads]],WWWW[[#This Row],['# People with access to soap]],WWWW[[#This Row],['# People with access to Sanity Pads]])</f>
        <v>200</v>
      </c>
      <c r="CY66" s="81">
        <f>IF(WWWW[[#This Row],['# people reached by regular dedicated hygiene promotion_5]]&gt;WWWW[[#This Row],['# People received regular supply of hygiene items_6]],WWWW[[#This Row],['# people reached by regular dedicated hygiene promotion_5]],WWWW[[#This Row],['# People received regular supply of hygiene items_6]])</f>
        <v>1481</v>
      </c>
      <c r="CZ66" s="79">
        <f>IF(WWWW[[#This Row],[HRP3]]/WWWW[[#This Row],[Total PoP ]]&gt;100%,100%,WWWW[[#This Row],[HRP3]]/WWWW[[#This Row],[Total PoP ]])</f>
        <v>1</v>
      </c>
      <c r="DA66" s="83">
        <f>1-WWWW[[#This Row],[Hygiene Coverage%]]</f>
        <v>0</v>
      </c>
      <c r="DB66" s="82">
        <f>WWWW[[#This Row],['# people reached by regular dedicated hygiene promotion_5]]/WWWW[[#This Row],[Total PoP ]]</f>
        <v>1</v>
      </c>
      <c r="DC66" s="82">
        <f>IF(WWWW[[#This Row],['#_households that received standard amount of soap for this quarter]]/WWWW[[#This Row],[Total HH]]&gt;1,1,WWWW[[#This Row],['#_households that received standard amount of soap for this quarter]]/WWWW[[#This Row],[Total HH]])</f>
        <v>0.14134275618374559</v>
      </c>
      <c r="DD66" s="82">
        <f>IF(WWWW[[#This Row],['#_households that received standard amount of sanitary pads for this quarter]]/WWWW[[#This Row],[Total HH]]&gt;1,1,WWWW[[#This Row],['#_households that received standard amount of sanitary pads for this quarter]]/WWWW[[#This Row],[Total HH]])</f>
        <v>0</v>
      </c>
      <c r="DE66" s="81">
        <f>WWWW[[#This Row],['#_Constructed/Existing hand washing stations]]-WWWW[[#This Row],['#_Non-Functional_hand_washing_stations]]</f>
        <v>0</v>
      </c>
      <c r="DF66" s="667">
        <f>IF(WWWW[[#This Row],['# Functional hand washing stations during reporting period]]*20&gt;WWWW[[#This Row],[Total HH]],WWWW[[#This Row],[Total HH]],WWWW[[#This Row],['# Functional hand washing stations during reporting period]]*20)</f>
        <v>0</v>
      </c>
      <c r="DG66" s="80">
        <f>IF(WWWW[[#This Row],[Is sufficient soap available for TLS? (Yes/No)]]="yes",WWWW[[#This Row],['#_Constructed/Existing hand washing stations at TLS]],0)</f>
        <v>0</v>
      </c>
      <c r="DH66" s="667">
        <f>IF(WWWW[[#This Row],['# Functional hand washing stations during reporting period]]*100&gt;WWWW[[#This Row],[Total PoP ]],WWWW[[#This Row],[Total PoP ]],WWWW[[#This Row],['# Functional hand washing stations during reporting period]]*100)</f>
        <v>0</v>
      </c>
      <c r="DI66" s="667" t="str">
        <f>IF(WWWW[[#This Row],['#_students at TLS_CFS]]="","No","Yes")</f>
        <v>Yes</v>
      </c>
      <c r="DJ66" s="245" t="str">
        <f>VLOOKUP(WWWW[[#This Row],[Site Name]],SiteDB6[[Site Name]:[CCCM Management]],6,FALSE)</f>
        <v>Yes</v>
      </c>
      <c r="DK66" s="245" t="str">
        <f>VLOOKUP(WWWW[[#This Row],[Site Name]],SiteDB6[[Site Name]:[CCCM Focal Agency]],7,FALSE)</f>
        <v>KMSS-MYT</v>
      </c>
      <c r="DL66" s="245" t="str">
        <f>VLOOKUP(WWWW[[#This Row],[Site Name]],SiteDB6[[Site Name]:[Location Type 1]],9,FALSE)</f>
        <v>Camp</v>
      </c>
      <c r="DM66" s="245" t="str">
        <f>VLOOKUP(WWWW[[#This Row],[Site Name]],SiteDB6[[Site Name]:[Type of Accommodation]],10,FALSE)</f>
        <v>Camp</v>
      </c>
      <c r="DN66" s="245" t="str">
        <f>VLOOKUP(WWWW[[#This Row],[Site Name]],SiteDB6[[Site Name]:[Ethnic or GCA/NGCA]],11,FALSE)</f>
        <v>GCA</v>
      </c>
      <c r="DO66" s="245">
        <f>VLOOKUP(WWWW[[#This Row],[Site Name]],SiteDB6[[Site Name]:[Lat]],12,FALSE)</f>
        <v>25.415667500000001</v>
      </c>
      <c r="DP66" s="245">
        <f>VLOOKUP(WWWW[[#This Row],[Site Name]],SiteDB6[[Site Name]:[Long]],13,FALSE)</f>
        <v>97.437782499999997</v>
      </c>
      <c r="DQ66" s="245" t="str">
        <f>VLOOKUP(WWWW[[#This Row],[Site Name]],SiteDB6[[Site Name]:[Pcode]],3,FALSE)</f>
        <v>MMR001CMP029</v>
      </c>
      <c r="DR66" s="215" t="str">
        <f t="shared" si="2"/>
        <v>Covered</v>
      </c>
      <c r="DS66" s="215"/>
      <c r="DT66" s="20"/>
      <c r="DU66" s="20"/>
      <c r="DV66" s="20"/>
      <c r="DW66" s="20"/>
      <c r="DX66" s="20"/>
      <c r="DY66" s="20"/>
      <c r="DZ66" s="20"/>
      <c r="EA66" s="20"/>
      <c r="EB66" s="20"/>
      <c r="EC66" s="20"/>
      <c r="ED66" s="20"/>
      <c r="EE66" s="20"/>
      <c r="EF66" s="20"/>
      <c r="EG66" s="20"/>
      <c r="EH66" s="20"/>
    </row>
    <row r="67" spans="1:138" ht="15.75" customHeight="1">
      <c r="A67" s="259" t="s">
        <v>2525</v>
      </c>
      <c r="B67" s="663" t="s">
        <v>38</v>
      </c>
      <c r="C67" s="663" t="s">
        <v>38</v>
      </c>
      <c r="D67" s="663" t="s">
        <v>42</v>
      </c>
      <c r="E67" s="663" t="s">
        <v>39</v>
      </c>
      <c r="F67" s="663" t="s">
        <v>40</v>
      </c>
      <c r="G67" s="663" t="str">
        <f>VLOOKUP(WWWW[[#This Row],[Site Name]],SiteDB6[[Site Name]:[Location Type]],8,FALSE)</f>
        <v>Camp</v>
      </c>
      <c r="H67" s="663" t="s">
        <v>41</v>
      </c>
      <c r="I67" s="700">
        <v>154</v>
      </c>
      <c r="J67" s="700">
        <v>694</v>
      </c>
      <c r="K67" s="642"/>
      <c r="L67" s="78">
        <v>44196</v>
      </c>
      <c r="M67" s="700"/>
      <c r="N67" s="700"/>
      <c r="O67" s="700"/>
      <c r="P67" s="700"/>
      <c r="Q67" s="77"/>
      <c r="R67" s="377"/>
      <c r="S67" s="377"/>
      <c r="T67" s="377">
        <v>1</v>
      </c>
      <c r="U67" s="377"/>
      <c r="V67" s="377"/>
      <c r="W67" s="377">
        <v>3</v>
      </c>
      <c r="X67" s="377">
        <v>2</v>
      </c>
      <c r="Y67" s="377"/>
      <c r="Z67" s="377"/>
      <c r="AA67" s="377"/>
      <c r="AB67" s="377"/>
      <c r="AC67" s="377"/>
      <c r="AD67" s="377"/>
      <c r="AE67" s="377"/>
      <c r="AF67" s="377"/>
      <c r="AG67" s="377"/>
      <c r="AH67" s="377"/>
      <c r="AI67" s="377"/>
      <c r="AJ67" s="377"/>
      <c r="AK67" s="377"/>
      <c r="AL67" s="377"/>
      <c r="AM67" s="377"/>
      <c r="AN67" s="377"/>
      <c r="AO67" s="215"/>
      <c r="AP67" s="377">
        <v>61</v>
      </c>
      <c r="AQ67" s="377"/>
      <c r="AR67" s="77"/>
      <c r="AS67" s="377">
        <v>13</v>
      </c>
      <c r="AT67" s="377">
        <v>10</v>
      </c>
      <c r="AU67" s="377"/>
      <c r="AV67" s="377"/>
      <c r="AW67" s="377"/>
      <c r="AX67" s="245" t="s">
        <v>43</v>
      </c>
      <c r="AY67" s="245" t="s">
        <v>145</v>
      </c>
      <c r="AZ67" s="377"/>
      <c r="BA67" s="377"/>
      <c r="BB67" s="377"/>
      <c r="BC67" s="215"/>
      <c r="BD67" s="377">
        <v>10</v>
      </c>
      <c r="BE67" s="377"/>
      <c r="BF67" s="377"/>
      <c r="BG67" s="377">
        <v>7</v>
      </c>
      <c r="BH67" s="377">
        <v>0</v>
      </c>
      <c r="BI67" s="377"/>
      <c r="BJ67" s="377">
        <v>2</v>
      </c>
      <c r="BK67" s="377">
        <v>694</v>
      </c>
      <c r="BL67" s="377"/>
      <c r="BM67" s="215"/>
      <c r="BN67" s="80"/>
      <c r="BO67" s="82"/>
      <c r="BP67" s="215" t="s">
        <v>2969</v>
      </c>
      <c r="BQ67" s="79" t="str">
        <f>IFERROR(WWWW[[#This Row],['#_Water sources treated]]/WWWW[[#This Row],['#_Water sources tested for contamination]],"no test")</f>
        <v>no test</v>
      </c>
      <c r="BR67" s="82" t="str">
        <f>IFERROR(WWWW[[#This Row],['#_Household received remediation action due to contamination]]/WWWW[[#This Row],['#_Household water samples tested for contamination]],"no test")</f>
        <v>no test</v>
      </c>
      <c r="BS67" s="81" t="str">
        <f>IF(AND(WWWW[[#This Row],[% of water sources treated]]="no test",WWWW[[#This Row],[% Household received corrective actions]]="no test"),"No Test","Tested")</f>
        <v>No Test</v>
      </c>
      <c r="BT67" s="81">
        <f>WWWW[[#This Row],['#_Constructed/existing protected hand dug well]]-WWWW[[#This Row],['#_Non-functional protected hand dug well]]</f>
        <v>1</v>
      </c>
      <c r="BU67" s="81">
        <f>(WWWW[[#This Row],['#_Constructed/Existing tube wells/boreholes/handpumps_WASH_agency]]+WWWW[[#This Row],['#_Non-Cluster partner water tube-wells/boreholes/handpumps]])-WWWW[[#This Row],['#_Non-functional tube wells/boreholes/handpumps]]</f>
        <v>5</v>
      </c>
      <c r="BV67" s="81">
        <f>WWWW[[#This Row],['#_Constructed/Existingwater storage tank with gravity fed reticulation system]]-WWWW[[#This Row],['#_Non-functional storage tank gravity fed reticulation system]]</f>
        <v>0</v>
      </c>
      <c r="BW67" s="81">
        <f>WWWW[[#This Row],['#_Water boating or water trucking]]</f>
        <v>0</v>
      </c>
      <c r="BX67" s="81">
        <f>WWWW[[#This Row],['#_Constructed/Existing water distribution system from river or natural spring]]</f>
        <v>0</v>
      </c>
      <c r="BY67"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67"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67" s="82">
        <f>IF(WWWW[[#This Row],[Location Type 1]]="Village",WWWW[[#This Row],[Access to safe drinking water for Village]],WWWW[[#This Row],[Access to safe drinking water for Camp]])</f>
        <v>1</v>
      </c>
      <c r="CB67" s="80">
        <f>WWWW[[#This Row],[%Equitable and continuous access to sufficient quantity of safe drinking water]]*WWWW[[#This Row],[Total PoP ]]</f>
        <v>694</v>
      </c>
      <c r="CC67" s="82">
        <f>IF((WWWW[[#This Row],['#_Constructed/Existing protected/fenced ponds]]*250)/WWWW[[#This Row],[Total PoP ]]&gt;1,1,(WWWW[[#This Row],['#_Constructed/Existing protected/fenced ponds]]*250)/WWWW[[#This Row],[Total PoP ]])</f>
        <v>0</v>
      </c>
      <c r="CD67" s="80">
        <f>WWWW[[#This Row],[% Access to unimproved water points]]*WWWW[[#This Row],[Total PoP ]]</f>
        <v>0</v>
      </c>
      <c r="CE67"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67"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694</v>
      </c>
      <c r="CG67" s="80">
        <f>WWWW[[#This Row],[HRP1]]/500</f>
        <v>1.3879999999999999</v>
      </c>
      <c r="CH67" s="79">
        <f>1-WWWW[[#This Row],[% Equitable and continuous access to sufficient quantity of domestic water]]</f>
        <v>0</v>
      </c>
      <c r="CI67" s="80">
        <f>WWWW[[#This Row],[%equitable and continuous access to sufficient quantity of safe drinking and domestic water''s GAP]]*WWWW[[#This Row],[Total PoP ]]</f>
        <v>0</v>
      </c>
      <c r="CJ67" s="81">
        <f>IF(WWWW[[#This Row],[Total required water points]]-WWWW[[#This Row],['#Water points coverage]]&lt;0,0,WWWW[[#This Row],[Total required water points]]-WWWW[[#This Row],['#Water points coverage]])</f>
        <v>0</v>
      </c>
      <c r="CK67" s="81">
        <f>ROUND(IF(WWWW[[#This Row],[Total PoP ]]&lt;500,1,WWWW[[#This Row],[Total PoP ]]/500),0)</f>
        <v>1</v>
      </c>
      <c r="CL67" s="81">
        <f>(WWWW[[#This Row],['#_Constructed latrines_by_WASHAgencies]]+WWWW[[#This Row],['#_Non Cluster partner latrines]])-WWWW[[#This Row],['#_Non-functional latrines]]</f>
        <v>48</v>
      </c>
      <c r="CM67"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67"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694</v>
      </c>
      <c r="CO67"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67" s="81">
        <f>IF(WWWW[[#This Row],[Location Type 1]]="Village","NA",IF(WWWW[[#This Row],['#_Constructed/Existing latrines in TLS]]*50&gt;WWWW[[#This Row],['#_students at TLS_CFS]],WWWW[[#This Row],['#_students at TLS_CFS]],(WWWW[[#This Row],['#_Constructed/Existing latrines in TLS]]*50)))</f>
        <v>0</v>
      </c>
      <c r="CQ67" s="81">
        <f>ROUND(IF(WWWW[[#This Row],[Location Type 1]]="camp",WWWW[[#This Row],[Total PoP ]]/20,IF(WWWW[[#This Row],[Location Type 1]]="Temporary Location",WWWW[[#This Row],[Total PoP ]]/50,(WWWW[[#This Row],[Total PoP ]]/6))),0)</f>
        <v>35</v>
      </c>
      <c r="CR67" s="80">
        <f>IF(WWWW[[#This Row],[Total required Latrines]]-(WWWW[[#This Row],['#_Constructed latrines_by_WASHAgencies]]+WWWW[[#This Row],['#_Non Cluster partner latrines]])&lt;0,0,WWWW[[#This Row],[Total required Latrines]]-(WWWW[[#This Row],['#_Constructed latrines_by_WASHAgencies]]+WWWW[[#This Row],['#_Non Cluster partner latrines]]))</f>
        <v>0</v>
      </c>
      <c r="CS67" s="79">
        <f>1-WWWW[[#This Row],[% people access to functioning Latrine]]</f>
        <v>0</v>
      </c>
      <c r="CT67" s="83">
        <f>IF(OR(WWWW[[#This Row],['#_Non-functional latrines]]="",WWWW[[#This Row],['#_Non-functional latrines]]=0),0,WWWW[[#This Row],['#_Non-functional latrines]]/(WWWW[[#This Row],['#_Constructed latrines_by_WASHAgencies]]+WWWW[[#This Row],['#_Non Cluster partner latrines]]))</f>
        <v>0.21311475409836064</v>
      </c>
      <c r="CU67" s="80">
        <f>IF(500*(WWWW[[#This Row],['#_male hygiene promoters]]+WWWW[[#This Row],['#_female hygiene promoters]])&gt;WWWW[[#This Row],[Total PoP ]],WWWW[[#This Row],[Total PoP ]],500*(WWWW[[#This Row],['#_male hygiene promoters]]+WWWW[[#This Row],['#_female hygiene promoters]]))</f>
        <v>694</v>
      </c>
      <c r="CV67"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694</v>
      </c>
      <c r="CW67"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67" s="81">
        <f>IF(WWWW[[#This Row],['# People with access to soap]]&gt;WWWW[[#This Row],['# People with access to Sanity Pads]],WWWW[[#This Row],['# People with access to soap]],WWWW[[#This Row],['# People with access to Sanity Pads]])</f>
        <v>694</v>
      </c>
      <c r="CY67" s="81">
        <f>IF(WWWW[[#This Row],['# people reached by regular dedicated hygiene promotion_5]]&gt;WWWW[[#This Row],['# People received regular supply of hygiene items_6]],WWWW[[#This Row],['# people reached by regular dedicated hygiene promotion_5]],WWWW[[#This Row],['# People received regular supply of hygiene items_6]])</f>
        <v>694</v>
      </c>
      <c r="CZ67" s="79">
        <f>IF(WWWW[[#This Row],[HRP3]]/WWWW[[#This Row],[Total PoP ]]&gt;100%,100%,WWWW[[#This Row],[HRP3]]/WWWW[[#This Row],[Total PoP ]])</f>
        <v>1</v>
      </c>
      <c r="DA67" s="83">
        <f>1-WWWW[[#This Row],[Hygiene Coverage%]]</f>
        <v>0</v>
      </c>
      <c r="DB67" s="82">
        <f>WWWW[[#This Row],['# people reached by regular dedicated hygiene promotion_5]]/WWWW[[#This Row],[Total PoP ]]</f>
        <v>1</v>
      </c>
      <c r="DC67" s="82">
        <f>IF(WWWW[[#This Row],['#_households that received standard amount of soap for this quarter]]/WWWW[[#This Row],[Total HH]]&gt;1,1,WWWW[[#This Row],['#_households that received standard amount of soap for this quarter]]/WWWW[[#This Row],[Total HH]])</f>
        <v>1</v>
      </c>
      <c r="DD67" s="82">
        <f>IF(WWWW[[#This Row],['#_households that received standard amount of sanitary pads for this quarter]]/WWWW[[#This Row],[Total HH]]&gt;1,1,WWWW[[#This Row],['#_households that received standard amount of sanitary pads for this quarter]]/WWWW[[#This Row],[Total HH]])</f>
        <v>0</v>
      </c>
      <c r="DE67" s="81">
        <f>WWWW[[#This Row],['#_Constructed/Existing hand washing stations]]-WWWW[[#This Row],['#_Non-Functional_hand_washing_stations]]</f>
        <v>10</v>
      </c>
      <c r="DF67" s="667">
        <f>IF(WWWW[[#This Row],['# Functional hand washing stations during reporting period]]*20&gt;WWWW[[#This Row],[Total HH]],WWWW[[#This Row],[Total HH]],WWWW[[#This Row],['# Functional hand washing stations during reporting period]]*20)</f>
        <v>154</v>
      </c>
      <c r="DG67" s="80">
        <f>IF(WWWW[[#This Row],[Is sufficient soap available for TLS? (Yes/No)]]="yes",WWWW[[#This Row],['#_Constructed/Existing hand washing stations at TLS]],0)</f>
        <v>0</v>
      </c>
      <c r="DH67" s="667">
        <f>IF(WWWW[[#This Row],['# Functional hand washing stations during reporting period]]*100&gt;WWWW[[#This Row],[Total PoP ]],WWWW[[#This Row],[Total PoP ]],WWWW[[#This Row],['# Functional hand washing stations during reporting period]]*100)</f>
        <v>694</v>
      </c>
      <c r="DI67" s="667" t="str">
        <f>IF(WWWW[[#This Row],['#_students at TLS_CFS]]="","No","Yes")</f>
        <v>No</v>
      </c>
      <c r="DJ67" s="245" t="str">
        <f>VLOOKUP(WWWW[[#This Row],[Site Name]],SiteDB6[[Site Name]:[CCCM Management]],6,FALSE)</f>
        <v>Yes</v>
      </c>
      <c r="DK67" s="245" t="str">
        <f>VLOOKUP(WWWW[[#This Row],[Site Name]],SiteDB6[[Site Name]:[CCCM Focal Agency]],7,FALSE)</f>
        <v>KMSS-BMO</v>
      </c>
      <c r="DL67" s="245" t="str">
        <f>VLOOKUP(WWWW[[#This Row],[Site Name]],SiteDB6[[Site Name]:[Location Type 1]],9,FALSE)</f>
        <v>Camp</v>
      </c>
      <c r="DM67" s="245" t="str">
        <f>VLOOKUP(WWWW[[#This Row],[Site Name]],SiteDB6[[Site Name]:[Type of Accommodation]],10,FALSE)</f>
        <v>Camp</v>
      </c>
      <c r="DN67" s="245" t="str">
        <f>VLOOKUP(WWWW[[#This Row],[Site Name]],SiteDB6[[Site Name]:[Ethnic or GCA/NGCA]],11,FALSE)</f>
        <v>GCA</v>
      </c>
      <c r="DO67" s="245">
        <f>VLOOKUP(WWWW[[#This Row],[Site Name]],SiteDB6[[Site Name]:[Lat]],12,FALSE)</f>
        <v>23.976571</v>
      </c>
      <c r="DP67" s="245">
        <f>VLOOKUP(WWWW[[#This Row],[Site Name]],SiteDB6[[Site Name]:[Long]],13,FALSE)</f>
        <v>97.227057000000002</v>
      </c>
      <c r="DQ67" s="245" t="str">
        <f>VLOOKUP(WWWW[[#This Row],[Site Name]],SiteDB6[[Site Name]:[Pcode]],3,FALSE)</f>
        <v>MMR001CMP223</v>
      </c>
      <c r="DR67" s="215" t="str">
        <f t="shared" si="2"/>
        <v>Covered</v>
      </c>
      <c r="DS67" s="215"/>
      <c r="DT67" s="20"/>
      <c r="DU67" s="20"/>
      <c r="DV67" s="20"/>
      <c r="DW67" s="20"/>
      <c r="DX67" s="20"/>
      <c r="DY67" s="20"/>
      <c r="DZ67" s="20"/>
      <c r="EA67" s="20"/>
      <c r="EB67" s="20"/>
      <c r="EC67" s="20"/>
      <c r="ED67" s="20"/>
      <c r="EE67" s="20"/>
      <c r="EF67" s="20"/>
      <c r="EG67" s="20"/>
      <c r="EH67" s="20"/>
    </row>
    <row r="68" spans="1:138" ht="15.75" customHeight="1">
      <c r="A68" s="259" t="s">
        <v>2525</v>
      </c>
      <c r="B68" s="259" t="s">
        <v>149</v>
      </c>
      <c r="C68" s="663" t="s">
        <v>149</v>
      </c>
      <c r="D68" s="663" t="s">
        <v>158</v>
      </c>
      <c r="E68" s="663" t="s">
        <v>39</v>
      </c>
      <c r="F68" s="663" t="s">
        <v>160</v>
      </c>
      <c r="G68" s="663" t="str">
        <f>VLOOKUP(WWWW[[#This Row],[Site Name]],SiteDB6[[Site Name]:[Location Type]],8,FALSE)</f>
        <v>Camp</v>
      </c>
      <c r="H68" s="663" t="s">
        <v>161</v>
      </c>
      <c r="I68" s="700">
        <v>13</v>
      </c>
      <c r="J68" s="700">
        <v>66</v>
      </c>
      <c r="K68" s="642">
        <v>43556</v>
      </c>
      <c r="L68" s="78">
        <v>43677</v>
      </c>
      <c r="M68" s="700"/>
      <c r="N68" s="700"/>
      <c r="O68" s="700"/>
      <c r="P68" s="700"/>
      <c r="Q68" s="77" t="s">
        <v>43</v>
      </c>
      <c r="R68" s="377"/>
      <c r="S68" s="377"/>
      <c r="T68" s="700">
        <v>0</v>
      </c>
      <c r="U68" s="377"/>
      <c r="V68" s="377"/>
      <c r="W68" s="700">
        <v>1</v>
      </c>
      <c r="X68" s="377"/>
      <c r="Y68" s="377"/>
      <c r="Z68" s="377"/>
      <c r="AA68" s="377"/>
      <c r="AB68" s="377"/>
      <c r="AC68" s="377"/>
      <c r="AD68" s="377"/>
      <c r="AE68" s="377"/>
      <c r="AF68" s="377"/>
      <c r="AG68" s="377"/>
      <c r="AH68" s="700">
        <v>2</v>
      </c>
      <c r="AI68" s="377"/>
      <c r="AJ68" s="377"/>
      <c r="AK68" s="377"/>
      <c r="AL68" s="377"/>
      <c r="AM68" s="377"/>
      <c r="AN68" s="377"/>
      <c r="AO68" s="215"/>
      <c r="AP68" s="700">
        <v>6</v>
      </c>
      <c r="AQ68" s="377"/>
      <c r="AR68" s="77"/>
      <c r="AS68" s="377"/>
      <c r="AT68" s="377"/>
      <c r="AU68" s="377"/>
      <c r="AV68" s="377"/>
      <c r="AW68" s="700">
        <v>6</v>
      </c>
      <c r="AX68" s="245" t="s">
        <v>43</v>
      </c>
      <c r="AY68" s="245" t="s">
        <v>1200</v>
      </c>
      <c r="AZ68" s="377"/>
      <c r="BA68" s="377"/>
      <c r="BB68" s="377"/>
      <c r="BC68" s="215"/>
      <c r="BD68" s="377"/>
      <c r="BE68" s="377"/>
      <c r="BF68" s="377"/>
      <c r="BG68" s="377">
        <v>2</v>
      </c>
      <c r="BH68" s="377"/>
      <c r="BI68" s="377"/>
      <c r="BJ68" s="377">
        <v>1</v>
      </c>
      <c r="BK68" s="377"/>
      <c r="BL68" s="377"/>
      <c r="BM68" s="215"/>
      <c r="BN68" s="80"/>
      <c r="BO68" s="82"/>
      <c r="BP68" s="215"/>
      <c r="BQ68" s="79" t="str">
        <f>IFERROR(WWWW[[#This Row],['#_Water sources treated]]/WWWW[[#This Row],['#_Water sources tested for contamination]],"no test")</f>
        <v>no test</v>
      </c>
      <c r="BR68" s="82" t="str">
        <f>IFERROR(WWWW[[#This Row],['#_Household received remediation action due to contamination]]/WWWW[[#This Row],['#_Household water samples tested for contamination]],"no test")</f>
        <v>no test</v>
      </c>
      <c r="BS68" s="81" t="str">
        <f>IF(AND(WWWW[[#This Row],[% of water sources treated]]="no test",WWWW[[#This Row],[% Household received corrective actions]]="no test"),"No Test","Tested")</f>
        <v>No Test</v>
      </c>
      <c r="BT68" s="81">
        <f>WWWW[[#This Row],['#_Constructed/existing protected hand dug well]]-WWWW[[#This Row],['#_Non-functional protected hand dug well]]</f>
        <v>0</v>
      </c>
      <c r="BU68" s="81">
        <f>(WWWW[[#This Row],['#_Constructed/Existing tube wells/boreholes/handpumps_WASH_agency]]+WWWW[[#This Row],['#_Non-Cluster partner water tube-wells/boreholes/handpumps]])-WWWW[[#This Row],['#_Non-functional tube wells/boreholes/handpumps]]</f>
        <v>1</v>
      </c>
      <c r="BV68" s="81">
        <f>WWWW[[#This Row],['#_Constructed/Existingwater storage tank with gravity fed reticulation system]]-WWWW[[#This Row],['#_Non-functional storage tank gravity fed reticulation system]]</f>
        <v>0</v>
      </c>
      <c r="BW68" s="81">
        <f>WWWW[[#This Row],['#_Water boating or water trucking]]</f>
        <v>0</v>
      </c>
      <c r="BX68" s="81">
        <f>WWWW[[#This Row],['#_Constructed/Existing water distribution system from river or natural spring]]</f>
        <v>0</v>
      </c>
      <c r="BY68"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68"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68" s="82">
        <f>IF(WWWW[[#This Row],[Location Type 1]]="Village",WWWW[[#This Row],[Access to safe drinking water for Village]],WWWW[[#This Row],[Access to safe drinking water for Camp]])</f>
        <v>1</v>
      </c>
      <c r="CB68" s="80">
        <f>WWWW[[#This Row],[%Equitable and continuous access to sufficient quantity of safe drinking water]]*WWWW[[#This Row],[Total PoP ]]</f>
        <v>66</v>
      </c>
      <c r="CC68" s="82">
        <f>IF((WWWW[[#This Row],['#_Constructed/Existing protected/fenced ponds]]*250)/WWWW[[#This Row],[Total PoP ]]&gt;1,1,(WWWW[[#This Row],['#_Constructed/Existing protected/fenced ponds]]*250)/WWWW[[#This Row],[Total PoP ]])</f>
        <v>0</v>
      </c>
      <c r="CD68" s="80">
        <f>WWWW[[#This Row],[% Access to unimproved water points]]*WWWW[[#This Row],[Total PoP ]]</f>
        <v>0</v>
      </c>
      <c r="CE68"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68"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v>
      </c>
      <c r="CG68" s="80">
        <f>WWWW[[#This Row],[HRP1]]/500</f>
        <v>0.13200000000000001</v>
      </c>
      <c r="CH68" s="79">
        <f>1-WWWW[[#This Row],[% Equitable and continuous access to sufficient quantity of domestic water]]</f>
        <v>0</v>
      </c>
      <c r="CI68" s="80">
        <f>WWWW[[#This Row],[%equitable and continuous access to sufficient quantity of safe drinking and domestic water''s GAP]]*WWWW[[#This Row],[Total PoP ]]</f>
        <v>0</v>
      </c>
      <c r="CJ68" s="81">
        <f>IF(WWWW[[#This Row],[Total required water points]]-WWWW[[#This Row],['#Water points coverage]]&lt;0,0,WWWW[[#This Row],[Total required water points]]-WWWW[[#This Row],['#Water points coverage]])</f>
        <v>0.86799999999999999</v>
      </c>
      <c r="CK68" s="81">
        <f>ROUND(IF(WWWW[[#This Row],[Total PoP ]]&lt;500,1,WWWW[[#This Row],[Total PoP ]]/500),0)</f>
        <v>1</v>
      </c>
      <c r="CL68" s="81">
        <f>(WWWW[[#This Row],['#_Constructed latrines_by_WASHAgencies]]+WWWW[[#This Row],['#_Non Cluster partner latrines]])-WWWW[[#This Row],['#_Non-functional latrines]]</f>
        <v>6</v>
      </c>
      <c r="CM68"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68"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66</v>
      </c>
      <c r="CO68"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68" s="81">
        <f>IF(WWWW[[#This Row],[Location Type 1]]="Village","NA",IF(WWWW[[#This Row],['#_Constructed/Existing latrines in TLS]]*50&gt;WWWW[[#This Row],['#_students at TLS_CFS]],WWWW[[#This Row],['#_students at TLS_CFS]],(WWWW[[#This Row],['#_Constructed/Existing latrines in TLS]]*50)))</f>
        <v>0</v>
      </c>
      <c r="CQ68" s="81">
        <f>ROUND(IF(WWWW[[#This Row],[Location Type 1]]="camp",WWWW[[#This Row],[Total PoP ]]/20,IF(WWWW[[#This Row],[Location Type 1]]="Temporary Location",WWWW[[#This Row],[Total PoP ]]/50,(WWWW[[#This Row],[Total PoP ]]/6))),0)</f>
        <v>3</v>
      </c>
      <c r="CR68" s="80">
        <f>IF(WWWW[[#This Row],[Total required Latrines]]-(WWWW[[#This Row],['#_Constructed latrines_by_WASHAgencies]]+WWWW[[#This Row],['#_Non Cluster partner latrines]])&lt;0,0,WWWW[[#This Row],[Total required Latrines]]-(WWWW[[#This Row],['#_Constructed latrines_by_WASHAgencies]]+WWWW[[#This Row],['#_Non Cluster partner latrines]]))</f>
        <v>0</v>
      </c>
      <c r="CS68" s="79">
        <f>1-WWWW[[#This Row],[% people access to functioning Latrine]]</f>
        <v>0</v>
      </c>
      <c r="CT68" s="83">
        <f>IF(OR(WWWW[[#This Row],['#_Non-functional latrines]]="",WWWW[[#This Row],['#_Non-functional latrines]]=0),0,WWWW[[#This Row],['#_Non-functional latrines]]/(WWWW[[#This Row],['#_Constructed latrines_by_WASHAgencies]]+WWWW[[#This Row],['#_Non Cluster partner latrines]]))</f>
        <v>0</v>
      </c>
      <c r="CU68" s="80">
        <f>IF(500*(WWWW[[#This Row],['#_male hygiene promoters]]+WWWW[[#This Row],['#_female hygiene promoters]])&gt;WWWW[[#This Row],[Total PoP ]],WWWW[[#This Row],[Total PoP ]],500*(WWWW[[#This Row],['#_male hygiene promoters]]+WWWW[[#This Row],['#_female hygiene promoters]]))</f>
        <v>66</v>
      </c>
      <c r="CV68"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68"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68" s="81">
        <f>IF(WWWW[[#This Row],['# People with access to soap]]&gt;WWWW[[#This Row],['# People with access to Sanity Pads]],WWWW[[#This Row],['# People with access to soap]],WWWW[[#This Row],['# People with access to Sanity Pads]])</f>
        <v>0</v>
      </c>
      <c r="CY68" s="81">
        <f>IF(WWWW[[#This Row],['# people reached by regular dedicated hygiene promotion_5]]&gt;WWWW[[#This Row],['# People received regular supply of hygiene items_6]],WWWW[[#This Row],['# people reached by regular dedicated hygiene promotion_5]],WWWW[[#This Row],['# People received regular supply of hygiene items_6]])</f>
        <v>66</v>
      </c>
      <c r="CZ68" s="79">
        <f>IF(WWWW[[#This Row],[HRP3]]/WWWW[[#This Row],[Total PoP ]]&gt;100%,100%,WWWW[[#This Row],[HRP3]]/WWWW[[#This Row],[Total PoP ]])</f>
        <v>1</v>
      </c>
      <c r="DA68" s="83">
        <f>1-WWWW[[#This Row],[Hygiene Coverage%]]</f>
        <v>0</v>
      </c>
      <c r="DB68" s="82">
        <f>WWWW[[#This Row],['# people reached by regular dedicated hygiene promotion_5]]/WWWW[[#This Row],[Total PoP ]]</f>
        <v>1</v>
      </c>
      <c r="DC68" s="82">
        <f>IF(WWWW[[#This Row],['#_households that received standard amount of soap for this quarter]]/WWWW[[#This Row],[Total HH]]&gt;1,1,WWWW[[#This Row],['#_households that received standard amount of soap for this quarter]]/WWWW[[#This Row],[Total HH]])</f>
        <v>0</v>
      </c>
      <c r="DD68" s="82">
        <f>IF(WWWW[[#This Row],['#_households that received standard amount of sanitary pads for this quarter]]/WWWW[[#This Row],[Total HH]]&gt;1,1,WWWW[[#This Row],['#_households that received standard amount of sanitary pads for this quarter]]/WWWW[[#This Row],[Total HH]])</f>
        <v>0</v>
      </c>
      <c r="DE68" s="81">
        <f>WWWW[[#This Row],['#_Constructed/Existing hand washing stations]]-WWWW[[#This Row],['#_Non-Functional_hand_washing_stations]]</f>
        <v>0</v>
      </c>
      <c r="DF68" s="667">
        <f>IF(WWWW[[#This Row],['# Functional hand washing stations during reporting period]]*20&gt;WWWW[[#This Row],[Total HH]],WWWW[[#This Row],[Total HH]],WWWW[[#This Row],['# Functional hand washing stations during reporting period]]*20)</f>
        <v>0</v>
      </c>
      <c r="DG68" s="80">
        <f>IF(WWWW[[#This Row],[Is sufficient soap available for TLS? (Yes/No)]]="yes",WWWW[[#This Row],['#_Constructed/Existing hand washing stations at TLS]],0)</f>
        <v>0</v>
      </c>
      <c r="DH68" s="667">
        <f>IF(WWWW[[#This Row],['# Functional hand washing stations during reporting period]]*100&gt;WWWW[[#This Row],[Total PoP ]],WWWW[[#This Row],[Total PoP ]],WWWW[[#This Row],['# Functional hand washing stations during reporting period]]*100)</f>
        <v>0</v>
      </c>
      <c r="DI68" s="667" t="str">
        <f>IF(WWWW[[#This Row],['#_students at TLS_CFS]]="","No","Yes")</f>
        <v>No</v>
      </c>
      <c r="DJ68" s="245" t="str">
        <f>VLOOKUP(WWWW[[#This Row],[Site Name]],SiteDB6[[Site Name]:[CCCM Management]],6,FALSE)</f>
        <v>Yes</v>
      </c>
      <c r="DK68" s="245" t="str">
        <f>VLOOKUP(WWWW[[#This Row],[Site Name]],SiteDB6[[Site Name]:[CCCM Focal Agency]],7,FALSE)</f>
        <v>KBC</v>
      </c>
      <c r="DL68" s="245" t="str">
        <f>VLOOKUP(WWWW[[#This Row],[Site Name]],SiteDB6[[Site Name]:[Location Type 1]],9,FALSE)</f>
        <v>Camp</v>
      </c>
      <c r="DM68" s="245" t="str">
        <f>VLOOKUP(WWWW[[#This Row],[Site Name]],SiteDB6[[Site Name]:[Type of Accommodation]],10,FALSE)</f>
        <v>Camp</v>
      </c>
      <c r="DN68" s="245" t="str">
        <f>VLOOKUP(WWWW[[#This Row],[Site Name]],SiteDB6[[Site Name]:[Ethnic or GCA/NGCA]],11,FALSE)</f>
        <v>GCA</v>
      </c>
      <c r="DO68" s="245">
        <f>VLOOKUP(WWWW[[#This Row],[Site Name]],SiteDB6[[Site Name]:[Lat]],12,FALSE)</f>
        <v>25.305669999999999</v>
      </c>
      <c r="DP68" s="245">
        <f>VLOOKUP(WWWW[[#This Row],[Site Name]],SiteDB6[[Site Name]:[Long]],13,FALSE)</f>
        <v>96.922619999999995</v>
      </c>
      <c r="DQ68" s="245" t="str">
        <f>VLOOKUP(WWWW[[#This Row],[Site Name]],SiteDB6[[Site Name]:[Pcode]],3,FALSE)</f>
        <v>MMR001CMP078</v>
      </c>
      <c r="DR68" s="215" t="str">
        <f t="shared" si="2"/>
        <v>Covered</v>
      </c>
      <c r="DS68" s="215"/>
      <c r="DT68" s="20"/>
      <c r="DU68" s="20"/>
      <c r="DV68" s="20"/>
      <c r="DW68" s="20"/>
      <c r="DX68" s="20"/>
      <c r="DY68" s="20"/>
      <c r="DZ68" s="20"/>
      <c r="EA68" s="20"/>
      <c r="EB68" s="20"/>
      <c r="EC68" s="20"/>
      <c r="ED68" s="20"/>
      <c r="EE68" s="20"/>
      <c r="EF68" s="20"/>
      <c r="EG68" s="20"/>
      <c r="EH68" s="20"/>
    </row>
    <row r="69" spans="1:138" ht="15.75" customHeight="1">
      <c r="A69" s="259" t="s">
        <v>2525</v>
      </c>
      <c r="B69" s="259" t="s">
        <v>149</v>
      </c>
      <c r="C69" s="663" t="s">
        <v>149</v>
      </c>
      <c r="D69" s="663" t="s">
        <v>252</v>
      </c>
      <c r="E69" s="663" t="s">
        <v>39</v>
      </c>
      <c r="F69" s="663" t="s">
        <v>213</v>
      </c>
      <c r="G69" s="663" t="str">
        <f>VLOOKUP(WWWW[[#This Row],[Site Name]],SiteDB6[[Site Name]:[Location Type]],8,FALSE)</f>
        <v>Camp_not registered</v>
      </c>
      <c r="H69" s="663" t="s">
        <v>297</v>
      </c>
      <c r="I69" s="700">
        <v>440</v>
      </c>
      <c r="J69" s="700">
        <v>2199</v>
      </c>
      <c r="K69" s="642"/>
      <c r="L69" s="78" t="s">
        <v>2098</v>
      </c>
      <c r="M69" s="700"/>
      <c r="N69" s="700"/>
      <c r="O69" s="700"/>
      <c r="P69" s="700"/>
      <c r="Q69" s="77"/>
      <c r="R69" s="377"/>
      <c r="S69" s="377"/>
      <c r="T69" s="700">
        <v>0</v>
      </c>
      <c r="U69" s="377"/>
      <c r="V69" s="377"/>
      <c r="W69" s="700">
        <v>1</v>
      </c>
      <c r="X69" s="377"/>
      <c r="Y69" s="377"/>
      <c r="Z69" s="377"/>
      <c r="AA69" s="377"/>
      <c r="AB69" s="377"/>
      <c r="AC69" s="377"/>
      <c r="AD69" s="377"/>
      <c r="AE69" s="377"/>
      <c r="AF69" s="377"/>
      <c r="AG69" s="377"/>
      <c r="AH69" s="700">
        <v>0</v>
      </c>
      <c r="AI69" s="377"/>
      <c r="AJ69" s="377"/>
      <c r="AK69" s="377"/>
      <c r="AL69" s="377"/>
      <c r="AM69" s="377"/>
      <c r="AN69" s="377"/>
      <c r="AO69" s="215"/>
      <c r="AP69" s="700">
        <v>16</v>
      </c>
      <c r="AQ69" s="377"/>
      <c r="AR69" s="77"/>
      <c r="AS69" s="377"/>
      <c r="AT69" s="377"/>
      <c r="AU69" s="377"/>
      <c r="AV69" s="377"/>
      <c r="AW69" s="700">
        <v>0</v>
      </c>
      <c r="AX69" s="245" t="s">
        <v>43</v>
      </c>
      <c r="AY69" s="245" t="s">
        <v>148</v>
      </c>
      <c r="AZ69" s="377"/>
      <c r="BA69" s="377"/>
      <c r="BB69" s="377"/>
      <c r="BC69" s="215"/>
      <c r="BD69" s="377"/>
      <c r="BE69" s="377"/>
      <c r="BF69" s="377"/>
      <c r="BG69" s="377">
        <v>0</v>
      </c>
      <c r="BH69" s="377"/>
      <c r="BI69" s="377"/>
      <c r="BJ69" s="377"/>
      <c r="BK69" s="377"/>
      <c r="BL69" s="377"/>
      <c r="BM69" s="215"/>
      <c r="BN69" s="80"/>
      <c r="BO69" s="82"/>
      <c r="BP69" s="215"/>
      <c r="BQ69" s="79" t="str">
        <f>IFERROR(WWWW[[#This Row],['#_Water sources treated]]/WWWW[[#This Row],['#_Water sources tested for contamination]],"no test")</f>
        <v>no test</v>
      </c>
      <c r="BR69" s="82" t="str">
        <f>IFERROR(WWWW[[#This Row],['#_Household received remediation action due to contamination]]/WWWW[[#This Row],['#_Household water samples tested for contamination]],"no test")</f>
        <v>no test</v>
      </c>
      <c r="BS69" s="81" t="str">
        <f>IF(AND(WWWW[[#This Row],[% of water sources treated]]="no test",WWWW[[#This Row],[% Household received corrective actions]]="no test"),"No Test","Tested")</f>
        <v>No Test</v>
      </c>
      <c r="BT69" s="81">
        <f>WWWW[[#This Row],['#_Constructed/existing protected hand dug well]]-WWWW[[#This Row],['#_Non-functional protected hand dug well]]</f>
        <v>0</v>
      </c>
      <c r="BU69" s="81">
        <f>(WWWW[[#This Row],['#_Constructed/Existing tube wells/boreholes/handpumps_WASH_agency]]+WWWW[[#This Row],['#_Non-Cluster partner water tube-wells/boreholes/handpumps]])-WWWW[[#This Row],['#_Non-functional tube wells/boreholes/handpumps]]</f>
        <v>1</v>
      </c>
      <c r="BV69" s="81">
        <f>WWWW[[#This Row],['#_Constructed/Existingwater storage tank with gravity fed reticulation system]]-WWWW[[#This Row],['#_Non-functional storage tank gravity fed reticulation system]]</f>
        <v>0</v>
      </c>
      <c r="BW69" s="81">
        <f>WWWW[[#This Row],['#_Water boating or water trucking]]</f>
        <v>0</v>
      </c>
      <c r="BX69" s="81">
        <f>WWWW[[#This Row],['#_Constructed/Existing water distribution system from river or natural spring]]</f>
        <v>0</v>
      </c>
      <c r="BY69"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0.22737608003638018</v>
      </c>
      <c r="BZ69"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0.11368804001819009</v>
      </c>
      <c r="CA69" s="82">
        <f>IF(WWWW[[#This Row],[Location Type 1]]="Village",WWWW[[#This Row],[Access to safe drinking water for Village]],WWWW[[#This Row],[Access to safe drinking water for Camp]])</f>
        <v>0.22737608003638018</v>
      </c>
      <c r="CB69" s="80">
        <f>WWWW[[#This Row],[%Equitable and continuous access to sufficient quantity of safe drinking water]]*WWWW[[#This Row],[Total PoP ]]</f>
        <v>500</v>
      </c>
      <c r="CC69" s="82">
        <f>IF((WWWW[[#This Row],['#_Constructed/Existing protected/fenced ponds]]*250)/WWWW[[#This Row],[Total PoP ]]&gt;1,1,(WWWW[[#This Row],['#_Constructed/Existing protected/fenced ponds]]*250)/WWWW[[#This Row],[Total PoP ]])</f>
        <v>0</v>
      </c>
      <c r="CD69" s="80">
        <f>WWWW[[#This Row],[% Access to unimproved water points]]*WWWW[[#This Row],[Total PoP ]]</f>
        <v>0</v>
      </c>
      <c r="CE69"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0.22737608003638018</v>
      </c>
      <c r="CF69"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500</v>
      </c>
      <c r="CG69" s="80">
        <f>WWWW[[#This Row],[HRP1]]/500</f>
        <v>1</v>
      </c>
      <c r="CH69" s="79">
        <f>1-WWWW[[#This Row],[% Equitable and continuous access to sufficient quantity of domestic water]]</f>
        <v>0.77262391996361979</v>
      </c>
      <c r="CI69" s="80">
        <f>WWWW[[#This Row],[%equitable and continuous access to sufficient quantity of safe drinking and domestic water''s GAP]]*WWWW[[#This Row],[Total PoP ]]</f>
        <v>1699</v>
      </c>
      <c r="CJ69" s="81">
        <f>IF(WWWW[[#This Row],[Total required water points]]-WWWW[[#This Row],['#Water points coverage]]&lt;0,0,WWWW[[#This Row],[Total required water points]]-WWWW[[#This Row],['#Water points coverage]])</f>
        <v>3</v>
      </c>
      <c r="CK69" s="81">
        <f>ROUND(IF(WWWW[[#This Row],[Total PoP ]]&lt;500,1,WWWW[[#This Row],[Total PoP ]]/500),0)</f>
        <v>4</v>
      </c>
      <c r="CL69" s="81">
        <f>(WWWW[[#This Row],['#_Constructed latrines_by_WASHAgencies]]+WWWW[[#This Row],['#_Non Cluster partner latrines]])-WWWW[[#This Row],['#_Non-functional latrines]]</f>
        <v>16</v>
      </c>
      <c r="CM69"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0.14552069122328332</v>
      </c>
      <c r="CN69"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320</v>
      </c>
      <c r="CO69"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69" s="81">
        <f>IF(WWWW[[#This Row],[Location Type 1]]="Village","NA",IF(WWWW[[#This Row],['#_Constructed/Existing latrines in TLS]]*50&gt;WWWW[[#This Row],['#_students at TLS_CFS]],WWWW[[#This Row],['#_students at TLS_CFS]],(WWWW[[#This Row],['#_Constructed/Existing latrines in TLS]]*50)))</f>
        <v>0</v>
      </c>
      <c r="CQ69" s="81">
        <f>ROUND(IF(WWWW[[#This Row],[Location Type 1]]="camp",WWWW[[#This Row],[Total PoP ]]/20,IF(WWWW[[#This Row],[Location Type 1]]="Temporary Location",WWWW[[#This Row],[Total PoP ]]/50,(WWWW[[#This Row],[Total PoP ]]/6))),0)</f>
        <v>110</v>
      </c>
      <c r="CR69" s="80">
        <f>IF(WWWW[[#This Row],[Total required Latrines]]-(WWWW[[#This Row],['#_Constructed latrines_by_WASHAgencies]]+WWWW[[#This Row],['#_Non Cluster partner latrines]])&lt;0,0,WWWW[[#This Row],[Total required Latrines]]-(WWWW[[#This Row],['#_Constructed latrines_by_WASHAgencies]]+WWWW[[#This Row],['#_Non Cluster partner latrines]]))</f>
        <v>94</v>
      </c>
      <c r="CS69" s="79">
        <f>1-WWWW[[#This Row],[% people access to functioning Latrine]]</f>
        <v>0.85447930877671663</v>
      </c>
      <c r="CT69" s="83">
        <f>IF(OR(WWWW[[#This Row],['#_Non-functional latrines]]="",WWWW[[#This Row],['#_Non-functional latrines]]=0),0,WWWW[[#This Row],['#_Non-functional latrines]]/(WWWW[[#This Row],['#_Constructed latrines_by_WASHAgencies]]+WWWW[[#This Row],['#_Non Cluster partner latrines]]))</f>
        <v>0</v>
      </c>
      <c r="CU69" s="80">
        <f>IF(500*(WWWW[[#This Row],['#_male hygiene promoters]]+WWWW[[#This Row],['#_female hygiene promoters]])&gt;WWWW[[#This Row],[Total PoP ]],WWWW[[#This Row],[Total PoP ]],500*(WWWW[[#This Row],['#_male hygiene promoters]]+WWWW[[#This Row],['#_female hygiene promoters]]))</f>
        <v>0</v>
      </c>
      <c r="CV69"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69"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69" s="81">
        <f>IF(WWWW[[#This Row],['# People with access to soap]]&gt;WWWW[[#This Row],['# People with access to Sanity Pads]],WWWW[[#This Row],['# People with access to soap]],WWWW[[#This Row],['# People with access to Sanity Pads]])</f>
        <v>0</v>
      </c>
      <c r="CY69"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69" s="79">
        <f>IF(WWWW[[#This Row],[HRP3]]/WWWW[[#This Row],[Total PoP ]]&gt;100%,100%,WWWW[[#This Row],[HRP3]]/WWWW[[#This Row],[Total PoP ]])</f>
        <v>0</v>
      </c>
      <c r="DA69" s="83">
        <f>1-WWWW[[#This Row],[Hygiene Coverage%]]</f>
        <v>1</v>
      </c>
      <c r="DB69" s="82">
        <f>WWWW[[#This Row],['# people reached by regular dedicated hygiene promotion_5]]/WWWW[[#This Row],[Total PoP ]]</f>
        <v>0</v>
      </c>
      <c r="DC69" s="82">
        <f>IF(WWWW[[#This Row],['#_households that received standard amount of soap for this quarter]]/WWWW[[#This Row],[Total HH]]&gt;1,1,WWWW[[#This Row],['#_households that received standard amount of soap for this quarter]]/WWWW[[#This Row],[Total HH]])</f>
        <v>0</v>
      </c>
      <c r="DD69" s="82">
        <f>IF(WWWW[[#This Row],['#_households that received standard amount of sanitary pads for this quarter]]/WWWW[[#This Row],[Total HH]]&gt;1,1,WWWW[[#This Row],['#_households that received standard amount of sanitary pads for this quarter]]/WWWW[[#This Row],[Total HH]])</f>
        <v>0</v>
      </c>
      <c r="DE69" s="81">
        <f>WWWW[[#This Row],['#_Constructed/Existing hand washing stations]]-WWWW[[#This Row],['#_Non-Functional_hand_washing_stations]]</f>
        <v>0</v>
      </c>
      <c r="DF69" s="667">
        <f>IF(WWWW[[#This Row],['# Functional hand washing stations during reporting period]]*20&gt;WWWW[[#This Row],[Total HH]],WWWW[[#This Row],[Total HH]],WWWW[[#This Row],['# Functional hand washing stations during reporting period]]*20)</f>
        <v>0</v>
      </c>
      <c r="DG69" s="80">
        <f>IF(WWWW[[#This Row],[Is sufficient soap available for TLS? (Yes/No)]]="yes",WWWW[[#This Row],['#_Constructed/Existing hand washing stations at TLS]],0)</f>
        <v>0</v>
      </c>
      <c r="DH69" s="667">
        <f>IF(WWWW[[#This Row],['# Functional hand washing stations during reporting period]]*100&gt;WWWW[[#This Row],[Total PoP ]],WWWW[[#This Row],[Total PoP ]],WWWW[[#This Row],['# Functional hand washing stations during reporting period]]*100)</f>
        <v>0</v>
      </c>
      <c r="DI69" s="667" t="str">
        <f>IF(WWWW[[#This Row],['#_students at TLS_CFS]]="","No","Yes")</f>
        <v>No</v>
      </c>
      <c r="DJ69" s="245">
        <f>VLOOKUP(WWWW[[#This Row],[Site Name]],SiteDB6[[Site Name]:[CCCM Management]],6,FALSE)</f>
        <v>0</v>
      </c>
      <c r="DK69" s="245">
        <f>VLOOKUP(WWWW[[#This Row],[Site Name]],SiteDB6[[Site Name]:[CCCM Focal Agency]],7,FALSE)</f>
        <v>0</v>
      </c>
      <c r="DL69" s="245" t="str">
        <f>VLOOKUP(WWWW[[#This Row],[Site Name]],SiteDB6[[Site Name]:[Location Type 1]],9,FALSE)</f>
        <v>Camp</v>
      </c>
      <c r="DM69" s="245" t="str">
        <f>VLOOKUP(WWWW[[#This Row],[Site Name]],SiteDB6[[Site Name]:[Type of Accommodation]],10,FALSE)</f>
        <v>School</v>
      </c>
      <c r="DN69" s="245" t="str">
        <f>VLOOKUP(WWWW[[#This Row],[Site Name]],SiteDB6[[Site Name]:[Ethnic or GCA/NGCA]],11,FALSE)</f>
        <v>NGCA</v>
      </c>
      <c r="DO69" s="245">
        <f>VLOOKUP(WWWW[[#This Row],[Site Name]],SiteDB6[[Site Name]:[Lat]],12,FALSE)</f>
        <v>0</v>
      </c>
      <c r="DP69" s="245">
        <f>VLOOKUP(WWWW[[#This Row],[Site Name]],SiteDB6[[Site Name]:[Long]],13,FALSE)</f>
        <v>0</v>
      </c>
      <c r="DQ69" s="245">
        <f>VLOOKUP(WWWW[[#This Row],[Site Name]],SiteDB6[[Site Name]:[Pcode]],3,FALSE)</f>
        <v>0</v>
      </c>
      <c r="DR69" s="215" t="str">
        <f t="shared" si="2"/>
        <v>Covered</v>
      </c>
      <c r="DS69" s="215"/>
      <c r="DT69" s="20"/>
      <c r="DU69" s="20"/>
      <c r="DV69" s="20"/>
      <c r="DW69" s="20"/>
      <c r="DX69" s="20"/>
      <c r="DY69" s="20"/>
      <c r="DZ69" s="20"/>
      <c r="EA69" s="20"/>
      <c r="EB69" s="20"/>
      <c r="EC69" s="20"/>
      <c r="ED69" s="20"/>
      <c r="EE69" s="20"/>
      <c r="EF69" s="20"/>
      <c r="EG69" s="20"/>
      <c r="EH69" s="20"/>
    </row>
    <row r="70" spans="1:138" ht="15.75" customHeight="1">
      <c r="A70" s="259" t="s">
        <v>2525</v>
      </c>
      <c r="B70" s="663" t="s">
        <v>149</v>
      </c>
      <c r="C70" s="663" t="s">
        <v>149</v>
      </c>
      <c r="D70" s="663"/>
      <c r="E70" s="663" t="s">
        <v>39</v>
      </c>
      <c r="F70" s="663" t="s">
        <v>167</v>
      </c>
      <c r="G70" s="663" t="str">
        <f>VLOOKUP(WWWW[[#This Row],[Site Name]],SiteDB6[[Site Name]:[Location Type]],8,FALSE)</f>
        <v>Camp_not registered</v>
      </c>
      <c r="H70" s="77" t="s">
        <v>2097</v>
      </c>
      <c r="I70" s="700">
        <v>51</v>
      </c>
      <c r="J70" s="700">
        <v>252</v>
      </c>
      <c r="K70" s="642"/>
      <c r="L70" s="78"/>
      <c r="M70" s="700"/>
      <c r="N70" s="700"/>
      <c r="O70" s="700"/>
      <c r="P70" s="700"/>
      <c r="Q70" s="77"/>
      <c r="R70" s="377"/>
      <c r="S70" s="377"/>
      <c r="T70" s="700">
        <v>0</v>
      </c>
      <c r="U70" s="377"/>
      <c r="V70" s="377"/>
      <c r="W70" s="700">
        <v>0</v>
      </c>
      <c r="X70" s="377"/>
      <c r="Y70" s="377"/>
      <c r="Z70" s="377"/>
      <c r="AA70" s="377"/>
      <c r="AB70" s="377"/>
      <c r="AC70" s="377"/>
      <c r="AD70" s="377"/>
      <c r="AE70" s="377"/>
      <c r="AF70" s="377"/>
      <c r="AG70" s="377"/>
      <c r="AH70" s="700">
        <v>0</v>
      </c>
      <c r="AI70" s="377"/>
      <c r="AJ70" s="377"/>
      <c r="AK70" s="377"/>
      <c r="AL70" s="377"/>
      <c r="AM70" s="377"/>
      <c r="AN70" s="377"/>
      <c r="AO70" s="215"/>
      <c r="AP70" s="700">
        <v>0</v>
      </c>
      <c r="AQ70" s="377"/>
      <c r="AR70" s="77"/>
      <c r="AS70" s="377"/>
      <c r="AT70" s="377"/>
      <c r="AU70" s="377"/>
      <c r="AV70" s="377"/>
      <c r="AW70" s="700">
        <v>0</v>
      </c>
      <c r="AX70" s="694" t="s">
        <v>144</v>
      </c>
      <c r="AY70" s="694" t="s">
        <v>148</v>
      </c>
      <c r="AZ70" s="377"/>
      <c r="BA70" s="377"/>
      <c r="BB70" s="377"/>
      <c r="BC70" s="215"/>
      <c r="BD70" s="377"/>
      <c r="BE70" s="377"/>
      <c r="BF70" s="377"/>
      <c r="BG70" s="377">
        <v>0</v>
      </c>
      <c r="BH70" s="377"/>
      <c r="BI70" s="377"/>
      <c r="BJ70" s="377"/>
      <c r="BK70" s="377"/>
      <c r="BL70" s="377"/>
      <c r="BM70" s="215"/>
      <c r="BN70" s="80"/>
      <c r="BO70" s="82"/>
      <c r="BP70" s="215"/>
      <c r="BQ70" s="79" t="str">
        <f>IFERROR(WWWW[[#This Row],['#_Water sources treated]]/WWWW[[#This Row],['#_Water sources tested for contamination]],"no test")</f>
        <v>no test</v>
      </c>
      <c r="BR70" s="82" t="str">
        <f>IFERROR(WWWW[[#This Row],['#_Household received remediation action due to contamination]]/WWWW[[#This Row],['#_Household water samples tested for contamination]],"no test")</f>
        <v>no test</v>
      </c>
      <c r="BS70" s="81" t="str">
        <f>IF(AND(WWWW[[#This Row],[% of water sources treated]]="no test",WWWW[[#This Row],[% Household received corrective actions]]="no test"),"No Test","Tested")</f>
        <v>No Test</v>
      </c>
      <c r="BT70" s="81">
        <f>WWWW[[#This Row],['#_Constructed/existing protected hand dug well]]-WWWW[[#This Row],['#_Non-functional protected hand dug well]]</f>
        <v>0</v>
      </c>
      <c r="BU70" s="81">
        <f>(WWWW[[#This Row],['#_Constructed/Existing tube wells/boreholes/handpumps_WASH_agency]]+WWWW[[#This Row],['#_Non-Cluster partner water tube-wells/boreholes/handpumps]])-WWWW[[#This Row],['#_Non-functional tube wells/boreholes/handpumps]]</f>
        <v>0</v>
      </c>
      <c r="BV70" s="81">
        <f>WWWW[[#This Row],['#_Constructed/Existingwater storage tank with gravity fed reticulation system]]-WWWW[[#This Row],['#_Non-functional storage tank gravity fed reticulation system]]</f>
        <v>0</v>
      </c>
      <c r="BW70" s="81">
        <f>WWWW[[#This Row],['#_Water boating or water trucking]]</f>
        <v>0</v>
      </c>
      <c r="BX70" s="81">
        <f>WWWW[[#This Row],['#_Constructed/Existing water distribution system from river or natural spring]]</f>
        <v>0</v>
      </c>
      <c r="BY70"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70"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70" s="82">
        <f>IF(WWWW[[#This Row],[Location Type 1]]="Village",WWWW[[#This Row],[Access to safe drinking water for Village]],WWWW[[#This Row],[Access to safe drinking water for Camp]])</f>
        <v>0</v>
      </c>
      <c r="CB70" s="80">
        <f>WWWW[[#This Row],[%Equitable and continuous access to sufficient quantity of safe drinking water]]*WWWW[[#This Row],[Total PoP ]]</f>
        <v>0</v>
      </c>
      <c r="CC70" s="82">
        <f>IF((WWWW[[#This Row],['#_Constructed/Existing protected/fenced ponds]]*250)/WWWW[[#This Row],[Total PoP ]]&gt;1,1,(WWWW[[#This Row],['#_Constructed/Existing protected/fenced ponds]]*250)/WWWW[[#This Row],[Total PoP ]])</f>
        <v>0</v>
      </c>
      <c r="CD70" s="80">
        <f>WWWW[[#This Row],[% Access to unimproved water points]]*WWWW[[#This Row],[Total PoP ]]</f>
        <v>0</v>
      </c>
      <c r="CE70"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70"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70" s="80">
        <f>WWWW[[#This Row],[HRP1]]/500</f>
        <v>0</v>
      </c>
      <c r="CH70" s="79">
        <f>1-WWWW[[#This Row],[% Equitable and continuous access to sufficient quantity of domestic water]]</f>
        <v>1</v>
      </c>
      <c r="CI70" s="80">
        <f>WWWW[[#This Row],[%equitable and continuous access to sufficient quantity of safe drinking and domestic water''s GAP]]*WWWW[[#This Row],[Total PoP ]]</f>
        <v>252</v>
      </c>
      <c r="CJ70" s="81">
        <f>IF(WWWW[[#This Row],[Total required water points]]-WWWW[[#This Row],['#Water points coverage]]&lt;0,0,WWWW[[#This Row],[Total required water points]]-WWWW[[#This Row],['#Water points coverage]])</f>
        <v>1</v>
      </c>
      <c r="CK70" s="81">
        <f>ROUND(IF(WWWW[[#This Row],[Total PoP ]]&lt;500,1,WWWW[[#This Row],[Total PoP ]]/500),0)</f>
        <v>1</v>
      </c>
      <c r="CL70" s="81">
        <f>(WWWW[[#This Row],['#_Constructed latrines_by_WASHAgencies]]+WWWW[[#This Row],['#_Non Cluster partner latrines]])-WWWW[[#This Row],['#_Non-functional latrines]]</f>
        <v>0</v>
      </c>
      <c r="CM70"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70"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70"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70" s="81">
        <f>IF(WWWW[[#This Row],[Location Type 1]]="Village","NA",IF(WWWW[[#This Row],['#_Constructed/Existing latrines in TLS]]*50&gt;WWWW[[#This Row],['#_students at TLS_CFS]],WWWW[[#This Row],['#_students at TLS_CFS]],(WWWW[[#This Row],['#_Constructed/Existing latrines in TLS]]*50)))</f>
        <v>0</v>
      </c>
      <c r="CQ70" s="81">
        <f>ROUND(IF(WWWW[[#This Row],[Location Type 1]]="camp",WWWW[[#This Row],[Total PoP ]]/20,IF(WWWW[[#This Row],[Location Type 1]]="Temporary Location",WWWW[[#This Row],[Total PoP ]]/50,(WWWW[[#This Row],[Total PoP ]]/6))),0)</f>
        <v>13</v>
      </c>
      <c r="CR70" s="80">
        <f>IF(WWWW[[#This Row],[Total required Latrines]]-(WWWW[[#This Row],['#_Constructed latrines_by_WASHAgencies]]+WWWW[[#This Row],['#_Non Cluster partner latrines]])&lt;0,0,WWWW[[#This Row],[Total required Latrines]]-(WWWW[[#This Row],['#_Constructed latrines_by_WASHAgencies]]+WWWW[[#This Row],['#_Non Cluster partner latrines]]))</f>
        <v>13</v>
      </c>
      <c r="CS70" s="79">
        <f>1-WWWW[[#This Row],[% people access to functioning Latrine]]</f>
        <v>1</v>
      </c>
      <c r="CT70" s="83">
        <f>IF(OR(WWWW[[#This Row],['#_Non-functional latrines]]="",WWWW[[#This Row],['#_Non-functional latrines]]=0),0,WWWW[[#This Row],['#_Non-functional latrines]]/(WWWW[[#This Row],['#_Constructed latrines_by_WASHAgencies]]+WWWW[[#This Row],['#_Non Cluster partner latrines]]))</f>
        <v>0</v>
      </c>
      <c r="CU70" s="80">
        <f>IF(500*(WWWW[[#This Row],['#_male hygiene promoters]]+WWWW[[#This Row],['#_female hygiene promoters]])&gt;WWWW[[#This Row],[Total PoP ]],WWWW[[#This Row],[Total PoP ]],500*(WWWW[[#This Row],['#_male hygiene promoters]]+WWWW[[#This Row],['#_female hygiene promoters]]))</f>
        <v>0</v>
      </c>
      <c r="CV70"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70"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70" s="81">
        <f>IF(WWWW[[#This Row],['# People with access to soap]]&gt;WWWW[[#This Row],['# People with access to Sanity Pads]],WWWW[[#This Row],['# People with access to soap]],WWWW[[#This Row],['# People with access to Sanity Pads]])</f>
        <v>0</v>
      </c>
      <c r="CY70"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70" s="79">
        <f>IF(WWWW[[#This Row],[HRP3]]/WWWW[[#This Row],[Total PoP ]]&gt;100%,100%,WWWW[[#This Row],[HRP3]]/WWWW[[#This Row],[Total PoP ]])</f>
        <v>0</v>
      </c>
      <c r="DA70" s="83">
        <f>1-WWWW[[#This Row],[Hygiene Coverage%]]</f>
        <v>1</v>
      </c>
      <c r="DB70" s="82">
        <f>WWWW[[#This Row],['# people reached by regular dedicated hygiene promotion_5]]/WWWW[[#This Row],[Total PoP ]]</f>
        <v>0</v>
      </c>
      <c r="DC70" s="82">
        <f>IF(WWWW[[#This Row],['#_households that received standard amount of soap for this quarter]]/WWWW[[#This Row],[Total HH]]&gt;1,1,WWWW[[#This Row],['#_households that received standard amount of soap for this quarter]]/WWWW[[#This Row],[Total HH]])</f>
        <v>0</v>
      </c>
      <c r="DD70" s="82">
        <f>IF(WWWW[[#This Row],['#_households that received standard amount of sanitary pads for this quarter]]/WWWW[[#This Row],[Total HH]]&gt;1,1,WWWW[[#This Row],['#_households that received standard amount of sanitary pads for this quarter]]/WWWW[[#This Row],[Total HH]])</f>
        <v>0</v>
      </c>
      <c r="DE70" s="81">
        <f>WWWW[[#This Row],['#_Constructed/Existing hand washing stations]]-WWWW[[#This Row],['#_Non-Functional_hand_washing_stations]]</f>
        <v>0</v>
      </c>
      <c r="DF70" s="667">
        <f>IF(WWWW[[#This Row],['# Functional hand washing stations during reporting period]]*20&gt;WWWW[[#This Row],[Total HH]],WWWW[[#This Row],[Total HH]],WWWW[[#This Row],['# Functional hand washing stations during reporting period]]*20)</f>
        <v>0</v>
      </c>
      <c r="DG70" s="80">
        <f>IF(WWWW[[#This Row],[Is sufficient soap available for TLS? (Yes/No)]]="yes",WWWW[[#This Row],['#_Constructed/Existing hand washing stations at TLS]],0)</f>
        <v>0</v>
      </c>
      <c r="DH70" s="667">
        <f>IF(WWWW[[#This Row],['# Functional hand washing stations during reporting period]]*100&gt;WWWW[[#This Row],[Total PoP ]],WWWW[[#This Row],[Total PoP ]],WWWW[[#This Row],['# Functional hand washing stations during reporting period]]*100)</f>
        <v>0</v>
      </c>
      <c r="DI70" s="667" t="str">
        <f>IF(WWWW[[#This Row],['#_students at TLS_CFS]]="","No","Yes")</f>
        <v>No</v>
      </c>
      <c r="DJ70" s="245">
        <f>VLOOKUP(WWWW[[#This Row],[Site Name]],SiteDB6[[Site Name]:[CCCM Management]],6,FALSE)</f>
        <v>0</v>
      </c>
      <c r="DK70" s="245">
        <f>VLOOKUP(WWWW[[#This Row],[Site Name]],SiteDB6[[Site Name]:[CCCM Focal Agency]],7,FALSE)</f>
        <v>0</v>
      </c>
      <c r="DL70" s="245" t="str">
        <f>VLOOKUP(WWWW[[#This Row],[Site Name]],SiteDB6[[Site Name]:[Location Type 1]],9,FALSE)</f>
        <v>Camp</v>
      </c>
      <c r="DM70" s="245" t="str">
        <f>VLOOKUP(WWWW[[#This Row],[Site Name]],SiteDB6[[Site Name]:[Type of Accommodation]],10,FALSE)</f>
        <v>Camp like setting</v>
      </c>
      <c r="DN70" s="245" t="str">
        <f>VLOOKUP(WWWW[[#This Row],[Site Name]],SiteDB6[[Site Name]:[Ethnic or GCA/NGCA]],11,FALSE)</f>
        <v>NGCA</v>
      </c>
      <c r="DO70" s="245">
        <f>VLOOKUP(WWWW[[#This Row],[Site Name]],SiteDB6[[Site Name]:[Lat]],12,FALSE)</f>
        <v>0</v>
      </c>
      <c r="DP70" s="245">
        <f>VLOOKUP(WWWW[[#This Row],[Site Name]],SiteDB6[[Site Name]:[Long]],13,FALSE)</f>
        <v>0</v>
      </c>
      <c r="DQ70" s="245">
        <f>VLOOKUP(WWWW[[#This Row],[Site Name]],SiteDB6[[Site Name]:[Pcode]],3,FALSE)</f>
        <v>0</v>
      </c>
      <c r="DR70" s="215" t="str">
        <f t="shared" si="2"/>
        <v>Covered</v>
      </c>
      <c r="DS70" s="215"/>
      <c r="DT70" s="20"/>
      <c r="DU70" s="20"/>
      <c r="DV70" s="20"/>
      <c r="DW70" s="20"/>
      <c r="DX70" s="20"/>
      <c r="DY70" s="20"/>
      <c r="DZ70" s="20"/>
      <c r="EA70" s="20"/>
      <c r="EB70" s="20"/>
      <c r="EC70" s="20"/>
      <c r="ED70" s="20"/>
      <c r="EE70" s="20"/>
      <c r="EF70" s="20"/>
      <c r="EG70" s="20"/>
      <c r="EH70" s="20"/>
    </row>
    <row r="71" spans="1:138" ht="15.75" customHeight="1">
      <c r="A71" s="259" t="s">
        <v>2525</v>
      </c>
      <c r="B71" s="259" t="s">
        <v>149</v>
      </c>
      <c r="C71" s="663" t="s">
        <v>149</v>
      </c>
      <c r="D71" s="663" t="s">
        <v>152</v>
      </c>
      <c r="E71" s="663" t="s">
        <v>39</v>
      </c>
      <c r="F71" s="663" t="s">
        <v>167</v>
      </c>
      <c r="G71" s="663" t="str">
        <f>VLOOKUP(WWWW[[#This Row],[Site Name]],SiteDB6[[Site Name]:[Location Type]],8,FALSE)</f>
        <v>Camp</v>
      </c>
      <c r="H71" s="663" t="s">
        <v>171</v>
      </c>
      <c r="I71" s="700">
        <v>99</v>
      </c>
      <c r="J71" s="700">
        <v>547</v>
      </c>
      <c r="K71" s="642">
        <v>43556</v>
      </c>
      <c r="L71" s="78">
        <v>43677</v>
      </c>
      <c r="M71" s="700"/>
      <c r="N71" s="700"/>
      <c r="O71" s="700"/>
      <c r="P71" s="700"/>
      <c r="Q71" s="663" t="s">
        <v>43</v>
      </c>
      <c r="R71" s="377"/>
      <c r="S71" s="377"/>
      <c r="T71" s="700">
        <v>1</v>
      </c>
      <c r="U71" s="377"/>
      <c r="V71" s="377"/>
      <c r="W71" s="700">
        <v>0</v>
      </c>
      <c r="X71" s="377"/>
      <c r="Y71" s="377"/>
      <c r="Z71" s="377"/>
      <c r="AA71" s="377"/>
      <c r="AB71" s="377"/>
      <c r="AC71" s="377"/>
      <c r="AD71" s="377"/>
      <c r="AE71" s="377"/>
      <c r="AF71" s="377"/>
      <c r="AG71" s="377"/>
      <c r="AH71" s="700">
        <v>2</v>
      </c>
      <c r="AI71" s="377"/>
      <c r="AJ71" s="377"/>
      <c r="AK71" s="377"/>
      <c r="AL71" s="377"/>
      <c r="AM71" s="377"/>
      <c r="AN71" s="377"/>
      <c r="AO71" s="215"/>
      <c r="AP71" s="700">
        <v>8</v>
      </c>
      <c r="AQ71" s="377"/>
      <c r="AR71" s="77"/>
      <c r="AS71" s="377"/>
      <c r="AT71" s="377"/>
      <c r="AU71" s="377"/>
      <c r="AV71" s="377"/>
      <c r="AW71" s="700">
        <v>8</v>
      </c>
      <c r="AX71" s="245" t="s">
        <v>43</v>
      </c>
      <c r="AY71" s="245" t="s">
        <v>1200</v>
      </c>
      <c r="AZ71" s="377"/>
      <c r="BA71" s="377"/>
      <c r="BB71" s="377"/>
      <c r="BC71" s="215"/>
      <c r="BD71" s="377"/>
      <c r="BE71" s="377"/>
      <c r="BF71" s="377"/>
      <c r="BG71" s="377">
        <v>2</v>
      </c>
      <c r="BH71" s="377"/>
      <c r="BI71" s="377"/>
      <c r="BJ71" s="377">
        <v>1</v>
      </c>
      <c r="BK71" s="377"/>
      <c r="BL71" s="377"/>
      <c r="BM71" s="215"/>
      <c r="BN71" s="80"/>
      <c r="BO71" s="82"/>
      <c r="BP71" s="215"/>
      <c r="BQ71" s="79" t="str">
        <f>IFERROR(WWWW[[#This Row],['#_Water sources treated]]/WWWW[[#This Row],['#_Water sources tested for contamination]],"no test")</f>
        <v>no test</v>
      </c>
      <c r="BR71" s="82" t="str">
        <f>IFERROR(WWWW[[#This Row],['#_Household received remediation action due to contamination]]/WWWW[[#This Row],['#_Household water samples tested for contamination]],"no test")</f>
        <v>no test</v>
      </c>
      <c r="BS71" s="81" t="str">
        <f>IF(AND(WWWW[[#This Row],[% of water sources treated]]="no test",WWWW[[#This Row],[% Household received corrective actions]]="no test"),"No Test","Tested")</f>
        <v>No Test</v>
      </c>
      <c r="BT71" s="81">
        <f>WWWW[[#This Row],['#_Constructed/existing protected hand dug well]]-WWWW[[#This Row],['#_Non-functional protected hand dug well]]</f>
        <v>1</v>
      </c>
      <c r="BU71" s="81">
        <f>(WWWW[[#This Row],['#_Constructed/Existing tube wells/boreholes/handpumps_WASH_agency]]+WWWW[[#This Row],['#_Non-Cluster partner water tube-wells/boreholes/handpumps]])-WWWW[[#This Row],['#_Non-functional tube wells/boreholes/handpumps]]</f>
        <v>0</v>
      </c>
      <c r="BV71" s="81">
        <f>WWWW[[#This Row],['#_Constructed/Existingwater storage tank with gravity fed reticulation system]]-WWWW[[#This Row],['#_Non-functional storage tank gravity fed reticulation system]]</f>
        <v>0</v>
      </c>
      <c r="BW71" s="81">
        <f>WWWW[[#This Row],['#_Water boating or water trucking]]</f>
        <v>0</v>
      </c>
      <c r="BX71" s="81">
        <f>WWWW[[#This Row],['#_Constructed/Existing water distribution system from river or natural spring]]</f>
        <v>0</v>
      </c>
      <c r="BY71"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0.73126142595978061</v>
      </c>
      <c r="BZ71"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0.45703839122486289</v>
      </c>
      <c r="CA71" s="82">
        <f>IF(WWWW[[#This Row],[Location Type 1]]="Village",WWWW[[#This Row],[Access to safe drinking water for Village]],WWWW[[#This Row],[Access to safe drinking water for Camp]])</f>
        <v>0.73126142595978061</v>
      </c>
      <c r="CB71" s="80">
        <f>WWWW[[#This Row],[%Equitable and continuous access to sufficient quantity of safe drinking water]]*WWWW[[#This Row],[Total PoP ]]</f>
        <v>400</v>
      </c>
      <c r="CC71" s="82">
        <f>IF((WWWW[[#This Row],['#_Constructed/Existing protected/fenced ponds]]*250)/WWWW[[#This Row],[Total PoP ]]&gt;1,1,(WWWW[[#This Row],['#_Constructed/Existing protected/fenced ponds]]*250)/WWWW[[#This Row],[Total PoP ]])</f>
        <v>0</v>
      </c>
      <c r="CD71" s="80">
        <f>WWWW[[#This Row],[% Access to unimproved water points]]*WWWW[[#This Row],[Total PoP ]]</f>
        <v>0</v>
      </c>
      <c r="CE71"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0.73126142595978061</v>
      </c>
      <c r="CF71"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400</v>
      </c>
      <c r="CG71" s="80">
        <f>WWWW[[#This Row],[HRP1]]/500</f>
        <v>0.8</v>
      </c>
      <c r="CH71" s="79">
        <f>1-WWWW[[#This Row],[% Equitable and continuous access to sufficient quantity of domestic water]]</f>
        <v>0.26873857404021939</v>
      </c>
      <c r="CI71" s="80">
        <f>WWWW[[#This Row],[%equitable and continuous access to sufficient quantity of safe drinking and domestic water''s GAP]]*WWWW[[#This Row],[Total PoP ]]</f>
        <v>147</v>
      </c>
      <c r="CJ71" s="81">
        <f>IF(WWWW[[#This Row],[Total required water points]]-WWWW[[#This Row],['#Water points coverage]]&lt;0,0,WWWW[[#This Row],[Total required water points]]-WWWW[[#This Row],['#Water points coverage]])</f>
        <v>0.19999999999999996</v>
      </c>
      <c r="CK71" s="81">
        <f>ROUND(IF(WWWW[[#This Row],[Total PoP ]]&lt;500,1,WWWW[[#This Row],[Total PoP ]]/500),0)</f>
        <v>1</v>
      </c>
      <c r="CL71" s="81">
        <f>(WWWW[[#This Row],['#_Constructed latrines_by_WASHAgencies]]+WWWW[[#This Row],['#_Non Cluster partner latrines]])-WWWW[[#This Row],['#_Non-functional latrines]]</f>
        <v>8</v>
      </c>
      <c r="CM71"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0.29250457038391225</v>
      </c>
      <c r="CN71"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160</v>
      </c>
      <c r="CO71"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71" s="81">
        <f>IF(WWWW[[#This Row],[Location Type 1]]="Village","NA",IF(WWWW[[#This Row],['#_Constructed/Existing latrines in TLS]]*50&gt;WWWW[[#This Row],['#_students at TLS_CFS]],WWWW[[#This Row],['#_students at TLS_CFS]],(WWWW[[#This Row],['#_Constructed/Existing latrines in TLS]]*50)))</f>
        <v>0</v>
      </c>
      <c r="CQ71" s="81">
        <f>ROUND(IF(WWWW[[#This Row],[Location Type 1]]="camp",WWWW[[#This Row],[Total PoP ]]/20,IF(WWWW[[#This Row],[Location Type 1]]="Temporary Location",WWWW[[#This Row],[Total PoP ]]/50,(WWWW[[#This Row],[Total PoP ]]/6))),0)</f>
        <v>27</v>
      </c>
      <c r="CR71" s="80">
        <f>IF(WWWW[[#This Row],[Total required Latrines]]-(WWWW[[#This Row],['#_Constructed latrines_by_WASHAgencies]]+WWWW[[#This Row],['#_Non Cluster partner latrines]])&lt;0,0,WWWW[[#This Row],[Total required Latrines]]-(WWWW[[#This Row],['#_Constructed latrines_by_WASHAgencies]]+WWWW[[#This Row],['#_Non Cluster partner latrines]]))</f>
        <v>19</v>
      </c>
      <c r="CS71" s="79">
        <f>1-WWWW[[#This Row],[% people access to functioning Latrine]]</f>
        <v>0.7074954296160878</v>
      </c>
      <c r="CT71" s="83">
        <f>IF(OR(WWWW[[#This Row],['#_Non-functional latrines]]="",WWWW[[#This Row],['#_Non-functional latrines]]=0),0,WWWW[[#This Row],['#_Non-functional latrines]]/(WWWW[[#This Row],['#_Constructed latrines_by_WASHAgencies]]+WWWW[[#This Row],['#_Non Cluster partner latrines]]))</f>
        <v>0</v>
      </c>
      <c r="CU71" s="80">
        <f>IF(500*(WWWW[[#This Row],['#_male hygiene promoters]]+WWWW[[#This Row],['#_female hygiene promoters]])&gt;WWWW[[#This Row],[Total PoP ]],WWWW[[#This Row],[Total PoP ]],500*(WWWW[[#This Row],['#_male hygiene promoters]]+WWWW[[#This Row],['#_female hygiene promoters]]))</f>
        <v>500</v>
      </c>
      <c r="CV71"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71"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71" s="81">
        <f>IF(WWWW[[#This Row],['# People with access to soap]]&gt;WWWW[[#This Row],['# People with access to Sanity Pads]],WWWW[[#This Row],['# People with access to soap]],WWWW[[#This Row],['# People with access to Sanity Pads]])</f>
        <v>0</v>
      </c>
      <c r="CY71" s="81">
        <f>IF(WWWW[[#This Row],['# people reached by regular dedicated hygiene promotion_5]]&gt;WWWW[[#This Row],['# People received regular supply of hygiene items_6]],WWWW[[#This Row],['# people reached by regular dedicated hygiene promotion_5]],WWWW[[#This Row],['# People received regular supply of hygiene items_6]])</f>
        <v>500</v>
      </c>
      <c r="CZ71" s="79">
        <f>IF(WWWW[[#This Row],[HRP3]]/WWWW[[#This Row],[Total PoP ]]&gt;100%,100%,WWWW[[#This Row],[HRP3]]/WWWW[[#This Row],[Total PoP ]])</f>
        <v>0.91407678244972579</v>
      </c>
      <c r="DA71" s="83">
        <f>1-WWWW[[#This Row],[Hygiene Coverage%]]</f>
        <v>8.5923217550274211E-2</v>
      </c>
      <c r="DB71" s="82">
        <f>WWWW[[#This Row],['# people reached by regular dedicated hygiene promotion_5]]/WWWW[[#This Row],[Total PoP ]]</f>
        <v>0.91407678244972579</v>
      </c>
      <c r="DC71" s="82">
        <f>IF(WWWW[[#This Row],['#_households that received standard amount of soap for this quarter]]/WWWW[[#This Row],[Total HH]]&gt;1,1,WWWW[[#This Row],['#_households that received standard amount of soap for this quarter]]/WWWW[[#This Row],[Total HH]])</f>
        <v>0</v>
      </c>
      <c r="DD71" s="82">
        <f>IF(WWWW[[#This Row],['#_households that received standard amount of sanitary pads for this quarter]]/WWWW[[#This Row],[Total HH]]&gt;1,1,WWWW[[#This Row],['#_households that received standard amount of sanitary pads for this quarter]]/WWWW[[#This Row],[Total HH]])</f>
        <v>0</v>
      </c>
      <c r="DE71" s="81">
        <f>WWWW[[#This Row],['#_Constructed/Existing hand washing stations]]-WWWW[[#This Row],['#_Non-Functional_hand_washing_stations]]</f>
        <v>0</v>
      </c>
      <c r="DF71" s="667">
        <f>IF(WWWW[[#This Row],['# Functional hand washing stations during reporting period]]*20&gt;WWWW[[#This Row],[Total HH]],WWWW[[#This Row],[Total HH]],WWWW[[#This Row],['# Functional hand washing stations during reporting period]]*20)</f>
        <v>0</v>
      </c>
      <c r="DG71" s="80">
        <f>IF(WWWW[[#This Row],[Is sufficient soap available for TLS? (Yes/No)]]="yes",WWWW[[#This Row],['#_Constructed/Existing hand washing stations at TLS]],0)</f>
        <v>0</v>
      </c>
      <c r="DH71" s="667">
        <f>IF(WWWW[[#This Row],['# Functional hand washing stations during reporting period]]*100&gt;WWWW[[#This Row],[Total PoP ]],WWWW[[#This Row],[Total PoP ]],WWWW[[#This Row],['# Functional hand washing stations during reporting period]]*100)</f>
        <v>0</v>
      </c>
      <c r="DI71" s="667" t="str">
        <f>IF(WWWW[[#This Row],['#_students at TLS_CFS]]="","No","Yes")</f>
        <v>No</v>
      </c>
      <c r="DJ71" s="245" t="str">
        <f>VLOOKUP(WWWW[[#This Row],[Site Name]],SiteDB6[[Site Name]:[CCCM Management]],6,FALSE)</f>
        <v>Yes</v>
      </c>
      <c r="DK71" s="245" t="str">
        <f>VLOOKUP(WWWW[[#This Row],[Site Name]],SiteDB6[[Site Name]:[CCCM Focal Agency]],7,FALSE)</f>
        <v>KBC-MYT</v>
      </c>
      <c r="DL71" s="245" t="str">
        <f>VLOOKUP(WWWW[[#This Row],[Site Name]],SiteDB6[[Site Name]:[Location Type 1]],9,FALSE)</f>
        <v>Camp</v>
      </c>
      <c r="DM71" s="245" t="str">
        <f>VLOOKUP(WWWW[[#This Row],[Site Name]],SiteDB6[[Site Name]:[Type of Accommodation]],10,FALSE)</f>
        <v>Camp</v>
      </c>
      <c r="DN71" s="245" t="str">
        <f>VLOOKUP(WWWW[[#This Row],[Site Name]],SiteDB6[[Site Name]:[Ethnic or GCA/NGCA]],11,FALSE)</f>
        <v>GCA</v>
      </c>
      <c r="DO71" s="245">
        <f>VLOOKUP(WWWW[[#This Row],[Site Name]],SiteDB6[[Site Name]:[Lat]],12,FALSE)</f>
        <v>25.362420757575801</v>
      </c>
      <c r="DP71" s="245">
        <f>VLOOKUP(WWWW[[#This Row],[Site Name]],SiteDB6[[Site Name]:[Long]],13,FALSE)</f>
        <v>97.409035000000003</v>
      </c>
      <c r="DQ71" s="245" t="str">
        <f>VLOOKUP(WWWW[[#This Row],[Site Name]],SiteDB6[[Site Name]:[Pcode]],3,FALSE)</f>
        <v>MMR001CMP015</v>
      </c>
      <c r="DR71" s="215" t="str">
        <f t="shared" si="2"/>
        <v>Covered</v>
      </c>
      <c r="DS71" s="215"/>
      <c r="DT71" s="20"/>
      <c r="DU71" s="20"/>
      <c r="DV71" s="20"/>
      <c r="DW71" s="20"/>
      <c r="DX71" s="20"/>
      <c r="DY71" s="20"/>
      <c r="DZ71" s="20"/>
      <c r="EA71" s="20"/>
      <c r="EB71" s="20"/>
      <c r="EC71" s="20"/>
      <c r="ED71" s="20"/>
      <c r="EE71" s="20"/>
      <c r="EF71" s="20"/>
      <c r="EG71" s="20"/>
      <c r="EH71" s="20"/>
    </row>
    <row r="72" spans="1:138" ht="15.75" customHeight="1">
      <c r="A72" s="259" t="s">
        <v>2525</v>
      </c>
      <c r="B72" s="663" t="s">
        <v>317</v>
      </c>
      <c r="C72" s="663" t="s">
        <v>317</v>
      </c>
      <c r="D72" s="663"/>
      <c r="E72" s="663" t="s">
        <v>39</v>
      </c>
      <c r="F72" s="663" t="s">
        <v>165</v>
      </c>
      <c r="G72" s="663" t="str">
        <f>VLOOKUP(WWWW[[#This Row],[Site Name]],SiteDB6[[Site Name]:[Location Type]],8,FALSE)</f>
        <v>Camp</v>
      </c>
      <c r="H72" s="77" t="s">
        <v>1048</v>
      </c>
      <c r="I72" s="700">
        <v>27</v>
      </c>
      <c r="J72" s="700">
        <v>121</v>
      </c>
      <c r="K72" s="642"/>
      <c r="L72" s="78"/>
      <c r="M72" s="700"/>
      <c r="N72" s="700"/>
      <c r="O72" s="700"/>
      <c r="P72" s="700"/>
      <c r="Q72" s="77"/>
      <c r="R72" s="377"/>
      <c r="S72" s="377"/>
      <c r="T72" s="377"/>
      <c r="U72" s="377"/>
      <c r="V72" s="377"/>
      <c r="W72" s="377"/>
      <c r="X72" s="377"/>
      <c r="Y72" s="377"/>
      <c r="Z72" s="377"/>
      <c r="AA72" s="377"/>
      <c r="AB72" s="377"/>
      <c r="AC72" s="377"/>
      <c r="AD72" s="377"/>
      <c r="AE72" s="377"/>
      <c r="AF72" s="377"/>
      <c r="AG72" s="377"/>
      <c r="AH72" s="377"/>
      <c r="AI72" s="377"/>
      <c r="AJ72" s="377"/>
      <c r="AK72" s="377"/>
      <c r="AL72" s="377"/>
      <c r="AM72" s="377"/>
      <c r="AN72" s="377"/>
      <c r="AO72" s="215"/>
      <c r="AP72" s="377"/>
      <c r="AQ72" s="377"/>
      <c r="AR72" s="77"/>
      <c r="AS72" s="377"/>
      <c r="AT72" s="377"/>
      <c r="AU72" s="377"/>
      <c r="AV72" s="377"/>
      <c r="AW72" s="377"/>
      <c r="AX72" s="245"/>
      <c r="AY72" s="245"/>
      <c r="AZ72" s="377"/>
      <c r="BA72" s="377"/>
      <c r="BB72" s="377"/>
      <c r="BC72" s="215"/>
      <c r="BD72" s="377"/>
      <c r="BE72" s="377"/>
      <c r="BF72" s="377"/>
      <c r="BG72" s="377"/>
      <c r="BH72" s="377"/>
      <c r="BI72" s="377"/>
      <c r="BJ72" s="377"/>
      <c r="BK72" s="377"/>
      <c r="BL72" s="377"/>
      <c r="BM72" s="215"/>
      <c r="BN72" s="80"/>
      <c r="BO72" s="82"/>
      <c r="BP72" s="215"/>
      <c r="BQ72" s="79" t="str">
        <f>IFERROR(WWWW[[#This Row],['#_Water sources treated]]/WWWW[[#This Row],['#_Water sources tested for contamination]],"no test")</f>
        <v>no test</v>
      </c>
      <c r="BR72" s="82" t="str">
        <f>IFERROR(WWWW[[#This Row],['#_Household received remediation action due to contamination]]/WWWW[[#This Row],['#_Household water samples tested for contamination]],"no test")</f>
        <v>no test</v>
      </c>
      <c r="BS72" s="81" t="str">
        <f>IF(AND(WWWW[[#This Row],[% of water sources treated]]="no test",WWWW[[#This Row],[% Household received corrective actions]]="no test"),"No Test","Tested")</f>
        <v>No Test</v>
      </c>
      <c r="BT72" s="81">
        <f>WWWW[[#This Row],['#_Constructed/existing protected hand dug well]]-WWWW[[#This Row],['#_Non-functional protected hand dug well]]</f>
        <v>0</v>
      </c>
      <c r="BU72" s="81">
        <f>(WWWW[[#This Row],['#_Constructed/Existing tube wells/boreholes/handpumps_WASH_agency]]+WWWW[[#This Row],['#_Non-Cluster partner water tube-wells/boreholes/handpumps]])-WWWW[[#This Row],['#_Non-functional tube wells/boreholes/handpumps]]</f>
        <v>0</v>
      </c>
      <c r="BV72" s="81">
        <f>WWWW[[#This Row],['#_Constructed/Existingwater storage tank with gravity fed reticulation system]]-WWWW[[#This Row],['#_Non-functional storage tank gravity fed reticulation system]]</f>
        <v>0</v>
      </c>
      <c r="BW72" s="81">
        <f>WWWW[[#This Row],['#_Water boating or water trucking]]</f>
        <v>0</v>
      </c>
      <c r="BX72" s="81">
        <f>WWWW[[#This Row],['#_Constructed/Existing water distribution system from river or natural spring]]</f>
        <v>0</v>
      </c>
      <c r="BY72"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72"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72" s="82">
        <f>IF(WWWW[[#This Row],[Location Type 1]]="Village",WWWW[[#This Row],[Access to safe drinking water for Village]],WWWW[[#This Row],[Access to safe drinking water for Camp]])</f>
        <v>0</v>
      </c>
      <c r="CB72" s="80">
        <f>WWWW[[#This Row],[%Equitable and continuous access to sufficient quantity of safe drinking water]]*WWWW[[#This Row],[Total PoP ]]</f>
        <v>0</v>
      </c>
      <c r="CC72" s="82">
        <f>IF((WWWW[[#This Row],['#_Constructed/Existing protected/fenced ponds]]*250)/WWWW[[#This Row],[Total PoP ]]&gt;1,1,(WWWW[[#This Row],['#_Constructed/Existing protected/fenced ponds]]*250)/WWWW[[#This Row],[Total PoP ]])</f>
        <v>0</v>
      </c>
      <c r="CD72" s="80">
        <f>WWWW[[#This Row],[% Access to unimproved water points]]*WWWW[[#This Row],[Total PoP ]]</f>
        <v>0</v>
      </c>
      <c r="CE72"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72"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72" s="80">
        <f>WWWW[[#This Row],[HRP1]]/500</f>
        <v>0</v>
      </c>
      <c r="CH72" s="79">
        <f>1-WWWW[[#This Row],[% Equitable and continuous access to sufficient quantity of domestic water]]</f>
        <v>1</v>
      </c>
      <c r="CI72" s="80">
        <f>WWWW[[#This Row],[%equitable and continuous access to sufficient quantity of safe drinking and domestic water''s GAP]]*WWWW[[#This Row],[Total PoP ]]</f>
        <v>121</v>
      </c>
      <c r="CJ72" s="81">
        <f>IF(WWWW[[#This Row],[Total required water points]]-WWWW[[#This Row],['#Water points coverage]]&lt;0,0,WWWW[[#This Row],[Total required water points]]-WWWW[[#This Row],['#Water points coverage]])</f>
        <v>1</v>
      </c>
      <c r="CK72" s="81">
        <f>ROUND(IF(WWWW[[#This Row],[Total PoP ]]&lt;500,1,WWWW[[#This Row],[Total PoP ]]/500),0)</f>
        <v>1</v>
      </c>
      <c r="CL72" s="81">
        <f>(WWWW[[#This Row],['#_Constructed latrines_by_WASHAgencies]]+WWWW[[#This Row],['#_Non Cluster partner latrines]])-WWWW[[#This Row],['#_Non-functional latrines]]</f>
        <v>0</v>
      </c>
      <c r="CM72"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72"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72"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72" s="81">
        <f>IF(WWWW[[#This Row],[Location Type 1]]="Village","NA",IF(WWWW[[#This Row],['#_Constructed/Existing latrines in TLS]]*50&gt;WWWW[[#This Row],['#_students at TLS_CFS]],WWWW[[#This Row],['#_students at TLS_CFS]],(WWWW[[#This Row],['#_Constructed/Existing latrines in TLS]]*50)))</f>
        <v>0</v>
      </c>
      <c r="CQ72" s="81">
        <f>ROUND(IF(WWWW[[#This Row],[Location Type 1]]="camp",WWWW[[#This Row],[Total PoP ]]/20,IF(WWWW[[#This Row],[Location Type 1]]="Temporary Location",WWWW[[#This Row],[Total PoP ]]/50,(WWWW[[#This Row],[Total PoP ]]/6))),0)</f>
        <v>6</v>
      </c>
      <c r="CR72" s="80">
        <f>IF(WWWW[[#This Row],[Total required Latrines]]-(WWWW[[#This Row],['#_Constructed latrines_by_WASHAgencies]]+WWWW[[#This Row],['#_Non Cluster partner latrines]])&lt;0,0,WWWW[[#This Row],[Total required Latrines]]-(WWWW[[#This Row],['#_Constructed latrines_by_WASHAgencies]]+WWWW[[#This Row],['#_Non Cluster partner latrines]]))</f>
        <v>6</v>
      </c>
      <c r="CS72" s="79">
        <f>1-WWWW[[#This Row],[% people access to functioning Latrine]]</f>
        <v>1</v>
      </c>
      <c r="CT72" s="83">
        <f>IF(OR(WWWW[[#This Row],['#_Non-functional latrines]]="",WWWW[[#This Row],['#_Non-functional latrines]]=0),0,WWWW[[#This Row],['#_Non-functional latrines]]/(WWWW[[#This Row],['#_Constructed latrines_by_WASHAgencies]]+WWWW[[#This Row],['#_Non Cluster partner latrines]]))</f>
        <v>0</v>
      </c>
      <c r="CU72" s="80">
        <f>IF(500*(WWWW[[#This Row],['#_male hygiene promoters]]+WWWW[[#This Row],['#_female hygiene promoters]])&gt;WWWW[[#This Row],[Total PoP ]],WWWW[[#This Row],[Total PoP ]],500*(WWWW[[#This Row],['#_male hygiene promoters]]+WWWW[[#This Row],['#_female hygiene promoters]]))</f>
        <v>0</v>
      </c>
      <c r="CV72"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72"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72" s="81">
        <f>IF(WWWW[[#This Row],['# People with access to soap]]&gt;WWWW[[#This Row],['# People with access to Sanity Pads]],WWWW[[#This Row],['# People with access to soap]],WWWW[[#This Row],['# People with access to Sanity Pads]])</f>
        <v>0</v>
      </c>
      <c r="CY72"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72" s="79">
        <f>IF(WWWW[[#This Row],[HRP3]]/WWWW[[#This Row],[Total PoP ]]&gt;100%,100%,WWWW[[#This Row],[HRP3]]/WWWW[[#This Row],[Total PoP ]])</f>
        <v>0</v>
      </c>
      <c r="DA72" s="83">
        <f>1-WWWW[[#This Row],[Hygiene Coverage%]]</f>
        <v>1</v>
      </c>
      <c r="DB72" s="82">
        <f>WWWW[[#This Row],['# people reached by regular dedicated hygiene promotion_5]]/WWWW[[#This Row],[Total PoP ]]</f>
        <v>0</v>
      </c>
      <c r="DC72" s="82">
        <f>IF(WWWW[[#This Row],['#_households that received standard amount of soap for this quarter]]/WWWW[[#This Row],[Total HH]]&gt;1,1,WWWW[[#This Row],['#_households that received standard amount of soap for this quarter]]/WWWW[[#This Row],[Total HH]])</f>
        <v>0</v>
      </c>
      <c r="DD72" s="82">
        <f>IF(WWWW[[#This Row],['#_households that received standard amount of sanitary pads for this quarter]]/WWWW[[#This Row],[Total HH]]&gt;1,1,WWWW[[#This Row],['#_households that received standard amount of sanitary pads for this quarter]]/WWWW[[#This Row],[Total HH]])</f>
        <v>0</v>
      </c>
      <c r="DE72" s="81">
        <f>WWWW[[#This Row],['#_Constructed/Existing hand washing stations]]-WWWW[[#This Row],['#_Non-Functional_hand_washing_stations]]</f>
        <v>0</v>
      </c>
      <c r="DF72" s="667">
        <f>IF(WWWW[[#This Row],['# Functional hand washing stations during reporting period]]*20&gt;WWWW[[#This Row],[Total HH]],WWWW[[#This Row],[Total HH]],WWWW[[#This Row],['# Functional hand washing stations during reporting period]]*20)</f>
        <v>0</v>
      </c>
      <c r="DG72" s="80">
        <f>IF(WWWW[[#This Row],[Is sufficient soap available for TLS? (Yes/No)]]="yes",WWWW[[#This Row],['#_Constructed/Existing hand washing stations at TLS]],0)</f>
        <v>0</v>
      </c>
      <c r="DH72" s="667">
        <f>IF(WWWW[[#This Row],['# Functional hand washing stations during reporting period]]*100&gt;WWWW[[#This Row],[Total PoP ]],WWWW[[#This Row],[Total PoP ]],WWWW[[#This Row],['# Functional hand washing stations during reporting period]]*100)</f>
        <v>0</v>
      </c>
      <c r="DI72" s="667" t="str">
        <f>IF(WWWW[[#This Row],['#_students at TLS_CFS]]="","No","Yes")</f>
        <v>No</v>
      </c>
      <c r="DJ72" s="245">
        <f>VLOOKUP(WWWW[[#This Row],[Site Name]],SiteDB6[[Site Name]:[CCCM Management]],6,FALSE)</f>
        <v>0</v>
      </c>
      <c r="DK72" s="245" t="str">
        <f>VLOOKUP(WWWW[[#This Row],[Site Name]],SiteDB6[[Site Name]:[CCCM Focal Agency]],7,FALSE)</f>
        <v>uncovered</v>
      </c>
      <c r="DL72" s="245" t="str">
        <f>VLOOKUP(WWWW[[#This Row],[Site Name]],SiteDB6[[Site Name]:[Location Type 1]],9,FALSE)</f>
        <v>Camp</v>
      </c>
      <c r="DM72" s="245" t="str">
        <f>VLOOKUP(WWWW[[#This Row],[Site Name]],SiteDB6[[Site Name]:[Type of Accommodation]],10,FALSE)</f>
        <v>Host Families</v>
      </c>
      <c r="DN72" s="245" t="str">
        <f>VLOOKUP(WWWW[[#This Row],[Site Name]],SiteDB6[[Site Name]:[Ethnic or GCA/NGCA]],11,FALSE)</f>
        <v>GCA</v>
      </c>
      <c r="DO72" s="245">
        <f>VLOOKUP(WWWW[[#This Row],[Site Name]],SiteDB6[[Site Name]:[Lat]],12,FALSE)</f>
        <v>24.996279999999999</v>
      </c>
      <c r="DP72" s="245">
        <f>VLOOKUP(WWWW[[#This Row],[Site Name]],SiteDB6[[Site Name]:[Long]],13,FALSE)</f>
        <v>96.52534</v>
      </c>
      <c r="DQ72" s="245" t="str">
        <f>VLOOKUP(WWWW[[#This Row],[Site Name]],SiteDB6[[Site Name]:[Pcode]],3,FALSE)</f>
        <v>MMR001CMP232</v>
      </c>
      <c r="DR72" s="215" t="str">
        <f t="shared" si="2"/>
        <v>Notcovered</v>
      </c>
      <c r="DS72" s="215"/>
      <c r="DT72" s="20"/>
      <c r="DU72" s="20"/>
      <c r="DV72" s="20"/>
      <c r="DW72" s="20"/>
      <c r="DX72" s="20"/>
      <c r="DY72" s="20"/>
      <c r="DZ72" s="20"/>
      <c r="EA72" s="20"/>
      <c r="EB72" s="20"/>
      <c r="EC72" s="20"/>
      <c r="ED72" s="20"/>
      <c r="EE72" s="20"/>
      <c r="EF72" s="20"/>
      <c r="EG72" s="20"/>
      <c r="EH72" s="20"/>
    </row>
    <row r="73" spans="1:138" ht="15.75" customHeight="1">
      <c r="A73" s="259" t="s">
        <v>2525</v>
      </c>
      <c r="B73" s="259" t="s">
        <v>149</v>
      </c>
      <c r="C73" s="663" t="s">
        <v>149</v>
      </c>
      <c r="D73" s="663" t="s">
        <v>152</v>
      </c>
      <c r="E73" s="663" t="s">
        <v>39</v>
      </c>
      <c r="F73" s="663" t="s">
        <v>167</v>
      </c>
      <c r="G73" s="663" t="str">
        <f>VLOOKUP(WWWW[[#This Row],[Site Name]],SiteDB6[[Site Name]:[Location Type]],8,FALSE)</f>
        <v>Camp</v>
      </c>
      <c r="H73" s="663" t="s">
        <v>172</v>
      </c>
      <c r="I73" s="700">
        <v>132</v>
      </c>
      <c r="J73" s="700">
        <v>676</v>
      </c>
      <c r="K73" s="642">
        <v>43556</v>
      </c>
      <c r="L73" s="78">
        <v>43677</v>
      </c>
      <c r="M73" s="700"/>
      <c r="N73" s="700"/>
      <c r="O73" s="700"/>
      <c r="P73" s="700"/>
      <c r="Q73" s="663" t="s">
        <v>43</v>
      </c>
      <c r="R73" s="377"/>
      <c r="S73" s="377"/>
      <c r="T73" s="700">
        <v>0</v>
      </c>
      <c r="U73" s="377"/>
      <c r="V73" s="377"/>
      <c r="W73" s="700">
        <v>3</v>
      </c>
      <c r="X73" s="377"/>
      <c r="Y73" s="377"/>
      <c r="Z73" s="377"/>
      <c r="AA73" s="377"/>
      <c r="AB73" s="377"/>
      <c r="AC73" s="377"/>
      <c r="AD73" s="377"/>
      <c r="AE73" s="377"/>
      <c r="AF73" s="377"/>
      <c r="AG73" s="377"/>
      <c r="AH73" s="700">
        <v>2</v>
      </c>
      <c r="AI73" s="377"/>
      <c r="AJ73" s="377"/>
      <c r="AK73" s="377"/>
      <c r="AL73" s="377"/>
      <c r="AM73" s="377"/>
      <c r="AN73" s="377"/>
      <c r="AO73" s="215"/>
      <c r="AP73" s="700">
        <v>32</v>
      </c>
      <c r="AQ73" s="377"/>
      <c r="AR73" s="77"/>
      <c r="AS73" s="377"/>
      <c r="AT73" s="377"/>
      <c r="AU73" s="377">
        <v>18</v>
      </c>
      <c r="AV73" s="377"/>
      <c r="AW73" s="700">
        <v>32</v>
      </c>
      <c r="AX73" s="245" t="s">
        <v>43</v>
      </c>
      <c r="AY73" s="245" t="s">
        <v>145</v>
      </c>
      <c r="AZ73" s="377"/>
      <c r="BA73" s="377"/>
      <c r="BB73" s="377"/>
      <c r="BC73" s="215"/>
      <c r="BD73" s="377"/>
      <c r="BE73" s="377"/>
      <c r="BF73" s="377"/>
      <c r="BG73" s="377">
        <v>2</v>
      </c>
      <c r="BH73" s="377"/>
      <c r="BI73" s="377"/>
      <c r="BJ73" s="377">
        <v>1</v>
      </c>
      <c r="BK73" s="377"/>
      <c r="BL73" s="377"/>
      <c r="BM73" s="215"/>
      <c r="BN73" s="80"/>
      <c r="BO73" s="82"/>
      <c r="BP73" s="215"/>
      <c r="BQ73" s="79" t="str">
        <f>IFERROR(WWWW[[#This Row],['#_Water sources treated]]/WWWW[[#This Row],['#_Water sources tested for contamination]],"no test")</f>
        <v>no test</v>
      </c>
      <c r="BR73" s="82" t="str">
        <f>IFERROR(WWWW[[#This Row],['#_Household received remediation action due to contamination]]/WWWW[[#This Row],['#_Household water samples tested for contamination]],"no test")</f>
        <v>no test</v>
      </c>
      <c r="BS73" s="81" t="str">
        <f>IF(AND(WWWW[[#This Row],[% of water sources treated]]="no test",WWWW[[#This Row],[% Household received corrective actions]]="no test"),"No Test","Tested")</f>
        <v>No Test</v>
      </c>
      <c r="BT73" s="81">
        <f>WWWW[[#This Row],['#_Constructed/existing protected hand dug well]]-WWWW[[#This Row],['#_Non-functional protected hand dug well]]</f>
        <v>0</v>
      </c>
      <c r="BU73" s="81">
        <f>(WWWW[[#This Row],['#_Constructed/Existing tube wells/boreholes/handpumps_WASH_agency]]+WWWW[[#This Row],['#_Non-Cluster partner water tube-wells/boreholes/handpumps]])-WWWW[[#This Row],['#_Non-functional tube wells/boreholes/handpumps]]</f>
        <v>3</v>
      </c>
      <c r="BV73" s="81">
        <f>WWWW[[#This Row],['#_Constructed/Existingwater storage tank with gravity fed reticulation system]]-WWWW[[#This Row],['#_Non-functional storage tank gravity fed reticulation system]]</f>
        <v>0</v>
      </c>
      <c r="BW73" s="81">
        <f>WWWW[[#This Row],['#_Water boating or water trucking]]</f>
        <v>0</v>
      </c>
      <c r="BX73" s="81">
        <f>WWWW[[#This Row],['#_Constructed/Existing water distribution system from river or natural spring]]</f>
        <v>0</v>
      </c>
      <c r="BY73"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73"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73" s="82">
        <f>IF(WWWW[[#This Row],[Location Type 1]]="Village",WWWW[[#This Row],[Access to safe drinking water for Village]],WWWW[[#This Row],[Access to safe drinking water for Camp]])</f>
        <v>1</v>
      </c>
      <c r="CB73" s="80">
        <f>WWWW[[#This Row],[%Equitable and continuous access to sufficient quantity of safe drinking water]]*WWWW[[#This Row],[Total PoP ]]</f>
        <v>676</v>
      </c>
      <c r="CC73" s="82">
        <f>IF((WWWW[[#This Row],['#_Constructed/Existing protected/fenced ponds]]*250)/WWWW[[#This Row],[Total PoP ]]&gt;1,1,(WWWW[[#This Row],['#_Constructed/Existing protected/fenced ponds]]*250)/WWWW[[#This Row],[Total PoP ]])</f>
        <v>0</v>
      </c>
      <c r="CD73" s="80">
        <f>WWWW[[#This Row],[% Access to unimproved water points]]*WWWW[[#This Row],[Total PoP ]]</f>
        <v>0</v>
      </c>
      <c r="CE73"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73"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676</v>
      </c>
      <c r="CG73" s="80">
        <f>WWWW[[#This Row],[HRP1]]/500</f>
        <v>1.3520000000000001</v>
      </c>
      <c r="CH73" s="79">
        <f>1-WWWW[[#This Row],[% Equitable and continuous access to sufficient quantity of domestic water]]</f>
        <v>0</v>
      </c>
      <c r="CI73" s="80">
        <f>WWWW[[#This Row],[%equitable and continuous access to sufficient quantity of safe drinking and domestic water''s GAP]]*WWWW[[#This Row],[Total PoP ]]</f>
        <v>0</v>
      </c>
      <c r="CJ73" s="81">
        <f>IF(WWWW[[#This Row],[Total required water points]]-WWWW[[#This Row],['#Water points coverage]]&lt;0,0,WWWW[[#This Row],[Total required water points]]-WWWW[[#This Row],['#Water points coverage]])</f>
        <v>0</v>
      </c>
      <c r="CK73" s="81">
        <f>ROUND(IF(WWWW[[#This Row],[Total PoP ]]&lt;500,1,WWWW[[#This Row],[Total PoP ]]/500),0)</f>
        <v>1</v>
      </c>
      <c r="CL73" s="81">
        <f>(WWWW[[#This Row],['#_Constructed latrines_by_WASHAgencies]]+WWWW[[#This Row],['#_Non Cluster partner latrines]])-WWWW[[#This Row],['#_Non-functional latrines]]</f>
        <v>32</v>
      </c>
      <c r="CM73"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0.94674556213017746</v>
      </c>
      <c r="CN73"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640</v>
      </c>
      <c r="CO73"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360</v>
      </c>
      <c r="CP73" s="81">
        <f>IF(WWWW[[#This Row],[Location Type 1]]="Village","NA",IF(WWWW[[#This Row],['#_Constructed/Existing latrines in TLS]]*50&gt;WWWW[[#This Row],['#_students at TLS_CFS]],WWWW[[#This Row],['#_students at TLS_CFS]],(WWWW[[#This Row],['#_Constructed/Existing latrines in TLS]]*50)))</f>
        <v>0</v>
      </c>
      <c r="CQ73" s="81">
        <f>ROUND(IF(WWWW[[#This Row],[Location Type 1]]="camp",WWWW[[#This Row],[Total PoP ]]/20,IF(WWWW[[#This Row],[Location Type 1]]="Temporary Location",WWWW[[#This Row],[Total PoP ]]/50,(WWWW[[#This Row],[Total PoP ]]/6))),0)</f>
        <v>34</v>
      </c>
      <c r="CR73" s="80">
        <f>IF(WWWW[[#This Row],[Total required Latrines]]-(WWWW[[#This Row],['#_Constructed latrines_by_WASHAgencies]]+WWWW[[#This Row],['#_Non Cluster partner latrines]])&lt;0,0,WWWW[[#This Row],[Total required Latrines]]-(WWWW[[#This Row],['#_Constructed latrines_by_WASHAgencies]]+WWWW[[#This Row],['#_Non Cluster partner latrines]]))</f>
        <v>2</v>
      </c>
      <c r="CS73" s="79">
        <f>1-WWWW[[#This Row],[% people access to functioning Latrine]]</f>
        <v>5.3254437869822535E-2</v>
      </c>
      <c r="CT73" s="83">
        <f>IF(OR(WWWW[[#This Row],['#_Non-functional latrines]]="",WWWW[[#This Row],['#_Non-functional latrines]]=0),0,WWWW[[#This Row],['#_Non-functional latrines]]/(WWWW[[#This Row],['#_Constructed latrines_by_WASHAgencies]]+WWWW[[#This Row],['#_Non Cluster partner latrines]]))</f>
        <v>0</v>
      </c>
      <c r="CU73" s="80">
        <f>IF(500*(WWWW[[#This Row],['#_male hygiene promoters]]+WWWW[[#This Row],['#_female hygiene promoters]])&gt;WWWW[[#This Row],[Total PoP ]],WWWW[[#This Row],[Total PoP ]],500*(WWWW[[#This Row],['#_male hygiene promoters]]+WWWW[[#This Row],['#_female hygiene promoters]]))</f>
        <v>500</v>
      </c>
      <c r="CV73"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73"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73" s="81">
        <f>IF(WWWW[[#This Row],['# People with access to soap]]&gt;WWWW[[#This Row],['# People with access to Sanity Pads]],WWWW[[#This Row],['# People with access to soap]],WWWW[[#This Row],['# People with access to Sanity Pads]])</f>
        <v>0</v>
      </c>
      <c r="CY73" s="81">
        <f>IF(WWWW[[#This Row],['# people reached by regular dedicated hygiene promotion_5]]&gt;WWWW[[#This Row],['# People received regular supply of hygiene items_6]],WWWW[[#This Row],['# people reached by regular dedicated hygiene promotion_5]],WWWW[[#This Row],['# People received regular supply of hygiene items_6]])</f>
        <v>500</v>
      </c>
      <c r="CZ73" s="79">
        <f>IF(WWWW[[#This Row],[HRP3]]/WWWW[[#This Row],[Total PoP ]]&gt;100%,100%,WWWW[[#This Row],[HRP3]]/WWWW[[#This Row],[Total PoP ]])</f>
        <v>0.73964497041420119</v>
      </c>
      <c r="DA73" s="83">
        <f>1-WWWW[[#This Row],[Hygiene Coverage%]]</f>
        <v>0.26035502958579881</v>
      </c>
      <c r="DB73" s="82">
        <f>WWWW[[#This Row],['# people reached by regular dedicated hygiene promotion_5]]/WWWW[[#This Row],[Total PoP ]]</f>
        <v>0.73964497041420119</v>
      </c>
      <c r="DC73" s="82">
        <f>IF(WWWW[[#This Row],['#_households that received standard amount of soap for this quarter]]/WWWW[[#This Row],[Total HH]]&gt;1,1,WWWW[[#This Row],['#_households that received standard amount of soap for this quarter]]/WWWW[[#This Row],[Total HH]])</f>
        <v>0</v>
      </c>
      <c r="DD73" s="82">
        <f>IF(WWWW[[#This Row],['#_households that received standard amount of sanitary pads for this quarter]]/WWWW[[#This Row],[Total HH]]&gt;1,1,WWWW[[#This Row],['#_households that received standard amount of sanitary pads for this quarter]]/WWWW[[#This Row],[Total HH]])</f>
        <v>0</v>
      </c>
      <c r="DE73" s="81">
        <f>WWWW[[#This Row],['#_Constructed/Existing hand washing stations]]-WWWW[[#This Row],['#_Non-Functional_hand_washing_stations]]</f>
        <v>0</v>
      </c>
      <c r="DF73" s="667">
        <f>IF(WWWW[[#This Row],['# Functional hand washing stations during reporting period]]*20&gt;WWWW[[#This Row],[Total HH]],WWWW[[#This Row],[Total HH]],WWWW[[#This Row],['# Functional hand washing stations during reporting period]]*20)</f>
        <v>0</v>
      </c>
      <c r="DG73" s="80">
        <f>IF(WWWW[[#This Row],[Is sufficient soap available for TLS? (Yes/No)]]="yes",WWWW[[#This Row],['#_Constructed/Existing hand washing stations at TLS]],0)</f>
        <v>0</v>
      </c>
      <c r="DH73" s="667">
        <f>IF(WWWW[[#This Row],['# Functional hand washing stations during reporting period]]*100&gt;WWWW[[#This Row],[Total PoP ]],WWWW[[#This Row],[Total PoP ]],WWWW[[#This Row],['# Functional hand washing stations during reporting period]]*100)</f>
        <v>0</v>
      </c>
      <c r="DI73" s="667" t="str">
        <f>IF(WWWW[[#This Row],['#_students at TLS_CFS]]="","No","Yes")</f>
        <v>No</v>
      </c>
      <c r="DJ73" s="245" t="str">
        <f>VLOOKUP(WWWW[[#This Row],[Site Name]],SiteDB6[[Site Name]:[CCCM Management]],6,FALSE)</f>
        <v>Yes</v>
      </c>
      <c r="DK73" s="245" t="str">
        <f>VLOOKUP(WWWW[[#This Row],[Site Name]],SiteDB6[[Site Name]:[CCCM Focal Agency]],7,FALSE)</f>
        <v>KBC-MYT</v>
      </c>
      <c r="DL73" s="245" t="str">
        <f>VLOOKUP(WWWW[[#This Row],[Site Name]],SiteDB6[[Site Name]:[Location Type 1]],9,FALSE)</f>
        <v>Camp</v>
      </c>
      <c r="DM73" s="245" t="str">
        <f>VLOOKUP(WWWW[[#This Row],[Site Name]],SiteDB6[[Site Name]:[Type of Accommodation]],10,FALSE)</f>
        <v>Camp</v>
      </c>
      <c r="DN73" s="245" t="str">
        <f>VLOOKUP(WWWW[[#This Row],[Site Name]],SiteDB6[[Site Name]:[Ethnic or GCA/NGCA]],11,FALSE)</f>
        <v>GCA</v>
      </c>
      <c r="DO73" s="245">
        <f>VLOOKUP(WWWW[[#This Row],[Site Name]],SiteDB6[[Site Name]:[Lat]],12,FALSE)</f>
        <v>25.3510167948718</v>
      </c>
      <c r="DP73" s="245">
        <f>VLOOKUP(WWWW[[#This Row],[Site Name]],SiteDB6[[Site Name]:[Long]],13,FALSE)</f>
        <v>97.403402307692303</v>
      </c>
      <c r="DQ73" s="245" t="str">
        <f>VLOOKUP(WWWW[[#This Row],[Site Name]],SiteDB6[[Site Name]:[Pcode]],3,FALSE)</f>
        <v>MMR001CMP014</v>
      </c>
      <c r="DR73" s="215" t="str">
        <f t="shared" si="2"/>
        <v>Covered</v>
      </c>
      <c r="DS73" s="215"/>
      <c r="DT73" s="20"/>
      <c r="DU73" s="20"/>
      <c r="DV73" s="20"/>
      <c r="DW73" s="20"/>
      <c r="DX73" s="20"/>
      <c r="DY73" s="20"/>
      <c r="DZ73" s="20"/>
      <c r="EA73" s="20"/>
      <c r="EB73" s="20"/>
      <c r="EC73" s="20"/>
      <c r="ED73" s="20"/>
      <c r="EE73" s="20"/>
      <c r="EF73" s="20"/>
      <c r="EG73" s="20"/>
      <c r="EH73" s="20"/>
    </row>
    <row r="74" spans="1:138" ht="15.75" customHeight="1">
      <c r="A74" s="259" t="s">
        <v>2525</v>
      </c>
      <c r="B74" s="663" t="s">
        <v>317</v>
      </c>
      <c r="C74" s="663" t="s">
        <v>317</v>
      </c>
      <c r="D74" s="663"/>
      <c r="E74" s="663" t="s">
        <v>39</v>
      </c>
      <c r="F74" s="663" t="s">
        <v>165</v>
      </c>
      <c r="G74" s="663" t="str">
        <f>VLOOKUP(WWWW[[#This Row],[Site Name]],SiteDB6[[Site Name]:[Location Type]],8,FALSE)</f>
        <v>Camp</v>
      </c>
      <c r="H74" s="77" t="s">
        <v>1044</v>
      </c>
      <c r="I74" s="700">
        <v>14</v>
      </c>
      <c r="J74" s="700">
        <v>63</v>
      </c>
      <c r="K74" s="642"/>
      <c r="L74" s="78"/>
      <c r="M74" s="700"/>
      <c r="N74" s="700"/>
      <c r="O74" s="700"/>
      <c r="P74" s="700"/>
      <c r="Q74" s="77"/>
      <c r="R74" s="377"/>
      <c r="S74" s="377"/>
      <c r="T74" s="377"/>
      <c r="U74" s="377"/>
      <c r="V74" s="377"/>
      <c r="W74" s="377"/>
      <c r="X74" s="377"/>
      <c r="Y74" s="377"/>
      <c r="Z74" s="377"/>
      <c r="AA74" s="377"/>
      <c r="AB74" s="377"/>
      <c r="AC74" s="377"/>
      <c r="AD74" s="377"/>
      <c r="AE74" s="377"/>
      <c r="AF74" s="377"/>
      <c r="AG74" s="377"/>
      <c r="AH74" s="377"/>
      <c r="AI74" s="377"/>
      <c r="AJ74" s="377"/>
      <c r="AK74" s="377"/>
      <c r="AL74" s="377"/>
      <c r="AM74" s="377"/>
      <c r="AN74" s="377"/>
      <c r="AO74" s="215"/>
      <c r="AP74" s="377"/>
      <c r="AQ74" s="377"/>
      <c r="AR74" s="77"/>
      <c r="AS74" s="377"/>
      <c r="AT74" s="377"/>
      <c r="AU74" s="377"/>
      <c r="AV74" s="377"/>
      <c r="AW74" s="377"/>
      <c r="AX74" s="245"/>
      <c r="AY74" s="245"/>
      <c r="AZ74" s="377"/>
      <c r="BA74" s="377"/>
      <c r="BB74" s="377"/>
      <c r="BC74" s="215"/>
      <c r="BD74" s="377"/>
      <c r="BE74" s="377"/>
      <c r="BF74" s="377"/>
      <c r="BG74" s="377"/>
      <c r="BH74" s="377"/>
      <c r="BI74" s="377"/>
      <c r="BJ74" s="377"/>
      <c r="BK74" s="377"/>
      <c r="BL74" s="377"/>
      <c r="BM74" s="215"/>
      <c r="BN74" s="80"/>
      <c r="BO74" s="82"/>
      <c r="BP74" s="215"/>
      <c r="BQ74" s="79" t="str">
        <f>IFERROR(WWWW[[#This Row],['#_Water sources treated]]/WWWW[[#This Row],['#_Water sources tested for contamination]],"no test")</f>
        <v>no test</v>
      </c>
      <c r="BR74" s="82" t="str">
        <f>IFERROR(WWWW[[#This Row],['#_Household received remediation action due to contamination]]/WWWW[[#This Row],['#_Household water samples tested for contamination]],"no test")</f>
        <v>no test</v>
      </c>
      <c r="BS74" s="81" t="str">
        <f>IF(AND(WWWW[[#This Row],[% of water sources treated]]="no test",WWWW[[#This Row],[% Household received corrective actions]]="no test"),"No Test","Tested")</f>
        <v>No Test</v>
      </c>
      <c r="BT74" s="81">
        <f>WWWW[[#This Row],['#_Constructed/existing protected hand dug well]]-WWWW[[#This Row],['#_Non-functional protected hand dug well]]</f>
        <v>0</v>
      </c>
      <c r="BU74" s="81">
        <f>(WWWW[[#This Row],['#_Constructed/Existing tube wells/boreholes/handpumps_WASH_agency]]+WWWW[[#This Row],['#_Non-Cluster partner water tube-wells/boreholes/handpumps]])-WWWW[[#This Row],['#_Non-functional tube wells/boreholes/handpumps]]</f>
        <v>0</v>
      </c>
      <c r="BV74" s="81">
        <f>WWWW[[#This Row],['#_Constructed/Existingwater storage tank with gravity fed reticulation system]]-WWWW[[#This Row],['#_Non-functional storage tank gravity fed reticulation system]]</f>
        <v>0</v>
      </c>
      <c r="BW74" s="81">
        <f>WWWW[[#This Row],['#_Water boating or water trucking]]</f>
        <v>0</v>
      </c>
      <c r="BX74" s="81">
        <f>WWWW[[#This Row],['#_Constructed/Existing water distribution system from river or natural spring]]</f>
        <v>0</v>
      </c>
      <c r="BY74"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74"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74" s="82">
        <f>IF(WWWW[[#This Row],[Location Type 1]]="Village",WWWW[[#This Row],[Access to safe drinking water for Village]],WWWW[[#This Row],[Access to safe drinking water for Camp]])</f>
        <v>0</v>
      </c>
      <c r="CB74" s="80">
        <f>WWWW[[#This Row],[%Equitable and continuous access to sufficient quantity of safe drinking water]]*WWWW[[#This Row],[Total PoP ]]</f>
        <v>0</v>
      </c>
      <c r="CC74" s="82">
        <f>IF((WWWW[[#This Row],['#_Constructed/Existing protected/fenced ponds]]*250)/WWWW[[#This Row],[Total PoP ]]&gt;1,1,(WWWW[[#This Row],['#_Constructed/Existing protected/fenced ponds]]*250)/WWWW[[#This Row],[Total PoP ]])</f>
        <v>0</v>
      </c>
      <c r="CD74" s="80">
        <f>WWWW[[#This Row],[% Access to unimproved water points]]*WWWW[[#This Row],[Total PoP ]]</f>
        <v>0</v>
      </c>
      <c r="CE74"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74"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74" s="80">
        <f>WWWW[[#This Row],[HRP1]]/500</f>
        <v>0</v>
      </c>
      <c r="CH74" s="79">
        <f>1-WWWW[[#This Row],[% Equitable and continuous access to sufficient quantity of domestic water]]</f>
        <v>1</v>
      </c>
      <c r="CI74" s="80">
        <f>WWWW[[#This Row],[%equitable and continuous access to sufficient quantity of safe drinking and domestic water''s GAP]]*WWWW[[#This Row],[Total PoP ]]</f>
        <v>63</v>
      </c>
      <c r="CJ74" s="81">
        <f>IF(WWWW[[#This Row],[Total required water points]]-WWWW[[#This Row],['#Water points coverage]]&lt;0,0,WWWW[[#This Row],[Total required water points]]-WWWW[[#This Row],['#Water points coverage]])</f>
        <v>1</v>
      </c>
      <c r="CK74" s="81">
        <f>ROUND(IF(WWWW[[#This Row],[Total PoP ]]&lt;500,1,WWWW[[#This Row],[Total PoP ]]/500),0)</f>
        <v>1</v>
      </c>
      <c r="CL74" s="81">
        <f>(WWWW[[#This Row],['#_Constructed latrines_by_WASHAgencies]]+WWWW[[#This Row],['#_Non Cluster partner latrines]])-WWWW[[#This Row],['#_Non-functional latrines]]</f>
        <v>0</v>
      </c>
      <c r="CM74"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74"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74"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74" s="81">
        <f>IF(WWWW[[#This Row],[Location Type 1]]="Village","NA",IF(WWWW[[#This Row],['#_Constructed/Existing latrines in TLS]]*50&gt;WWWW[[#This Row],['#_students at TLS_CFS]],WWWW[[#This Row],['#_students at TLS_CFS]],(WWWW[[#This Row],['#_Constructed/Existing latrines in TLS]]*50)))</f>
        <v>0</v>
      </c>
      <c r="CQ74" s="81">
        <f>ROUND(IF(WWWW[[#This Row],[Location Type 1]]="camp",WWWW[[#This Row],[Total PoP ]]/20,IF(WWWW[[#This Row],[Location Type 1]]="Temporary Location",WWWW[[#This Row],[Total PoP ]]/50,(WWWW[[#This Row],[Total PoP ]]/6))),0)</f>
        <v>3</v>
      </c>
      <c r="CR74" s="80">
        <f>IF(WWWW[[#This Row],[Total required Latrines]]-(WWWW[[#This Row],['#_Constructed latrines_by_WASHAgencies]]+WWWW[[#This Row],['#_Non Cluster partner latrines]])&lt;0,0,WWWW[[#This Row],[Total required Latrines]]-(WWWW[[#This Row],['#_Constructed latrines_by_WASHAgencies]]+WWWW[[#This Row],['#_Non Cluster partner latrines]]))</f>
        <v>3</v>
      </c>
      <c r="CS74" s="79">
        <f>1-WWWW[[#This Row],[% people access to functioning Latrine]]</f>
        <v>1</v>
      </c>
      <c r="CT74" s="83">
        <f>IF(OR(WWWW[[#This Row],['#_Non-functional latrines]]="",WWWW[[#This Row],['#_Non-functional latrines]]=0),0,WWWW[[#This Row],['#_Non-functional latrines]]/(WWWW[[#This Row],['#_Constructed latrines_by_WASHAgencies]]+WWWW[[#This Row],['#_Non Cluster partner latrines]]))</f>
        <v>0</v>
      </c>
      <c r="CU74" s="80">
        <f>IF(500*(WWWW[[#This Row],['#_male hygiene promoters]]+WWWW[[#This Row],['#_female hygiene promoters]])&gt;WWWW[[#This Row],[Total PoP ]],WWWW[[#This Row],[Total PoP ]],500*(WWWW[[#This Row],['#_male hygiene promoters]]+WWWW[[#This Row],['#_female hygiene promoters]]))</f>
        <v>0</v>
      </c>
      <c r="CV74"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74"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74" s="81">
        <f>IF(WWWW[[#This Row],['# People with access to soap]]&gt;WWWW[[#This Row],['# People with access to Sanity Pads]],WWWW[[#This Row],['# People with access to soap]],WWWW[[#This Row],['# People with access to Sanity Pads]])</f>
        <v>0</v>
      </c>
      <c r="CY74"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74" s="79">
        <f>IF(WWWW[[#This Row],[HRP3]]/WWWW[[#This Row],[Total PoP ]]&gt;100%,100%,WWWW[[#This Row],[HRP3]]/WWWW[[#This Row],[Total PoP ]])</f>
        <v>0</v>
      </c>
      <c r="DA74" s="83">
        <f>1-WWWW[[#This Row],[Hygiene Coverage%]]</f>
        <v>1</v>
      </c>
      <c r="DB74" s="82">
        <f>WWWW[[#This Row],['# people reached by regular dedicated hygiene promotion_5]]/WWWW[[#This Row],[Total PoP ]]</f>
        <v>0</v>
      </c>
      <c r="DC74" s="82">
        <f>IF(WWWW[[#This Row],['#_households that received standard amount of soap for this quarter]]/WWWW[[#This Row],[Total HH]]&gt;1,1,WWWW[[#This Row],['#_households that received standard amount of soap for this quarter]]/WWWW[[#This Row],[Total HH]])</f>
        <v>0</v>
      </c>
      <c r="DD74" s="82">
        <f>IF(WWWW[[#This Row],['#_households that received standard amount of sanitary pads for this quarter]]/WWWW[[#This Row],[Total HH]]&gt;1,1,WWWW[[#This Row],['#_households that received standard amount of sanitary pads for this quarter]]/WWWW[[#This Row],[Total HH]])</f>
        <v>0</v>
      </c>
      <c r="DE74" s="81">
        <f>WWWW[[#This Row],['#_Constructed/Existing hand washing stations]]-WWWW[[#This Row],['#_Non-Functional_hand_washing_stations]]</f>
        <v>0</v>
      </c>
      <c r="DF74" s="667">
        <f>IF(WWWW[[#This Row],['# Functional hand washing stations during reporting period]]*20&gt;WWWW[[#This Row],[Total HH]],WWWW[[#This Row],[Total HH]],WWWW[[#This Row],['# Functional hand washing stations during reporting period]]*20)</f>
        <v>0</v>
      </c>
      <c r="DG74" s="80">
        <f>IF(WWWW[[#This Row],[Is sufficient soap available for TLS? (Yes/No)]]="yes",WWWW[[#This Row],['#_Constructed/Existing hand washing stations at TLS]],0)</f>
        <v>0</v>
      </c>
      <c r="DH74" s="667">
        <f>IF(WWWW[[#This Row],['# Functional hand washing stations during reporting period]]*100&gt;WWWW[[#This Row],[Total PoP ]],WWWW[[#This Row],[Total PoP ]],WWWW[[#This Row],['# Functional hand washing stations during reporting period]]*100)</f>
        <v>0</v>
      </c>
      <c r="DI74" s="667" t="str">
        <f>IF(WWWW[[#This Row],['#_students at TLS_CFS]]="","No","Yes")</f>
        <v>No</v>
      </c>
      <c r="DJ74" s="245">
        <f>VLOOKUP(WWWW[[#This Row],[Site Name]],SiteDB6[[Site Name]:[CCCM Management]],6,FALSE)</f>
        <v>0</v>
      </c>
      <c r="DK74" s="245" t="str">
        <f>VLOOKUP(WWWW[[#This Row],[Site Name]],SiteDB6[[Site Name]:[CCCM Focal Agency]],7,FALSE)</f>
        <v>uncovered</v>
      </c>
      <c r="DL74" s="245" t="str">
        <f>VLOOKUP(WWWW[[#This Row],[Site Name]],SiteDB6[[Site Name]:[Location Type 1]],9,FALSE)</f>
        <v>Camp</v>
      </c>
      <c r="DM74" s="245" t="str">
        <f>VLOOKUP(WWWW[[#This Row],[Site Name]],SiteDB6[[Site Name]:[Type of Accommodation]],10,FALSE)</f>
        <v>Host Families</v>
      </c>
      <c r="DN74" s="245" t="str">
        <f>VLOOKUP(WWWW[[#This Row],[Site Name]],SiteDB6[[Site Name]:[Ethnic or GCA/NGCA]],11,FALSE)</f>
        <v>GCA</v>
      </c>
      <c r="DO74" s="245">
        <f>VLOOKUP(WWWW[[#This Row],[Site Name]],SiteDB6[[Site Name]:[Lat]],12,FALSE)</f>
        <v>24.764959999999999</v>
      </c>
      <c r="DP74" s="245">
        <f>VLOOKUP(WWWW[[#This Row],[Site Name]],SiteDB6[[Site Name]:[Long]],13,FALSE)</f>
        <v>96.366919999999993</v>
      </c>
      <c r="DQ74" s="245" t="str">
        <f>VLOOKUP(WWWW[[#This Row],[Site Name]],SiteDB6[[Site Name]:[Pcode]],3,FALSE)</f>
        <v>MMR001CMP233</v>
      </c>
      <c r="DR74" s="215" t="str">
        <f t="shared" si="2"/>
        <v>Notcovered</v>
      </c>
      <c r="DS74" s="215"/>
      <c r="DT74" s="20"/>
      <c r="DU74" s="20"/>
      <c r="DV74" s="20"/>
      <c r="DW74" s="20"/>
      <c r="DX74" s="20"/>
      <c r="DY74" s="20"/>
      <c r="DZ74" s="20"/>
      <c r="EA74" s="20"/>
      <c r="EB74" s="20"/>
      <c r="EC74" s="20"/>
      <c r="ED74" s="20"/>
      <c r="EE74" s="20"/>
      <c r="EF74" s="20"/>
      <c r="EG74" s="20"/>
      <c r="EH74" s="20"/>
    </row>
    <row r="75" spans="1:138" ht="15.75" customHeight="1">
      <c r="A75" s="259" t="s">
        <v>2525</v>
      </c>
      <c r="B75" s="259" t="s">
        <v>149</v>
      </c>
      <c r="C75" s="663" t="s">
        <v>149</v>
      </c>
      <c r="D75" s="663" t="s">
        <v>158</v>
      </c>
      <c r="E75" s="663" t="s">
        <v>39</v>
      </c>
      <c r="F75" s="663" t="s">
        <v>181</v>
      </c>
      <c r="G75" s="663" t="str">
        <f>VLOOKUP(WWWW[[#This Row],[Site Name]],SiteDB6[[Site Name]:[Location Type]],8,FALSE)</f>
        <v>Camp</v>
      </c>
      <c r="H75" s="663" t="s">
        <v>182</v>
      </c>
      <c r="I75" s="700">
        <v>60</v>
      </c>
      <c r="J75" s="700">
        <v>289</v>
      </c>
      <c r="K75" s="642">
        <v>43556</v>
      </c>
      <c r="L75" s="78">
        <v>43677</v>
      </c>
      <c r="M75" s="700"/>
      <c r="N75" s="700"/>
      <c r="O75" s="700"/>
      <c r="P75" s="700"/>
      <c r="Q75" s="77" t="s">
        <v>43</v>
      </c>
      <c r="R75" s="377"/>
      <c r="S75" s="377"/>
      <c r="T75" s="700">
        <v>1</v>
      </c>
      <c r="U75" s="377"/>
      <c r="V75" s="377"/>
      <c r="W75" s="700">
        <v>1</v>
      </c>
      <c r="X75" s="377"/>
      <c r="Y75" s="377"/>
      <c r="Z75" s="377"/>
      <c r="AA75" s="377"/>
      <c r="AB75" s="377"/>
      <c r="AC75" s="377"/>
      <c r="AD75" s="377"/>
      <c r="AE75" s="377"/>
      <c r="AF75" s="377"/>
      <c r="AG75" s="377"/>
      <c r="AH75" s="700">
        <v>1</v>
      </c>
      <c r="AI75" s="377"/>
      <c r="AJ75" s="377"/>
      <c r="AK75" s="377"/>
      <c r="AL75" s="377"/>
      <c r="AM75" s="377"/>
      <c r="AN75" s="377"/>
      <c r="AO75" s="215"/>
      <c r="AP75" s="700">
        <v>12</v>
      </c>
      <c r="AQ75" s="377"/>
      <c r="AR75" s="77"/>
      <c r="AS75" s="377">
        <v>10</v>
      </c>
      <c r="AT75" s="377">
        <v>30</v>
      </c>
      <c r="AU75" s="377"/>
      <c r="AV75" s="377"/>
      <c r="AW75" s="700">
        <v>12</v>
      </c>
      <c r="AX75" s="245" t="s">
        <v>43</v>
      </c>
      <c r="AY75" s="245" t="s">
        <v>145</v>
      </c>
      <c r="AZ75" s="377"/>
      <c r="BA75" s="377"/>
      <c r="BB75" s="377"/>
      <c r="BC75" s="215"/>
      <c r="BD75" s="377"/>
      <c r="BE75" s="377"/>
      <c r="BF75" s="377"/>
      <c r="BG75" s="377">
        <v>2</v>
      </c>
      <c r="BH75" s="377"/>
      <c r="BI75" s="377"/>
      <c r="BJ75" s="377">
        <v>2</v>
      </c>
      <c r="BK75" s="377"/>
      <c r="BL75" s="377"/>
      <c r="BM75" s="215"/>
      <c r="BN75" s="80"/>
      <c r="BO75" s="82"/>
      <c r="BP75" s="215"/>
      <c r="BQ75" s="79" t="str">
        <f>IFERROR(WWWW[[#This Row],['#_Water sources treated]]/WWWW[[#This Row],['#_Water sources tested for contamination]],"no test")</f>
        <v>no test</v>
      </c>
      <c r="BR75" s="82" t="str">
        <f>IFERROR(WWWW[[#This Row],['#_Household received remediation action due to contamination]]/WWWW[[#This Row],['#_Household water samples tested for contamination]],"no test")</f>
        <v>no test</v>
      </c>
      <c r="BS75" s="81" t="str">
        <f>IF(AND(WWWW[[#This Row],[% of water sources treated]]="no test",WWWW[[#This Row],[% Household received corrective actions]]="no test"),"No Test","Tested")</f>
        <v>No Test</v>
      </c>
      <c r="BT75" s="81">
        <f>WWWW[[#This Row],['#_Constructed/existing protected hand dug well]]-WWWW[[#This Row],['#_Non-functional protected hand dug well]]</f>
        <v>1</v>
      </c>
      <c r="BU75" s="81">
        <f>(WWWW[[#This Row],['#_Constructed/Existing tube wells/boreholes/handpumps_WASH_agency]]+WWWW[[#This Row],['#_Non-Cluster partner water tube-wells/boreholes/handpumps]])-WWWW[[#This Row],['#_Non-functional tube wells/boreholes/handpumps]]</f>
        <v>1</v>
      </c>
      <c r="BV75" s="81">
        <f>WWWW[[#This Row],['#_Constructed/Existingwater storage tank with gravity fed reticulation system]]-WWWW[[#This Row],['#_Non-functional storage tank gravity fed reticulation system]]</f>
        <v>0</v>
      </c>
      <c r="BW75" s="81">
        <f>WWWW[[#This Row],['#_Water boating or water trucking]]</f>
        <v>0</v>
      </c>
      <c r="BX75" s="81">
        <f>WWWW[[#This Row],['#_Constructed/Existing water distribution system from river or natural spring]]</f>
        <v>0</v>
      </c>
      <c r="BY75"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75"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75" s="82">
        <f>IF(WWWW[[#This Row],[Location Type 1]]="Village",WWWW[[#This Row],[Access to safe drinking water for Village]],WWWW[[#This Row],[Access to safe drinking water for Camp]])</f>
        <v>1</v>
      </c>
      <c r="CB75" s="80">
        <f>WWWW[[#This Row],[%Equitable and continuous access to sufficient quantity of safe drinking water]]*WWWW[[#This Row],[Total PoP ]]</f>
        <v>289</v>
      </c>
      <c r="CC75" s="82">
        <f>IF((WWWW[[#This Row],['#_Constructed/Existing protected/fenced ponds]]*250)/WWWW[[#This Row],[Total PoP ]]&gt;1,1,(WWWW[[#This Row],['#_Constructed/Existing protected/fenced ponds]]*250)/WWWW[[#This Row],[Total PoP ]])</f>
        <v>0</v>
      </c>
      <c r="CD75" s="80">
        <f>WWWW[[#This Row],[% Access to unimproved water points]]*WWWW[[#This Row],[Total PoP ]]</f>
        <v>0</v>
      </c>
      <c r="CE75"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75"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289</v>
      </c>
      <c r="CG75" s="80">
        <f>WWWW[[#This Row],[HRP1]]/500</f>
        <v>0.57799999999999996</v>
      </c>
      <c r="CH75" s="79">
        <f>1-WWWW[[#This Row],[% Equitable and continuous access to sufficient quantity of domestic water]]</f>
        <v>0</v>
      </c>
      <c r="CI75" s="80">
        <f>WWWW[[#This Row],[%equitable and continuous access to sufficient quantity of safe drinking and domestic water''s GAP]]*WWWW[[#This Row],[Total PoP ]]</f>
        <v>0</v>
      </c>
      <c r="CJ75" s="81">
        <f>IF(WWWW[[#This Row],[Total required water points]]-WWWW[[#This Row],['#Water points coverage]]&lt;0,0,WWWW[[#This Row],[Total required water points]]-WWWW[[#This Row],['#Water points coverage]])</f>
        <v>0.42200000000000004</v>
      </c>
      <c r="CK75" s="81">
        <f>ROUND(IF(WWWW[[#This Row],[Total PoP ]]&lt;500,1,WWWW[[#This Row],[Total PoP ]]/500),0)</f>
        <v>1</v>
      </c>
      <c r="CL75" s="81">
        <f>(WWWW[[#This Row],['#_Constructed latrines_by_WASHAgencies]]+WWWW[[#This Row],['#_Non Cluster partner latrines]])-WWWW[[#This Row],['#_Non-functional latrines]]</f>
        <v>2</v>
      </c>
      <c r="CM75"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0.13840830449826991</v>
      </c>
      <c r="CN75"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40</v>
      </c>
      <c r="CO75"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75" s="81">
        <f>IF(WWWW[[#This Row],[Location Type 1]]="Village","NA",IF(WWWW[[#This Row],['#_Constructed/Existing latrines in TLS]]*50&gt;WWWW[[#This Row],['#_students at TLS_CFS]],WWWW[[#This Row],['#_students at TLS_CFS]],(WWWW[[#This Row],['#_Constructed/Existing latrines in TLS]]*50)))</f>
        <v>0</v>
      </c>
      <c r="CQ75" s="81">
        <f>ROUND(IF(WWWW[[#This Row],[Location Type 1]]="camp",WWWW[[#This Row],[Total PoP ]]/20,IF(WWWW[[#This Row],[Location Type 1]]="Temporary Location",WWWW[[#This Row],[Total PoP ]]/50,(WWWW[[#This Row],[Total PoP ]]/6))),0)</f>
        <v>14</v>
      </c>
      <c r="CR75" s="80">
        <f>IF(WWWW[[#This Row],[Total required Latrines]]-(WWWW[[#This Row],['#_Constructed latrines_by_WASHAgencies]]+WWWW[[#This Row],['#_Non Cluster partner latrines]])&lt;0,0,WWWW[[#This Row],[Total required Latrines]]-(WWWW[[#This Row],['#_Constructed latrines_by_WASHAgencies]]+WWWW[[#This Row],['#_Non Cluster partner latrines]]))</f>
        <v>2</v>
      </c>
      <c r="CS75" s="79">
        <f>1-WWWW[[#This Row],[% people access to functioning Latrine]]</f>
        <v>0.86159169550173009</v>
      </c>
      <c r="CT75" s="83">
        <f>IF(OR(WWWW[[#This Row],['#_Non-functional latrines]]="",WWWW[[#This Row],['#_Non-functional latrines]]=0),0,WWWW[[#This Row],['#_Non-functional latrines]]/(WWWW[[#This Row],['#_Constructed latrines_by_WASHAgencies]]+WWWW[[#This Row],['#_Non Cluster partner latrines]]))</f>
        <v>0.83333333333333337</v>
      </c>
      <c r="CU75" s="80">
        <f>IF(500*(WWWW[[#This Row],['#_male hygiene promoters]]+WWWW[[#This Row],['#_female hygiene promoters]])&gt;WWWW[[#This Row],[Total PoP ]],WWWW[[#This Row],[Total PoP ]],500*(WWWW[[#This Row],['#_male hygiene promoters]]+WWWW[[#This Row],['#_female hygiene promoters]]))</f>
        <v>289</v>
      </c>
      <c r="CV75"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75"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75" s="81">
        <f>IF(WWWW[[#This Row],['# People with access to soap]]&gt;WWWW[[#This Row],['# People with access to Sanity Pads]],WWWW[[#This Row],['# People with access to soap]],WWWW[[#This Row],['# People with access to Sanity Pads]])</f>
        <v>0</v>
      </c>
      <c r="CY75" s="81">
        <f>IF(WWWW[[#This Row],['# people reached by regular dedicated hygiene promotion_5]]&gt;WWWW[[#This Row],['# People received regular supply of hygiene items_6]],WWWW[[#This Row],['# people reached by regular dedicated hygiene promotion_5]],WWWW[[#This Row],['# People received regular supply of hygiene items_6]])</f>
        <v>289</v>
      </c>
      <c r="CZ75" s="79">
        <f>IF(WWWW[[#This Row],[HRP3]]/WWWW[[#This Row],[Total PoP ]]&gt;100%,100%,WWWW[[#This Row],[HRP3]]/WWWW[[#This Row],[Total PoP ]])</f>
        <v>1</v>
      </c>
      <c r="DA75" s="83">
        <f>1-WWWW[[#This Row],[Hygiene Coverage%]]</f>
        <v>0</v>
      </c>
      <c r="DB75" s="82">
        <f>WWWW[[#This Row],['# people reached by regular dedicated hygiene promotion_5]]/WWWW[[#This Row],[Total PoP ]]</f>
        <v>1</v>
      </c>
      <c r="DC75" s="82">
        <f>IF(WWWW[[#This Row],['#_households that received standard amount of soap for this quarter]]/WWWW[[#This Row],[Total HH]]&gt;1,1,WWWW[[#This Row],['#_households that received standard amount of soap for this quarter]]/WWWW[[#This Row],[Total HH]])</f>
        <v>0</v>
      </c>
      <c r="DD75" s="82">
        <f>IF(WWWW[[#This Row],['#_households that received standard amount of sanitary pads for this quarter]]/WWWW[[#This Row],[Total HH]]&gt;1,1,WWWW[[#This Row],['#_households that received standard amount of sanitary pads for this quarter]]/WWWW[[#This Row],[Total HH]])</f>
        <v>0</v>
      </c>
      <c r="DE75" s="81">
        <f>WWWW[[#This Row],['#_Constructed/Existing hand washing stations]]-WWWW[[#This Row],['#_Non-Functional_hand_washing_stations]]</f>
        <v>0</v>
      </c>
      <c r="DF75" s="667">
        <f>IF(WWWW[[#This Row],['# Functional hand washing stations during reporting period]]*20&gt;WWWW[[#This Row],[Total HH]],WWWW[[#This Row],[Total HH]],WWWW[[#This Row],['# Functional hand washing stations during reporting period]]*20)</f>
        <v>0</v>
      </c>
      <c r="DG75" s="80">
        <f>IF(WWWW[[#This Row],[Is sufficient soap available for TLS? (Yes/No)]]="yes",WWWW[[#This Row],['#_Constructed/Existing hand washing stations at TLS]],0)</f>
        <v>0</v>
      </c>
      <c r="DH75" s="667">
        <f>IF(WWWW[[#This Row],['# Functional hand washing stations during reporting period]]*100&gt;WWWW[[#This Row],[Total PoP ]],WWWW[[#This Row],[Total PoP ]],WWWW[[#This Row],['# Functional hand washing stations during reporting period]]*100)</f>
        <v>0</v>
      </c>
      <c r="DI75" s="667" t="str">
        <f>IF(WWWW[[#This Row],['#_students at TLS_CFS]]="","No","Yes")</f>
        <v>No</v>
      </c>
      <c r="DJ75" s="245" t="str">
        <f>VLOOKUP(WWWW[[#This Row],[Site Name]],SiteDB6[[Site Name]:[CCCM Management]],6,FALSE)</f>
        <v>Yes</v>
      </c>
      <c r="DK75" s="245" t="str">
        <f>VLOOKUP(WWWW[[#This Row],[Site Name]],SiteDB6[[Site Name]:[CCCM Focal Agency]],7,FALSE)</f>
        <v>KBC-MYT</v>
      </c>
      <c r="DL75" s="245" t="str">
        <f>VLOOKUP(WWWW[[#This Row],[Site Name]],SiteDB6[[Site Name]:[Location Type 1]],9,FALSE)</f>
        <v>Camp</v>
      </c>
      <c r="DM75" s="245" t="str">
        <f>VLOOKUP(WWWW[[#This Row],[Site Name]],SiteDB6[[Site Name]:[Type of Accommodation]],10,FALSE)</f>
        <v>Camp</v>
      </c>
      <c r="DN75" s="245" t="str">
        <f>VLOOKUP(WWWW[[#This Row],[Site Name]],SiteDB6[[Site Name]:[Ethnic or GCA/NGCA]],11,FALSE)</f>
        <v>GCA</v>
      </c>
      <c r="DO75" s="245">
        <f>VLOOKUP(WWWW[[#This Row],[Site Name]],SiteDB6[[Site Name]:[Lat]],12,FALSE)</f>
        <v>27.337499999999999</v>
      </c>
      <c r="DP75" s="245">
        <f>VLOOKUP(WWWW[[#This Row],[Site Name]],SiteDB6[[Site Name]:[Long]],13,FALSE)</f>
        <v>97.416121000000004</v>
      </c>
      <c r="DQ75" s="245" t="str">
        <f>VLOOKUP(WWWW[[#This Row],[Site Name]],SiteDB6[[Site Name]:[Pcode]],3,FALSE)</f>
        <v>MMR001CMP234</v>
      </c>
      <c r="DR75" s="215" t="str">
        <f t="shared" si="2"/>
        <v>Covered</v>
      </c>
      <c r="DS75" s="215"/>
      <c r="DT75" s="20"/>
      <c r="DU75" s="20"/>
      <c r="DV75" s="20"/>
      <c r="DW75" s="20"/>
      <c r="DX75" s="20"/>
      <c r="DY75" s="20"/>
      <c r="DZ75" s="20"/>
      <c r="EA75" s="20"/>
      <c r="EB75" s="20"/>
      <c r="EC75" s="20"/>
      <c r="ED75" s="20"/>
      <c r="EE75" s="20"/>
      <c r="EF75" s="20"/>
      <c r="EG75" s="20"/>
      <c r="EH75" s="20"/>
    </row>
    <row r="76" spans="1:138" ht="15.75" customHeight="1">
      <c r="A76" s="259" t="s">
        <v>2525</v>
      </c>
      <c r="B76" s="663" t="s">
        <v>38</v>
      </c>
      <c r="C76" s="663" t="s">
        <v>38</v>
      </c>
      <c r="D76" s="663" t="s">
        <v>328</v>
      </c>
      <c r="E76" s="663" t="s">
        <v>39</v>
      </c>
      <c r="F76" s="663" t="s">
        <v>160</v>
      </c>
      <c r="G76" s="663" t="str">
        <f>VLOOKUP(WWWW[[#This Row],[Site Name]],SiteDB6[[Site Name]:[Location Type]],8,FALSE)</f>
        <v>Camp</v>
      </c>
      <c r="H76" s="663" t="s">
        <v>2015</v>
      </c>
      <c r="I76" s="700">
        <v>45</v>
      </c>
      <c r="J76" s="700">
        <v>235</v>
      </c>
      <c r="K76" s="642">
        <v>43374</v>
      </c>
      <c r="L76" s="78">
        <v>43830</v>
      </c>
      <c r="M76" s="700"/>
      <c r="N76" s="700"/>
      <c r="O76" s="700"/>
      <c r="P76" s="700"/>
      <c r="Q76" s="663"/>
      <c r="R76" s="700"/>
      <c r="S76" s="700"/>
      <c r="T76" s="700"/>
      <c r="U76" s="700"/>
      <c r="V76" s="700"/>
      <c r="W76" s="700"/>
      <c r="X76" s="700">
        <v>2</v>
      </c>
      <c r="Y76" s="700"/>
      <c r="Z76" s="700">
        <v>1</v>
      </c>
      <c r="AA76" s="700"/>
      <c r="AB76" s="700"/>
      <c r="AC76" s="700"/>
      <c r="AD76" s="700"/>
      <c r="AE76" s="700"/>
      <c r="AF76" s="700"/>
      <c r="AG76" s="700"/>
      <c r="AH76" s="700"/>
      <c r="AI76" s="700"/>
      <c r="AJ76" s="700"/>
      <c r="AK76" s="700"/>
      <c r="AL76" s="700"/>
      <c r="AM76" s="700"/>
      <c r="AN76" s="700"/>
      <c r="AO76" s="667"/>
      <c r="AP76" s="719">
        <v>8</v>
      </c>
      <c r="AQ76" s="721"/>
      <c r="AR76" s="721"/>
      <c r="AS76" s="719"/>
      <c r="AT76" s="721"/>
      <c r="AU76" s="667"/>
      <c r="AV76" s="667"/>
      <c r="AW76" s="81"/>
      <c r="AX76" s="81" t="s">
        <v>43</v>
      </c>
      <c r="AY76" s="81" t="s">
        <v>1200</v>
      </c>
      <c r="AZ76" s="81"/>
      <c r="BA76" s="81"/>
      <c r="BB76" s="667"/>
      <c r="BC76" s="667"/>
      <c r="BD76" s="667"/>
      <c r="BE76" s="667"/>
      <c r="BF76" s="667"/>
      <c r="BG76" s="719">
        <v>2</v>
      </c>
      <c r="BH76" s="667"/>
      <c r="BI76" s="719"/>
      <c r="BJ76" s="719">
        <v>1</v>
      </c>
      <c r="BK76" s="719">
        <v>45</v>
      </c>
      <c r="BL76" s="719">
        <v>59</v>
      </c>
      <c r="BM76" s="667"/>
      <c r="BN76" s="667"/>
      <c r="BO76" s="82"/>
      <c r="BP76" s="667"/>
      <c r="BQ76" s="79" t="str">
        <f>IFERROR(WWWW[[#This Row],['#_Water sources treated]]/WWWW[[#This Row],['#_Water sources tested for contamination]],"no test")</f>
        <v>no test</v>
      </c>
      <c r="BR76" s="82" t="str">
        <f>IFERROR(WWWW[[#This Row],['#_Household received remediation action due to contamination]]/WWWW[[#This Row],['#_Household water samples tested for contamination]],"no test")</f>
        <v>no test</v>
      </c>
      <c r="BS76" s="81" t="str">
        <f>IF(AND(WWWW[[#This Row],[% of water sources treated]]="no test",WWWW[[#This Row],[% Household received corrective actions]]="no test"),"No Test","Tested")</f>
        <v>No Test</v>
      </c>
      <c r="BT76" s="81">
        <f>WWWW[[#This Row],['#_Constructed/existing protected hand dug well]]-WWWW[[#This Row],['#_Non-functional protected hand dug well]]</f>
        <v>0</v>
      </c>
      <c r="BU76" s="81">
        <f>(WWWW[[#This Row],['#_Constructed/Existing tube wells/boreholes/handpumps_WASH_agency]]+WWWW[[#This Row],['#_Non-Cluster partner water tube-wells/boreholes/handpumps]])-WWWW[[#This Row],['#_Non-functional tube wells/boreholes/handpumps]]</f>
        <v>2</v>
      </c>
      <c r="BV76" s="81">
        <f>WWWW[[#This Row],['#_Constructed/Existingwater storage tank with gravity fed reticulation system]]-WWWW[[#This Row],['#_Non-functional storage tank gravity fed reticulation system]]</f>
        <v>0</v>
      </c>
      <c r="BW76" s="81">
        <f>WWWW[[#This Row],['#_Water boating or water trucking]]</f>
        <v>0</v>
      </c>
      <c r="BX76" s="81">
        <f>WWWW[[#This Row],['#_Constructed/Existing water distribution system from river or natural spring]]</f>
        <v>0</v>
      </c>
      <c r="BY76"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76"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76" s="82">
        <f>IF(WWWW[[#This Row],[Location Type 1]]="Village",WWWW[[#This Row],[Access to safe drinking water for Village]],WWWW[[#This Row],[Access to safe drinking water for Camp]])</f>
        <v>1</v>
      </c>
      <c r="CB76" s="80">
        <f>WWWW[[#This Row],[%Equitable and continuous access to sufficient quantity of safe drinking water]]*WWWW[[#This Row],[Total PoP ]]</f>
        <v>235</v>
      </c>
      <c r="CC76" s="82">
        <f>IF((WWWW[[#This Row],['#_Constructed/Existing protected/fenced ponds]]*250)/WWWW[[#This Row],[Total PoP ]]&gt;1,1,(WWWW[[#This Row],['#_Constructed/Existing protected/fenced ponds]]*250)/WWWW[[#This Row],[Total PoP ]])</f>
        <v>0</v>
      </c>
      <c r="CD76" s="80">
        <f>WWWW[[#This Row],[% Access to unimproved water points]]*WWWW[[#This Row],[Total PoP ]]</f>
        <v>0</v>
      </c>
      <c r="CE76"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76"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235</v>
      </c>
      <c r="CG76" s="80">
        <f>WWWW[[#This Row],[HRP1]]/500</f>
        <v>0.47</v>
      </c>
      <c r="CH76" s="79">
        <f>1-WWWW[[#This Row],[% Equitable and continuous access to sufficient quantity of domestic water]]</f>
        <v>0</v>
      </c>
      <c r="CI76" s="80">
        <f>WWWW[[#This Row],[%equitable and continuous access to sufficient quantity of safe drinking and domestic water''s GAP]]*WWWW[[#This Row],[Total PoP ]]</f>
        <v>0</v>
      </c>
      <c r="CJ76" s="81">
        <f>IF(WWWW[[#This Row],[Total required water points]]-WWWW[[#This Row],['#Water points coverage]]&lt;0,0,WWWW[[#This Row],[Total required water points]]-WWWW[[#This Row],['#Water points coverage]])</f>
        <v>0.53</v>
      </c>
      <c r="CK76" s="81">
        <f>ROUND(IF(WWWW[[#This Row],[Total PoP ]]&lt;500,1,WWWW[[#This Row],[Total PoP ]]/500),0)</f>
        <v>1</v>
      </c>
      <c r="CL76" s="81">
        <f>(WWWW[[#This Row],['#_Constructed latrines_by_WASHAgencies]]+WWWW[[#This Row],['#_Non Cluster partner latrines]])-WWWW[[#This Row],['#_Non-functional latrines]]</f>
        <v>8</v>
      </c>
      <c r="CM76"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0.68085106382978722</v>
      </c>
      <c r="CN76"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160</v>
      </c>
      <c r="CO76"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76" s="81">
        <f>IF(WWWW[[#This Row],[Location Type 1]]="Village","NA",IF(WWWW[[#This Row],['#_Constructed/Existing latrines in TLS]]*50&gt;WWWW[[#This Row],['#_students at TLS_CFS]],WWWW[[#This Row],['#_students at TLS_CFS]],(WWWW[[#This Row],['#_Constructed/Existing latrines in TLS]]*50)))</f>
        <v>0</v>
      </c>
      <c r="CQ76" s="81">
        <f>ROUND(IF(WWWW[[#This Row],[Location Type 1]]="camp",WWWW[[#This Row],[Total PoP ]]/20,IF(WWWW[[#This Row],[Location Type 1]]="Temporary Location",WWWW[[#This Row],[Total PoP ]]/50,(WWWW[[#This Row],[Total PoP ]]/6))),0)</f>
        <v>12</v>
      </c>
      <c r="CR76" s="80">
        <f>IF(WWWW[[#This Row],[Total required Latrines]]-(WWWW[[#This Row],['#_Constructed latrines_by_WASHAgencies]]+WWWW[[#This Row],['#_Non Cluster partner latrines]])&lt;0,0,WWWW[[#This Row],[Total required Latrines]]-(WWWW[[#This Row],['#_Constructed latrines_by_WASHAgencies]]+WWWW[[#This Row],['#_Non Cluster partner latrines]]))</f>
        <v>4</v>
      </c>
      <c r="CS76" s="79">
        <f>1-WWWW[[#This Row],[% people access to functioning Latrine]]</f>
        <v>0.31914893617021278</v>
      </c>
      <c r="CT76" s="83">
        <f>IF(OR(WWWW[[#This Row],['#_Non-functional latrines]]="",WWWW[[#This Row],['#_Non-functional latrines]]=0),0,WWWW[[#This Row],['#_Non-functional latrines]]/(WWWW[[#This Row],['#_Constructed latrines_by_WASHAgencies]]+WWWW[[#This Row],['#_Non Cluster partner latrines]]))</f>
        <v>0</v>
      </c>
      <c r="CU76" s="80">
        <f>IF(500*(WWWW[[#This Row],['#_male hygiene promoters]]+WWWW[[#This Row],['#_female hygiene promoters]])&gt;WWWW[[#This Row],[Total PoP ]],WWWW[[#This Row],[Total PoP ]],500*(WWWW[[#This Row],['#_male hygiene promoters]]+WWWW[[#This Row],['#_female hygiene promoters]]))</f>
        <v>235</v>
      </c>
      <c r="CV76"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235</v>
      </c>
      <c r="CW76"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235</v>
      </c>
      <c r="CX76" s="81">
        <f>IF(WWWW[[#This Row],['# People with access to soap]]&gt;WWWW[[#This Row],['# People with access to Sanity Pads]],WWWW[[#This Row],['# People with access to soap]],WWWW[[#This Row],['# People with access to Sanity Pads]])</f>
        <v>235</v>
      </c>
      <c r="CY76" s="81">
        <f>IF(WWWW[[#This Row],['# people reached by regular dedicated hygiene promotion_5]]&gt;WWWW[[#This Row],['# People received regular supply of hygiene items_6]],WWWW[[#This Row],['# people reached by regular dedicated hygiene promotion_5]],WWWW[[#This Row],['# People received regular supply of hygiene items_6]])</f>
        <v>235</v>
      </c>
      <c r="CZ76" s="79">
        <f>IF(WWWW[[#This Row],[HRP3]]/WWWW[[#This Row],[Total PoP ]]&gt;100%,100%,WWWW[[#This Row],[HRP3]]/WWWW[[#This Row],[Total PoP ]])</f>
        <v>1</v>
      </c>
      <c r="DA76" s="83">
        <f>1-WWWW[[#This Row],[Hygiene Coverage%]]</f>
        <v>0</v>
      </c>
      <c r="DB76" s="82">
        <f>WWWW[[#This Row],['# people reached by regular dedicated hygiene promotion_5]]/WWWW[[#This Row],[Total PoP ]]</f>
        <v>1</v>
      </c>
      <c r="DC76" s="82">
        <f>IF(WWWW[[#This Row],['#_households that received standard amount of soap for this quarter]]/WWWW[[#This Row],[Total HH]]&gt;1,1,WWWW[[#This Row],['#_households that received standard amount of soap for this quarter]]/WWWW[[#This Row],[Total HH]])</f>
        <v>1</v>
      </c>
      <c r="DD76" s="82">
        <f>IF(WWWW[[#This Row],['#_households that received standard amount of sanitary pads for this quarter]]/WWWW[[#This Row],[Total HH]]&gt;1,1,WWWW[[#This Row],['#_households that received standard amount of sanitary pads for this quarter]]/WWWW[[#This Row],[Total HH]])</f>
        <v>1</v>
      </c>
      <c r="DE76" s="81">
        <f>WWWW[[#This Row],['#_Constructed/Existing hand washing stations]]-WWWW[[#This Row],['#_Non-Functional_hand_washing_stations]]</f>
        <v>0</v>
      </c>
      <c r="DF76" s="667">
        <f>IF(WWWW[[#This Row],['# Functional hand washing stations during reporting period]]*20&gt;WWWW[[#This Row],[Total HH]],WWWW[[#This Row],[Total HH]],WWWW[[#This Row],['# Functional hand washing stations during reporting period]]*20)</f>
        <v>0</v>
      </c>
      <c r="DG76" s="80">
        <f>IF(WWWW[[#This Row],[Is sufficient soap available for TLS? (Yes/No)]]="yes",WWWW[[#This Row],['#_Constructed/Existing hand washing stations at TLS]],0)</f>
        <v>0</v>
      </c>
      <c r="DH76" s="667">
        <f>IF(WWWW[[#This Row],['# Functional hand washing stations during reporting period]]*100&gt;WWWW[[#This Row],[Total PoP ]],WWWW[[#This Row],[Total PoP ]],WWWW[[#This Row],['# Functional hand washing stations during reporting period]]*100)</f>
        <v>0</v>
      </c>
      <c r="DI76" s="667" t="str">
        <f>IF(WWWW[[#This Row],['#_students at TLS_CFS]]="","No","Yes")</f>
        <v>No</v>
      </c>
      <c r="DJ76" s="245">
        <f>VLOOKUP(WWWW[[#This Row],[Site Name]],SiteDB6[[Site Name]:[CCCM Management]],6,FALSE)</f>
        <v>0</v>
      </c>
      <c r="DK76" s="245" t="str">
        <f>VLOOKUP(WWWW[[#This Row],[Site Name]],SiteDB6[[Site Name]:[CCCM Focal Agency]],7,FALSE)</f>
        <v>KMSS-MYT</v>
      </c>
      <c r="DL76" s="245" t="str">
        <f>VLOOKUP(WWWW[[#This Row],[Site Name]],SiteDB6[[Site Name]:[Location Type 1]],9,FALSE)</f>
        <v>Camp</v>
      </c>
      <c r="DM76" s="245" t="str">
        <f>VLOOKUP(WWWW[[#This Row],[Site Name]],SiteDB6[[Site Name]:[Type of Accommodation]],10,FALSE)</f>
        <v>Camp</v>
      </c>
      <c r="DN76" s="245" t="str">
        <f>VLOOKUP(WWWW[[#This Row],[Site Name]],SiteDB6[[Site Name]:[Ethnic or GCA/NGCA]],11,FALSE)</f>
        <v>GCA</v>
      </c>
      <c r="DO76" s="245">
        <f>VLOOKUP(WWWW[[#This Row],[Site Name]],SiteDB6[[Site Name]:[Lat]],12,FALSE)</f>
        <v>97.010629910000006</v>
      </c>
      <c r="DP76" s="245">
        <f>VLOOKUP(WWWW[[#This Row],[Site Name]],SiteDB6[[Site Name]:[Long]],13,FALSE)</f>
        <v>25.37033053</v>
      </c>
      <c r="DQ76" s="245" t="str">
        <f>VLOOKUP(WWWW[[#This Row],[Site Name]],SiteDB6[[Site Name]:[Pcode]],3,FALSE)</f>
        <v>MMR001CMP259</v>
      </c>
      <c r="DR76" s="215" t="str">
        <f t="shared" ref="DR76:DR107" si="3">IF(C76="none","Notcovered","Covered")</f>
        <v>Covered</v>
      </c>
      <c r="DS76" s="215"/>
      <c r="DT76" s="20"/>
      <c r="DU76" s="20"/>
      <c r="DV76" s="20"/>
      <c r="DW76" s="20"/>
      <c r="DX76" s="20"/>
      <c r="DY76" s="20"/>
      <c r="DZ76" s="20"/>
      <c r="EA76" s="20"/>
      <c r="EB76" s="20"/>
      <c r="EC76" s="20"/>
      <c r="ED76" s="20"/>
      <c r="EE76" s="20"/>
      <c r="EF76" s="20"/>
      <c r="EG76" s="20"/>
      <c r="EH76" s="20"/>
    </row>
    <row r="77" spans="1:138" ht="15.75" customHeight="1">
      <c r="A77" s="259" t="s">
        <v>2525</v>
      </c>
      <c r="B77" s="663" t="s">
        <v>200</v>
      </c>
      <c r="C77" s="663" t="s">
        <v>200</v>
      </c>
      <c r="D77" s="663" t="s">
        <v>2967</v>
      </c>
      <c r="E77" s="663" t="s">
        <v>39</v>
      </c>
      <c r="F77" s="663" t="s">
        <v>203</v>
      </c>
      <c r="G77" s="663" t="str">
        <f>VLOOKUP(WWWW[[#This Row],[Site Name]],SiteDB6[[Site Name]:[Location Type]],8,FALSE)</f>
        <v>Camp</v>
      </c>
      <c r="H77" s="663" t="s">
        <v>208</v>
      </c>
      <c r="I77" s="379">
        <v>141</v>
      </c>
      <c r="J77" s="379">
        <v>800</v>
      </c>
      <c r="K77" s="642">
        <v>43466</v>
      </c>
      <c r="L77" s="78">
        <v>43830</v>
      </c>
      <c r="M77" s="700"/>
      <c r="N77" s="700"/>
      <c r="O77" s="700"/>
      <c r="P77" s="700"/>
      <c r="Q77" s="77" t="s">
        <v>43</v>
      </c>
      <c r="R77" s="377">
        <v>2</v>
      </c>
      <c r="S77" s="377">
        <v>2</v>
      </c>
      <c r="T77" s="377">
        <v>1</v>
      </c>
      <c r="U77" s="377"/>
      <c r="V77" s="377"/>
      <c r="W77" s="377"/>
      <c r="X77" s="377">
        <v>1</v>
      </c>
      <c r="Y77" s="377"/>
      <c r="Z77" s="377"/>
      <c r="AA77" s="377"/>
      <c r="AB77" s="377"/>
      <c r="AC77" s="377"/>
      <c r="AD77" s="377"/>
      <c r="AE77" s="377"/>
      <c r="AF77" s="377"/>
      <c r="AG77" s="377"/>
      <c r="AH77" s="377"/>
      <c r="AI77" s="377"/>
      <c r="AJ77" s="377"/>
      <c r="AK77" s="377"/>
      <c r="AL77" s="377"/>
      <c r="AM77" s="377"/>
      <c r="AN77" s="377"/>
      <c r="AO77" s="215"/>
      <c r="AP77" s="377">
        <v>21</v>
      </c>
      <c r="AQ77" s="377"/>
      <c r="AR77" s="77"/>
      <c r="AS77" s="377">
        <v>2</v>
      </c>
      <c r="AT77" s="377"/>
      <c r="AU77" s="377"/>
      <c r="AV77" s="377"/>
      <c r="AW77" s="377"/>
      <c r="AX77" s="694" t="s">
        <v>43</v>
      </c>
      <c r="AY77" s="694" t="s">
        <v>145</v>
      </c>
      <c r="AZ77" s="377"/>
      <c r="BA77" s="377"/>
      <c r="BB77" s="377"/>
      <c r="BC77" s="215"/>
      <c r="BD77" s="377">
        <v>9</v>
      </c>
      <c r="BE77" s="377"/>
      <c r="BF77" s="377"/>
      <c r="BG77" s="377">
        <v>5</v>
      </c>
      <c r="BH77" s="377"/>
      <c r="BI77" s="377"/>
      <c r="BJ77" s="377"/>
      <c r="BK77" s="377">
        <v>141</v>
      </c>
      <c r="BL77" s="377">
        <v>16</v>
      </c>
      <c r="BM77" s="215"/>
      <c r="BN77" s="80"/>
      <c r="BO77" s="82"/>
      <c r="BP77" s="215"/>
      <c r="BQ77" s="79" t="str">
        <f>IFERROR(WWWW[[#This Row],['#_Water sources treated]]/WWWW[[#This Row],['#_Water sources tested for contamination]],"no test")</f>
        <v>no test</v>
      </c>
      <c r="BR77" s="82" t="str">
        <f>IFERROR(WWWW[[#This Row],['#_Household received remediation action due to contamination]]/WWWW[[#This Row],['#_Household water samples tested for contamination]],"no test")</f>
        <v>no test</v>
      </c>
      <c r="BS77" s="81" t="str">
        <f>IF(AND(WWWW[[#This Row],[% of water sources treated]]="no test",WWWW[[#This Row],[% Household received corrective actions]]="no test"),"No Test","Tested")</f>
        <v>No Test</v>
      </c>
      <c r="BT77" s="81">
        <f>WWWW[[#This Row],['#_Constructed/existing protected hand dug well]]-WWWW[[#This Row],['#_Non-functional protected hand dug well]]</f>
        <v>1</v>
      </c>
      <c r="BU77" s="81">
        <f>(WWWW[[#This Row],['#_Constructed/Existing tube wells/boreholes/handpumps_WASH_agency]]+WWWW[[#This Row],['#_Non-Cluster partner water tube-wells/boreholes/handpumps]])-WWWW[[#This Row],['#_Non-functional tube wells/boreholes/handpumps]]</f>
        <v>1</v>
      </c>
      <c r="BV77" s="81">
        <f>WWWW[[#This Row],['#_Constructed/Existingwater storage tank with gravity fed reticulation system]]-WWWW[[#This Row],['#_Non-functional storage tank gravity fed reticulation system]]</f>
        <v>0</v>
      </c>
      <c r="BW77" s="81">
        <f>WWWW[[#This Row],['#_Water boating or water trucking]]</f>
        <v>0</v>
      </c>
      <c r="BX77" s="81">
        <f>WWWW[[#This Row],['#_Constructed/Existing water distribution system from river or natural spring]]</f>
        <v>0</v>
      </c>
      <c r="BY77"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77"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0.625</v>
      </c>
      <c r="CA77" s="82">
        <f>IF(WWWW[[#This Row],[Location Type 1]]="Village",WWWW[[#This Row],[Access to safe drinking water for Village]],WWWW[[#This Row],[Access to safe drinking water for Camp]])</f>
        <v>1</v>
      </c>
      <c r="CB77" s="80">
        <f>WWWW[[#This Row],[%Equitable and continuous access to sufficient quantity of safe drinking water]]*WWWW[[#This Row],[Total PoP ]]</f>
        <v>800</v>
      </c>
      <c r="CC77" s="82">
        <f>IF((WWWW[[#This Row],['#_Constructed/Existing protected/fenced ponds]]*250)/WWWW[[#This Row],[Total PoP ]]&gt;1,1,(WWWW[[#This Row],['#_Constructed/Existing protected/fenced ponds]]*250)/WWWW[[#This Row],[Total PoP ]])</f>
        <v>0</v>
      </c>
      <c r="CD77" s="80">
        <f>WWWW[[#This Row],[% Access to unimproved water points]]*WWWW[[#This Row],[Total PoP ]]</f>
        <v>0</v>
      </c>
      <c r="CE77"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77"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800</v>
      </c>
      <c r="CG77" s="80">
        <f>WWWW[[#This Row],[HRP1]]/500</f>
        <v>1.6</v>
      </c>
      <c r="CH77" s="79">
        <f>1-WWWW[[#This Row],[% Equitable and continuous access to sufficient quantity of domestic water]]</f>
        <v>0</v>
      </c>
      <c r="CI77" s="80">
        <f>WWWW[[#This Row],[%equitable and continuous access to sufficient quantity of safe drinking and domestic water''s GAP]]*WWWW[[#This Row],[Total PoP ]]</f>
        <v>0</v>
      </c>
      <c r="CJ77" s="81">
        <f>IF(WWWW[[#This Row],[Total required water points]]-WWWW[[#This Row],['#Water points coverage]]&lt;0,0,WWWW[[#This Row],[Total required water points]]-WWWW[[#This Row],['#Water points coverage]])</f>
        <v>0.39999999999999991</v>
      </c>
      <c r="CK77" s="81">
        <f>ROUND(IF(WWWW[[#This Row],[Total PoP ]]&lt;500,1,WWWW[[#This Row],[Total PoP ]]/500),0)</f>
        <v>2</v>
      </c>
      <c r="CL77" s="81">
        <f>(WWWW[[#This Row],['#_Constructed latrines_by_WASHAgencies]]+WWWW[[#This Row],['#_Non Cluster partner latrines]])-WWWW[[#This Row],['#_Non-functional latrines]]</f>
        <v>19</v>
      </c>
      <c r="CM77"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0.47499999999999998</v>
      </c>
      <c r="CN77"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380</v>
      </c>
      <c r="CO77"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77" s="81">
        <f>IF(WWWW[[#This Row],[Location Type 1]]="Village","NA",IF(WWWW[[#This Row],['#_Constructed/Existing latrines in TLS]]*50&gt;WWWW[[#This Row],['#_students at TLS_CFS]],WWWW[[#This Row],['#_students at TLS_CFS]],(WWWW[[#This Row],['#_Constructed/Existing latrines in TLS]]*50)))</f>
        <v>0</v>
      </c>
      <c r="CQ77" s="81">
        <f>ROUND(IF(WWWW[[#This Row],[Location Type 1]]="camp",WWWW[[#This Row],[Total PoP ]]/20,IF(WWWW[[#This Row],[Location Type 1]]="Temporary Location",WWWW[[#This Row],[Total PoP ]]/50,(WWWW[[#This Row],[Total PoP ]]/6))),0)</f>
        <v>40</v>
      </c>
      <c r="CR77" s="80">
        <f>IF(WWWW[[#This Row],[Total required Latrines]]-(WWWW[[#This Row],['#_Constructed latrines_by_WASHAgencies]]+WWWW[[#This Row],['#_Non Cluster partner latrines]])&lt;0,0,WWWW[[#This Row],[Total required Latrines]]-(WWWW[[#This Row],['#_Constructed latrines_by_WASHAgencies]]+WWWW[[#This Row],['#_Non Cluster partner latrines]]))</f>
        <v>19</v>
      </c>
      <c r="CS77" s="79">
        <f>1-WWWW[[#This Row],[% people access to functioning Latrine]]</f>
        <v>0.52500000000000002</v>
      </c>
      <c r="CT77" s="83">
        <f>IF(OR(WWWW[[#This Row],['#_Non-functional latrines]]="",WWWW[[#This Row],['#_Non-functional latrines]]=0),0,WWWW[[#This Row],['#_Non-functional latrines]]/(WWWW[[#This Row],['#_Constructed latrines_by_WASHAgencies]]+WWWW[[#This Row],['#_Non Cluster partner latrines]]))</f>
        <v>9.5238095238095233E-2</v>
      </c>
      <c r="CU77" s="80">
        <f>IF(500*(WWWW[[#This Row],['#_male hygiene promoters]]+WWWW[[#This Row],['#_female hygiene promoters]])&gt;WWWW[[#This Row],[Total PoP ]],WWWW[[#This Row],[Total PoP ]],500*(WWWW[[#This Row],['#_male hygiene promoters]]+WWWW[[#This Row],['#_female hygiene promoters]]))</f>
        <v>0</v>
      </c>
      <c r="CV77"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800</v>
      </c>
      <c r="CW77"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80</v>
      </c>
      <c r="CX77" s="81">
        <f>IF(WWWW[[#This Row],['# People with access to soap]]&gt;WWWW[[#This Row],['# People with access to Sanity Pads]],WWWW[[#This Row],['# People with access to soap]],WWWW[[#This Row],['# People with access to Sanity Pads]])</f>
        <v>800</v>
      </c>
      <c r="CY77" s="81">
        <f>IF(WWWW[[#This Row],['# people reached by regular dedicated hygiene promotion_5]]&gt;WWWW[[#This Row],['# People received regular supply of hygiene items_6]],WWWW[[#This Row],['# people reached by regular dedicated hygiene promotion_5]],WWWW[[#This Row],['# People received regular supply of hygiene items_6]])</f>
        <v>800</v>
      </c>
      <c r="CZ77" s="79">
        <f>IF(WWWW[[#This Row],[HRP3]]/WWWW[[#This Row],[Total PoP ]]&gt;100%,100%,WWWW[[#This Row],[HRP3]]/WWWW[[#This Row],[Total PoP ]])</f>
        <v>1</v>
      </c>
      <c r="DA77" s="83">
        <f>1-WWWW[[#This Row],[Hygiene Coverage%]]</f>
        <v>0</v>
      </c>
      <c r="DB77" s="82">
        <f>WWWW[[#This Row],['# people reached by regular dedicated hygiene promotion_5]]/WWWW[[#This Row],[Total PoP ]]</f>
        <v>0</v>
      </c>
      <c r="DC77" s="82">
        <f>IF(WWWW[[#This Row],['#_households that received standard amount of soap for this quarter]]/WWWW[[#This Row],[Total HH]]&gt;1,1,WWWW[[#This Row],['#_households that received standard amount of soap for this quarter]]/WWWW[[#This Row],[Total HH]])</f>
        <v>1</v>
      </c>
      <c r="DD77" s="82">
        <f>IF(WWWW[[#This Row],['#_households that received standard amount of sanitary pads for this quarter]]/WWWW[[#This Row],[Total HH]]&gt;1,1,WWWW[[#This Row],['#_households that received standard amount of sanitary pads for this quarter]]/WWWW[[#This Row],[Total HH]])</f>
        <v>0.11347517730496454</v>
      </c>
      <c r="DE77" s="81">
        <f>WWWW[[#This Row],['#_Constructed/Existing hand washing stations]]-WWWW[[#This Row],['#_Non-Functional_hand_washing_stations]]</f>
        <v>9</v>
      </c>
      <c r="DF77" s="667">
        <f>IF(WWWW[[#This Row],['# Functional hand washing stations during reporting period]]*20&gt;WWWW[[#This Row],[Total HH]],WWWW[[#This Row],[Total HH]],WWWW[[#This Row],['# Functional hand washing stations during reporting period]]*20)</f>
        <v>141</v>
      </c>
      <c r="DG77" s="80">
        <f>IF(WWWW[[#This Row],[Is sufficient soap available for TLS? (Yes/No)]]="yes",WWWW[[#This Row],['#_Constructed/Existing hand washing stations at TLS]],0)</f>
        <v>0</v>
      </c>
      <c r="DH77" s="667">
        <f>IF(WWWW[[#This Row],['# Functional hand washing stations during reporting period]]*100&gt;WWWW[[#This Row],[Total PoP ]],WWWW[[#This Row],[Total PoP ]],WWWW[[#This Row],['# Functional hand washing stations during reporting period]]*100)</f>
        <v>800</v>
      </c>
      <c r="DI77" s="667" t="str">
        <f>IF(WWWW[[#This Row],['#_students at TLS_CFS]]="","No","Yes")</f>
        <v>No</v>
      </c>
      <c r="DJ77" s="245" t="str">
        <f>VLOOKUP(WWWW[[#This Row],[Site Name]],SiteDB6[[Site Name]:[CCCM Management]],6,FALSE)</f>
        <v>Yes</v>
      </c>
      <c r="DK77" s="245" t="str">
        <f>VLOOKUP(WWWW[[#This Row],[Site Name]],SiteDB6[[Site Name]:[CCCM Focal Agency]],7,FALSE)</f>
        <v>Shalom</v>
      </c>
      <c r="DL77" s="245" t="str">
        <f>VLOOKUP(WWWW[[#This Row],[Site Name]],SiteDB6[[Site Name]:[Location Type 1]],9,FALSE)</f>
        <v>Camp</v>
      </c>
      <c r="DM77" s="245" t="str">
        <f>VLOOKUP(WWWW[[#This Row],[Site Name]],SiteDB6[[Site Name]:[Type of Accommodation]],10,FALSE)</f>
        <v>Camp</v>
      </c>
      <c r="DN77" s="245" t="str">
        <f>VLOOKUP(WWWW[[#This Row],[Site Name]],SiteDB6[[Site Name]:[Ethnic or GCA/NGCA]],11,FALSE)</f>
        <v>GCA</v>
      </c>
      <c r="DO77" s="245">
        <f>VLOOKUP(WWWW[[#This Row],[Site Name]],SiteDB6[[Site Name]:[Lat]],12,FALSE)</f>
        <v>24.263174360000001</v>
      </c>
      <c r="DP77" s="245">
        <f>VLOOKUP(WWWW[[#This Row],[Site Name]],SiteDB6[[Site Name]:[Long]],13,FALSE)</f>
        <v>97.240183459999997</v>
      </c>
      <c r="DQ77" s="245" t="str">
        <f>VLOOKUP(WWWW[[#This Row],[Site Name]],SiteDB6[[Site Name]:[Pcode]],3,FALSE)</f>
        <v>MMR001CMP049</v>
      </c>
      <c r="DR77" s="215" t="str">
        <f t="shared" si="3"/>
        <v>Covered</v>
      </c>
      <c r="DS77" s="215"/>
      <c r="DT77" s="20"/>
      <c r="DU77" s="20"/>
      <c r="DV77" s="20"/>
      <c r="DW77" s="20"/>
      <c r="DX77" s="20"/>
      <c r="DY77" s="20"/>
      <c r="DZ77" s="20"/>
      <c r="EA77" s="20"/>
      <c r="EB77" s="20"/>
      <c r="EC77" s="20"/>
      <c r="ED77" s="20"/>
      <c r="EE77" s="20"/>
      <c r="EF77" s="20"/>
      <c r="EG77" s="20"/>
      <c r="EH77" s="20"/>
    </row>
    <row r="78" spans="1:138" ht="15.75" customHeight="1">
      <c r="A78" s="259" t="s">
        <v>2525</v>
      </c>
      <c r="B78" s="663" t="s">
        <v>38</v>
      </c>
      <c r="C78" s="663" t="s">
        <v>38</v>
      </c>
      <c r="D78" s="663" t="s">
        <v>3120</v>
      </c>
      <c r="E78" s="663" t="s">
        <v>39</v>
      </c>
      <c r="F78" s="663" t="s">
        <v>167</v>
      </c>
      <c r="G78" s="663" t="str">
        <f>VLOOKUP(WWWW[[#This Row],[Site Name]],SiteDB6[[Site Name]:[Location Type]],8,FALSE)</f>
        <v>Camp</v>
      </c>
      <c r="H78" s="663" t="s">
        <v>242</v>
      </c>
      <c r="I78" s="700">
        <v>63</v>
      </c>
      <c r="J78" s="700">
        <v>309</v>
      </c>
      <c r="K78" s="642">
        <v>43466</v>
      </c>
      <c r="L78" s="78" t="s">
        <v>2981</v>
      </c>
      <c r="M78" s="700"/>
      <c r="N78" s="700"/>
      <c r="O78" s="700"/>
      <c r="P78" s="700"/>
      <c r="Q78" s="663" t="s">
        <v>43</v>
      </c>
      <c r="R78" s="700"/>
      <c r="S78" s="700"/>
      <c r="T78" s="700"/>
      <c r="U78" s="700"/>
      <c r="V78" s="700"/>
      <c r="W78" s="700">
        <v>4</v>
      </c>
      <c r="X78" s="700"/>
      <c r="Y78" s="700"/>
      <c r="Z78" s="700"/>
      <c r="AA78" s="700"/>
      <c r="AB78" s="700"/>
      <c r="AC78" s="700"/>
      <c r="AD78" s="700"/>
      <c r="AE78" s="700"/>
      <c r="AF78" s="700"/>
      <c r="AG78" s="700"/>
      <c r="AH78" s="700"/>
      <c r="AI78" s="700"/>
      <c r="AJ78" s="700"/>
      <c r="AK78" s="700"/>
      <c r="AL78" s="700"/>
      <c r="AM78" s="700"/>
      <c r="AN78" s="700"/>
      <c r="AO78" s="667"/>
      <c r="AP78" s="719">
        <v>20</v>
      </c>
      <c r="AQ78" s="663"/>
      <c r="AR78" s="663"/>
      <c r="AS78" s="667"/>
      <c r="AT78" s="663"/>
      <c r="AU78" s="667"/>
      <c r="AV78" s="667"/>
      <c r="AW78" s="81"/>
      <c r="AX78" s="81" t="s">
        <v>43</v>
      </c>
      <c r="AY78" s="81" t="s">
        <v>145</v>
      </c>
      <c r="AZ78" s="81"/>
      <c r="BA78" s="81"/>
      <c r="BB78" s="667"/>
      <c r="BC78" s="667"/>
      <c r="BD78" s="667"/>
      <c r="BE78" s="667"/>
      <c r="BF78" s="667"/>
      <c r="BG78" s="720">
        <v>2</v>
      </c>
      <c r="BH78" s="667"/>
      <c r="BI78" s="700">
        <v>1</v>
      </c>
      <c r="BJ78" s="700">
        <v>1</v>
      </c>
      <c r="BK78" s="722">
        <v>30</v>
      </c>
      <c r="BL78" s="667"/>
      <c r="BM78" s="667"/>
      <c r="BN78" s="667"/>
      <c r="BO78" s="82"/>
      <c r="BP78" s="667"/>
      <c r="BQ78" s="79" t="str">
        <f>IFERROR(WWWW[[#This Row],['#_Water sources treated]]/WWWW[[#This Row],['#_Water sources tested for contamination]],"no test")</f>
        <v>no test</v>
      </c>
      <c r="BR78" s="82" t="str">
        <f>IFERROR(WWWW[[#This Row],['#_Household received remediation action due to contamination]]/WWWW[[#This Row],['#_Household water samples tested for contamination]],"no test")</f>
        <v>no test</v>
      </c>
      <c r="BS78" s="81" t="str">
        <f>IF(AND(WWWW[[#This Row],[% of water sources treated]]="no test",WWWW[[#This Row],[% Household received corrective actions]]="no test"),"No Test","Tested")</f>
        <v>No Test</v>
      </c>
      <c r="BT78" s="81">
        <f>WWWW[[#This Row],['#_Constructed/existing protected hand dug well]]-WWWW[[#This Row],['#_Non-functional protected hand dug well]]</f>
        <v>0</v>
      </c>
      <c r="BU78" s="81">
        <f>(WWWW[[#This Row],['#_Constructed/Existing tube wells/boreholes/handpumps_WASH_agency]]+WWWW[[#This Row],['#_Non-Cluster partner water tube-wells/boreholes/handpumps]])-WWWW[[#This Row],['#_Non-functional tube wells/boreholes/handpumps]]</f>
        <v>4</v>
      </c>
      <c r="BV78" s="81">
        <f>WWWW[[#This Row],['#_Constructed/Existingwater storage tank with gravity fed reticulation system]]-WWWW[[#This Row],['#_Non-functional storage tank gravity fed reticulation system]]</f>
        <v>0</v>
      </c>
      <c r="BW78" s="81">
        <f>WWWW[[#This Row],['#_Water boating or water trucking]]</f>
        <v>0</v>
      </c>
      <c r="BX78" s="81">
        <f>WWWW[[#This Row],['#_Constructed/Existing water distribution system from river or natural spring]]</f>
        <v>0</v>
      </c>
      <c r="BY78"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78"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78" s="82">
        <f>IF(WWWW[[#This Row],[Location Type 1]]="Village",WWWW[[#This Row],[Access to safe drinking water for Village]],WWWW[[#This Row],[Access to safe drinking water for Camp]])</f>
        <v>1</v>
      </c>
      <c r="CB78" s="80">
        <f>WWWW[[#This Row],[%Equitable and continuous access to sufficient quantity of safe drinking water]]*WWWW[[#This Row],[Total PoP ]]</f>
        <v>309</v>
      </c>
      <c r="CC78" s="82">
        <f>IF((WWWW[[#This Row],['#_Constructed/Existing protected/fenced ponds]]*250)/WWWW[[#This Row],[Total PoP ]]&gt;1,1,(WWWW[[#This Row],['#_Constructed/Existing protected/fenced ponds]]*250)/WWWW[[#This Row],[Total PoP ]])</f>
        <v>0</v>
      </c>
      <c r="CD78" s="80">
        <f>WWWW[[#This Row],[% Access to unimproved water points]]*WWWW[[#This Row],[Total PoP ]]</f>
        <v>0</v>
      </c>
      <c r="CE78"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78"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309</v>
      </c>
      <c r="CG78" s="80">
        <f>WWWW[[#This Row],[HRP1]]/500</f>
        <v>0.61799999999999999</v>
      </c>
      <c r="CH78" s="79">
        <f>1-WWWW[[#This Row],[% Equitable and continuous access to sufficient quantity of domestic water]]</f>
        <v>0</v>
      </c>
      <c r="CI78" s="80">
        <f>WWWW[[#This Row],[%equitable and continuous access to sufficient quantity of safe drinking and domestic water''s GAP]]*WWWW[[#This Row],[Total PoP ]]</f>
        <v>0</v>
      </c>
      <c r="CJ78" s="81">
        <f>IF(WWWW[[#This Row],[Total required water points]]-WWWW[[#This Row],['#Water points coverage]]&lt;0,0,WWWW[[#This Row],[Total required water points]]-WWWW[[#This Row],['#Water points coverage]])</f>
        <v>0.38200000000000001</v>
      </c>
      <c r="CK78" s="81">
        <f>ROUND(IF(WWWW[[#This Row],[Total PoP ]]&lt;500,1,WWWW[[#This Row],[Total PoP ]]/500),0)</f>
        <v>1</v>
      </c>
      <c r="CL78" s="81">
        <f>(WWWW[[#This Row],['#_Constructed latrines_by_WASHAgencies]]+WWWW[[#This Row],['#_Non Cluster partner latrines]])-WWWW[[#This Row],['#_Non-functional latrines]]</f>
        <v>20</v>
      </c>
      <c r="CM78"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78"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309</v>
      </c>
      <c r="CO78"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78" s="81">
        <f>IF(WWWW[[#This Row],[Location Type 1]]="Village","NA",IF(WWWW[[#This Row],['#_Constructed/Existing latrines in TLS]]*50&gt;WWWW[[#This Row],['#_students at TLS_CFS]],WWWW[[#This Row],['#_students at TLS_CFS]],(WWWW[[#This Row],['#_Constructed/Existing latrines in TLS]]*50)))</f>
        <v>0</v>
      </c>
      <c r="CQ78" s="81">
        <f>ROUND(IF(WWWW[[#This Row],[Location Type 1]]="camp",WWWW[[#This Row],[Total PoP ]]/20,IF(WWWW[[#This Row],[Location Type 1]]="Temporary Location",WWWW[[#This Row],[Total PoP ]]/50,(WWWW[[#This Row],[Total PoP ]]/6))),0)</f>
        <v>15</v>
      </c>
      <c r="CR78" s="80">
        <f>IF(WWWW[[#This Row],[Total required Latrines]]-(WWWW[[#This Row],['#_Constructed latrines_by_WASHAgencies]]+WWWW[[#This Row],['#_Non Cluster partner latrines]])&lt;0,0,WWWW[[#This Row],[Total required Latrines]]-(WWWW[[#This Row],['#_Constructed latrines_by_WASHAgencies]]+WWWW[[#This Row],['#_Non Cluster partner latrines]]))</f>
        <v>0</v>
      </c>
      <c r="CS78" s="79">
        <f>1-WWWW[[#This Row],[% people access to functioning Latrine]]</f>
        <v>0</v>
      </c>
      <c r="CT78" s="83">
        <f>IF(OR(WWWW[[#This Row],['#_Non-functional latrines]]="",WWWW[[#This Row],['#_Non-functional latrines]]=0),0,WWWW[[#This Row],['#_Non-functional latrines]]/(WWWW[[#This Row],['#_Constructed latrines_by_WASHAgencies]]+WWWW[[#This Row],['#_Non Cluster partner latrines]]))</f>
        <v>0</v>
      </c>
      <c r="CU78" s="80">
        <f>IF(500*(WWWW[[#This Row],['#_male hygiene promoters]]+WWWW[[#This Row],['#_female hygiene promoters]])&gt;WWWW[[#This Row],[Total PoP ]],WWWW[[#This Row],[Total PoP ]],500*(WWWW[[#This Row],['#_male hygiene promoters]]+WWWW[[#This Row],['#_female hygiene promoters]]))</f>
        <v>309</v>
      </c>
      <c r="CV78"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150</v>
      </c>
      <c r="CW78"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78" s="81">
        <f>IF(WWWW[[#This Row],['# People with access to soap]]&gt;WWWW[[#This Row],['# People with access to Sanity Pads]],WWWW[[#This Row],['# People with access to soap]],WWWW[[#This Row],['# People with access to Sanity Pads]])</f>
        <v>150</v>
      </c>
      <c r="CY78" s="81">
        <f>IF(WWWW[[#This Row],['# people reached by regular dedicated hygiene promotion_5]]&gt;WWWW[[#This Row],['# People received regular supply of hygiene items_6]],WWWW[[#This Row],['# people reached by regular dedicated hygiene promotion_5]],WWWW[[#This Row],['# People received regular supply of hygiene items_6]])</f>
        <v>309</v>
      </c>
      <c r="CZ78" s="79">
        <f>IF(WWWW[[#This Row],[HRP3]]/WWWW[[#This Row],[Total PoP ]]&gt;100%,100%,WWWW[[#This Row],[HRP3]]/WWWW[[#This Row],[Total PoP ]])</f>
        <v>1</v>
      </c>
      <c r="DA78" s="83">
        <f>1-WWWW[[#This Row],[Hygiene Coverage%]]</f>
        <v>0</v>
      </c>
      <c r="DB78" s="82">
        <f>WWWW[[#This Row],['# people reached by regular dedicated hygiene promotion_5]]/WWWW[[#This Row],[Total PoP ]]</f>
        <v>1</v>
      </c>
      <c r="DC78" s="82">
        <f>IF(WWWW[[#This Row],['#_households that received standard amount of soap for this quarter]]/WWWW[[#This Row],[Total HH]]&gt;1,1,WWWW[[#This Row],['#_households that received standard amount of soap for this quarter]]/WWWW[[#This Row],[Total HH]])</f>
        <v>0.47619047619047616</v>
      </c>
      <c r="DD78" s="82">
        <f>IF(WWWW[[#This Row],['#_households that received standard amount of sanitary pads for this quarter]]/WWWW[[#This Row],[Total HH]]&gt;1,1,WWWW[[#This Row],['#_households that received standard amount of sanitary pads for this quarter]]/WWWW[[#This Row],[Total HH]])</f>
        <v>0</v>
      </c>
      <c r="DE78" s="81">
        <f>WWWW[[#This Row],['#_Constructed/Existing hand washing stations]]-WWWW[[#This Row],['#_Non-Functional_hand_washing_stations]]</f>
        <v>0</v>
      </c>
      <c r="DF78" s="667">
        <f>IF(WWWW[[#This Row],['# Functional hand washing stations during reporting period]]*20&gt;WWWW[[#This Row],[Total HH]],WWWW[[#This Row],[Total HH]],WWWW[[#This Row],['# Functional hand washing stations during reporting period]]*20)</f>
        <v>0</v>
      </c>
      <c r="DG78" s="80">
        <f>IF(WWWW[[#This Row],[Is sufficient soap available for TLS? (Yes/No)]]="yes",WWWW[[#This Row],['#_Constructed/Existing hand washing stations at TLS]],0)</f>
        <v>0</v>
      </c>
      <c r="DH78" s="667">
        <f>IF(WWWW[[#This Row],['# Functional hand washing stations during reporting period]]*100&gt;WWWW[[#This Row],[Total PoP ]],WWWW[[#This Row],[Total PoP ]],WWWW[[#This Row],['# Functional hand washing stations during reporting period]]*100)</f>
        <v>0</v>
      </c>
      <c r="DI78" s="667" t="str">
        <f>IF(WWWW[[#This Row],['#_students at TLS_CFS]]="","No","Yes")</f>
        <v>No</v>
      </c>
      <c r="DJ78" s="245" t="str">
        <f>VLOOKUP(WWWW[[#This Row],[Site Name]],SiteDB6[[Site Name]:[CCCM Management]],6,FALSE)</f>
        <v>Yes</v>
      </c>
      <c r="DK78" s="245" t="str">
        <f>VLOOKUP(WWWW[[#This Row],[Site Name]],SiteDB6[[Site Name]:[CCCM Focal Agency]],7,FALSE)</f>
        <v>KMSS-MYT</v>
      </c>
      <c r="DL78" s="245" t="str">
        <f>VLOOKUP(WWWW[[#This Row],[Site Name]],SiteDB6[[Site Name]:[Location Type 1]],9,FALSE)</f>
        <v>Camp</v>
      </c>
      <c r="DM78" s="245" t="str">
        <f>VLOOKUP(WWWW[[#This Row],[Site Name]],SiteDB6[[Site Name]:[Type of Accommodation]],10,FALSE)</f>
        <v>Camp</v>
      </c>
      <c r="DN78" s="245" t="str">
        <f>VLOOKUP(WWWW[[#This Row],[Site Name]],SiteDB6[[Site Name]:[Ethnic or GCA/NGCA]],11,FALSE)</f>
        <v>GCA</v>
      </c>
      <c r="DO78" s="245">
        <f>VLOOKUP(WWWW[[#This Row],[Site Name]],SiteDB6[[Site Name]:[Lat]],12,FALSE)</f>
        <v>25.410569299999999</v>
      </c>
      <c r="DP78" s="245">
        <f>VLOOKUP(WWWW[[#This Row],[Site Name]],SiteDB6[[Site Name]:[Long]],13,FALSE)</f>
        <v>97.359320179999997</v>
      </c>
      <c r="DQ78" s="245" t="str">
        <f>VLOOKUP(WWWW[[#This Row],[Site Name]],SiteDB6[[Site Name]:[Pcode]],3,FALSE)</f>
        <v>MMR001CMP024</v>
      </c>
      <c r="DR78" s="215" t="str">
        <f t="shared" si="3"/>
        <v>Covered</v>
      </c>
      <c r="DS78" s="215"/>
      <c r="DT78" s="20"/>
      <c r="DU78" s="20"/>
      <c r="DV78" s="20"/>
      <c r="DW78" s="20"/>
      <c r="DX78" s="20"/>
      <c r="DY78" s="20"/>
      <c r="DZ78" s="20"/>
      <c r="EA78" s="20"/>
      <c r="EB78" s="20"/>
      <c r="EC78" s="20"/>
      <c r="ED78" s="20"/>
      <c r="EE78" s="20"/>
      <c r="EF78" s="20"/>
      <c r="EG78" s="20"/>
      <c r="EH78" s="20"/>
    </row>
    <row r="79" spans="1:138" ht="15.75" customHeight="1">
      <c r="A79" s="259" t="s">
        <v>2525</v>
      </c>
      <c r="B79" s="663" t="s">
        <v>200</v>
      </c>
      <c r="C79" s="663" t="s">
        <v>200</v>
      </c>
      <c r="D79" s="663" t="s">
        <v>2967</v>
      </c>
      <c r="E79" s="663" t="s">
        <v>39</v>
      </c>
      <c r="F79" s="663" t="s">
        <v>213</v>
      </c>
      <c r="G79" s="663" t="str">
        <f>VLOOKUP(WWWW[[#This Row],[Site Name]],SiteDB6[[Site Name]:[Location Type]],8,FALSE)</f>
        <v>Camp</v>
      </c>
      <c r="H79" s="663" t="s">
        <v>218</v>
      </c>
      <c r="I79" s="379">
        <v>242</v>
      </c>
      <c r="J79" s="379">
        <v>1258</v>
      </c>
      <c r="K79" s="642">
        <v>43466</v>
      </c>
      <c r="L79" s="78">
        <v>43830</v>
      </c>
      <c r="M79" s="700"/>
      <c r="N79" s="700"/>
      <c r="O79" s="700"/>
      <c r="P79" s="700"/>
      <c r="Q79" s="77" t="s">
        <v>144</v>
      </c>
      <c r="R79" s="377"/>
      <c r="S79" s="377"/>
      <c r="T79" s="377"/>
      <c r="U79" s="377"/>
      <c r="V79" s="377"/>
      <c r="W79" s="377">
        <v>2</v>
      </c>
      <c r="X79" s="377">
        <v>1</v>
      </c>
      <c r="Y79" s="377"/>
      <c r="Z79" s="377"/>
      <c r="AA79" s="377"/>
      <c r="AB79" s="377"/>
      <c r="AC79" s="377"/>
      <c r="AD79" s="377"/>
      <c r="AE79" s="377"/>
      <c r="AF79" s="377"/>
      <c r="AG79" s="377"/>
      <c r="AH79" s="377"/>
      <c r="AI79" s="377"/>
      <c r="AJ79" s="377"/>
      <c r="AK79" s="377"/>
      <c r="AL79" s="377"/>
      <c r="AM79" s="377"/>
      <c r="AN79" s="377"/>
      <c r="AO79" s="215"/>
      <c r="AP79" s="377">
        <v>40</v>
      </c>
      <c r="AQ79" s="377"/>
      <c r="AR79" s="77"/>
      <c r="AS79" s="377">
        <v>2</v>
      </c>
      <c r="AT79" s="377"/>
      <c r="AU79" s="377"/>
      <c r="AV79" s="377"/>
      <c r="AW79" s="377"/>
      <c r="AX79" s="694" t="s">
        <v>43</v>
      </c>
      <c r="AY79" s="694" t="s">
        <v>145</v>
      </c>
      <c r="AZ79" s="377"/>
      <c r="BA79" s="377"/>
      <c r="BB79" s="377"/>
      <c r="BC79" s="215"/>
      <c r="BD79" s="377">
        <v>17</v>
      </c>
      <c r="BE79" s="377"/>
      <c r="BF79" s="377"/>
      <c r="BG79" s="377">
        <v>5</v>
      </c>
      <c r="BH79" s="377"/>
      <c r="BI79" s="377"/>
      <c r="BJ79" s="377"/>
      <c r="BK79" s="377">
        <v>242</v>
      </c>
      <c r="BL79" s="377">
        <v>38</v>
      </c>
      <c r="BM79" s="215"/>
      <c r="BN79" s="80"/>
      <c r="BO79" s="82"/>
      <c r="BP79" s="215"/>
      <c r="BQ79" s="79" t="str">
        <f>IFERROR(WWWW[[#This Row],['#_Water sources treated]]/WWWW[[#This Row],['#_Water sources tested for contamination]],"no test")</f>
        <v>no test</v>
      </c>
      <c r="BR79" s="82" t="str">
        <f>IFERROR(WWWW[[#This Row],['#_Household received remediation action due to contamination]]/WWWW[[#This Row],['#_Household water samples tested for contamination]],"no test")</f>
        <v>no test</v>
      </c>
      <c r="BS79" s="81" t="str">
        <f>IF(AND(WWWW[[#This Row],[% of water sources treated]]="no test",WWWW[[#This Row],[% Household received corrective actions]]="no test"),"No Test","Tested")</f>
        <v>No Test</v>
      </c>
      <c r="BT79" s="81">
        <f>WWWW[[#This Row],['#_Constructed/existing protected hand dug well]]-WWWW[[#This Row],['#_Non-functional protected hand dug well]]</f>
        <v>0</v>
      </c>
      <c r="BU79" s="81">
        <f>(WWWW[[#This Row],['#_Constructed/Existing tube wells/boreholes/handpumps_WASH_agency]]+WWWW[[#This Row],['#_Non-Cluster partner water tube-wells/boreholes/handpumps]])-WWWW[[#This Row],['#_Non-functional tube wells/boreholes/handpumps]]</f>
        <v>3</v>
      </c>
      <c r="BV79" s="81">
        <f>WWWW[[#This Row],['#_Constructed/Existingwater storage tank with gravity fed reticulation system]]-WWWW[[#This Row],['#_Non-functional storage tank gravity fed reticulation system]]</f>
        <v>0</v>
      </c>
      <c r="BW79" s="81">
        <f>WWWW[[#This Row],['#_Water boating or water trucking]]</f>
        <v>0</v>
      </c>
      <c r="BX79" s="81">
        <f>WWWW[[#This Row],['#_Constructed/Existing water distribution system from river or natural spring]]</f>
        <v>0</v>
      </c>
      <c r="BY79"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79"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0.59618441971383151</v>
      </c>
      <c r="CA79" s="82">
        <f>IF(WWWW[[#This Row],[Location Type 1]]="Village",WWWW[[#This Row],[Access to safe drinking water for Village]],WWWW[[#This Row],[Access to safe drinking water for Camp]])</f>
        <v>1</v>
      </c>
      <c r="CB79" s="80">
        <f>WWWW[[#This Row],[%Equitable and continuous access to sufficient quantity of safe drinking water]]*WWWW[[#This Row],[Total PoP ]]</f>
        <v>1258</v>
      </c>
      <c r="CC79" s="82">
        <f>IF((WWWW[[#This Row],['#_Constructed/Existing protected/fenced ponds]]*250)/WWWW[[#This Row],[Total PoP ]]&gt;1,1,(WWWW[[#This Row],['#_Constructed/Existing protected/fenced ponds]]*250)/WWWW[[#This Row],[Total PoP ]])</f>
        <v>0</v>
      </c>
      <c r="CD79" s="80">
        <f>WWWW[[#This Row],[% Access to unimproved water points]]*WWWW[[#This Row],[Total PoP ]]</f>
        <v>0</v>
      </c>
      <c r="CE79"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79"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1258</v>
      </c>
      <c r="CG79" s="80">
        <f>WWWW[[#This Row],[HRP1]]/500</f>
        <v>2.516</v>
      </c>
      <c r="CH79" s="79">
        <f>1-WWWW[[#This Row],[% Equitable and continuous access to sufficient quantity of domestic water]]</f>
        <v>0</v>
      </c>
      <c r="CI79" s="80">
        <f>WWWW[[#This Row],[%equitable and continuous access to sufficient quantity of safe drinking and domestic water''s GAP]]*WWWW[[#This Row],[Total PoP ]]</f>
        <v>0</v>
      </c>
      <c r="CJ79" s="81">
        <f>IF(WWWW[[#This Row],[Total required water points]]-WWWW[[#This Row],['#Water points coverage]]&lt;0,0,WWWW[[#This Row],[Total required water points]]-WWWW[[#This Row],['#Water points coverage]])</f>
        <v>0.48399999999999999</v>
      </c>
      <c r="CK79" s="81">
        <f>ROUND(IF(WWWW[[#This Row],[Total PoP ]]&lt;500,1,WWWW[[#This Row],[Total PoP ]]/500),0)</f>
        <v>3</v>
      </c>
      <c r="CL79" s="81">
        <f>(WWWW[[#This Row],['#_Constructed latrines_by_WASHAgencies]]+WWWW[[#This Row],['#_Non Cluster partner latrines]])-WWWW[[#This Row],['#_Non-functional latrines]]</f>
        <v>38</v>
      </c>
      <c r="CM79"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0.60413354531001595</v>
      </c>
      <c r="CN79"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760</v>
      </c>
      <c r="CO79"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79" s="81">
        <f>IF(WWWW[[#This Row],[Location Type 1]]="Village","NA",IF(WWWW[[#This Row],['#_Constructed/Existing latrines in TLS]]*50&gt;WWWW[[#This Row],['#_students at TLS_CFS]],WWWW[[#This Row],['#_students at TLS_CFS]],(WWWW[[#This Row],['#_Constructed/Existing latrines in TLS]]*50)))</f>
        <v>0</v>
      </c>
      <c r="CQ79" s="81">
        <f>ROUND(IF(WWWW[[#This Row],[Location Type 1]]="camp",WWWW[[#This Row],[Total PoP ]]/20,IF(WWWW[[#This Row],[Location Type 1]]="Temporary Location",WWWW[[#This Row],[Total PoP ]]/50,(WWWW[[#This Row],[Total PoP ]]/6))),0)</f>
        <v>63</v>
      </c>
      <c r="CR79" s="80">
        <f>IF(WWWW[[#This Row],[Total required Latrines]]-(WWWW[[#This Row],['#_Constructed latrines_by_WASHAgencies]]+WWWW[[#This Row],['#_Non Cluster partner latrines]])&lt;0,0,WWWW[[#This Row],[Total required Latrines]]-(WWWW[[#This Row],['#_Constructed latrines_by_WASHAgencies]]+WWWW[[#This Row],['#_Non Cluster partner latrines]]))</f>
        <v>23</v>
      </c>
      <c r="CS79" s="79">
        <f>1-WWWW[[#This Row],[% people access to functioning Latrine]]</f>
        <v>0.39586645468998405</v>
      </c>
      <c r="CT79" s="83">
        <f>IF(OR(WWWW[[#This Row],['#_Non-functional latrines]]="",WWWW[[#This Row],['#_Non-functional latrines]]=0),0,WWWW[[#This Row],['#_Non-functional latrines]]/(WWWW[[#This Row],['#_Constructed latrines_by_WASHAgencies]]+WWWW[[#This Row],['#_Non Cluster partner latrines]]))</f>
        <v>0.05</v>
      </c>
      <c r="CU79" s="80">
        <f>IF(500*(WWWW[[#This Row],['#_male hygiene promoters]]+WWWW[[#This Row],['#_female hygiene promoters]])&gt;WWWW[[#This Row],[Total PoP ]],WWWW[[#This Row],[Total PoP ]],500*(WWWW[[#This Row],['#_male hygiene promoters]]+WWWW[[#This Row],['#_female hygiene promoters]]))</f>
        <v>0</v>
      </c>
      <c r="CV79"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1258</v>
      </c>
      <c r="CW79"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190</v>
      </c>
      <c r="CX79" s="81">
        <f>IF(WWWW[[#This Row],['# People with access to soap]]&gt;WWWW[[#This Row],['# People with access to Sanity Pads]],WWWW[[#This Row],['# People with access to soap]],WWWW[[#This Row],['# People with access to Sanity Pads]])</f>
        <v>1258</v>
      </c>
      <c r="CY79" s="81">
        <f>IF(WWWW[[#This Row],['# people reached by regular dedicated hygiene promotion_5]]&gt;WWWW[[#This Row],['# People received regular supply of hygiene items_6]],WWWW[[#This Row],['# people reached by regular dedicated hygiene promotion_5]],WWWW[[#This Row],['# People received regular supply of hygiene items_6]])</f>
        <v>1258</v>
      </c>
      <c r="CZ79" s="79">
        <f>IF(WWWW[[#This Row],[HRP3]]/WWWW[[#This Row],[Total PoP ]]&gt;100%,100%,WWWW[[#This Row],[HRP3]]/WWWW[[#This Row],[Total PoP ]])</f>
        <v>1</v>
      </c>
      <c r="DA79" s="83">
        <f>1-WWWW[[#This Row],[Hygiene Coverage%]]</f>
        <v>0</v>
      </c>
      <c r="DB79" s="82">
        <f>WWWW[[#This Row],['# people reached by regular dedicated hygiene promotion_5]]/WWWW[[#This Row],[Total PoP ]]</f>
        <v>0</v>
      </c>
      <c r="DC79" s="82">
        <f>IF(WWWW[[#This Row],['#_households that received standard amount of soap for this quarter]]/WWWW[[#This Row],[Total HH]]&gt;1,1,WWWW[[#This Row],['#_households that received standard amount of soap for this quarter]]/WWWW[[#This Row],[Total HH]])</f>
        <v>1</v>
      </c>
      <c r="DD79" s="82">
        <f>IF(WWWW[[#This Row],['#_households that received standard amount of sanitary pads for this quarter]]/WWWW[[#This Row],[Total HH]]&gt;1,1,WWWW[[#This Row],['#_households that received standard amount of sanitary pads for this quarter]]/WWWW[[#This Row],[Total HH]])</f>
        <v>0.15702479338842976</v>
      </c>
      <c r="DE79" s="81">
        <f>WWWW[[#This Row],['#_Constructed/Existing hand washing stations]]-WWWW[[#This Row],['#_Non-Functional_hand_washing_stations]]</f>
        <v>17</v>
      </c>
      <c r="DF79" s="667">
        <f>IF(WWWW[[#This Row],['# Functional hand washing stations during reporting period]]*20&gt;WWWW[[#This Row],[Total HH]],WWWW[[#This Row],[Total HH]],WWWW[[#This Row],['# Functional hand washing stations during reporting period]]*20)</f>
        <v>242</v>
      </c>
      <c r="DG79" s="80">
        <f>IF(WWWW[[#This Row],[Is sufficient soap available for TLS? (Yes/No)]]="yes",WWWW[[#This Row],['#_Constructed/Existing hand washing stations at TLS]],0)</f>
        <v>0</v>
      </c>
      <c r="DH79" s="667">
        <f>IF(WWWW[[#This Row],['# Functional hand washing stations during reporting period]]*100&gt;WWWW[[#This Row],[Total PoP ]],WWWW[[#This Row],[Total PoP ]],WWWW[[#This Row],['# Functional hand washing stations during reporting period]]*100)</f>
        <v>1258</v>
      </c>
      <c r="DI79" s="667" t="str">
        <f>IF(WWWW[[#This Row],['#_students at TLS_CFS]]="","No","Yes")</f>
        <v>No</v>
      </c>
      <c r="DJ79" s="245" t="str">
        <f>VLOOKUP(WWWW[[#This Row],[Site Name]],SiteDB6[[Site Name]:[CCCM Management]],6,FALSE)</f>
        <v>Yes</v>
      </c>
      <c r="DK79" s="245" t="str">
        <f>VLOOKUP(WWWW[[#This Row],[Site Name]],SiteDB6[[Site Name]:[CCCM Focal Agency]],7,FALSE)</f>
        <v>KMSS-BMO</v>
      </c>
      <c r="DL79" s="245" t="str">
        <f>VLOOKUP(WWWW[[#This Row],[Site Name]],SiteDB6[[Site Name]:[Location Type 1]],9,FALSE)</f>
        <v>Camp</v>
      </c>
      <c r="DM79" s="245" t="str">
        <f>VLOOKUP(WWWW[[#This Row],[Site Name]],SiteDB6[[Site Name]:[Type of Accommodation]],10,FALSE)</f>
        <v>Camp</v>
      </c>
      <c r="DN79" s="245" t="str">
        <f>VLOOKUP(WWWW[[#This Row],[Site Name]],SiteDB6[[Site Name]:[Ethnic or GCA/NGCA]],11,FALSE)</f>
        <v>GCA</v>
      </c>
      <c r="DO79" s="245">
        <f>VLOOKUP(WWWW[[#This Row],[Site Name]],SiteDB6[[Site Name]:[Lat]],12,FALSE)</f>
        <v>24.245100000000001</v>
      </c>
      <c r="DP79" s="245">
        <f>VLOOKUP(WWWW[[#This Row],[Site Name]],SiteDB6[[Site Name]:[Long]],13,FALSE)</f>
        <v>97.325019999999995</v>
      </c>
      <c r="DQ79" s="245" t="str">
        <f>VLOOKUP(WWWW[[#This Row],[Site Name]],SiteDB6[[Site Name]:[Pcode]],3,FALSE)</f>
        <v>MMR001CMP062</v>
      </c>
      <c r="DR79" s="215" t="str">
        <f t="shared" si="3"/>
        <v>Covered</v>
      </c>
      <c r="DS79" s="215"/>
      <c r="DT79" s="20"/>
      <c r="DU79" s="20"/>
      <c r="DV79" s="20"/>
      <c r="DW79" s="20"/>
      <c r="DX79" s="20"/>
      <c r="DY79" s="20"/>
      <c r="DZ79" s="20"/>
      <c r="EA79" s="20"/>
      <c r="EB79" s="20"/>
      <c r="EC79" s="20"/>
      <c r="ED79" s="20"/>
      <c r="EE79" s="20"/>
      <c r="EF79" s="20"/>
      <c r="EG79" s="20"/>
      <c r="EH79" s="20"/>
    </row>
    <row r="80" spans="1:138" ht="15.75" customHeight="1">
      <c r="A80" s="259" t="s">
        <v>2525</v>
      </c>
      <c r="B80" s="663" t="s">
        <v>284</v>
      </c>
      <c r="C80" s="663" t="s">
        <v>284</v>
      </c>
      <c r="D80" s="663" t="s">
        <v>2962</v>
      </c>
      <c r="E80" s="663" t="s">
        <v>39</v>
      </c>
      <c r="F80" s="663" t="s">
        <v>213</v>
      </c>
      <c r="G80" s="663" t="str">
        <f>VLOOKUP(WWWW[[#This Row],[Site Name]],SiteDB6[[Site Name]:[Location Type]],8,FALSE)</f>
        <v>Camp</v>
      </c>
      <c r="H80" s="663" t="s">
        <v>290</v>
      </c>
      <c r="I80" s="700">
        <v>70</v>
      </c>
      <c r="J80" s="700">
        <v>405</v>
      </c>
      <c r="K80" s="642" t="s">
        <v>2963</v>
      </c>
      <c r="L80" s="78" t="s">
        <v>2964</v>
      </c>
      <c r="M80" s="700"/>
      <c r="N80" s="700"/>
      <c r="O80" s="700"/>
      <c r="P80" s="700">
        <v>0</v>
      </c>
      <c r="Q80" s="77" t="s">
        <v>43</v>
      </c>
      <c r="R80" s="377">
        <v>10</v>
      </c>
      <c r="S80" s="377">
        <v>12</v>
      </c>
      <c r="T80" s="377">
        <v>0</v>
      </c>
      <c r="U80" s="377">
        <v>0</v>
      </c>
      <c r="V80" s="377"/>
      <c r="W80" s="377">
        <v>1</v>
      </c>
      <c r="X80" s="377">
        <v>0</v>
      </c>
      <c r="Y80" s="377"/>
      <c r="Z80" s="377">
        <v>1</v>
      </c>
      <c r="AA80" s="377"/>
      <c r="AB80" s="377"/>
      <c r="AC80" s="377"/>
      <c r="AD80" s="377"/>
      <c r="AE80" s="377"/>
      <c r="AF80" s="377"/>
      <c r="AG80" s="377"/>
      <c r="AH80" s="377"/>
      <c r="AI80" s="377">
        <v>2</v>
      </c>
      <c r="AJ80" s="377">
        <v>2</v>
      </c>
      <c r="AK80" s="377">
        <v>8</v>
      </c>
      <c r="AL80" s="377">
        <v>0</v>
      </c>
      <c r="AM80" s="377"/>
      <c r="AN80" s="377"/>
      <c r="AO80" s="215"/>
      <c r="AP80" s="377">
        <v>18</v>
      </c>
      <c r="AQ80" s="377"/>
      <c r="AR80" s="77"/>
      <c r="AS80" s="377"/>
      <c r="AT80" s="377"/>
      <c r="AU80" s="377">
        <v>4</v>
      </c>
      <c r="AV80" s="377"/>
      <c r="AW80" s="377"/>
      <c r="AX80" s="245" t="s">
        <v>43</v>
      </c>
      <c r="AY80" s="245" t="s">
        <v>145</v>
      </c>
      <c r="AZ80" s="377">
        <v>0</v>
      </c>
      <c r="BA80" s="377">
        <v>0</v>
      </c>
      <c r="BB80" s="377"/>
      <c r="BC80" s="215"/>
      <c r="BD80" s="377">
        <v>5</v>
      </c>
      <c r="BE80" s="377">
        <v>0</v>
      </c>
      <c r="BF80" s="377"/>
      <c r="BG80" s="377">
        <v>3</v>
      </c>
      <c r="BH80" s="377"/>
      <c r="BI80" s="377">
        <v>0</v>
      </c>
      <c r="BJ80" s="377">
        <v>2</v>
      </c>
      <c r="BK80" s="377">
        <v>15</v>
      </c>
      <c r="BL80" s="377">
        <v>64</v>
      </c>
      <c r="BM80" s="215"/>
      <c r="BN80" s="80"/>
      <c r="BO80" s="82"/>
      <c r="BP80" s="215"/>
      <c r="BQ80" s="79">
        <f>IFERROR(WWWW[[#This Row],['#_Water sources treated]]/WWWW[[#This Row],['#_Water sources tested for contamination]],"no test")</f>
        <v>1</v>
      </c>
      <c r="BR80" s="82">
        <f>IFERROR(WWWW[[#This Row],['#_Household received remediation action due to contamination]]/WWWW[[#This Row],['#_Household water samples tested for contamination]],"no test")</f>
        <v>0</v>
      </c>
      <c r="BS80" s="81" t="str">
        <f>IF(AND(WWWW[[#This Row],[% of water sources treated]]="no test",WWWW[[#This Row],[% Household received corrective actions]]="no test"),"No Test","Tested")</f>
        <v>Tested</v>
      </c>
      <c r="BT80" s="81">
        <f>WWWW[[#This Row],['#_Constructed/existing protected hand dug well]]-WWWW[[#This Row],['#_Non-functional protected hand dug well]]</f>
        <v>0</v>
      </c>
      <c r="BU80" s="81">
        <f>(WWWW[[#This Row],['#_Constructed/Existing tube wells/boreholes/handpumps_WASH_agency]]+WWWW[[#This Row],['#_Non-Cluster partner water tube-wells/boreholes/handpumps]])-WWWW[[#This Row],['#_Non-functional tube wells/boreholes/handpumps]]</f>
        <v>1</v>
      </c>
      <c r="BV80" s="81">
        <f>WWWW[[#This Row],['#_Constructed/Existingwater storage tank with gravity fed reticulation system]]-WWWW[[#This Row],['#_Non-functional storage tank gravity fed reticulation system]]</f>
        <v>0</v>
      </c>
      <c r="BW80" s="81">
        <f>WWWW[[#This Row],['#_Water boating or water trucking]]</f>
        <v>0</v>
      </c>
      <c r="BX80" s="81">
        <f>WWWW[[#This Row],['#_Constructed/Existing water distribution system from river or natural spring]]</f>
        <v>0</v>
      </c>
      <c r="BY80"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80"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0.61728395061728392</v>
      </c>
      <c r="CA80" s="82">
        <f>IF(WWWW[[#This Row],[Location Type 1]]="Village",WWWW[[#This Row],[Access to safe drinking water for Village]],WWWW[[#This Row],[Access to safe drinking water for Camp]])</f>
        <v>1</v>
      </c>
      <c r="CB80" s="80">
        <f>WWWW[[#This Row],[%Equitable and continuous access to sufficient quantity of safe drinking water]]*WWWW[[#This Row],[Total PoP ]]</f>
        <v>405</v>
      </c>
      <c r="CC80" s="82">
        <f>IF((WWWW[[#This Row],['#_Constructed/Existing protected/fenced ponds]]*250)/WWWW[[#This Row],[Total PoP ]]&gt;1,1,(WWWW[[#This Row],['#_Constructed/Existing protected/fenced ponds]]*250)/WWWW[[#This Row],[Total PoP ]])</f>
        <v>0</v>
      </c>
      <c r="CD80" s="80">
        <f>WWWW[[#This Row],[% Access to unimproved water points]]*WWWW[[#This Row],[Total PoP ]]</f>
        <v>0</v>
      </c>
      <c r="CE80"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80"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405</v>
      </c>
      <c r="CG80" s="80">
        <f>WWWW[[#This Row],[HRP1]]/500</f>
        <v>0.81</v>
      </c>
      <c r="CH80" s="79">
        <f>1-WWWW[[#This Row],[% Equitable and continuous access to sufficient quantity of domestic water]]</f>
        <v>0</v>
      </c>
      <c r="CI80" s="80">
        <f>WWWW[[#This Row],[%equitable and continuous access to sufficient quantity of safe drinking and domestic water''s GAP]]*WWWW[[#This Row],[Total PoP ]]</f>
        <v>0</v>
      </c>
      <c r="CJ80" s="81">
        <f>IF(WWWW[[#This Row],[Total required water points]]-WWWW[[#This Row],['#Water points coverage]]&lt;0,0,WWWW[[#This Row],[Total required water points]]-WWWW[[#This Row],['#Water points coverage]])</f>
        <v>0.18999999999999995</v>
      </c>
      <c r="CK80" s="81">
        <f>ROUND(IF(WWWW[[#This Row],[Total PoP ]]&lt;500,1,WWWW[[#This Row],[Total PoP ]]/500),0)</f>
        <v>1</v>
      </c>
      <c r="CL80" s="81">
        <f>(WWWW[[#This Row],['#_Constructed latrines_by_WASHAgencies]]+WWWW[[#This Row],['#_Non Cluster partner latrines]])-WWWW[[#This Row],['#_Non-functional latrines]]</f>
        <v>18</v>
      </c>
      <c r="CM80"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0.88888888888888884</v>
      </c>
      <c r="CN80"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360</v>
      </c>
      <c r="CO80"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80</v>
      </c>
      <c r="CP80" s="81">
        <f>IF(WWWW[[#This Row],[Location Type 1]]="Village","NA",IF(WWWW[[#This Row],['#_Constructed/Existing latrines in TLS]]*50&gt;WWWW[[#This Row],['#_students at TLS_CFS]],WWWW[[#This Row],['#_students at TLS_CFS]],(WWWW[[#This Row],['#_Constructed/Existing latrines in TLS]]*50)))</f>
        <v>0</v>
      </c>
      <c r="CQ80" s="81">
        <f>ROUND(IF(WWWW[[#This Row],[Location Type 1]]="camp",WWWW[[#This Row],[Total PoP ]]/20,IF(WWWW[[#This Row],[Location Type 1]]="Temporary Location",WWWW[[#This Row],[Total PoP ]]/50,(WWWW[[#This Row],[Total PoP ]]/6))),0)</f>
        <v>20</v>
      </c>
      <c r="CR80" s="80">
        <f>IF(WWWW[[#This Row],[Total required Latrines]]-(WWWW[[#This Row],['#_Constructed latrines_by_WASHAgencies]]+WWWW[[#This Row],['#_Non Cluster partner latrines]])&lt;0,0,WWWW[[#This Row],[Total required Latrines]]-(WWWW[[#This Row],['#_Constructed latrines_by_WASHAgencies]]+WWWW[[#This Row],['#_Non Cluster partner latrines]]))</f>
        <v>2</v>
      </c>
      <c r="CS80" s="79">
        <f>1-WWWW[[#This Row],[% people access to functioning Latrine]]</f>
        <v>0.11111111111111116</v>
      </c>
      <c r="CT80" s="83">
        <f>IF(OR(WWWW[[#This Row],['#_Non-functional latrines]]="",WWWW[[#This Row],['#_Non-functional latrines]]=0),0,WWWW[[#This Row],['#_Non-functional latrines]]/(WWWW[[#This Row],['#_Constructed latrines_by_WASHAgencies]]+WWWW[[#This Row],['#_Non Cluster partner latrines]]))</f>
        <v>0</v>
      </c>
      <c r="CU80" s="80">
        <f>IF(500*(WWWW[[#This Row],['#_male hygiene promoters]]+WWWW[[#This Row],['#_female hygiene promoters]])&gt;WWWW[[#This Row],[Total PoP ]],WWWW[[#This Row],[Total PoP ]],500*(WWWW[[#This Row],['#_male hygiene promoters]]+WWWW[[#This Row],['#_female hygiene promoters]]))</f>
        <v>405</v>
      </c>
      <c r="CV80"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75</v>
      </c>
      <c r="CW80"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320</v>
      </c>
      <c r="CX80" s="81">
        <f>IF(WWWW[[#This Row],['# People with access to soap]]&gt;WWWW[[#This Row],['# People with access to Sanity Pads]],WWWW[[#This Row],['# People with access to soap]],WWWW[[#This Row],['# People with access to Sanity Pads]])</f>
        <v>320</v>
      </c>
      <c r="CY80" s="81">
        <f>IF(WWWW[[#This Row],['# people reached by regular dedicated hygiene promotion_5]]&gt;WWWW[[#This Row],['# People received regular supply of hygiene items_6]],WWWW[[#This Row],['# people reached by regular dedicated hygiene promotion_5]],WWWW[[#This Row],['# People received regular supply of hygiene items_6]])</f>
        <v>405</v>
      </c>
      <c r="CZ80" s="79">
        <f>IF(WWWW[[#This Row],[HRP3]]/WWWW[[#This Row],[Total PoP ]]&gt;100%,100%,WWWW[[#This Row],[HRP3]]/WWWW[[#This Row],[Total PoP ]])</f>
        <v>1</v>
      </c>
      <c r="DA80" s="83">
        <f>1-WWWW[[#This Row],[Hygiene Coverage%]]</f>
        <v>0</v>
      </c>
      <c r="DB80" s="82">
        <f>WWWW[[#This Row],['# people reached by regular dedicated hygiene promotion_5]]/WWWW[[#This Row],[Total PoP ]]</f>
        <v>1</v>
      </c>
      <c r="DC80" s="82">
        <f>IF(WWWW[[#This Row],['#_households that received standard amount of soap for this quarter]]/WWWW[[#This Row],[Total HH]]&gt;1,1,WWWW[[#This Row],['#_households that received standard amount of soap for this quarter]]/WWWW[[#This Row],[Total HH]])</f>
        <v>0.21428571428571427</v>
      </c>
      <c r="DD80" s="82">
        <f>IF(WWWW[[#This Row],['#_households that received standard amount of sanitary pads for this quarter]]/WWWW[[#This Row],[Total HH]]&gt;1,1,WWWW[[#This Row],['#_households that received standard amount of sanitary pads for this quarter]]/WWWW[[#This Row],[Total HH]])</f>
        <v>0.91428571428571426</v>
      </c>
      <c r="DE80" s="81">
        <f>WWWW[[#This Row],['#_Constructed/Existing hand washing stations]]-WWWW[[#This Row],['#_Non-Functional_hand_washing_stations]]</f>
        <v>5</v>
      </c>
      <c r="DF80" s="667">
        <f>IF(WWWW[[#This Row],['# Functional hand washing stations during reporting period]]*20&gt;WWWW[[#This Row],[Total HH]],WWWW[[#This Row],[Total HH]],WWWW[[#This Row],['# Functional hand washing stations during reporting period]]*20)</f>
        <v>70</v>
      </c>
      <c r="DG80" s="80">
        <f>IF(WWWW[[#This Row],[Is sufficient soap available for TLS? (Yes/No)]]="yes",WWWW[[#This Row],['#_Constructed/Existing hand washing stations at TLS]],0)</f>
        <v>0</v>
      </c>
      <c r="DH80" s="667">
        <f>IF(WWWW[[#This Row],['# Functional hand washing stations during reporting period]]*100&gt;WWWW[[#This Row],[Total PoP ]],WWWW[[#This Row],[Total PoP ]],WWWW[[#This Row],['# Functional hand washing stations during reporting period]]*100)</f>
        <v>405</v>
      </c>
      <c r="DI80" s="667" t="str">
        <f>IF(WWWW[[#This Row],['#_students at TLS_CFS]]="","No","Yes")</f>
        <v>No</v>
      </c>
      <c r="DJ80" s="245" t="str">
        <f>VLOOKUP(WWWW[[#This Row],[Site Name]],SiteDB6[[Site Name]:[CCCM Management]],6,FALSE)</f>
        <v>Yes</v>
      </c>
      <c r="DK80" s="245" t="str">
        <f>VLOOKUP(WWWW[[#This Row],[Site Name]],SiteDB6[[Site Name]:[CCCM Focal Agency]],7,FALSE)</f>
        <v>KMSS-BMO</v>
      </c>
      <c r="DL80" s="245" t="str">
        <f>VLOOKUP(WWWW[[#This Row],[Site Name]],SiteDB6[[Site Name]:[Location Type 1]],9,FALSE)</f>
        <v>Camp</v>
      </c>
      <c r="DM80" s="245" t="str">
        <f>VLOOKUP(WWWW[[#This Row],[Site Name]],SiteDB6[[Site Name]:[Type of Accommodation]],10,FALSE)</f>
        <v>Camp</v>
      </c>
      <c r="DN80" s="245" t="str">
        <f>VLOOKUP(WWWW[[#This Row],[Site Name]],SiteDB6[[Site Name]:[Ethnic or GCA/NGCA]],11,FALSE)</f>
        <v>GCA</v>
      </c>
      <c r="DO80" s="245">
        <f>VLOOKUP(WWWW[[#This Row],[Site Name]],SiteDB6[[Site Name]:[Lat]],12,FALSE)</f>
        <v>24.205417000000001</v>
      </c>
      <c r="DP80" s="245">
        <f>VLOOKUP(WWWW[[#This Row],[Site Name]],SiteDB6[[Site Name]:[Long]],13,FALSE)</f>
        <v>97.724566999999993</v>
      </c>
      <c r="DQ80" s="245" t="str">
        <f>VLOOKUP(WWWW[[#This Row],[Site Name]],SiteDB6[[Site Name]:[Pcode]],3,FALSE)</f>
        <v>MMR001CMP069</v>
      </c>
      <c r="DR80" s="215" t="str">
        <f t="shared" si="3"/>
        <v>Covered</v>
      </c>
      <c r="DS80" s="215"/>
      <c r="DT80" s="20"/>
      <c r="DU80" s="20"/>
      <c r="DV80" s="20"/>
      <c r="DW80" s="20"/>
      <c r="DX80" s="20"/>
      <c r="DY80" s="20"/>
      <c r="DZ80" s="20"/>
      <c r="EA80" s="20"/>
      <c r="EB80" s="20"/>
      <c r="EC80" s="20"/>
      <c r="ED80" s="20"/>
      <c r="EE80" s="20"/>
      <c r="EF80" s="20"/>
      <c r="EG80" s="20"/>
      <c r="EH80" s="20"/>
    </row>
    <row r="81" spans="1:138" ht="15.75" customHeight="1">
      <c r="A81" s="259" t="s">
        <v>2525</v>
      </c>
      <c r="B81" s="663" t="s">
        <v>200</v>
      </c>
      <c r="C81" s="663" t="s">
        <v>200</v>
      </c>
      <c r="D81" s="663" t="s">
        <v>2967</v>
      </c>
      <c r="E81" s="663" t="s">
        <v>39</v>
      </c>
      <c r="F81" s="663" t="s">
        <v>213</v>
      </c>
      <c r="G81" s="663" t="str">
        <f>VLOOKUP(WWWW[[#This Row],[Site Name]],SiteDB6[[Site Name]:[Location Type]],8,FALSE)</f>
        <v>Camp</v>
      </c>
      <c r="H81" s="663" t="s">
        <v>219</v>
      </c>
      <c r="I81" s="379">
        <v>3</v>
      </c>
      <c r="J81" s="379">
        <v>13</v>
      </c>
      <c r="K81" s="642">
        <v>43466</v>
      </c>
      <c r="L81" s="78">
        <v>43830</v>
      </c>
      <c r="M81" s="700"/>
      <c r="N81" s="700"/>
      <c r="O81" s="700"/>
      <c r="P81" s="700"/>
      <c r="Q81" s="77" t="s">
        <v>144</v>
      </c>
      <c r="R81" s="377"/>
      <c r="S81" s="377"/>
      <c r="T81" s="377"/>
      <c r="U81" s="377"/>
      <c r="V81" s="377"/>
      <c r="W81" s="377"/>
      <c r="X81" s="377">
        <v>1</v>
      </c>
      <c r="Y81" s="377"/>
      <c r="Z81" s="377"/>
      <c r="AA81" s="377"/>
      <c r="AB81" s="377"/>
      <c r="AC81" s="377"/>
      <c r="AD81" s="377"/>
      <c r="AE81" s="377"/>
      <c r="AF81" s="377"/>
      <c r="AG81" s="377"/>
      <c r="AH81" s="377"/>
      <c r="AI81" s="377"/>
      <c r="AJ81" s="377"/>
      <c r="AK81" s="377"/>
      <c r="AL81" s="377"/>
      <c r="AM81" s="377"/>
      <c r="AN81" s="377"/>
      <c r="AO81" s="215"/>
      <c r="AP81" s="377">
        <v>1</v>
      </c>
      <c r="AQ81" s="377"/>
      <c r="AR81" s="77"/>
      <c r="AS81" s="377"/>
      <c r="AT81" s="377"/>
      <c r="AU81" s="377"/>
      <c r="AV81" s="377"/>
      <c r="AW81" s="377"/>
      <c r="AX81" s="694" t="s">
        <v>43</v>
      </c>
      <c r="AY81" s="694" t="s">
        <v>145</v>
      </c>
      <c r="AZ81" s="377"/>
      <c r="BA81" s="377"/>
      <c r="BB81" s="377"/>
      <c r="BC81" s="215"/>
      <c r="BD81" s="377">
        <v>0</v>
      </c>
      <c r="BE81" s="377"/>
      <c r="BF81" s="377"/>
      <c r="BG81" s="377">
        <v>1</v>
      </c>
      <c r="BH81" s="377"/>
      <c r="BI81" s="377"/>
      <c r="BJ81" s="377"/>
      <c r="BK81" s="377"/>
      <c r="BL81" s="377"/>
      <c r="BM81" s="215"/>
      <c r="BN81" s="80"/>
      <c r="BO81" s="82"/>
      <c r="BP81" s="215"/>
      <c r="BQ81" s="79" t="str">
        <f>IFERROR(WWWW[[#This Row],['#_Water sources treated]]/WWWW[[#This Row],['#_Water sources tested for contamination]],"no test")</f>
        <v>no test</v>
      </c>
      <c r="BR81" s="82" t="str">
        <f>IFERROR(WWWW[[#This Row],['#_Household received remediation action due to contamination]]/WWWW[[#This Row],['#_Household water samples tested for contamination]],"no test")</f>
        <v>no test</v>
      </c>
      <c r="BS81" s="81" t="str">
        <f>IF(AND(WWWW[[#This Row],[% of water sources treated]]="no test",WWWW[[#This Row],[% Household received corrective actions]]="no test"),"No Test","Tested")</f>
        <v>No Test</v>
      </c>
      <c r="BT81" s="81">
        <f>WWWW[[#This Row],['#_Constructed/existing protected hand dug well]]-WWWW[[#This Row],['#_Non-functional protected hand dug well]]</f>
        <v>0</v>
      </c>
      <c r="BU81" s="81">
        <f>(WWWW[[#This Row],['#_Constructed/Existing tube wells/boreholes/handpumps_WASH_agency]]+WWWW[[#This Row],['#_Non-Cluster partner water tube-wells/boreholes/handpumps]])-WWWW[[#This Row],['#_Non-functional tube wells/boreholes/handpumps]]</f>
        <v>1</v>
      </c>
      <c r="BV81" s="81">
        <f>WWWW[[#This Row],['#_Constructed/Existingwater storage tank with gravity fed reticulation system]]-WWWW[[#This Row],['#_Non-functional storage tank gravity fed reticulation system]]</f>
        <v>0</v>
      </c>
      <c r="BW81" s="81">
        <f>WWWW[[#This Row],['#_Water boating or water trucking]]</f>
        <v>0</v>
      </c>
      <c r="BX81" s="81">
        <f>WWWW[[#This Row],['#_Constructed/Existing water distribution system from river or natural spring]]</f>
        <v>0</v>
      </c>
      <c r="BY81"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81"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81" s="82">
        <f>IF(WWWW[[#This Row],[Location Type 1]]="Village",WWWW[[#This Row],[Access to safe drinking water for Village]],WWWW[[#This Row],[Access to safe drinking water for Camp]])</f>
        <v>1</v>
      </c>
      <c r="CB81" s="80">
        <f>WWWW[[#This Row],[%Equitable and continuous access to sufficient quantity of safe drinking water]]*WWWW[[#This Row],[Total PoP ]]</f>
        <v>13</v>
      </c>
      <c r="CC81" s="82">
        <f>IF((WWWW[[#This Row],['#_Constructed/Existing protected/fenced ponds]]*250)/WWWW[[#This Row],[Total PoP ]]&gt;1,1,(WWWW[[#This Row],['#_Constructed/Existing protected/fenced ponds]]*250)/WWWW[[#This Row],[Total PoP ]])</f>
        <v>0</v>
      </c>
      <c r="CD81" s="80">
        <f>WWWW[[#This Row],[% Access to unimproved water points]]*WWWW[[#This Row],[Total PoP ]]</f>
        <v>0</v>
      </c>
      <c r="CE81"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81"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v>
      </c>
      <c r="CG81" s="80">
        <f>WWWW[[#This Row],[HRP1]]/500</f>
        <v>2.5999999999999999E-2</v>
      </c>
      <c r="CH81" s="79">
        <f>1-WWWW[[#This Row],[% Equitable and continuous access to sufficient quantity of domestic water]]</f>
        <v>0</v>
      </c>
      <c r="CI81" s="80">
        <f>WWWW[[#This Row],[%equitable and continuous access to sufficient quantity of safe drinking and domestic water''s GAP]]*WWWW[[#This Row],[Total PoP ]]</f>
        <v>0</v>
      </c>
      <c r="CJ81" s="81">
        <f>IF(WWWW[[#This Row],[Total required water points]]-WWWW[[#This Row],['#Water points coverage]]&lt;0,0,WWWW[[#This Row],[Total required water points]]-WWWW[[#This Row],['#Water points coverage]])</f>
        <v>0.97399999999999998</v>
      </c>
      <c r="CK81" s="81">
        <f>ROUND(IF(WWWW[[#This Row],[Total PoP ]]&lt;500,1,WWWW[[#This Row],[Total PoP ]]/500),0)</f>
        <v>1</v>
      </c>
      <c r="CL81" s="81">
        <f>(WWWW[[#This Row],['#_Constructed latrines_by_WASHAgencies]]+WWWW[[#This Row],['#_Non Cluster partner latrines]])-WWWW[[#This Row],['#_Non-functional latrines]]</f>
        <v>1</v>
      </c>
      <c r="CM81"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81"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13</v>
      </c>
      <c r="CO81"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81" s="81">
        <f>IF(WWWW[[#This Row],[Location Type 1]]="Village","NA",IF(WWWW[[#This Row],['#_Constructed/Existing latrines in TLS]]*50&gt;WWWW[[#This Row],['#_students at TLS_CFS]],WWWW[[#This Row],['#_students at TLS_CFS]],(WWWW[[#This Row],['#_Constructed/Existing latrines in TLS]]*50)))</f>
        <v>0</v>
      </c>
      <c r="CQ81" s="81">
        <f>ROUND(IF(WWWW[[#This Row],[Location Type 1]]="camp",WWWW[[#This Row],[Total PoP ]]/20,IF(WWWW[[#This Row],[Location Type 1]]="Temporary Location",WWWW[[#This Row],[Total PoP ]]/50,(WWWW[[#This Row],[Total PoP ]]/6))),0)</f>
        <v>1</v>
      </c>
      <c r="CR81" s="80">
        <f>IF(WWWW[[#This Row],[Total required Latrines]]-(WWWW[[#This Row],['#_Constructed latrines_by_WASHAgencies]]+WWWW[[#This Row],['#_Non Cluster partner latrines]])&lt;0,0,WWWW[[#This Row],[Total required Latrines]]-(WWWW[[#This Row],['#_Constructed latrines_by_WASHAgencies]]+WWWW[[#This Row],['#_Non Cluster partner latrines]]))</f>
        <v>0</v>
      </c>
      <c r="CS81" s="79">
        <f>1-WWWW[[#This Row],[% people access to functioning Latrine]]</f>
        <v>0</v>
      </c>
      <c r="CT81" s="83">
        <f>IF(OR(WWWW[[#This Row],['#_Non-functional latrines]]="",WWWW[[#This Row],['#_Non-functional latrines]]=0),0,WWWW[[#This Row],['#_Non-functional latrines]]/(WWWW[[#This Row],['#_Constructed latrines_by_WASHAgencies]]+WWWW[[#This Row],['#_Non Cluster partner latrines]]))</f>
        <v>0</v>
      </c>
      <c r="CU81" s="80">
        <f>IF(500*(WWWW[[#This Row],['#_male hygiene promoters]]+WWWW[[#This Row],['#_female hygiene promoters]])&gt;WWWW[[#This Row],[Total PoP ]],WWWW[[#This Row],[Total PoP ]],500*(WWWW[[#This Row],['#_male hygiene promoters]]+WWWW[[#This Row],['#_female hygiene promoters]]))</f>
        <v>0</v>
      </c>
      <c r="CV81"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81"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81" s="81">
        <f>IF(WWWW[[#This Row],['# People with access to soap]]&gt;WWWW[[#This Row],['# People with access to Sanity Pads]],WWWW[[#This Row],['# People with access to soap]],WWWW[[#This Row],['# People with access to Sanity Pads]])</f>
        <v>0</v>
      </c>
      <c r="CY81"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81" s="79">
        <f>IF(WWWW[[#This Row],[HRP3]]/WWWW[[#This Row],[Total PoP ]]&gt;100%,100%,WWWW[[#This Row],[HRP3]]/WWWW[[#This Row],[Total PoP ]])</f>
        <v>0</v>
      </c>
      <c r="DA81" s="83">
        <f>1-WWWW[[#This Row],[Hygiene Coverage%]]</f>
        <v>1</v>
      </c>
      <c r="DB81" s="82">
        <f>WWWW[[#This Row],['# people reached by regular dedicated hygiene promotion_5]]/WWWW[[#This Row],[Total PoP ]]</f>
        <v>0</v>
      </c>
      <c r="DC81" s="82">
        <f>IF(WWWW[[#This Row],['#_households that received standard amount of soap for this quarter]]/WWWW[[#This Row],[Total HH]]&gt;1,1,WWWW[[#This Row],['#_households that received standard amount of soap for this quarter]]/WWWW[[#This Row],[Total HH]])</f>
        <v>0</v>
      </c>
      <c r="DD81" s="82">
        <f>IF(WWWW[[#This Row],['#_households that received standard amount of sanitary pads for this quarter]]/WWWW[[#This Row],[Total HH]]&gt;1,1,WWWW[[#This Row],['#_households that received standard amount of sanitary pads for this quarter]]/WWWW[[#This Row],[Total HH]])</f>
        <v>0</v>
      </c>
      <c r="DE81" s="81">
        <f>WWWW[[#This Row],['#_Constructed/Existing hand washing stations]]-WWWW[[#This Row],['#_Non-Functional_hand_washing_stations]]</f>
        <v>0</v>
      </c>
      <c r="DF81" s="667">
        <f>IF(WWWW[[#This Row],['# Functional hand washing stations during reporting period]]*20&gt;WWWW[[#This Row],[Total HH]],WWWW[[#This Row],[Total HH]],WWWW[[#This Row],['# Functional hand washing stations during reporting period]]*20)</f>
        <v>0</v>
      </c>
      <c r="DG81" s="80">
        <f>IF(WWWW[[#This Row],[Is sufficient soap available for TLS? (Yes/No)]]="yes",WWWW[[#This Row],['#_Constructed/Existing hand washing stations at TLS]],0)</f>
        <v>0</v>
      </c>
      <c r="DH81" s="667">
        <f>IF(WWWW[[#This Row],['# Functional hand washing stations during reporting period]]*100&gt;WWWW[[#This Row],[Total PoP ]],WWWW[[#This Row],[Total PoP ]],WWWW[[#This Row],['# Functional hand washing stations during reporting period]]*100)</f>
        <v>0</v>
      </c>
      <c r="DI81" s="667" t="str">
        <f>IF(WWWW[[#This Row],['#_students at TLS_CFS]]="","No","Yes")</f>
        <v>No</v>
      </c>
      <c r="DJ81" s="245">
        <f>VLOOKUP(WWWW[[#This Row],[Site Name]],SiteDB6[[Site Name]:[CCCM Management]],6,FALSE)</f>
        <v>0</v>
      </c>
      <c r="DK81" s="245">
        <f>VLOOKUP(WWWW[[#This Row],[Site Name]],SiteDB6[[Site Name]:[CCCM Focal Agency]],7,FALSE)</f>
        <v>0</v>
      </c>
      <c r="DL81" s="245" t="str">
        <f>VLOOKUP(WWWW[[#This Row],[Site Name]],SiteDB6[[Site Name]:[Location Type 1]],9,FALSE)</f>
        <v>Camp</v>
      </c>
      <c r="DM81" s="245" t="str">
        <f>VLOOKUP(WWWW[[#This Row],[Site Name]],SiteDB6[[Site Name]:[Type of Accommodation]],10,FALSE)</f>
        <v>Closed Camp</v>
      </c>
      <c r="DN81" s="245" t="str">
        <f>VLOOKUP(WWWW[[#This Row],[Site Name]],SiteDB6[[Site Name]:[Ethnic or GCA/NGCA]],11,FALSE)</f>
        <v>GCA</v>
      </c>
      <c r="DO81" s="245">
        <f>VLOOKUP(WWWW[[#This Row],[Site Name]],SiteDB6[[Site Name]:[Lat]],12,FALSE)</f>
        <v>24.251860000000001</v>
      </c>
      <c r="DP81" s="245">
        <f>VLOOKUP(WWWW[[#This Row],[Site Name]],SiteDB6[[Site Name]:[Long]],13,FALSE)</f>
        <v>97.346940000000004</v>
      </c>
      <c r="DQ81" s="245" t="str">
        <f>VLOOKUP(WWWW[[#This Row],[Site Name]],SiteDB6[[Site Name]:[Pcode]],3,FALSE)</f>
        <v>MMR001CMP058</v>
      </c>
      <c r="DR81" s="215" t="str">
        <f t="shared" si="3"/>
        <v>Covered</v>
      </c>
      <c r="DS81" s="215"/>
      <c r="DT81" s="20"/>
      <c r="DU81" s="20"/>
      <c r="DV81" s="20"/>
      <c r="DW81" s="20"/>
      <c r="DX81" s="20"/>
      <c r="DY81" s="20"/>
      <c r="DZ81" s="20"/>
      <c r="EA81" s="20"/>
      <c r="EB81" s="20"/>
      <c r="EC81" s="20"/>
      <c r="ED81" s="20"/>
      <c r="EE81" s="20"/>
      <c r="EF81" s="20"/>
      <c r="EG81" s="20"/>
      <c r="EH81" s="20"/>
    </row>
    <row r="82" spans="1:138" ht="15.75" customHeight="1">
      <c r="A82" s="259" t="s">
        <v>2525</v>
      </c>
      <c r="B82" s="663" t="s">
        <v>200</v>
      </c>
      <c r="C82" s="663" t="s">
        <v>200</v>
      </c>
      <c r="D82" s="663" t="s">
        <v>2967</v>
      </c>
      <c r="E82" s="663" t="s">
        <v>39</v>
      </c>
      <c r="F82" s="663" t="s">
        <v>40</v>
      </c>
      <c r="G82" s="663" t="str">
        <f>VLOOKUP(WWWW[[#This Row],[Site Name]],SiteDB6[[Site Name]:[Location Type]],8,FALSE)</f>
        <v>Camp</v>
      </c>
      <c r="H82" s="663" t="s">
        <v>201</v>
      </c>
      <c r="I82" s="700">
        <v>175</v>
      </c>
      <c r="J82" s="700">
        <v>807</v>
      </c>
      <c r="K82" s="642">
        <v>43466</v>
      </c>
      <c r="L82" s="78">
        <v>43830</v>
      </c>
      <c r="M82" s="700"/>
      <c r="N82" s="700"/>
      <c r="O82" s="700"/>
      <c r="P82" s="700"/>
      <c r="Q82" s="77" t="s">
        <v>43</v>
      </c>
      <c r="R82" s="377">
        <v>2</v>
      </c>
      <c r="S82" s="377">
        <v>3</v>
      </c>
      <c r="T82" s="377">
        <v>2</v>
      </c>
      <c r="U82" s="377"/>
      <c r="V82" s="377"/>
      <c r="W82" s="377">
        <v>2</v>
      </c>
      <c r="X82" s="377">
        <v>3</v>
      </c>
      <c r="Y82" s="377"/>
      <c r="Z82" s="377"/>
      <c r="AA82" s="377"/>
      <c r="AB82" s="377"/>
      <c r="AC82" s="377"/>
      <c r="AD82" s="377"/>
      <c r="AE82" s="377"/>
      <c r="AF82" s="377"/>
      <c r="AG82" s="377"/>
      <c r="AH82" s="377"/>
      <c r="AI82" s="377"/>
      <c r="AJ82" s="377"/>
      <c r="AK82" s="377"/>
      <c r="AL82" s="377"/>
      <c r="AM82" s="377"/>
      <c r="AN82" s="377"/>
      <c r="AO82" s="215"/>
      <c r="AP82" s="377">
        <v>40</v>
      </c>
      <c r="AQ82" s="377"/>
      <c r="AR82" s="77"/>
      <c r="AS82" s="377"/>
      <c r="AT82" s="377"/>
      <c r="AU82" s="377"/>
      <c r="AV82" s="377"/>
      <c r="AW82" s="377"/>
      <c r="AX82" s="694" t="s">
        <v>43</v>
      </c>
      <c r="AY82" s="694" t="s">
        <v>145</v>
      </c>
      <c r="AZ82" s="377"/>
      <c r="BA82" s="377">
        <v>1</v>
      </c>
      <c r="BB82" s="377"/>
      <c r="BC82" s="215"/>
      <c r="BD82" s="377">
        <v>16</v>
      </c>
      <c r="BE82" s="377"/>
      <c r="BF82" s="377"/>
      <c r="BG82" s="377">
        <v>7</v>
      </c>
      <c r="BH82" s="377"/>
      <c r="BI82" s="377"/>
      <c r="BJ82" s="377"/>
      <c r="BK82" s="377">
        <v>175</v>
      </c>
      <c r="BL82" s="377">
        <v>50</v>
      </c>
      <c r="BM82" s="215"/>
      <c r="BN82" s="80"/>
      <c r="BO82" s="82"/>
      <c r="BP82" s="215"/>
      <c r="BQ82" s="79" t="str">
        <f>IFERROR(WWWW[[#This Row],['#_Water sources treated]]/WWWW[[#This Row],['#_Water sources tested for contamination]],"no test")</f>
        <v>no test</v>
      </c>
      <c r="BR82" s="82" t="str">
        <f>IFERROR(WWWW[[#This Row],['#_Household received remediation action due to contamination]]/WWWW[[#This Row],['#_Household water samples tested for contamination]],"no test")</f>
        <v>no test</v>
      </c>
      <c r="BS82" s="81" t="str">
        <f>IF(AND(WWWW[[#This Row],[% of water sources treated]]="no test",WWWW[[#This Row],[% Household received corrective actions]]="no test"),"No Test","Tested")</f>
        <v>No Test</v>
      </c>
      <c r="BT82" s="81">
        <f>WWWW[[#This Row],['#_Constructed/existing protected hand dug well]]-WWWW[[#This Row],['#_Non-functional protected hand dug well]]</f>
        <v>2</v>
      </c>
      <c r="BU82" s="81">
        <f>(WWWW[[#This Row],['#_Constructed/Existing tube wells/boreholes/handpumps_WASH_agency]]+WWWW[[#This Row],['#_Non-Cluster partner water tube-wells/boreholes/handpumps]])-WWWW[[#This Row],['#_Non-functional tube wells/boreholes/handpumps]]</f>
        <v>5</v>
      </c>
      <c r="BV82" s="81">
        <f>WWWW[[#This Row],['#_Constructed/Existingwater storage tank with gravity fed reticulation system]]-WWWW[[#This Row],['#_Non-functional storage tank gravity fed reticulation system]]</f>
        <v>0</v>
      </c>
      <c r="BW82" s="81">
        <f>WWWW[[#This Row],['#_Water boating or water trucking]]</f>
        <v>0</v>
      </c>
      <c r="BX82" s="81">
        <f>WWWW[[#This Row],['#_Constructed/Existing water distribution system from river or natural spring]]</f>
        <v>0</v>
      </c>
      <c r="BY82"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82"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82" s="82">
        <f>IF(WWWW[[#This Row],[Location Type 1]]="Village",WWWW[[#This Row],[Access to safe drinking water for Village]],WWWW[[#This Row],[Access to safe drinking water for Camp]])</f>
        <v>1</v>
      </c>
      <c r="CB82" s="80">
        <f>WWWW[[#This Row],[%Equitable and continuous access to sufficient quantity of safe drinking water]]*WWWW[[#This Row],[Total PoP ]]</f>
        <v>807</v>
      </c>
      <c r="CC82" s="82">
        <f>IF((WWWW[[#This Row],['#_Constructed/Existing protected/fenced ponds]]*250)/WWWW[[#This Row],[Total PoP ]]&gt;1,1,(WWWW[[#This Row],['#_Constructed/Existing protected/fenced ponds]]*250)/WWWW[[#This Row],[Total PoP ]])</f>
        <v>0</v>
      </c>
      <c r="CD82" s="80">
        <f>WWWW[[#This Row],[% Access to unimproved water points]]*WWWW[[#This Row],[Total PoP ]]</f>
        <v>0</v>
      </c>
      <c r="CE82"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82"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807</v>
      </c>
      <c r="CG82" s="80">
        <f>WWWW[[#This Row],[HRP1]]/500</f>
        <v>1.6140000000000001</v>
      </c>
      <c r="CH82" s="79">
        <f>1-WWWW[[#This Row],[% Equitable and continuous access to sufficient quantity of domestic water]]</f>
        <v>0</v>
      </c>
      <c r="CI82" s="80">
        <f>WWWW[[#This Row],[%equitable and continuous access to sufficient quantity of safe drinking and domestic water''s GAP]]*WWWW[[#This Row],[Total PoP ]]</f>
        <v>0</v>
      </c>
      <c r="CJ82" s="81">
        <f>IF(WWWW[[#This Row],[Total required water points]]-WWWW[[#This Row],['#Water points coverage]]&lt;0,0,WWWW[[#This Row],[Total required water points]]-WWWW[[#This Row],['#Water points coverage]])</f>
        <v>0.3859999999999999</v>
      </c>
      <c r="CK82" s="81">
        <f>ROUND(IF(WWWW[[#This Row],[Total PoP ]]&lt;500,1,WWWW[[#This Row],[Total PoP ]]/500),0)</f>
        <v>2</v>
      </c>
      <c r="CL82" s="81">
        <f>(WWWW[[#This Row],['#_Constructed latrines_by_WASHAgencies]]+WWWW[[#This Row],['#_Non Cluster partner latrines]])-WWWW[[#This Row],['#_Non-functional latrines]]</f>
        <v>40</v>
      </c>
      <c r="CM82"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0.99132589838909546</v>
      </c>
      <c r="CN82"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800</v>
      </c>
      <c r="CO82"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82" s="81">
        <f>IF(WWWW[[#This Row],[Location Type 1]]="Village","NA",IF(WWWW[[#This Row],['#_Constructed/Existing latrines in TLS]]*50&gt;WWWW[[#This Row],['#_students at TLS_CFS]],WWWW[[#This Row],['#_students at TLS_CFS]],(WWWW[[#This Row],['#_Constructed/Existing latrines in TLS]]*50)))</f>
        <v>0</v>
      </c>
      <c r="CQ82" s="81">
        <f>ROUND(IF(WWWW[[#This Row],[Location Type 1]]="camp",WWWW[[#This Row],[Total PoP ]]/20,IF(WWWW[[#This Row],[Location Type 1]]="Temporary Location",WWWW[[#This Row],[Total PoP ]]/50,(WWWW[[#This Row],[Total PoP ]]/6))),0)</f>
        <v>40</v>
      </c>
      <c r="CR82" s="80">
        <f>IF(WWWW[[#This Row],[Total required Latrines]]-(WWWW[[#This Row],['#_Constructed latrines_by_WASHAgencies]]+WWWW[[#This Row],['#_Non Cluster partner latrines]])&lt;0,0,WWWW[[#This Row],[Total required Latrines]]-(WWWW[[#This Row],['#_Constructed latrines_by_WASHAgencies]]+WWWW[[#This Row],['#_Non Cluster partner latrines]]))</f>
        <v>0</v>
      </c>
      <c r="CS82" s="79">
        <f>1-WWWW[[#This Row],[% people access to functioning Latrine]]</f>
        <v>8.6741016109045388E-3</v>
      </c>
      <c r="CT82" s="83">
        <f>IF(OR(WWWW[[#This Row],['#_Non-functional latrines]]="",WWWW[[#This Row],['#_Non-functional latrines]]=0),0,WWWW[[#This Row],['#_Non-functional latrines]]/(WWWW[[#This Row],['#_Constructed latrines_by_WASHAgencies]]+WWWW[[#This Row],['#_Non Cluster partner latrines]]))</f>
        <v>0</v>
      </c>
      <c r="CU82" s="80">
        <f>IF(500*(WWWW[[#This Row],['#_male hygiene promoters]]+WWWW[[#This Row],['#_female hygiene promoters]])&gt;WWWW[[#This Row],[Total PoP ]],WWWW[[#This Row],[Total PoP ]],500*(WWWW[[#This Row],['#_male hygiene promoters]]+WWWW[[#This Row],['#_female hygiene promoters]]))</f>
        <v>0</v>
      </c>
      <c r="CV82"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807</v>
      </c>
      <c r="CW82"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250</v>
      </c>
      <c r="CX82" s="81">
        <f>IF(WWWW[[#This Row],['# People with access to soap]]&gt;WWWW[[#This Row],['# People with access to Sanity Pads]],WWWW[[#This Row],['# People with access to soap]],WWWW[[#This Row],['# People with access to Sanity Pads]])</f>
        <v>807</v>
      </c>
      <c r="CY82" s="81">
        <f>IF(WWWW[[#This Row],['# people reached by regular dedicated hygiene promotion_5]]&gt;WWWW[[#This Row],['# People received regular supply of hygiene items_6]],WWWW[[#This Row],['# people reached by regular dedicated hygiene promotion_5]],WWWW[[#This Row],['# People received regular supply of hygiene items_6]])</f>
        <v>807</v>
      </c>
      <c r="CZ82" s="79">
        <f>IF(WWWW[[#This Row],[HRP3]]/WWWW[[#This Row],[Total PoP ]]&gt;100%,100%,WWWW[[#This Row],[HRP3]]/WWWW[[#This Row],[Total PoP ]])</f>
        <v>1</v>
      </c>
      <c r="DA82" s="83">
        <f>1-WWWW[[#This Row],[Hygiene Coverage%]]</f>
        <v>0</v>
      </c>
      <c r="DB82" s="82">
        <f>WWWW[[#This Row],['# people reached by regular dedicated hygiene promotion_5]]/WWWW[[#This Row],[Total PoP ]]</f>
        <v>0</v>
      </c>
      <c r="DC82" s="82">
        <f>IF(WWWW[[#This Row],['#_households that received standard amount of soap for this quarter]]/WWWW[[#This Row],[Total HH]]&gt;1,1,WWWW[[#This Row],['#_households that received standard amount of soap for this quarter]]/WWWW[[#This Row],[Total HH]])</f>
        <v>1</v>
      </c>
      <c r="DD82" s="82">
        <f>IF(WWWW[[#This Row],['#_households that received standard amount of sanitary pads for this quarter]]/WWWW[[#This Row],[Total HH]]&gt;1,1,WWWW[[#This Row],['#_households that received standard amount of sanitary pads for this quarter]]/WWWW[[#This Row],[Total HH]])</f>
        <v>0.2857142857142857</v>
      </c>
      <c r="DE82" s="81">
        <f>WWWW[[#This Row],['#_Constructed/Existing hand washing stations]]-WWWW[[#This Row],['#_Non-Functional_hand_washing_stations]]</f>
        <v>16</v>
      </c>
      <c r="DF82" s="667">
        <f>IF(WWWW[[#This Row],['# Functional hand washing stations during reporting period]]*20&gt;WWWW[[#This Row],[Total HH]],WWWW[[#This Row],[Total HH]],WWWW[[#This Row],['# Functional hand washing stations during reporting period]]*20)</f>
        <v>175</v>
      </c>
      <c r="DG82" s="80">
        <f>IF(WWWW[[#This Row],[Is sufficient soap available for TLS? (Yes/No)]]="yes",WWWW[[#This Row],['#_Constructed/Existing hand washing stations at TLS]],0)</f>
        <v>0</v>
      </c>
      <c r="DH82" s="667">
        <f>IF(WWWW[[#This Row],['# Functional hand washing stations during reporting period]]*100&gt;WWWW[[#This Row],[Total PoP ]],WWWW[[#This Row],[Total PoP ]],WWWW[[#This Row],['# Functional hand washing stations during reporting period]]*100)</f>
        <v>807</v>
      </c>
      <c r="DI82" s="667" t="str">
        <f>IF(WWWW[[#This Row],['#_students at TLS_CFS]]="","No","Yes")</f>
        <v>No</v>
      </c>
      <c r="DJ82" s="245" t="str">
        <f>VLOOKUP(WWWW[[#This Row],[Site Name]],SiteDB6[[Site Name]:[CCCM Management]],6,FALSE)</f>
        <v>Yes</v>
      </c>
      <c r="DK82" s="245" t="str">
        <f>VLOOKUP(WWWW[[#This Row],[Site Name]],SiteDB6[[Site Name]:[CCCM Focal Agency]],7,FALSE)</f>
        <v>KBC</v>
      </c>
      <c r="DL82" s="245" t="str">
        <f>VLOOKUP(WWWW[[#This Row],[Site Name]],SiteDB6[[Site Name]:[Location Type 1]],9,FALSE)</f>
        <v>Camp</v>
      </c>
      <c r="DM82" s="245" t="str">
        <f>VLOOKUP(WWWW[[#This Row],[Site Name]],SiteDB6[[Site Name]:[Type of Accommodation]],10,FALSE)</f>
        <v>Camp</v>
      </c>
      <c r="DN82" s="245" t="str">
        <f>VLOOKUP(WWWW[[#This Row],[Site Name]],SiteDB6[[Site Name]:[Ethnic or GCA/NGCA]],11,FALSE)</f>
        <v>GCA</v>
      </c>
      <c r="DO82" s="245">
        <f>VLOOKUP(WWWW[[#This Row],[Site Name]],SiteDB6[[Site Name]:[Lat]],12,FALSE)</f>
        <v>24.129059999999999</v>
      </c>
      <c r="DP82" s="245">
        <f>VLOOKUP(WWWW[[#This Row],[Site Name]],SiteDB6[[Site Name]:[Long]],13,FALSE)</f>
        <v>97.291820000000001</v>
      </c>
      <c r="DQ82" s="245" t="str">
        <f>VLOOKUP(WWWW[[#This Row],[Site Name]],SiteDB6[[Site Name]:[Pcode]],3,FALSE)</f>
        <v>MMR001CMP066</v>
      </c>
      <c r="DR82" s="215" t="str">
        <f t="shared" si="3"/>
        <v>Covered</v>
      </c>
      <c r="DS82" s="215"/>
      <c r="DT82" s="20"/>
      <c r="DU82" s="20"/>
      <c r="DV82" s="20"/>
      <c r="DW82" s="20"/>
      <c r="DX82" s="20"/>
      <c r="DY82" s="20"/>
      <c r="DZ82" s="20"/>
      <c r="EA82" s="20"/>
      <c r="EB82" s="20"/>
      <c r="EC82" s="20"/>
      <c r="ED82" s="20"/>
      <c r="EE82" s="20"/>
      <c r="EF82" s="20"/>
      <c r="EG82" s="20"/>
      <c r="EH82" s="20"/>
    </row>
    <row r="83" spans="1:138" ht="15.75" customHeight="1">
      <c r="A83" s="259" t="s">
        <v>2525</v>
      </c>
      <c r="B83" s="663" t="s">
        <v>317</v>
      </c>
      <c r="C83" s="663" t="s">
        <v>317</v>
      </c>
      <c r="D83" s="663"/>
      <c r="E83" s="663" t="s">
        <v>39</v>
      </c>
      <c r="F83" s="663" t="s">
        <v>213</v>
      </c>
      <c r="G83" s="663" t="str">
        <f>VLOOKUP(WWWW[[#This Row],[Site Name]],SiteDB6[[Site Name]:[Location Type]],8,FALSE)</f>
        <v>Camp</v>
      </c>
      <c r="H83" s="77" t="s">
        <v>1026</v>
      </c>
      <c r="I83" s="700">
        <v>3</v>
      </c>
      <c r="J83" s="700">
        <v>18</v>
      </c>
      <c r="K83" s="642"/>
      <c r="L83" s="78"/>
      <c r="M83" s="700"/>
      <c r="N83" s="700"/>
      <c r="O83" s="700"/>
      <c r="P83" s="700"/>
      <c r="Q83" s="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215"/>
      <c r="AP83" s="377"/>
      <c r="AQ83" s="377"/>
      <c r="AR83" s="77"/>
      <c r="AS83" s="377"/>
      <c r="AT83" s="377"/>
      <c r="AU83" s="377"/>
      <c r="AV83" s="377"/>
      <c r="AW83" s="377"/>
      <c r="AX83" s="245"/>
      <c r="AY83" s="245"/>
      <c r="AZ83" s="377"/>
      <c r="BA83" s="377"/>
      <c r="BB83" s="377"/>
      <c r="BC83" s="215"/>
      <c r="BD83" s="377"/>
      <c r="BE83" s="377"/>
      <c r="BF83" s="377"/>
      <c r="BG83" s="377"/>
      <c r="BH83" s="377"/>
      <c r="BI83" s="377"/>
      <c r="BJ83" s="377"/>
      <c r="BK83" s="377"/>
      <c r="BL83" s="377"/>
      <c r="BM83" s="215"/>
      <c r="BN83" s="80"/>
      <c r="BO83" s="82"/>
      <c r="BP83" s="215"/>
      <c r="BQ83" s="79" t="str">
        <f>IFERROR(WWWW[[#This Row],['#_Water sources treated]]/WWWW[[#This Row],['#_Water sources tested for contamination]],"no test")</f>
        <v>no test</v>
      </c>
      <c r="BR83" s="82" t="str">
        <f>IFERROR(WWWW[[#This Row],['#_Household received remediation action due to contamination]]/WWWW[[#This Row],['#_Household water samples tested for contamination]],"no test")</f>
        <v>no test</v>
      </c>
      <c r="BS83" s="81" t="str">
        <f>IF(AND(WWWW[[#This Row],[% of water sources treated]]="no test",WWWW[[#This Row],[% Household received corrective actions]]="no test"),"No Test","Tested")</f>
        <v>No Test</v>
      </c>
      <c r="BT83" s="81">
        <f>WWWW[[#This Row],['#_Constructed/existing protected hand dug well]]-WWWW[[#This Row],['#_Non-functional protected hand dug well]]</f>
        <v>0</v>
      </c>
      <c r="BU83" s="81">
        <f>(WWWW[[#This Row],['#_Constructed/Existing tube wells/boreholes/handpumps_WASH_agency]]+WWWW[[#This Row],['#_Non-Cluster partner water tube-wells/boreholes/handpumps]])-WWWW[[#This Row],['#_Non-functional tube wells/boreholes/handpumps]]</f>
        <v>0</v>
      </c>
      <c r="BV83" s="81">
        <f>WWWW[[#This Row],['#_Constructed/Existingwater storage tank with gravity fed reticulation system]]-WWWW[[#This Row],['#_Non-functional storage tank gravity fed reticulation system]]</f>
        <v>0</v>
      </c>
      <c r="BW83" s="81">
        <f>WWWW[[#This Row],['#_Water boating or water trucking]]</f>
        <v>0</v>
      </c>
      <c r="BX83" s="81">
        <f>WWWW[[#This Row],['#_Constructed/Existing water distribution system from river or natural spring]]</f>
        <v>0</v>
      </c>
      <c r="BY83"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83"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83" s="82">
        <f>IF(WWWW[[#This Row],[Location Type 1]]="Village",WWWW[[#This Row],[Access to safe drinking water for Village]],WWWW[[#This Row],[Access to safe drinking water for Camp]])</f>
        <v>0</v>
      </c>
      <c r="CB83" s="80">
        <f>WWWW[[#This Row],[%Equitable and continuous access to sufficient quantity of safe drinking water]]*WWWW[[#This Row],[Total PoP ]]</f>
        <v>0</v>
      </c>
      <c r="CC83" s="82">
        <f>IF((WWWW[[#This Row],['#_Constructed/Existing protected/fenced ponds]]*250)/WWWW[[#This Row],[Total PoP ]]&gt;1,1,(WWWW[[#This Row],['#_Constructed/Existing protected/fenced ponds]]*250)/WWWW[[#This Row],[Total PoP ]])</f>
        <v>0</v>
      </c>
      <c r="CD83" s="80">
        <f>WWWW[[#This Row],[% Access to unimproved water points]]*WWWW[[#This Row],[Total PoP ]]</f>
        <v>0</v>
      </c>
      <c r="CE83"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83"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83" s="80">
        <f>WWWW[[#This Row],[HRP1]]/500</f>
        <v>0</v>
      </c>
      <c r="CH83" s="79">
        <f>1-WWWW[[#This Row],[% Equitable and continuous access to sufficient quantity of domestic water]]</f>
        <v>1</v>
      </c>
      <c r="CI83" s="80">
        <f>WWWW[[#This Row],[%equitable and continuous access to sufficient quantity of safe drinking and domestic water''s GAP]]*WWWW[[#This Row],[Total PoP ]]</f>
        <v>18</v>
      </c>
      <c r="CJ83" s="81">
        <f>IF(WWWW[[#This Row],[Total required water points]]-WWWW[[#This Row],['#Water points coverage]]&lt;0,0,WWWW[[#This Row],[Total required water points]]-WWWW[[#This Row],['#Water points coverage]])</f>
        <v>1</v>
      </c>
      <c r="CK83" s="81">
        <f>ROUND(IF(WWWW[[#This Row],[Total PoP ]]&lt;500,1,WWWW[[#This Row],[Total PoP ]]/500),0)</f>
        <v>1</v>
      </c>
      <c r="CL83" s="81">
        <f>(WWWW[[#This Row],['#_Constructed latrines_by_WASHAgencies]]+WWWW[[#This Row],['#_Non Cluster partner latrines]])-WWWW[[#This Row],['#_Non-functional latrines]]</f>
        <v>0</v>
      </c>
      <c r="CM83"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83"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83"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83" s="81">
        <f>IF(WWWW[[#This Row],[Location Type 1]]="Village","NA",IF(WWWW[[#This Row],['#_Constructed/Existing latrines in TLS]]*50&gt;WWWW[[#This Row],['#_students at TLS_CFS]],WWWW[[#This Row],['#_students at TLS_CFS]],(WWWW[[#This Row],['#_Constructed/Existing latrines in TLS]]*50)))</f>
        <v>0</v>
      </c>
      <c r="CQ83" s="81">
        <f>ROUND(IF(WWWW[[#This Row],[Location Type 1]]="camp",WWWW[[#This Row],[Total PoP ]]/20,IF(WWWW[[#This Row],[Location Type 1]]="Temporary Location",WWWW[[#This Row],[Total PoP ]]/50,(WWWW[[#This Row],[Total PoP ]]/6))),0)</f>
        <v>1</v>
      </c>
      <c r="CR83" s="80">
        <f>IF(WWWW[[#This Row],[Total required Latrines]]-(WWWW[[#This Row],['#_Constructed latrines_by_WASHAgencies]]+WWWW[[#This Row],['#_Non Cluster partner latrines]])&lt;0,0,WWWW[[#This Row],[Total required Latrines]]-(WWWW[[#This Row],['#_Constructed latrines_by_WASHAgencies]]+WWWW[[#This Row],['#_Non Cluster partner latrines]]))</f>
        <v>1</v>
      </c>
      <c r="CS83" s="79">
        <f>1-WWWW[[#This Row],[% people access to functioning Latrine]]</f>
        <v>1</v>
      </c>
      <c r="CT83" s="83">
        <f>IF(OR(WWWW[[#This Row],['#_Non-functional latrines]]="",WWWW[[#This Row],['#_Non-functional latrines]]=0),0,WWWW[[#This Row],['#_Non-functional latrines]]/(WWWW[[#This Row],['#_Constructed latrines_by_WASHAgencies]]+WWWW[[#This Row],['#_Non Cluster partner latrines]]))</f>
        <v>0</v>
      </c>
      <c r="CU83" s="80">
        <f>IF(500*(WWWW[[#This Row],['#_male hygiene promoters]]+WWWW[[#This Row],['#_female hygiene promoters]])&gt;WWWW[[#This Row],[Total PoP ]],WWWW[[#This Row],[Total PoP ]],500*(WWWW[[#This Row],['#_male hygiene promoters]]+WWWW[[#This Row],['#_female hygiene promoters]]))</f>
        <v>0</v>
      </c>
      <c r="CV83"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83"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83" s="81">
        <f>IF(WWWW[[#This Row],['# People with access to soap]]&gt;WWWW[[#This Row],['# People with access to Sanity Pads]],WWWW[[#This Row],['# People with access to soap]],WWWW[[#This Row],['# People with access to Sanity Pads]])</f>
        <v>0</v>
      </c>
      <c r="CY83"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83" s="79">
        <f>IF(WWWW[[#This Row],[HRP3]]/WWWW[[#This Row],[Total PoP ]]&gt;100%,100%,WWWW[[#This Row],[HRP3]]/WWWW[[#This Row],[Total PoP ]])</f>
        <v>0</v>
      </c>
      <c r="DA83" s="83">
        <f>1-WWWW[[#This Row],[Hygiene Coverage%]]</f>
        <v>1</v>
      </c>
      <c r="DB83" s="82">
        <f>WWWW[[#This Row],['# people reached by regular dedicated hygiene promotion_5]]/WWWW[[#This Row],[Total PoP ]]</f>
        <v>0</v>
      </c>
      <c r="DC83" s="82">
        <f>IF(WWWW[[#This Row],['#_households that received standard amount of soap for this quarter]]/WWWW[[#This Row],[Total HH]]&gt;1,1,WWWW[[#This Row],['#_households that received standard amount of soap for this quarter]]/WWWW[[#This Row],[Total HH]])</f>
        <v>0</v>
      </c>
      <c r="DD83" s="82">
        <f>IF(WWWW[[#This Row],['#_households that received standard amount of sanitary pads for this quarter]]/WWWW[[#This Row],[Total HH]]&gt;1,1,WWWW[[#This Row],['#_households that received standard amount of sanitary pads for this quarter]]/WWWW[[#This Row],[Total HH]])</f>
        <v>0</v>
      </c>
      <c r="DE83" s="81">
        <f>WWWW[[#This Row],['#_Constructed/Existing hand washing stations]]-WWWW[[#This Row],['#_Non-Functional_hand_washing_stations]]</f>
        <v>0</v>
      </c>
      <c r="DF83" s="667">
        <f>IF(WWWW[[#This Row],['# Functional hand washing stations during reporting period]]*20&gt;WWWW[[#This Row],[Total HH]],WWWW[[#This Row],[Total HH]],WWWW[[#This Row],['# Functional hand washing stations during reporting period]]*20)</f>
        <v>0</v>
      </c>
      <c r="DG83" s="80">
        <f>IF(WWWW[[#This Row],[Is sufficient soap available for TLS? (Yes/No)]]="yes",WWWW[[#This Row],['#_Constructed/Existing hand washing stations at TLS]],0)</f>
        <v>0</v>
      </c>
      <c r="DH83" s="667">
        <f>IF(WWWW[[#This Row],['# Functional hand washing stations during reporting period]]*100&gt;WWWW[[#This Row],[Total PoP ]],WWWW[[#This Row],[Total PoP ]],WWWW[[#This Row],['# Functional hand washing stations during reporting period]]*100)</f>
        <v>0</v>
      </c>
      <c r="DI83" s="667" t="str">
        <f>IF(WWWW[[#This Row],['#_students at TLS_CFS]]="","No","Yes")</f>
        <v>No</v>
      </c>
      <c r="DJ83" s="245">
        <f>VLOOKUP(WWWW[[#This Row],[Site Name]],SiteDB6[[Site Name]:[CCCM Management]],6,FALSE)</f>
        <v>0</v>
      </c>
      <c r="DK83" s="245" t="str">
        <f>VLOOKUP(WWWW[[#This Row],[Site Name]],SiteDB6[[Site Name]:[CCCM Focal Agency]],7,FALSE)</f>
        <v>uncovered</v>
      </c>
      <c r="DL83" s="245" t="str">
        <f>VLOOKUP(WWWW[[#This Row],[Site Name]],SiteDB6[[Site Name]:[Location Type 1]],9,FALSE)</f>
        <v>Camp</v>
      </c>
      <c r="DM83" s="245" t="str">
        <f>VLOOKUP(WWWW[[#This Row],[Site Name]],SiteDB6[[Site Name]:[Type of Accommodation]],10,FALSE)</f>
        <v>Host Families</v>
      </c>
      <c r="DN83" s="245" t="str">
        <f>VLOOKUP(WWWW[[#This Row],[Site Name]],SiteDB6[[Site Name]:[Ethnic or GCA/NGCA]],11,FALSE)</f>
        <v>GCA</v>
      </c>
      <c r="DO83" s="245">
        <f>VLOOKUP(WWWW[[#This Row],[Site Name]],SiteDB6[[Site Name]:[Lat]],12,FALSE)</f>
        <v>24.377054000000001</v>
      </c>
      <c r="DP83" s="245">
        <f>VLOOKUP(WWWW[[#This Row],[Site Name]],SiteDB6[[Site Name]:[Long]],13,FALSE)</f>
        <v>97.343406999999999</v>
      </c>
      <c r="DQ83" s="245" t="str">
        <f>VLOOKUP(WWWW[[#This Row],[Site Name]],SiteDB6[[Site Name]:[Pcode]],3,FALSE)</f>
        <v>MMR001CMP200</v>
      </c>
      <c r="DR83" s="215" t="str">
        <f t="shared" si="3"/>
        <v>Notcovered</v>
      </c>
      <c r="DS83" s="215"/>
      <c r="DT83" s="20"/>
      <c r="DU83" s="20"/>
      <c r="DV83" s="20"/>
      <c r="DW83" s="20"/>
      <c r="DX83" s="20"/>
      <c r="DY83" s="20"/>
      <c r="DZ83" s="20"/>
      <c r="EA83" s="20"/>
      <c r="EB83" s="20"/>
      <c r="EC83" s="20"/>
      <c r="ED83" s="20"/>
      <c r="EE83" s="20"/>
      <c r="EF83" s="20"/>
      <c r="EG83" s="20"/>
      <c r="EH83" s="20"/>
    </row>
    <row r="84" spans="1:138" ht="15.75" customHeight="1">
      <c r="A84" s="259" t="s">
        <v>2525</v>
      </c>
      <c r="B84" s="663" t="s">
        <v>284</v>
      </c>
      <c r="C84" s="663" t="s">
        <v>284</v>
      </c>
      <c r="D84" s="663" t="s">
        <v>2962</v>
      </c>
      <c r="E84" s="663" t="s">
        <v>39</v>
      </c>
      <c r="F84" s="663" t="s">
        <v>213</v>
      </c>
      <c r="G84" s="663" t="str">
        <f>VLOOKUP(WWWW[[#This Row],[Site Name]],SiteDB6[[Site Name]:[Location Type]],8,FALSE)</f>
        <v>Camp</v>
      </c>
      <c r="H84" s="663" t="s">
        <v>291</v>
      </c>
      <c r="I84" s="700">
        <v>203</v>
      </c>
      <c r="J84" s="700">
        <v>1138</v>
      </c>
      <c r="K84" s="642" t="s">
        <v>2963</v>
      </c>
      <c r="L84" s="78" t="s">
        <v>2964</v>
      </c>
      <c r="M84" s="700"/>
      <c r="N84" s="700">
        <v>0</v>
      </c>
      <c r="O84" s="700">
        <v>0</v>
      </c>
      <c r="P84" s="700">
        <v>0</v>
      </c>
      <c r="Q84" s="77" t="s">
        <v>43</v>
      </c>
      <c r="R84" s="377">
        <v>6</v>
      </c>
      <c r="S84" s="377">
        <v>9</v>
      </c>
      <c r="T84" s="377">
        <v>5</v>
      </c>
      <c r="U84" s="377">
        <v>0</v>
      </c>
      <c r="V84" s="377">
        <v>0</v>
      </c>
      <c r="W84" s="377">
        <v>1</v>
      </c>
      <c r="X84" s="377">
        <v>0</v>
      </c>
      <c r="Y84" s="377">
        <v>0</v>
      </c>
      <c r="Z84" s="377"/>
      <c r="AA84" s="377"/>
      <c r="AB84" s="377"/>
      <c r="AC84" s="377"/>
      <c r="AD84" s="377"/>
      <c r="AE84" s="377"/>
      <c r="AF84" s="377"/>
      <c r="AG84" s="377"/>
      <c r="AH84" s="377"/>
      <c r="AI84" s="377">
        <v>4</v>
      </c>
      <c r="AJ84" s="377">
        <v>4</v>
      </c>
      <c r="AK84" s="377">
        <v>22</v>
      </c>
      <c r="AL84" s="377">
        <v>0</v>
      </c>
      <c r="AM84" s="377"/>
      <c r="AN84" s="377"/>
      <c r="AO84" s="215"/>
      <c r="AP84" s="377">
        <v>38</v>
      </c>
      <c r="AQ84" s="377">
        <v>0</v>
      </c>
      <c r="AR84" s="77">
        <v>0</v>
      </c>
      <c r="AS84" s="377"/>
      <c r="AT84" s="377"/>
      <c r="AU84" s="377">
        <v>32</v>
      </c>
      <c r="AV84" s="377"/>
      <c r="AW84" s="377"/>
      <c r="AX84" s="694" t="s">
        <v>43</v>
      </c>
      <c r="AY84" s="694" t="s">
        <v>145</v>
      </c>
      <c r="AZ84" s="377"/>
      <c r="BA84" s="377"/>
      <c r="BB84" s="377"/>
      <c r="BC84" s="667" t="s">
        <v>2966</v>
      </c>
      <c r="BD84" s="377">
        <v>12</v>
      </c>
      <c r="BE84" s="377">
        <v>1</v>
      </c>
      <c r="BF84" s="377"/>
      <c r="BG84" s="377">
        <v>5</v>
      </c>
      <c r="BH84" s="377"/>
      <c r="BI84" s="377"/>
      <c r="BJ84" s="377">
        <v>4</v>
      </c>
      <c r="BK84" s="377">
        <v>71</v>
      </c>
      <c r="BL84" s="377">
        <v>218</v>
      </c>
      <c r="BM84" s="215"/>
      <c r="BN84" s="80"/>
      <c r="BO84" s="82"/>
      <c r="BP84" s="667" t="s">
        <v>2965</v>
      </c>
      <c r="BQ84" s="79">
        <f>IFERROR(WWWW[[#This Row],['#_Water sources treated]]/WWWW[[#This Row],['#_Water sources tested for contamination]],"no test")</f>
        <v>1</v>
      </c>
      <c r="BR84" s="82">
        <f>IFERROR(WWWW[[#This Row],['#_Household received remediation action due to contamination]]/WWWW[[#This Row],['#_Household water samples tested for contamination]],"no test")</f>
        <v>0</v>
      </c>
      <c r="BS84" s="81" t="str">
        <f>IF(AND(WWWW[[#This Row],[% of water sources treated]]="no test",WWWW[[#This Row],[% Household received corrective actions]]="no test"),"No Test","Tested")</f>
        <v>Tested</v>
      </c>
      <c r="BT84" s="81">
        <f>WWWW[[#This Row],['#_Constructed/existing protected hand dug well]]-WWWW[[#This Row],['#_Non-functional protected hand dug well]]</f>
        <v>5</v>
      </c>
      <c r="BU84" s="81">
        <f>(WWWW[[#This Row],['#_Constructed/Existing tube wells/boreholes/handpumps_WASH_agency]]+WWWW[[#This Row],['#_Non-Cluster partner water tube-wells/boreholes/handpumps]])-WWWW[[#This Row],['#_Non-functional tube wells/boreholes/handpumps]]</f>
        <v>1</v>
      </c>
      <c r="BV84" s="81">
        <f>WWWW[[#This Row],['#_Constructed/Existingwater storage tank with gravity fed reticulation system]]-WWWW[[#This Row],['#_Non-functional storage tank gravity fed reticulation system]]</f>
        <v>0</v>
      </c>
      <c r="BW84" s="81">
        <f>WWWW[[#This Row],['#_Water boating or water trucking]]</f>
        <v>0</v>
      </c>
      <c r="BX84" s="81">
        <f>WWWW[[#This Row],['#_Constructed/Existing water distribution system from river or natural spring]]</f>
        <v>0</v>
      </c>
      <c r="BY84"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84"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84" s="82">
        <f>IF(WWWW[[#This Row],[Location Type 1]]="Village",WWWW[[#This Row],[Access to safe drinking water for Village]],WWWW[[#This Row],[Access to safe drinking water for Camp]])</f>
        <v>1</v>
      </c>
      <c r="CB84" s="80">
        <f>WWWW[[#This Row],[%Equitable and continuous access to sufficient quantity of safe drinking water]]*WWWW[[#This Row],[Total PoP ]]</f>
        <v>1138</v>
      </c>
      <c r="CC84" s="82">
        <f>IF((WWWW[[#This Row],['#_Constructed/Existing protected/fenced ponds]]*250)/WWWW[[#This Row],[Total PoP ]]&gt;1,1,(WWWW[[#This Row],['#_Constructed/Existing protected/fenced ponds]]*250)/WWWW[[#This Row],[Total PoP ]])</f>
        <v>0</v>
      </c>
      <c r="CD84" s="80">
        <f>WWWW[[#This Row],[% Access to unimproved water points]]*WWWW[[#This Row],[Total PoP ]]</f>
        <v>0</v>
      </c>
      <c r="CE84"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84"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1138</v>
      </c>
      <c r="CG84" s="80">
        <f>WWWW[[#This Row],[HRP1]]/500</f>
        <v>2.2759999999999998</v>
      </c>
      <c r="CH84" s="79">
        <f>1-WWWW[[#This Row],[% Equitable and continuous access to sufficient quantity of domestic water]]</f>
        <v>0</v>
      </c>
      <c r="CI84" s="80">
        <f>WWWW[[#This Row],[%equitable and continuous access to sufficient quantity of safe drinking and domestic water''s GAP]]*WWWW[[#This Row],[Total PoP ]]</f>
        <v>0</v>
      </c>
      <c r="CJ84" s="81">
        <f>IF(WWWW[[#This Row],[Total required water points]]-WWWW[[#This Row],['#Water points coverage]]&lt;0,0,WWWW[[#This Row],[Total required water points]]-WWWW[[#This Row],['#Water points coverage]])</f>
        <v>0</v>
      </c>
      <c r="CK84" s="81">
        <f>ROUND(IF(WWWW[[#This Row],[Total PoP ]]&lt;500,1,WWWW[[#This Row],[Total PoP ]]/500),0)</f>
        <v>2</v>
      </c>
      <c r="CL84" s="81">
        <f>(WWWW[[#This Row],['#_Constructed latrines_by_WASHAgencies]]+WWWW[[#This Row],['#_Non Cluster partner latrines]])-WWWW[[#This Row],['#_Non-functional latrines]]</f>
        <v>38</v>
      </c>
      <c r="CM84"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0.66783831282952544</v>
      </c>
      <c r="CN84"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760</v>
      </c>
      <c r="CO84"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640</v>
      </c>
      <c r="CP84" s="81">
        <f>IF(WWWW[[#This Row],[Location Type 1]]="Village","NA",IF(WWWW[[#This Row],['#_Constructed/Existing latrines in TLS]]*50&gt;WWWW[[#This Row],['#_students at TLS_CFS]],WWWW[[#This Row],['#_students at TLS_CFS]],(WWWW[[#This Row],['#_Constructed/Existing latrines in TLS]]*50)))</f>
        <v>0</v>
      </c>
      <c r="CQ84" s="81">
        <f>ROUND(IF(WWWW[[#This Row],[Location Type 1]]="camp",WWWW[[#This Row],[Total PoP ]]/20,IF(WWWW[[#This Row],[Location Type 1]]="Temporary Location",WWWW[[#This Row],[Total PoP ]]/50,(WWWW[[#This Row],[Total PoP ]]/6))),0)</f>
        <v>57</v>
      </c>
      <c r="CR84" s="80">
        <f>IF(WWWW[[#This Row],[Total required Latrines]]-(WWWW[[#This Row],['#_Constructed latrines_by_WASHAgencies]]+WWWW[[#This Row],['#_Non Cluster partner latrines]])&lt;0,0,WWWW[[#This Row],[Total required Latrines]]-(WWWW[[#This Row],['#_Constructed latrines_by_WASHAgencies]]+WWWW[[#This Row],['#_Non Cluster partner latrines]]))</f>
        <v>19</v>
      </c>
      <c r="CS84" s="79">
        <f>1-WWWW[[#This Row],[% people access to functioning Latrine]]</f>
        <v>0.33216168717047456</v>
      </c>
      <c r="CT84" s="83">
        <f>IF(OR(WWWW[[#This Row],['#_Non-functional latrines]]="",WWWW[[#This Row],['#_Non-functional latrines]]=0),0,WWWW[[#This Row],['#_Non-functional latrines]]/(WWWW[[#This Row],['#_Constructed latrines_by_WASHAgencies]]+WWWW[[#This Row],['#_Non Cluster partner latrines]]))</f>
        <v>0</v>
      </c>
      <c r="CU84" s="80">
        <f>IF(500*(WWWW[[#This Row],['#_male hygiene promoters]]+WWWW[[#This Row],['#_female hygiene promoters]])&gt;WWWW[[#This Row],[Total PoP ]],WWWW[[#This Row],[Total PoP ]],500*(WWWW[[#This Row],['#_male hygiene promoters]]+WWWW[[#This Row],['#_female hygiene promoters]]))</f>
        <v>1138</v>
      </c>
      <c r="CV84"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355</v>
      </c>
      <c r="CW84"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1090</v>
      </c>
      <c r="CX84" s="81">
        <f>IF(WWWW[[#This Row],['# People with access to soap]]&gt;WWWW[[#This Row],['# People with access to Sanity Pads]],WWWW[[#This Row],['# People with access to soap]],WWWW[[#This Row],['# People with access to Sanity Pads]])</f>
        <v>1090</v>
      </c>
      <c r="CY84" s="81">
        <f>IF(WWWW[[#This Row],['# people reached by regular dedicated hygiene promotion_5]]&gt;WWWW[[#This Row],['# People received regular supply of hygiene items_6]],WWWW[[#This Row],['# people reached by regular dedicated hygiene promotion_5]],WWWW[[#This Row],['# People received regular supply of hygiene items_6]])</f>
        <v>1138</v>
      </c>
      <c r="CZ84" s="79">
        <f>IF(WWWW[[#This Row],[HRP3]]/WWWW[[#This Row],[Total PoP ]]&gt;100%,100%,WWWW[[#This Row],[HRP3]]/WWWW[[#This Row],[Total PoP ]])</f>
        <v>1</v>
      </c>
      <c r="DA84" s="83">
        <f>1-WWWW[[#This Row],[Hygiene Coverage%]]</f>
        <v>0</v>
      </c>
      <c r="DB84" s="82">
        <f>WWWW[[#This Row],['# people reached by regular dedicated hygiene promotion_5]]/WWWW[[#This Row],[Total PoP ]]</f>
        <v>1</v>
      </c>
      <c r="DC84" s="82">
        <f>IF(WWWW[[#This Row],['#_households that received standard amount of soap for this quarter]]/WWWW[[#This Row],[Total HH]]&gt;1,1,WWWW[[#This Row],['#_households that received standard amount of soap for this quarter]]/WWWW[[#This Row],[Total HH]])</f>
        <v>0.34975369458128081</v>
      </c>
      <c r="DD84" s="82">
        <f>IF(WWWW[[#This Row],['#_households that received standard amount of sanitary pads for this quarter]]/WWWW[[#This Row],[Total HH]]&gt;1,1,WWWW[[#This Row],['#_households that received standard amount of sanitary pads for this quarter]]/WWWW[[#This Row],[Total HH]])</f>
        <v>1</v>
      </c>
      <c r="DE84" s="81">
        <f>WWWW[[#This Row],['#_Constructed/Existing hand washing stations]]-WWWW[[#This Row],['#_Non-Functional_hand_washing_stations]]</f>
        <v>11</v>
      </c>
      <c r="DF84" s="667">
        <f>IF(WWWW[[#This Row],['# Functional hand washing stations during reporting period]]*20&gt;WWWW[[#This Row],[Total HH]],WWWW[[#This Row],[Total HH]],WWWW[[#This Row],['# Functional hand washing stations during reporting period]]*20)</f>
        <v>203</v>
      </c>
      <c r="DG84" s="80">
        <f>IF(WWWW[[#This Row],[Is sufficient soap available for TLS? (Yes/No)]]="yes",WWWW[[#This Row],['#_Constructed/Existing hand washing stations at TLS]],0)</f>
        <v>0</v>
      </c>
      <c r="DH84" s="667">
        <f>IF(WWWW[[#This Row],['# Functional hand washing stations during reporting period]]*100&gt;WWWW[[#This Row],[Total PoP ]],WWWW[[#This Row],[Total PoP ]],WWWW[[#This Row],['# Functional hand washing stations during reporting period]]*100)</f>
        <v>1100</v>
      </c>
      <c r="DI84" s="667" t="str">
        <f>IF(WWWW[[#This Row],['#_students at TLS_CFS]]="","No","Yes")</f>
        <v>No</v>
      </c>
      <c r="DJ84" s="245" t="str">
        <f>VLOOKUP(WWWW[[#This Row],[Site Name]],SiteDB6[[Site Name]:[CCCM Management]],6,FALSE)</f>
        <v>Yes</v>
      </c>
      <c r="DK84" s="245" t="str">
        <f>VLOOKUP(WWWW[[#This Row],[Site Name]],SiteDB6[[Site Name]:[CCCM Focal Agency]],7,FALSE)</f>
        <v>KBC</v>
      </c>
      <c r="DL84" s="245" t="str">
        <f>VLOOKUP(WWWW[[#This Row],[Site Name]],SiteDB6[[Site Name]:[Location Type 1]],9,FALSE)</f>
        <v>Camp</v>
      </c>
      <c r="DM84" s="245" t="str">
        <f>VLOOKUP(WWWW[[#This Row],[Site Name]],SiteDB6[[Site Name]:[Type of Accommodation]],10,FALSE)</f>
        <v>Camp</v>
      </c>
      <c r="DN84" s="245" t="str">
        <f>VLOOKUP(WWWW[[#This Row],[Site Name]],SiteDB6[[Site Name]:[Ethnic or GCA/NGCA]],11,FALSE)</f>
        <v>GCA</v>
      </c>
      <c r="DO84" s="245">
        <f>VLOOKUP(WWWW[[#This Row],[Site Name]],SiteDB6[[Site Name]:[Lat]],12,FALSE)</f>
        <v>24.200433</v>
      </c>
      <c r="DP84" s="245">
        <f>VLOOKUP(WWWW[[#This Row],[Site Name]],SiteDB6[[Site Name]:[Long]],13,FALSE)</f>
        <v>97.717133000000004</v>
      </c>
      <c r="DQ84" s="245" t="str">
        <f>VLOOKUP(WWWW[[#This Row],[Site Name]],SiteDB6[[Site Name]:[Pcode]],3,FALSE)</f>
        <v>MMR001CMP070</v>
      </c>
      <c r="DR84" s="215" t="str">
        <f t="shared" si="3"/>
        <v>Covered</v>
      </c>
      <c r="DS84" s="215"/>
      <c r="DT84" s="20"/>
      <c r="DU84" s="20"/>
      <c r="DV84" s="20"/>
      <c r="DW84" s="20"/>
      <c r="DX84" s="20"/>
      <c r="DY84" s="20"/>
      <c r="DZ84" s="20"/>
      <c r="EA84" s="20"/>
      <c r="EB84" s="20"/>
      <c r="EC84" s="20"/>
      <c r="ED84" s="20"/>
      <c r="EE84" s="20"/>
      <c r="EF84" s="20"/>
      <c r="EG84" s="20"/>
      <c r="EH84" s="20"/>
    </row>
    <row r="85" spans="1:138" ht="15.75" customHeight="1">
      <c r="A85" s="259" t="s">
        <v>2525</v>
      </c>
      <c r="B85" s="663" t="s">
        <v>284</v>
      </c>
      <c r="C85" s="663" t="s">
        <v>284</v>
      </c>
      <c r="D85" s="663" t="s">
        <v>252</v>
      </c>
      <c r="E85" s="663" t="s">
        <v>39</v>
      </c>
      <c r="F85" s="663" t="s">
        <v>213</v>
      </c>
      <c r="G85" s="663" t="str">
        <f>VLOOKUP(WWWW[[#This Row],[Site Name]],SiteDB6[[Site Name]:[Location Type]],8,FALSE)</f>
        <v>Camp_not registered</v>
      </c>
      <c r="H85" s="663" t="s">
        <v>296</v>
      </c>
      <c r="I85" s="700">
        <v>470</v>
      </c>
      <c r="J85" s="700">
        <v>2350</v>
      </c>
      <c r="K85" s="642">
        <v>43282</v>
      </c>
      <c r="L85" s="78">
        <v>43646</v>
      </c>
      <c r="M85" s="700">
        <v>2350</v>
      </c>
      <c r="N85" s="700">
        <v>0</v>
      </c>
      <c r="O85" s="700">
        <v>0</v>
      </c>
      <c r="P85" s="700">
        <v>0</v>
      </c>
      <c r="Q85" s="77"/>
      <c r="R85" s="377"/>
      <c r="S85" s="377"/>
      <c r="T85" s="377">
        <v>0</v>
      </c>
      <c r="U85" s="377">
        <v>0</v>
      </c>
      <c r="V85" s="377"/>
      <c r="W85" s="377"/>
      <c r="X85" s="377">
        <v>0</v>
      </c>
      <c r="Y85" s="377"/>
      <c r="Z85" s="377"/>
      <c r="AA85" s="377"/>
      <c r="AB85" s="377"/>
      <c r="AC85" s="377"/>
      <c r="AD85" s="377"/>
      <c r="AE85" s="377"/>
      <c r="AF85" s="377"/>
      <c r="AG85" s="377"/>
      <c r="AH85" s="377"/>
      <c r="AI85" s="377"/>
      <c r="AJ85" s="377"/>
      <c r="AK85" s="377"/>
      <c r="AL85" s="377"/>
      <c r="AM85" s="377"/>
      <c r="AN85" s="377">
        <v>1</v>
      </c>
      <c r="AO85" s="215"/>
      <c r="AP85" s="377"/>
      <c r="AQ85" s="377"/>
      <c r="AR85" s="77"/>
      <c r="AS85" s="377"/>
      <c r="AT85" s="377"/>
      <c r="AU85" s="377"/>
      <c r="AV85" s="377"/>
      <c r="AW85" s="377"/>
      <c r="AX85" s="245" t="s">
        <v>43</v>
      </c>
      <c r="AY85" s="245" t="s">
        <v>145</v>
      </c>
      <c r="AZ85" s="377">
        <v>0</v>
      </c>
      <c r="BA85" s="377">
        <v>0</v>
      </c>
      <c r="BB85" s="377">
        <v>52</v>
      </c>
      <c r="BC85" s="215"/>
      <c r="BD85" s="377"/>
      <c r="BE85" s="377"/>
      <c r="BF85" s="377"/>
      <c r="BG85" s="377">
        <v>0</v>
      </c>
      <c r="BH85" s="377"/>
      <c r="BI85" s="377">
        <v>0</v>
      </c>
      <c r="BJ85" s="377">
        <v>0</v>
      </c>
      <c r="BK85" s="377">
        <v>0</v>
      </c>
      <c r="BL85" s="377"/>
      <c r="BM85" s="215" t="s">
        <v>43</v>
      </c>
      <c r="BN85" s="80">
        <v>0</v>
      </c>
      <c r="BO85" s="82">
        <v>0</v>
      </c>
      <c r="BP85" s="215"/>
      <c r="BQ85" s="79" t="str">
        <f>IFERROR(WWWW[[#This Row],['#_Water sources treated]]/WWWW[[#This Row],['#_Water sources tested for contamination]],"no test")</f>
        <v>no test</v>
      </c>
      <c r="BR85" s="82" t="str">
        <f>IFERROR(WWWW[[#This Row],['#_Household received remediation action due to contamination]]/WWWW[[#This Row],['#_Household water samples tested for contamination]],"no test")</f>
        <v>no test</v>
      </c>
      <c r="BS85" s="81" t="str">
        <f>IF(AND(WWWW[[#This Row],[% of water sources treated]]="no test",WWWW[[#This Row],[% Household received corrective actions]]="no test"),"No Test","Tested")</f>
        <v>No Test</v>
      </c>
      <c r="BT85" s="81">
        <f>WWWW[[#This Row],['#_Constructed/existing protected hand dug well]]-WWWW[[#This Row],['#_Non-functional protected hand dug well]]</f>
        <v>0</v>
      </c>
      <c r="BU85" s="81">
        <f>(WWWW[[#This Row],['#_Constructed/Existing tube wells/boreholes/handpumps_WASH_agency]]+WWWW[[#This Row],['#_Non-Cluster partner water tube-wells/boreholes/handpumps]])-WWWW[[#This Row],['#_Non-functional tube wells/boreholes/handpumps]]</f>
        <v>0</v>
      </c>
      <c r="BV85" s="81">
        <f>WWWW[[#This Row],['#_Constructed/Existingwater storage tank with gravity fed reticulation system]]-WWWW[[#This Row],['#_Non-functional storage tank gravity fed reticulation system]]</f>
        <v>0</v>
      </c>
      <c r="BW85" s="81">
        <f>WWWW[[#This Row],['#_Water boating or water trucking]]</f>
        <v>0</v>
      </c>
      <c r="BX85" s="81">
        <f>WWWW[[#This Row],['#_Constructed/Existing water distribution system from river or natural spring]]</f>
        <v>0</v>
      </c>
      <c r="BY85"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85"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85" s="82">
        <f>IF(WWWW[[#This Row],[Location Type 1]]="Village",WWWW[[#This Row],[Access to safe drinking water for Village]],WWWW[[#This Row],[Access to safe drinking water for Camp]])</f>
        <v>0</v>
      </c>
      <c r="CB85" s="80">
        <f>WWWW[[#This Row],[%Equitable and continuous access to sufficient quantity of safe drinking water]]*WWWW[[#This Row],[Total PoP ]]</f>
        <v>0</v>
      </c>
      <c r="CC85" s="82">
        <f>IF((WWWW[[#This Row],['#_Constructed/Existing protected/fenced ponds]]*250)/WWWW[[#This Row],[Total PoP ]]&gt;1,1,(WWWW[[#This Row],['#_Constructed/Existing protected/fenced ponds]]*250)/WWWW[[#This Row],[Total PoP ]])</f>
        <v>0</v>
      </c>
      <c r="CD85" s="80">
        <f>WWWW[[#This Row],[% Access to unimproved water points]]*WWWW[[#This Row],[Total PoP ]]</f>
        <v>0</v>
      </c>
      <c r="CE85"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85"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85" s="80">
        <f>WWWW[[#This Row],[HRP1]]/500</f>
        <v>0</v>
      </c>
      <c r="CH85" s="79">
        <f>1-WWWW[[#This Row],[% Equitable and continuous access to sufficient quantity of domestic water]]</f>
        <v>1</v>
      </c>
      <c r="CI85" s="80">
        <f>WWWW[[#This Row],[%equitable and continuous access to sufficient quantity of safe drinking and domestic water''s GAP]]*WWWW[[#This Row],[Total PoP ]]</f>
        <v>2350</v>
      </c>
      <c r="CJ85" s="81">
        <f>IF(WWWW[[#This Row],[Total required water points]]-WWWW[[#This Row],['#Water points coverage]]&lt;0,0,WWWW[[#This Row],[Total required water points]]-WWWW[[#This Row],['#Water points coverage]])</f>
        <v>5</v>
      </c>
      <c r="CK85" s="81">
        <f>ROUND(IF(WWWW[[#This Row],[Total PoP ]]&lt;500,1,WWWW[[#This Row],[Total PoP ]]/500),0)</f>
        <v>5</v>
      </c>
      <c r="CL85" s="81">
        <f>(WWWW[[#This Row],['#_Constructed latrines_by_WASHAgencies]]+WWWW[[#This Row],['#_Non Cluster partner latrines]])-WWWW[[#This Row],['#_Non-functional latrines]]</f>
        <v>0</v>
      </c>
      <c r="CM85"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85"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85"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85" s="81">
        <f>IF(WWWW[[#This Row],[Location Type 1]]="Village","NA",IF(WWWW[[#This Row],['#_Constructed/Existing latrines in TLS]]*50&gt;WWWW[[#This Row],['#_students at TLS_CFS]],WWWW[[#This Row],['#_students at TLS_CFS]],(WWWW[[#This Row],['#_Constructed/Existing latrines in TLS]]*50)))</f>
        <v>2350</v>
      </c>
      <c r="CQ85" s="81">
        <f>ROUND(IF(WWWW[[#This Row],[Location Type 1]]="camp",WWWW[[#This Row],[Total PoP ]]/20,IF(WWWW[[#This Row],[Location Type 1]]="Temporary Location",WWWW[[#This Row],[Total PoP ]]/50,(WWWW[[#This Row],[Total PoP ]]/6))),0)</f>
        <v>118</v>
      </c>
      <c r="CR85" s="80">
        <f>IF(WWWW[[#This Row],[Total required Latrines]]-(WWWW[[#This Row],['#_Constructed latrines_by_WASHAgencies]]+WWWW[[#This Row],['#_Non Cluster partner latrines]])&lt;0,0,WWWW[[#This Row],[Total required Latrines]]-(WWWW[[#This Row],['#_Constructed latrines_by_WASHAgencies]]+WWWW[[#This Row],['#_Non Cluster partner latrines]]))</f>
        <v>118</v>
      </c>
      <c r="CS85" s="79">
        <f>1-WWWW[[#This Row],[% people access to functioning Latrine]]</f>
        <v>1</v>
      </c>
      <c r="CT85" s="83">
        <f>IF(OR(WWWW[[#This Row],['#_Non-functional latrines]]="",WWWW[[#This Row],['#_Non-functional latrines]]=0),0,WWWW[[#This Row],['#_Non-functional latrines]]/(WWWW[[#This Row],['#_Constructed latrines_by_WASHAgencies]]+WWWW[[#This Row],['#_Non Cluster partner latrines]]))</f>
        <v>0</v>
      </c>
      <c r="CU85" s="80">
        <f>IF(500*(WWWW[[#This Row],['#_male hygiene promoters]]+WWWW[[#This Row],['#_female hygiene promoters]])&gt;WWWW[[#This Row],[Total PoP ]],WWWW[[#This Row],[Total PoP ]],500*(WWWW[[#This Row],['#_male hygiene promoters]]+WWWW[[#This Row],['#_female hygiene promoters]]))</f>
        <v>0</v>
      </c>
      <c r="CV85"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85"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85" s="81">
        <f>IF(WWWW[[#This Row],['# People with access to soap]]&gt;WWWW[[#This Row],['# People with access to Sanity Pads]],WWWW[[#This Row],['# People with access to soap]],WWWW[[#This Row],['# People with access to Sanity Pads]])</f>
        <v>0</v>
      </c>
      <c r="CY85"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85" s="79">
        <f>IF(WWWW[[#This Row],[HRP3]]/WWWW[[#This Row],[Total PoP ]]&gt;100%,100%,WWWW[[#This Row],[HRP3]]/WWWW[[#This Row],[Total PoP ]])</f>
        <v>0</v>
      </c>
      <c r="DA85" s="83">
        <f>1-WWWW[[#This Row],[Hygiene Coverage%]]</f>
        <v>1</v>
      </c>
      <c r="DB85" s="82">
        <f>WWWW[[#This Row],['# people reached by regular dedicated hygiene promotion_5]]/WWWW[[#This Row],[Total PoP ]]</f>
        <v>0</v>
      </c>
      <c r="DC85" s="82">
        <f>IF(WWWW[[#This Row],['#_households that received standard amount of soap for this quarter]]/WWWW[[#This Row],[Total HH]]&gt;1,1,WWWW[[#This Row],['#_households that received standard amount of soap for this quarter]]/WWWW[[#This Row],[Total HH]])</f>
        <v>0</v>
      </c>
      <c r="DD85" s="82">
        <f>IF(WWWW[[#This Row],['#_households that received standard amount of sanitary pads for this quarter]]/WWWW[[#This Row],[Total HH]]&gt;1,1,WWWW[[#This Row],['#_households that received standard amount of sanitary pads for this quarter]]/WWWW[[#This Row],[Total HH]])</f>
        <v>0</v>
      </c>
      <c r="DE85" s="81">
        <f>WWWW[[#This Row],['#_Constructed/Existing hand washing stations]]-WWWW[[#This Row],['#_Non-Functional_hand_washing_stations]]</f>
        <v>0</v>
      </c>
      <c r="DF85" s="667">
        <f>IF(WWWW[[#This Row],['# Functional hand washing stations during reporting period]]*20&gt;WWWW[[#This Row],[Total HH]],WWWW[[#This Row],[Total HH]],WWWW[[#This Row],['# Functional hand washing stations during reporting period]]*20)</f>
        <v>0</v>
      </c>
      <c r="DG85" s="80">
        <f>IF(WWWW[[#This Row],[Is sufficient soap available for TLS? (Yes/No)]]="yes",WWWW[[#This Row],['#_Constructed/Existing hand washing stations at TLS]],0)</f>
        <v>0</v>
      </c>
      <c r="DH85" s="667">
        <f>IF(WWWW[[#This Row],['# Functional hand washing stations during reporting period]]*100&gt;WWWW[[#This Row],[Total PoP ]],WWWW[[#This Row],[Total PoP ]],WWWW[[#This Row],['# Functional hand washing stations during reporting period]]*100)</f>
        <v>0</v>
      </c>
      <c r="DI85" s="667" t="str">
        <f>IF(WWWW[[#This Row],['#_students at TLS_CFS]]="","No","Yes")</f>
        <v>Yes</v>
      </c>
      <c r="DJ85" s="245">
        <f>VLOOKUP(WWWW[[#This Row],[Site Name]],SiteDB6[[Site Name]:[CCCM Management]],6,FALSE)</f>
        <v>0</v>
      </c>
      <c r="DK85" s="245">
        <f>VLOOKUP(WWWW[[#This Row],[Site Name]],SiteDB6[[Site Name]:[CCCM Focal Agency]],7,FALSE)</f>
        <v>0</v>
      </c>
      <c r="DL85" s="245" t="str">
        <f>VLOOKUP(WWWW[[#This Row],[Site Name]],SiteDB6[[Site Name]:[Location Type 1]],9,FALSE)</f>
        <v>Camp</v>
      </c>
      <c r="DM85" s="245" t="str">
        <f>VLOOKUP(WWWW[[#This Row],[Site Name]],SiteDB6[[Site Name]:[Type of Accommodation]],10,FALSE)</f>
        <v>School</v>
      </c>
      <c r="DN85" s="245" t="str">
        <f>VLOOKUP(WWWW[[#This Row],[Site Name]],SiteDB6[[Site Name]:[Ethnic or GCA/NGCA]],11,FALSE)</f>
        <v>GCA</v>
      </c>
      <c r="DO85" s="245">
        <f>VLOOKUP(WWWW[[#This Row],[Site Name]],SiteDB6[[Site Name]:[Lat]],12,FALSE)</f>
        <v>0</v>
      </c>
      <c r="DP85" s="245">
        <f>VLOOKUP(WWWW[[#This Row],[Site Name]],SiteDB6[[Site Name]:[Long]],13,FALSE)</f>
        <v>0</v>
      </c>
      <c r="DQ85" s="245">
        <f>VLOOKUP(WWWW[[#This Row],[Site Name]],SiteDB6[[Site Name]:[Pcode]],3,FALSE)</f>
        <v>0</v>
      </c>
      <c r="DR85" s="215" t="str">
        <f t="shared" si="3"/>
        <v>Covered</v>
      </c>
      <c r="DS85" s="215"/>
      <c r="DT85" s="20"/>
      <c r="DU85" s="20"/>
      <c r="DV85" s="20"/>
      <c r="DW85" s="20"/>
      <c r="DX85" s="20"/>
      <c r="DY85" s="20"/>
      <c r="DZ85" s="20"/>
      <c r="EA85" s="20"/>
      <c r="EB85" s="20"/>
      <c r="EC85" s="20"/>
      <c r="ED85" s="20"/>
      <c r="EE85" s="20"/>
      <c r="EF85" s="20"/>
      <c r="EG85" s="20"/>
      <c r="EH85" s="20"/>
    </row>
    <row r="86" spans="1:138" ht="15.75" customHeight="1">
      <c r="A86" s="259" t="s">
        <v>2525</v>
      </c>
      <c r="B86" s="663" t="s">
        <v>284</v>
      </c>
      <c r="C86" s="663" t="s">
        <v>284</v>
      </c>
      <c r="D86" s="663" t="s">
        <v>2962</v>
      </c>
      <c r="E86" s="663" t="s">
        <v>39</v>
      </c>
      <c r="F86" s="663" t="s">
        <v>213</v>
      </c>
      <c r="G86" s="663" t="str">
        <f>VLOOKUP(WWWW[[#This Row],[Site Name]],SiteDB6[[Site Name]:[Location Type]],8,FALSE)</f>
        <v>Camp_not registered</v>
      </c>
      <c r="H86" s="663" t="s">
        <v>295</v>
      </c>
      <c r="I86" s="700">
        <v>117</v>
      </c>
      <c r="J86" s="700">
        <v>650</v>
      </c>
      <c r="K86" s="642" t="s">
        <v>2963</v>
      </c>
      <c r="L86" s="78" t="s">
        <v>2964</v>
      </c>
      <c r="M86" s="700"/>
      <c r="N86" s="700">
        <v>0</v>
      </c>
      <c r="O86" s="700">
        <v>0</v>
      </c>
      <c r="P86" s="700">
        <v>0</v>
      </c>
      <c r="Q86" s="77" t="s">
        <v>43</v>
      </c>
      <c r="R86" s="377">
        <v>5</v>
      </c>
      <c r="S86" s="377">
        <v>10</v>
      </c>
      <c r="T86" s="377">
        <v>1</v>
      </c>
      <c r="U86" s="377">
        <v>0</v>
      </c>
      <c r="V86" s="377"/>
      <c r="W86" s="377">
        <v>1</v>
      </c>
      <c r="X86" s="377">
        <v>0</v>
      </c>
      <c r="Y86" s="377"/>
      <c r="Z86" s="377"/>
      <c r="AA86" s="377"/>
      <c r="AB86" s="377"/>
      <c r="AC86" s="377"/>
      <c r="AD86" s="377"/>
      <c r="AE86" s="377"/>
      <c r="AF86" s="377"/>
      <c r="AG86" s="377"/>
      <c r="AH86" s="377"/>
      <c r="AI86" s="377">
        <v>1</v>
      </c>
      <c r="AJ86" s="377">
        <v>1</v>
      </c>
      <c r="AK86" s="377">
        <v>8</v>
      </c>
      <c r="AL86" s="377">
        <v>0</v>
      </c>
      <c r="AM86" s="377"/>
      <c r="AN86" s="377"/>
      <c r="AO86" s="215"/>
      <c r="AP86" s="377">
        <v>28</v>
      </c>
      <c r="AQ86" s="377"/>
      <c r="AR86" s="77"/>
      <c r="AS86" s="377"/>
      <c r="AT86" s="377"/>
      <c r="AU86" s="377">
        <v>31</v>
      </c>
      <c r="AV86" s="377"/>
      <c r="AW86" s="377"/>
      <c r="AX86" s="245" t="s">
        <v>43</v>
      </c>
      <c r="AY86" s="245" t="s">
        <v>145</v>
      </c>
      <c r="AZ86" s="377">
        <v>0</v>
      </c>
      <c r="BA86" s="377">
        <v>0</v>
      </c>
      <c r="BB86" s="377"/>
      <c r="BC86" s="215"/>
      <c r="BD86" s="377">
        <v>9</v>
      </c>
      <c r="BE86" s="377">
        <v>0</v>
      </c>
      <c r="BF86" s="377"/>
      <c r="BG86" s="377">
        <v>4</v>
      </c>
      <c r="BH86" s="377"/>
      <c r="BI86" s="377">
        <v>0</v>
      </c>
      <c r="BJ86" s="377">
        <v>2</v>
      </c>
      <c r="BK86" s="377">
        <v>45</v>
      </c>
      <c r="BL86" s="377">
        <v>135</v>
      </c>
      <c r="BM86" s="215"/>
      <c r="BN86" s="80"/>
      <c r="BO86" s="82"/>
      <c r="BP86" s="215"/>
      <c r="BQ86" s="79">
        <f>IFERROR(WWWW[[#This Row],['#_Water sources treated]]/WWWW[[#This Row],['#_Water sources tested for contamination]],"no test")</f>
        <v>1</v>
      </c>
      <c r="BR86" s="82">
        <f>IFERROR(WWWW[[#This Row],['#_Household received remediation action due to contamination]]/WWWW[[#This Row],['#_Household water samples tested for contamination]],"no test")</f>
        <v>0</v>
      </c>
      <c r="BS86" s="81" t="str">
        <f>IF(AND(WWWW[[#This Row],[% of water sources treated]]="no test",WWWW[[#This Row],[% Household received corrective actions]]="no test"),"No Test","Tested")</f>
        <v>Tested</v>
      </c>
      <c r="BT86" s="81">
        <f>WWWW[[#This Row],['#_Constructed/existing protected hand dug well]]-WWWW[[#This Row],['#_Non-functional protected hand dug well]]</f>
        <v>1</v>
      </c>
      <c r="BU86" s="81">
        <f>(WWWW[[#This Row],['#_Constructed/Existing tube wells/boreholes/handpumps_WASH_agency]]+WWWW[[#This Row],['#_Non-Cluster partner water tube-wells/boreholes/handpumps]])-WWWW[[#This Row],['#_Non-functional tube wells/boreholes/handpumps]]</f>
        <v>1</v>
      </c>
      <c r="BV86" s="81">
        <f>WWWW[[#This Row],['#_Constructed/Existingwater storage tank with gravity fed reticulation system]]-WWWW[[#This Row],['#_Non-functional storage tank gravity fed reticulation system]]</f>
        <v>0</v>
      </c>
      <c r="BW86" s="81">
        <f>WWWW[[#This Row],['#_Water boating or water trucking]]</f>
        <v>0</v>
      </c>
      <c r="BX86" s="81">
        <f>WWWW[[#This Row],['#_Constructed/Existing water distribution system from river or natural spring]]</f>
        <v>0</v>
      </c>
      <c r="BY86"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86"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0.76923076923076927</v>
      </c>
      <c r="CA86" s="82">
        <f>IF(WWWW[[#This Row],[Location Type 1]]="Village",WWWW[[#This Row],[Access to safe drinking water for Village]],WWWW[[#This Row],[Access to safe drinking water for Camp]])</f>
        <v>1</v>
      </c>
      <c r="CB86" s="80">
        <f>WWWW[[#This Row],[%Equitable and continuous access to sufficient quantity of safe drinking water]]*WWWW[[#This Row],[Total PoP ]]</f>
        <v>650</v>
      </c>
      <c r="CC86" s="82">
        <f>IF((WWWW[[#This Row],['#_Constructed/Existing protected/fenced ponds]]*250)/WWWW[[#This Row],[Total PoP ]]&gt;1,1,(WWWW[[#This Row],['#_Constructed/Existing protected/fenced ponds]]*250)/WWWW[[#This Row],[Total PoP ]])</f>
        <v>0</v>
      </c>
      <c r="CD86" s="80">
        <f>WWWW[[#This Row],[% Access to unimproved water points]]*WWWW[[#This Row],[Total PoP ]]</f>
        <v>0</v>
      </c>
      <c r="CE86"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86"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650</v>
      </c>
      <c r="CG86" s="80">
        <f>WWWW[[#This Row],[HRP1]]/500</f>
        <v>1.3</v>
      </c>
      <c r="CH86" s="79">
        <f>1-WWWW[[#This Row],[% Equitable and continuous access to sufficient quantity of domestic water]]</f>
        <v>0</v>
      </c>
      <c r="CI86" s="80">
        <f>WWWW[[#This Row],[%equitable and continuous access to sufficient quantity of safe drinking and domestic water''s GAP]]*WWWW[[#This Row],[Total PoP ]]</f>
        <v>0</v>
      </c>
      <c r="CJ86" s="81">
        <f>IF(WWWW[[#This Row],[Total required water points]]-WWWW[[#This Row],['#Water points coverage]]&lt;0,0,WWWW[[#This Row],[Total required water points]]-WWWW[[#This Row],['#Water points coverage]])</f>
        <v>0</v>
      </c>
      <c r="CK86" s="81">
        <f>ROUND(IF(WWWW[[#This Row],[Total PoP ]]&lt;500,1,WWWW[[#This Row],[Total PoP ]]/500),0)</f>
        <v>1</v>
      </c>
      <c r="CL86" s="81">
        <f>(WWWW[[#This Row],['#_Constructed latrines_by_WASHAgencies]]+WWWW[[#This Row],['#_Non Cluster partner latrines]])-WWWW[[#This Row],['#_Non-functional latrines]]</f>
        <v>28</v>
      </c>
      <c r="CM86"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0.86153846153846159</v>
      </c>
      <c r="CN86"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560</v>
      </c>
      <c r="CO86"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620</v>
      </c>
      <c r="CP86" s="81">
        <f>IF(WWWW[[#This Row],[Location Type 1]]="Village","NA",IF(WWWW[[#This Row],['#_Constructed/Existing latrines in TLS]]*50&gt;WWWW[[#This Row],['#_students at TLS_CFS]],WWWW[[#This Row],['#_students at TLS_CFS]],(WWWW[[#This Row],['#_Constructed/Existing latrines in TLS]]*50)))</f>
        <v>0</v>
      </c>
      <c r="CQ86" s="81">
        <f>ROUND(IF(WWWW[[#This Row],[Location Type 1]]="camp",WWWW[[#This Row],[Total PoP ]]/20,IF(WWWW[[#This Row],[Location Type 1]]="Temporary Location",WWWW[[#This Row],[Total PoP ]]/50,(WWWW[[#This Row],[Total PoP ]]/6))),0)</f>
        <v>33</v>
      </c>
      <c r="CR86" s="80">
        <f>IF(WWWW[[#This Row],[Total required Latrines]]-(WWWW[[#This Row],['#_Constructed latrines_by_WASHAgencies]]+WWWW[[#This Row],['#_Non Cluster partner latrines]])&lt;0,0,WWWW[[#This Row],[Total required Latrines]]-(WWWW[[#This Row],['#_Constructed latrines_by_WASHAgencies]]+WWWW[[#This Row],['#_Non Cluster partner latrines]]))</f>
        <v>5</v>
      </c>
      <c r="CS86" s="79">
        <f>1-WWWW[[#This Row],[% people access to functioning Latrine]]</f>
        <v>0.13846153846153841</v>
      </c>
      <c r="CT86" s="83">
        <f>IF(OR(WWWW[[#This Row],['#_Non-functional latrines]]="",WWWW[[#This Row],['#_Non-functional latrines]]=0),0,WWWW[[#This Row],['#_Non-functional latrines]]/(WWWW[[#This Row],['#_Constructed latrines_by_WASHAgencies]]+WWWW[[#This Row],['#_Non Cluster partner latrines]]))</f>
        <v>0</v>
      </c>
      <c r="CU86" s="80">
        <f>IF(500*(WWWW[[#This Row],['#_male hygiene promoters]]+WWWW[[#This Row],['#_female hygiene promoters]])&gt;WWWW[[#This Row],[Total PoP ]],WWWW[[#This Row],[Total PoP ]],500*(WWWW[[#This Row],['#_male hygiene promoters]]+WWWW[[#This Row],['#_female hygiene promoters]]))</f>
        <v>650</v>
      </c>
      <c r="CV86"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225</v>
      </c>
      <c r="CW86"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650</v>
      </c>
      <c r="CX86" s="81">
        <f>IF(WWWW[[#This Row],['# People with access to soap]]&gt;WWWW[[#This Row],['# People with access to Sanity Pads]],WWWW[[#This Row],['# People with access to soap]],WWWW[[#This Row],['# People with access to Sanity Pads]])</f>
        <v>650</v>
      </c>
      <c r="CY86" s="81">
        <f>IF(WWWW[[#This Row],['# people reached by regular dedicated hygiene promotion_5]]&gt;WWWW[[#This Row],['# People received regular supply of hygiene items_6]],WWWW[[#This Row],['# people reached by regular dedicated hygiene promotion_5]],WWWW[[#This Row],['# People received regular supply of hygiene items_6]])</f>
        <v>650</v>
      </c>
      <c r="CZ86" s="79">
        <f>IF(WWWW[[#This Row],[HRP3]]/WWWW[[#This Row],[Total PoP ]]&gt;100%,100%,WWWW[[#This Row],[HRP3]]/WWWW[[#This Row],[Total PoP ]])</f>
        <v>1</v>
      </c>
      <c r="DA86" s="83">
        <f>1-WWWW[[#This Row],[Hygiene Coverage%]]</f>
        <v>0</v>
      </c>
      <c r="DB86" s="82">
        <f>WWWW[[#This Row],['# people reached by regular dedicated hygiene promotion_5]]/WWWW[[#This Row],[Total PoP ]]</f>
        <v>1</v>
      </c>
      <c r="DC86" s="82">
        <f>IF(WWWW[[#This Row],['#_households that received standard amount of soap for this quarter]]/WWWW[[#This Row],[Total HH]]&gt;1,1,WWWW[[#This Row],['#_households that received standard amount of soap for this quarter]]/WWWW[[#This Row],[Total HH]])</f>
        <v>0.38461538461538464</v>
      </c>
      <c r="DD86" s="82">
        <f>IF(WWWW[[#This Row],['#_households that received standard amount of sanitary pads for this quarter]]/WWWW[[#This Row],[Total HH]]&gt;1,1,WWWW[[#This Row],['#_households that received standard amount of sanitary pads for this quarter]]/WWWW[[#This Row],[Total HH]])</f>
        <v>1</v>
      </c>
      <c r="DE86" s="81">
        <f>WWWW[[#This Row],['#_Constructed/Existing hand washing stations]]-WWWW[[#This Row],['#_Non-Functional_hand_washing_stations]]</f>
        <v>9</v>
      </c>
      <c r="DF86" s="667">
        <f>IF(WWWW[[#This Row],['# Functional hand washing stations during reporting period]]*20&gt;WWWW[[#This Row],[Total HH]],WWWW[[#This Row],[Total HH]],WWWW[[#This Row],['# Functional hand washing stations during reporting period]]*20)</f>
        <v>117</v>
      </c>
      <c r="DG86" s="80">
        <f>IF(WWWW[[#This Row],[Is sufficient soap available for TLS? (Yes/No)]]="yes",WWWW[[#This Row],['#_Constructed/Existing hand washing stations at TLS]],0)</f>
        <v>0</v>
      </c>
      <c r="DH86" s="667">
        <f>IF(WWWW[[#This Row],['# Functional hand washing stations during reporting period]]*100&gt;WWWW[[#This Row],[Total PoP ]],WWWW[[#This Row],[Total PoP ]],WWWW[[#This Row],['# Functional hand washing stations during reporting period]]*100)</f>
        <v>650</v>
      </c>
      <c r="DI86" s="667" t="str">
        <f>IF(WWWW[[#This Row],['#_students at TLS_CFS]]="","No","Yes")</f>
        <v>No</v>
      </c>
      <c r="DJ86" s="245">
        <f>VLOOKUP(WWWW[[#This Row],[Site Name]],SiteDB6[[Site Name]:[CCCM Management]],6,FALSE)</f>
        <v>0</v>
      </c>
      <c r="DK86" s="245">
        <f>VLOOKUP(WWWW[[#This Row],[Site Name]],SiteDB6[[Site Name]:[CCCM Focal Agency]],7,FALSE)</f>
        <v>0</v>
      </c>
      <c r="DL86" s="245" t="str">
        <f>VLOOKUP(WWWW[[#This Row],[Site Name]],SiteDB6[[Site Name]:[Location Type 1]],9,FALSE)</f>
        <v>Camp</v>
      </c>
      <c r="DM86" s="245" t="str">
        <f>VLOOKUP(WWWW[[#This Row],[Site Name]],SiteDB6[[Site Name]:[Type of Accommodation]],10,FALSE)</f>
        <v>Camp</v>
      </c>
      <c r="DN86" s="245" t="str">
        <f>VLOOKUP(WWWW[[#This Row],[Site Name]],SiteDB6[[Site Name]:[Ethnic or GCA/NGCA]],11,FALSE)</f>
        <v>GCA</v>
      </c>
      <c r="DO86" s="245">
        <f>VLOOKUP(WWWW[[#This Row],[Site Name]],SiteDB6[[Site Name]:[Lat]],12,FALSE)</f>
        <v>0</v>
      </c>
      <c r="DP86" s="245">
        <f>VLOOKUP(WWWW[[#This Row],[Site Name]],SiteDB6[[Site Name]:[Long]],13,FALSE)</f>
        <v>0</v>
      </c>
      <c r="DQ86" s="245">
        <f>VLOOKUP(WWWW[[#This Row],[Site Name]],SiteDB6[[Site Name]:[Pcode]],3,FALSE)</f>
        <v>0</v>
      </c>
      <c r="DR86" s="215" t="str">
        <f t="shared" si="3"/>
        <v>Covered</v>
      </c>
      <c r="DS86" s="215"/>
      <c r="DT86" s="20"/>
      <c r="DU86" s="20"/>
      <c r="DV86" s="20"/>
      <c r="DW86" s="20"/>
      <c r="DX86" s="20"/>
      <c r="DY86" s="20"/>
      <c r="DZ86" s="20"/>
      <c r="EA86" s="20"/>
      <c r="EB86" s="20"/>
      <c r="EC86" s="20"/>
      <c r="ED86" s="20"/>
      <c r="EE86" s="20"/>
      <c r="EF86" s="20"/>
      <c r="EG86" s="20"/>
      <c r="EH86" s="20"/>
    </row>
    <row r="87" spans="1:138" ht="15.75" customHeight="1">
      <c r="A87" s="259" t="s">
        <v>2525</v>
      </c>
      <c r="B87" s="663" t="s">
        <v>284</v>
      </c>
      <c r="C87" s="663" t="s">
        <v>284</v>
      </c>
      <c r="D87" s="663" t="s">
        <v>2962</v>
      </c>
      <c r="E87" s="663" t="s">
        <v>39</v>
      </c>
      <c r="F87" s="663" t="s">
        <v>213</v>
      </c>
      <c r="G87" s="663" t="str">
        <f>VLOOKUP(WWWW[[#This Row],[Site Name]],SiteDB6[[Site Name]:[Location Type]],8,FALSE)</f>
        <v>Camp</v>
      </c>
      <c r="H87" s="663" t="s">
        <v>292</v>
      </c>
      <c r="I87" s="700">
        <v>49</v>
      </c>
      <c r="J87" s="700">
        <v>300</v>
      </c>
      <c r="K87" s="642" t="s">
        <v>2963</v>
      </c>
      <c r="L87" s="78" t="s">
        <v>2964</v>
      </c>
      <c r="M87" s="700"/>
      <c r="N87" s="700">
        <v>0</v>
      </c>
      <c r="O87" s="700">
        <v>0</v>
      </c>
      <c r="P87" s="700">
        <v>0</v>
      </c>
      <c r="Q87" s="77" t="s">
        <v>43</v>
      </c>
      <c r="R87" s="377">
        <v>4</v>
      </c>
      <c r="S87" s="377">
        <v>7</v>
      </c>
      <c r="T87" s="377">
        <v>3</v>
      </c>
      <c r="U87" s="377">
        <v>0</v>
      </c>
      <c r="V87" s="377"/>
      <c r="W87" s="377">
        <v>0</v>
      </c>
      <c r="X87" s="377">
        <v>0</v>
      </c>
      <c r="Y87" s="377"/>
      <c r="Z87" s="377"/>
      <c r="AA87" s="377"/>
      <c r="AB87" s="377"/>
      <c r="AC87" s="377"/>
      <c r="AD87" s="377"/>
      <c r="AE87" s="377"/>
      <c r="AF87" s="377"/>
      <c r="AG87" s="377"/>
      <c r="AH87" s="377"/>
      <c r="AI87" s="377">
        <v>1</v>
      </c>
      <c r="AJ87" s="377">
        <v>1</v>
      </c>
      <c r="AK87" s="377">
        <v>6</v>
      </c>
      <c r="AL87" s="377">
        <v>0</v>
      </c>
      <c r="AM87" s="377"/>
      <c r="AN87" s="377"/>
      <c r="AO87" s="215"/>
      <c r="AP87" s="377">
        <v>18</v>
      </c>
      <c r="AQ87" s="377"/>
      <c r="AR87" s="77"/>
      <c r="AS87" s="377"/>
      <c r="AT87" s="377"/>
      <c r="AU87" s="377">
        <v>16</v>
      </c>
      <c r="AV87" s="377"/>
      <c r="AW87" s="377"/>
      <c r="AX87" s="245" t="s">
        <v>43</v>
      </c>
      <c r="AY87" s="245" t="s">
        <v>145</v>
      </c>
      <c r="AZ87" s="377">
        <v>0</v>
      </c>
      <c r="BA87" s="377">
        <v>0</v>
      </c>
      <c r="BB87" s="377"/>
      <c r="BC87" s="215"/>
      <c r="BD87" s="377">
        <v>5</v>
      </c>
      <c r="BE87" s="377">
        <v>1</v>
      </c>
      <c r="BF87" s="377"/>
      <c r="BG87" s="377">
        <v>3</v>
      </c>
      <c r="BH87" s="377"/>
      <c r="BI87" s="377">
        <v>0</v>
      </c>
      <c r="BJ87" s="377">
        <v>1</v>
      </c>
      <c r="BK87" s="377">
        <v>14</v>
      </c>
      <c r="BL87" s="377">
        <v>41</v>
      </c>
      <c r="BM87" s="215"/>
      <c r="BN87" s="80"/>
      <c r="BO87" s="82"/>
      <c r="BP87" s="215"/>
      <c r="BQ87" s="79">
        <f>IFERROR(WWWW[[#This Row],['#_Water sources treated]]/WWWW[[#This Row],['#_Water sources tested for contamination]],"no test")</f>
        <v>1</v>
      </c>
      <c r="BR87" s="82">
        <f>IFERROR(WWWW[[#This Row],['#_Household received remediation action due to contamination]]/WWWW[[#This Row],['#_Household water samples tested for contamination]],"no test")</f>
        <v>0</v>
      </c>
      <c r="BS87" s="81" t="str">
        <f>IF(AND(WWWW[[#This Row],[% of water sources treated]]="no test",WWWW[[#This Row],[% Household received corrective actions]]="no test"),"No Test","Tested")</f>
        <v>Tested</v>
      </c>
      <c r="BT87" s="81">
        <f>WWWW[[#This Row],['#_Constructed/existing protected hand dug well]]-WWWW[[#This Row],['#_Non-functional protected hand dug well]]</f>
        <v>3</v>
      </c>
      <c r="BU87" s="81">
        <f>(WWWW[[#This Row],['#_Constructed/Existing tube wells/boreholes/handpumps_WASH_agency]]+WWWW[[#This Row],['#_Non-Cluster partner water tube-wells/boreholes/handpumps]])-WWWW[[#This Row],['#_Non-functional tube wells/boreholes/handpumps]]</f>
        <v>0</v>
      </c>
      <c r="BV87" s="81">
        <f>WWWW[[#This Row],['#_Constructed/Existingwater storage tank with gravity fed reticulation system]]-WWWW[[#This Row],['#_Non-functional storage tank gravity fed reticulation system]]</f>
        <v>0</v>
      </c>
      <c r="BW87" s="81">
        <f>WWWW[[#This Row],['#_Water boating or water trucking]]</f>
        <v>0</v>
      </c>
      <c r="BX87" s="81">
        <f>WWWW[[#This Row],['#_Constructed/Existing water distribution system from river or natural spring]]</f>
        <v>0</v>
      </c>
      <c r="BY87"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87"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87" s="82">
        <f>IF(WWWW[[#This Row],[Location Type 1]]="Village",WWWW[[#This Row],[Access to safe drinking water for Village]],WWWW[[#This Row],[Access to safe drinking water for Camp]])</f>
        <v>1</v>
      </c>
      <c r="CB87" s="80">
        <f>WWWW[[#This Row],[%Equitable and continuous access to sufficient quantity of safe drinking water]]*WWWW[[#This Row],[Total PoP ]]</f>
        <v>300</v>
      </c>
      <c r="CC87" s="82">
        <f>IF((WWWW[[#This Row],['#_Constructed/Existing protected/fenced ponds]]*250)/WWWW[[#This Row],[Total PoP ]]&gt;1,1,(WWWW[[#This Row],['#_Constructed/Existing protected/fenced ponds]]*250)/WWWW[[#This Row],[Total PoP ]])</f>
        <v>0</v>
      </c>
      <c r="CD87" s="80">
        <f>WWWW[[#This Row],[% Access to unimproved water points]]*WWWW[[#This Row],[Total PoP ]]</f>
        <v>0</v>
      </c>
      <c r="CE87"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87"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300</v>
      </c>
      <c r="CG87" s="80">
        <f>WWWW[[#This Row],[HRP1]]/500</f>
        <v>0.6</v>
      </c>
      <c r="CH87" s="79">
        <f>1-WWWW[[#This Row],[% Equitable and continuous access to sufficient quantity of domestic water]]</f>
        <v>0</v>
      </c>
      <c r="CI87" s="80">
        <f>WWWW[[#This Row],[%equitable and continuous access to sufficient quantity of safe drinking and domestic water''s GAP]]*WWWW[[#This Row],[Total PoP ]]</f>
        <v>0</v>
      </c>
      <c r="CJ87" s="81">
        <f>IF(WWWW[[#This Row],[Total required water points]]-WWWW[[#This Row],['#Water points coverage]]&lt;0,0,WWWW[[#This Row],[Total required water points]]-WWWW[[#This Row],['#Water points coverage]])</f>
        <v>0.4</v>
      </c>
      <c r="CK87" s="81">
        <f>ROUND(IF(WWWW[[#This Row],[Total PoP ]]&lt;500,1,WWWW[[#This Row],[Total PoP ]]/500),0)</f>
        <v>1</v>
      </c>
      <c r="CL87" s="81">
        <f>(WWWW[[#This Row],['#_Constructed latrines_by_WASHAgencies]]+WWWW[[#This Row],['#_Non Cluster partner latrines]])-WWWW[[#This Row],['#_Non-functional latrines]]</f>
        <v>18</v>
      </c>
      <c r="CM87"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87"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300</v>
      </c>
      <c r="CO87"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300</v>
      </c>
      <c r="CP87" s="81">
        <f>IF(WWWW[[#This Row],[Location Type 1]]="Village","NA",IF(WWWW[[#This Row],['#_Constructed/Existing latrines in TLS]]*50&gt;WWWW[[#This Row],['#_students at TLS_CFS]],WWWW[[#This Row],['#_students at TLS_CFS]],(WWWW[[#This Row],['#_Constructed/Existing latrines in TLS]]*50)))</f>
        <v>0</v>
      </c>
      <c r="CQ87" s="81">
        <f>ROUND(IF(WWWW[[#This Row],[Location Type 1]]="camp",WWWW[[#This Row],[Total PoP ]]/20,IF(WWWW[[#This Row],[Location Type 1]]="Temporary Location",WWWW[[#This Row],[Total PoP ]]/50,(WWWW[[#This Row],[Total PoP ]]/6))),0)</f>
        <v>15</v>
      </c>
      <c r="CR87" s="80">
        <f>IF(WWWW[[#This Row],[Total required Latrines]]-(WWWW[[#This Row],['#_Constructed latrines_by_WASHAgencies]]+WWWW[[#This Row],['#_Non Cluster partner latrines]])&lt;0,0,WWWW[[#This Row],[Total required Latrines]]-(WWWW[[#This Row],['#_Constructed latrines_by_WASHAgencies]]+WWWW[[#This Row],['#_Non Cluster partner latrines]]))</f>
        <v>0</v>
      </c>
      <c r="CS87" s="79">
        <f>1-WWWW[[#This Row],[% people access to functioning Latrine]]</f>
        <v>0</v>
      </c>
      <c r="CT87" s="83">
        <f>IF(OR(WWWW[[#This Row],['#_Non-functional latrines]]="",WWWW[[#This Row],['#_Non-functional latrines]]=0),0,WWWW[[#This Row],['#_Non-functional latrines]]/(WWWW[[#This Row],['#_Constructed latrines_by_WASHAgencies]]+WWWW[[#This Row],['#_Non Cluster partner latrines]]))</f>
        <v>0</v>
      </c>
      <c r="CU87" s="80">
        <f>IF(500*(WWWW[[#This Row],['#_male hygiene promoters]]+WWWW[[#This Row],['#_female hygiene promoters]])&gt;WWWW[[#This Row],[Total PoP ]],WWWW[[#This Row],[Total PoP ]],500*(WWWW[[#This Row],['#_male hygiene promoters]]+WWWW[[#This Row],['#_female hygiene promoters]]))</f>
        <v>300</v>
      </c>
      <c r="CV87"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70</v>
      </c>
      <c r="CW87"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205</v>
      </c>
      <c r="CX87" s="81">
        <f>IF(WWWW[[#This Row],['# People with access to soap]]&gt;WWWW[[#This Row],['# People with access to Sanity Pads]],WWWW[[#This Row],['# People with access to soap]],WWWW[[#This Row],['# People with access to Sanity Pads]])</f>
        <v>205</v>
      </c>
      <c r="CY87" s="81">
        <f>IF(WWWW[[#This Row],['# people reached by regular dedicated hygiene promotion_5]]&gt;WWWW[[#This Row],['# People received regular supply of hygiene items_6]],WWWW[[#This Row],['# people reached by regular dedicated hygiene promotion_5]],WWWW[[#This Row],['# People received regular supply of hygiene items_6]])</f>
        <v>300</v>
      </c>
      <c r="CZ87" s="79">
        <f>IF(WWWW[[#This Row],[HRP3]]/WWWW[[#This Row],[Total PoP ]]&gt;100%,100%,WWWW[[#This Row],[HRP3]]/WWWW[[#This Row],[Total PoP ]])</f>
        <v>1</v>
      </c>
      <c r="DA87" s="83">
        <f>1-WWWW[[#This Row],[Hygiene Coverage%]]</f>
        <v>0</v>
      </c>
      <c r="DB87" s="82">
        <f>WWWW[[#This Row],['# people reached by regular dedicated hygiene promotion_5]]/WWWW[[#This Row],[Total PoP ]]</f>
        <v>1</v>
      </c>
      <c r="DC87" s="82">
        <f>IF(WWWW[[#This Row],['#_households that received standard amount of soap for this quarter]]/WWWW[[#This Row],[Total HH]]&gt;1,1,WWWW[[#This Row],['#_households that received standard amount of soap for this quarter]]/WWWW[[#This Row],[Total HH]])</f>
        <v>0.2857142857142857</v>
      </c>
      <c r="DD87" s="82">
        <f>IF(WWWW[[#This Row],['#_households that received standard amount of sanitary pads for this quarter]]/WWWW[[#This Row],[Total HH]]&gt;1,1,WWWW[[#This Row],['#_households that received standard amount of sanitary pads for this quarter]]/WWWW[[#This Row],[Total HH]])</f>
        <v>0.83673469387755106</v>
      </c>
      <c r="DE87" s="81">
        <f>WWWW[[#This Row],['#_Constructed/Existing hand washing stations]]-WWWW[[#This Row],['#_Non-Functional_hand_washing_stations]]</f>
        <v>4</v>
      </c>
      <c r="DF87" s="667">
        <f>IF(WWWW[[#This Row],['# Functional hand washing stations during reporting period]]*20&gt;WWWW[[#This Row],[Total HH]],WWWW[[#This Row],[Total HH]],WWWW[[#This Row],['# Functional hand washing stations during reporting period]]*20)</f>
        <v>49</v>
      </c>
      <c r="DG87" s="80">
        <f>IF(WWWW[[#This Row],[Is sufficient soap available for TLS? (Yes/No)]]="yes",WWWW[[#This Row],['#_Constructed/Existing hand washing stations at TLS]],0)</f>
        <v>0</v>
      </c>
      <c r="DH87" s="667">
        <f>IF(WWWW[[#This Row],['# Functional hand washing stations during reporting period]]*100&gt;WWWW[[#This Row],[Total PoP ]],WWWW[[#This Row],[Total PoP ]],WWWW[[#This Row],['# Functional hand washing stations during reporting period]]*100)</f>
        <v>300</v>
      </c>
      <c r="DI87" s="667" t="str">
        <f>IF(WWWW[[#This Row],['#_students at TLS_CFS]]="","No","Yes")</f>
        <v>No</v>
      </c>
      <c r="DJ87" s="245" t="str">
        <f>VLOOKUP(WWWW[[#This Row],[Site Name]],SiteDB6[[Site Name]:[CCCM Management]],6,FALSE)</f>
        <v>Yes</v>
      </c>
      <c r="DK87" s="245" t="str">
        <f>VLOOKUP(WWWW[[#This Row],[Site Name]],SiteDB6[[Site Name]:[CCCM Focal Agency]],7,FALSE)</f>
        <v>KBC</v>
      </c>
      <c r="DL87" s="245" t="str">
        <f>VLOOKUP(WWWW[[#This Row],[Site Name]],SiteDB6[[Site Name]:[Location Type 1]],9,FALSE)</f>
        <v>Camp</v>
      </c>
      <c r="DM87" s="245" t="str">
        <f>VLOOKUP(WWWW[[#This Row],[Site Name]],SiteDB6[[Site Name]:[Type of Accommodation]],10,FALSE)</f>
        <v>Camp</v>
      </c>
      <c r="DN87" s="245" t="str">
        <f>VLOOKUP(WWWW[[#This Row],[Site Name]],SiteDB6[[Site Name]:[Ethnic or GCA/NGCA]],11,FALSE)</f>
        <v>GCA</v>
      </c>
      <c r="DO87" s="245">
        <f>VLOOKUP(WWWW[[#This Row],[Site Name]],SiteDB6[[Site Name]:[Lat]],12,FALSE)</f>
        <v>24.205417000000001</v>
      </c>
      <c r="DP87" s="245">
        <f>VLOOKUP(WWWW[[#This Row],[Site Name]],SiteDB6[[Site Name]:[Long]],13,FALSE)</f>
        <v>97.724483000000006</v>
      </c>
      <c r="DQ87" s="245" t="str">
        <f>VLOOKUP(WWWW[[#This Row],[Site Name]],SiteDB6[[Site Name]:[Pcode]],3,FALSE)</f>
        <v>MMR001CMP072</v>
      </c>
      <c r="DR87" s="215" t="str">
        <f t="shared" si="3"/>
        <v>Covered</v>
      </c>
      <c r="DS87" s="215"/>
      <c r="DT87" s="20"/>
      <c r="DU87" s="20"/>
      <c r="DV87" s="20"/>
      <c r="DW87" s="20"/>
      <c r="DX87" s="20"/>
      <c r="DY87" s="20"/>
      <c r="DZ87" s="20"/>
      <c r="EA87" s="20"/>
      <c r="EB87" s="20"/>
      <c r="EC87" s="20"/>
      <c r="ED87" s="20"/>
      <c r="EE87" s="20"/>
      <c r="EF87" s="20"/>
      <c r="EG87" s="20"/>
      <c r="EH87" s="20"/>
    </row>
    <row r="88" spans="1:138" ht="15.75" customHeight="1">
      <c r="A88" s="259" t="s">
        <v>2525</v>
      </c>
      <c r="B88" s="663" t="s">
        <v>284</v>
      </c>
      <c r="C88" s="663" t="s">
        <v>284</v>
      </c>
      <c r="D88" s="663" t="s">
        <v>2962</v>
      </c>
      <c r="E88" s="663" t="s">
        <v>39</v>
      </c>
      <c r="F88" s="663" t="s">
        <v>203</v>
      </c>
      <c r="G88" s="663" t="str">
        <f>VLOOKUP(WWWW[[#This Row],[Site Name]],SiteDB6[[Site Name]:[Location Type]],8,FALSE)</f>
        <v>Camp</v>
      </c>
      <c r="H88" s="663" t="s">
        <v>287</v>
      </c>
      <c r="I88" s="700">
        <v>148</v>
      </c>
      <c r="J88" s="700">
        <v>778</v>
      </c>
      <c r="K88" s="642" t="s">
        <v>2963</v>
      </c>
      <c r="L88" s="78" t="s">
        <v>2964</v>
      </c>
      <c r="M88" s="700"/>
      <c r="N88" s="700">
        <v>0</v>
      </c>
      <c r="O88" s="700">
        <v>0</v>
      </c>
      <c r="P88" s="700">
        <v>0</v>
      </c>
      <c r="Q88" s="77" t="s">
        <v>43</v>
      </c>
      <c r="R88" s="377">
        <v>7</v>
      </c>
      <c r="S88" s="377">
        <v>15</v>
      </c>
      <c r="T88" s="377">
        <v>1</v>
      </c>
      <c r="U88" s="377">
        <v>0</v>
      </c>
      <c r="V88" s="377"/>
      <c r="W88" s="377">
        <v>3</v>
      </c>
      <c r="X88" s="377">
        <v>0</v>
      </c>
      <c r="Y88" s="377"/>
      <c r="Z88" s="377"/>
      <c r="AA88" s="377"/>
      <c r="AB88" s="377"/>
      <c r="AC88" s="377"/>
      <c r="AD88" s="377"/>
      <c r="AE88" s="377"/>
      <c r="AF88" s="377"/>
      <c r="AG88" s="377"/>
      <c r="AH88" s="377"/>
      <c r="AI88" s="377">
        <v>3</v>
      </c>
      <c r="AJ88" s="377">
        <v>3</v>
      </c>
      <c r="AK88" s="377">
        <v>10</v>
      </c>
      <c r="AL88" s="377">
        <v>0</v>
      </c>
      <c r="AM88" s="377"/>
      <c r="AN88" s="377"/>
      <c r="AO88" s="215"/>
      <c r="AP88" s="377">
        <v>48</v>
      </c>
      <c r="AQ88" s="377"/>
      <c r="AR88" s="77"/>
      <c r="AS88" s="377"/>
      <c r="AT88" s="377"/>
      <c r="AU88" s="377">
        <v>34</v>
      </c>
      <c r="AV88" s="377"/>
      <c r="AW88" s="377"/>
      <c r="AX88" s="245" t="s">
        <v>43</v>
      </c>
      <c r="AY88" s="245" t="s">
        <v>145</v>
      </c>
      <c r="AZ88" s="377">
        <v>0</v>
      </c>
      <c r="BA88" s="377">
        <v>0</v>
      </c>
      <c r="BB88" s="377"/>
      <c r="BC88" s="215"/>
      <c r="BD88" s="377">
        <v>18</v>
      </c>
      <c r="BE88" s="377">
        <v>5</v>
      </c>
      <c r="BF88" s="377"/>
      <c r="BG88" s="377">
        <v>10</v>
      </c>
      <c r="BH88" s="377"/>
      <c r="BI88" s="377">
        <v>0</v>
      </c>
      <c r="BJ88" s="377">
        <v>3</v>
      </c>
      <c r="BK88" s="377">
        <v>63</v>
      </c>
      <c r="BL88" s="377">
        <v>200</v>
      </c>
      <c r="BM88" s="215"/>
      <c r="BN88" s="80"/>
      <c r="BO88" s="82"/>
      <c r="BP88" s="215"/>
      <c r="BQ88" s="79">
        <f>IFERROR(WWWW[[#This Row],['#_Water sources treated]]/WWWW[[#This Row],['#_Water sources tested for contamination]],"no test")</f>
        <v>1</v>
      </c>
      <c r="BR88" s="82">
        <f>IFERROR(WWWW[[#This Row],['#_Household received remediation action due to contamination]]/WWWW[[#This Row],['#_Household water samples tested for contamination]],"no test")</f>
        <v>0</v>
      </c>
      <c r="BS88" s="81" t="str">
        <f>IF(AND(WWWW[[#This Row],[% of water sources treated]]="no test",WWWW[[#This Row],[% Household received corrective actions]]="no test"),"No Test","Tested")</f>
        <v>Tested</v>
      </c>
      <c r="BT88" s="81">
        <f>WWWW[[#This Row],['#_Constructed/existing protected hand dug well]]-WWWW[[#This Row],['#_Non-functional protected hand dug well]]</f>
        <v>1</v>
      </c>
      <c r="BU88" s="81">
        <f>(WWWW[[#This Row],['#_Constructed/Existing tube wells/boreholes/handpumps_WASH_agency]]+WWWW[[#This Row],['#_Non-Cluster partner water tube-wells/boreholes/handpumps]])-WWWW[[#This Row],['#_Non-functional tube wells/boreholes/handpumps]]</f>
        <v>3</v>
      </c>
      <c r="BV88" s="81">
        <f>WWWW[[#This Row],['#_Constructed/Existingwater storage tank with gravity fed reticulation system]]-WWWW[[#This Row],['#_Non-functional storage tank gravity fed reticulation system]]</f>
        <v>0</v>
      </c>
      <c r="BW88" s="81">
        <f>WWWW[[#This Row],['#_Water boating or water trucking]]</f>
        <v>0</v>
      </c>
      <c r="BX88" s="81">
        <f>WWWW[[#This Row],['#_Constructed/Existing water distribution system from river or natural spring]]</f>
        <v>0</v>
      </c>
      <c r="BY88"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88"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88" s="82">
        <f>IF(WWWW[[#This Row],[Location Type 1]]="Village",WWWW[[#This Row],[Access to safe drinking water for Village]],WWWW[[#This Row],[Access to safe drinking water for Camp]])</f>
        <v>1</v>
      </c>
      <c r="CB88" s="80">
        <f>WWWW[[#This Row],[%Equitable and continuous access to sufficient quantity of safe drinking water]]*WWWW[[#This Row],[Total PoP ]]</f>
        <v>778</v>
      </c>
      <c r="CC88" s="82">
        <f>IF((WWWW[[#This Row],['#_Constructed/Existing protected/fenced ponds]]*250)/WWWW[[#This Row],[Total PoP ]]&gt;1,1,(WWWW[[#This Row],['#_Constructed/Existing protected/fenced ponds]]*250)/WWWW[[#This Row],[Total PoP ]])</f>
        <v>0</v>
      </c>
      <c r="CD88" s="80">
        <f>WWWW[[#This Row],[% Access to unimproved water points]]*WWWW[[#This Row],[Total PoP ]]</f>
        <v>0</v>
      </c>
      <c r="CE88"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88"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778</v>
      </c>
      <c r="CG88" s="80">
        <f>WWWW[[#This Row],[HRP1]]/500</f>
        <v>1.556</v>
      </c>
      <c r="CH88" s="79">
        <f>1-WWWW[[#This Row],[% Equitable and continuous access to sufficient quantity of domestic water]]</f>
        <v>0</v>
      </c>
      <c r="CI88" s="80">
        <f>WWWW[[#This Row],[%equitable and continuous access to sufficient quantity of safe drinking and domestic water''s GAP]]*WWWW[[#This Row],[Total PoP ]]</f>
        <v>0</v>
      </c>
      <c r="CJ88" s="81">
        <f>IF(WWWW[[#This Row],[Total required water points]]-WWWW[[#This Row],['#Water points coverage]]&lt;0,0,WWWW[[#This Row],[Total required water points]]-WWWW[[#This Row],['#Water points coverage]])</f>
        <v>0.44399999999999995</v>
      </c>
      <c r="CK88" s="81">
        <f>ROUND(IF(WWWW[[#This Row],[Total PoP ]]&lt;500,1,WWWW[[#This Row],[Total PoP ]]/500),0)</f>
        <v>2</v>
      </c>
      <c r="CL88" s="81">
        <f>(WWWW[[#This Row],['#_Constructed latrines_by_WASHAgencies]]+WWWW[[#This Row],['#_Non Cluster partner latrines]])-WWWW[[#This Row],['#_Non-functional latrines]]</f>
        <v>48</v>
      </c>
      <c r="CM88"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88"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778</v>
      </c>
      <c r="CO88"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680</v>
      </c>
      <c r="CP88" s="81">
        <f>IF(WWWW[[#This Row],[Location Type 1]]="Village","NA",IF(WWWW[[#This Row],['#_Constructed/Existing latrines in TLS]]*50&gt;WWWW[[#This Row],['#_students at TLS_CFS]],WWWW[[#This Row],['#_students at TLS_CFS]],(WWWW[[#This Row],['#_Constructed/Existing latrines in TLS]]*50)))</f>
        <v>0</v>
      </c>
      <c r="CQ88" s="81">
        <f>ROUND(IF(WWWW[[#This Row],[Location Type 1]]="camp",WWWW[[#This Row],[Total PoP ]]/20,IF(WWWW[[#This Row],[Location Type 1]]="Temporary Location",WWWW[[#This Row],[Total PoP ]]/50,(WWWW[[#This Row],[Total PoP ]]/6))),0)</f>
        <v>39</v>
      </c>
      <c r="CR88" s="80">
        <f>IF(WWWW[[#This Row],[Total required Latrines]]-(WWWW[[#This Row],['#_Constructed latrines_by_WASHAgencies]]+WWWW[[#This Row],['#_Non Cluster partner latrines]])&lt;0,0,WWWW[[#This Row],[Total required Latrines]]-(WWWW[[#This Row],['#_Constructed latrines_by_WASHAgencies]]+WWWW[[#This Row],['#_Non Cluster partner latrines]]))</f>
        <v>0</v>
      </c>
      <c r="CS88" s="79">
        <f>1-WWWW[[#This Row],[% people access to functioning Latrine]]</f>
        <v>0</v>
      </c>
      <c r="CT88" s="83">
        <f>IF(OR(WWWW[[#This Row],['#_Non-functional latrines]]="",WWWW[[#This Row],['#_Non-functional latrines]]=0),0,WWWW[[#This Row],['#_Non-functional latrines]]/(WWWW[[#This Row],['#_Constructed latrines_by_WASHAgencies]]+WWWW[[#This Row],['#_Non Cluster partner latrines]]))</f>
        <v>0</v>
      </c>
      <c r="CU88" s="80">
        <f>IF(500*(WWWW[[#This Row],['#_male hygiene promoters]]+WWWW[[#This Row],['#_female hygiene promoters]])&gt;WWWW[[#This Row],[Total PoP ]],WWWW[[#This Row],[Total PoP ]],500*(WWWW[[#This Row],['#_male hygiene promoters]]+WWWW[[#This Row],['#_female hygiene promoters]]))</f>
        <v>778</v>
      </c>
      <c r="CV88"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315</v>
      </c>
      <c r="CW88"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778</v>
      </c>
      <c r="CX88" s="81">
        <f>IF(WWWW[[#This Row],['# People with access to soap]]&gt;WWWW[[#This Row],['# People with access to Sanity Pads]],WWWW[[#This Row],['# People with access to soap]],WWWW[[#This Row],['# People with access to Sanity Pads]])</f>
        <v>778</v>
      </c>
      <c r="CY88" s="81">
        <f>IF(WWWW[[#This Row],['# people reached by regular dedicated hygiene promotion_5]]&gt;WWWW[[#This Row],['# People received regular supply of hygiene items_6]],WWWW[[#This Row],['# people reached by regular dedicated hygiene promotion_5]],WWWW[[#This Row],['# People received regular supply of hygiene items_6]])</f>
        <v>778</v>
      </c>
      <c r="CZ88" s="79">
        <f>IF(WWWW[[#This Row],[HRP3]]/WWWW[[#This Row],[Total PoP ]]&gt;100%,100%,WWWW[[#This Row],[HRP3]]/WWWW[[#This Row],[Total PoP ]])</f>
        <v>1</v>
      </c>
      <c r="DA88" s="83">
        <f>1-WWWW[[#This Row],[Hygiene Coverage%]]</f>
        <v>0</v>
      </c>
      <c r="DB88" s="82">
        <f>WWWW[[#This Row],['# people reached by regular dedicated hygiene promotion_5]]/WWWW[[#This Row],[Total PoP ]]</f>
        <v>1</v>
      </c>
      <c r="DC88" s="82">
        <f>IF(WWWW[[#This Row],['#_households that received standard amount of soap for this quarter]]/WWWW[[#This Row],[Total HH]]&gt;1,1,WWWW[[#This Row],['#_households that received standard amount of soap for this quarter]]/WWWW[[#This Row],[Total HH]])</f>
        <v>0.42567567567567566</v>
      </c>
      <c r="DD88" s="82">
        <f>IF(WWWW[[#This Row],['#_households that received standard amount of sanitary pads for this quarter]]/WWWW[[#This Row],[Total HH]]&gt;1,1,WWWW[[#This Row],['#_households that received standard amount of sanitary pads for this quarter]]/WWWW[[#This Row],[Total HH]])</f>
        <v>1</v>
      </c>
      <c r="DE88" s="81">
        <f>WWWW[[#This Row],['#_Constructed/Existing hand washing stations]]-WWWW[[#This Row],['#_Non-Functional_hand_washing_stations]]</f>
        <v>13</v>
      </c>
      <c r="DF88" s="667">
        <f>IF(WWWW[[#This Row],['# Functional hand washing stations during reporting period]]*20&gt;WWWW[[#This Row],[Total HH]],WWWW[[#This Row],[Total HH]],WWWW[[#This Row],['# Functional hand washing stations during reporting period]]*20)</f>
        <v>148</v>
      </c>
      <c r="DG88" s="80">
        <f>IF(WWWW[[#This Row],[Is sufficient soap available for TLS? (Yes/No)]]="yes",WWWW[[#This Row],['#_Constructed/Existing hand washing stations at TLS]],0)</f>
        <v>0</v>
      </c>
      <c r="DH88" s="667">
        <f>IF(WWWW[[#This Row],['# Functional hand washing stations during reporting period]]*100&gt;WWWW[[#This Row],[Total PoP ]],WWWW[[#This Row],[Total PoP ]],WWWW[[#This Row],['# Functional hand washing stations during reporting period]]*100)</f>
        <v>778</v>
      </c>
      <c r="DI88" s="667" t="str">
        <f>IF(WWWW[[#This Row],['#_students at TLS_CFS]]="","No","Yes")</f>
        <v>No</v>
      </c>
      <c r="DJ88" s="245" t="str">
        <f>VLOOKUP(WWWW[[#This Row],[Site Name]],SiteDB6[[Site Name]:[CCCM Management]],6,FALSE)</f>
        <v>Yes</v>
      </c>
      <c r="DK88" s="245" t="str">
        <f>VLOOKUP(WWWW[[#This Row],[Site Name]],SiteDB6[[Site Name]:[CCCM Focal Agency]],7,FALSE)</f>
        <v>KBC</v>
      </c>
      <c r="DL88" s="245" t="str">
        <f>VLOOKUP(WWWW[[#This Row],[Site Name]],SiteDB6[[Site Name]:[Location Type 1]],9,FALSE)</f>
        <v>Camp</v>
      </c>
      <c r="DM88" s="245" t="str">
        <f>VLOOKUP(WWWW[[#This Row],[Site Name]],SiteDB6[[Site Name]:[Type of Accommodation]],10,FALSE)</f>
        <v>Camp</v>
      </c>
      <c r="DN88" s="245" t="str">
        <f>VLOOKUP(WWWW[[#This Row],[Site Name]],SiteDB6[[Site Name]:[Ethnic or GCA/NGCA]],11,FALSE)</f>
        <v>GCA</v>
      </c>
      <c r="DO88" s="245">
        <f>VLOOKUP(WWWW[[#This Row],[Site Name]],SiteDB6[[Site Name]:[Lat]],12,FALSE)</f>
        <v>24.222349999999999</v>
      </c>
      <c r="DP88" s="245">
        <f>VLOOKUP(WWWW[[#This Row],[Site Name]],SiteDB6[[Site Name]:[Long]],13,FALSE)</f>
        <v>97.252650000000003</v>
      </c>
      <c r="DQ88" s="245" t="str">
        <f>VLOOKUP(WWWW[[#This Row],[Site Name]],SiteDB6[[Site Name]:[Pcode]],3,FALSE)</f>
        <v>MMR001CMP193</v>
      </c>
      <c r="DR88" s="215" t="str">
        <f t="shared" si="3"/>
        <v>Covered</v>
      </c>
      <c r="DS88" s="215"/>
      <c r="DT88" s="20"/>
      <c r="DU88" s="20"/>
      <c r="DV88" s="20"/>
      <c r="DW88" s="20"/>
      <c r="DX88" s="20"/>
      <c r="DY88" s="20"/>
      <c r="DZ88" s="20"/>
      <c r="EA88" s="20"/>
      <c r="EB88" s="20"/>
      <c r="EC88" s="20"/>
      <c r="ED88" s="20"/>
      <c r="EE88" s="20"/>
      <c r="EF88" s="20"/>
      <c r="EG88" s="20"/>
      <c r="EH88" s="20"/>
    </row>
    <row r="89" spans="1:138" ht="15.75" customHeight="1">
      <c r="A89" s="259" t="s">
        <v>2525</v>
      </c>
      <c r="B89" s="663" t="s">
        <v>200</v>
      </c>
      <c r="C89" s="663" t="s">
        <v>200</v>
      </c>
      <c r="D89" s="663" t="s">
        <v>2967</v>
      </c>
      <c r="E89" s="663" t="s">
        <v>39</v>
      </c>
      <c r="F89" s="663" t="s">
        <v>213</v>
      </c>
      <c r="G89" s="663" t="str">
        <f>VLOOKUP(WWWW[[#This Row],[Site Name]],SiteDB6[[Site Name]:[Location Type]],8,FALSE)</f>
        <v>Camp</v>
      </c>
      <c r="H89" s="663" t="s">
        <v>221</v>
      </c>
      <c r="I89" s="700">
        <v>109</v>
      </c>
      <c r="J89" s="700">
        <v>453</v>
      </c>
      <c r="K89" s="642">
        <v>43466</v>
      </c>
      <c r="L89" s="78">
        <v>43830</v>
      </c>
      <c r="M89" s="700"/>
      <c r="N89" s="700"/>
      <c r="O89" s="700"/>
      <c r="P89" s="700"/>
      <c r="Q89" s="77" t="s">
        <v>43</v>
      </c>
      <c r="R89" s="377">
        <v>1</v>
      </c>
      <c r="S89" s="377">
        <v>1</v>
      </c>
      <c r="T89" s="377">
        <v>2</v>
      </c>
      <c r="U89" s="377"/>
      <c r="V89" s="377"/>
      <c r="W89" s="377">
        <v>1</v>
      </c>
      <c r="X89" s="377">
        <v>1</v>
      </c>
      <c r="Y89" s="377"/>
      <c r="Z89" s="377"/>
      <c r="AA89" s="377"/>
      <c r="AB89" s="377"/>
      <c r="AC89" s="377"/>
      <c r="AD89" s="377"/>
      <c r="AE89" s="377"/>
      <c r="AF89" s="377"/>
      <c r="AG89" s="377"/>
      <c r="AH89" s="377"/>
      <c r="AI89" s="377"/>
      <c r="AJ89" s="377"/>
      <c r="AK89" s="377"/>
      <c r="AL89" s="377"/>
      <c r="AM89" s="377"/>
      <c r="AN89" s="377"/>
      <c r="AO89" s="215"/>
      <c r="AP89" s="377">
        <v>14</v>
      </c>
      <c r="AQ89" s="377"/>
      <c r="AR89" s="77"/>
      <c r="AS89" s="377">
        <v>6</v>
      </c>
      <c r="AT89" s="377"/>
      <c r="AU89" s="377"/>
      <c r="AV89" s="377"/>
      <c r="AW89" s="377"/>
      <c r="AX89" s="694" t="s">
        <v>43</v>
      </c>
      <c r="AY89" s="694" t="s">
        <v>145</v>
      </c>
      <c r="AZ89" s="377"/>
      <c r="BA89" s="377"/>
      <c r="BB89" s="377"/>
      <c r="BC89" s="215"/>
      <c r="BD89" s="377">
        <v>6</v>
      </c>
      <c r="BE89" s="377"/>
      <c r="BF89" s="377"/>
      <c r="BG89" s="377">
        <v>4</v>
      </c>
      <c r="BH89" s="377"/>
      <c r="BI89" s="377"/>
      <c r="BJ89" s="377"/>
      <c r="BK89" s="377"/>
      <c r="BL89" s="377"/>
      <c r="BM89" s="215"/>
      <c r="BN89" s="80"/>
      <c r="BO89" s="82"/>
      <c r="BP89" s="215"/>
      <c r="BQ89" s="79" t="str">
        <f>IFERROR(WWWW[[#This Row],['#_Water sources treated]]/WWWW[[#This Row],['#_Water sources tested for contamination]],"no test")</f>
        <v>no test</v>
      </c>
      <c r="BR89" s="82" t="str">
        <f>IFERROR(WWWW[[#This Row],['#_Household received remediation action due to contamination]]/WWWW[[#This Row],['#_Household water samples tested for contamination]],"no test")</f>
        <v>no test</v>
      </c>
      <c r="BS89" s="81" t="str">
        <f>IF(AND(WWWW[[#This Row],[% of water sources treated]]="no test",WWWW[[#This Row],[% Household received corrective actions]]="no test"),"No Test","Tested")</f>
        <v>No Test</v>
      </c>
      <c r="BT89" s="81">
        <f>WWWW[[#This Row],['#_Constructed/existing protected hand dug well]]-WWWW[[#This Row],['#_Non-functional protected hand dug well]]</f>
        <v>2</v>
      </c>
      <c r="BU89" s="81">
        <f>(WWWW[[#This Row],['#_Constructed/Existing tube wells/boreholes/handpumps_WASH_agency]]+WWWW[[#This Row],['#_Non-Cluster partner water tube-wells/boreholes/handpumps]])-WWWW[[#This Row],['#_Non-functional tube wells/boreholes/handpumps]]</f>
        <v>2</v>
      </c>
      <c r="BV89" s="81">
        <f>WWWW[[#This Row],['#_Constructed/Existingwater storage tank with gravity fed reticulation system]]-WWWW[[#This Row],['#_Non-functional storage tank gravity fed reticulation system]]</f>
        <v>0</v>
      </c>
      <c r="BW89" s="81">
        <f>WWWW[[#This Row],['#_Water boating or water trucking]]</f>
        <v>0</v>
      </c>
      <c r="BX89" s="81">
        <f>WWWW[[#This Row],['#_Constructed/Existing water distribution system from river or natural spring]]</f>
        <v>0</v>
      </c>
      <c r="BY89"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89"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89" s="82">
        <f>IF(WWWW[[#This Row],[Location Type 1]]="Village",WWWW[[#This Row],[Access to safe drinking water for Village]],WWWW[[#This Row],[Access to safe drinking water for Camp]])</f>
        <v>1</v>
      </c>
      <c r="CB89" s="80">
        <f>WWWW[[#This Row],[%Equitable and continuous access to sufficient quantity of safe drinking water]]*WWWW[[#This Row],[Total PoP ]]</f>
        <v>453</v>
      </c>
      <c r="CC89" s="82">
        <f>IF((WWWW[[#This Row],['#_Constructed/Existing protected/fenced ponds]]*250)/WWWW[[#This Row],[Total PoP ]]&gt;1,1,(WWWW[[#This Row],['#_Constructed/Existing protected/fenced ponds]]*250)/WWWW[[#This Row],[Total PoP ]])</f>
        <v>0</v>
      </c>
      <c r="CD89" s="80">
        <f>WWWW[[#This Row],[% Access to unimproved water points]]*WWWW[[#This Row],[Total PoP ]]</f>
        <v>0</v>
      </c>
      <c r="CE89"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89"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453</v>
      </c>
      <c r="CG89" s="80">
        <f>WWWW[[#This Row],[HRP1]]/500</f>
        <v>0.90600000000000003</v>
      </c>
      <c r="CH89" s="79">
        <f>1-WWWW[[#This Row],[% Equitable and continuous access to sufficient quantity of domestic water]]</f>
        <v>0</v>
      </c>
      <c r="CI89" s="80">
        <f>WWWW[[#This Row],[%equitable and continuous access to sufficient quantity of safe drinking and domestic water''s GAP]]*WWWW[[#This Row],[Total PoP ]]</f>
        <v>0</v>
      </c>
      <c r="CJ89" s="81">
        <f>IF(WWWW[[#This Row],[Total required water points]]-WWWW[[#This Row],['#Water points coverage]]&lt;0,0,WWWW[[#This Row],[Total required water points]]-WWWW[[#This Row],['#Water points coverage]])</f>
        <v>9.3999999999999972E-2</v>
      </c>
      <c r="CK89" s="81">
        <f>ROUND(IF(WWWW[[#This Row],[Total PoP ]]&lt;500,1,WWWW[[#This Row],[Total PoP ]]/500),0)</f>
        <v>1</v>
      </c>
      <c r="CL89" s="81">
        <f>(WWWW[[#This Row],['#_Constructed latrines_by_WASHAgencies]]+WWWW[[#This Row],['#_Non Cluster partner latrines]])-WWWW[[#This Row],['#_Non-functional latrines]]</f>
        <v>8</v>
      </c>
      <c r="CM89"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0.35320088300220753</v>
      </c>
      <c r="CN89"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160</v>
      </c>
      <c r="CO89"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89" s="81">
        <f>IF(WWWW[[#This Row],[Location Type 1]]="Village","NA",IF(WWWW[[#This Row],['#_Constructed/Existing latrines in TLS]]*50&gt;WWWW[[#This Row],['#_students at TLS_CFS]],WWWW[[#This Row],['#_students at TLS_CFS]],(WWWW[[#This Row],['#_Constructed/Existing latrines in TLS]]*50)))</f>
        <v>0</v>
      </c>
      <c r="CQ89" s="81">
        <f>ROUND(IF(WWWW[[#This Row],[Location Type 1]]="camp",WWWW[[#This Row],[Total PoP ]]/20,IF(WWWW[[#This Row],[Location Type 1]]="Temporary Location",WWWW[[#This Row],[Total PoP ]]/50,(WWWW[[#This Row],[Total PoP ]]/6))),0)</f>
        <v>23</v>
      </c>
      <c r="CR89" s="80">
        <f>IF(WWWW[[#This Row],[Total required Latrines]]-(WWWW[[#This Row],['#_Constructed latrines_by_WASHAgencies]]+WWWW[[#This Row],['#_Non Cluster partner latrines]])&lt;0,0,WWWW[[#This Row],[Total required Latrines]]-(WWWW[[#This Row],['#_Constructed latrines_by_WASHAgencies]]+WWWW[[#This Row],['#_Non Cluster partner latrines]]))</f>
        <v>9</v>
      </c>
      <c r="CS89" s="79">
        <f>1-WWWW[[#This Row],[% people access to functioning Latrine]]</f>
        <v>0.64679911699779247</v>
      </c>
      <c r="CT89" s="83">
        <f>IF(OR(WWWW[[#This Row],['#_Non-functional latrines]]="",WWWW[[#This Row],['#_Non-functional latrines]]=0),0,WWWW[[#This Row],['#_Non-functional latrines]]/(WWWW[[#This Row],['#_Constructed latrines_by_WASHAgencies]]+WWWW[[#This Row],['#_Non Cluster partner latrines]]))</f>
        <v>0.42857142857142855</v>
      </c>
      <c r="CU89" s="80">
        <f>IF(500*(WWWW[[#This Row],['#_male hygiene promoters]]+WWWW[[#This Row],['#_female hygiene promoters]])&gt;WWWW[[#This Row],[Total PoP ]],WWWW[[#This Row],[Total PoP ]],500*(WWWW[[#This Row],['#_male hygiene promoters]]+WWWW[[#This Row],['#_female hygiene promoters]]))</f>
        <v>0</v>
      </c>
      <c r="CV89"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89"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89" s="81">
        <f>IF(WWWW[[#This Row],['# People with access to soap]]&gt;WWWW[[#This Row],['# People with access to Sanity Pads]],WWWW[[#This Row],['# People with access to soap]],WWWW[[#This Row],['# People with access to Sanity Pads]])</f>
        <v>0</v>
      </c>
      <c r="CY89"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89" s="79">
        <f>IF(WWWW[[#This Row],[HRP3]]/WWWW[[#This Row],[Total PoP ]]&gt;100%,100%,WWWW[[#This Row],[HRP3]]/WWWW[[#This Row],[Total PoP ]])</f>
        <v>0</v>
      </c>
      <c r="DA89" s="83">
        <f>1-WWWW[[#This Row],[Hygiene Coverage%]]</f>
        <v>1</v>
      </c>
      <c r="DB89" s="82">
        <f>WWWW[[#This Row],['# people reached by regular dedicated hygiene promotion_5]]/WWWW[[#This Row],[Total PoP ]]</f>
        <v>0</v>
      </c>
      <c r="DC89" s="82">
        <f>IF(WWWW[[#This Row],['#_households that received standard amount of soap for this quarter]]/WWWW[[#This Row],[Total HH]]&gt;1,1,WWWW[[#This Row],['#_households that received standard amount of soap for this quarter]]/WWWW[[#This Row],[Total HH]])</f>
        <v>0</v>
      </c>
      <c r="DD89" s="82">
        <f>IF(WWWW[[#This Row],['#_households that received standard amount of sanitary pads for this quarter]]/WWWW[[#This Row],[Total HH]]&gt;1,1,WWWW[[#This Row],['#_households that received standard amount of sanitary pads for this quarter]]/WWWW[[#This Row],[Total HH]])</f>
        <v>0</v>
      </c>
      <c r="DE89" s="81">
        <f>WWWW[[#This Row],['#_Constructed/Existing hand washing stations]]-WWWW[[#This Row],['#_Non-Functional_hand_washing_stations]]</f>
        <v>6</v>
      </c>
      <c r="DF89" s="667">
        <f>IF(WWWW[[#This Row],['# Functional hand washing stations during reporting period]]*20&gt;WWWW[[#This Row],[Total HH]],WWWW[[#This Row],[Total HH]],WWWW[[#This Row],['# Functional hand washing stations during reporting period]]*20)</f>
        <v>109</v>
      </c>
      <c r="DG89" s="80">
        <f>IF(WWWW[[#This Row],[Is sufficient soap available for TLS? (Yes/No)]]="yes",WWWW[[#This Row],['#_Constructed/Existing hand washing stations at TLS]],0)</f>
        <v>0</v>
      </c>
      <c r="DH89" s="667">
        <f>IF(WWWW[[#This Row],['# Functional hand washing stations during reporting period]]*100&gt;WWWW[[#This Row],[Total PoP ]],WWWW[[#This Row],[Total PoP ]],WWWW[[#This Row],['# Functional hand washing stations during reporting period]]*100)</f>
        <v>453</v>
      </c>
      <c r="DI89" s="667" t="str">
        <f>IF(WWWW[[#This Row],['#_students at TLS_CFS]]="","No","Yes")</f>
        <v>No</v>
      </c>
      <c r="DJ89" s="245" t="str">
        <f>VLOOKUP(WWWW[[#This Row],[Site Name]],SiteDB6[[Site Name]:[CCCM Management]],6,FALSE)</f>
        <v>Yes</v>
      </c>
      <c r="DK89" s="245" t="str">
        <f>VLOOKUP(WWWW[[#This Row],[Site Name]],SiteDB6[[Site Name]:[CCCM Focal Agency]],7,FALSE)</f>
        <v>KBC</v>
      </c>
      <c r="DL89" s="245" t="str">
        <f>VLOOKUP(WWWW[[#This Row],[Site Name]],SiteDB6[[Site Name]:[Location Type 1]],9,FALSE)</f>
        <v>Camp</v>
      </c>
      <c r="DM89" s="245" t="str">
        <f>VLOOKUP(WWWW[[#This Row],[Site Name]],SiteDB6[[Site Name]:[Type of Accommodation]],10,FALSE)</f>
        <v>Camp</v>
      </c>
      <c r="DN89" s="245" t="str">
        <f>VLOOKUP(WWWW[[#This Row],[Site Name]],SiteDB6[[Site Name]:[Ethnic or GCA/NGCA]],11,FALSE)</f>
        <v>GCA</v>
      </c>
      <c r="DO89" s="245">
        <f>VLOOKUP(WWWW[[#This Row],[Site Name]],SiteDB6[[Site Name]:[Lat]],12,FALSE)</f>
        <v>24.250689999999999</v>
      </c>
      <c r="DP89" s="245">
        <f>VLOOKUP(WWWW[[#This Row],[Site Name]],SiteDB6[[Site Name]:[Long]],13,FALSE)</f>
        <v>97.344359999999995</v>
      </c>
      <c r="DQ89" s="245" t="str">
        <f>VLOOKUP(WWWW[[#This Row],[Site Name]],SiteDB6[[Site Name]:[Pcode]],3,FALSE)</f>
        <v>MMR001CMP056</v>
      </c>
      <c r="DR89" s="215" t="str">
        <f t="shared" si="3"/>
        <v>Covered</v>
      </c>
      <c r="DS89" s="215"/>
      <c r="DT89" s="20"/>
      <c r="DU89" s="20"/>
      <c r="DV89" s="20"/>
      <c r="DW89" s="20"/>
      <c r="DX89" s="20"/>
      <c r="DY89" s="20"/>
      <c r="DZ89" s="20"/>
      <c r="EA89" s="20"/>
      <c r="EB89" s="20"/>
      <c r="EC89" s="20"/>
      <c r="ED89" s="20"/>
      <c r="EE89" s="20"/>
      <c r="EF89" s="20"/>
      <c r="EG89" s="20"/>
      <c r="EH89" s="20"/>
    </row>
    <row r="90" spans="1:138" ht="15.75" customHeight="1">
      <c r="A90" s="259" t="s">
        <v>2525</v>
      </c>
      <c r="B90" s="663" t="s">
        <v>284</v>
      </c>
      <c r="C90" s="663" t="s">
        <v>284</v>
      </c>
      <c r="D90" s="663" t="s">
        <v>2962</v>
      </c>
      <c r="E90" s="663" t="s">
        <v>39</v>
      </c>
      <c r="F90" s="663" t="s">
        <v>203</v>
      </c>
      <c r="G90" s="663" t="str">
        <f>VLOOKUP(WWWW[[#This Row],[Site Name]],SiteDB6[[Site Name]:[Location Type]],8,FALSE)</f>
        <v>Camp</v>
      </c>
      <c r="H90" s="663" t="s">
        <v>288</v>
      </c>
      <c r="I90" s="700">
        <v>638</v>
      </c>
      <c r="J90" s="700">
        <v>4010</v>
      </c>
      <c r="K90" s="642" t="s">
        <v>2963</v>
      </c>
      <c r="L90" s="78" t="s">
        <v>2964</v>
      </c>
      <c r="M90" s="700"/>
      <c r="N90" s="700">
        <v>0</v>
      </c>
      <c r="O90" s="700">
        <v>0</v>
      </c>
      <c r="P90" s="700">
        <v>0</v>
      </c>
      <c r="Q90" s="77" t="s">
        <v>43</v>
      </c>
      <c r="R90" s="377">
        <v>13</v>
      </c>
      <c r="S90" s="377">
        <v>10</v>
      </c>
      <c r="T90" s="377">
        <v>2</v>
      </c>
      <c r="U90" s="377">
        <v>0</v>
      </c>
      <c r="V90" s="377"/>
      <c r="W90" s="377">
        <v>20</v>
      </c>
      <c r="X90" s="377">
        <v>0</v>
      </c>
      <c r="Y90" s="377"/>
      <c r="Z90" s="377"/>
      <c r="AA90" s="377"/>
      <c r="AB90" s="377"/>
      <c r="AC90" s="377"/>
      <c r="AD90" s="377"/>
      <c r="AE90" s="377"/>
      <c r="AF90" s="377"/>
      <c r="AG90" s="377"/>
      <c r="AH90" s="377"/>
      <c r="AI90" s="377">
        <v>13</v>
      </c>
      <c r="AJ90" s="377">
        <v>13</v>
      </c>
      <c r="AK90" s="377">
        <v>14</v>
      </c>
      <c r="AL90" s="377">
        <v>1</v>
      </c>
      <c r="AM90" s="377"/>
      <c r="AN90" s="377"/>
      <c r="AO90" s="215"/>
      <c r="AP90" s="377">
        <v>150</v>
      </c>
      <c r="AQ90" s="377"/>
      <c r="AR90" s="77"/>
      <c r="AS90" s="377"/>
      <c r="AT90" s="377"/>
      <c r="AU90" s="377">
        <v>110</v>
      </c>
      <c r="AV90" s="377"/>
      <c r="AW90" s="377"/>
      <c r="AX90" s="245" t="s">
        <v>43</v>
      </c>
      <c r="AY90" s="245" t="s">
        <v>145</v>
      </c>
      <c r="AZ90" s="377">
        <v>0</v>
      </c>
      <c r="BA90" s="377">
        <v>0</v>
      </c>
      <c r="BB90" s="377"/>
      <c r="BC90" s="215"/>
      <c r="BD90" s="377">
        <v>20</v>
      </c>
      <c r="BE90" s="377">
        <v>10</v>
      </c>
      <c r="BF90" s="377"/>
      <c r="BG90" s="377">
        <v>13</v>
      </c>
      <c r="BH90" s="377"/>
      <c r="BI90" s="377">
        <v>0</v>
      </c>
      <c r="BJ90" s="377">
        <v>5</v>
      </c>
      <c r="BK90" s="377">
        <v>226</v>
      </c>
      <c r="BL90" s="377">
        <v>695</v>
      </c>
      <c r="BM90" s="215"/>
      <c r="BN90" s="80"/>
      <c r="BO90" s="82"/>
      <c r="BP90" s="215"/>
      <c r="BQ90" s="79">
        <f>IFERROR(WWWW[[#This Row],['#_Water sources treated]]/WWWW[[#This Row],['#_Water sources tested for contamination]],"no test")</f>
        <v>1</v>
      </c>
      <c r="BR90" s="82">
        <f>IFERROR(WWWW[[#This Row],['#_Household received remediation action due to contamination]]/WWWW[[#This Row],['#_Household water samples tested for contamination]],"no test")</f>
        <v>7.1428571428571425E-2</v>
      </c>
      <c r="BS90" s="81" t="str">
        <f>IF(AND(WWWW[[#This Row],[% of water sources treated]]="no test",WWWW[[#This Row],[% Household received corrective actions]]="no test"),"No Test","Tested")</f>
        <v>Tested</v>
      </c>
      <c r="BT90" s="81">
        <f>WWWW[[#This Row],['#_Constructed/existing protected hand dug well]]-WWWW[[#This Row],['#_Non-functional protected hand dug well]]</f>
        <v>2</v>
      </c>
      <c r="BU90" s="81">
        <f>(WWWW[[#This Row],['#_Constructed/Existing tube wells/boreholes/handpumps_WASH_agency]]+WWWW[[#This Row],['#_Non-Cluster partner water tube-wells/boreholes/handpumps]])-WWWW[[#This Row],['#_Non-functional tube wells/boreholes/handpumps]]</f>
        <v>20</v>
      </c>
      <c r="BV90" s="81">
        <f>WWWW[[#This Row],['#_Constructed/Existingwater storage tank with gravity fed reticulation system]]-WWWW[[#This Row],['#_Non-functional storage tank gravity fed reticulation system]]</f>
        <v>0</v>
      </c>
      <c r="BW90" s="81">
        <f>WWWW[[#This Row],['#_Water boating or water trucking]]</f>
        <v>0</v>
      </c>
      <c r="BX90" s="81">
        <f>WWWW[[#This Row],['#_Constructed/Existing water distribution system from river or natural spring]]</f>
        <v>0</v>
      </c>
      <c r="BY90"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90"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90" s="82">
        <f>IF(WWWW[[#This Row],[Location Type 1]]="Village",WWWW[[#This Row],[Access to safe drinking water for Village]],WWWW[[#This Row],[Access to safe drinking water for Camp]])</f>
        <v>1</v>
      </c>
      <c r="CB90" s="80">
        <f>WWWW[[#This Row],[%Equitable and continuous access to sufficient quantity of safe drinking water]]*WWWW[[#This Row],[Total PoP ]]</f>
        <v>4010</v>
      </c>
      <c r="CC90" s="82">
        <f>IF((WWWW[[#This Row],['#_Constructed/Existing protected/fenced ponds]]*250)/WWWW[[#This Row],[Total PoP ]]&gt;1,1,(WWWW[[#This Row],['#_Constructed/Existing protected/fenced ponds]]*250)/WWWW[[#This Row],[Total PoP ]])</f>
        <v>0</v>
      </c>
      <c r="CD90" s="80">
        <f>WWWW[[#This Row],[% Access to unimproved water points]]*WWWW[[#This Row],[Total PoP ]]</f>
        <v>0</v>
      </c>
      <c r="CE90"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90"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4010</v>
      </c>
      <c r="CG90" s="80">
        <f>WWWW[[#This Row],[HRP1]]/500</f>
        <v>8.02</v>
      </c>
      <c r="CH90" s="79">
        <f>1-WWWW[[#This Row],[% Equitable and continuous access to sufficient quantity of domestic water]]</f>
        <v>0</v>
      </c>
      <c r="CI90" s="80">
        <f>WWWW[[#This Row],[%equitable and continuous access to sufficient quantity of safe drinking and domestic water''s GAP]]*WWWW[[#This Row],[Total PoP ]]</f>
        <v>0</v>
      </c>
      <c r="CJ90" s="81">
        <f>IF(WWWW[[#This Row],[Total required water points]]-WWWW[[#This Row],['#Water points coverage]]&lt;0,0,WWWW[[#This Row],[Total required water points]]-WWWW[[#This Row],['#Water points coverage]])</f>
        <v>0</v>
      </c>
      <c r="CK90" s="81">
        <f>ROUND(IF(WWWW[[#This Row],[Total PoP ]]&lt;500,1,WWWW[[#This Row],[Total PoP ]]/500),0)</f>
        <v>8</v>
      </c>
      <c r="CL90" s="81">
        <f>(WWWW[[#This Row],['#_Constructed latrines_by_WASHAgencies]]+WWWW[[#This Row],['#_Non Cluster partner latrines]])-WWWW[[#This Row],['#_Non-functional latrines]]</f>
        <v>150</v>
      </c>
      <c r="CM90"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0.74812967581047385</v>
      </c>
      <c r="CN90"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3000</v>
      </c>
      <c r="CO90"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2200</v>
      </c>
      <c r="CP90" s="81">
        <f>IF(WWWW[[#This Row],[Location Type 1]]="Village","NA",IF(WWWW[[#This Row],['#_Constructed/Existing latrines in TLS]]*50&gt;WWWW[[#This Row],['#_students at TLS_CFS]],WWWW[[#This Row],['#_students at TLS_CFS]],(WWWW[[#This Row],['#_Constructed/Existing latrines in TLS]]*50)))</f>
        <v>0</v>
      </c>
      <c r="CQ90" s="81">
        <f>ROUND(IF(WWWW[[#This Row],[Location Type 1]]="camp",WWWW[[#This Row],[Total PoP ]]/20,IF(WWWW[[#This Row],[Location Type 1]]="Temporary Location",WWWW[[#This Row],[Total PoP ]]/50,(WWWW[[#This Row],[Total PoP ]]/6))),0)</f>
        <v>201</v>
      </c>
      <c r="CR90" s="80">
        <f>IF(WWWW[[#This Row],[Total required Latrines]]-(WWWW[[#This Row],['#_Constructed latrines_by_WASHAgencies]]+WWWW[[#This Row],['#_Non Cluster partner latrines]])&lt;0,0,WWWW[[#This Row],[Total required Latrines]]-(WWWW[[#This Row],['#_Constructed latrines_by_WASHAgencies]]+WWWW[[#This Row],['#_Non Cluster partner latrines]]))</f>
        <v>51</v>
      </c>
      <c r="CS90" s="79">
        <f>1-WWWW[[#This Row],[% people access to functioning Latrine]]</f>
        <v>0.25187032418952615</v>
      </c>
      <c r="CT90" s="83">
        <f>IF(OR(WWWW[[#This Row],['#_Non-functional latrines]]="",WWWW[[#This Row],['#_Non-functional latrines]]=0),0,WWWW[[#This Row],['#_Non-functional latrines]]/(WWWW[[#This Row],['#_Constructed latrines_by_WASHAgencies]]+WWWW[[#This Row],['#_Non Cluster partner latrines]]))</f>
        <v>0</v>
      </c>
      <c r="CU90" s="80">
        <f>IF(500*(WWWW[[#This Row],['#_male hygiene promoters]]+WWWW[[#This Row],['#_female hygiene promoters]])&gt;WWWW[[#This Row],[Total PoP ]],WWWW[[#This Row],[Total PoP ]],500*(WWWW[[#This Row],['#_male hygiene promoters]]+WWWW[[#This Row],['#_female hygiene promoters]]))</f>
        <v>2500</v>
      </c>
      <c r="CV90"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1130</v>
      </c>
      <c r="CW90"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3475</v>
      </c>
      <c r="CX90" s="81">
        <f>IF(WWWW[[#This Row],['# People with access to soap]]&gt;WWWW[[#This Row],['# People with access to Sanity Pads]],WWWW[[#This Row],['# People with access to soap]],WWWW[[#This Row],['# People with access to Sanity Pads]])</f>
        <v>3475</v>
      </c>
      <c r="CY90" s="81">
        <f>IF(WWWW[[#This Row],['# people reached by regular dedicated hygiene promotion_5]]&gt;WWWW[[#This Row],['# People received regular supply of hygiene items_6]],WWWW[[#This Row],['# people reached by regular dedicated hygiene promotion_5]],WWWW[[#This Row],['# People received regular supply of hygiene items_6]])</f>
        <v>3475</v>
      </c>
      <c r="CZ90" s="79">
        <f>IF(WWWW[[#This Row],[HRP3]]/WWWW[[#This Row],[Total PoP ]]&gt;100%,100%,WWWW[[#This Row],[HRP3]]/WWWW[[#This Row],[Total PoP ]])</f>
        <v>0.86658354114713221</v>
      </c>
      <c r="DA90" s="83">
        <f>1-WWWW[[#This Row],[Hygiene Coverage%]]</f>
        <v>0.13341645885286779</v>
      </c>
      <c r="DB90" s="82">
        <f>WWWW[[#This Row],['# people reached by regular dedicated hygiene promotion_5]]/WWWW[[#This Row],[Total PoP ]]</f>
        <v>0.62344139650872821</v>
      </c>
      <c r="DC90" s="82">
        <f>IF(WWWW[[#This Row],['#_households that received standard amount of soap for this quarter]]/WWWW[[#This Row],[Total HH]]&gt;1,1,WWWW[[#This Row],['#_households that received standard amount of soap for this quarter]]/WWWW[[#This Row],[Total HH]])</f>
        <v>0.35423197492163011</v>
      </c>
      <c r="DD90" s="82">
        <f>IF(WWWW[[#This Row],['#_households that received standard amount of sanitary pads for this quarter]]/WWWW[[#This Row],[Total HH]]&gt;1,1,WWWW[[#This Row],['#_households that received standard amount of sanitary pads for this quarter]]/WWWW[[#This Row],[Total HH]])</f>
        <v>1</v>
      </c>
      <c r="DE90" s="81">
        <f>WWWW[[#This Row],['#_Constructed/Existing hand washing stations]]-WWWW[[#This Row],['#_Non-Functional_hand_washing_stations]]</f>
        <v>10</v>
      </c>
      <c r="DF90" s="667">
        <f>IF(WWWW[[#This Row],['# Functional hand washing stations during reporting period]]*20&gt;WWWW[[#This Row],[Total HH]],WWWW[[#This Row],[Total HH]],WWWW[[#This Row],['# Functional hand washing stations during reporting period]]*20)</f>
        <v>200</v>
      </c>
      <c r="DG90" s="80">
        <f>IF(WWWW[[#This Row],[Is sufficient soap available for TLS? (Yes/No)]]="yes",WWWW[[#This Row],['#_Constructed/Existing hand washing stations at TLS]],0)</f>
        <v>0</v>
      </c>
      <c r="DH90" s="667">
        <f>IF(WWWW[[#This Row],['# Functional hand washing stations during reporting period]]*100&gt;WWWW[[#This Row],[Total PoP ]],WWWW[[#This Row],[Total PoP ]],WWWW[[#This Row],['# Functional hand washing stations during reporting period]]*100)</f>
        <v>1000</v>
      </c>
      <c r="DI90" s="667" t="str">
        <f>IF(WWWW[[#This Row],['#_students at TLS_CFS]]="","No","Yes")</f>
        <v>No</v>
      </c>
      <c r="DJ90" s="245" t="str">
        <f>VLOOKUP(WWWW[[#This Row],[Site Name]],SiteDB6[[Site Name]:[CCCM Management]],6,FALSE)</f>
        <v>Yes</v>
      </c>
      <c r="DK90" s="245" t="str">
        <f>VLOOKUP(WWWW[[#This Row],[Site Name]],SiteDB6[[Site Name]:[CCCM Focal Agency]],7,FALSE)</f>
        <v>KBC</v>
      </c>
      <c r="DL90" s="245" t="str">
        <f>VLOOKUP(WWWW[[#This Row],[Site Name]],SiteDB6[[Site Name]:[Location Type 1]],9,FALSE)</f>
        <v>Camp</v>
      </c>
      <c r="DM90" s="245" t="str">
        <f>VLOOKUP(WWWW[[#This Row],[Site Name]],SiteDB6[[Site Name]:[Type of Accommodation]],10,FALSE)</f>
        <v>Camp</v>
      </c>
      <c r="DN90" s="245" t="str">
        <f>VLOOKUP(WWWW[[#This Row],[Site Name]],SiteDB6[[Site Name]:[Ethnic or GCA/NGCA]],11,FALSE)</f>
        <v>GCA</v>
      </c>
      <c r="DO90" s="245">
        <f>VLOOKUP(WWWW[[#This Row],[Site Name]],SiteDB6[[Site Name]:[Lat]],12,FALSE)</f>
        <v>24.26829283</v>
      </c>
      <c r="DP90" s="245">
        <f>VLOOKUP(WWWW[[#This Row],[Site Name]],SiteDB6[[Site Name]:[Long]],13,FALSE)</f>
        <v>97.229116809999994</v>
      </c>
      <c r="DQ90" s="245" t="str">
        <f>VLOOKUP(WWWW[[#This Row],[Site Name]],SiteDB6[[Site Name]:[Pcode]],3,FALSE)</f>
        <v>MMR001CMP047</v>
      </c>
      <c r="DR90" s="215" t="str">
        <f t="shared" si="3"/>
        <v>Covered</v>
      </c>
      <c r="DS90" s="215"/>
      <c r="DT90" s="20"/>
      <c r="DU90" s="20"/>
      <c r="DV90" s="20"/>
      <c r="DW90" s="20"/>
      <c r="DX90" s="20"/>
      <c r="DY90" s="20"/>
      <c r="DZ90" s="20"/>
      <c r="EA90" s="20"/>
      <c r="EB90" s="20"/>
      <c r="EC90" s="20"/>
      <c r="ED90" s="20"/>
      <c r="EE90" s="20"/>
      <c r="EF90" s="20"/>
      <c r="EG90" s="20"/>
      <c r="EH90" s="20"/>
    </row>
    <row r="91" spans="1:138" ht="15.75" customHeight="1">
      <c r="A91" s="259" t="s">
        <v>2525</v>
      </c>
      <c r="B91" s="663" t="s">
        <v>200</v>
      </c>
      <c r="C91" s="663" t="s">
        <v>200</v>
      </c>
      <c r="D91" s="663" t="s">
        <v>2967</v>
      </c>
      <c r="E91" s="663" t="s">
        <v>39</v>
      </c>
      <c r="F91" s="663" t="s">
        <v>203</v>
      </c>
      <c r="G91" s="663" t="str">
        <f>VLOOKUP(WWWW[[#This Row],[Site Name]],SiteDB6[[Site Name]:[Location Type]],8,FALSE)</f>
        <v>Camp</v>
      </c>
      <c r="H91" s="663" t="s">
        <v>209</v>
      </c>
      <c r="I91" s="700">
        <v>11</v>
      </c>
      <c r="J91" s="700">
        <v>49</v>
      </c>
      <c r="K91" s="642">
        <v>43466</v>
      </c>
      <c r="L91" s="78">
        <v>43830</v>
      </c>
      <c r="M91" s="700"/>
      <c r="N91" s="700"/>
      <c r="O91" s="700"/>
      <c r="P91" s="700"/>
      <c r="Q91" s="77" t="s">
        <v>144</v>
      </c>
      <c r="R91" s="377"/>
      <c r="S91" s="377"/>
      <c r="T91" s="377"/>
      <c r="U91" s="377"/>
      <c r="V91" s="377"/>
      <c r="W91" s="377">
        <v>1</v>
      </c>
      <c r="X91" s="377">
        <v>1</v>
      </c>
      <c r="Y91" s="377"/>
      <c r="Z91" s="377"/>
      <c r="AA91" s="377"/>
      <c r="AB91" s="377"/>
      <c r="AC91" s="377"/>
      <c r="AD91" s="377"/>
      <c r="AE91" s="377"/>
      <c r="AF91" s="377"/>
      <c r="AG91" s="377"/>
      <c r="AH91" s="377"/>
      <c r="AI91" s="377"/>
      <c r="AJ91" s="377"/>
      <c r="AK91" s="377"/>
      <c r="AL91" s="377"/>
      <c r="AM91" s="377"/>
      <c r="AN91" s="377"/>
      <c r="AO91" s="215"/>
      <c r="AP91" s="377">
        <v>4</v>
      </c>
      <c r="AQ91" s="377"/>
      <c r="AR91" s="77"/>
      <c r="AS91" s="377">
        <v>2</v>
      </c>
      <c r="AT91" s="377"/>
      <c r="AU91" s="377"/>
      <c r="AV91" s="377"/>
      <c r="AW91" s="377"/>
      <c r="AX91" s="694" t="s">
        <v>43</v>
      </c>
      <c r="AY91" s="694" t="s">
        <v>145</v>
      </c>
      <c r="AZ91" s="377"/>
      <c r="BA91" s="377"/>
      <c r="BB91" s="377"/>
      <c r="BC91" s="215"/>
      <c r="BD91" s="377">
        <v>2</v>
      </c>
      <c r="BE91" s="377"/>
      <c r="BF91" s="377"/>
      <c r="BG91" s="377">
        <v>2</v>
      </c>
      <c r="BH91" s="377"/>
      <c r="BI91" s="377"/>
      <c r="BJ91" s="377"/>
      <c r="BK91" s="377">
        <v>11</v>
      </c>
      <c r="BL91" s="377">
        <v>5</v>
      </c>
      <c r="BM91" s="215"/>
      <c r="BN91" s="80"/>
      <c r="BO91" s="82"/>
      <c r="BP91" s="215"/>
      <c r="BQ91" s="79" t="str">
        <f>IFERROR(WWWW[[#This Row],['#_Water sources treated]]/WWWW[[#This Row],['#_Water sources tested for contamination]],"no test")</f>
        <v>no test</v>
      </c>
      <c r="BR91" s="82" t="str">
        <f>IFERROR(WWWW[[#This Row],['#_Household received remediation action due to contamination]]/WWWW[[#This Row],['#_Household water samples tested for contamination]],"no test")</f>
        <v>no test</v>
      </c>
      <c r="BS91" s="81" t="str">
        <f>IF(AND(WWWW[[#This Row],[% of water sources treated]]="no test",WWWW[[#This Row],[% Household received corrective actions]]="no test"),"No Test","Tested")</f>
        <v>No Test</v>
      </c>
      <c r="BT91" s="81">
        <f>WWWW[[#This Row],['#_Constructed/existing protected hand dug well]]-WWWW[[#This Row],['#_Non-functional protected hand dug well]]</f>
        <v>0</v>
      </c>
      <c r="BU91" s="81">
        <f>(WWWW[[#This Row],['#_Constructed/Existing tube wells/boreholes/handpumps_WASH_agency]]+WWWW[[#This Row],['#_Non-Cluster partner water tube-wells/boreholes/handpumps]])-WWWW[[#This Row],['#_Non-functional tube wells/boreholes/handpumps]]</f>
        <v>2</v>
      </c>
      <c r="BV91" s="81">
        <f>WWWW[[#This Row],['#_Constructed/Existingwater storage tank with gravity fed reticulation system]]-WWWW[[#This Row],['#_Non-functional storage tank gravity fed reticulation system]]</f>
        <v>0</v>
      </c>
      <c r="BW91" s="81">
        <f>WWWW[[#This Row],['#_Water boating or water trucking]]</f>
        <v>0</v>
      </c>
      <c r="BX91" s="81">
        <f>WWWW[[#This Row],['#_Constructed/Existing water distribution system from river or natural spring]]</f>
        <v>0</v>
      </c>
      <c r="BY91"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91"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91" s="82">
        <f>IF(WWWW[[#This Row],[Location Type 1]]="Village",WWWW[[#This Row],[Access to safe drinking water for Village]],WWWW[[#This Row],[Access to safe drinking water for Camp]])</f>
        <v>1</v>
      </c>
      <c r="CB91" s="80">
        <f>WWWW[[#This Row],[%Equitable and continuous access to sufficient quantity of safe drinking water]]*WWWW[[#This Row],[Total PoP ]]</f>
        <v>49</v>
      </c>
      <c r="CC91" s="82">
        <f>IF((WWWW[[#This Row],['#_Constructed/Existing protected/fenced ponds]]*250)/WWWW[[#This Row],[Total PoP ]]&gt;1,1,(WWWW[[#This Row],['#_Constructed/Existing protected/fenced ponds]]*250)/WWWW[[#This Row],[Total PoP ]])</f>
        <v>0</v>
      </c>
      <c r="CD91" s="80">
        <f>WWWW[[#This Row],[% Access to unimproved water points]]*WWWW[[#This Row],[Total PoP ]]</f>
        <v>0</v>
      </c>
      <c r="CE91"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91"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49</v>
      </c>
      <c r="CG91" s="80">
        <f>WWWW[[#This Row],[HRP1]]/500</f>
        <v>9.8000000000000004E-2</v>
      </c>
      <c r="CH91" s="79">
        <f>1-WWWW[[#This Row],[% Equitable and continuous access to sufficient quantity of domestic water]]</f>
        <v>0</v>
      </c>
      <c r="CI91" s="80">
        <f>WWWW[[#This Row],[%equitable and continuous access to sufficient quantity of safe drinking and domestic water''s GAP]]*WWWW[[#This Row],[Total PoP ]]</f>
        <v>0</v>
      </c>
      <c r="CJ91" s="81">
        <f>IF(WWWW[[#This Row],[Total required water points]]-WWWW[[#This Row],['#Water points coverage]]&lt;0,0,WWWW[[#This Row],[Total required water points]]-WWWW[[#This Row],['#Water points coverage]])</f>
        <v>0.90200000000000002</v>
      </c>
      <c r="CK91" s="81">
        <f>ROUND(IF(WWWW[[#This Row],[Total PoP ]]&lt;500,1,WWWW[[#This Row],[Total PoP ]]/500),0)</f>
        <v>1</v>
      </c>
      <c r="CL91" s="81">
        <f>(WWWW[[#This Row],['#_Constructed latrines_by_WASHAgencies]]+WWWW[[#This Row],['#_Non Cluster partner latrines]])-WWWW[[#This Row],['#_Non-functional latrines]]</f>
        <v>2</v>
      </c>
      <c r="CM91"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0.81632653061224492</v>
      </c>
      <c r="CN91"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40</v>
      </c>
      <c r="CO91"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91" s="81">
        <f>IF(WWWW[[#This Row],[Location Type 1]]="Village","NA",IF(WWWW[[#This Row],['#_Constructed/Existing latrines in TLS]]*50&gt;WWWW[[#This Row],['#_students at TLS_CFS]],WWWW[[#This Row],['#_students at TLS_CFS]],(WWWW[[#This Row],['#_Constructed/Existing latrines in TLS]]*50)))</f>
        <v>0</v>
      </c>
      <c r="CQ91" s="81">
        <f>ROUND(IF(WWWW[[#This Row],[Location Type 1]]="camp",WWWW[[#This Row],[Total PoP ]]/20,IF(WWWW[[#This Row],[Location Type 1]]="Temporary Location",WWWW[[#This Row],[Total PoP ]]/50,(WWWW[[#This Row],[Total PoP ]]/6))),0)</f>
        <v>2</v>
      </c>
      <c r="CR91" s="80">
        <f>IF(WWWW[[#This Row],[Total required Latrines]]-(WWWW[[#This Row],['#_Constructed latrines_by_WASHAgencies]]+WWWW[[#This Row],['#_Non Cluster partner latrines]])&lt;0,0,WWWW[[#This Row],[Total required Latrines]]-(WWWW[[#This Row],['#_Constructed latrines_by_WASHAgencies]]+WWWW[[#This Row],['#_Non Cluster partner latrines]]))</f>
        <v>0</v>
      </c>
      <c r="CS91" s="79">
        <f>1-WWWW[[#This Row],[% people access to functioning Latrine]]</f>
        <v>0.18367346938775508</v>
      </c>
      <c r="CT91" s="83">
        <f>IF(OR(WWWW[[#This Row],['#_Non-functional latrines]]="",WWWW[[#This Row],['#_Non-functional latrines]]=0),0,WWWW[[#This Row],['#_Non-functional latrines]]/(WWWW[[#This Row],['#_Constructed latrines_by_WASHAgencies]]+WWWW[[#This Row],['#_Non Cluster partner latrines]]))</f>
        <v>0.5</v>
      </c>
      <c r="CU91" s="80">
        <f>IF(500*(WWWW[[#This Row],['#_male hygiene promoters]]+WWWW[[#This Row],['#_female hygiene promoters]])&gt;WWWW[[#This Row],[Total PoP ]],WWWW[[#This Row],[Total PoP ]],500*(WWWW[[#This Row],['#_male hygiene promoters]]+WWWW[[#This Row],['#_female hygiene promoters]]))</f>
        <v>0</v>
      </c>
      <c r="CV91"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49</v>
      </c>
      <c r="CW91"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25</v>
      </c>
      <c r="CX91" s="81">
        <f>IF(WWWW[[#This Row],['# People with access to soap]]&gt;WWWW[[#This Row],['# People with access to Sanity Pads]],WWWW[[#This Row],['# People with access to soap]],WWWW[[#This Row],['# People with access to Sanity Pads]])</f>
        <v>49</v>
      </c>
      <c r="CY91" s="81">
        <f>IF(WWWW[[#This Row],['# people reached by regular dedicated hygiene promotion_5]]&gt;WWWW[[#This Row],['# People received regular supply of hygiene items_6]],WWWW[[#This Row],['# people reached by regular dedicated hygiene promotion_5]],WWWW[[#This Row],['# People received regular supply of hygiene items_6]])</f>
        <v>49</v>
      </c>
      <c r="CZ91" s="79">
        <f>IF(WWWW[[#This Row],[HRP3]]/WWWW[[#This Row],[Total PoP ]]&gt;100%,100%,WWWW[[#This Row],[HRP3]]/WWWW[[#This Row],[Total PoP ]])</f>
        <v>1</v>
      </c>
      <c r="DA91" s="83">
        <f>1-WWWW[[#This Row],[Hygiene Coverage%]]</f>
        <v>0</v>
      </c>
      <c r="DB91" s="82">
        <f>WWWW[[#This Row],['# people reached by regular dedicated hygiene promotion_5]]/WWWW[[#This Row],[Total PoP ]]</f>
        <v>0</v>
      </c>
      <c r="DC91" s="82">
        <f>IF(WWWW[[#This Row],['#_households that received standard amount of soap for this quarter]]/WWWW[[#This Row],[Total HH]]&gt;1,1,WWWW[[#This Row],['#_households that received standard amount of soap for this quarter]]/WWWW[[#This Row],[Total HH]])</f>
        <v>1</v>
      </c>
      <c r="DD91" s="82">
        <f>IF(WWWW[[#This Row],['#_households that received standard amount of sanitary pads for this quarter]]/WWWW[[#This Row],[Total HH]]&gt;1,1,WWWW[[#This Row],['#_households that received standard amount of sanitary pads for this quarter]]/WWWW[[#This Row],[Total HH]])</f>
        <v>0.45454545454545453</v>
      </c>
      <c r="DE91" s="81">
        <f>WWWW[[#This Row],['#_Constructed/Existing hand washing stations]]-WWWW[[#This Row],['#_Non-Functional_hand_washing_stations]]</f>
        <v>2</v>
      </c>
      <c r="DF91" s="667">
        <f>IF(WWWW[[#This Row],['# Functional hand washing stations during reporting period]]*20&gt;WWWW[[#This Row],[Total HH]],WWWW[[#This Row],[Total HH]],WWWW[[#This Row],['# Functional hand washing stations during reporting period]]*20)</f>
        <v>11</v>
      </c>
      <c r="DG91" s="80">
        <f>IF(WWWW[[#This Row],[Is sufficient soap available for TLS? (Yes/No)]]="yes",WWWW[[#This Row],['#_Constructed/Existing hand washing stations at TLS]],0)</f>
        <v>0</v>
      </c>
      <c r="DH91" s="667">
        <f>IF(WWWW[[#This Row],['# Functional hand washing stations during reporting period]]*100&gt;WWWW[[#This Row],[Total PoP ]],WWWW[[#This Row],[Total PoP ]],WWWW[[#This Row],['# Functional hand washing stations during reporting period]]*100)</f>
        <v>49</v>
      </c>
      <c r="DI91" s="667" t="str">
        <f>IF(WWWW[[#This Row],['#_students at TLS_CFS]]="","No","Yes")</f>
        <v>No</v>
      </c>
      <c r="DJ91" s="245" t="str">
        <f>VLOOKUP(WWWW[[#This Row],[Site Name]],SiteDB6[[Site Name]:[CCCM Management]],6,FALSE)</f>
        <v>Yes</v>
      </c>
      <c r="DK91" s="245" t="str">
        <f>VLOOKUP(WWWW[[#This Row],[Site Name]],SiteDB6[[Site Name]:[CCCM Focal Agency]],7,FALSE)</f>
        <v>Shalom</v>
      </c>
      <c r="DL91" s="245" t="str">
        <f>VLOOKUP(WWWW[[#This Row],[Site Name]],SiteDB6[[Site Name]:[Location Type 1]],9,FALSE)</f>
        <v>Camp</v>
      </c>
      <c r="DM91" s="245" t="str">
        <f>VLOOKUP(WWWW[[#This Row],[Site Name]],SiteDB6[[Site Name]:[Type of Accommodation]],10,FALSE)</f>
        <v>Camp</v>
      </c>
      <c r="DN91" s="245" t="str">
        <f>VLOOKUP(WWWW[[#This Row],[Site Name]],SiteDB6[[Site Name]:[Ethnic or GCA/NGCA]],11,FALSE)</f>
        <v>GCA</v>
      </c>
      <c r="DO91" s="245">
        <f>VLOOKUP(WWWW[[#This Row],[Site Name]],SiteDB6[[Site Name]:[Lat]],12,FALSE)</f>
        <v>24.253067000000001</v>
      </c>
      <c r="DP91" s="245">
        <f>VLOOKUP(WWWW[[#This Row],[Site Name]],SiteDB6[[Site Name]:[Long]],13,FALSE)</f>
        <v>97.234200000000001</v>
      </c>
      <c r="DQ91" s="245" t="str">
        <f>VLOOKUP(WWWW[[#This Row],[Site Name]],SiteDB6[[Site Name]:[Pcode]],3,FALSE)</f>
        <v>MMR001CMP051</v>
      </c>
      <c r="DR91" s="215" t="str">
        <f t="shared" si="3"/>
        <v>Covered</v>
      </c>
      <c r="DS91" s="215"/>
      <c r="DT91" s="20"/>
      <c r="DU91" s="20"/>
      <c r="DV91" s="20"/>
      <c r="DW91" s="20"/>
      <c r="DX91" s="20"/>
      <c r="DY91" s="20"/>
      <c r="DZ91" s="20"/>
      <c r="EA91" s="20"/>
      <c r="EB91" s="20"/>
      <c r="EC91" s="20"/>
      <c r="ED91" s="20"/>
      <c r="EE91" s="20"/>
      <c r="EF91" s="20"/>
      <c r="EG91" s="20"/>
      <c r="EH91" s="20"/>
    </row>
    <row r="92" spans="1:138" ht="15.75" customHeight="1">
      <c r="A92" s="259" t="s">
        <v>2525</v>
      </c>
      <c r="B92" s="663" t="s">
        <v>200</v>
      </c>
      <c r="C92" s="663" t="s">
        <v>200</v>
      </c>
      <c r="D92" s="663" t="s">
        <v>2967</v>
      </c>
      <c r="E92" s="663" t="s">
        <v>39</v>
      </c>
      <c r="F92" s="663" t="s">
        <v>203</v>
      </c>
      <c r="G92" s="663" t="str">
        <f>VLOOKUP(WWWW[[#This Row],[Site Name]],SiteDB6[[Site Name]:[Location Type]],8,FALSE)</f>
        <v>Camp</v>
      </c>
      <c r="H92" s="663" t="s">
        <v>211</v>
      </c>
      <c r="I92" s="700">
        <v>17</v>
      </c>
      <c r="J92" s="700">
        <v>76</v>
      </c>
      <c r="K92" s="642">
        <v>43466</v>
      </c>
      <c r="L92" s="78">
        <v>43830</v>
      </c>
      <c r="M92" s="700"/>
      <c r="N92" s="700"/>
      <c r="O92" s="700"/>
      <c r="P92" s="700"/>
      <c r="Q92" s="77" t="s">
        <v>144</v>
      </c>
      <c r="R92" s="377"/>
      <c r="S92" s="377"/>
      <c r="T92" s="377"/>
      <c r="U92" s="377"/>
      <c r="V92" s="377"/>
      <c r="W92" s="377"/>
      <c r="X92" s="377">
        <v>1</v>
      </c>
      <c r="Y92" s="377"/>
      <c r="Z92" s="377"/>
      <c r="AA92" s="377"/>
      <c r="AB92" s="377"/>
      <c r="AC92" s="377"/>
      <c r="AD92" s="377"/>
      <c r="AE92" s="377"/>
      <c r="AF92" s="377"/>
      <c r="AG92" s="377"/>
      <c r="AH92" s="377"/>
      <c r="AI92" s="377"/>
      <c r="AJ92" s="377"/>
      <c r="AK92" s="377"/>
      <c r="AL92" s="377"/>
      <c r="AM92" s="377"/>
      <c r="AN92" s="377"/>
      <c r="AO92" s="215"/>
      <c r="AP92" s="377">
        <v>4</v>
      </c>
      <c r="AQ92" s="377"/>
      <c r="AR92" s="77"/>
      <c r="AS92" s="377"/>
      <c r="AT92" s="377"/>
      <c r="AU92" s="377"/>
      <c r="AV92" s="377"/>
      <c r="AW92" s="377"/>
      <c r="AX92" s="694" t="s">
        <v>43</v>
      </c>
      <c r="AY92" s="694" t="s">
        <v>145</v>
      </c>
      <c r="AZ92" s="377"/>
      <c r="BA92" s="377"/>
      <c r="BB92" s="377"/>
      <c r="BC92" s="215"/>
      <c r="BD92" s="377">
        <v>2</v>
      </c>
      <c r="BE92" s="377"/>
      <c r="BF92" s="377"/>
      <c r="BG92" s="377">
        <v>2</v>
      </c>
      <c r="BH92" s="377"/>
      <c r="BI92" s="377"/>
      <c r="BJ92" s="377"/>
      <c r="BK92" s="377">
        <v>17</v>
      </c>
      <c r="BL92" s="377">
        <v>2</v>
      </c>
      <c r="BM92" s="215"/>
      <c r="BN92" s="80"/>
      <c r="BO92" s="82"/>
      <c r="BP92" s="215"/>
      <c r="BQ92" s="79" t="str">
        <f>IFERROR(WWWW[[#This Row],['#_Water sources treated]]/WWWW[[#This Row],['#_Water sources tested for contamination]],"no test")</f>
        <v>no test</v>
      </c>
      <c r="BR92" s="82" t="str">
        <f>IFERROR(WWWW[[#This Row],['#_Household received remediation action due to contamination]]/WWWW[[#This Row],['#_Household water samples tested for contamination]],"no test")</f>
        <v>no test</v>
      </c>
      <c r="BS92" s="81" t="str">
        <f>IF(AND(WWWW[[#This Row],[% of water sources treated]]="no test",WWWW[[#This Row],[% Household received corrective actions]]="no test"),"No Test","Tested")</f>
        <v>No Test</v>
      </c>
      <c r="BT92" s="81">
        <f>WWWW[[#This Row],['#_Constructed/existing protected hand dug well]]-WWWW[[#This Row],['#_Non-functional protected hand dug well]]</f>
        <v>0</v>
      </c>
      <c r="BU92" s="81">
        <f>(WWWW[[#This Row],['#_Constructed/Existing tube wells/boreholes/handpumps_WASH_agency]]+WWWW[[#This Row],['#_Non-Cluster partner water tube-wells/boreholes/handpumps]])-WWWW[[#This Row],['#_Non-functional tube wells/boreholes/handpumps]]</f>
        <v>1</v>
      </c>
      <c r="BV92" s="81">
        <f>WWWW[[#This Row],['#_Constructed/Existingwater storage tank with gravity fed reticulation system]]-WWWW[[#This Row],['#_Non-functional storage tank gravity fed reticulation system]]</f>
        <v>0</v>
      </c>
      <c r="BW92" s="81">
        <f>WWWW[[#This Row],['#_Water boating or water trucking]]</f>
        <v>0</v>
      </c>
      <c r="BX92" s="81">
        <f>WWWW[[#This Row],['#_Constructed/Existing water distribution system from river or natural spring]]</f>
        <v>0</v>
      </c>
      <c r="BY92"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92"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92" s="82">
        <f>IF(WWWW[[#This Row],[Location Type 1]]="Village",WWWW[[#This Row],[Access to safe drinking water for Village]],WWWW[[#This Row],[Access to safe drinking water for Camp]])</f>
        <v>1</v>
      </c>
      <c r="CB92" s="80">
        <f>WWWW[[#This Row],[%Equitable and continuous access to sufficient quantity of safe drinking water]]*WWWW[[#This Row],[Total PoP ]]</f>
        <v>76</v>
      </c>
      <c r="CC92" s="82">
        <f>IF((WWWW[[#This Row],['#_Constructed/Existing protected/fenced ponds]]*250)/WWWW[[#This Row],[Total PoP ]]&gt;1,1,(WWWW[[#This Row],['#_Constructed/Existing protected/fenced ponds]]*250)/WWWW[[#This Row],[Total PoP ]])</f>
        <v>0</v>
      </c>
      <c r="CD92" s="80">
        <f>WWWW[[#This Row],[% Access to unimproved water points]]*WWWW[[#This Row],[Total PoP ]]</f>
        <v>0</v>
      </c>
      <c r="CE92"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92"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76</v>
      </c>
      <c r="CG92" s="80">
        <f>WWWW[[#This Row],[HRP1]]/500</f>
        <v>0.152</v>
      </c>
      <c r="CH92" s="79">
        <f>1-WWWW[[#This Row],[% Equitable and continuous access to sufficient quantity of domestic water]]</f>
        <v>0</v>
      </c>
      <c r="CI92" s="80">
        <f>WWWW[[#This Row],[%equitable and continuous access to sufficient quantity of safe drinking and domestic water''s GAP]]*WWWW[[#This Row],[Total PoP ]]</f>
        <v>0</v>
      </c>
      <c r="CJ92" s="81">
        <f>IF(WWWW[[#This Row],[Total required water points]]-WWWW[[#This Row],['#Water points coverage]]&lt;0,0,WWWW[[#This Row],[Total required water points]]-WWWW[[#This Row],['#Water points coverage]])</f>
        <v>0.84799999999999998</v>
      </c>
      <c r="CK92" s="81">
        <f>ROUND(IF(WWWW[[#This Row],[Total PoP ]]&lt;500,1,WWWW[[#This Row],[Total PoP ]]/500),0)</f>
        <v>1</v>
      </c>
      <c r="CL92" s="81">
        <f>(WWWW[[#This Row],['#_Constructed latrines_by_WASHAgencies]]+WWWW[[#This Row],['#_Non Cluster partner latrines]])-WWWW[[#This Row],['#_Non-functional latrines]]</f>
        <v>4</v>
      </c>
      <c r="CM92"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92"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76</v>
      </c>
      <c r="CO92"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92" s="81">
        <f>IF(WWWW[[#This Row],[Location Type 1]]="Village","NA",IF(WWWW[[#This Row],['#_Constructed/Existing latrines in TLS]]*50&gt;WWWW[[#This Row],['#_students at TLS_CFS]],WWWW[[#This Row],['#_students at TLS_CFS]],(WWWW[[#This Row],['#_Constructed/Existing latrines in TLS]]*50)))</f>
        <v>0</v>
      </c>
      <c r="CQ92" s="81">
        <f>ROUND(IF(WWWW[[#This Row],[Location Type 1]]="camp",WWWW[[#This Row],[Total PoP ]]/20,IF(WWWW[[#This Row],[Location Type 1]]="Temporary Location",WWWW[[#This Row],[Total PoP ]]/50,(WWWW[[#This Row],[Total PoP ]]/6))),0)</f>
        <v>4</v>
      </c>
      <c r="CR92" s="80">
        <f>IF(WWWW[[#This Row],[Total required Latrines]]-(WWWW[[#This Row],['#_Constructed latrines_by_WASHAgencies]]+WWWW[[#This Row],['#_Non Cluster partner latrines]])&lt;0,0,WWWW[[#This Row],[Total required Latrines]]-(WWWW[[#This Row],['#_Constructed latrines_by_WASHAgencies]]+WWWW[[#This Row],['#_Non Cluster partner latrines]]))</f>
        <v>0</v>
      </c>
      <c r="CS92" s="79">
        <f>1-WWWW[[#This Row],[% people access to functioning Latrine]]</f>
        <v>0</v>
      </c>
      <c r="CT92" s="83">
        <f>IF(OR(WWWW[[#This Row],['#_Non-functional latrines]]="",WWWW[[#This Row],['#_Non-functional latrines]]=0),0,WWWW[[#This Row],['#_Non-functional latrines]]/(WWWW[[#This Row],['#_Constructed latrines_by_WASHAgencies]]+WWWW[[#This Row],['#_Non Cluster partner latrines]]))</f>
        <v>0</v>
      </c>
      <c r="CU92" s="80">
        <f>IF(500*(WWWW[[#This Row],['#_male hygiene promoters]]+WWWW[[#This Row],['#_female hygiene promoters]])&gt;WWWW[[#This Row],[Total PoP ]],WWWW[[#This Row],[Total PoP ]],500*(WWWW[[#This Row],['#_male hygiene promoters]]+WWWW[[#This Row],['#_female hygiene promoters]]))</f>
        <v>0</v>
      </c>
      <c r="CV92"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76</v>
      </c>
      <c r="CW92"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10</v>
      </c>
      <c r="CX92" s="81">
        <f>IF(WWWW[[#This Row],['# People with access to soap]]&gt;WWWW[[#This Row],['# People with access to Sanity Pads]],WWWW[[#This Row],['# People with access to soap]],WWWW[[#This Row],['# People with access to Sanity Pads]])</f>
        <v>76</v>
      </c>
      <c r="CY92" s="81">
        <f>IF(WWWW[[#This Row],['# people reached by regular dedicated hygiene promotion_5]]&gt;WWWW[[#This Row],['# People received regular supply of hygiene items_6]],WWWW[[#This Row],['# people reached by regular dedicated hygiene promotion_5]],WWWW[[#This Row],['# People received regular supply of hygiene items_6]])</f>
        <v>76</v>
      </c>
      <c r="CZ92" s="79">
        <f>IF(WWWW[[#This Row],[HRP3]]/WWWW[[#This Row],[Total PoP ]]&gt;100%,100%,WWWW[[#This Row],[HRP3]]/WWWW[[#This Row],[Total PoP ]])</f>
        <v>1</v>
      </c>
      <c r="DA92" s="83">
        <f>1-WWWW[[#This Row],[Hygiene Coverage%]]</f>
        <v>0</v>
      </c>
      <c r="DB92" s="82">
        <f>WWWW[[#This Row],['# people reached by regular dedicated hygiene promotion_5]]/WWWW[[#This Row],[Total PoP ]]</f>
        <v>0</v>
      </c>
      <c r="DC92" s="82">
        <f>IF(WWWW[[#This Row],['#_households that received standard amount of soap for this quarter]]/WWWW[[#This Row],[Total HH]]&gt;1,1,WWWW[[#This Row],['#_households that received standard amount of soap for this quarter]]/WWWW[[#This Row],[Total HH]])</f>
        <v>1</v>
      </c>
      <c r="DD92" s="82">
        <f>IF(WWWW[[#This Row],['#_households that received standard amount of sanitary pads for this quarter]]/WWWW[[#This Row],[Total HH]]&gt;1,1,WWWW[[#This Row],['#_households that received standard amount of sanitary pads for this quarter]]/WWWW[[#This Row],[Total HH]])</f>
        <v>0.11764705882352941</v>
      </c>
      <c r="DE92" s="81">
        <f>WWWW[[#This Row],['#_Constructed/Existing hand washing stations]]-WWWW[[#This Row],['#_Non-Functional_hand_washing_stations]]</f>
        <v>2</v>
      </c>
      <c r="DF92" s="667">
        <f>IF(WWWW[[#This Row],['# Functional hand washing stations during reporting period]]*20&gt;WWWW[[#This Row],[Total HH]],WWWW[[#This Row],[Total HH]],WWWW[[#This Row],['# Functional hand washing stations during reporting period]]*20)</f>
        <v>17</v>
      </c>
      <c r="DG92" s="80">
        <f>IF(WWWW[[#This Row],[Is sufficient soap available for TLS? (Yes/No)]]="yes",WWWW[[#This Row],['#_Constructed/Existing hand washing stations at TLS]],0)</f>
        <v>0</v>
      </c>
      <c r="DH92" s="667">
        <f>IF(WWWW[[#This Row],['# Functional hand washing stations during reporting period]]*100&gt;WWWW[[#This Row],[Total PoP ]],WWWW[[#This Row],[Total PoP ]],WWWW[[#This Row],['# Functional hand washing stations during reporting period]]*100)</f>
        <v>76</v>
      </c>
      <c r="DI92" s="667" t="str">
        <f>IF(WWWW[[#This Row],['#_students at TLS_CFS]]="","No","Yes")</f>
        <v>No</v>
      </c>
      <c r="DJ92" s="245" t="str">
        <f>VLOOKUP(WWWW[[#This Row],[Site Name]],SiteDB6[[Site Name]:[CCCM Management]],6,FALSE)</f>
        <v>Yes</v>
      </c>
      <c r="DK92" s="245" t="str">
        <f>VLOOKUP(WWWW[[#This Row],[Site Name]],SiteDB6[[Site Name]:[CCCM Focal Agency]],7,FALSE)</f>
        <v>KMSS-BMO</v>
      </c>
      <c r="DL92" s="245" t="str">
        <f>VLOOKUP(WWWW[[#This Row],[Site Name]],SiteDB6[[Site Name]:[Location Type 1]],9,FALSE)</f>
        <v>Camp</v>
      </c>
      <c r="DM92" s="245" t="str">
        <f>VLOOKUP(WWWW[[#This Row],[Site Name]],SiteDB6[[Site Name]:[Type of Accommodation]],10,FALSE)</f>
        <v>Camp</v>
      </c>
      <c r="DN92" s="245" t="str">
        <f>VLOOKUP(WWWW[[#This Row],[Site Name]],SiteDB6[[Site Name]:[Ethnic or GCA/NGCA]],11,FALSE)</f>
        <v>GCA</v>
      </c>
      <c r="DO92" s="245">
        <f>VLOOKUP(WWWW[[#This Row],[Site Name]],SiteDB6[[Site Name]:[Lat]],12,FALSE)</f>
        <v>24.32638</v>
      </c>
      <c r="DP92" s="245">
        <f>VLOOKUP(WWWW[[#This Row],[Site Name]],SiteDB6[[Site Name]:[Long]],13,FALSE)</f>
        <v>97.315860000000001</v>
      </c>
      <c r="DQ92" s="245" t="str">
        <f>VLOOKUP(WWWW[[#This Row],[Site Name]],SiteDB6[[Site Name]:[Pcode]],3,FALSE)</f>
        <v>MMR001CMP054</v>
      </c>
      <c r="DR92" s="215" t="str">
        <f t="shared" si="3"/>
        <v>Covered</v>
      </c>
      <c r="DS92" s="215"/>
      <c r="DT92" s="20"/>
      <c r="DU92" s="20"/>
      <c r="DV92" s="20"/>
      <c r="DW92" s="20"/>
      <c r="DX92" s="20"/>
      <c r="DY92" s="20"/>
      <c r="DZ92" s="20"/>
      <c r="EA92" s="20"/>
      <c r="EB92" s="20"/>
      <c r="EC92" s="20"/>
      <c r="ED92" s="20"/>
      <c r="EE92" s="20"/>
      <c r="EF92" s="20"/>
      <c r="EG92" s="20"/>
      <c r="EH92" s="20"/>
    </row>
    <row r="93" spans="1:138" ht="15.75" customHeight="1">
      <c r="A93" s="259" t="s">
        <v>2525</v>
      </c>
      <c r="B93" s="663" t="s">
        <v>317</v>
      </c>
      <c r="C93" s="663" t="s">
        <v>317</v>
      </c>
      <c r="D93" s="663"/>
      <c r="E93" s="663" t="s">
        <v>39</v>
      </c>
      <c r="F93" s="663" t="s">
        <v>213</v>
      </c>
      <c r="G93" s="663" t="str">
        <f>VLOOKUP(WWWW[[#This Row],[Site Name]],SiteDB6[[Site Name]:[Location Type]],8,FALSE)</f>
        <v>Camp</v>
      </c>
      <c r="H93" s="77" t="s">
        <v>1018</v>
      </c>
      <c r="I93" s="700">
        <v>223</v>
      </c>
      <c r="J93" s="700">
        <v>1067</v>
      </c>
      <c r="K93" s="642"/>
      <c r="L93" s="78"/>
      <c r="M93" s="700"/>
      <c r="N93" s="700"/>
      <c r="O93" s="700"/>
      <c r="P93" s="700"/>
      <c r="Q93" s="77"/>
      <c r="R93" s="377"/>
      <c r="S93" s="377"/>
      <c r="T93" s="377"/>
      <c r="U93" s="377"/>
      <c r="V93" s="377"/>
      <c r="W93" s="377"/>
      <c r="X93" s="377"/>
      <c r="Y93" s="377"/>
      <c r="Z93" s="377"/>
      <c r="AA93" s="377"/>
      <c r="AB93" s="377"/>
      <c r="AC93" s="377"/>
      <c r="AD93" s="377"/>
      <c r="AE93" s="377"/>
      <c r="AF93" s="377"/>
      <c r="AG93" s="377"/>
      <c r="AH93" s="377"/>
      <c r="AI93" s="377"/>
      <c r="AJ93" s="377"/>
      <c r="AK93" s="377"/>
      <c r="AL93" s="377"/>
      <c r="AM93" s="377"/>
      <c r="AN93" s="377"/>
      <c r="AO93" s="215"/>
      <c r="AP93" s="377"/>
      <c r="AQ93" s="377"/>
      <c r="AR93" s="77"/>
      <c r="AS93" s="377"/>
      <c r="AT93" s="377"/>
      <c r="AU93" s="377"/>
      <c r="AV93" s="377"/>
      <c r="AW93" s="377"/>
      <c r="AX93" s="245"/>
      <c r="AY93" s="245"/>
      <c r="AZ93" s="377"/>
      <c r="BA93" s="377"/>
      <c r="BB93" s="377"/>
      <c r="BC93" s="215"/>
      <c r="BD93" s="377"/>
      <c r="BE93" s="377"/>
      <c r="BF93" s="377"/>
      <c r="BG93" s="377"/>
      <c r="BH93" s="377"/>
      <c r="BI93" s="377"/>
      <c r="BJ93" s="377"/>
      <c r="BK93" s="377"/>
      <c r="BL93" s="377"/>
      <c r="BM93" s="215"/>
      <c r="BN93" s="80"/>
      <c r="BO93" s="82"/>
      <c r="BP93" s="215"/>
      <c r="BQ93" s="79" t="str">
        <f>IFERROR(WWWW[[#This Row],['#_Water sources treated]]/WWWW[[#This Row],['#_Water sources tested for contamination]],"no test")</f>
        <v>no test</v>
      </c>
      <c r="BR93" s="82" t="str">
        <f>IFERROR(WWWW[[#This Row],['#_Household received remediation action due to contamination]]/WWWW[[#This Row],['#_Household water samples tested for contamination]],"no test")</f>
        <v>no test</v>
      </c>
      <c r="BS93" s="81" t="str">
        <f>IF(AND(WWWW[[#This Row],[% of water sources treated]]="no test",WWWW[[#This Row],[% Household received corrective actions]]="no test"),"No Test","Tested")</f>
        <v>No Test</v>
      </c>
      <c r="BT93" s="81">
        <f>WWWW[[#This Row],['#_Constructed/existing protected hand dug well]]-WWWW[[#This Row],['#_Non-functional protected hand dug well]]</f>
        <v>0</v>
      </c>
      <c r="BU93" s="81">
        <f>(WWWW[[#This Row],['#_Constructed/Existing tube wells/boreholes/handpumps_WASH_agency]]+WWWW[[#This Row],['#_Non-Cluster partner water tube-wells/boreholes/handpumps]])-WWWW[[#This Row],['#_Non-functional tube wells/boreholes/handpumps]]</f>
        <v>0</v>
      </c>
      <c r="BV93" s="81">
        <f>WWWW[[#This Row],['#_Constructed/Existingwater storage tank with gravity fed reticulation system]]-WWWW[[#This Row],['#_Non-functional storage tank gravity fed reticulation system]]</f>
        <v>0</v>
      </c>
      <c r="BW93" s="81">
        <f>WWWW[[#This Row],['#_Water boating or water trucking]]</f>
        <v>0</v>
      </c>
      <c r="BX93" s="81">
        <f>WWWW[[#This Row],['#_Constructed/Existing water distribution system from river or natural spring]]</f>
        <v>0</v>
      </c>
      <c r="BY93"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93"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93" s="82">
        <f>IF(WWWW[[#This Row],[Location Type 1]]="Village",WWWW[[#This Row],[Access to safe drinking water for Village]],WWWW[[#This Row],[Access to safe drinking water for Camp]])</f>
        <v>0</v>
      </c>
      <c r="CB93" s="80">
        <f>WWWW[[#This Row],[%Equitable and continuous access to sufficient quantity of safe drinking water]]*WWWW[[#This Row],[Total PoP ]]</f>
        <v>0</v>
      </c>
      <c r="CC93" s="82">
        <f>IF((WWWW[[#This Row],['#_Constructed/Existing protected/fenced ponds]]*250)/WWWW[[#This Row],[Total PoP ]]&gt;1,1,(WWWW[[#This Row],['#_Constructed/Existing protected/fenced ponds]]*250)/WWWW[[#This Row],[Total PoP ]])</f>
        <v>0</v>
      </c>
      <c r="CD93" s="80">
        <f>WWWW[[#This Row],[% Access to unimproved water points]]*WWWW[[#This Row],[Total PoP ]]</f>
        <v>0</v>
      </c>
      <c r="CE93"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93"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93" s="80">
        <f>WWWW[[#This Row],[HRP1]]/500</f>
        <v>0</v>
      </c>
      <c r="CH93" s="79">
        <f>1-WWWW[[#This Row],[% Equitable and continuous access to sufficient quantity of domestic water]]</f>
        <v>1</v>
      </c>
      <c r="CI93" s="80">
        <f>WWWW[[#This Row],[%equitable and continuous access to sufficient quantity of safe drinking and domestic water''s GAP]]*WWWW[[#This Row],[Total PoP ]]</f>
        <v>1067</v>
      </c>
      <c r="CJ93" s="81">
        <f>IF(WWWW[[#This Row],[Total required water points]]-WWWW[[#This Row],['#Water points coverage]]&lt;0,0,WWWW[[#This Row],[Total required water points]]-WWWW[[#This Row],['#Water points coverage]])</f>
        <v>2</v>
      </c>
      <c r="CK93" s="81">
        <f>ROUND(IF(WWWW[[#This Row],[Total PoP ]]&lt;500,1,WWWW[[#This Row],[Total PoP ]]/500),0)</f>
        <v>2</v>
      </c>
      <c r="CL93" s="81">
        <f>(WWWW[[#This Row],['#_Constructed latrines_by_WASHAgencies]]+WWWW[[#This Row],['#_Non Cluster partner latrines]])-WWWW[[#This Row],['#_Non-functional latrines]]</f>
        <v>0</v>
      </c>
      <c r="CM93"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93"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93"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93" s="81">
        <f>IF(WWWW[[#This Row],[Location Type 1]]="Village","NA",IF(WWWW[[#This Row],['#_Constructed/Existing latrines in TLS]]*50&gt;WWWW[[#This Row],['#_students at TLS_CFS]],WWWW[[#This Row],['#_students at TLS_CFS]],(WWWW[[#This Row],['#_Constructed/Existing latrines in TLS]]*50)))</f>
        <v>0</v>
      </c>
      <c r="CQ93" s="81">
        <f>ROUND(IF(WWWW[[#This Row],[Location Type 1]]="camp",WWWW[[#This Row],[Total PoP ]]/20,IF(WWWW[[#This Row],[Location Type 1]]="Temporary Location",WWWW[[#This Row],[Total PoP ]]/50,(WWWW[[#This Row],[Total PoP ]]/6))),0)</f>
        <v>53</v>
      </c>
      <c r="CR93" s="80">
        <f>IF(WWWW[[#This Row],[Total required Latrines]]-(WWWW[[#This Row],['#_Constructed latrines_by_WASHAgencies]]+WWWW[[#This Row],['#_Non Cluster partner latrines]])&lt;0,0,WWWW[[#This Row],[Total required Latrines]]-(WWWW[[#This Row],['#_Constructed latrines_by_WASHAgencies]]+WWWW[[#This Row],['#_Non Cluster partner latrines]]))</f>
        <v>53</v>
      </c>
      <c r="CS93" s="79">
        <f>1-WWWW[[#This Row],[% people access to functioning Latrine]]</f>
        <v>1</v>
      </c>
      <c r="CT93" s="83">
        <f>IF(OR(WWWW[[#This Row],['#_Non-functional latrines]]="",WWWW[[#This Row],['#_Non-functional latrines]]=0),0,WWWW[[#This Row],['#_Non-functional latrines]]/(WWWW[[#This Row],['#_Constructed latrines_by_WASHAgencies]]+WWWW[[#This Row],['#_Non Cluster partner latrines]]))</f>
        <v>0</v>
      </c>
      <c r="CU93" s="80">
        <f>IF(500*(WWWW[[#This Row],['#_male hygiene promoters]]+WWWW[[#This Row],['#_female hygiene promoters]])&gt;WWWW[[#This Row],[Total PoP ]],WWWW[[#This Row],[Total PoP ]],500*(WWWW[[#This Row],['#_male hygiene promoters]]+WWWW[[#This Row],['#_female hygiene promoters]]))</f>
        <v>0</v>
      </c>
      <c r="CV93"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93"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93" s="81">
        <f>IF(WWWW[[#This Row],['# People with access to soap]]&gt;WWWW[[#This Row],['# People with access to Sanity Pads]],WWWW[[#This Row],['# People with access to soap]],WWWW[[#This Row],['# People with access to Sanity Pads]])</f>
        <v>0</v>
      </c>
      <c r="CY93"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93" s="79">
        <f>IF(WWWW[[#This Row],[HRP3]]/WWWW[[#This Row],[Total PoP ]]&gt;100%,100%,WWWW[[#This Row],[HRP3]]/WWWW[[#This Row],[Total PoP ]])</f>
        <v>0</v>
      </c>
      <c r="DA93" s="83">
        <f>1-WWWW[[#This Row],[Hygiene Coverage%]]</f>
        <v>1</v>
      </c>
      <c r="DB93" s="82">
        <f>WWWW[[#This Row],['# people reached by regular dedicated hygiene promotion_5]]/WWWW[[#This Row],[Total PoP ]]</f>
        <v>0</v>
      </c>
      <c r="DC93" s="82">
        <f>IF(WWWW[[#This Row],['#_households that received standard amount of soap for this quarter]]/WWWW[[#This Row],[Total HH]]&gt;1,1,WWWW[[#This Row],['#_households that received standard amount of soap for this quarter]]/WWWW[[#This Row],[Total HH]])</f>
        <v>0</v>
      </c>
      <c r="DD93" s="82">
        <f>IF(WWWW[[#This Row],['#_households that received standard amount of sanitary pads for this quarter]]/WWWW[[#This Row],[Total HH]]&gt;1,1,WWWW[[#This Row],['#_households that received standard amount of sanitary pads for this quarter]]/WWWW[[#This Row],[Total HH]])</f>
        <v>0</v>
      </c>
      <c r="DE93" s="81">
        <f>WWWW[[#This Row],['#_Constructed/Existing hand washing stations]]-WWWW[[#This Row],['#_Non-Functional_hand_washing_stations]]</f>
        <v>0</v>
      </c>
      <c r="DF93" s="667">
        <f>IF(WWWW[[#This Row],['# Functional hand washing stations during reporting period]]*20&gt;WWWW[[#This Row],[Total HH]],WWWW[[#This Row],[Total HH]],WWWW[[#This Row],['# Functional hand washing stations during reporting period]]*20)</f>
        <v>0</v>
      </c>
      <c r="DG93" s="80">
        <f>IF(WWWW[[#This Row],[Is sufficient soap available for TLS? (Yes/No)]]="yes",WWWW[[#This Row],['#_Constructed/Existing hand washing stations at TLS]],0)</f>
        <v>0</v>
      </c>
      <c r="DH93" s="667">
        <f>IF(WWWW[[#This Row],['# Functional hand washing stations during reporting period]]*100&gt;WWWW[[#This Row],[Total PoP ]],WWWW[[#This Row],[Total PoP ]],WWWW[[#This Row],['# Functional hand washing stations during reporting period]]*100)</f>
        <v>0</v>
      </c>
      <c r="DI93" s="667" t="str">
        <f>IF(WWWW[[#This Row],['#_students at TLS_CFS]]="","No","Yes")</f>
        <v>No</v>
      </c>
      <c r="DJ93" s="245">
        <f>VLOOKUP(WWWW[[#This Row],[Site Name]],SiteDB6[[Site Name]:[CCCM Management]],6,FALSE)</f>
        <v>0</v>
      </c>
      <c r="DK93" s="245" t="str">
        <f>VLOOKUP(WWWW[[#This Row],[Site Name]],SiteDB6[[Site Name]:[CCCM Focal Agency]],7,FALSE)</f>
        <v>uncovered</v>
      </c>
      <c r="DL93" s="245" t="str">
        <f>VLOOKUP(WWWW[[#This Row],[Site Name]],SiteDB6[[Site Name]:[Location Type 1]],9,FALSE)</f>
        <v>Camp</v>
      </c>
      <c r="DM93" s="245" t="str">
        <f>VLOOKUP(WWWW[[#This Row],[Site Name]],SiteDB6[[Site Name]:[Type of Accommodation]],10,FALSE)</f>
        <v>Host Families</v>
      </c>
      <c r="DN93" s="245" t="str">
        <f>VLOOKUP(WWWW[[#This Row],[Site Name]],SiteDB6[[Site Name]:[Ethnic or GCA/NGCA]],11,FALSE)</f>
        <v>GCA</v>
      </c>
      <c r="DO93" s="245">
        <f>VLOOKUP(WWWW[[#This Row],[Site Name]],SiteDB6[[Site Name]:[Lat]],12,FALSE)</f>
        <v>24.251232000000002</v>
      </c>
      <c r="DP93" s="245">
        <f>VLOOKUP(WWWW[[#This Row],[Site Name]],SiteDB6[[Site Name]:[Long]],13,FALSE)</f>
        <v>97.348405</v>
      </c>
      <c r="DQ93" s="245" t="str">
        <f>VLOOKUP(WWWW[[#This Row],[Site Name]],SiteDB6[[Site Name]:[Pcode]],3,FALSE)</f>
        <v>MMR001CMP197</v>
      </c>
      <c r="DR93" s="215" t="str">
        <f t="shared" si="3"/>
        <v>Notcovered</v>
      </c>
      <c r="DS93" s="215"/>
      <c r="DT93" s="20"/>
      <c r="DU93" s="20"/>
      <c r="DV93" s="20"/>
      <c r="DW93" s="20"/>
      <c r="DX93" s="20"/>
      <c r="DY93" s="20"/>
      <c r="DZ93" s="20"/>
      <c r="EA93" s="20"/>
      <c r="EB93" s="20"/>
      <c r="EC93" s="20"/>
      <c r="ED93" s="20"/>
      <c r="EE93" s="20"/>
      <c r="EF93" s="20"/>
      <c r="EG93" s="20"/>
      <c r="EH93" s="20"/>
    </row>
    <row r="94" spans="1:138" ht="15.75" customHeight="1">
      <c r="A94" s="259" t="s">
        <v>2525</v>
      </c>
      <c r="B94" s="663" t="s">
        <v>317</v>
      </c>
      <c r="C94" s="663" t="s">
        <v>317</v>
      </c>
      <c r="D94" s="663"/>
      <c r="E94" s="663" t="s">
        <v>39</v>
      </c>
      <c r="F94" s="663" t="s">
        <v>213</v>
      </c>
      <c r="G94" s="663" t="str">
        <f>VLOOKUP(WWWW[[#This Row],[Site Name]],SiteDB6[[Site Name]:[Location Type]],8,FALSE)</f>
        <v>Camp</v>
      </c>
      <c r="H94" s="77" t="s">
        <v>1028</v>
      </c>
      <c r="I94" s="700">
        <v>47</v>
      </c>
      <c r="J94" s="700">
        <v>153</v>
      </c>
      <c r="K94" s="642"/>
      <c r="L94" s="78"/>
      <c r="M94" s="700"/>
      <c r="N94" s="700"/>
      <c r="O94" s="700"/>
      <c r="P94" s="700"/>
      <c r="Q94" s="77"/>
      <c r="R94" s="377"/>
      <c r="S94" s="377"/>
      <c r="T94" s="377"/>
      <c r="U94" s="377"/>
      <c r="V94" s="377"/>
      <c r="W94" s="377"/>
      <c r="X94" s="377"/>
      <c r="Y94" s="377"/>
      <c r="Z94" s="377"/>
      <c r="AA94" s="377"/>
      <c r="AB94" s="377"/>
      <c r="AC94" s="377"/>
      <c r="AD94" s="377"/>
      <c r="AE94" s="377"/>
      <c r="AF94" s="377"/>
      <c r="AG94" s="377"/>
      <c r="AH94" s="377"/>
      <c r="AI94" s="377"/>
      <c r="AJ94" s="377"/>
      <c r="AK94" s="377"/>
      <c r="AL94" s="377"/>
      <c r="AM94" s="377"/>
      <c r="AN94" s="377"/>
      <c r="AO94" s="215"/>
      <c r="AP94" s="377"/>
      <c r="AQ94" s="377"/>
      <c r="AR94" s="77"/>
      <c r="AS94" s="377"/>
      <c r="AT94" s="377"/>
      <c r="AU94" s="377"/>
      <c r="AV94" s="377"/>
      <c r="AW94" s="377"/>
      <c r="AX94" s="245"/>
      <c r="AY94" s="245"/>
      <c r="AZ94" s="377"/>
      <c r="BA94" s="377"/>
      <c r="BB94" s="377"/>
      <c r="BC94" s="215"/>
      <c r="BD94" s="377"/>
      <c r="BE94" s="377"/>
      <c r="BF94" s="377"/>
      <c r="BG94" s="377"/>
      <c r="BH94" s="377"/>
      <c r="BI94" s="377"/>
      <c r="BJ94" s="377"/>
      <c r="BK94" s="377"/>
      <c r="BL94" s="377"/>
      <c r="BM94" s="215"/>
      <c r="BN94" s="80"/>
      <c r="BO94" s="82"/>
      <c r="BP94" s="215"/>
      <c r="BQ94" s="79" t="str">
        <f>IFERROR(WWWW[[#This Row],['#_Water sources treated]]/WWWW[[#This Row],['#_Water sources tested for contamination]],"no test")</f>
        <v>no test</v>
      </c>
      <c r="BR94" s="82" t="str">
        <f>IFERROR(WWWW[[#This Row],['#_Household received remediation action due to contamination]]/WWWW[[#This Row],['#_Household water samples tested for contamination]],"no test")</f>
        <v>no test</v>
      </c>
      <c r="BS94" s="81" t="str">
        <f>IF(AND(WWWW[[#This Row],[% of water sources treated]]="no test",WWWW[[#This Row],[% Household received corrective actions]]="no test"),"No Test","Tested")</f>
        <v>No Test</v>
      </c>
      <c r="BT94" s="81">
        <f>WWWW[[#This Row],['#_Constructed/existing protected hand dug well]]-WWWW[[#This Row],['#_Non-functional protected hand dug well]]</f>
        <v>0</v>
      </c>
      <c r="BU94" s="81">
        <f>(WWWW[[#This Row],['#_Constructed/Existing tube wells/boreholes/handpumps_WASH_agency]]+WWWW[[#This Row],['#_Non-Cluster partner water tube-wells/boreholes/handpumps]])-WWWW[[#This Row],['#_Non-functional tube wells/boreholes/handpumps]]</f>
        <v>0</v>
      </c>
      <c r="BV94" s="81">
        <f>WWWW[[#This Row],['#_Constructed/Existingwater storage tank with gravity fed reticulation system]]-WWWW[[#This Row],['#_Non-functional storage tank gravity fed reticulation system]]</f>
        <v>0</v>
      </c>
      <c r="BW94" s="81">
        <f>WWWW[[#This Row],['#_Water boating or water trucking]]</f>
        <v>0</v>
      </c>
      <c r="BX94" s="81">
        <f>WWWW[[#This Row],['#_Constructed/Existing water distribution system from river or natural spring]]</f>
        <v>0</v>
      </c>
      <c r="BY94"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94"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94" s="82">
        <f>IF(WWWW[[#This Row],[Location Type 1]]="Village",WWWW[[#This Row],[Access to safe drinking water for Village]],WWWW[[#This Row],[Access to safe drinking water for Camp]])</f>
        <v>0</v>
      </c>
      <c r="CB94" s="80">
        <f>WWWW[[#This Row],[%Equitable and continuous access to sufficient quantity of safe drinking water]]*WWWW[[#This Row],[Total PoP ]]</f>
        <v>0</v>
      </c>
      <c r="CC94" s="82">
        <f>IF((WWWW[[#This Row],['#_Constructed/Existing protected/fenced ponds]]*250)/WWWW[[#This Row],[Total PoP ]]&gt;1,1,(WWWW[[#This Row],['#_Constructed/Existing protected/fenced ponds]]*250)/WWWW[[#This Row],[Total PoP ]])</f>
        <v>0</v>
      </c>
      <c r="CD94" s="80">
        <f>WWWW[[#This Row],[% Access to unimproved water points]]*WWWW[[#This Row],[Total PoP ]]</f>
        <v>0</v>
      </c>
      <c r="CE94"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94"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94" s="80">
        <f>WWWW[[#This Row],[HRP1]]/500</f>
        <v>0</v>
      </c>
      <c r="CH94" s="79">
        <f>1-WWWW[[#This Row],[% Equitable and continuous access to sufficient quantity of domestic water]]</f>
        <v>1</v>
      </c>
      <c r="CI94" s="80">
        <f>WWWW[[#This Row],[%equitable and continuous access to sufficient quantity of safe drinking and domestic water''s GAP]]*WWWW[[#This Row],[Total PoP ]]</f>
        <v>153</v>
      </c>
      <c r="CJ94" s="81">
        <f>IF(WWWW[[#This Row],[Total required water points]]-WWWW[[#This Row],['#Water points coverage]]&lt;0,0,WWWW[[#This Row],[Total required water points]]-WWWW[[#This Row],['#Water points coverage]])</f>
        <v>1</v>
      </c>
      <c r="CK94" s="81">
        <f>ROUND(IF(WWWW[[#This Row],[Total PoP ]]&lt;500,1,WWWW[[#This Row],[Total PoP ]]/500),0)</f>
        <v>1</v>
      </c>
      <c r="CL94" s="81">
        <f>(WWWW[[#This Row],['#_Constructed latrines_by_WASHAgencies]]+WWWW[[#This Row],['#_Non Cluster partner latrines]])-WWWW[[#This Row],['#_Non-functional latrines]]</f>
        <v>0</v>
      </c>
      <c r="CM94"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94"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94"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94" s="81">
        <f>IF(WWWW[[#This Row],[Location Type 1]]="Village","NA",IF(WWWW[[#This Row],['#_Constructed/Existing latrines in TLS]]*50&gt;WWWW[[#This Row],['#_students at TLS_CFS]],WWWW[[#This Row],['#_students at TLS_CFS]],(WWWW[[#This Row],['#_Constructed/Existing latrines in TLS]]*50)))</f>
        <v>0</v>
      </c>
      <c r="CQ94" s="81">
        <f>ROUND(IF(WWWW[[#This Row],[Location Type 1]]="camp",WWWW[[#This Row],[Total PoP ]]/20,IF(WWWW[[#This Row],[Location Type 1]]="Temporary Location",WWWW[[#This Row],[Total PoP ]]/50,(WWWW[[#This Row],[Total PoP ]]/6))),0)</f>
        <v>8</v>
      </c>
      <c r="CR94" s="80">
        <f>IF(WWWW[[#This Row],[Total required Latrines]]-(WWWW[[#This Row],['#_Constructed latrines_by_WASHAgencies]]+WWWW[[#This Row],['#_Non Cluster partner latrines]])&lt;0,0,WWWW[[#This Row],[Total required Latrines]]-(WWWW[[#This Row],['#_Constructed latrines_by_WASHAgencies]]+WWWW[[#This Row],['#_Non Cluster partner latrines]]))</f>
        <v>8</v>
      </c>
      <c r="CS94" s="79">
        <f>1-WWWW[[#This Row],[% people access to functioning Latrine]]</f>
        <v>1</v>
      </c>
      <c r="CT94" s="83">
        <f>IF(OR(WWWW[[#This Row],['#_Non-functional latrines]]="",WWWW[[#This Row],['#_Non-functional latrines]]=0),0,WWWW[[#This Row],['#_Non-functional latrines]]/(WWWW[[#This Row],['#_Constructed latrines_by_WASHAgencies]]+WWWW[[#This Row],['#_Non Cluster partner latrines]]))</f>
        <v>0</v>
      </c>
      <c r="CU94" s="80">
        <f>IF(500*(WWWW[[#This Row],['#_male hygiene promoters]]+WWWW[[#This Row],['#_female hygiene promoters]])&gt;WWWW[[#This Row],[Total PoP ]],WWWW[[#This Row],[Total PoP ]],500*(WWWW[[#This Row],['#_male hygiene promoters]]+WWWW[[#This Row],['#_female hygiene promoters]]))</f>
        <v>0</v>
      </c>
      <c r="CV94"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94"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94" s="81">
        <f>IF(WWWW[[#This Row],['# People with access to soap]]&gt;WWWW[[#This Row],['# People with access to Sanity Pads]],WWWW[[#This Row],['# People with access to soap]],WWWW[[#This Row],['# People with access to Sanity Pads]])</f>
        <v>0</v>
      </c>
      <c r="CY94"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94" s="79">
        <f>IF(WWWW[[#This Row],[HRP3]]/WWWW[[#This Row],[Total PoP ]]&gt;100%,100%,WWWW[[#This Row],[HRP3]]/WWWW[[#This Row],[Total PoP ]])</f>
        <v>0</v>
      </c>
      <c r="DA94" s="83">
        <f>1-WWWW[[#This Row],[Hygiene Coverage%]]</f>
        <v>1</v>
      </c>
      <c r="DB94" s="82">
        <f>WWWW[[#This Row],['# people reached by regular dedicated hygiene promotion_5]]/WWWW[[#This Row],[Total PoP ]]</f>
        <v>0</v>
      </c>
      <c r="DC94" s="82">
        <f>IF(WWWW[[#This Row],['#_households that received standard amount of soap for this quarter]]/WWWW[[#This Row],[Total HH]]&gt;1,1,WWWW[[#This Row],['#_households that received standard amount of soap for this quarter]]/WWWW[[#This Row],[Total HH]])</f>
        <v>0</v>
      </c>
      <c r="DD94" s="82">
        <f>IF(WWWW[[#This Row],['#_households that received standard amount of sanitary pads for this quarter]]/WWWW[[#This Row],[Total HH]]&gt;1,1,WWWW[[#This Row],['#_households that received standard amount of sanitary pads for this quarter]]/WWWW[[#This Row],[Total HH]])</f>
        <v>0</v>
      </c>
      <c r="DE94" s="81">
        <f>WWWW[[#This Row],['#_Constructed/Existing hand washing stations]]-WWWW[[#This Row],['#_Non-Functional_hand_washing_stations]]</f>
        <v>0</v>
      </c>
      <c r="DF94" s="667">
        <f>IF(WWWW[[#This Row],['# Functional hand washing stations during reporting period]]*20&gt;WWWW[[#This Row],[Total HH]],WWWW[[#This Row],[Total HH]],WWWW[[#This Row],['# Functional hand washing stations during reporting period]]*20)</f>
        <v>0</v>
      </c>
      <c r="DG94" s="80">
        <f>IF(WWWW[[#This Row],[Is sufficient soap available for TLS? (Yes/No)]]="yes",WWWW[[#This Row],['#_Constructed/Existing hand washing stations at TLS]],0)</f>
        <v>0</v>
      </c>
      <c r="DH94" s="667">
        <f>IF(WWWW[[#This Row],['# Functional hand washing stations during reporting period]]*100&gt;WWWW[[#This Row],[Total PoP ]],WWWW[[#This Row],[Total PoP ]],WWWW[[#This Row],['# Functional hand washing stations during reporting period]]*100)</f>
        <v>0</v>
      </c>
      <c r="DI94" s="667" t="str">
        <f>IF(WWWW[[#This Row],['#_students at TLS_CFS]]="","No","Yes")</f>
        <v>No</v>
      </c>
      <c r="DJ94" s="245">
        <f>VLOOKUP(WWWW[[#This Row],[Site Name]],SiteDB6[[Site Name]:[CCCM Management]],6,FALSE)</f>
        <v>0</v>
      </c>
      <c r="DK94" s="245" t="str">
        <f>VLOOKUP(WWWW[[#This Row],[Site Name]],SiteDB6[[Site Name]:[CCCM Focal Agency]],7,FALSE)</f>
        <v>uncovered</v>
      </c>
      <c r="DL94" s="245" t="str">
        <f>VLOOKUP(WWWW[[#This Row],[Site Name]],SiteDB6[[Site Name]:[Location Type 1]],9,FALSE)</f>
        <v>Camp</v>
      </c>
      <c r="DM94" s="245" t="str">
        <f>VLOOKUP(WWWW[[#This Row],[Site Name]],SiteDB6[[Site Name]:[Type of Accommodation]],10,FALSE)</f>
        <v>Host Families</v>
      </c>
      <c r="DN94" s="245" t="str">
        <f>VLOOKUP(WWWW[[#This Row],[Site Name]],SiteDB6[[Site Name]:[Ethnic or GCA/NGCA]],11,FALSE)</f>
        <v>GCA</v>
      </c>
      <c r="DO94" s="245">
        <f>VLOOKUP(WWWW[[#This Row],[Site Name]],SiteDB6[[Site Name]:[Lat]],12,FALSE)</f>
        <v>24.404876999999999</v>
      </c>
      <c r="DP94" s="245">
        <f>VLOOKUP(WWWW[[#This Row],[Site Name]],SiteDB6[[Site Name]:[Long]],13,FALSE)</f>
        <v>97.407787999999996</v>
      </c>
      <c r="DQ94" s="245" t="str">
        <f>VLOOKUP(WWWW[[#This Row],[Site Name]],SiteDB6[[Site Name]:[Pcode]],3,FALSE)</f>
        <v>MMR001CMP061</v>
      </c>
      <c r="DR94" s="215" t="str">
        <f t="shared" si="3"/>
        <v>Notcovered</v>
      </c>
      <c r="DS94" s="215"/>
      <c r="DT94" s="20"/>
      <c r="DU94" s="20"/>
      <c r="DV94" s="20"/>
      <c r="DW94" s="20"/>
      <c r="DX94" s="20"/>
      <c r="DY94" s="20"/>
      <c r="DZ94" s="20"/>
      <c r="EA94" s="20"/>
      <c r="EB94" s="20"/>
      <c r="EC94" s="20"/>
      <c r="ED94" s="20"/>
      <c r="EE94" s="20"/>
      <c r="EF94" s="20"/>
      <c r="EG94" s="20"/>
      <c r="EH94" s="20"/>
    </row>
    <row r="95" spans="1:138" ht="15.75" customHeight="1">
      <c r="A95" s="259" t="s">
        <v>2525</v>
      </c>
      <c r="B95" s="663" t="s">
        <v>299</v>
      </c>
      <c r="C95" s="663" t="s">
        <v>299</v>
      </c>
      <c r="D95" s="663" t="s">
        <v>1922</v>
      </c>
      <c r="E95" s="663" t="s">
        <v>39</v>
      </c>
      <c r="F95" s="663" t="s">
        <v>213</v>
      </c>
      <c r="G95" s="663" t="str">
        <f>VLOOKUP(WWWW[[#This Row],[Site Name]],SiteDB6[[Site Name]:[Location Type]],8,FALSE)</f>
        <v>Camp</v>
      </c>
      <c r="H95" s="663" t="s">
        <v>303</v>
      </c>
      <c r="I95" s="700">
        <v>336</v>
      </c>
      <c r="J95" s="700">
        <v>1722</v>
      </c>
      <c r="K95" s="642"/>
      <c r="L95" s="78">
        <v>43799</v>
      </c>
      <c r="M95" s="700"/>
      <c r="N95" s="700">
        <v>9</v>
      </c>
      <c r="O95" s="700">
        <v>10</v>
      </c>
      <c r="P95" s="700"/>
      <c r="Q95" s="663" t="s">
        <v>43</v>
      </c>
      <c r="R95" s="377"/>
      <c r="S95" s="377"/>
      <c r="T95" s="377">
        <v>2</v>
      </c>
      <c r="U95" s="377"/>
      <c r="V95" s="377"/>
      <c r="W95" s="377"/>
      <c r="X95" s="377"/>
      <c r="Y95" s="377"/>
      <c r="Z95" s="377"/>
      <c r="AA95" s="377"/>
      <c r="AB95" s="377"/>
      <c r="AC95" s="377"/>
      <c r="AD95" s="377"/>
      <c r="AE95" s="377">
        <v>6</v>
      </c>
      <c r="AF95" s="377"/>
      <c r="AG95" s="377"/>
      <c r="AH95" s="377">
        <v>6</v>
      </c>
      <c r="AI95" s="377"/>
      <c r="AJ95" s="377"/>
      <c r="AK95" s="377">
        <v>60</v>
      </c>
      <c r="AL95" s="377">
        <v>8</v>
      </c>
      <c r="AM95" s="377">
        <v>4</v>
      </c>
      <c r="AN95" s="377">
        <v>2</v>
      </c>
      <c r="AO95" s="215"/>
      <c r="AP95" s="377">
        <v>123</v>
      </c>
      <c r="AQ95" s="377"/>
      <c r="AR95" s="77"/>
      <c r="AS95" s="377">
        <v>25</v>
      </c>
      <c r="AT95" s="377"/>
      <c r="AU95" s="377">
        <v>2</v>
      </c>
      <c r="AV95" s="377"/>
      <c r="AW95" s="377"/>
      <c r="AX95" s="694" t="s">
        <v>144</v>
      </c>
      <c r="AY95" s="694" t="s">
        <v>1200</v>
      </c>
      <c r="AZ95" s="377"/>
      <c r="BA95" s="377"/>
      <c r="BB95" s="377"/>
      <c r="BC95" s="215"/>
      <c r="BD95" s="377"/>
      <c r="BE95" s="377"/>
      <c r="BF95" s="377"/>
      <c r="BG95" s="377">
        <v>16</v>
      </c>
      <c r="BH95" s="377"/>
      <c r="BI95" s="377"/>
      <c r="BJ95" s="377"/>
      <c r="BK95" s="377">
        <v>276</v>
      </c>
      <c r="BL95" s="377"/>
      <c r="BM95" s="215"/>
      <c r="BN95" s="80">
        <v>9</v>
      </c>
      <c r="BO95" s="82"/>
      <c r="BP95" s="215"/>
      <c r="BQ95" s="79" t="str">
        <f>IFERROR(WWWW[[#This Row],['#_Water sources treated]]/WWWW[[#This Row],['#_Water sources tested for contamination]],"no test")</f>
        <v>no test</v>
      </c>
      <c r="BR95" s="82">
        <f>IFERROR(WWWW[[#This Row],['#_Household received remediation action due to contamination]]/WWWW[[#This Row],['#_Household water samples tested for contamination]],"no test")</f>
        <v>0.13333333333333333</v>
      </c>
      <c r="BS95" s="81" t="str">
        <f>IF(AND(WWWW[[#This Row],[% of water sources treated]]="no test",WWWW[[#This Row],[% Household received corrective actions]]="no test"),"No Test","Tested")</f>
        <v>Tested</v>
      </c>
      <c r="BT95" s="81">
        <f>WWWW[[#This Row],['#_Constructed/existing protected hand dug well]]-WWWW[[#This Row],['#_Non-functional protected hand dug well]]</f>
        <v>2</v>
      </c>
      <c r="BU95" s="81">
        <f>(WWWW[[#This Row],['#_Constructed/Existing tube wells/boreholes/handpumps_WASH_agency]]+WWWW[[#This Row],['#_Non-Cluster partner water tube-wells/boreholes/handpumps]])-WWWW[[#This Row],['#_Non-functional tube wells/boreholes/handpumps]]</f>
        <v>0</v>
      </c>
      <c r="BV95" s="81">
        <f>WWWW[[#This Row],['#_Constructed/Existingwater storage tank with gravity fed reticulation system]]-WWWW[[#This Row],['#_Non-functional storage tank gravity fed reticulation system]]</f>
        <v>0</v>
      </c>
      <c r="BW95" s="81">
        <f>WWWW[[#This Row],['#_Water boating or water trucking]]</f>
        <v>0</v>
      </c>
      <c r="BX95" s="81">
        <f>WWWW[[#This Row],['#_Constructed/Existing water distribution system from river or natural spring]]</f>
        <v>0</v>
      </c>
      <c r="BY95"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0.46457607433217191</v>
      </c>
      <c r="BZ95"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0.29036004645760743</v>
      </c>
      <c r="CA95" s="82">
        <f>IF(WWWW[[#This Row],[Location Type 1]]="Village",WWWW[[#This Row],[Access to safe drinking water for Village]],WWWW[[#This Row],[Access to safe drinking water for Camp]])</f>
        <v>0.46457607433217191</v>
      </c>
      <c r="CB95" s="80">
        <f>WWWW[[#This Row],[%Equitable and continuous access to sufficient quantity of safe drinking water]]*WWWW[[#This Row],[Total PoP ]]</f>
        <v>800</v>
      </c>
      <c r="CC95" s="82">
        <f>IF((WWWW[[#This Row],['#_Constructed/Existing protected/fenced ponds]]*250)/WWWW[[#This Row],[Total PoP ]]&gt;1,1,(WWWW[[#This Row],['#_Constructed/Existing protected/fenced ponds]]*250)/WWWW[[#This Row],[Total PoP ]])</f>
        <v>0.87108013937282225</v>
      </c>
      <c r="CD95" s="80">
        <f>WWWW[[#This Row],[% Access to unimproved water points]]*WWWW[[#This Row],[Total PoP ]]</f>
        <v>1500</v>
      </c>
      <c r="CE95"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95"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1722</v>
      </c>
      <c r="CG95" s="80">
        <f>WWWW[[#This Row],[HRP1]]/500</f>
        <v>3.444</v>
      </c>
      <c r="CH95" s="79">
        <f>1-WWWW[[#This Row],[% Equitable and continuous access to sufficient quantity of domestic water]]</f>
        <v>0</v>
      </c>
      <c r="CI95" s="80">
        <f>WWWW[[#This Row],[%equitable and continuous access to sufficient quantity of safe drinking and domestic water''s GAP]]*WWWW[[#This Row],[Total PoP ]]</f>
        <v>0</v>
      </c>
      <c r="CJ95" s="81">
        <f>IF(WWWW[[#This Row],[Total required water points]]-WWWW[[#This Row],['#Water points coverage]]&lt;0,0,WWWW[[#This Row],[Total required water points]]-WWWW[[#This Row],['#Water points coverage]])</f>
        <v>0</v>
      </c>
      <c r="CK95" s="81">
        <f>ROUND(IF(WWWW[[#This Row],[Total PoP ]]&lt;500,1,WWWW[[#This Row],[Total PoP ]]/500),0)</f>
        <v>3</v>
      </c>
      <c r="CL95" s="81">
        <f>(WWWW[[#This Row],['#_Constructed latrines_by_WASHAgencies]]+WWWW[[#This Row],['#_Non Cluster partner latrines]])-WWWW[[#This Row],['#_Non-functional latrines]]</f>
        <v>98</v>
      </c>
      <c r="CM95"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95"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1722</v>
      </c>
      <c r="CO95"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40</v>
      </c>
      <c r="CP95" s="81">
        <f>IF(WWWW[[#This Row],[Location Type 1]]="Village","NA",IF(WWWW[[#This Row],['#_Constructed/Existing latrines in TLS]]*50&gt;WWWW[[#This Row],['#_students at TLS_CFS]],WWWW[[#This Row],['#_students at TLS_CFS]],(WWWW[[#This Row],['#_Constructed/Existing latrines in TLS]]*50)))</f>
        <v>0</v>
      </c>
      <c r="CQ95" s="81">
        <f>ROUND(IF(WWWW[[#This Row],[Location Type 1]]="camp",WWWW[[#This Row],[Total PoP ]]/20,IF(WWWW[[#This Row],[Location Type 1]]="Temporary Location",WWWW[[#This Row],[Total PoP ]]/50,(WWWW[[#This Row],[Total PoP ]]/6))),0)</f>
        <v>86</v>
      </c>
      <c r="CR95" s="80">
        <f>IF(WWWW[[#This Row],[Total required Latrines]]-(WWWW[[#This Row],['#_Constructed latrines_by_WASHAgencies]]+WWWW[[#This Row],['#_Non Cluster partner latrines]])&lt;0,0,WWWW[[#This Row],[Total required Latrines]]-(WWWW[[#This Row],['#_Constructed latrines_by_WASHAgencies]]+WWWW[[#This Row],['#_Non Cluster partner latrines]]))</f>
        <v>0</v>
      </c>
      <c r="CS95" s="79">
        <f>1-WWWW[[#This Row],[% people access to functioning Latrine]]</f>
        <v>0</v>
      </c>
      <c r="CT95" s="83">
        <f>IF(OR(WWWW[[#This Row],['#_Non-functional latrines]]="",WWWW[[#This Row],['#_Non-functional latrines]]=0),0,WWWW[[#This Row],['#_Non-functional latrines]]/(WWWW[[#This Row],['#_Constructed latrines_by_WASHAgencies]]+WWWW[[#This Row],['#_Non Cluster partner latrines]]))</f>
        <v>0.2032520325203252</v>
      </c>
      <c r="CU95" s="80">
        <f>IF(500*(WWWW[[#This Row],['#_male hygiene promoters]]+WWWW[[#This Row],['#_female hygiene promoters]])&gt;WWWW[[#This Row],[Total PoP ]],WWWW[[#This Row],[Total PoP ]],500*(WWWW[[#This Row],['#_male hygiene promoters]]+WWWW[[#This Row],['#_female hygiene promoters]]))</f>
        <v>0</v>
      </c>
      <c r="CV95"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1380</v>
      </c>
      <c r="CW95"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95" s="81">
        <f>IF(WWWW[[#This Row],['# People with access to soap]]&gt;WWWW[[#This Row],['# People with access to Sanity Pads]],WWWW[[#This Row],['# People with access to soap]],WWWW[[#This Row],['# People with access to Sanity Pads]])</f>
        <v>1380</v>
      </c>
      <c r="CY95" s="81">
        <f>IF(WWWW[[#This Row],['# people reached by regular dedicated hygiene promotion_5]]&gt;WWWW[[#This Row],['# People received regular supply of hygiene items_6]],WWWW[[#This Row],['# people reached by regular dedicated hygiene promotion_5]],WWWW[[#This Row],['# People received regular supply of hygiene items_6]])</f>
        <v>1380</v>
      </c>
      <c r="CZ95" s="79">
        <f>IF(WWWW[[#This Row],[HRP3]]/WWWW[[#This Row],[Total PoP ]]&gt;100%,100%,WWWW[[#This Row],[HRP3]]/WWWW[[#This Row],[Total PoP ]])</f>
        <v>0.80139372822299648</v>
      </c>
      <c r="DA95" s="83">
        <f>1-WWWW[[#This Row],[Hygiene Coverage%]]</f>
        <v>0.19860627177700352</v>
      </c>
      <c r="DB95" s="82">
        <f>WWWW[[#This Row],['# people reached by regular dedicated hygiene promotion_5]]/WWWW[[#This Row],[Total PoP ]]</f>
        <v>0</v>
      </c>
      <c r="DC95" s="82">
        <f>IF(WWWW[[#This Row],['#_households that received standard amount of soap for this quarter]]/WWWW[[#This Row],[Total HH]]&gt;1,1,WWWW[[#This Row],['#_households that received standard amount of soap for this quarter]]/WWWW[[#This Row],[Total HH]])</f>
        <v>0.8214285714285714</v>
      </c>
      <c r="DD95" s="82">
        <f>IF(WWWW[[#This Row],['#_households that received standard amount of sanitary pads for this quarter]]/WWWW[[#This Row],[Total HH]]&gt;1,1,WWWW[[#This Row],['#_households that received standard amount of sanitary pads for this quarter]]/WWWW[[#This Row],[Total HH]])</f>
        <v>0</v>
      </c>
      <c r="DE95" s="81">
        <f>WWWW[[#This Row],['#_Constructed/Existing hand washing stations]]-WWWW[[#This Row],['#_Non-Functional_hand_washing_stations]]</f>
        <v>0</v>
      </c>
      <c r="DF95" s="667">
        <f>IF(WWWW[[#This Row],['# Functional hand washing stations during reporting period]]*20&gt;WWWW[[#This Row],[Total HH]],WWWW[[#This Row],[Total HH]],WWWW[[#This Row],['# Functional hand washing stations during reporting period]]*20)</f>
        <v>0</v>
      </c>
      <c r="DG95" s="80">
        <f>IF(WWWW[[#This Row],[Is sufficient soap available for TLS? (Yes/No)]]="yes",WWWW[[#This Row],['#_Constructed/Existing hand washing stations at TLS]],0)</f>
        <v>0</v>
      </c>
      <c r="DH95" s="667">
        <f>IF(WWWW[[#This Row],['# Functional hand washing stations during reporting period]]*100&gt;WWWW[[#This Row],[Total PoP ]],WWWW[[#This Row],[Total PoP ]],WWWW[[#This Row],['# Functional hand washing stations during reporting period]]*100)</f>
        <v>0</v>
      </c>
      <c r="DI95" s="667" t="str">
        <f>IF(WWWW[[#This Row],['#_students at TLS_CFS]]="","No","Yes")</f>
        <v>No</v>
      </c>
      <c r="DJ95" s="245" t="str">
        <f>VLOOKUP(WWWW[[#This Row],[Site Name]],SiteDB6[[Site Name]:[CCCM Management]],6,FALSE)</f>
        <v>Yes</v>
      </c>
      <c r="DK95" s="245" t="str">
        <f>VLOOKUP(WWWW[[#This Row],[Site Name]],SiteDB6[[Site Name]:[CCCM Focal Agency]],7,FALSE)</f>
        <v>KMSS-BMO</v>
      </c>
      <c r="DL95" s="245" t="str">
        <f>VLOOKUP(WWWW[[#This Row],[Site Name]],SiteDB6[[Site Name]:[Location Type 1]],9,FALSE)</f>
        <v>Camp</v>
      </c>
      <c r="DM95" s="245" t="str">
        <f>VLOOKUP(WWWW[[#This Row],[Site Name]],SiteDB6[[Site Name]:[Type of Accommodation]],10,FALSE)</f>
        <v>Camp</v>
      </c>
      <c r="DN95" s="245" t="str">
        <f>VLOOKUP(WWWW[[#This Row],[Site Name]],SiteDB6[[Site Name]:[Ethnic or GCA/NGCA]],11,FALSE)</f>
        <v>NGCA</v>
      </c>
      <c r="DO95" s="245">
        <f>VLOOKUP(WWWW[[#This Row],[Site Name]],SiteDB6[[Site Name]:[Lat]],12,FALSE)</f>
        <v>24.378167000000001</v>
      </c>
      <c r="DP95" s="245">
        <f>VLOOKUP(WWWW[[#This Row],[Site Name]],SiteDB6[[Site Name]:[Long]],13,FALSE)</f>
        <v>97.669366999999994</v>
      </c>
      <c r="DQ95" s="245" t="str">
        <f>VLOOKUP(WWWW[[#This Row],[Site Name]],SiteDB6[[Site Name]:[Pcode]],3,FALSE)</f>
        <v>MMR001CMP131</v>
      </c>
      <c r="DR95" s="215" t="str">
        <f t="shared" si="3"/>
        <v>Covered</v>
      </c>
      <c r="DS95" s="215"/>
      <c r="DT95" s="20"/>
      <c r="DU95" s="20"/>
      <c r="DV95" s="20"/>
      <c r="DW95" s="20"/>
      <c r="DX95" s="20"/>
      <c r="DY95" s="20"/>
      <c r="DZ95" s="20"/>
      <c r="EA95" s="20"/>
      <c r="EB95" s="20"/>
      <c r="EC95" s="20"/>
      <c r="ED95" s="20"/>
      <c r="EE95" s="20"/>
      <c r="EF95" s="20"/>
      <c r="EG95" s="20"/>
      <c r="EH95" s="20"/>
    </row>
    <row r="96" spans="1:138" ht="15.75" customHeight="1">
      <c r="A96" s="259" t="s">
        <v>2525</v>
      </c>
      <c r="B96" s="663" t="s">
        <v>284</v>
      </c>
      <c r="C96" s="663" t="s">
        <v>284</v>
      </c>
      <c r="D96" s="663" t="s">
        <v>252</v>
      </c>
      <c r="E96" s="663" t="s">
        <v>39</v>
      </c>
      <c r="F96" s="663" t="s">
        <v>203</v>
      </c>
      <c r="G96" s="663" t="str">
        <f>VLOOKUP(WWWW[[#This Row],[Site Name]],SiteDB6[[Site Name]:[Location Type]],8,FALSE)</f>
        <v>Camp_not registered</v>
      </c>
      <c r="H96" s="663" t="s">
        <v>1685</v>
      </c>
      <c r="I96" s="700">
        <v>281</v>
      </c>
      <c r="J96" s="700">
        <v>1409</v>
      </c>
      <c r="K96" s="642">
        <v>43282</v>
      </c>
      <c r="L96" s="78">
        <v>43646</v>
      </c>
      <c r="M96" s="700">
        <v>1409</v>
      </c>
      <c r="N96" s="700">
        <v>0</v>
      </c>
      <c r="O96" s="700">
        <v>0</v>
      </c>
      <c r="P96" s="700">
        <v>0</v>
      </c>
      <c r="Q96" s="77"/>
      <c r="R96" s="377"/>
      <c r="S96" s="377"/>
      <c r="T96" s="377">
        <v>0</v>
      </c>
      <c r="U96" s="377">
        <v>0</v>
      </c>
      <c r="V96" s="377"/>
      <c r="W96" s="377"/>
      <c r="X96" s="377">
        <v>0</v>
      </c>
      <c r="Y96" s="377"/>
      <c r="Z96" s="377"/>
      <c r="AA96" s="377"/>
      <c r="AB96" s="377"/>
      <c r="AC96" s="377"/>
      <c r="AD96" s="377"/>
      <c r="AE96" s="377"/>
      <c r="AF96" s="377"/>
      <c r="AG96" s="377"/>
      <c r="AH96" s="377"/>
      <c r="AI96" s="377"/>
      <c r="AJ96" s="377"/>
      <c r="AK96" s="377"/>
      <c r="AL96" s="377"/>
      <c r="AM96" s="377"/>
      <c r="AN96" s="377">
        <v>2</v>
      </c>
      <c r="AO96" s="215"/>
      <c r="AP96" s="377"/>
      <c r="AQ96" s="377"/>
      <c r="AR96" s="77"/>
      <c r="AS96" s="377"/>
      <c r="AT96" s="377"/>
      <c r="AU96" s="377"/>
      <c r="AV96" s="377"/>
      <c r="AW96" s="377"/>
      <c r="AX96" s="245" t="s">
        <v>43</v>
      </c>
      <c r="AY96" s="245" t="s">
        <v>145</v>
      </c>
      <c r="AZ96" s="377">
        <v>0</v>
      </c>
      <c r="BA96" s="377">
        <v>0</v>
      </c>
      <c r="BB96" s="377">
        <v>22</v>
      </c>
      <c r="BC96" s="215"/>
      <c r="BD96" s="377"/>
      <c r="BE96" s="377"/>
      <c r="BF96" s="377"/>
      <c r="BG96" s="377">
        <v>0</v>
      </c>
      <c r="BH96" s="377"/>
      <c r="BI96" s="377">
        <v>0</v>
      </c>
      <c r="BJ96" s="377">
        <v>0</v>
      </c>
      <c r="BK96" s="377">
        <v>0</v>
      </c>
      <c r="BL96" s="377"/>
      <c r="BM96" s="215" t="s">
        <v>43</v>
      </c>
      <c r="BN96" s="80">
        <v>0</v>
      </c>
      <c r="BO96" s="82">
        <v>0</v>
      </c>
      <c r="BP96" s="215"/>
      <c r="BQ96" s="79" t="str">
        <f>IFERROR(WWWW[[#This Row],['#_Water sources treated]]/WWWW[[#This Row],['#_Water sources tested for contamination]],"no test")</f>
        <v>no test</v>
      </c>
      <c r="BR96" s="82" t="str">
        <f>IFERROR(WWWW[[#This Row],['#_Household received remediation action due to contamination]]/WWWW[[#This Row],['#_Household water samples tested for contamination]],"no test")</f>
        <v>no test</v>
      </c>
      <c r="BS96" s="81" t="str">
        <f>IF(AND(WWWW[[#This Row],[% of water sources treated]]="no test",WWWW[[#This Row],[% Household received corrective actions]]="no test"),"No Test","Tested")</f>
        <v>No Test</v>
      </c>
      <c r="BT96" s="81">
        <f>WWWW[[#This Row],['#_Constructed/existing protected hand dug well]]-WWWW[[#This Row],['#_Non-functional protected hand dug well]]</f>
        <v>0</v>
      </c>
      <c r="BU96" s="81">
        <f>(WWWW[[#This Row],['#_Constructed/Existing tube wells/boreholes/handpumps_WASH_agency]]+WWWW[[#This Row],['#_Non-Cluster partner water tube-wells/boreholes/handpumps]])-WWWW[[#This Row],['#_Non-functional tube wells/boreholes/handpumps]]</f>
        <v>0</v>
      </c>
      <c r="BV96" s="81">
        <f>WWWW[[#This Row],['#_Constructed/Existingwater storage tank with gravity fed reticulation system]]-WWWW[[#This Row],['#_Non-functional storage tank gravity fed reticulation system]]</f>
        <v>0</v>
      </c>
      <c r="BW96" s="81">
        <f>WWWW[[#This Row],['#_Water boating or water trucking]]</f>
        <v>0</v>
      </c>
      <c r="BX96" s="81">
        <f>WWWW[[#This Row],['#_Constructed/Existing water distribution system from river or natural spring]]</f>
        <v>0</v>
      </c>
      <c r="BY96"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96"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96" s="82">
        <f>IF(WWWW[[#This Row],[Location Type 1]]="Village",WWWW[[#This Row],[Access to safe drinking water for Village]],WWWW[[#This Row],[Access to safe drinking water for Camp]])</f>
        <v>0</v>
      </c>
      <c r="CB96" s="80">
        <f>WWWW[[#This Row],[%Equitable and continuous access to sufficient quantity of safe drinking water]]*WWWW[[#This Row],[Total PoP ]]</f>
        <v>0</v>
      </c>
      <c r="CC96" s="82">
        <f>IF((WWWW[[#This Row],['#_Constructed/Existing protected/fenced ponds]]*250)/WWWW[[#This Row],[Total PoP ]]&gt;1,1,(WWWW[[#This Row],['#_Constructed/Existing protected/fenced ponds]]*250)/WWWW[[#This Row],[Total PoP ]])</f>
        <v>0</v>
      </c>
      <c r="CD96" s="80">
        <f>WWWW[[#This Row],[% Access to unimproved water points]]*WWWW[[#This Row],[Total PoP ]]</f>
        <v>0</v>
      </c>
      <c r="CE96"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96"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96" s="80">
        <f>WWWW[[#This Row],[HRP1]]/500</f>
        <v>0</v>
      </c>
      <c r="CH96" s="79">
        <f>1-WWWW[[#This Row],[% Equitable and continuous access to sufficient quantity of domestic water]]</f>
        <v>1</v>
      </c>
      <c r="CI96" s="80">
        <f>WWWW[[#This Row],[%equitable and continuous access to sufficient quantity of safe drinking and domestic water''s GAP]]*WWWW[[#This Row],[Total PoP ]]</f>
        <v>1409</v>
      </c>
      <c r="CJ96" s="81">
        <f>IF(WWWW[[#This Row],[Total required water points]]-WWWW[[#This Row],['#Water points coverage]]&lt;0,0,WWWW[[#This Row],[Total required water points]]-WWWW[[#This Row],['#Water points coverage]])</f>
        <v>3</v>
      </c>
      <c r="CK96" s="81">
        <f>ROUND(IF(WWWW[[#This Row],[Total PoP ]]&lt;500,1,WWWW[[#This Row],[Total PoP ]]/500),0)</f>
        <v>3</v>
      </c>
      <c r="CL96" s="81">
        <f>(WWWW[[#This Row],['#_Constructed latrines_by_WASHAgencies]]+WWWW[[#This Row],['#_Non Cluster partner latrines]])-WWWW[[#This Row],['#_Non-functional latrines]]</f>
        <v>0</v>
      </c>
      <c r="CM96"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96"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96"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96" s="81">
        <f>IF(WWWW[[#This Row],[Location Type 1]]="Village","NA",IF(WWWW[[#This Row],['#_Constructed/Existing latrines in TLS]]*50&gt;WWWW[[#This Row],['#_students at TLS_CFS]],WWWW[[#This Row],['#_students at TLS_CFS]],(WWWW[[#This Row],['#_Constructed/Existing latrines in TLS]]*50)))</f>
        <v>1100</v>
      </c>
      <c r="CQ96" s="81">
        <f>ROUND(IF(WWWW[[#This Row],[Location Type 1]]="camp",WWWW[[#This Row],[Total PoP ]]/20,IF(WWWW[[#This Row],[Location Type 1]]="Temporary Location",WWWW[[#This Row],[Total PoP ]]/50,(WWWW[[#This Row],[Total PoP ]]/6))),0)</f>
        <v>70</v>
      </c>
      <c r="CR96" s="80">
        <f>IF(WWWW[[#This Row],[Total required Latrines]]-(WWWW[[#This Row],['#_Constructed latrines_by_WASHAgencies]]+WWWW[[#This Row],['#_Non Cluster partner latrines]])&lt;0,0,WWWW[[#This Row],[Total required Latrines]]-(WWWW[[#This Row],['#_Constructed latrines_by_WASHAgencies]]+WWWW[[#This Row],['#_Non Cluster partner latrines]]))</f>
        <v>70</v>
      </c>
      <c r="CS96" s="79">
        <f>1-WWWW[[#This Row],[% people access to functioning Latrine]]</f>
        <v>1</v>
      </c>
      <c r="CT96" s="83">
        <f>IF(OR(WWWW[[#This Row],['#_Non-functional latrines]]="",WWWW[[#This Row],['#_Non-functional latrines]]=0),0,WWWW[[#This Row],['#_Non-functional latrines]]/(WWWW[[#This Row],['#_Constructed latrines_by_WASHAgencies]]+WWWW[[#This Row],['#_Non Cluster partner latrines]]))</f>
        <v>0</v>
      </c>
      <c r="CU96" s="80">
        <f>IF(500*(WWWW[[#This Row],['#_male hygiene promoters]]+WWWW[[#This Row],['#_female hygiene promoters]])&gt;WWWW[[#This Row],[Total PoP ]],WWWW[[#This Row],[Total PoP ]],500*(WWWW[[#This Row],['#_male hygiene promoters]]+WWWW[[#This Row],['#_female hygiene promoters]]))</f>
        <v>0</v>
      </c>
      <c r="CV96"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96"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96" s="81">
        <f>IF(WWWW[[#This Row],['# People with access to soap]]&gt;WWWW[[#This Row],['# People with access to Sanity Pads]],WWWW[[#This Row],['# People with access to soap]],WWWW[[#This Row],['# People with access to Sanity Pads]])</f>
        <v>0</v>
      </c>
      <c r="CY96"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96" s="79">
        <f>IF(WWWW[[#This Row],[HRP3]]/WWWW[[#This Row],[Total PoP ]]&gt;100%,100%,WWWW[[#This Row],[HRP3]]/WWWW[[#This Row],[Total PoP ]])</f>
        <v>0</v>
      </c>
      <c r="DA96" s="83">
        <f>1-WWWW[[#This Row],[Hygiene Coverage%]]</f>
        <v>1</v>
      </c>
      <c r="DB96" s="82">
        <f>WWWW[[#This Row],['# people reached by regular dedicated hygiene promotion_5]]/WWWW[[#This Row],[Total PoP ]]</f>
        <v>0</v>
      </c>
      <c r="DC96" s="82">
        <f>IF(WWWW[[#This Row],['#_households that received standard amount of soap for this quarter]]/WWWW[[#This Row],[Total HH]]&gt;1,1,WWWW[[#This Row],['#_households that received standard amount of soap for this quarter]]/WWWW[[#This Row],[Total HH]])</f>
        <v>0</v>
      </c>
      <c r="DD96" s="82">
        <f>IF(WWWW[[#This Row],['#_households that received standard amount of sanitary pads for this quarter]]/WWWW[[#This Row],[Total HH]]&gt;1,1,WWWW[[#This Row],['#_households that received standard amount of sanitary pads for this quarter]]/WWWW[[#This Row],[Total HH]])</f>
        <v>0</v>
      </c>
      <c r="DE96" s="81">
        <f>WWWW[[#This Row],['#_Constructed/Existing hand washing stations]]-WWWW[[#This Row],['#_Non-Functional_hand_washing_stations]]</f>
        <v>0</v>
      </c>
      <c r="DF96" s="667">
        <f>IF(WWWW[[#This Row],['# Functional hand washing stations during reporting period]]*20&gt;WWWW[[#This Row],[Total HH]],WWWW[[#This Row],[Total HH]],WWWW[[#This Row],['# Functional hand washing stations during reporting period]]*20)</f>
        <v>0</v>
      </c>
      <c r="DG96" s="80">
        <f>IF(WWWW[[#This Row],[Is sufficient soap available for TLS? (Yes/No)]]="yes",WWWW[[#This Row],['#_Constructed/Existing hand washing stations at TLS]],0)</f>
        <v>0</v>
      </c>
      <c r="DH96" s="667">
        <f>IF(WWWW[[#This Row],['# Functional hand washing stations during reporting period]]*100&gt;WWWW[[#This Row],[Total PoP ]],WWWW[[#This Row],[Total PoP ]],WWWW[[#This Row],['# Functional hand washing stations during reporting period]]*100)</f>
        <v>0</v>
      </c>
      <c r="DI96" s="667" t="str">
        <f>IF(WWWW[[#This Row],['#_students at TLS_CFS]]="","No","Yes")</f>
        <v>Yes</v>
      </c>
      <c r="DJ96" s="245" t="str">
        <f>VLOOKUP(WWWW[[#This Row],[Site Name]],SiteDB6[[Site Name]:[CCCM Management]],6,FALSE)</f>
        <v>No</v>
      </c>
      <c r="DK96" s="245">
        <f>VLOOKUP(WWWW[[#This Row],[Site Name]],SiteDB6[[Site Name]:[CCCM Focal Agency]],7,FALSE)</f>
        <v>0</v>
      </c>
      <c r="DL96" s="245" t="str">
        <f>VLOOKUP(WWWW[[#This Row],[Site Name]],SiteDB6[[Site Name]:[Location Type 1]],9,FALSE)</f>
        <v>Camp</v>
      </c>
      <c r="DM96" s="245" t="str">
        <f>VLOOKUP(WWWW[[#This Row],[Site Name]],SiteDB6[[Site Name]:[Type of Accommodation]],10,FALSE)</f>
        <v>Camp</v>
      </c>
      <c r="DN96" s="245" t="str">
        <f>VLOOKUP(WWWW[[#This Row],[Site Name]],SiteDB6[[Site Name]:[Ethnic or GCA/NGCA]],11,FALSE)</f>
        <v>GCA</v>
      </c>
      <c r="DO96" s="245">
        <f>VLOOKUP(WWWW[[#This Row],[Site Name]],SiteDB6[[Site Name]:[Lat]],12,FALSE)</f>
        <v>0</v>
      </c>
      <c r="DP96" s="245">
        <f>VLOOKUP(WWWW[[#This Row],[Site Name]],SiteDB6[[Site Name]:[Long]],13,FALSE)</f>
        <v>0</v>
      </c>
      <c r="DQ96" s="245">
        <f>VLOOKUP(WWWW[[#This Row],[Site Name]],SiteDB6[[Site Name]:[Pcode]],3,FALSE)</f>
        <v>0</v>
      </c>
      <c r="DR96" s="215" t="str">
        <f t="shared" si="3"/>
        <v>Covered</v>
      </c>
      <c r="DS96" s="215"/>
      <c r="DT96" s="20"/>
      <c r="DU96" s="20"/>
      <c r="DV96" s="20"/>
      <c r="DW96" s="20"/>
      <c r="DX96" s="20"/>
      <c r="DY96" s="20"/>
      <c r="DZ96" s="20"/>
      <c r="EA96" s="20"/>
      <c r="EB96" s="20"/>
      <c r="EC96" s="20"/>
      <c r="ED96" s="20"/>
      <c r="EE96" s="20"/>
      <c r="EF96" s="20"/>
      <c r="EG96" s="20"/>
      <c r="EH96" s="20"/>
    </row>
    <row r="97" spans="1:138" ht="15.75" customHeight="1">
      <c r="A97" s="259" t="s">
        <v>2525</v>
      </c>
      <c r="B97" s="663" t="s">
        <v>299</v>
      </c>
      <c r="C97" s="663" t="s">
        <v>299</v>
      </c>
      <c r="D97" s="663" t="s">
        <v>1922</v>
      </c>
      <c r="E97" s="663" t="s">
        <v>39</v>
      </c>
      <c r="F97" s="663" t="s">
        <v>213</v>
      </c>
      <c r="G97" s="663" t="str">
        <f>VLOOKUP(WWWW[[#This Row],[Site Name]],SiteDB6[[Site Name]:[Location Type]],8,FALSE)</f>
        <v>Camp</v>
      </c>
      <c r="H97" s="663" t="s">
        <v>304</v>
      </c>
      <c r="I97" s="700">
        <v>669</v>
      </c>
      <c r="J97" s="700">
        <v>3316</v>
      </c>
      <c r="K97" s="642"/>
      <c r="L97" s="78">
        <v>43799</v>
      </c>
      <c r="M97" s="700"/>
      <c r="N97" s="700">
        <v>9</v>
      </c>
      <c r="O97" s="700">
        <v>10</v>
      </c>
      <c r="P97" s="700"/>
      <c r="Q97" s="663" t="s">
        <v>43</v>
      </c>
      <c r="R97" s="377"/>
      <c r="S97" s="377"/>
      <c r="T97" s="377">
        <v>0</v>
      </c>
      <c r="U97" s="377"/>
      <c r="V97" s="377"/>
      <c r="W97" s="377">
        <v>2</v>
      </c>
      <c r="X97" s="377"/>
      <c r="Y97" s="377"/>
      <c r="Z97" s="377"/>
      <c r="AA97" s="377"/>
      <c r="AB97" s="377"/>
      <c r="AC97" s="377"/>
      <c r="AD97" s="377"/>
      <c r="AE97" s="377">
        <v>1</v>
      </c>
      <c r="AF97" s="377"/>
      <c r="AG97" s="377"/>
      <c r="AH97" s="377">
        <v>1</v>
      </c>
      <c r="AI97" s="377"/>
      <c r="AJ97" s="377"/>
      <c r="AK97" s="377">
        <v>16</v>
      </c>
      <c r="AL97" s="377">
        <v>5</v>
      </c>
      <c r="AM97" s="377">
        <v>21</v>
      </c>
      <c r="AN97" s="377">
        <v>6</v>
      </c>
      <c r="AO97" s="215"/>
      <c r="AP97" s="377">
        <v>257</v>
      </c>
      <c r="AQ97" s="377"/>
      <c r="AR97" s="77"/>
      <c r="AS97" s="377">
        <v>37</v>
      </c>
      <c r="AT97" s="377"/>
      <c r="AU97" s="377">
        <v>3</v>
      </c>
      <c r="AV97" s="377"/>
      <c r="AW97" s="377"/>
      <c r="AX97" s="694" t="s">
        <v>144</v>
      </c>
      <c r="AY97" s="245" t="s">
        <v>145</v>
      </c>
      <c r="AZ97" s="377"/>
      <c r="BA97" s="377"/>
      <c r="BB97" s="377"/>
      <c r="BC97" s="215"/>
      <c r="BD97" s="377"/>
      <c r="BE97" s="377"/>
      <c r="BF97" s="377"/>
      <c r="BG97" s="377">
        <v>7</v>
      </c>
      <c r="BH97" s="377"/>
      <c r="BI97" s="377"/>
      <c r="BJ97" s="377"/>
      <c r="BK97" s="377">
        <v>449</v>
      </c>
      <c r="BL97" s="377"/>
      <c r="BM97" s="215"/>
      <c r="BN97" s="80">
        <v>9</v>
      </c>
      <c r="BO97" s="82"/>
      <c r="BP97" s="215"/>
      <c r="BQ97" s="79" t="str">
        <f>IFERROR(WWWW[[#This Row],['#_Water sources treated]]/WWWW[[#This Row],['#_Water sources tested for contamination]],"no test")</f>
        <v>no test</v>
      </c>
      <c r="BR97" s="82">
        <f>IFERROR(WWWW[[#This Row],['#_Household received remediation action due to contamination]]/WWWW[[#This Row],['#_Household water samples tested for contamination]],"no test")</f>
        <v>0.3125</v>
      </c>
      <c r="BS97" s="81" t="str">
        <f>IF(AND(WWWW[[#This Row],[% of water sources treated]]="no test",WWWW[[#This Row],[% Household received corrective actions]]="no test"),"No Test","Tested")</f>
        <v>Tested</v>
      </c>
      <c r="BT97" s="81">
        <f>WWWW[[#This Row],['#_Constructed/existing protected hand dug well]]-WWWW[[#This Row],['#_Non-functional protected hand dug well]]</f>
        <v>0</v>
      </c>
      <c r="BU97" s="81">
        <f>(WWWW[[#This Row],['#_Constructed/Existing tube wells/boreholes/handpumps_WASH_agency]]+WWWW[[#This Row],['#_Non-Cluster partner water tube-wells/boreholes/handpumps]])-WWWW[[#This Row],['#_Non-functional tube wells/boreholes/handpumps]]</f>
        <v>2</v>
      </c>
      <c r="BV97" s="81">
        <f>WWWW[[#This Row],['#_Constructed/Existingwater storage tank with gravity fed reticulation system]]-WWWW[[#This Row],['#_Non-functional storage tank gravity fed reticulation system]]</f>
        <v>0</v>
      </c>
      <c r="BW97" s="81">
        <f>WWWW[[#This Row],['#_Water boating or water trucking]]</f>
        <v>0</v>
      </c>
      <c r="BX97" s="81">
        <f>WWWW[[#This Row],['#_Constructed/Existing water distribution system from river or natural spring]]</f>
        <v>0</v>
      </c>
      <c r="BY97"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0.30156815440289503</v>
      </c>
      <c r="BZ97"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0.15078407720144751</v>
      </c>
      <c r="CA97" s="82">
        <f>IF(WWWW[[#This Row],[Location Type 1]]="Village",WWWW[[#This Row],[Access to safe drinking water for Village]],WWWW[[#This Row],[Access to safe drinking water for Camp]])</f>
        <v>0.30156815440289503</v>
      </c>
      <c r="CB97" s="80">
        <f>WWWW[[#This Row],[%Equitable and continuous access to sufficient quantity of safe drinking water]]*WWWW[[#This Row],[Total PoP ]]</f>
        <v>999.99999999999989</v>
      </c>
      <c r="CC97" s="82">
        <f>IF((WWWW[[#This Row],['#_Constructed/Existing protected/fenced ponds]]*250)/WWWW[[#This Row],[Total PoP ]]&gt;1,1,(WWWW[[#This Row],['#_Constructed/Existing protected/fenced ponds]]*250)/WWWW[[#This Row],[Total PoP ]])</f>
        <v>7.5392038600723757E-2</v>
      </c>
      <c r="CD97" s="80">
        <f>WWWW[[#This Row],[% Access to unimproved water points]]*WWWW[[#This Row],[Total PoP ]]</f>
        <v>249.99999999999997</v>
      </c>
      <c r="CE97"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0.37696019300361877</v>
      </c>
      <c r="CF97"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1249.9999999999998</v>
      </c>
      <c r="CG97" s="80">
        <f>WWWW[[#This Row],[HRP1]]/500</f>
        <v>2.4999999999999996</v>
      </c>
      <c r="CH97" s="79">
        <f>1-WWWW[[#This Row],[% Equitable and continuous access to sufficient quantity of domestic water]]</f>
        <v>0.62303980699638117</v>
      </c>
      <c r="CI97" s="80">
        <f>WWWW[[#This Row],[%equitable and continuous access to sufficient quantity of safe drinking and domestic water''s GAP]]*WWWW[[#This Row],[Total PoP ]]</f>
        <v>2066</v>
      </c>
      <c r="CJ97" s="81">
        <f>IF(WWWW[[#This Row],[Total required water points]]-WWWW[[#This Row],['#Water points coverage]]&lt;0,0,WWWW[[#This Row],[Total required water points]]-WWWW[[#This Row],['#Water points coverage]])</f>
        <v>4.5</v>
      </c>
      <c r="CK97" s="81">
        <f>ROUND(IF(WWWW[[#This Row],[Total PoP ]]&lt;500,1,WWWW[[#This Row],[Total PoP ]]/500),0)</f>
        <v>7</v>
      </c>
      <c r="CL97" s="81">
        <f>(WWWW[[#This Row],['#_Constructed latrines_by_WASHAgencies]]+WWWW[[#This Row],['#_Non Cluster partner latrines]])-WWWW[[#This Row],['#_Non-functional latrines]]</f>
        <v>220</v>
      </c>
      <c r="CM97"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97"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3316</v>
      </c>
      <c r="CO97"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60</v>
      </c>
      <c r="CP97" s="81">
        <f>IF(WWWW[[#This Row],[Location Type 1]]="Village","NA",IF(WWWW[[#This Row],['#_Constructed/Existing latrines in TLS]]*50&gt;WWWW[[#This Row],['#_students at TLS_CFS]],WWWW[[#This Row],['#_students at TLS_CFS]],(WWWW[[#This Row],['#_Constructed/Existing latrines in TLS]]*50)))</f>
        <v>0</v>
      </c>
      <c r="CQ97" s="81">
        <f>ROUND(IF(WWWW[[#This Row],[Location Type 1]]="camp",WWWW[[#This Row],[Total PoP ]]/20,IF(WWWW[[#This Row],[Location Type 1]]="Temporary Location",WWWW[[#This Row],[Total PoP ]]/50,(WWWW[[#This Row],[Total PoP ]]/6))),0)</f>
        <v>166</v>
      </c>
      <c r="CR97" s="80">
        <f>IF(WWWW[[#This Row],[Total required Latrines]]-(WWWW[[#This Row],['#_Constructed latrines_by_WASHAgencies]]+WWWW[[#This Row],['#_Non Cluster partner latrines]])&lt;0,0,WWWW[[#This Row],[Total required Latrines]]-(WWWW[[#This Row],['#_Constructed latrines_by_WASHAgencies]]+WWWW[[#This Row],['#_Non Cluster partner latrines]]))</f>
        <v>0</v>
      </c>
      <c r="CS97" s="79">
        <f>1-WWWW[[#This Row],[% people access to functioning Latrine]]</f>
        <v>0</v>
      </c>
      <c r="CT97" s="83">
        <f>IF(OR(WWWW[[#This Row],['#_Non-functional latrines]]="",WWWW[[#This Row],['#_Non-functional latrines]]=0),0,WWWW[[#This Row],['#_Non-functional latrines]]/(WWWW[[#This Row],['#_Constructed latrines_by_WASHAgencies]]+WWWW[[#This Row],['#_Non Cluster partner latrines]]))</f>
        <v>0.14396887159533073</v>
      </c>
      <c r="CU97" s="80">
        <f>IF(500*(WWWW[[#This Row],['#_male hygiene promoters]]+WWWW[[#This Row],['#_female hygiene promoters]])&gt;WWWW[[#This Row],[Total PoP ]],WWWW[[#This Row],[Total PoP ]],500*(WWWW[[#This Row],['#_male hygiene promoters]]+WWWW[[#This Row],['#_female hygiene promoters]]))</f>
        <v>0</v>
      </c>
      <c r="CV97"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2245</v>
      </c>
      <c r="CW97"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97" s="81">
        <f>IF(WWWW[[#This Row],['# People with access to soap]]&gt;WWWW[[#This Row],['# People with access to Sanity Pads]],WWWW[[#This Row],['# People with access to soap]],WWWW[[#This Row],['# People with access to Sanity Pads]])</f>
        <v>2245</v>
      </c>
      <c r="CY97" s="81">
        <f>IF(WWWW[[#This Row],['# people reached by regular dedicated hygiene promotion_5]]&gt;WWWW[[#This Row],['# People received regular supply of hygiene items_6]],WWWW[[#This Row],['# people reached by regular dedicated hygiene promotion_5]],WWWW[[#This Row],['# People received regular supply of hygiene items_6]])</f>
        <v>2245</v>
      </c>
      <c r="CZ97" s="79">
        <f>IF(WWWW[[#This Row],[HRP3]]/WWWW[[#This Row],[Total PoP ]]&gt;100%,100%,WWWW[[#This Row],[HRP3]]/WWWW[[#This Row],[Total PoP ]])</f>
        <v>0.67702050663449942</v>
      </c>
      <c r="DA97" s="83">
        <f>1-WWWW[[#This Row],[Hygiene Coverage%]]</f>
        <v>0.32297949336550058</v>
      </c>
      <c r="DB97" s="82">
        <f>WWWW[[#This Row],['# people reached by regular dedicated hygiene promotion_5]]/WWWW[[#This Row],[Total PoP ]]</f>
        <v>0</v>
      </c>
      <c r="DC97" s="82">
        <f>IF(WWWW[[#This Row],['#_households that received standard amount of soap for this quarter]]/WWWW[[#This Row],[Total HH]]&gt;1,1,WWWW[[#This Row],['#_households that received standard amount of soap for this quarter]]/WWWW[[#This Row],[Total HH]])</f>
        <v>0.67115097159940207</v>
      </c>
      <c r="DD97" s="82">
        <f>IF(WWWW[[#This Row],['#_households that received standard amount of sanitary pads for this quarter]]/WWWW[[#This Row],[Total HH]]&gt;1,1,WWWW[[#This Row],['#_households that received standard amount of sanitary pads for this quarter]]/WWWW[[#This Row],[Total HH]])</f>
        <v>0</v>
      </c>
      <c r="DE97" s="81">
        <f>WWWW[[#This Row],['#_Constructed/Existing hand washing stations]]-WWWW[[#This Row],['#_Non-Functional_hand_washing_stations]]</f>
        <v>0</v>
      </c>
      <c r="DF97" s="667">
        <f>IF(WWWW[[#This Row],['# Functional hand washing stations during reporting period]]*20&gt;WWWW[[#This Row],[Total HH]],WWWW[[#This Row],[Total HH]],WWWW[[#This Row],['# Functional hand washing stations during reporting period]]*20)</f>
        <v>0</v>
      </c>
      <c r="DG97" s="80">
        <f>IF(WWWW[[#This Row],[Is sufficient soap available for TLS? (Yes/No)]]="yes",WWWW[[#This Row],['#_Constructed/Existing hand washing stations at TLS]],0)</f>
        <v>0</v>
      </c>
      <c r="DH97" s="667">
        <f>IF(WWWW[[#This Row],['# Functional hand washing stations during reporting period]]*100&gt;WWWW[[#This Row],[Total PoP ]],WWWW[[#This Row],[Total PoP ]],WWWW[[#This Row],['# Functional hand washing stations during reporting period]]*100)</f>
        <v>0</v>
      </c>
      <c r="DI97" s="667" t="str">
        <f>IF(WWWW[[#This Row],['#_students at TLS_CFS]]="","No","Yes")</f>
        <v>No</v>
      </c>
      <c r="DJ97" s="245" t="str">
        <f>VLOOKUP(WWWW[[#This Row],[Site Name]],SiteDB6[[Site Name]:[CCCM Management]],6,FALSE)</f>
        <v>Yes</v>
      </c>
      <c r="DK97" s="245" t="str">
        <f>VLOOKUP(WWWW[[#This Row],[Site Name]],SiteDB6[[Site Name]:[CCCM Focal Agency]],7,FALSE)</f>
        <v>KMSS-BMO</v>
      </c>
      <c r="DL97" s="245" t="str">
        <f>VLOOKUP(WWWW[[#This Row],[Site Name]],SiteDB6[[Site Name]:[Location Type 1]],9,FALSE)</f>
        <v>Camp</v>
      </c>
      <c r="DM97" s="245" t="str">
        <f>VLOOKUP(WWWW[[#This Row],[Site Name]],SiteDB6[[Site Name]:[Type of Accommodation]],10,FALSE)</f>
        <v>Camp</v>
      </c>
      <c r="DN97" s="245" t="str">
        <f>VLOOKUP(WWWW[[#This Row],[Site Name]],SiteDB6[[Site Name]:[Ethnic or GCA/NGCA]],11,FALSE)</f>
        <v>NGCA</v>
      </c>
      <c r="DO97" s="245">
        <f>VLOOKUP(WWWW[[#This Row],[Site Name]],SiteDB6[[Site Name]:[Lat]],12,FALSE)</f>
        <v>24.2744</v>
      </c>
      <c r="DP97" s="245">
        <f>VLOOKUP(WWWW[[#This Row],[Site Name]],SiteDB6[[Site Name]:[Long]],13,FALSE)</f>
        <v>97.752667000000002</v>
      </c>
      <c r="DQ97" s="245" t="str">
        <f>VLOOKUP(WWWW[[#This Row],[Site Name]],SiteDB6[[Site Name]:[Pcode]],3,FALSE)</f>
        <v>MMR001CMP126</v>
      </c>
      <c r="DR97" s="215" t="str">
        <f t="shared" si="3"/>
        <v>Covered</v>
      </c>
      <c r="DS97" s="215"/>
      <c r="DT97" s="20"/>
      <c r="DU97" s="20"/>
      <c r="DV97" s="20"/>
      <c r="DW97" s="20"/>
      <c r="DX97" s="20"/>
      <c r="DY97" s="20"/>
      <c r="DZ97" s="20"/>
      <c r="EA97" s="20"/>
      <c r="EB97" s="20"/>
      <c r="EC97" s="20"/>
      <c r="ED97" s="20"/>
      <c r="EE97" s="20"/>
      <c r="EF97" s="20"/>
      <c r="EG97" s="20"/>
      <c r="EH97" s="20"/>
    </row>
    <row r="98" spans="1:138" ht="15.75" customHeight="1">
      <c r="A98" s="259" t="s">
        <v>2525</v>
      </c>
      <c r="B98" s="663" t="s">
        <v>284</v>
      </c>
      <c r="C98" s="663" t="s">
        <v>284</v>
      </c>
      <c r="D98" s="663" t="s">
        <v>2962</v>
      </c>
      <c r="E98" s="663" t="s">
        <v>39</v>
      </c>
      <c r="F98" s="663" t="s">
        <v>213</v>
      </c>
      <c r="G98" s="663" t="str">
        <f>VLOOKUP(WWWW[[#This Row],[Site Name]],SiteDB6[[Site Name]:[Location Type]],8,FALSE)</f>
        <v>Camp</v>
      </c>
      <c r="H98" s="663" t="s">
        <v>294</v>
      </c>
      <c r="I98" s="700">
        <v>41</v>
      </c>
      <c r="J98" s="700">
        <v>253</v>
      </c>
      <c r="K98" s="642" t="s">
        <v>2963</v>
      </c>
      <c r="L98" s="78" t="s">
        <v>2964</v>
      </c>
      <c r="M98" s="700"/>
      <c r="N98" s="700">
        <v>0</v>
      </c>
      <c r="O98" s="700">
        <v>0</v>
      </c>
      <c r="P98" s="700">
        <v>0</v>
      </c>
      <c r="Q98" s="77" t="s">
        <v>43</v>
      </c>
      <c r="R98" s="377">
        <v>4</v>
      </c>
      <c r="S98" s="377">
        <v>6</v>
      </c>
      <c r="T98" s="377">
        <v>2</v>
      </c>
      <c r="U98" s="377">
        <v>0</v>
      </c>
      <c r="V98" s="377"/>
      <c r="W98" s="377">
        <v>0</v>
      </c>
      <c r="X98" s="377">
        <v>0</v>
      </c>
      <c r="Y98" s="377"/>
      <c r="Z98" s="377"/>
      <c r="AA98" s="377"/>
      <c r="AB98" s="377"/>
      <c r="AC98" s="377"/>
      <c r="AD98" s="377"/>
      <c r="AE98" s="377"/>
      <c r="AF98" s="377"/>
      <c r="AG98" s="377"/>
      <c r="AH98" s="377"/>
      <c r="AI98" s="377">
        <v>1</v>
      </c>
      <c r="AJ98" s="377">
        <v>1</v>
      </c>
      <c r="AK98" s="377">
        <v>4</v>
      </c>
      <c r="AL98" s="377">
        <v>0</v>
      </c>
      <c r="AM98" s="377"/>
      <c r="AN98" s="377"/>
      <c r="AO98" s="215"/>
      <c r="AP98" s="377">
        <v>16</v>
      </c>
      <c r="AQ98" s="377"/>
      <c r="AR98" s="77"/>
      <c r="AS98" s="377"/>
      <c r="AT98" s="377"/>
      <c r="AU98" s="377">
        <v>15</v>
      </c>
      <c r="AV98" s="377"/>
      <c r="AW98" s="377"/>
      <c r="AX98" s="245" t="s">
        <v>43</v>
      </c>
      <c r="AY98" s="245" t="s">
        <v>145</v>
      </c>
      <c r="AZ98" s="377">
        <v>0</v>
      </c>
      <c r="BA98" s="377">
        <v>0</v>
      </c>
      <c r="BB98" s="377"/>
      <c r="BC98" s="215"/>
      <c r="BD98" s="377">
        <v>7</v>
      </c>
      <c r="BE98" s="377">
        <v>0</v>
      </c>
      <c r="BF98" s="377"/>
      <c r="BG98" s="377">
        <v>1</v>
      </c>
      <c r="BH98" s="377"/>
      <c r="BI98" s="377">
        <v>0</v>
      </c>
      <c r="BJ98" s="377">
        <v>1</v>
      </c>
      <c r="BK98" s="377">
        <v>13</v>
      </c>
      <c r="BL98" s="377">
        <v>52</v>
      </c>
      <c r="BM98" s="215"/>
      <c r="BN98" s="80"/>
      <c r="BO98" s="82"/>
      <c r="BP98" s="215"/>
      <c r="BQ98" s="79">
        <f>IFERROR(WWWW[[#This Row],['#_Water sources treated]]/WWWW[[#This Row],['#_Water sources tested for contamination]],"no test")</f>
        <v>1</v>
      </c>
      <c r="BR98" s="82">
        <f>IFERROR(WWWW[[#This Row],['#_Household received remediation action due to contamination]]/WWWW[[#This Row],['#_Household water samples tested for contamination]],"no test")</f>
        <v>0</v>
      </c>
      <c r="BS98" s="81" t="str">
        <f>IF(AND(WWWW[[#This Row],[% of water sources treated]]="no test",WWWW[[#This Row],[% Household received corrective actions]]="no test"),"No Test","Tested")</f>
        <v>Tested</v>
      </c>
      <c r="BT98" s="81">
        <f>WWWW[[#This Row],['#_Constructed/existing protected hand dug well]]-WWWW[[#This Row],['#_Non-functional protected hand dug well]]</f>
        <v>2</v>
      </c>
      <c r="BU98" s="81">
        <f>(WWWW[[#This Row],['#_Constructed/Existing tube wells/boreholes/handpumps_WASH_agency]]+WWWW[[#This Row],['#_Non-Cluster partner water tube-wells/boreholes/handpumps]])-WWWW[[#This Row],['#_Non-functional tube wells/boreholes/handpumps]]</f>
        <v>0</v>
      </c>
      <c r="BV98" s="81">
        <f>WWWW[[#This Row],['#_Constructed/Existingwater storage tank with gravity fed reticulation system]]-WWWW[[#This Row],['#_Non-functional storage tank gravity fed reticulation system]]</f>
        <v>0</v>
      </c>
      <c r="BW98" s="81">
        <f>WWWW[[#This Row],['#_Water boating or water trucking]]</f>
        <v>0</v>
      </c>
      <c r="BX98" s="81">
        <f>WWWW[[#This Row],['#_Constructed/Existing water distribution system from river or natural spring]]</f>
        <v>0</v>
      </c>
      <c r="BY98"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98"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98" s="82">
        <f>IF(WWWW[[#This Row],[Location Type 1]]="Village",WWWW[[#This Row],[Access to safe drinking water for Village]],WWWW[[#This Row],[Access to safe drinking water for Camp]])</f>
        <v>1</v>
      </c>
      <c r="CB98" s="80">
        <f>WWWW[[#This Row],[%Equitable and continuous access to sufficient quantity of safe drinking water]]*WWWW[[#This Row],[Total PoP ]]</f>
        <v>253</v>
      </c>
      <c r="CC98" s="82">
        <f>IF((WWWW[[#This Row],['#_Constructed/Existing protected/fenced ponds]]*250)/WWWW[[#This Row],[Total PoP ]]&gt;1,1,(WWWW[[#This Row],['#_Constructed/Existing protected/fenced ponds]]*250)/WWWW[[#This Row],[Total PoP ]])</f>
        <v>0</v>
      </c>
      <c r="CD98" s="80">
        <f>WWWW[[#This Row],[% Access to unimproved water points]]*WWWW[[#This Row],[Total PoP ]]</f>
        <v>0</v>
      </c>
      <c r="CE98"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98"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253</v>
      </c>
      <c r="CG98" s="80">
        <f>WWWW[[#This Row],[HRP1]]/500</f>
        <v>0.50600000000000001</v>
      </c>
      <c r="CH98" s="79">
        <f>1-WWWW[[#This Row],[% Equitable and continuous access to sufficient quantity of domestic water]]</f>
        <v>0</v>
      </c>
      <c r="CI98" s="80">
        <f>WWWW[[#This Row],[%equitable and continuous access to sufficient quantity of safe drinking and domestic water''s GAP]]*WWWW[[#This Row],[Total PoP ]]</f>
        <v>0</v>
      </c>
      <c r="CJ98" s="81">
        <f>IF(WWWW[[#This Row],[Total required water points]]-WWWW[[#This Row],['#Water points coverage]]&lt;0,0,WWWW[[#This Row],[Total required water points]]-WWWW[[#This Row],['#Water points coverage]])</f>
        <v>0.49399999999999999</v>
      </c>
      <c r="CK98" s="81">
        <f>ROUND(IF(WWWW[[#This Row],[Total PoP ]]&lt;500,1,WWWW[[#This Row],[Total PoP ]]/500),0)</f>
        <v>1</v>
      </c>
      <c r="CL98" s="81">
        <f>(WWWW[[#This Row],['#_Constructed latrines_by_WASHAgencies]]+WWWW[[#This Row],['#_Non Cluster partner latrines]])-WWWW[[#This Row],['#_Non-functional latrines]]</f>
        <v>16</v>
      </c>
      <c r="CM98"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98"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253</v>
      </c>
      <c r="CO98"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253</v>
      </c>
      <c r="CP98" s="81">
        <f>IF(WWWW[[#This Row],[Location Type 1]]="Village","NA",IF(WWWW[[#This Row],['#_Constructed/Existing latrines in TLS]]*50&gt;WWWW[[#This Row],['#_students at TLS_CFS]],WWWW[[#This Row],['#_students at TLS_CFS]],(WWWW[[#This Row],['#_Constructed/Existing latrines in TLS]]*50)))</f>
        <v>0</v>
      </c>
      <c r="CQ98" s="81">
        <f>ROUND(IF(WWWW[[#This Row],[Location Type 1]]="camp",WWWW[[#This Row],[Total PoP ]]/20,IF(WWWW[[#This Row],[Location Type 1]]="Temporary Location",WWWW[[#This Row],[Total PoP ]]/50,(WWWW[[#This Row],[Total PoP ]]/6))),0)</f>
        <v>13</v>
      </c>
      <c r="CR98" s="80">
        <f>IF(WWWW[[#This Row],[Total required Latrines]]-(WWWW[[#This Row],['#_Constructed latrines_by_WASHAgencies]]+WWWW[[#This Row],['#_Non Cluster partner latrines]])&lt;0,0,WWWW[[#This Row],[Total required Latrines]]-(WWWW[[#This Row],['#_Constructed latrines_by_WASHAgencies]]+WWWW[[#This Row],['#_Non Cluster partner latrines]]))</f>
        <v>0</v>
      </c>
      <c r="CS98" s="79">
        <f>1-WWWW[[#This Row],[% people access to functioning Latrine]]</f>
        <v>0</v>
      </c>
      <c r="CT98" s="83">
        <f>IF(OR(WWWW[[#This Row],['#_Non-functional latrines]]="",WWWW[[#This Row],['#_Non-functional latrines]]=0),0,WWWW[[#This Row],['#_Non-functional latrines]]/(WWWW[[#This Row],['#_Constructed latrines_by_WASHAgencies]]+WWWW[[#This Row],['#_Non Cluster partner latrines]]))</f>
        <v>0</v>
      </c>
      <c r="CU98" s="80">
        <f>IF(500*(WWWW[[#This Row],['#_male hygiene promoters]]+WWWW[[#This Row],['#_female hygiene promoters]])&gt;WWWW[[#This Row],[Total PoP ]],WWWW[[#This Row],[Total PoP ]],500*(WWWW[[#This Row],['#_male hygiene promoters]]+WWWW[[#This Row],['#_female hygiene promoters]]))</f>
        <v>253</v>
      </c>
      <c r="CV98"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65</v>
      </c>
      <c r="CW98"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253</v>
      </c>
      <c r="CX98" s="81">
        <f>IF(WWWW[[#This Row],['# People with access to soap]]&gt;WWWW[[#This Row],['# People with access to Sanity Pads]],WWWW[[#This Row],['# People with access to soap]],WWWW[[#This Row],['# People with access to Sanity Pads]])</f>
        <v>253</v>
      </c>
      <c r="CY98" s="81">
        <f>IF(WWWW[[#This Row],['# people reached by regular dedicated hygiene promotion_5]]&gt;WWWW[[#This Row],['# People received regular supply of hygiene items_6]],WWWW[[#This Row],['# people reached by regular dedicated hygiene promotion_5]],WWWW[[#This Row],['# People received regular supply of hygiene items_6]])</f>
        <v>253</v>
      </c>
      <c r="CZ98" s="79">
        <f>IF(WWWW[[#This Row],[HRP3]]/WWWW[[#This Row],[Total PoP ]]&gt;100%,100%,WWWW[[#This Row],[HRP3]]/WWWW[[#This Row],[Total PoP ]])</f>
        <v>1</v>
      </c>
      <c r="DA98" s="83">
        <f>1-WWWW[[#This Row],[Hygiene Coverage%]]</f>
        <v>0</v>
      </c>
      <c r="DB98" s="82">
        <f>WWWW[[#This Row],['# people reached by regular dedicated hygiene promotion_5]]/WWWW[[#This Row],[Total PoP ]]</f>
        <v>1</v>
      </c>
      <c r="DC98" s="82">
        <f>IF(WWWW[[#This Row],['#_households that received standard amount of soap for this quarter]]/WWWW[[#This Row],[Total HH]]&gt;1,1,WWWW[[#This Row],['#_households that received standard amount of soap for this quarter]]/WWWW[[#This Row],[Total HH]])</f>
        <v>0.31707317073170732</v>
      </c>
      <c r="DD98" s="82">
        <f>IF(WWWW[[#This Row],['#_households that received standard amount of sanitary pads for this quarter]]/WWWW[[#This Row],[Total HH]]&gt;1,1,WWWW[[#This Row],['#_households that received standard amount of sanitary pads for this quarter]]/WWWW[[#This Row],[Total HH]])</f>
        <v>1</v>
      </c>
      <c r="DE98" s="81">
        <f>WWWW[[#This Row],['#_Constructed/Existing hand washing stations]]-WWWW[[#This Row],['#_Non-Functional_hand_washing_stations]]</f>
        <v>7</v>
      </c>
      <c r="DF98" s="667">
        <f>IF(WWWW[[#This Row],['# Functional hand washing stations during reporting period]]*20&gt;WWWW[[#This Row],[Total HH]],WWWW[[#This Row],[Total HH]],WWWW[[#This Row],['# Functional hand washing stations during reporting period]]*20)</f>
        <v>41</v>
      </c>
      <c r="DG98" s="80">
        <f>IF(WWWW[[#This Row],[Is sufficient soap available for TLS? (Yes/No)]]="yes",WWWW[[#This Row],['#_Constructed/Existing hand washing stations at TLS]],0)</f>
        <v>0</v>
      </c>
      <c r="DH98" s="667">
        <f>IF(WWWW[[#This Row],['# Functional hand washing stations during reporting period]]*100&gt;WWWW[[#This Row],[Total PoP ]],WWWW[[#This Row],[Total PoP ]],WWWW[[#This Row],['# Functional hand washing stations during reporting period]]*100)</f>
        <v>253</v>
      </c>
      <c r="DI98" s="667" t="str">
        <f>IF(WWWW[[#This Row],['#_students at TLS_CFS]]="","No","Yes")</f>
        <v>No</v>
      </c>
      <c r="DJ98" s="245" t="str">
        <f>VLOOKUP(WWWW[[#This Row],[Site Name]],SiteDB6[[Site Name]:[CCCM Management]],6,FALSE)</f>
        <v>Yes</v>
      </c>
      <c r="DK98" s="245" t="str">
        <f>VLOOKUP(WWWW[[#This Row],[Site Name]],SiteDB6[[Site Name]:[CCCM Focal Agency]],7,FALSE)</f>
        <v>KBC</v>
      </c>
      <c r="DL98" s="245" t="str">
        <f>VLOOKUP(WWWW[[#This Row],[Site Name]],SiteDB6[[Site Name]:[Location Type 1]],9,FALSE)</f>
        <v>Camp</v>
      </c>
      <c r="DM98" s="245" t="str">
        <f>VLOOKUP(WWWW[[#This Row],[Site Name]],SiteDB6[[Site Name]:[Type of Accommodation]],10,FALSE)</f>
        <v>Camp</v>
      </c>
      <c r="DN98" s="245" t="str">
        <f>VLOOKUP(WWWW[[#This Row],[Site Name]],SiteDB6[[Site Name]:[Ethnic or GCA/NGCA]],11,FALSE)</f>
        <v>GCA</v>
      </c>
      <c r="DO98" s="245">
        <f>VLOOKUP(WWWW[[#This Row],[Site Name]],SiteDB6[[Site Name]:[Lat]],12,FALSE)</f>
        <v>24.207332999999998</v>
      </c>
      <c r="DP98" s="245">
        <f>VLOOKUP(WWWW[[#This Row],[Site Name]],SiteDB6[[Site Name]:[Long]],13,FALSE)</f>
        <v>97.710864000000001</v>
      </c>
      <c r="DQ98" s="245" t="str">
        <f>VLOOKUP(WWWW[[#This Row],[Site Name]],SiteDB6[[Site Name]:[Pcode]],3,FALSE)</f>
        <v>MMR001CMP073</v>
      </c>
      <c r="DR98" s="215" t="str">
        <f t="shared" si="3"/>
        <v>Covered</v>
      </c>
      <c r="DS98" s="215"/>
      <c r="DT98" s="20"/>
      <c r="DU98" s="20"/>
      <c r="DV98" s="20"/>
      <c r="DW98" s="20"/>
      <c r="DX98" s="20"/>
      <c r="DY98" s="20"/>
      <c r="DZ98" s="20"/>
      <c r="EA98" s="20"/>
      <c r="EB98" s="20"/>
      <c r="EC98" s="20"/>
      <c r="ED98" s="20"/>
      <c r="EE98" s="20"/>
      <c r="EF98" s="20"/>
      <c r="EG98" s="20"/>
      <c r="EH98" s="20"/>
    </row>
    <row r="99" spans="1:138" ht="15.75" customHeight="1">
      <c r="A99" s="259" t="s">
        <v>2525</v>
      </c>
      <c r="B99" s="259" t="s">
        <v>149</v>
      </c>
      <c r="C99" s="663" t="s">
        <v>149</v>
      </c>
      <c r="D99" s="663" t="s">
        <v>158</v>
      </c>
      <c r="E99" s="663" t="s">
        <v>39</v>
      </c>
      <c r="F99" s="663" t="s">
        <v>160</v>
      </c>
      <c r="G99" s="663" t="str">
        <f>VLOOKUP(WWWW[[#This Row],[Site Name]],SiteDB6[[Site Name]:[Location Type]],8,FALSE)</f>
        <v>Camp</v>
      </c>
      <c r="H99" s="663" t="s">
        <v>2199</v>
      </c>
      <c r="I99" s="700">
        <v>16</v>
      </c>
      <c r="J99" s="700">
        <v>78</v>
      </c>
      <c r="K99" s="642">
        <v>43556</v>
      </c>
      <c r="L99" s="78">
        <v>43677</v>
      </c>
      <c r="M99" s="700"/>
      <c r="N99" s="700"/>
      <c r="O99" s="700"/>
      <c r="P99" s="700"/>
      <c r="Q99" s="77" t="s">
        <v>43</v>
      </c>
      <c r="R99" s="377"/>
      <c r="S99" s="377"/>
      <c r="T99" s="700">
        <v>0</v>
      </c>
      <c r="U99" s="377"/>
      <c r="V99" s="377"/>
      <c r="W99" s="700">
        <v>1</v>
      </c>
      <c r="X99" s="377"/>
      <c r="Y99" s="377"/>
      <c r="Z99" s="377"/>
      <c r="AA99" s="377"/>
      <c r="AB99" s="377"/>
      <c r="AC99" s="377"/>
      <c r="AD99" s="377"/>
      <c r="AE99" s="377"/>
      <c r="AF99" s="377"/>
      <c r="AG99" s="377"/>
      <c r="AH99" s="700">
        <v>2</v>
      </c>
      <c r="AI99" s="377"/>
      <c r="AJ99" s="377"/>
      <c r="AK99" s="377"/>
      <c r="AL99" s="377"/>
      <c r="AM99" s="377"/>
      <c r="AN99" s="377"/>
      <c r="AO99" s="215"/>
      <c r="AP99" s="700">
        <v>2</v>
      </c>
      <c r="AQ99" s="377"/>
      <c r="AR99" s="77"/>
      <c r="AS99" s="377"/>
      <c r="AT99" s="377"/>
      <c r="AU99" s="377"/>
      <c r="AV99" s="377"/>
      <c r="AW99" s="700">
        <v>2</v>
      </c>
      <c r="AX99" s="245" t="s">
        <v>43</v>
      </c>
      <c r="AY99" s="245" t="s">
        <v>145</v>
      </c>
      <c r="AZ99" s="377"/>
      <c r="BA99" s="377"/>
      <c r="BB99" s="377"/>
      <c r="BC99" s="215"/>
      <c r="BD99" s="377"/>
      <c r="BE99" s="377"/>
      <c r="BF99" s="377"/>
      <c r="BG99" s="377">
        <v>2</v>
      </c>
      <c r="BH99" s="377"/>
      <c r="BI99" s="377"/>
      <c r="BJ99" s="377">
        <v>1</v>
      </c>
      <c r="BK99" s="377"/>
      <c r="BL99" s="377"/>
      <c r="BM99" s="215"/>
      <c r="BN99" s="80"/>
      <c r="BO99" s="82"/>
      <c r="BP99" s="215"/>
      <c r="BQ99" s="79" t="str">
        <f>IFERROR(WWWW[[#This Row],['#_Water sources treated]]/WWWW[[#This Row],['#_Water sources tested for contamination]],"no test")</f>
        <v>no test</v>
      </c>
      <c r="BR99" s="82" t="str">
        <f>IFERROR(WWWW[[#This Row],['#_Household received remediation action due to contamination]]/WWWW[[#This Row],['#_Household water samples tested for contamination]],"no test")</f>
        <v>no test</v>
      </c>
      <c r="BS99" s="81" t="str">
        <f>IF(AND(WWWW[[#This Row],[% of water sources treated]]="no test",WWWW[[#This Row],[% Household received corrective actions]]="no test"),"No Test","Tested")</f>
        <v>No Test</v>
      </c>
      <c r="BT99" s="81">
        <f>WWWW[[#This Row],['#_Constructed/existing protected hand dug well]]-WWWW[[#This Row],['#_Non-functional protected hand dug well]]</f>
        <v>0</v>
      </c>
      <c r="BU99" s="81">
        <f>(WWWW[[#This Row],['#_Constructed/Existing tube wells/boreholes/handpumps_WASH_agency]]+WWWW[[#This Row],['#_Non-Cluster partner water tube-wells/boreholes/handpumps]])-WWWW[[#This Row],['#_Non-functional tube wells/boreholes/handpumps]]</f>
        <v>1</v>
      </c>
      <c r="BV99" s="81">
        <f>WWWW[[#This Row],['#_Constructed/Existingwater storage tank with gravity fed reticulation system]]-WWWW[[#This Row],['#_Non-functional storage tank gravity fed reticulation system]]</f>
        <v>0</v>
      </c>
      <c r="BW99" s="81">
        <f>WWWW[[#This Row],['#_Water boating or water trucking]]</f>
        <v>0</v>
      </c>
      <c r="BX99" s="81">
        <f>WWWW[[#This Row],['#_Constructed/Existing water distribution system from river or natural spring]]</f>
        <v>0</v>
      </c>
      <c r="BY99"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99"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99" s="82">
        <f>IF(WWWW[[#This Row],[Location Type 1]]="Village",WWWW[[#This Row],[Access to safe drinking water for Village]],WWWW[[#This Row],[Access to safe drinking water for Camp]])</f>
        <v>1</v>
      </c>
      <c r="CB99" s="80">
        <f>WWWW[[#This Row],[%Equitable and continuous access to sufficient quantity of safe drinking water]]*WWWW[[#This Row],[Total PoP ]]</f>
        <v>78</v>
      </c>
      <c r="CC99" s="82">
        <f>IF((WWWW[[#This Row],['#_Constructed/Existing protected/fenced ponds]]*250)/WWWW[[#This Row],[Total PoP ]]&gt;1,1,(WWWW[[#This Row],['#_Constructed/Existing protected/fenced ponds]]*250)/WWWW[[#This Row],[Total PoP ]])</f>
        <v>0</v>
      </c>
      <c r="CD99" s="80">
        <f>WWWW[[#This Row],[% Access to unimproved water points]]*WWWW[[#This Row],[Total PoP ]]</f>
        <v>0</v>
      </c>
      <c r="CE99"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99"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78</v>
      </c>
      <c r="CG99" s="80">
        <f>WWWW[[#This Row],[HRP1]]/500</f>
        <v>0.156</v>
      </c>
      <c r="CH99" s="79">
        <f>1-WWWW[[#This Row],[% Equitable and continuous access to sufficient quantity of domestic water]]</f>
        <v>0</v>
      </c>
      <c r="CI99" s="80">
        <f>WWWW[[#This Row],[%equitable and continuous access to sufficient quantity of safe drinking and domestic water''s GAP]]*WWWW[[#This Row],[Total PoP ]]</f>
        <v>0</v>
      </c>
      <c r="CJ99" s="81">
        <f>IF(WWWW[[#This Row],[Total required water points]]-WWWW[[#This Row],['#Water points coverage]]&lt;0,0,WWWW[[#This Row],[Total required water points]]-WWWW[[#This Row],['#Water points coverage]])</f>
        <v>0.84399999999999997</v>
      </c>
      <c r="CK99" s="81">
        <f>ROUND(IF(WWWW[[#This Row],[Total PoP ]]&lt;500,1,WWWW[[#This Row],[Total PoP ]]/500),0)</f>
        <v>1</v>
      </c>
      <c r="CL99" s="81">
        <f>(WWWW[[#This Row],['#_Constructed latrines_by_WASHAgencies]]+WWWW[[#This Row],['#_Non Cluster partner latrines]])-WWWW[[#This Row],['#_Non-functional latrines]]</f>
        <v>2</v>
      </c>
      <c r="CM99"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0.51282051282051277</v>
      </c>
      <c r="CN99"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40</v>
      </c>
      <c r="CO99"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99" s="81">
        <f>IF(WWWW[[#This Row],[Location Type 1]]="Village","NA",IF(WWWW[[#This Row],['#_Constructed/Existing latrines in TLS]]*50&gt;WWWW[[#This Row],['#_students at TLS_CFS]],WWWW[[#This Row],['#_students at TLS_CFS]],(WWWW[[#This Row],['#_Constructed/Existing latrines in TLS]]*50)))</f>
        <v>0</v>
      </c>
      <c r="CQ99" s="81">
        <f>ROUND(IF(WWWW[[#This Row],[Location Type 1]]="camp",WWWW[[#This Row],[Total PoP ]]/20,IF(WWWW[[#This Row],[Location Type 1]]="Temporary Location",WWWW[[#This Row],[Total PoP ]]/50,(WWWW[[#This Row],[Total PoP ]]/6))),0)</f>
        <v>4</v>
      </c>
      <c r="CR99" s="80">
        <f>IF(WWWW[[#This Row],[Total required Latrines]]-(WWWW[[#This Row],['#_Constructed latrines_by_WASHAgencies]]+WWWW[[#This Row],['#_Non Cluster partner latrines]])&lt;0,0,WWWW[[#This Row],[Total required Latrines]]-(WWWW[[#This Row],['#_Constructed latrines_by_WASHAgencies]]+WWWW[[#This Row],['#_Non Cluster partner latrines]]))</f>
        <v>2</v>
      </c>
      <c r="CS99" s="79">
        <f>1-WWWW[[#This Row],[% people access to functioning Latrine]]</f>
        <v>0.48717948717948723</v>
      </c>
      <c r="CT99" s="83">
        <f>IF(OR(WWWW[[#This Row],['#_Non-functional latrines]]="",WWWW[[#This Row],['#_Non-functional latrines]]=0),0,WWWW[[#This Row],['#_Non-functional latrines]]/(WWWW[[#This Row],['#_Constructed latrines_by_WASHAgencies]]+WWWW[[#This Row],['#_Non Cluster partner latrines]]))</f>
        <v>0</v>
      </c>
      <c r="CU99" s="80">
        <f>IF(500*(WWWW[[#This Row],['#_male hygiene promoters]]+WWWW[[#This Row],['#_female hygiene promoters]])&gt;WWWW[[#This Row],[Total PoP ]],WWWW[[#This Row],[Total PoP ]],500*(WWWW[[#This Row],['#_male hygiene promoters]]+WWWW[[#This Row],['#_female hygiene promoters]]))</f>
        <v>78</v>
      </c>
      <c r="CV99"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99"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99" s="81">
        <f>IF(WWWW[[#This Row],['# People with access to soap]]&gt;WWWW[[#This Row],['# People with access to Sanity Pads]],WWWW[[#This Row],['# People with access to soap]],WWWW[[#This Row],['# People with access to Sanity Pads]])</f>
        <v>0</v>
      </c>
      <c r="CY99" s="81">
        <f>IF(WWWW[[#This Row],['# people reached by regular dedicated hygiene promotion_5]]&gt;WWWW[[#This Row],['# People received regular supply of hygiene items_6]],WWWW[[#This Row],['# people reached by regular dedicated hygiene promotion_5]],WWWW[[#This Row],['# People received regular supply of hygiene items_6]])</f>
        <v>78</v>
      </c>
      <c r="CZ99" s="79">
        <f>IF(WWWW[[#This Row],[HRP3]]/WWWW[[#This Row],[Total PoP ]]&gt;100%,100%,WWWW[[#This Row],[HRP3]]/WWWW[[#This Row],[Total PoP ]])</f>
        <v>1</v>
      </c>
      <c r="DA99" s="83">
        <f>1-WWWW[[#This Row],[Hygiene Coverage%]]</f>
        <v>0</v>
      </c>
      <c r="DB99" s="82">
        <f>WWWW[[#This Row],['# people reached by regular dedicated hygiene promotion_5]]/WWWW[[#This Row],[Total PoP ]]</f>
        <v>1</v>
      </c>
      <c r="DC99" s="82">
        <f>IF(WWWW[[#This Row],['#_households that received standard amount of soap for this quarter]]/WWWW[[#This Row],[Total HH]]&gt;1,1,WWWW[[#This Row],['#_households that received standard amount of soap for this quarter]]/WWWW[[#This Row],[Total HH]])</f>
        <v>0</v>
      </c>
      <c r="DD99" s="82">
        <f>IF(WWWW[[#This Row],['#_households that received standard amount of sanitary pads for this quarter]]/WWWW[[#This Row],[Total HH]]&gt;1,1,WWWW[[#This Row],['#_households that received standard amount of sanitary pads for this quarter]]/WWWW[[#This Row],[Total HH]])</f>
        <v>0</v>
      </c>
      <c r="DE99" s="81">
        <f>WWWW[[#This Row],['#_Constructed/Existing hand washing stations]]-WWWW[[#This Row],['#_Non-Functional_hand_washing_stations]]</f>
        <v>0</v>
      </c>
      <c r="DF99" s="667">
        <f>IF(WWWW[[#This Row],['# Functional hand washing stations during reporting period]]*20&gt;WWWW[[#This Row],[Total HH]],WWWW[[#This Row],[Total HH]],WWWW[[#This Row],['# Functional hand washing stations during reporting period]]*20)</f>
        <v>0</v>
      </c>
      <c r="DG99" s="80">
        <f>IF(WWWW[[#This Row],[Is sufficient soap available for TLS? (Yes/No)]]="yes",WWWW[[#This Row],['#_Constructed/Existing hand washing stations at TLS]],0)</f>
        <v>0</v>
      </c>
      <c r="DH99" s="667">
        <f>IF(WWWW[[#This Row],['# Functional hand washing stations during reporting period]]*100&gt;WWWW[[#This Row],[Total PoP ]],WWWW[[#This Row],[Total PoP ]],WWWW[[#This Row],['# Functional hand washing stations during reporting period]]*100)</f>
        <v>0</v>
      </c>
      <c r="DI99" s="667" t="str">
        <f>IF(WWWW[[#This Row],['#_students at TLS_CFS]]="","No","Yes")</f>
        <v>No</v>
      </c>
      <c r="DJ99" s="245" t="str">
        <f>VLOOKUP(WWWW[[#This Row],[Site Name]],SiteDB6[[Site Name]:[CCCM Management]],6,FALSE)</f>
        <v>Yes</v>
      </c>
      <c r="DK99" s="245" t="str">
        <f>VLOOKUP(WWWW[[#This Row],[Site Name]],SiteDB6[[Site Name]:[CCCM Focal Agency]],7,FALSE)</f>
        <v>KBC</v>
      </c>
      <c r="DL99" s="245" t="str">
        <f>VLOOKUP(WWWW[[#This Row],[Site Name]],SiteDB6[[Site Name]:[Location Type 1]],9,FALSE)</f>
        <v>Camp</v>
      </c>
      <c r="DM99" s="245" t="str">
        <f>VLOOKUP(WWWW[[#This Row],[Site Name]],SiteDB6[[Site Name]:[Type of Accommodation]],10,FALSE)</f>
        <v>Camp</v>
      </c>
      <c r="DN99" s="245" t="str">
        <f>VLOOKUP(WWWW[[#This Row],[Site Name]],SiteDB6[[Site Name]:[Ethnic or GCA/NGCA]],11,FALSE)</f>
        <v>GCA</v>
      </c>
      <c r="DO99" s="245">
        <f>VLOOKUP(WWWW[[#This Row],[Site Name]],SiteDB6[[Site Name]:[Lat]],12,FALSE)</f>
        <v>25.296579999999999</v>
      </c>
      <c r="DP99" s="245">
        <f>VLOOKUP(WWWW[[#This Row],[Site Name]],SiteDB6[[Site Name]:[Long]],13,FALSE)</f>
        <v>96.942279999999997</v>
      </c>
      <c r="DQ99" s="245" t="str">
        <f>VLOOKUP(WWWW[[#This Row],[Site Name]],SiteDB6[[Site Name]:[Pcode]],3,FALSE)</f>
        <v>MMR001CMP077</v>
      </c>
      <c r="DR99" s="215" t="str">
        <f t="shared" si="3"/>
        <v>Covered</v>
      </c>
      <c r="DS99" s="215"/>
      <c r="DT99" s="20"/>
      <c r="DU99" s="20"/>
      <c r="DV99" s="20"/>
      <c r="DW99" s="20"/>
      <c r="DX99" s="20"/>
      <c r="DY99" s="20"/>
      <c r="DZ99" s="20"/>
      <c r="EA99" s="20"/>
      <c r="EB99" s="20"/>
      <c r="EC99" s="20"/>
      <c r="ED99" s="20"/>
      <c r="EE99" s="20"/>
      <c r="EF99" s="20"/>
      <c r="EG99" s="20"/>
      <c r="EH99" s="20"/>
    </row>
    <row r="100" spans="1:138" ht="15.75" customHeight="1">
      <c r="A100" s="259" t="s">
        <v>2525</v>
      </c>
      <c r="B100" s="259" t="s">
        <v>149</v>
      </c>
      <c r="C100" s="663" t="s">
        <v>149</v>
      </c>
      <c r="D100" s="701" t="s">
        <v>152</v>
      </c>
      <c r="E100" s="663" t="s">
        <v>39</v>
      </c>
      <c r="F100" s="663" t="s">
        <v>150</v>
      </c>
      <c r="G100" s="663" t="str">
        <f>VLOOKUP(WWWW[[#This Row],[Site Name]],SiteDB6[[Site Name]:[Location Type]],8,FALSE)</f>
        <v>Camp</v>
      </c>
      <c r="H100" s="663" t="s">
        <v>184</v>
      </c>
      <c r="I100" s="700">
        <v>28</v>
      </c>
      <c r="J100" s="700">
        <v>159</v>
      </c>
      <c r="K100" s="642">
        <v>43556</v>
      </c>
      <c r="L100" s="78">
        <v>43677</v>
      </c>
      <c r="M100" s="700"/>
      <c r="N100" s="700"/>
      <c r="O100" s="700"/>
      <c r="P100" s="700"/>
      <c r="Q100" s="663" t="s">
        <v>43</v>
      </c>
      <c r="R100" s="377"/>
      <c r="S100" s="377"/>
      <c r="T100" s="700">
        <v>2</v>
      </c>
      <c r="U100" s="377"/>
      <c r="V100" s="377"/>
      <c r="W100" s="700">
        <v>1</v>
      </c>
      <c r="X100" s="377"/>
      <c r="Y100" s="377"/>
      <c r="Z100" s="377"/>
      <c r="AA100" s="377">
        <v>0</v>
      </c>
      <c r="AB100" s="377"/>
      <c r="AC100" s="377"/>
      <c r="AD100" s="377"/>
      <c r="AE100" s="377"/>
      <c r="AF100" s="377"/>
      <c r="AG100" s="377"/>
      <c r="AH100" s="700">
        <v>3</v>
      </c>
      <c r="AI100" s="377"/>
      <c r="AJ100" s="377"/>
      <c r="AK100" s="377"/>
      <c r="AL100" s="377"/>
      <c r="AM100" s="377"/>
      <c r="AN100" s="377"/>
      <c r="AO100" s="215"/>
      <c r="AP100" s="700">
        <v>6</v>
      </c>
      <c r="AQ100" s="377"/>
      <c r="AR100" s="77"/>
      <c r="AS100" s="377"/>
      <c r="AT100" s="377"/>
      <c r="AU100" s="377"/>
      <c r="AV100" s="377"/>
      <c r="AW100" s="700">
        <v>6</v>
      </c>
      <c r="AX100" s="245" t="s">
        <v>43</v>
      </c>
      <c r="AY100" s="245" t="s">
        <v>145</v>
      </c>
      <c r="AZ100" s="377"/>
      <c r="BA100" s="377"/>
      <c r="BB100" s="377"/>
      <c r="BC100" s="215"/>
      <c r="BD100" s="377"/>
      <c r="BE100" s="377"/>
      <c r="BF100" s="377"/>
      <c r="BG100" s="377">
        <v>3</v>
      </c>
      <c r="BH100" s="377"/>
      <c r="BI100" s="377"/>
      <c r="BJ100" s="377">
        <v>1</v>
      </c>
      <c r="BK100" s="377"/>
      <c r="BL100" s="377"/>
      <c r="BM100" s="215"/>
      <c r="BN100" s="80"/>
      <c r="BO100" s="82"/>
      <c r="BP100" s="215"/>
      <c r="BQ100" s="79" t="str">
        <f>IFERROR(WWWW[[#This Row],['#_Water sources treated]]/WWWW[[#This Row],['#_Water sources tested for contamination]],"no test")</f>
        <v>no test</v>
      </c>
      <c r="BR100" s="82" t="str">
        <f>IFERROR(WWWW[[#This Row],['#_Household received remediation action due to contamination]]/WWWW[[#This Row],['#_Household water samples tested for contamination]],"no test")</f>
        <v>no test</v>
      </c>
      <c r="BS100" s="81" t="str">
        <f>IF(AND(WWWW[[#This Row],[% of water sources treated]]="no test",WWWW[[#This Row],[% Household received corrective actions]]="no test"),"No Test","Tested")</f>
        <v>No Test</v>
      </c>
      <c r="BT100" s="81">
        <f>WWWW[[#This Row],['#_Constructed/existing protected hand dug well]]-WWWW[[#This Row],['#_Non-functional protected hand dug well]]</f>
        <v>2</v>
      </c>
      <c r="BU100" s="81">
        <f>(WWWW[[#This Row],['#_Constructed/Existing tube wells/boreholes/handpumps_WASH_agency]]+WWWW[[#This Row],['#_Non-Cluster partner water tube-wells/boreholes/handpumps]])-WWWW[[#This Row],['#_Non-functional tube wells/boreholes/handpumps]]</f>
        <v>1</v>
      </c>
      <c r="BV100" s="81">
        <f>WWWW[[#This Row],['#_Constructed/Existingwater storage tank with gravity fed reticulation system]]-WWWW[[#This Row],['#_Non-functional storage tank gravity fed reticulation system]]</f>
        <v>0</v>
      </c>
      <c r="BW100" s="81">
        <f>WWWW[[#This Row],['#_Water boating or water trucking]]</f>
        <v>0</v>
      </c>
      <c r="BX100" s="81">
        <f>WWWW[[#This Row],['#_Constructed/Existing water distribution system from river or natural spring]]</f>
        <v>0</v>
      </c>
      <c r="BY100"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00"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00" s="82">
        <f>IF(WWWW[[#This Row],[Location Type 1]]="Village",WWWW[[#This Row],[Access to safe drinking water for Village]],WWWW[[#This Row],[Access to safe drinking water for Camp]])</f>
        <v>1</v>
      </c>
      <c r="CB100" s="80">
        <f>WWWW[[#This Row],[%Equitable and continuous access to sufficient quantity of safe drinking water]]*WWWW[[#This Row],[Total PoP ]]</f>
        <v>159</v>
      </c>
      <c r="CC100" s="82">
        <f>IF((WWWW[[#This Row],['#_Constructed/Existing protected/fenced ponds]]*250)/WWWW[[#This Row],[Total PoP ]]&gt;1,1,(WWWW[[#This Row],['#_Constructed/Existing protected/fenced ponds]]*250)/WWWW[[#This Row],[Total PoP ]])</f>
        <v>0</v>
      </c>
      <c r="CD100" s="80">
        <f>WWWW[[#This Row],[% Access to unimproved water points]]*WWWW[[#This Row],[Total PoP ]]</f>
        <v>0</v>
      </c>
      <c r="CE100"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00"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159</v>
      </c>
      <c r="CG100" s="80">
        <f>WWWW[[#This Row],[HRP1]]/500</f>
        <v>0.318</v>
      </c>
      <c r="CH100" s="79">
        <f>1-WWWW[[#This Row],[% Equitable and continuous access to sufficient quantity of domestic water]]</f>
        <v>0</v>
      </c>
      <c r="CI100" s="80">
        <f>WWWW[[#This Row],[%equitable and continuous access to sufficient quantity of safe drinking and domestic water''s GAP]]*WWWW[[#This Row],[Total PoP ]]</f>
        <v>0</v>
      </c>
      <c r="CJ100" s="81">
        <f>IF(WWWW[[#This Row],[Total required water points]]-WWWW[[#This Row],['#Water points coverage]]&lt;0,0,WWWW[[#This Row],[Total required water points]]-WWWW[[#This Row],['#Water points coverage]])</f>
        <v>0.68199999999999994</v>
      </c>
      <c r="CK100" s="81">
        <f>ROUND(IF(WWWW[[#This Row],[Total PoP ]]&lt;500,1,WWWW[[#This Row],[Total PoP ]]/500),0)</f>
        <v>1</v>
      </c>
      <c r="CL100" s="81">
        <f>(WWWW[[#This Row],['#_Constructed latrines_by_WASHAgencies]]+WWWW[[#This Row],['#_Non Cluster partner latrines]])-WWWW[[#This Row],['#_Non-functional latrines]]</f>
        <v>6</v>
      </c>
      <c r="CM100"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0.75471698113207553</v>
      </c>
      <c r="CN100"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120</v>
      </c>
      <c r="CO100"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00" s="81">
        <f>IF(WWWW[[#This Row],[Location Type 1]]="Village","NA",IF(WWWW[[#This Row],['#_Constructed/Existing latrines in TLS]]*50&gt;WWWW[[#This Row],['#_students at TLS_CFS]],WWWW[[#This Row],['#_students at TLS_CFS]],(WWWW[[#This Row],['#_Constructed/Existing latrines in TLS]]*50)))</f>
        <v>0</v>
      </c>
      <c r="CQ100" s="81">
        <f>ROUND(IF(WWWW[[#This Row],[Location Type 1]]="camp",WWWW[[#This Row],[Total PoP ]]/20,IF(WWWW[[#This Row],[Location Type 1]]="Temporary Location",WWWW[[#This Row],[Total PoP ]]/50,(WWWW[[#This Row],[Total PoP ]]/6))),0)</f>
        <v>8</v>
      </c>
      <c r="CR100" s="80">
        <f>IF(WWWW[[#This Row],[Total required Latrines]]-(WWWW[[#This Row],['#_Constructed latrines_by_WASHAgencies]]+WWWW[[#This Row],['#_Non Cluster partner latrines]])&lt;0,0,WWWW[[#This Row],[Total required Latrines]]-(WWWW[[#This Row],['#_Constructed latrines_by_WASHAgencies]]+WWWW[[#This Row],['#_Non Cluster partner latrines]]))</f>
        <v>2</v>
      </c>
      <c r="CS100" s="79">
        <f>1-WWWW[[#This Row],[% people access to functioning Latrine]]</f>
        <v>0.24528301886792447</v>
      </c>
      <c r="CT100" s="83">
        <f>IF(OR(WWWW[[#This Row],['#_Non-functional latrines]]="",WWWW[[#This Row],['#_Non-functional latrines]]=0),0,WWWW[[#This Row],['#_Non-functional latrines]]/(WWWW[[#This Row],['#_Constructed latrines_by_WASHAgencies]]+WWWW[[#This Row],['#_Non Cluster partner latrines]]))</f>
        <v>0</v>
      </c>
      <c r="CU100" s="80">
        <f>IF(500*(WWWW[[#This Row],['#_male hygiene promoters]]+WWWW[[#This Row],['#_female hygiene promoters]])&gt;WWWW[[#This Row],[Total PoP ]],WWWW[[#This Row],[Total PoP ]],500*(WWWW[[#This Row],['#_male hygiene promoters]]+WWWW[[#This Row],['#_female hygiene promoters]]))</f>
        <v>159</v>
      </c>
      <c r="CV100"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00"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00" s="81">
        <f>IF(WWWW[[#This Row],['# People with access to soap]]&gt;WWWW[[#This Row],['# People with access to Sanity Pads]],WWWW[[#This Row],['# People with access to soap]],WWWW[[#This Row],['# People with access to Sanity Pads]])</f>
        <v>0</v>
      </c>
      <c r="CY100" s="81">
        <f>IF(WWWW[[#This Row],['# people reached by regular dedicated hygiene promotion_5]]&gt;WWWW[[#This Row],['# People received regular supply of hygiene items_6]],WWWW[[#This Row],['# people reached by regular dedicated hygiene promotion_5]],WWWW[[#This Row],['# People received regular supply of hygiene items_6]])</f>
        <v>159</v>
      </c>
      <c r="CZ100" s="79">
        <f>IF(WWWW[[#This Row],[HRP3]]/WWWW[[#This Row],[Total PoP ]]&gt;100%,100%,WWWW[[#This Row],[HRP3]]/WWWW[[#This Row],[Total PoP ]])</f>
        <v>1</v>
      </c>
      <c r="DA100" s="83">
        <f>1-WWWW[[#This Row],[Hygiene Coverage%]]</f>
        <v>0</v>
      </c>
      <c r="DB100" s="82">
        <f>WWWW[[#This Row],['# people reached by regular dedicated hygiene promotion_5]]/WWWW[[#This Row],[Total PoP ]]</f>
        <v>1</v>
      </c>
      <c r="DC100" s="82">
        <f>IF(WWWW[[#This Row],['#_households that received standard amount of soap for this quarter]]/WWWW[[#This Row],[Total HH]]&gt;1,1,WWWW[[#This Row],['#_households that received standard amount of soap for this quarter]]/WWWW[[#This Row],[Total HH]])</f>
        <v>0</v>
      </c>
      <c r="DD100" s="82">
        <f>IF(WWWW[[#This Row],['#_households that received standard amount of sanitary pads for this quarter]]/WWWW[[#This Row],[Total HH]]&gt;1,1,WWWW[[#This Row],['#_households that received standard amount of sanitary pads for this quarter]]/WWWW[[#This Row],[Total HH]])</f>
        <v>0</v>
      </c>
      <c r="DE100" s="81">
        <f>WWWW[[#This Row],['#_Constructed/Existing hand washing stations]]-WWWW[[#This Row],['#_Non-Functional_hand_washing_stations]]</f>
        <v>0</v>
      </c>
      <c r="DF100" s="667">
        <f>IF(WWWW[[#This Row],['# Functional hand washing stations during reporting period]]*20&gt;WWWW[[#This Row],[Total HH]],WWWW[[#This Row],[Total HH]],WWWW[[#This Row],['# Functional hand washing stations during reporting period]]*20)</f>
        <v>0</v>
      </c>
      <c r="DG100" s="80">
        <f>IF(WWWW[[#This Row],[Is sufficient soap available for TLS? (Yes/No)]]="yes",WWWW[[#This Row],['#_Constructed/Existing hand washing stations at TLS]],0)</f>
        <v>0</v>
      </c>
      <c r="DH100" s="667">
        <f>IF(WWWW[[#This Row],['# Functional hand washing stations during reporting period]]*100&gt;WWWW[[#This Row],[Total PoP ]],WWWW[[#This Row],[Total PoP ]],WWWW[[#This Row],['# Functional hand washing stations during reporting period]]*100)</f>
        <v>0</v>
      </c>
      <c r="DI100" s="667" t="str">
        <f>IF(WWWW[[#This Row],['#_students at TLS_CFS]]="","No","Yes")</f>
        <v>No</v>
      </c>
      <c r="DJ100" s="245" t="str">
        <f>VLOOKUP(WWWW[[#This Row],[Site Name]],SiteDB6[[Site Name]:[CCCM Management]],6,FALSE)</f>
        <v>Yes</v>
      </c>
      <c r="DK100" s="245" t="str">
        <f>VLOOKUP(WWWW[[#This Row],[Site Name]],SiteDB6[[Site Name]:[CCCM Focal Agency]],7,FALSE)</f>
        <v>KBC-MYT</v>
      </c>
      <c r="DL100" s="245" t="str">
        <f>VLOOKUP(WWWW[[#This Row],[Site Name]],SiteDB6[[Site Name]:[Location Type 1]],9,FALSE)</f>
        <v>Camp</v>
      </c>
      <c r="DM100" s="245" t="str">
        <f>VLOOKUP(WWWW[[#This Row],[Site Name]],SiteDB6[[Site Name]:[Type of Accommodation]],10,FALSE)</f>
        <v>Camp</v>
      </c>
      <c r="DN100" s="245" t="str">
        <f>VLOOKUP(WWWW[[#This Row],[Site Name]],SiteDB6[[Site Name]:[Ethnic or GCA/NGCA]],11,FALSE)</f>
        <v>GCA</v>
      </c>
      <c r="DO100" s="245">
        <f>VLOOKUP(WWWW[[#This Row],[Site Name]],SiteDB6[[Site Name]:[Lat]],12,FALSE)</f>
        <v>25.356632000000001</v>
      </c>
      <c r="DP100" s="245">
        <f>VLOOKUP(WWWW[[#This Row],[Site Name]],SiteDB6[[Site Name]:[Long]],13,FALSE)</f>
        <v>97.451965000000001</v>
      </c>
      <c r="DQ100" s="245" t="str">
        <f>VLOOKUP(WWWW[[#This Row],[Site Name]],SiteDB6[[Site Name]:[Pcode]],3,FALSE)</f>
        <v>MMR001CMP027</v>
      </c>
      <c r="DR100" s="215" t="str">
        <f t="shared" si="3"/>
        <v>Covered</v>
      </c>
      <c r="DS100" s="215"/>
      <c r="DT100" s="20"/>
      <c r="DU100" s="20"/>
      <c r="DV100" s="20"/>
      <c r="DW100" s="20"/>
      <c r="DX100" s="20"/>
      <c r="DY100" s="20"/>
      <c r="DZ100" s="20"/>
      <c r="EA100" s="20"/>
      <c r="EB100" s="20"/>
      <c r="EC100" s="20"/>
      <c r="ED100" s="20"/>
      <c r="EE100" s="20"/>
      <c r="EF100" s="20"/>
      <c r="EG100" s="20"/>
      <c r="EH100" s="20"/>
    </row>
    <row r="101" spans="1:138" ht="15.75" customHeight="1">
      <c r="A101" s="259" t="s">
        <v>2525</v>
      </c>
      <c r="B101" s="663" t="s">
        <v>2182</v>
      </c>
      <c r="C101" s="663" t="s">
        <v>2182</v>
      </c>
      <c r="D101" s="663" t="s">
        <v>3051</v>
      </c>
      <c r="E101" s="663" t="s">
        <v>39</v>
      </c>
      <c r="F101" s="663" t="s">
        <v>150</v>
      </c>
      <c r="G101" s="663" t="str">
        <f>VLOOKUP(WWWW[[#This Row],[Site Name]],SiteDB6[[Site Name]:[Location Type]],8,FALSE)</f>
        <v>Camp</v>
      </c>
      <c r="H101" s="663" t="s">
        <v>185</v>
      </c>
      <c r="I101" s="700">
        <v>407</v>
      </c>
      <c r="J101" s="700">
        <v>1801</v>
      </c>
      <c r="K101" s="642" t="s">
        <v>3052</v>
      </c>
      <c r="L101" s="58" t="s">
        <v>3053</v>
      </c>
      <c r="M101" s="700">
        <v>218</v>
      </c>
      <c r="N101" s="700"/>
      <c r="O101" s="700"/>
      <c r="P101" s="700"/>
      <c r="Q101" s="663" t="s">
        <v>43</v>
      </c>
      <c r="R101" s="377"/>
      <c r="S101" s="377"/>
      <c r="T101" s="377"/>
      <c r="U101" s="377"/>
      <c r="V101" s="377"/>
      <c r="W101" s="377"/>
      <c r="X101" s="377"/>
      <c r="Y101" s="377"/>
      <c r="Z101" s="377"/>
      <c r="AA101" s="377">
        <v>6</v>
      </c>
      <c r="AB101" s="377"/>
      <c r="AC101" s="377"/>
      <c r="AD101" s="377"/>
      <c r="AE101" s="377"/>
      <c r="AF101" s="377"/>
      <c r="AG101" s="377"/>
      <c r="AH101" s="377"/>
      <c r="AI101" s="377"/>
      <c r="AJ101" s="377"/>
      <c r="AK101" s="377"/>
      <c r="AL101" s="377"/>
      <c r="AM101" s="377"/>
      <c r="AN101" s="377"/>
      <c r="AO101" s="215"/>
      <c r="AP101" s="377">
        <v>407</v>
      </c>
      <c r="AQ101" s="377"/>
      <c r="AR101" s="77"/>
      <c r="AS101" s="377">
        <v>195</v>
      </c>
      <c r="AT101" s="377">
        <v>30</v>
      </c>
      <c r="AU101" s="377"/>
      <c r="AV101" s="377"/>
      <c r="AW101" s="377"/>
      <c r="AX101" s="245" t="s">
        <v>43</v>
      </c>
      <c r="AY101" s="245" t="s">
        <v>145</v>
      </c>
      <c r="AZ101" s="377">
        <v>3</v>
      </c>
      <c r="BA101" s="377"/>
      <c r="BB101" s="377"/>
      <c r="BC101" s="215"/>
      <c r="BD101" s="377"/>
      <c r="BE101" s="377"/>
      <c r="BF101" s="377"/>
      <c r="BG101" s="377"/>
      <c r="BH101" s="377"/>
      <c r="BI101" s="377"/>
      <c r="BJ101" s="377"/>
      <c r="BK101" s="377"/>
      <c r="BL101" s="377"/>
      <c r="BM101" s="215" t="s">
        <v>144</v>
      </c>
      <c r="BN101" s="80"/>
      <c r="BO101" s="82"/>
      <c r="BP101" s="215"/>
      <c r="BQ101" s="79" t="str">
        <f>IFERROR(WWWW[[#This Row],['#_Water sources treated]]/WWWW[[#This Row],['#_Water sources tested for contamination]],"no test")</f>
        <v>no test</v>
      </c>
      <c r="BR101" s="82" t="str">
        <f>IFERROR(WWWW[[#This Row],['#_Household received remediation action due to contamination]]/WWWW[[#This Row],['#_Household water samples tested for contamination]],"no test")</f>
        <v>no test</v>
      </c>
      <c r="BS101" s="81" t="str">
        <f>IF(AND(WWWW[[#This Row],[% of water sources treated]]="no test",WWWW[[#This Row],[% Household received corrective actions]]="no test"),"No Test","Tested")</f>
        <v>No Test</v>
      </c>
      <c r="BT101" s="81">
        <f>WWWW[[#This Row],['#_Constructed/existing protected hand dug well]]-WWWW[[#This Row],['#_Non-functional protected hand dug well]]</f>
        <v>0</v>
      </c>
      <c r="BU101" s="81">
        <f>(WWWW[[#This Row],['#_Constructed/Existing tube wells/boreholes/handpumps_WASH_agency]]+WWWW[[#This Row],['#_Non-Cluster partner water tube-wells/boreholes/handpumps]])-WWWW[[#This Row],['#_Non-functional tube wells/boreholes/handpumps]]</f>
        <v>0</v>
      </c>
      <c r="BV101" s="81">
        <f>WWWW[[#This Row],['#_Constructed/Existingwater storage tank with gravity fed reticulation system]]-WWWW[[#This Row],['#_Non-functional storage tank gravity fed reticulation system]]</f>
        <v>6</v>
      </c>
      <c r="BW101" s="81">
        <f>WWWW[[#This Row],['#_Water boating or water trucking]]</f>
        <v>0</v>
      </c>
      <c r="BX101" s="81">
        <f>WWWW[[#This Row],['#_Constructed/Existing water distribution system from river or natural spring]]</f>
        <v>0</v>
      </c>
      <c r="BY101"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0.2220988339811216</v>
      </c>
      <c r="BZ101"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0.2220988339811216</v>
      </c>
      <c r="CA101" s="82">
        <f>IF(WWWW[[#This Row],[Location Type 1]]="Village",WWWW[[#This Row],[Access to safe drinking water for Village]],WWWW[[#This Row],[Access to safe drinking water for Camp]])</f>
        <v>0.2220988339811216</v>
      </c>
      <c r="CB101" s="80">
        <f>WWWW[[#This Row],[%Equitable and continuous access to sufficient quantity of safe drinking water]]*WWWW[[#This Row],[Total PoP ]]</f>
        <v>400</v>
      </c>
      <c r="CC101" s="82">
        <f>IF((WWWW[[#This Row],['#_Constructed/Existing protected/fenced ponds]]*250)/WWWW[[#This Row],[Total PoP ]]&gt;1,1,(WWWW[[#This Row],['#_Constructed/Existing protected/fenced ponds]]*250)/WWWW[[#This Row],[Total PoP ]])</f>
        <v>0</v>
      </c>
      <c r="CD101" s="80">
        <f>WWWW[[#This Row],[% Access to unimproved water points]]*WWWW[[#This Row],[Total PoP ]]</f>
        <v>0</v>
      </c>
      <c r="CE101"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0.2220988339811216</v>
      </c>
      <c r="CF101"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400</v>
      </c>
      <c r="CG101" s="80">
        <f>WWWW[[#This Row],[HRP1]]/500</f>
        <v>0.8</v>
      </c>
      <c r="CH101" s="79">
        <f>1-WWWW[[#This Row],[% Equitable and continuous access to sufficient quantity of domestic water]]</f>
        <v>0.77790116601887838</v>
      </c>
      <c r="CI101" s="80">
        <f>WWWW[[#This Row],[%equitable and continuous access to sufficient quantity of safe drinking and domestic water''s GAP]]*WWWW[[#This Row],[Total PoP ]]</f>
        <v>1401</v>
      </c>
      <c r="CJ101" s="81">
        <f>IF(WWWW[[#This Row],[Total required water points]]-WWWW[[#This Row],['#Water points coverage]]&lt;0,0,WWWW[[#This Row],[Total required water points]]-WWWW[[#This Row],['#Water points coverage]])</f>
        <v>3.2</v>
      </c>
      <c r="CK101" s="81">
        <f>ROUND(IF(WWWW[[#This Row],[Total PoP ]]&lt;500,1,WWWW[[#This Row],[Total PoP ]]/500),0)</f>
        <v>4</v>
      </c>
      <c r="CL101" s="81">
        <f>(WWWW[[#This Row],['#_Constructed latrines_by_WASHAgencies]]+WWWW[[#This Row],['#_Non Cluster partner latrines]])-WWWW[[#This Row],['#_Non-functional latrines]]</f>
        <v>212</v>
      </c>
      <c r="CM101"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0.70627429205996672</v>
      </c>
      <c r="CN101"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1272</v>
      </c>
      <c r="CO101"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01" s="81">
        <f>IF(WWWW[[#This Row],[Location Type 1]]="Village","NA",IF(WWWW[[#This Row],['#_Constructed/Existing latrines in TLS]]*50&gt;WWWW[[#This Row],['#_students at TLS_CFS]],WWWW[[#This Row],['#_students at TLS_CFS]],(WWWW[[#This Row],['#_Constructed/Existing latrines in TLS]]*50)))</f>
        <v>0</v>
      </c>
      <c r="CQ101" s="81">
        <f>ROUND(IF(WWWW[[#This Row],[Location Type 1]]="camp",WWWW[[#This Row],[Total PoP ]]/20,IF(WWWW[[#This Row],[Location Type 1]]="Temporary Location",WWWW[[#This Row],[Total PoP ]]/50,(WWWW[[#This Row],[Total PoP ]]/6))),0)</f>
        <v>300</v>
      </c>
      <c r="CR101" s="80">
        <f>IF(WWWW[[#This Row],[Total required Latrines]]-(WWWW[[#This Row],['#_Constructed latrines_by_WASHAgencies]]+WWWW[[#This Row],['#_Non Cluster partner latrines]])&lt;0,0,WWWW[[#This Row],[Total required Latrines]]-(WWWW[[#This Row],['#_Constructed latrines_by_WASHAgencies]]+WWWW[[#This Row],['#_Non Cluster partner latrines]]))</f>
        <v>0</v>
      </c>
      <c r="CS101" s="79">
        <f>1-WWWW[[#This Row],[% people access to functioning Latrine]]</f>
        <v>0.29372570794003328</v>
      </c>
      <c r="CT101" s="83">
        <f>IF(OR(WWWW[[#This Row],['#_Non-functional latrines]]="",WWWW[[#This Row],['#_Non-functional latrines]]=0),0,WWWW[[#This Row],['#_Non-functional latrines]]/(WWWW[[#This Row],['#_Constructed latrines_by_WASHAgencies]]+WWWW[[#This Row],['#_Non Cluster partner latrines]]))</f>
        <v>0.47911547911547914</v>
      </c>
      <c r="CU101" s="80">
        <f>IF(500*(WWWW[[#This Row],['#_male hygiene promoters]]+WWWW[[#This Row],['#_female hygiene promoters]])&gt;WWWW[[#This Row],[Total PoP ]],WWWW[[#This Row],[Total PoP ]],500*(WWWW[[#This Row],['#_male hygiene promoters]]+WWWW[[#This Row],['#_female hygiene promoters]]))</f>
        <v>0</v>
      </c>
      <c r="CV101"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01"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01" s="81">
        <f>IF(WWWW[[#This Row],['# People with access to soap]]&gt;WWWW[[#This Row],['# People with access to Sanity Pads]],WWWW[[#This Row],['# People with access to soap]],WWWW[[#This Row],['# People with access to Sanity Pads]])</f>
        <v>0</v>
      </c>
      <c r="CY101"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01" s="79">
        <f>IF(WWWW[[#This Row],[HRP3]]/WWWW[[#This Row],[Total PoP ]]&gt;100%,100%,WWWW[[#This Row],[HRP3]]/WWWW[[#This Row],[Total PoP ]])</f>
        <v>0</v>
      </c>
      <c r="DA101" s="83">
        <f>1-WWWW[[#This Row],[Hygiene Coverage%]]</f>
        <v>1</v>
      </c>
      <c r="DB101" s="82">
        <f>WWWW[[#This Row],['# people reached by regular dedicated hygiene promotion_5]]/WWWW[[#This Row],[Total PoP ]]</f>
        <v>0</v>
      </c>
      <c r="DC101" s="82">
        <f>IF(WWWW[[#This Row],['#_households that received standard amount of soap for this quarter]]/WWWW[[#This Row],[Total HH]]&gt;1,1,WWWW[[#This Row],['#_households that received standard amount of soap for this quarter]]/WWWW[[#This Row],[Total HH]])</f>
        <v>0</v>
      </c>
      <c r="DD101" s="82">
        <f>IF(WWWW[[#This Row],['#_households that received standard amount of sanitary pads for this quarter]]/WWWW[[#This Row],[Total HH]]&gt;1,1,WWWW[[#This Row],['#_households that received standard amount of sanitary pads for this quarter]]/WWWW[[#This Row],[Total HH]])</f>
        <v>0</v>
      </c>
      <c r="DE101" s="81">
        <f>WWWW[[#This Row],['#_Constructed/Existing hand washing stations]]-WWWW[[#This Row],['#_Non-Functional_hand_washing_stations]]</f>
        <v>0</v>
      </c>
      <c r="DF101" s="667">
        <f>IF(WWWW[[#This Row],['# Functional hand washing stations during reporting period]]*20&gt;WWWW[[#This Row],[Total HH]],WWWW[[#This Row],[Total HH]],WWWW[[#This Row],['# Functional hand washing stations during reporting period]]*20)</f>
        <v>0</v>
      </c>
      <c r="DG101" s="80">
        <f>IF(WWWW[[#This Row],[Is sufficient soap available for TLS? (Yes/No)]]="yes",WWWW[[#This Row],['#_Constructed/Existing hand washing stations at TLS]],0)</f>
        <v>0</v>
      </c>
      <c r="DH101" s="667">
        <f>IF(WWWW[[#This Row],['# Functional hand washing stations during reporting period]]*100&gt;WWWW[[#This Row],[Total PoP ]],WWWW[[#This Row],[Total PoP ]],WWWW[[#This Row],['# Functional hand washing stations during reporting period]]*100)</f>
        <v>0</v>
      </c>
      <c r="DI101" s="667" t="str">
        <f>IF(WWWW[[#This Row],['#_students at TLS_CFS]]="","No","Yes")</f>
        <v>Yes</v>
      </c>
      <c r="DJ101" s="245" t="str">
        <f>VLOOKUP(WWWW[[#This Row],[Site Name]],SiteDB6[[Site Name]:[CCCM Management]],6,FALSE)</f>
        <v>Yes</v>
      </c>
      <c r="DK101" s="245" t="str">
        <f>VLOOKUP(WWWW[[#This Row],[Site Name]],SiteDB6[[Site Name]:[CCCM Focal Agency]],7,FALSE)</f>
        <v>KMSS-MYT</v>
      </c>
      <c r="DL101" s="245" t="str">
        <f>VLOOKUP(WWWW[[#This Row],[Site Name]],SiteDB6[[Site Name]:[Location Type 1]],9,FALSE)</f>
        <v>Village Type Camp</v>
      </c>
      <c r="DM101" s="245" t="str">
        <f>VLOOKUP(WWWW[[#This Row],[Site Name]],SiteDB6[[Site Name]:[Type of Accommodation]],10,FALSE)</f>
        <v>Camp</v>
      </c>
      <c r="DN101" s="245" t="str">
        <f>VLOOKUP(WWWW[[#This Row],[Site Name]],SiteDB6[[Site Name]:[Ethnic or GCA/NGCA]],11,FALSE)</f>
        <v>NGCA</v>
      </c>
      <c r="DO101" s="245">
        <f>VLOOKUP(WWWW[[#This Row],[Site Name]],SiteDB6[[Site Name]:[Lat]],12,FALSE)</f>
        <v>24.980250000000002</v>
      </c>
      <c r="DP101" s="245">
        <f>VLOOKUP(WWWW[[#This Row],[Site Name]],SiteDB6[[Site Name]:[Long]],13,FALSE)</f>
        <v>97.715230000000005</v>
      </c>
      <c r="DQ101" s="245" t="str">
        <f>VLOOKUP(WWWW[[#This Row],[Site Name]],SiteDB6[[Site Name]:[Pcode]],3,FALSE)</f>
        <v>MMR001CMP119</v>
      </c>
      <c r="DR101" s="215" t="str">
        <f t="shared" si="3"/>
        <v>Covered</v>
      </c>
      <c r="DS101" s="215"/>
      <c r="DT101" s="20"/>
      <c r="DU101" s="20"/>
      <c r="DV101" s="20"/>
      <c r="DW101" s="20"/>
      <c r="DX101" s="20"/>
      <c r="DY101" s="20"/>
      <c r="DZ101" s="20"/>
      <c r="EA101" s="20"/>
      <c r="EB101" s="20"/>
      <c r="EC101" s="20"/>
      <c r="ED101" s="20"/>
      <c r="EE101" s="20"/>
      <c r="EF101" s="20"/>
      <c r="EG101" s="20"/>
      <c r="EH101" s="20"/>
    </row>
    <row r="102" spans="1:138" ht="15.75" customHeight="1">
      <c r="A102" s="259" t="s">
        <v>2525</v>
      </c>
      <c r="B102" s="663" t="s">
        <v>38</v>
      </c>
      <c r="C102" s="663" t="s">
        <v>38</v>
      </c>
      <c r="D102" s="663" t="s">
        <v>3120</v>
      </c>
      <c r="E102" s="663" t="s">
        <v>39</v>
      </c>
      <c r="F102" s="663" t="s">
        <v>156</v>
      </c>
      <c r="G102" s="663" t="str">
        <f>VLOOKUP(WWWW[[#This Row],[Site Name]],SiteDB6[[Site Name]:[Location Type]],8,FALSE)</f>
        <v>Camp</v>
      </c>
      <c r="H102" s="663" t="s">
        <v>239</v>
      </c>
      <c r="I102" s="700">
        <v>50</v>
      </c>
      <c r="J102" s="700">
        <v>218</v>
      </c>
      <c r="K102" s="642">
        <v>43466</v>
      </c>
      <c r="L102" s="78" t="s">
        <v>2981</v>
      </c>
      <c r="M102" s="700"/>
      <c r="N102" s="700"/>
      <c r="O102" s="700"/>
      <c r="P102" s="700"/>
      <c r="Q102" s="663" t="s">
        <v>43</v>
      </c>
      <c r="R102" s="700"/>
      <c r="S102" s="700"/>
      <c r="T102" s="700">
        <v>1</v>
      </c>
      <c r="U102" s="700"/>
      <c r="V102" s="700"/>
      <c r="W102" s="700"/>
      <c r="X102" s="700"/>
      <c r="Y102" s="700"/>
      <c r="Z102" s="700"/>
      <c r="AA102" s="700"/>
      <c r="AB102" s="700"/>
      <c r="AC102" s="700"/>
      <c r="AD102" s="700"/>
      <c r="AE102" s="700"/>
      <c r="AF102" s="700"/>
      <c r="AG102" s="700"/>
      <c r="AH102" s="700"/>
      <c r="AI102" s="700"/>
      <c r="AJ102" s="700"/>
      <c r="AK102" s="700"/>
      <c r="AL102" s="700"/>
      <c r="AM102" s="700"/>
      <c r="AN102" s="700"/>
      <c r="AO102" s="667"/>
      <c r="AP102" s="719">
        <v>16</v>
      </c>
      <c r="AQ102" s="663"/>
      <c r="AR102" s="663"/>
      <c r="AS102" s="667"/>
      <c r="AT102" s="663"/>
      <c r="AU102" s="667"/>
      <c r="AV102" s="667"/>
      <c r="AW102" s="81"/>
      <c r="AX102" s="81" t="s">
        <v>43</v>
      </c>
      <c r="AY102" s="81" t="s">
        <v>145</v>
      </c>
      <c r="AZ102" s="81"/>
      <c r="BA102" s="81"/>
      <c r="BB102" s="667"/>
      <c r="BC102" s="667"/>
      <c r="BD102" s="667"/>
      <c r="BE102" s="667"/>
      <c r="BF102" s="667"/>
      <c r="BG102" s="720">
        <v>2</v>
      </c>
      <c r="BH102" s="667"/>
      <c r="BI102" s="700"/>
      <c r="BJ102" s="700">
        <v>2</v>
      </c>
      <c r="BK102" s="722">
        <v>30</v>
      </c>
      <c r="BL102" s="667"/>
      <c r="BM102" s="667"/>
      <c r="BN102" s="667"/>
      <c r="BO102" s="82"/>
      <c r="BP102" s="667"/>
      <c r="BQ102" s="79" t="str">
        <f>IFERROR(WWWW[[#This Row],['#_Water sources treated]]/WWWW[[#This Row],['#_Water sources tested for contamination]],"no test")</f>
        <v>no test</v>
      </c>
      <c r="BR102" s="82" t="str">
        <f>IFERROR(WWWW[[#This Row],['#_Household received remediation action due to contamination]]/WWWW[[#This Row],['#_Household water samples tested for contamination]],"no test")</f>
        <v>no test</v>
      </c>
      <c r="BS102" s="81" t="str">
        <f>IF(AND(WWWW[[#This Row],[% of water sources treated]]="no test",WWWW[[#This Row],[% Household received corrective actions]]="no test"),"No Test","Tested")</f>
        <v>No Test</v>
      </c>
      <c r="BT102" s="81">
        <f>WWWW[[#This Row],['#_Constructed/existing protected hand dug well]]-WWWW[[#This Row],['#_Non-functional protected hand dug well]]</f>
        <v>1</v>
      </c>
      <c r="BU102" s="81">
        <f>(WWWW[[#This Row],['#_Constructed/Existing tube wells/boreholes/handpumps_WASH_agency]]+WWWW[[#This Row],['#_Non-Cluster partner water tube-wells/boreholes/handpumps]])-WWWW[[#This Row],['#_Non-functional tube wells/boreholes/handpumps]]</f>
        <v>0</v>
      </c>
      <c r="BV102" s="81">
        <f>WWWW[[#This Row],['#_Constructed/Existingwater storage tank with gravity fed reticulation system]]-WWWW[[#This Row],['#_Non-functional storage tank gravity fed reticulation system]]</f>
        <v>0</v>
      </c>
      <c r="BW102" s="81">
        <f>WWWW[[#This Row],['#_Water boating or water trucking]]</f>
        <v>0</v>
      </c>
      <c r="BX102" s="81">
        <f>WWWW[[#This Row],['#_Constructed/Existing water distribution system from river or natural spring]]</f>
        <v>0</v>
      </c>
      <c r="BY102"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02"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02" s="82">
        <f>IF(WWWW[[#This Row],[Location Type 1]]="Village",WWWW[[#This Row],[Access to safe drinking water for Village]],WWWW[[#This Row],[Access to safe drinking water for Camp]])</f>
        <v>1</v>
      </c>
      <c r="CB102" s="80">
        <f>WWWW[[#This Row],[%Equitable and continuous access to sufficient quantity of safe drinking water]]*WWWW[[#This Row],[Total PoP ]]</f>
        <v>218</v>
      </c>
      <c r="CC102" s="82">
        <f>IF((WWWW[[#This Row],['#_Constructed/Existing protected/fenced ponds]]*250)/WWWW[[#This Row],[Total PoP ]]&gt;1,1,(WWWW[[#This Row],['#_Constructed/Existing protected/fenced ponds]]*250)/WWWW[[#This Row],[Total PoP ]])</f>
        <v>0</v>
      </c>
      <c r="CD102" s="80">
        <f>WWWW[[#This Row],[% Access to unimproved water points]]*WWWW[[#This Row],[Total PoP ]]</f>
        <v>0</v>
      </c>
      <c r="CE102"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02"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218</v>
      </c>
      <c r="CG102" s="80">
        <f>WWWW[[#This Row],[HRP1]]/500</f>
        <v>0.436</v>
      </c>
      <c r="CH102" s="79">
        <f>1-WWWW[[#This Row],[% Equitable and continuous access to sufficient quantity of domestic water]]</f>
        <v>0</v>
      </c>
      <c r="CI102" s="80">
        <f>WWWW[[#This Row],[%equitable and continuous access to sufficient quantity of safe drinking and domestic water''s GAP]]*WWWW[[#This Row],[Total PoP ]]</f>
        <v>0</v>
      </c>
      <c r="CJ102" s="81">
        <f>IF(WWWW[[#This Row],[Total required water points]]-WWWW[[#This Row],['#Water points coverage]]&lt;0,0,WWWW[[#This Row],[Total required water points]]-WWWW[[#This Row],['#Water points coverage]])</f>
        <v>0.56400000000000006</v>
      </c>
      <c r="CK102" s="81">
        <f>ROUND(IF(WWWW[[#This Row],[Total PoP ]]&lt;500,1,WWWW[[#This Row],[Total PoP ]]/500),0)</f>
        <v>1</v>
      </c>
      <c r="CL102" s="81">
        <f>(WWWW[[#This Row],['#_Constructed latrines_by_WASHAgencies]]+WWWW[[#This Row],['#_Non Cluster partner latrines]])-WWWW[[#This Row],['#_Non-functional latrines]]</f>
        <v>16</v>
      </c>
      <c r="CM102"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02"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218</v>
      </c>
      <c r="CO102"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02" s="81">
        <f>IF(WWWW[[#This Row],[Location Type 1]]="Village","NA",IF(WWWW[[#This Row],['#_Constructed/Existing latrines in TLS]]*50&gt;WWWW[[#This Row],['#_students at TLS_CFS]],WWWW[[#This Row],['#_students at TLS_CFS]],(WWWW[[#This Row],['#_Constructed/Existing latrines in TLS]]*50)))</f>
        <v>0</v>
      </c>
      <c r="CQ102" s="81">
        <f>ROUND(IF(WWWW[[#This Row],[Location Type 1]]="camp",WWWW[[#This Row],[Total PoP ]]/20,IF(WWWW[[#This Row],[Location Type 1]]="Temporary Location",WWWW[[#This Row],[Total PoP ]]/50,(WWWW[[#This Row],[Total PoP ]]/6))),0)</f>
        <v>11</v>
      </c>
      <c r="CR102" s="80">
        <f>IF(WWWW[[#This Row],[Total required Latrines]]-(WWWW[[#This Row],['#_Constructed latrines_by_WASHAgencies]]+WWWW[[#This Row],['#_Non Cluster partner latrines]])&lt;0,0,WWWW[[#This Row],[Total required Latrines]]-(WWWW[[#This Row],['#_Constructed latrines_by_WASHAgencies]]+WWWW[[#This Row],['#_Non Cluster partner latrines]]))</f>
        <v>0</v>
      </c>
      <c r="CS102" s="79">
        <f>1-WWWW[[#This Row],[% people access to functioning Latrine]]</f>
        <v>0</v>
      </c>
      <c r="CT102" s="83">
        <f>IF(OR(WWWW[[#This Row],['#_Non-functional latrines]]="",WWWW[[#This Row],['#_Non-functional latrines]]=0),0,WWWW[[#This Row],['#_Non-functional latrines]]/(WWWW[[#This Row],['#_Constructed latrines_by_WASHAgencies]]+WWWW[[#This Row],['#_Non Cluster partner latrines]]))</f>
        <v>0</v>
      </c>
      <c r="CU102" s="80">
        <f>IF(500*(WWWW[[#This Row],['#_male hygiene promoters]]+WWWW[[#This Row],['#_female hygiene promoters]])&gt;WWWW[[#This Row],[Total PoP ]],WWWW[[#This Row],[Total PoP ]],500*(WWWW[[#This Row],['#_male hygiene promoters]]+WWWW[[#This Row],['#_female hygiene promoters]]))</f>
        <v>218</v>
      </c>
      <c r="CV102"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150</v>
      </c>
      <c r="CW102"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02" s="81">
        <f>IF(WWWW[[#This Row],['# People with access to soap]]&gt;WWWW[[#This Row],['# People with access to Sanity Pads]],WWWW[[#This Row],['# People with access to soap]],WWWW[[#This Row],['# People with access to Sanity Pads]])</f>
        <v>150</v>
      </c>
      <c r="CY102" s="81">
        <f>IF(WWWW[[#This Row],['# people reached by regular dedicated hygiene promotion_5]]&gt;WWWW[[#This Row],['# People received regular supply of hygiene items_6]],WWWW[[#This Row],['# people reached by regular dedicated hygiene promotion_5]],WWWW[[#This Row],['# People received regular supply of hygiene items_6]])</f>
        <v>218</v>
      </c>
      <c r="CZ102" s="79">
        <f>IF(WWWW[[#This Row],[HRP3]]/WWWW[[#This Row],[Total PoP ]]&gt;100%,100%,WWWW[[#This Row],[HRP3]]/WWWW[[#This Row],[Total PoP ]])</f>
        <v>1</v>
      </c>
      <c r="DA102" s="83">
        <f>1-WWWW[[#This Row],[Hygiene Coverage%]]</f>
        <v>0</v>
      </c>
      <c r="DB102" s="82">
        <f>WWWW[[#This Row],['# people reached by regular dedicated hygiene promotion_5]]/WWWW[[#This Row],[Total PoP ]]</f>
        <v>1</v>
      </c>
      <c r="DC102" s="82">
        <f>IF(WWWW[[#This Row],['#_households that received standard amount of soap for this quarter]]/WWWW[[#This Row],[Total HH]]&gt;1,1,WWWW[[#This Row],['#_households that received standard amount of soap for this quarter]]/WWWW[[#This Row],[Total HH]])</f>
        <v>0.6</v>
      </c>
      <c r="DD102" s="82">
        <f>IF(WWWW[[#This Row],['#_households that received standard amount of sanitary pads for this quarter]]/WWWW[[#This Row],[Total HH]]&gt;1,1,WWWW[[#This Row],['#_households that received standard amount of sanitary pads for this quarter]]/WWWW[[#This Row],[Total HH]])</f>
        <v>0</v>
      </c>
      <c r="DE102" s="81">
        <f>WWWW[[#This Row],['#_Constructed/Existing hand washing stations]]-WWWW[[#This Row],['#_Non-Functional_hand_washing_stations]]</f>
        <v>0</v>
      </c>
      <c r="DF102" s="667">
        <f>IF(WWWW[[#This Row],['# Functional hand washing stations during reporting period]]*20&gt;WWWW[[#This Row],[Total HH]],WWWW[[#This Row],[Total HH]],WWWW[[#This Row],['# Functional hand washing stations during reporting period]]*20)</f>
        <v>0</v>
      </c>
      <c r="DG102" s="80">
        <f>IF(WWWW[[#This Row],[Is sufficient soap available for TLS? (Yes/No)]]="yes",WWWW[[#This Row],['#_Constructed/Existing hand washing stations at TLS]],0)</f>
        <v>0</v>
      </c>
      <c r="DH102" s="667">
        <f>IF(WWWW[[#This Row],['# Functional hand washing stations during reporting period]]*100&gt;WWWW[[#This Row],[Total PoP ]],WWWW[[#This Row],[Total PoP ]],WWWW[[#This Row],['# Functional hand washing stations during reporting period]]*100)</f>
        <v>0</v>
      </c>
      <c r="DI102" s="667" t="str">
        <f>IF(WWWW[[#This Row],['#_students at TLS_CFS]]="","No","Yes")</f>
        <v>No</v>
      </c>
      <c r="DJ102" s="245" t="str">
        <f>VLOOKUP(WWWW[[#This Row],[Site Name]],SiteDB6[[Site Name]:[CCCM Management]],6,FALSE)</f>
        <v>Yes</v>
      </c>
      <c r="DK102" s="245" t="str">
        <f>VLOOKUP(WWWW[[#This Row],[Site Name]],SiteDB6[[Site Name]:[CCCM Focal Agency]],7,FALSE)</f>
        <v>KMSS-MYT</v>
      </c>
      <c r="DL102" s="245" t="str">
        <f>VLOOKUP(WWWW[[#This Row],[Site Name]],SiteDB6[[Site Name]:[Location Type 1]],9,FALSE)</f>
        <v>Camp</v>
      </c>
      <c r="DM102" s="245" t="str">
        <f>VLOOKUP(WWWW[[#This Row],[Site Name]],SiteDB6[[Site Name]:[Type of Accommodation]],10,FALSE)</f>
        <v>Camp</v>
      </c>
      <c r="DN102" s="245" t="str">
        <f>VLOOKUP(WWWW[[#This Row],[Site Name]],SiteDB6[[Site Name]:[Ethnic or GCA/NGCA]],11,FALSE)</f>
        <v>GCA</v>
      </c>
      <c r="DO102" s="245">
        <f>VLOOKUP(WWWW[[#This Row],[Site Name]],SiteDB6[[Site Name]:[Lat]],12,FALSE)</f>
        <v>25.613894999999999</v>
      </c>
      <c r="DP102" s="245">
        <f>VLOOKUP(WWWW[[#This Row],[Site Name]],SiteDB6[[Site Name]:[Long]],13,FALSE)</f>
        <v>96.341352999999998</v>
      </c>
      <c r="DQ102" s="245" t="str">
        <f>VLOOKUP(WWWW[[#This Row],[Site Name]],SiteDB6[[Site Name]:[Pcode]],3,FALSE)</f>
        <v>MMR001CMP103</v>
      </c>
      <c r="DR102" s="215" t="str">
        <f t="shared" si="3"/>
        <v>Covered</v>
      </c>
      <c r="DS102" s="215"/>
      <c r="DT102" s="20"/>
      <c r="DU102" s="20"/>
      <c r="DV102" s="20"/>
      <c r="DW102" s="20"/>
      <c r="DX102" s="20"/>
      <c r="DY102" s="20"/>
      <c r="DZ102" s="20"/>
      <c r="EA102" s="20"/>
      <c r="EB102" s="20"/>
      <c r="EC102" s="20"/>
      <c r="ED102" s="20"/>
      <c r="EE102" s="20"/>
      <c r="EF102" s="20"/>
      <c r="EG102" s="20"/>
      <c r="EH102" s="20"/>
    </row>
    <row r="103" spans="1:138" ht="15.75" customHeight="1">
      <c r="A103" s="259" t="s">
        <v>2525</v>
      </c>
      <c r="B103" s="259" t="s">
        <v>149</v>
      </c>
      <c r="C103" s="663" t="s">
        <v>149</v>
      </c>
      <c r="D103" s="701" t="s">
        <v>152</v>
      </c>
      <c r="E103" s="663" t="s">
        <v>39</v>
      </c>
      <c r="F103" s="663" t="s">
        <v>150</v>
      </c>
      <c r="G103" s="663" t="str">
        <f>VLOOKUP(WWWW[[#This Row],[Site Name]],SiteDB6[[Site Name]:[Location Type]],8,FALSE)</f>
        <v>Camp</v>
      </c>
      <c r="H103" s="663" t="s">
        <v>186</v>
      </c>
      <c r="I103" s="700">
        <v>494</v>
      </c>
      <c r="J103" s="700">
        <v>2500</v>
      </c>
      <c r="K103" s="642">
        <v>43556</v>
      </c>
      <c r="L103" s="78">
        <v>43677</v>
      </c>
      <c r="M103" s="700"/>
      <c r="N103" s="700"/>
      <c r="O103" s="700"/>
      <c r="P103" s="700"/>
      <c r="Q103" s="663" t="s">
        <v>43</v>
      </c>
      <c r="R103" s="377"/>
      <c r="S103" s="377"/>
      <c r="T103" s="700">
        <v>9</v>
      </c>
      <c r="U103" s="377"/>
      <c r="V103" s="377"/>
      <c r="W103" s="700">
        <v>2</v>
      </c>
      <c r="X103" s="377"/>
      <c r="Y103" s="377"/>
      <c r="Z103" s="377"/>
      <c r="AA103" s="377"/>
      <c r="AB103" s="377"/>
      <c r="AC103" s="377"/>
      <c r="AD103" s="377"/>
      <c r="AE103" s="377"/>
      <c r="AF103" s="377"/>
      <c r="AG103" s="377"/>
      <c r="AH103" s="700">
        <v>9</v>
      </c>
      <c r="AI103" s="377"/>
      <c r="AJ103" s="377"/>
      <c r="AK103" s="377"/>
      <c r="AL103" s="377"/>
      <c r="AM103" s="377"/>
      <c r="AN103" s="377"/>
      <c r="AO103" s="215"/>
      <c r="AP103" s="700">
        <v>130</v>
      </c>
      <c r="AQ103" s="377"/>
      <c r="AR103" s="77"/>
      <c r="AS103" s="377">
        <v>104</v>
      </c>
      <c r="AT103" s="377">
        <v>30</v>
      </c>
      <c r="AU103" s="377">
        <v>32</v>
      </c>
      <c r="AV103" s="377"/>
      <c r="AW103" s="700">
        <v>130</v>
      </c>
      <c r="AX103" s="245" t="s">
        <v>43</v>
      </c>
      <c r="AY103" s="245" t="s">
        <v>145</v>
      </c>
      <c r="AZ103" s="377"/>
      <c r="BA103" s="377"/>
      <c r="BB103" s="377"/>
      <c r="BC103" s="215"/>
      <c r="BD103" s="377"/>
      <c r="BE103" s="377"/>
      <c r="BF103" s="377"/>
      <c r="BG103" s="377">
        <v>6</v>
      </c>
      <c r="BH103" s="377"/>
      <c r="BI103" s="377"/>
      <c r="BJ103" s="377">
        <v>5</v>
      </c>
      <c r="BK103" s="377"/>
      <c r="BL103" s="377"/>
      <c r="BM103" s="215"/>
      <c r="BN103" s="80"/>
      <c r="BO103" s="82"/>
      <c r="BP103" s="215"/>
      <c r="BQ103" s="79" t="str">
        <f>IFERROR(WWWW[[#This Row],['#_Water sources treated]]/WWWW[[#This Row],['#_Water sources tested for contamination]],"no test")</f>
        <v>no test</v>
      </c>
      <c r="BR103" s="82" t="str">
        <f>IFERROR(WWWW[[#This Row],['#_Household received remediation action due to contamination]]/WWWW[[#This Row],['#_Household water samples tested for contamination]],"no test")</f>
        <v>no test</v>
      </c>
      <c r="BS103" s="81" t="str">
        <f>IF(AND(WWWW[[#This Row],[% of water sources treated]]="no test",WWWW[[#This Row],[% Household received corrective actions]]="no test"),"No Test","Tested")</f>
        <v>No Test</v>
      </c>
      <c r="BT103" s="81">
        <f>WWWW[[#This Row],['#_Constructed/existing protected hand dug well]]-WWWW[[#This Row],['#_Non-functional protected hand dug well]]</f>
        <v>9</v>
      </c>
      <c r="BU103" s="81">
        <f>(WWWW[[#This Row],['#_Constructed/Existing tube wells/boreholes/handpumps_WASH_agency]]+WWWW[[#This Row],['#_Non-Cluster partner water tube-wells/boreholes/handpumps]])-WWWW[[#This Row],['#_Non-functional tube wells/boreholes/handpumps]]</f>
        <v>2</v>
      </c>
      <c r="BV103" s="81">
        <f>WWWW[[#This Row],['#_Constructed/Existingwater storage tank with gravity fed reticulation system]]-WWWW[[#This Row],['#_Non-functional storage tank gravity fed reticulation system]]</f>
        <v>0</v>
      </c>
      <c r="BW103" s="81">
        <f>WWWW[[#This Row],['#_Water boating or water trucking]]</f>
        <v>0</v>
      </c>
      <c r="BX103" s="81">
        <f>WWWW[[#This Row],['#_Constructed/Existing water distribution system from river or natural spring]]</f>
        <v>0</v>
      </c>
      <c r="BY103"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03"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03" s="82">
        <f>IF(WWWW[[#This Row],[Location Type 1]]="Village",WWWW[[#This Row],[Access to safe drinking water for Village]],WWWW[[#This Row],[Access to safe drinking water for Camp]])</f>
        <v>1</v>
      </c>
      <c r="CB103" s="80">
        <f>WWWW[[#This Row],[%Equitable and continuous access to sufficient quantity of safe drinking water]]*WWWW[[#This Row],[Total PoP ]]</f>
        <v>2500</v>
      </c>
      <c r="CC103" s="82">
        <f>IF((WWWW[[#This Row],['#_Constructed/Existing protected/fenced ponds]]*250)/WWWW[[#This Row],[Total PoP ]]&gt;1,1,(WWWW[[#This Row],['#_Constructed/Existing protected/fenced ponds]]*250)/WWWW[[#This Row],[Total PoP ]])</f>
        <v>0</v>
      </c>
      <c r="CD103" s="80">
        <f>WWWW[[#This Row],[% Access to unimproved water points]]*WWWW[[#This Row],[Total PoP ]]</f>
        <v>0</v>
      </c>
      <c r="CE103"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03"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2500</v>
      </c>
      <c r="CG103" s="80">
        <f>WWWW[[#This Row],[HRP1]]/500</f>
        <v>5</v>
      </c>
      <c r="CH103" s="79">
        <f>1-WWWW[[#This Row],[% Equitable and continuous access to sufficient quantity of domestic water]]</f>
        <v>0</v>
      </c>
      <c r="CI103" s="80">
        <f>WWWW[[#This Row],[%equitable and continuous access to sufficient quantity of safe drinking and domestic water''s GAP]]*WWWW[[#This Row],[Total PoP ]]</f>
        <v>0</v>
      </c>
      <c r="CJ103" s="81">
        <f>IF(WWWW[[#This Row],[Total required water points]]-WWWW[[#This Row],['#Water points coverage]]&lt;0,0,WWWW[[#This Row],[Total required water points]]-WWWW[[#This Row],['#Water points coverage]])</f>
        <v>0</v>
      </c>
      <c r="CK103" s="81">
        <f>ROUND(IF(WWWW[[#This Row],[Total PoP ]]&lt;500,1,WWWW[[#This Row],[Total PoP ]]/500),0)</f>
        <v>5</v>
      </c>
      <c r="CL103" s="81">
        <f>(WWWW[[#This Row],['#_Constructed latrines_by_WASHAgencies]]+WWWW[[#This Row],['#_Non Cluster partner latrines]])-WWWW[[#This Row],['#_Non-functional latrines]]</f>
        <v>26</v>
      </c>
      <c r="CM103"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0.20799999999999999</v>
      </c>
      <c r="CN103"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520</v>
      </c>
      <c r="CO103"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640</v>
      </c>
      <c r="CP103" s="81">
        <f>IF(WWWW[[#This Row],[Location Type 1]]="Village","NA",IF(WWWW[[#This Row],['#_Constructed/Existing latrines in TLS]]*50&gt;WWWW[[#This Row],['#_students at TLS_CFS]],WWWW[[#This Row],['#_students at TLS_CFS]],(WWWW[[#This Row],['#_Constructed/Existing latrines in TLS]]*50)))</f>
        <v>0</v>
      </c>
      <c r="CQ103" s="81">
        <f>ROUND(IF(WWWW[[#This Row],[Location Type 1]]="camp",WWWW[[#This Row],[Total PoP ]]/20,IF(WWWW[[#This Row],[Location Type 1]]="Temporary Location",WWWW[[#This Row],[Total PoP ]]/50,(WWWW[[#This Row],[Total PoP ]]/6))),0)</f>
        <v>125</v>
      </c>
      <c r="CR103" s="80">
        <f>IF(WWWW[[#This Row],[Total required Latrines]]-(WWWW[[#This Row],['#_Constructed latrines_by_WASHAgencies]]+WWWW[[#This Row],['#_Non Cluster partner latrines]])&lt;0,0,WWWW[[#This Row],[Total required Latrines]]-(WWWW[[#This Row],['#_Constructed latrines_by_WASHAgencies]]+WWWW[[#This Row],['#_Non Cluster partner latrines]]))</f>
        <v>0</v>
      </c>
      <c r="CS103" s="79">
        <f>1-WWWW[[#This Row],[% people access to functioning Latrine]]</f>
        <v>0.79200000000000004</v>
      </c>
      <c r="CT103" s="83">
        <f>IF(OR(WWWW[[#This Row],['#_Non-functional latrines]]="",WWWW[[#This Row],['#_Non-functional latrines]]=0),0,WWWW[[#This Row],['#_Non-functional latrines]]/(WWWW[[#This Row],['#_Constructed latrines_by_WASHAgencies]]+WWWW[[#This Row],['#_Non Cluster partner latrines]]))</f>
        <v>0.8</v>
      </c>
      <c r="CU103" s="80">
        <f>IF(500*(WWWW[[#This Row],['#_male hygiene promoters]]+WWWW[[#This Row],['#_female hygiene promoters]])&gt;WWWW[[#This Row],[Total PoP ]],WWWW[[#This Row],[Total PoP ]],500*(WWWW[[#This Row],['#_male hygiene promoters]]+WWWW[[#This Row],['#_female hygiene promoters]]))</f>
        <v>2500</v>
      </c>
      <c r="CV103"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03"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03" s="81">
        <f>IF(WWWW[[#This Row],['# People with access to soap]]&gt;WWWW[[#This Row],['# People with access to Sanity Pads]],WWWW[[#This Row],['# People with access to soap]],WWWW[[#This Row],['# People with access to Sanity Pads]])</f>
        <v>0</v>
      </c>
      <c r="CY103" s="81">
        <f>IF(WWWW[[#This Row],['# people reached by regular dedicated hygiene promotion_5]]&gt;WWWW[[#This Row],['# People received regular supply of hygiene items_6]],WWWW[[#This Row],['# people reached by regular dedicated hygiene promotion_5]],WWWW[[#This Row],['# People received regular supply of hygiene items_6]])</f>
        <v>2500</v>
      </c>
      <c r="CZ103" s="79">
        <f>IF(WWWW[[#This Row],[HRP3]]/WWWW[[#This Row],[Total PoP ]]&gt;100%,100%,WWWW[[#This Row],[HRP3]]/WWWW[[#This Row],[Total PoP ]])</f>
        <v>1</v>
      </c>
      <c r="DA103" s="83">
        <f>1-WWWW[[#This Row],[Hygiene Coverage%]]</f>
        <v>0</v>
      </c>
      <c r="DB103" s="82">
        <f>WWWW[[#This Row],['# people reached by regular dedicated hygiene promotion_5]]/WWWW[[#This Row],[Total PoP ]]</f>
        <v>1</v>
      </c>
      <c r="DC103" s="82">
        <f>IF(WWWW[[#This Row],['#_households that received standard amount of soap for this quarter]]/WWWW[[#This Row],[Total HH]]&gt;1,1,WWWW[[#This Row],['#_households that received standard amount of soap for this quarter]]/WWWW[[#This Row],[Total HH]])</f>
        <v>0</v>
      </c>
      <c r="DD103" s="82">
        <f>IF(WWWW[[#This Row],['#_households that received standard amount of sanitary pads for this quarter]]/WWWW[[#This Row],[Total HH]]&gt;1,1,WWWW[[#This Row],['#_households that received standard amount of sanitary pads for this quarter]]/WWWW[[#This Row],[Total HH]])</f>
        <v>0</v>
      </c>
      <c r="DE103" s="81">
        <f>WWWW[[#This Row],['#_Constructed/Existing hand washing stations]]-WWWW[[#This Row],['#_Non-Functional_hand_washing_stations]]</f>
        <v>0</v>
      </c>
      <c r="DF103" s="667">
        <f>IF(WWWW[[#This Row],['# Functional hand washing stations during reporting period]]*20&gt;WWWW[[#This Row],[Total HH]],WWWW[[#This Row],[Total HH]],WWWW[[#This Row],['# Functional hand washing stations during reporting period]]*20)</f>
        <v>0</v>
      </c>
      <c r="DG103" s="80">
        <f>IF(WWWW[[#This Row],[Is sufficient soap available for TLS? (Yes/No)]]="yes",WWWW[[#This Row],['#_Constructed/Existing hand washing stations at TLS]],0)</f>
        <v>0</v>
      </c>
      <c r="DH103" s="667">
        <f>IF(WWWW[[#This Row],['# Functional hand washing stations during reporting period]]*100&gt;WWWW[[#This Row],[Total PoP ]],WWWW[[#This Row],[Total PoP ]],WWWW[[#This Row],['# Functional hand washing stations during reporting period]]*100)</f>
        <v>0</v>
      </c>
      <c r="DI103" s="667" t="str">
        <f>IF(WWWW[[#This Row],['#_students at TLS_CFS]]="","No","Yes")</f>
        <v>No</v>
      </c>
      <c r="DJ103" s="245" t="str">
        <f>VLOOKUP(WWWW[[#This Row],[Site Name]],SiteDB6[[Site Name]:[CCCM Management]],6,FALSE)</f>
        <v>Yes</v>
      </c>
      <c r="DK103" s="245" t="str">
        <f>VLOOKUP(WWWW[[#This Row],[Site Name]],SiteDB6[[Site Name]:[CCCM Focal Agency]],7,FALSE)</f>
        <v>KBC-MYT</v>
      </c>
      <c r="DL103" s="245" t="str">
        <f>VLOOKUP(WWWW[[#This Row],[Site Name]],SiteDB6[[Site Name]:[Location Type 1]],9,FALSE)</f>
        <v>Camp</v>
      </c>
      <c r="DM103" s="245" t="str">
        <f>VLOOKUP(WWWW[[#This Row],[Site Name]],SiteDB6[[Site Name]:[Type of Accommodation]],10,FALSE)</f>
        <v>Camp</v>
      </c>
      <c r="DN103" s="245" t="str">
        <f>VLOOKUP(WWWW[[#This Row],[Site Name]],SiteDB6[[Site Name]:[Ethnic or GCA/NGCA]],11,FALSE)</f>
        <v>GCA</v>
      </c>
      <c r="DO103" s="245">
        <f>VLOOKUP(WWWW[[#This Row],[Site Name]],SiteDB6[[Site Name]:[Lat]],12,FALSE)</f>
        <v>25.4118005797101</v>
      </c>
      <c r="DP103" s="245">
        <f>VLOOKUP(WWWW[[#This Row],[Site Name]],SiteDB6[[Site Name]:[Long]],13,FALSE)</f>
        <v>97.434855869565197</v>
      </c>
      <c r="DQ103" s="245" t="str">
        <f>VLOOKUP(WWWW[[#This Row],[Site Name]],SiteDB6[[Site Name]:[Pcode]],3,FALSE)</f>
        <v>MMR001CMP040</v>
      </c>
      <c r="DR103" s="215" t="str">
        <f t="shared" si="3"/>
        <v>Covered</v>
      </c>
      <c r="DS103" s="215"/>
      <c r="DT103" s="20"/>
      <c r="DU103" s="20"/>
      <c r="DV103" s="20"/>
      <c r="DW103" s="20"/>
      <c r="DX103" s="20"/>
      <c r="DY103" s="20"/>
      <c r="DZ103" s="20"/>
      <c r="EA103" s="20"/>
      <c r="EB103" s="20"/>
      <c r="EC103" s="20"/>
      <c r="ED103" s="20"/>
      <c r="EE103" s="20"/>
      <c r="EF103" s="20"/>
      <c r="EG103" s="20"/>
      <c r="EH103" s="20"/>
    </row>
    <row r="104" spans="1:138" ht="15.75" customHeight="1">
      <c r="A104" s="259" t="s">
        <v>2525</v>
      </c>
      <c r="B104" s="663" t="s">
        <v>38</v>
      </c>
      <c r="C104" s="663" t="s">
        <v>38</v>
      </c>
      <c r="D104" s="663" t="s">
        <v>3120</v>
      </c>
      <c r="E104" s="663" t="s">
        <v>39</v>
      </c>
      <c r="F104" s="663" t="s">
        <v>167</v>
      </c>
      <c r="G104" s="663" t="str">
        <f>VLOOKUP(WWWW[[#This Row],[Site Name]],SiteDB6[[Site Name]:[Location Type]],8,FALSE)</f>
        <v>Camp</v>
      </c>
      <c r="H104" s="663" t="s">
        <v>243</v>
      </c>
      <c r="I104" s="700">
        <v>147</v>
      </c>
      <c r="J104" s="700">
        <v>882</v>
      </c>
      <c r="K104" s="642">
        <v>43466</v>
      </c>
      <c r="L104" s="78" t="s">
        <v>2981</v>
      </c>
      <c r="M104" s="700"/>
      <c r="N104" s="700"/>
      <c r="O104" s="700"/>
      <c r="P104" s="700"/>
      <c r="Q104" s="663" t="s">
        <v>43</v>
      </c>
      <c r="R104" s="700"/>
      <c r="S104" s="700"/>
      <c r="T104" s="700">
        <v>8</v>
      </c>
      <c r="U104" s="700"/>
      <c r="V104" s="700">
        <v>1</v>
      </c>
      <c r="W104" s="700">
        <v>2</v>
      </c>
      <c r="X104" s="700"/>
      <c r="Y104" s="700"/>
      <c r="Z104" s="700"/>
      <c r="AA104" s="700"/>
      <c r="AB104" s="700"/>
      <c r="AC104" s="700"/>
      <c r="AD104" s="700"/>
      <c r="AE104" s="700"/>
      <c r="AF104" s="700"/>
      <c r="AG104" s="700"/>
      <c r="AH104" s="700"/>
      <c r="AI104" s="700"/>
      <c r="AJ104" s="700"/>
      <c r="AK104" s="700"/>
      <c r="AL104" s="700"/>
      <c r="AM104" s="700"/>
      <c r="AN104" s="700"/>
      <c r="AO104" s="667"/>
      <c r="AP104" s="719">
        <v>74</v>
      </c>
      <c r="AQ104" s="663"/>
      <c r="AR104" s="663"/>
      <c r="AS104" s="667"/>
      <c r="AT104" s="663"/>
      <c r="AU104" s="667"/>
      <c r="AV104" s="667"/>
      <c r="AW104" s="81"/>
      <c r="AX104" s="81" t="s">
        <v>43</v>
      </c>
      <c r="AY104" s="81" t="s">
        <v>145</v>
      </c>
      <c r="AZ104" s="81"/>
      <c r="BA104" s="81"/>
      <c r="BB104" s="667"/>
      <c r="BC104" s="667"/>
      <c r="BD104" s="667"/>
      <c r="BE104" s="667"/>
      <c r="BF104" s="667"/>
      <c r="BG104" s="720">
        <v>13</v>
      </c>
      <c r="BH104" s="667"/>
      <c r="BI104" s="700"/>
      <c r="BJ104" s="700">
        <v>4</v>
      </c>
      <c r="BK104" s="721">
        <v>30</v>
      </c>
      <c r="BL104" s="667"/>
      <c r="BM104" s="667"/>
      <c r="BN104" s="667"/>
      <c r="BO104" s="82"/>
      <c r="BP104" s="667"/>
      <c r="BQ104" s="79" t="str">
        <f>IFERROR(WWWW[[#This Row],['#_Water sources treated]]/WWWW[[#This Row],['#_Water sources tested for contamination]],"no test")</f>
        <v>no test</v>
      </c>
      <c r="BR104" s="82" t="str">
        <f>IFERROR(WWWW[[#This Row],['#_Household received remediation action due to contamination]]/WWWW[[#This Row],['#_Household water samples tested for contamination]],"no test")</f>
        <v>no test</v>
      </c>
      <c r="BS104" s="81" t="str">
        <f>IF(AND(WWWW[[#This Row],[% of water sources treated]]="no test",WWWW[[#This Row],[% Household received corrective actions]]="no test"),"No Test","Tested")</f>
        <v>No Test</v>
      </c>
      <c r="BT104" s="81">
        <f>WWWW[[#This Row],['#_Constructed/existing protected hand dug well]]-WWWW[[#This Row],['#_Non-functional protected hand dug well]]</f>
        <v>8</v>
      </c>
      <c r="BU104" s="81">
        <f>(WWWW[[#This Row],['#_Constructed/Existing tube wells/boreholes/handpumps_WASH_agency]]+WWWW[[#This Row],['#_Non-Cluster partner water tube-wells/boreholes/handpumps]])-WWWW[[#This Row],['#_Non-functional tube wells/boreholes/handpumps]]</f>
        <v>2</v>
      </c>
      <c r="BV104" s="81">
        <f>WWWW[[#This Row],['#_Constructed/Existingwater storage tank with gravity fed reticulation system]]-WWWW[[#This Row],['#_Non-functional storage tank gravity fed reticulation system]]</f>
        <v>0</v>
      </c>
      <c r="BW104" s="81">
        <f>WWWW[[#This Row],['#_Water boating or water trucking]]</f>
        <v>0</v>
      </c>
      <c r="BX104" s="81">
        <f>WWWW[[#This Row],['#_Constructed/Existing water distribution system from river or natural spring]]</f>
        <v>0</v>
      </c>
      <c r="BY104"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04"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04" s="82">
        <f>IF(WWWW[[#This Row],[Location Type 1]]="Village",WWWW[[#This Row],[Access to safe drinking water for Village]],WWWW[[#This Row],[Access to safe drinking water for Camp]])</f>
        <v>1</v>
      </c>
      <c r="CB104" s="80">
        <f>WWWW[[#This Row],[%Equitable and continuous access to sufficient quantity of safe drinking water]]*WWWW[[#This Row],[Total PoP ]]</f>
        <v>882</v>
      </c>
      <c r="CC104" s="82">
        <f>IF((WWWW[[#This Row],['#_Constructed/Existing protected/fenced ponds]]*250)/WWWW[[#This Row],[Total PoP ]]&gt;1,1,(WWWW[[#This Row],['#_Constructed/Existing protected/fenced ponds]]*250)/WWWW[[#This Row],[Total PoP ]])</f>
        <v>0</v>
      </c>
      <c r="CD104" s="80">
        <f>WWWW[[#This Row],[% Access to unimproved water points]]*WWWW[[#This Row],[Total PoP ]]</f>
        <v>0</v>
      </c>
      <c r="CE104"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04"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882</v>
      </c>
      <c r="CG104" s="80">
        <f>WWWW[[#This Row],[HRP1]]/500</f>
        <v>1.764</v>
      </c>
      <c r="CH104" s="79">
        <f>1-WWWW[[#This Row],[% Equitable and continuous access to sufficient quantity of domestic water]]</f>
        <v>0</v>
      </c>
      <c r="CI104" s="80">
        <f>WWWW[[#This Row],[%equitable and continuous access to sufficient quantity of safe drinking and domestic water''s GAP]]*WWWW[[#This Row],[Total PoP ]]</f>
        <v>0</v>
      </c>
      <c r="CJ104" s="81">
        <f>IF(WWWW[[#This Row],[Total required water points]]-WWWW[[#This Row],['#Water points coverage]]&lt;0,0,WWWW[[#This Row],[Total required water points]]-WWWW[[#This Row],['#Water points coverage]])</f>
        <v>0.23599999999999999</v>
      </c>
      <c r="CK104" s="81">
        <f>ROUND(IF(WWWW[[#This Row],[Total PoP ]]&lt;500,1,WWWW[[#This Row],[Total PoP ]]/500),0)</f>
        <v>2</v>
      </c>
      <c r="CL104" s="81">
        <f>(WWWW[[#This Row],['#_Constructed latrines_by_WASHAgencies]]+WWWW[[#This Row],['#_Non Cluster partner latrines]])-WWWW[[#This Row],['#_Non-functional latrines]]</f>
        <v>74</v>
      </c>
      <c r="CM104"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04"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882</v>
      </c>
      <c r="CO104"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04" s="81">
        <f>IF(WWWW[[#This Row],[Location Type 1]]="Village","NA",IF(WWWW[[#This Row],['#_Constructed/Existing latrines in TLS]]*50&gt;WWWW[[#This Row],['#_students at TLS_CFS]],WWWW[[#This Row],['#_students at TLS_CFS]],(WWWW[[#This Row],['#_Constructed/Existing latrines in TLS]]*50)))</f>
        <v>0</v>
      </c>
      <c r="CQ104" s="81">
        <f>ROUND(IF(WWWW[[#This Row],[Location Type 1]]="camp",WWWW[[#This Row],[Total PoP ]]/20,IF(WWWW[[#This Row],[Location Type 1]]="Temporary Location",WWWW[[#This Row],[Total PoP ]]/50,(WWWW[[#This Row],[Total PoP ]]/6))),0)</f>
        <v>44</v>
      </c>
      <c r="CR104" s="80">
        <f>IF(WWWW[[#This Row],[Total required Latrines]]-(WWWW[[#This Row],['#_Constructed latrines_by_WASHAgencies]]+WWWW[[#This Row],['#_Non Cluster partner latrines]])&lt;0,0,WWWW[[#This Row],[Total required Latrines]]-(WWWW[[#This Row],['#_Constructed latrines_by_WASHAgencies]]+WWWW[[#This Row],['#_Non Cluster partner latrines]]))</f>
        <v>0</v>
      </c>
      <c r="CS104" s="79">
        <f>1-WWWW[[#This Row],[% people access to functioning Latrine]]</f>
        <v>0</v>
      </c>
      <c r="CT104" s="83">
        <f>IF(OR(WWWW[[#This Row],['#_Non-functional latrines]]="",WWWW[[#This Row],['#_Non-functional latrines]]=0),0,WWWW[[#This Row],['#_Non-functional latrines]]/(WWWW[[#This Row],['#_Constructed latrines_by_WASHAgencies]]+WWWW[[#This Row],['#_Non Cluster partner latrines]]))</f>
        <v>0</v>
      </c>
      <c r="CU104" s="80">
        <f>IF(500*(WWWW[[#This Row],['#_male hygiene promoters]]+WWWW[[#This Row],['#_female hygiene promoters]])&gt;WWWW[[#This Row],[Total PoP ]],WWWW[[#This Row],[Total PoP ]],500*(WWWW[[#This Row],['#_male hygiene promoters]]+WWWW[[#This Row],['#_female hygiene promoters]]))</f>
        <v>882</v>
      </c>
      <c r="CV104"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150</v>
      </c>
      <c r="CW104"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04" s="81">
        <f>IF(WWWW[[#This Row],['# People with access to soap]]&gt;WWWW[[#This Row],['# People with access to Sanity Pads]],WWWW[[#This Row],['# People with access to soap]],WWWW[[#This Row],['# People with access to Sanity Pads]])</f>
        <v>150</v>
      </c>
      <c r="CY104" s="81">
        <f>IF(WWWW[[#This Row],['# people reached by regular dedicated hygiene promotion_5]]&gt;WWWW[[#This Row],['# People received regular supply of hygiene items_6]],WWWW[[#This Row],['# people reached by regular dedicated hygiene promotion_5]],WWWW[[#This Row],['# People received regular supply of hygiene items_6]])</f>
        <v>882</v>
      </c>
      <c r="CZ104" s="79">
        <f>IF(WWWW[[#This Row],[HRP3]]/WWWW[[#This Row],[Total PoP ]]&gt;100%,100%,WWWW[[#This Row],[HRP3]]/WWWW[[#This Row],[Total PoP ]])</f>
        <v>1</v>
      </c>
      <c r="DA104" s="83">
        <f>1-WWWW[[#This Row],[Hygiene Coverage%]]</f>
        <v>0</v>
      </c>
      <c r="DB104" s="82">
        <f>WWWW[[#This Row],['# people reached by regular dedicated hygiene promotion_5]]/WWWW[[#This Row],[Total PoP ]]</f>
        <v>1</v>
      </c>
      <c r="DC104" s="82">
        <f>IF(WWWW[[#This Row],['#_households that received standard amount of soap for this quarter]]/WWWW[[#This Row],[Total HH]]&gt;1,1,WWWW[[#This Row],['#_households that received standard amount of soap for this quarter]]/WWWW[[#This Row],[Total HH]])</f>
        <v>0.20408163265306123</v>
      </c>
      <c r="DD104" s="82">
        <f>IF(WWWW[[#This Row],['#_households that received standard amount of sanitary pads for this quarter]]/WWWW[[#This Row],[Total HH]]&gt;1,1,WWWW[[#This Row],['#_households that received standard amount of sanitary pads for this quarter]]/WWWW[[#This Row],[Total HH]])</f>
        <v>0</v>
      </c>
      <c r="DE104" s="81">
        <f>WWWW[[#This Row],['#_Constructed/Existing hand washing stations]]-WWWW[[#This Row],['#_Non-Functional_hand_washing_stations]]</f>
        <v>0</v>
      </c>
      <c r="DF104" s="667">
        <f>IF(WWWW[[#This Row],['# Functional hand washing stations during reporting period]]*20&gt;WWWW[[#This Row],[Total HH]],WWWW[[#This Row],[Total HH]],WWWW[[#This Row],['# Functional hand washing stations during reporting period]]*20)</f>
        <v>0</v>
      </c>
      <c r="DG104" s="80">
        <f>IF(WWWW[[#This Row],[Is sufficient soap available for TLS? (Yes/No)]]="yes",WWWW[[#This Row],['#_Constructed/Existing hand washing stations at TLS]],0)</f>
        <v>0</v>
      </c>
      <c r="DH104" s="667">
        <f>IF(WWWW[[#This Row],['# Functional hand washing stations during reporting period]]*100&gt;WWWW[[#This Row],[Total PoP ]],WWWW[[#This Row],[Total PoP ]],WWWW[[#This Row],['# Functional hand washing stations during reporting period]]*100)</f>
        <v>0</v>
      </c>
      <c r="DI104" s="667" t="str">
        <f>IF(WWWW[[#This Row],['#_students at TLS_CFS]]="","No","Yes")</f>
        <v>No</v>
      </c>
      <c r="DJ104" s="245" t="str">
        <f>VLOOKUP(WWWW[[#This Row],[Site Name]],SiteDB6[[Site Name]:[CCCM Management]],6,FALSE)</f>
        <v>Yes</v>
      </c>
      <c r="DK104" s="245" t="str">
        <f>VLOOKUP(WWWW[[#This Row],[Site Name]],SiteDB6[[Site Name]:[CCCM Focal Agency]],7,FALSE)</f>
        <v>KMSS-MYT</v>
      </c>
      <c r="DL104" s="245" t="str">
        <f>VLOOKUP(WWWW[[#This Row],[Site Name]],SiteDB6[[Site Name]:[Location Type 1]],9,FALSE)</f>
        <v>Camp</v>
      </c>
      <c r="DM104" s="245" t="str">
        <f>VLOOKUP(WWWW[[#This Row],[Site Name]],SiteDB6[[Site Name]:[Type of Accommodation]],10,FALSE)</f>
        <v>Camp</v>
      </c>
      <c r="DN104" s="245" t="str">
        <f>VLOOKUP(WWWW[[#This Row],[Site Name]],SiteDB6[[Site Name]:[Ethnic or GCA/NGCA]],11,FALSE)</f>
        <v>GCA</v>
      </c>
      <c r="DO104" s="245">
        <f>VLOOKUP(WWWW[[#This Row],[Site Name]],SiteDB6[[Site Name]:[Lat]],12,FALSE)</f>
        <v>25.493819999999999</v>
      </c>
      <c r="DP104" s="245">
        <f>VLOOKUP(WWWW[[#This Row],[Site Name]],SiteDB6[[Site Name]:[Long]],13,FALSE)</f>
        <v>97.4345</v>
      </c>
      <c r="DQ104" s="245" t="str">
        <f>VLOOKUP(WWWW[[#This Row],[Site Name]],SiteDB6[[Site Name]:[Pcode]],3,FALSE)</f>
        <v>MMR001CMP162</v>
      </c>
      <c r="DR104" s="215" t="str">
        <f t="shared" si="3"/>
        <v>Covered</v>
      </c>
      <c r="DS104" s="215"/>
      <c r="DT104" s="20"/>
      <c r="DU104" s="20"/>
      <c r="DV104" s="20"/>
      <c r="DW104" s="20"/>
      <c r="DX104" s="20"/>
      <c r="DY104" s="20"/>
      <c r="DZ104" s="20"/>
      <c r="EA104" s="20"/>
      <c r="EB104" s="20"/>
      <c r="EC104" s="20"/>
      <c r="ED104" s="20"/>
      <c r="EE104" s="20"/>
      <c r="EF104" s="20"/>
      <c r="EG104" s="20"/>
      <c r="EH104" s="20"/>
    </row>
    <row r="105" spans="1:138" ht="15.75" customHeight="1">
      <c r="A105" s="259" t="s">
        <v>2525</v>
      </c>
      <c r="B105" s="259" t="s">
        <v>149</v>
      </c>
      <c r="C105" s="663" t="s">
        <v>149</v>
      </c>
      <c r="D105" s="701" t="s">
        <v>152</v>
      </c>
      <c r="E105" s="663" t="s">
        <v>39</v>
      </c>
      <c r="F105" s="663" t="s">
        <v>150</v>
      </c>
      <c r="G105" s="663" t="str">
        <f>VLOOKUP(WWWW[[#This Row],[Site Name]],SiteDB6[[Site Name]:[Location Type]],8,FALSE)</f>
        <v>Camp</v>
      </c>
      <c r="H105" s="663" t="s">
        <v>187</v>
      </c>
      <c r="I105" s="700">
        <v>43</v>
      </c>
      <c r="J105" s="700">
        <v>191</v>
      </c>
      <c r="K105" s="642">
        <v>43556</v>
      </c>
      <c r="L105" s="78">
        <v>43677</v>
      </c>
      <c r="M105" s="700"/>
      <c r="N105" s="700"/>
      <c r="O105" s="700"/>
      <c r="P105" s="700"/>
      <c r="Q105" s="663" t="s">
        <v>43</v>
      </c>
      <c r="R105" s="377"/>
      <c r="S105" s="377"/>
      <c r="T105" s="700">
        <v>1</v>
      </c>
      <c r="U105" s="377"/>
      <c r="V105" s="377"/>
      <c r="W105" s="700">
        <v>0</v>
      </c>
      <c r="X105" s="377"/>
      <c r="Y105" s="377"/>
      <c r="Z105" s="377"/>
      <c r="AA105" s="377"/>
      <c r="AB105" s="377"/>
      <c r="AC105" s="377"/>
      <c r="AD105" s="377"/>
      <c r="AE105" s="377"/>
      <c r="AF105" s="377"/>
      <c r="AG105" s="377"/>
      <c r="AH105" s="700">
        <v>2</v>
      </c>
      <c r="AI105" s="377"/>
      <c r="AJ105" s="377"/>
      <c r="AK105" s="377"/>
      <c r="AL105" s="377"/>
      <c r="AM105" s="377"/>
      <c r="AN105" s="377"/>
      <c r="AO105" s="215"/>
      <c r="AP105" s="700">
        <v>10</v>
      </c>
      <c r="AQ105" s="377"/>
      <c r="AR105" s="77"/>
      <c r="AS105" s="377"/>
      <c r="AT105" s="377"/>
      <c r="AU105" s="377">
        <v>3</v>
      </c>
      <c r="AV105" s="377"/>
      <c r="AW105" s="700">
        <v>10</v>
      </c>
      <c r="AX105" s="245" t="s">
        <v>43</v>
      </c>
      <c r="AY105" s="245" t="s">
        <v>145</v>
      </c>
      <c r="AZ105" s="377"/>
      <c r="BA105" s="377"/>
      <c r="BB105" s="377"/>
      <c r="BC105" s="215"/>
      <c r="BD105" s="377"/>
      <c r="BE105" s="377"/>
      <c r="BF105" s="377"/>
      <c r="BG105" s="377">
        <v>2</v>
      </c>
      <c r="BH105" s="377"/>
      <c r="BI105" s="377"/>
      <c r="BJ105" s="377">
        <v>1</v>
      </c>
      <c r="BK105" s="377"/>
      <c r="BL105" s="377"/>
      <c r="BM105" s="215"/>
      <c r="BN105" s="80"/>
      <c r="BO105" s="82"/>
      <c r="BP105" s="215"/>
      <c r="BQ105" s="79" t="str">
        <f>IFERROR(WWWW[[#This Row],['#_Water sources treated]]/WWWW[[#This Row],['#_Water sources tested for contamination]],"no test")</f>
        <v>no test</v>
      </c>
      <c r="BR105" s="82" t="str">
        <f>IFERROR(WWWW[[#This Row],['#_Household received remediation action due to contamination]]/WWWW[[#This Row],['#_Household water samples tested for contamination]],"no test")</f>
        <v>no test</v>
      </c>
      <c r="BS105" s="81" t="str">
        <f>IF(AND(WWWW[[#This Row],[% of water sources treated]]="no test",WWWW[[#This Row],[% Household received corrective actions]]="no test"),"No Test","Tested")</f>
        <v>No Test</v>
      </c>
      <c r="BT105" s="81">
        <f>WWWW[[#This Row],['#_Constructed/existing protected hand dug well]]-WWWW[[#This Row],['#_Non-functional protected hand dug well]]</f>
        <v>1</v>
      </c>
      <c r="BU105" s="81">
        <f>(WWWW[[#This Row],['#_Constructed/Existing tube wells/boreholes/handpumps_WASH_agency]]+WWWW[[#This Row],['#_Non-Cluster partner water tube-wells/boreholes/handpumps]])-WWWW[[#This Row],['#_Non-functional tube wells/boreholes/handpumps]]</f>
        <v>0</v>
      </c>
      <c r="BV105" s="81">
        <f>WWWW[[#This Row],['#_Constructed/Existingwater storage tank with gravity fed reticulation system]]-WWWW[[#This Row],['#_Non-functional storage tank gravity fed reticulation system]]</f>
        <v>0</v>
      </c>
      <c r="BW105" s="81">
        <f>WWWW[[#This Row],['#_Water boating or water trucking]]</f>
        <v>0</v>
      </c>
      <c r="BX105" s="81">
        <f>WWWW[[#This Row],['#_Constructed/Existing water distribution system from river or natural spring]]</f>
        <v>0</v>
      </c>
      <c r="BY105"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05"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05" s="82">
        <f>IF(WWWW[[#This Row],[Location Type 1]]="Village",WWWW[[#This Row],[Access to safe drinking water for Village]],WWWW[[#This Row],[Access to safe drinking water for Camp]])</f>
        <v>1</v>
      </c>
      <c r="CB105" s="80">
        <f>WWWW[[#This Row],[%Equitable and continuous access to sufficient quantity of safe drinking water]]*WWWW[[#This Row],[Total PoP ]]</f>
        <v>191</v>
      </c>
      <c r="CC105" s="82">
        <f>IF((WWWW[[#This Row],['#_Constructed/Existing protected/fenced ponds]]*250)/WWWW[[#This Row],[Total PoP ]]&gt;1,1,(WWWW[[#This Row],['#_Constructed/Existing protected/fenced ponds]]*250)/WWWW[[#This Row],[Total PoP ]])</f>
        <v>0</v>
      </c>
      <c r="CD105" s="80">
        <f>WWWW[[#This Row],[% Access to unimproved water points]]*WWWW[[#This Row],[Total PoP ]]</f>
        <v>0</v>
      </c>
      <c r="CE105"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05"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191</v>
      </c>
      <c r="CG105" s="80">
        <f>WWWW[[#This Row],[HRP1]]/500</f>
        <v>0.38200000000000001</v>
      </c>
      <c r="CH105" s="79">
        <f>1-WWWW[[#This Row],[% Equitable and continuous access to sufficient quantity of domestic water]]</f>
        <v>0</v>
      </c>
      <c r="CI105" s="80">
        <f>WWWW[[#This Row],[%equitable and continuous access to sufficient quantity of safe drinking and domestic water''s GAP]]*WWWW[[#This Row],[Total PoP ]]</f>
        <v>0</v>
      </c>
      <c r="CJ105" s="81">
        <f>IF(WWWW[[#This Row],[Total required water points]]-WWWW[[#This Row],['#Water points coverage]]&lt;0,0,WWWW[[#This Row],[Total required water points]]-WWWW[[#This Row],['#Water points coverage]])</f>
        <v>0.61799999999999999</v>
      </c>
      <c r="CK105" s="81">
        <f>ROUND(IF(WWWW[[#This Row],[Total PoP ]]&lt;500,1,WWWW[[#This Row],[Total PoP ]]/500),0)</f>
        <v>1</v>
      </c>
      <c r="CL105" s="81">
        <f>(WWWW[[#This Row],['#_Constructed latrines_by_WASHAgencies]]+WWWW[[#This Row],['#_Non Cluster partner latrines]])-WWWW[[#This Row],['#_Non-functional latrines]]</f>
        <v>10</v>
      </c>
      <c r="CM105"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05"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191</v>
      </c>
      <c r="CO105"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60</v>
      </c>
      <c r="CP105" s="81">
        <f>IF(WWWW[[#This Row],[Location Type 1]]="Village","NA",IF(WWWW[[#This Row],['#_Constructed/Existing latrines in TLS]]*50&gt;WWWW[[#This Row],['#_students at TLS_CFS]],WWWW[[#This Row],['#_students at TLS_CFS]],(WWWW[[#This Row],['#_Constructed/Existing latrines in TLS]]*50)))</f>
        <v>0</v>
      </c>
      <c r="CQ105" s="81">
        <f>ROUND(IF(WWWW[[#This Row],[Location Type 1]]="camp",WWWW[[#This Row],[Total PoP ]]/20,IF(WWWW[[#This Row],[Location Type 1]]="Temporary Location",WWWW[[#This Row],[Total PoP ]]/50,(WWWW[[#This Row],[Total PoP ]]/6))),0)</f>
        <v>10</v>
      </c>
      <c r="CR105" s="80">
        <f>IF(WWWW[[#This Row],[Total required Latrines]]-(WWWW[[#This Row],['#_Constructed latrines_by_WASHAgencies]]+WWWW[[#This Row],['#_Non Cluster partner latrines]])&lt;0,0,WWWW[[#This Row],[Total required Latrines]]-(WWWW[[#This Row],['#_Constructed latrines_by_WASHAgencies]]+WWWW[[#This Row],['#_Non Cluster partner latrines]]))</f>
        <v>0</v>
      </c>
      <c r="CS105" s="79">
        <f>1-WWWW[[#This Row],[% people access to functioning Latrine]]</f>
        <v>0</v>
      </c>
      <c r="CT105" s="83">
        <f>IF(OR(WWWW[[#This Row],['#_Non-functional latrines]]="",WWWW[[#This Row],['#_Non-functional latrines]]=0),0,WWWW[[#This Row],['#_Non-functional latrines]]/(WWWW[[#This Row],['#_Constructed latrines_by_WASHAgencies]]+WWWW[[#This Row],['#_Non Cluster partner latrines]]))</f>
        <v>0</v>
      </c>
      <c r="CU105" s="80">
        <f>IF(500*(WWWW[[#This Row],['#_male hygiene promoters]]+WWWW[[#This Row],['#_female hygiene promoters]])&gt;WWWW[[#This Row],[Total PoP ]],WWWW[[#This Row],[Total PoP ]],500*(WWWW[[#This Row],['#_male hygiene promoters]]+WWWW[[#This Row],['#_female hygiene promoters]]))</f>
        <v>191</v>
      </c>
      <c r="CV105"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05"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05" s="81">
        <f>IF(WWWW[[#This Row],['# People with access to soap]]&gt;WWWW[[#This Row],['# People with access to Sanity Pads]],WWWW[[#This Row],['# People with access to soap]],WWWW[[#This Row],['# People with access to Sanity Pads]])</f>
        <v>0</v>
      </c>
      <c r="CY105" s="81">
        <f>IF(WWWW[[#This Row],['# people reached by regular dedicated hygiene promotion_5]]&gt;WWWW[[#This Row],['# People received regular supply of hygiene items_6]],WWWW[[#This Row],['# people reached by regular dedicated hygiene promotion_5]],WWWW[[#This Row],['# People received regular supply of hygiene items_6]])</f>
        <v>191</v>
      </c>
      <c r="CZ105" s="79">
        <f>IF(WWWW[[#This Row],[HRP3]]/WWWW[[#This Row],[Total PoP ]]&gt;100%,100%,WWWW[[#This Row],[HRP3]]/WWWW[[#This Row],[Total PoP ]])</f>
        <v>1</v>
      </c>
      <c r="DA105" s="83">
        <f>1-WWWW[[#This Row],[Hygiene Coverage%]]</f>
        <v>0</v>
      </c>
      <c r="DB105" s="82">
        <f>WWWW[[#This Row],['# people reached by regular dedicated hygiene promotion_5]]/WWWW[[#This Row],[Total PoP ]]</f>
        <v>1</v>
      </c>
      <c r="DC105" s="82">
        <f>IF(WWWW[[#This Row],['#_households that received standard amount of soap for this quarter]]/WWWW[[#This Row],[Total HH]]&gt;1,1,WWWW[[#This Row],['#_households that received standard amount of soap for this quarter]]/WWWW[[#This Row],[Total HH]])</f>
        <v>0</v>
      </c>
      <c r="DD105" s="82">
        <f>IF(WWWW[[#This Row],['#_households that received standard amount of sanitary pads for this quarter]]/WWWW[[#This Row],[Total HH]]&gt;1,1,WWWW[[#This Row],['#_households that received standard amount of sanitary pads for this quarter]]/WWWW[[#This Row],[Total HH]])</f>
        <v>0</v>
      </c>
      <c r="DE105" s="81">
        <f>WWWW[[#This Row],['#_Constructed/Existing hand washing stations]]-WWWW[[#This Row],['#_Non-Functional_hand_washing_stations]]</f>
        <v>0</v>
      </c>
      <c r="DF105" s="667">
        <f>IF(WWWW[[#This Row],['# Functional hand washing stations during reporting period]]*20&gt;WWWW[[#This Row],[Total HH]],WWWW[[#This Row],[Total HH]],WWWW[[#This Row],['# Functional hand washing stations during reporting period]]*20)</f>
        <v>0</v>
      </c>
      <c r="DG105" s="80">
        <f>IF(WWWW[[#This Row],[Is sufficient soap available for TLS? (Yes/No)]]="yes",WWWW[[#This Row],['#_Constructed/Existing hand washing stations at TLS]],0)</f>
        <v>0</v>
      </c>
      <c r="DH105" s="667">
        <f>IF(WWWW[[#This Row],['# Functional hand washing stations during reporting period]]*100&gt;WWWW[[#This Row],[Total PoP ]],WWWW[[#This Row],[Total PoP ]],WWWW[[#This Row],['# Functional hand washing stations during reporting period]]*100)</f>
        <v>0</v>
      </c>
      <c r="DI105" s="667" t="str">
        <f>IF(WWWW[[#This Row],['#_students at TLS_CFS]]="","No","Yes")</f>
        <v>No</v>
      </c>
      <c r="DJ105" s="245" t="str">
        <f>VLOOKUP(WWWW[[#This Row],[Site Name]],SiteDB6[[Site Name]:[CCCM Management]],6,FALSE)</f>
        <v>Yes</v>
      </c>
      <c r="DK105" s="245" t="str">
        <f>VLOOKUP(WWWW[[#This Row],[Site Name]],SiteDB6[[Site Name]:[CCCM Focal Agency]],7,FALSE)</f>
        <v>KBC-MYT</v>
      </c>
      <c r="DL105" s="245" t="str">
        <f>VLOOKUP(WWWW[[#This Row],[Site Name]],SiteDB6[[Site Name]:[Location Type 1]],9,FALSE)</f>
        <v>Camp</v>
      </c>
      <c r="DM105" s="245" t="str">
        <f>VLOOKUP(WWWW[[#This Row],[Site Name]],SiteDB6[[Site Name]:[Type of Accommodation]],10,FALSE)</f>
        <v>Camp</v>
      </c>
      <c r="DN105" s="245" t="str">
        <f>VLOOKUP(WWWW[[#This Row],[Site Name]],SiteDB6[[Site Name]:[Ethnic or GCA/NGCA]],11,FALSE)</f>
        <v>GCA</v>
      </c>
      <c r="DO105" s="245">
        <f>VLOOKUP(WWWW[[#This Row],[Site Name]],SiteDB6[[Site Name]:[Lat]],12,FALSE)</f>
        <v>25.409612685185198</v>
      </c>
      <c r="DP105" s="245">
        <f>VLOOKUP(WWWW[[#This Row],[Site Name]],SiteDB6[[Site Name]:[Long]],13,FALSE)</f>
        <v>97.426536944444507</v>
      </c>
      <c r="DQ105" s="245" t="str">
        <f>VLOOKUP(WWWW[[#This Row],[Site Name]],SiteDB6[[Site Name]:[Pcode]],3,FALSE)</f>
        <v>MMR001CMP039</v>
      </c>
      <c r="DR105" s="215" t="str">
        <f t="shared" si="3"/>
        <v>Covered</v>
      </c>
      <c r="DS105" s="215"/>
      <c r="DT105" s="20"/>
      <c r="DU105" s="20"/>
      <c r="DV105" s="20"/>
      <c r="DW105" s="20"/>
      <c r="DX105" s="20"/>
      <c r="DY105" s="20"/>
      <c r="DZ105" s="20"/>
      <c r="EA105" s="20"/>
      <c r="EB105" s="20"/>
      <c r="EC105" s="20"/>
      <c r="ED105" s="20"/>
      <c r="EE105" s="20"/>
      <c r="EF105" s="20"/>
      <c r="EG105" s="20"/>
      <c r="EH105" s="20"/>
    </row>
    <row r="106" spans="1:138" ht="15.75" customHeight="1">
      <c r="A106" s="259" t="s">
        <v>2525</v>
      </c>
      <c r="B106" s="663" t="s">
        <v>317</v>
      </c>
      <c r="C106" s="663" t="s">
        <v>317</v>
      </c>
      <c r="D106" s="663"/>
      <c r="E106" s="663" t="s">
        <v>39</v>
      </c>
      <c r="F106" s="663" t="s">
        <v>167</v>
      </c>
      <c r="G106" s="663" t="str">
        <f>VLOOKUP(WWWW[[#This Row],[Site Name]],SiteDB6[[Site Name]:[Location Type]],8,FALSE)</f>
        <v>Camp</v>
      </c>
      <c r="H106" s="77" t="s">
        <v>785</v>
      </c>
      <c r="I106" s="700">
        <v>375</v>
      </c>
      <c r="J106" s="700">
        <v>1691</v>
      </c>
      <c r="K106" s="642"/>
      <c r="L106" s="78"/>
      <c r="M106" s="700"/>
      <c r="N106" s="700"/>
      <c r="O106" s="700"/>
      <c r="P106" s="700"/>
      <c r="Q106" s="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215"/>
      <c r="AP106" s="377"/>
      <c r="AQ106" s="377"/>
      <c r="AR106" s="77"/>
      <c r="AS106" s="377"/>
      <c r="AT106" s="377"/>
      <c r="AU106" s="377"/>
      <c r="AV106" s="377"/>
      <c r="AW106" s="377"/>
      <c r="AX106" s="245"/>
      <c r="AY106" s="245"/>
      <c r="AZ106" s="377"/>
      <c r="BA106" s="377"/>
      <c r="BB106" s="377"/>
      <c r="BC106" s="215"/>
      <c r="BD106" s="377"/>
      <c r="BE106" s="377"/>
      <c r="BF106" s="377"/>
      <c r="BG106" s="377"/>
      <c r="BH106" s="377"/>
      <c r="BI106" s="377"/>
      <c r="BJ106" s="377"/>
      <c r="BK106" s="377"/>
      <c r="BL106" s="377"/>
      <c r="BM106" s="215"/>
      <c r="BN106" s="80"/>
      <c r="BO106" s="82"/>
      <c r="BP106" s="215"/>
      <c r="BQ106" s="79" t="str">
        <f>IFERROR(WWWW[[#This Row],['#_Water sources treated]]/WWWW[[#This Row],['#_Water sources tested for contamination]],"no test")</f>
        <v>no test</v>
      </c>
      <c r="BR106" s="82" t="str">
        <f>IFERROR(WWWW[[#This Row],['#_Household received remediation action due to contamination]]/WWWW[[#This Row],['#_Household water samples tested for contamination]],"no test")</f>
        <v>no test</v>
      </c>
      <c r="BS106" s="81" t="str">
        <f>IF(AND(WWWW[[#This Row],[% of water sources treated]]="no test",WWWW[[#This Row],[% Household received corrective actions]]="no test"),"No Test","Tested")</f>
        <v>No Test</v>
      </c>
      <c r="BT106" s="81">
        <f>WWWW[[#This Row],['#_Constructed/existing protected hand dug well]]-WWWW[[#This Row],['#_Non-functional protected hand dug well]]</f>
        <v>0</v>
      </c>
      <c r="BU106" s="81">
        <f>(WWWW[[#This Row],['#_Constructed/Existing tube wells/boreholes/handpumps_WASH_agency]]+WWWW[[#This Row],['#_Non-Cluster partner water tube-wells/boreholes/handpumps]])-WWWW[[#This Row],['#_Non-functional tube wells/boreholes/handpumps]]</f>
        <v>0</v>
      </c>
      <c r="BV106" s="81">
        <f>WWWW[[#This Row],['#_Constructed/Existingwater storage tank with gravity fed reticulation system]]-WWWW[[#This Row],['#_Non-functional storage tank gravity fed reticulation system]]</f>
        <v>0</v>
      </c>
      <c r="BW106" s="81">
        <f>WWWW[[#This Row],['#_Water boating or water trucking]]</f>
        <v>0</v>
      </c>
      <c r="BX106" s="81">
        <f>WWWW[[#This Row],['#_Constructed/Existing water distribution system from river or natural spring]]</f>
        <v>0</v>
      </c>
      <c r="BY106"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06"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06" s="82">
        <f>IF(WWWW[[#This Row],[Location Type 1]]="Village",WWWW[[#This Row],[Access to safe drinking water for Village]],WWWW[[#This Row],[Access to safe drinking water for Camp]])</f>
        <v>0</v>
      </c>
      <c r="CB106" s="80">
        <f>WWWW[[#This Row],[%Equitable and continuous access to sufficient quantity of safe drinking water]]*WWWW[[#This Row],[Total PoP ]]</f>
        <v>0</v>
      </c>
      <c r="CC106" s="82">
        <f>IF((WWWW[[#This Row],['#_Constructed/Existing protected/fenced ponds]]*250)/WWWW[[#This Row],[Total PoP ]]&gt;1,1,(WWWW[[#This Row],['#_Constructed/Existing protected/fenced ponds]]*250)/WWWW[[#This Row],[Total PoP ]])</f>
        <v>0</v>
      </c>
      <c r="CD106" s="80">
        <f>WWWW[[#This Row],[% Access to unimproved water points]]*WWWW[[#This Row],[Total PoP ]]</f>
        <v>0</v>
      </c>
      <c r="CE106"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06"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06" s="80">
        <f>WWWW[[#This Row],[HRP1]]/500</f>
        <v>0</v>
      </c>
      <c r="CH106" s="79">
        <f>1-WWWW[[#This Row],[% Equitable and continuous access to sufficient quantity of domestic water]]</f>
        <v>1</v>
      </c>
      <c r="CI106" s="80">
        <f>WWWW[[#This Row],[%equitable and continuous access to sufficient quantity of safe drinking and domestic water''s GAP]]*WWWW[[#This Row],[Total PoP ]]</f>
        <v>1691</v>
      </c>
      <c r="CJ106" s="81">
        <f>IF(WWWW[[#This Row],[Total required water points]]-WWWW[[#This Row],['#Water points coverage]]&lt;0,0,WWWW[[#This Row],[Total required water points]]-WWWW[[#This Row],['#Water points coverage]])</f>
        <v>3</v>
      </c>
      <c r="CK106" s="81">
        <f>ROUND(IF(WWWW[[#This Row],[Total PoP ]]&lt;500,1,WWWW[[#This Row],[Total PoP ]]/500),0)</f>
        <v>3</v>
      </c>
      <c r="CL106" s="81">
        <f>(WWWW[[#This Row],['#_Constructed latrines_by_WASHAgencies]]+WWWW[[#This Row],['#_Non Cluster partner latrines]])-WWWW[[#This Row],['#_Non-functional latrines]]</f>
        <v>0</v>
      </c>
      <c r="CM106"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06"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06"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06" s="81">
        <f>IF(WWWW[[#This Row],[Location Type 1]]="Village","NA",IF(WWWW[[#This Row],['#_Constructed/Existing latrines in TLS]]*50&gt;WWWW[[#This Row],['#_students at TLS_CFS]],WWWW[[#This Row],['#_students at TLS_CFS]],(WWWW[[#This Row],['#_Constructed/Existing latrines in TLS]]*50)))</f>
        <v>0</v>
      </c>
      <c r="CQ106" s="81">
        <f>ROUND(IF(WWWW[[#This Row],[Location Type 1]]="camp",WWWW[[#This Row],[Total PoP ]]/20,IF(WWWW[[#This Row],[Location Type 1]]="Temporary Location",WWWW[[#This Row],[Total PoP ]]/50,(WWWW[[#This Row],[Total PoP ]]/6))),0)</f>
        <v>85</v>
      </c>
      <c r="CR106" s="80">
        <f>IF(WWWW[[#This Row],[Total required Latrines]]-(WWWW[[#This Row],['#_Constructed latrines_by_WASHAgencies]]+WWWW[[#This Row],['#_Non Cluster partner latrines]])&lt;0,0,WWWW[[#This Row],[Total required Latrines]]-(WWWW[[#This Row],['#_Constructed latrines_by_WASHAgencies]]+WWWW[[#This Row],['#_Non Cluster partner latrines]]))</f>
        <v>85</v>
      </c>
      <c r="CS106" s="79">
        <f>1-WWWW[[#This Row],[% people access to functioning Latrine]]</f>
        <v>1</v>
      </c>
      <c r="CT106" s="83">
        <f>IF(OR(WWWW[[#This Row],['#_Non-functional latrines]]="",WWWW[[#This Row],['#_Non-functional latrines]]=0),0,WWWW[[#This Row],['#_Non-functional latrines]]/(WWWW[[#This Row],['#_Constructed latrines_by_WASHAgencies]]+WWWW[[#This Row],['#_Non Cluster partner latrines]]))</f>
        <v>0</v>
      </c>
      <c r="CU106" s="80">
        <f>IF(500*(WWWW[[#This Row],['#_male hygiene promoters]]+WWWW[[#This Row],['#_female hygiene promoters]])&gt;WWWW[[#This Row],[Total PoP ]],WWWW[[#This Row],[Total PoP ]],500*(WWWW[[#This Row],['#_male hygiene promoters]]+WWWW[[#This Row],['#_female hygiene promoters]]))</f>
        <v>0</v>
      </c>
      <c r="CV106"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06"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06" s="81">
        <f>IF(WWWW[[#This Row],['# People with access to soap]]&gt;WWWW[[#This Row],['# People with access to Sanity Pads]],WWWW[[#This Row],['# People with access to soap]],WWWW[[#This Row],['# People with access to Sanity Pads]])</f>
        <v>0</v>
      </c>
      <c r="CY106"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06" s="79">
        <f>IF(WWWW[[#This Row],[HRP3]]/WWWW[[#This Row],[Total PoP ]]&gt;100%,100%,WWWW[[#This Row],[HRP3]]/WWWW[[#This Row],[Total PoP ]])</f>
        <v>0</v>
      </c>
      <c r="DA106" s="83">
        <f>1-WWWW[[#This Row],[Hygiene Coverage%]]</f>
        <v>1</v>
      </c>
      <c r="DB106" s="82">
        <f>WWWW[[#This Row],['# people reached by regular dedicated hygiene promotion_5]]/WWWW[[#This Row],[Total PoP ]]</f>
        <v>0</v>
      </c>
      <c r="DC106" s="82">
        <f>IF(WWWW[[#This Row],['#_households that received standard amount of soap for this quarter]]/WWWW[[#This Row],[Total HH]]&gt;1,1,WWWW[[#This Row],['#_households that received standard amount of soap for this quarter]]/WWWW[[#This Row],[Total HH]])</f>
        <v>0</v>
      </c>
      <c r="DD106" s="82">
        <f>IF(WWWW[[#This Row],['#_households that received standard amount of sanitary pads for this quarter]]/WWWW[[#This Row],[Total HH]]&gt;1,1,WWWW[[#This Row],['#_households that received standard amount of sanitary pads for this quarter]]/WWWW[[#This Row],[Total HH]])</f>
        <v>0</v>
      </c>
      <c r="DE106" s="81">
        <f>WWWW[[#This Row],['#_Constructed/Existing hand washing stations]]-WWWW[[#This Row],['#_Non-Functional_hand_washing_stations]]</f>
        <v>0</v>
      </c>
      <c r="DF106" s="667">
        <f>IF(WWWW[[#This Row],['# Functional hand washing stations during reporting period]]*20&gt;WWWW[[#This Row],[Total HH]],WWWW[[#This Row],[Total HH]],WWWW[[#This Row],['# Functional hand washing stations during reporting period]]*20)</f>
        <v>0</v>
      </c>
      <c r="DG106" s="80">
        <f>IF(WWWW[[#This Row],[Is sufficient soap available for TLS? (Yes/No)]]="yes",WWWW[[#This Row],['#_Constructed/Existing hand washing stations at TLS]],0)</f>
        <v>0</v>
      </c>
      <c r="DH106" s="667">
        <f>IF(WWWW[[#This Row],['# Functional hand washing stations during reporting period]]*100&gt;WWWW[[#This Row],[Total PoP ]],WWWW[[#This Row],[Total PoP ]],WWWW[[#This Row],['# Functional hand washing stations during reporting period]]*100)</f>
        <v>0</v>
      </c>
      <c r="DI106" s="667" t="str">
        <f>IF(WWWW[[#This Row],['#_students at TLS_CFS]]="","No","Yes")</f>
        <v>No</v>
      </c>
      <c r="DJ106" s="245">
        <f>VLOOKUP(WWWW[[#This Row],[Site Name]],SiteDB6[[Site Name]:[CCCM Management]],6,FALSE)</f>
        <v>0</v>
      </c>
      <c r="DK106" s="245" t="str">
        <f>VLOOKUP(WWWW[[#This Row],[Site Name]],SiteDB6[[Site Name]:[CCCM Focal Agency]],7,FALSE)</f>
        <v>uncovered</v>
      </c>
      <c r="DL106" s="245" t="str">
        <f>VLOOKUP(WWWW[[#This Row],[Site Name]],SiteDB6[[Site Name]:[Location Type 1]],9,FALSE)</f>
        <v>Camp</v>
      </c>
      <c r="DM106" s="245" t="str">
        <f>VLOOKUP(WWWW[[#This Row],[Site Name]],SiteDB6[[Site Name]:[Type of Accommodation]],10,FALSE)</f>
        <v>Host Families</v>
      </c>
      <c r="DN106" s="245" t="str">
        <f>VLOOKUP(WWWW[[#This Row],[Site Name]],SiteDB6[[Site Name]:[Ethnic or GCA/NGCA]],11,FALSE)</f>
        <v>GCA</v>
      </c>
      <c r="DO106" s="245">
        <f>VLOOKUP(WWWW[[#This Row],[Site Name]],SiteDB6[[Site Name]:[Lat]],12,FALSE)</f>
        <v>0</v>
      </c>
      <c r="DP106" s="245">
        <f>VLOOKUP(WWWW[[#This Row],[Site Name]],SiteDB6[[Site Name]:[Long]],13,FALSE)</f>
        <v>0</v>
      </c>
      <c r="DQ106" s="245" t="str">
        <f>VLOOKUP(WWWW[[#This Row],[Site Name]],SiteDB6[[Site Name]:[Pcode]],3,FALSE)</f>
        <v>MMR001CMP147</v>
      </c>
      <c r="DR106" s="215" t="str">
        <f t="shared" si="3"/>
        <v>Notcovered</v>
      </c>
      <c r="DS106" s="215"/>
      <c r="DT106" s="20"/>
      <c r="DU106" s="20"/>
      <c r="DV106" s="20"/>
      <c r="DW106" s="20"/>
      <c r="DX106" s="20"/>
      <c r="DY106" s="20"/>
      <c r="DZ106" s="20"/>
      <c r="EA106" s="20"/>
      <c r="EB106" s="20"/>
      <c r="EC106" s="20"/>
      <c r="ED106" s="20"/>
      <c r="EE106" s="20"/>
      <c r="EF106" s="20"/>
      <c r="EG106" s="20"/>
      <c r="EH106" s="20"/>
    </row>
    <row r="107" spans="1:138" ht="15.75" customHeight="1">
      <c r="A107" s="259" t="s">
        <v>2525</v>
      </c>
      <c r="B107" s="259" t="s">
        <v>149</v>
      </c>
      <c r="C107" s="663" t="s">
        <v>149</v>
      </c>
      <c r="D107" s="663" t="s">
        <v>2379</v>
      </c>
      <c r="E107" s="663" t="s">
        <v>39</v>
      </c>
      <c r="F107" s="663" t="s">
        <v>40</v>
      </c>
      <c r="G107" s="663" t="str">
        <f>VLOOKUP(WWWW[[#This Row],[Site Name]],SiteDB6[[Site Name]:[Location Type]],8,FALSE)</f>
        <v>Camp</v>
      </c>
      <c r="H107" s="663" t="s">
        <v>191</v>
      </c>
      <c r="I107" s="700">
        <v>432</v>
      </c>
      <c r="J107" s="700">
        <v>1855</v>
      </c>
      <c r="K107" s="642"/>
      <c r="L107" s="78">
        <v>43555</v>
      </c>
      <c r="M107" s="700"/>
      <c r="N107" s="700"/>
      <c r="O107" s="700"/>
      <c r="P107" s="700"/>
      <c r="Q107" s="77" t="s">
        <v>43</v>
      </c>
      <c r="R107" s="377"/>
      <c r="S107" s="377"/>
      <c r="T107" s="700">
        <v>0</v>
      </c>
      <c r="U107" s="377"/>
      <c r="V107" s="377"/>
      <c r="W107" s="700">
        <v>4</v>
      </c>
      <c r="X107" s="377"/>
      <c r="Y107" s="377"/>
      <c r="Z107" s="377"/>
      <c r="AA107" s="377"/>
      <c r="AB107" s="377"/>
      <c r="AC107" s="377"/>
      <c r="AD107" s="377"/>
      <c r="AE107" s="377"/>
      <c r="AF107" s="377"/>
      <c r="AG107" s="377"/>
      <c r="AH107" s="700">
        <v>4</v>
      </c>
      <c r="AI107" s="377"/>
      <c r="AJ107" s="377"/>
      <c r="AK107" s="377"/>
      <c r="AL107" s="377"/>
      <c r="AM107" s="377"/>
      <c r="AN107" s="377"/>
      <c r="AO107" s="215"/>
      <c r="AP107" s="700">
        <v>110</v>
      </c>
      <c r="AQ107" s="377"/>
      <c r="AR107" s="77"/>
      <c r="AS107" s="377"/>
      <c r="AT107" s="377"/>
      <c r="AU107" s="377"/>
      <c r="AV107" s="377"/>
      <c r="AW107" s="700">
        <v>110</v>
      </c>
      <c r="AX107" s="245" t="s">
        <v>43</v>
      </c>
      <c r="AY107" s="245" t="s">
        <v>145</v>
      </c>
      <c r="AZ107" s="377"/>
      <c r="BA107" s="377"/>
      <c r="BB107" s="377"/>
      <c r="BC107" s="215"/>
      <c r="BD107" s="377"/>
      <c r="BE107" s="377"/>
      <c r="BF107" s="377"/>
      <c r="BG107" s="377">
        <v>10</v>
      </c>
      <c r="BH107" s="377"/>
      <c r="BI107" s="377"/>
      <c r="BJ107" s="377">
        <v>3</v>
      </c>
      <c r="BK107" s="377"/>
      <c r="BL107" s="377"/>
      <c r="BM107" s="215"/>
      <c r="BN107" s="80"/>
      <c r="BO107" s="82"/>
      <c r="BP107" s="215"/>
      <c r="BQ107" s="79" t="str">
        <f>IFERROR(WWWW[[#This Row],['#_Water sources treated]]/WWWW[[#This Row],['#_Water sources tested for contamination]],"no test")</f>
        <v>no test</v>
      </c>
      <c r="BR107" s="82" t="str">
        <f>IFERROR(WWWW[[#This Row],['#_Household received remediation action due to contamination]]/WWWW[[#This Row],['#_Household water samples tested for contamination]],"no test")</f>
        <v>no test</v>
      </c>
      <c r="BS107" s="81" t="str">
        <f>IF(AND(WWWW[[#This Row],[% of water sources treated]]="no test",WWWW[[#This Row],[% Household received corrective actions]]="no test"),"No Test","Tested")</f>
        <v>No Test</v>
      </c>
      <c r="BT107" s="81">
        <f>WWWW[[#This Row],['#_Constructed/existing protected hand dug well]]-WWWW[[#This Row],['#_Non-functional protected hand dug well]]</f>
        <v>0</v>
      </c>
      <c r="BU107" s="81">
        <f>(WWWW[[#This Row],['#_Constructed/Existing tube wells/boreholes/handpumps_WASH_agency]]+WWWW[[#This Row],['#_Non-Cluster partner water tube-wells/boreholes/handpumps]])-WWWW[[#This Row],['#_Non-functional tube wells/boreholes/handpumps]]</f>
        <v>4</v>
      </c>
      <c r="BV107" s="81">
        <f>WWWW[[#This Row],['#_Constructed/Existingwater storage tank with gravity fed reticulation system]]-WWWW[[#This Row],['#_Non-functional storage tank gravity fed reticulation system]]</f>
        <v>0</v>
      </c>
      <c r="BW107" s="81">
        <f>WWWW[[#This Row],['#_Water boating or water trucking]]</f>
        <v>0</v>
      </c>
      <c r="BX107" s="81">
        <f>WWWW[[#This Row],['#_Constructed/Existing water distribution system from river or natural spring]]</f>
        <v>0</v>
      </c>
      <c r="BY107"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07"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0.53908355795148244</v>
      </c>
      <c r="CA107" s="82">
        <f>IF(WWWW[[#This Row],[Location Type 1]]="Village",WWWW[[#This Row],[Access to safe drinking water for Village]],WWWW[[#This Row],[Access to safe drinking water for Camp]])</f>
        <v>1</v>
      </c>
      <c r="CB107" s="80">
        <f>WWWW[[#This Row],[%Equitable and continuous access to sufficient quantity of safe drinking water]]*WWWW[[#This Row],[Total PoP ]]</f>
        <v>1855</v>
      </c>
      <c r="CC107" s="82">
        <f>IF((WWWW[[#This Row],['#_Constructed/Existing protected/fenced ponds]]*250)/WWWW[[#This Row],[Total PoP ]]&gt;1,1,(WWWW[[#This Row],['#_Constructed/Existing protected/fenced ponds]]*250)/WWWW[[#This Row],[Total PoP ]])</f>
        <v>0</v>
      </c>
      <c r="CD107" s="80">
        <f>WWWW[[#This Row],[% Access to unimproved water points]]*WWWW[[#This Row],[Total PoP ]]</f>
        <v>0</v>
      </c>
      <c r="CE107"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07"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1855</v>
      </c>
      <c r="CG107" s="80">
        <f>WWWW[[#This Row],[HRP1]]/500</f>
        <v>3.71</v>
      </c>
      <c r="CH107" s="79">
        <f>1-WWWW[[#This Row],[% Equitable and continuous access to sufficient quantity of domestic water]]</f>
        <v>0</v>
      </c>
      <c r="CI107" s="80">
        <f>WWWW[[#This Row],[%equitable and continuous access to sufficient quantity of safe drinking and domestic water''s GAP]]*WWWW[[#This Row],[Total PoP ]]</f>
        <v>0</v>
      </c>
      <c r="CJ107" s="81">
        <f>IF(WWWW[[#This Row],[Total required water points]]-WWWW[[#This Row],['#Water points coverage]]&lt;0,0,WWWW[[#This Row],[Total required water points]]-WWWW[[#This Row],['#Water points coverage]])</f>
        <v>0.29000000000000004</v>
      </c>
      <c r="CK107" s="81">
        <f>ROUND(IF(WWWW[[#This Row],[Total PoP ]]&lt;500,1,WWWW[[#This Row],[Total PoP ]]/500),0)</f>
        <v>4</v>
      </c>
      <c r="CL107" s="81">
        <f>(WWWW[[#This Row],['#_Constructed latrines_by_WASHAgencies]]+WWWW[[#This Row],['#_Non Cluster partner latrines]])-WWWW[[#This Row],['#_Non-functional latrines]]</f>
        <v>110</v>
      </c>
      <c r="CM107"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07"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1855</v>
      </c>
      <c r="CO107"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07" s="81">
        <f>IF(WWWW[[#This Row],[Location Type 1]]="Village","NA",IF(WWWW[[#This Row],['#_Constructed/Existing latrines in TLS]]*50&gt;WWWW[[#This Row],['#_students at TLS_CFS]],WWWW[[#This Row],['#_students at TLS_CFS]],(WWWW[[#This Row],['#_Constructed/Existing latrines in TLS]]*50)))</f>
        <v>0</v>
      </c>
      <c r="CQ107" s="81">
        <f>ROUND(IF(WWWW[[#This Row],[Location Type 1]]="camp",WWWW[[#This Row],[Total PoP ]]/20,IF(WWWW[[#This Row],[Location Type 1]]="Temporary Location",WWWW[[#This Row],[Total PoP ]]/50,(WWWW[[#This Row],[Total PoP ]]/6))),0)</f>
        <v>93</v>
      </c>
      <c r="CR107" s="80">
        <f>IF(WWWW[[#This Row],[Total required Latrines]]-(WWWW[[#This Row],['#_Constructed latrines_by_WASHAgencies]]+WWWW[[#This Row],['#_Non Cluster partner latrines]])&lt;0,0,WWWW[[#This Row],[Total required Latrines]]-(WWWW[[#This Row],['#_Constructed latrines_by_WASHAgencies]]+WWWW[[#This Row],['#_Non Cluster partner latrines]]))</f>
        <v>0</v>
      </c>
      <c r="CS107" s="79">
        <f>1-WWWW[[#This Row],[% people access to functioning Latrine]]</f>
        <v>0</v>
      </c>
      <c r="CT107" s="83">
        <f>IF(OR(WWWW[[#This Row],['#_Non-functional latrines]]="",WWWW[[#This Row],['#_Non-functional latrines]]=0),0,WWWW[[#This Row],['#_Non-functional latrines]]/(WWWW[[#This Row],['#_Constructed latrines_by_WASHAgencies]]+WWWW[[#This Row],['#_Non Cluster partner latrines]]))</f>
        <v>0</v>
      </c>
      <c r="CU107" s="80">
        <f>IF(500*(WWWW[[#This Row],['#_male hygiene promoters]]+WWWW[[#This Row],['#_female hygiene promoters]])&gt;WWWW[[#This Row],[Total PoP ]],WWWW[[#This Row],[Total PoP ]],500*(WWWW[[#This Row],['#_male hygiene promoters]]+WWWW[[#This Row],['#_female hygiene promoters]]))</f>
        <v>1500</v>
      </c>
      <c r="CV107"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07"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07" s="81">
        <f>IF(WWWW[[#This Row],['# People with access to soap]]&gt;WWWW[[#This Row],['# People with access to Sanity Pads]],WWWW[[#This Row],['# People with access to soap]],WWWW[[#This Row],['# People with access to Sanity Pads]])</f>
        <v>0</v>
      </c>
      <c r="CY107" s="81">
        <f>IF(WWWW[[#This Row],['# people reached by regular dedicated hygiene promotion_5]]&gt;WWWW[[#This Row],['# People received regular supply of hygiene items_6]],WWWW[[#This Row],['# people reached by regular dedicated hygiene promotion_5]],WWWW[[#This Row],['# People received regular supply of hygiene items_6]])</f>
        <v>1500</v>
      </c>
      <c r="CZ107" s="79">
        <f>IF(WWWW[[#This Row],[HRP3]]/WWWW[[#This Row],[Total PoP ]]&gt;100%,100%,WWWW[[#This Row],[HRP3]]/WWWW[[#This Row],[Total PoP ]])</f>
        <v>0.80862533692722371</v>
      </c>
      <c r="DA107" s="83">
        <f>1-WWWW[[#This Row],[Hygiene Coverage%]]</f>
        <v>0.19137466307277629</v>
      </c>
      <c r="DB107" s="82">
        <f>WWWW[[#This Row],['# people reached by regular dedicated hygiene promotion_5]]/WWWW[[#This Row],[Total PoP ]]</f>
        <v>0.80862533692722371</v>
      </c>
      <c r="DC107" s="82">
        <f>IF(WWWW[[#This Row],['#_households that received standard amount of soap for this quarter]]/WWWW[[#This Row],[Total HH]]&gt;1,1,WWWW[[#This Row],['#_households that received standard amount of soap for this quarter]]/WWWW[[#This Row],[Total HH]])</f>
        <v>0</v>
      </c>
      <c r="DD107" s="82">
        <f>IF(WWWW[[#This Row],['#_households that received standard amount of sanitary pads for this quarter]]/WWWW[[#This Row],[Total HH]]&gt;1,1,WWWW[[#This Row],['#_households that received standard amount of sanitary pads for this quarter]]/WWWW[[#This Row],[Total HH]])</f>
        <v>0</v>
      </c>
      <c r="DE107" s="81">
        <f>WWWW[[#This Row],['#_Constructed/Existing hand washing stations]]-WWWW[[#This Row],['#_Non-Functional_hand_washing_stations]]</f>
        <v>0</v>
      </c>
      <c r="DF107" s="667">
        <f>IF(WWWW[[#This Row],['# Functional hand washing stations during reporting period]]*20&gt;WWWW[[#This Row],[Total HH]],WWWW[[#This Row],[Total HH]],WWWW[[#This Row],['# Functional hand washing stations during reporting period]]*20)</f>
        <v>0</v>
      </c>
      <c r="DG107" s="80">
        <f>IF(WWWW[[#This Row],[Is sufficient soap available for TLS? (Yes/No)]]="yes",WWWW[[#This Row],['#_Constructed/Existing hand washing stations at TLS]],0)</f>
        <v>0</v>
      </c>
      <c r="DH107" s="667">
        <f>IF(WWWW[[#This Row],['# Functional hand washing stations during reporting period]]*100&gt;WWWW[[#This Row],[Total PoP ]],WWWW[[#This Row],[Total PoP ]],WWWW[[#This Row],['# Functional hand washing stations during reporting period]]*100)</f>
        <v>0</v>
      </c>
      <c r="DI107" s="667" t="str">
        <f>IF(WWWW[[#This Row],['#_students at TLS_CFS]]="","No","Yes")</f>
        <v>No</v>
      </c>
      <c r="DJ107" s="245" t="str">
        <f>VLOOKUP(WWWW[[#This Row],[Site Name]],SiteDB6[[Site Name]:[CCCM Management]],6,FALSE)</f>
        <v>Yes</v>
      </c>
      <c r="DK107" s="245" t="str">
        <f>VLOOKUP(WWWW[[#This Row],[Site Name]],SiteDB6[[Site Name]:[CCCM Focal Agency]],7,FALSE)</f>
        <v>KBC</v>
      </c>
      <c r="DL107" s="245" t="str">
        <f>VLOOKUP(WWWW[[#This Row],[Site Name]],SiteDB6[[Site Name]:[Location Type 1]],9,FALSE)</f>
        <v>Camp</v>
      </c>
      <c r="DM107" s="245" t="str">
        <f>VLOOKUP(WWWW[[#This Row],[Site Name]],SiteDB6[[Site Name]:[Type of Accommodation]],10,FALSE)</f>
        <v>Camp</v>
      </c>
      <c r="DN107" s="245" t="str">
        <f>VLOOKUP(WWWW[[#This Row],[Site Name]],SiteDB6[[Site Name]:[Ethnic or GCA/NGCA]],11,FALSE)</f>
        <v>GCA</v>
      </c>
      <c r="DO107" s="245">
        <f>VLOOKUP(WWWW[[#This Row],[Site Name]],SiteDB6[[Site Name]:[Lat]],12,FALSE)</f>
        <v>23.972453000000002</v>
      </c>
      <c r="DP107" s="245">
        <f>VLOOKUP(WWWW[[#This Row],[Site Name]],SiteDB6[[Site Name]:[Long]],13,FALSE)</f>
        <v>97.225881000000001</v>
      </c>
      <c r="DQ107" s="245" t="str">
        <f>VLOOKUP(WWWW[[#This Row],[Site Name]],SiteDB6[[Site Name]:[Pcode]],3,FALSE)</f>
        <v>MMR001CMP218</v>
      </c>
      <c r="DR107" s="215" t="str">
        <f t="shared" si="3"/>
        <v>Covered</v>
      </c>
      <c r="DS107" s="215"/>
      <c r="DT107" s="20"/>
      <c r="DU107" s="20"/>
      <c r="DV107" s="20"/>
      <c r="DW107" s="20"/>
      <c r="DX107" s="20"/>
      <c r="DY107" s="20"/>
      <c r="DZ107" s="20"/>
      <c r="EA107" s="20"/>
      <c r="EB107" s="20"/>
      <c r="EC107" s="20"/>
      <c r="ED107" s="20"/>
      <c r="EE107" s="20"/>
      <c r="EF107" s="20"/>
      <c r="EG107" s="20"/>
      <c r="EH107" s="20"/>
    </row>
    <row r="108" spans="1:138" ht="15.75" customHeight="1">
      <c r="A108" s="259" t="s">
        <v>2525</v>
      </c>
      <c r="B108" s="259" t="s">
        <v>149</v>
      </c>
      <c r="C108" s="663" t="s">
        <v>149</v>
      </c>
      <c r="D108" s="663" t="s">
        <v>152</v>
      </c>
      <c r="E108" s="663" t="s">
        <v>39</v>
      </c>
      <c r="F108" s="663" t="s">
        <v>167</v>
      </c>
      <c r="G108" s="663" t="str">
        <f>VLOOKUP(WWWW[[#This Row],[Site Name]],SiteDB6[[Site Name]:[Location Type]],8,FALSE)</f>
        <v>Camp</v>
      </c>
      <c r="H108" s="663" t="s">
        <v>173</v>
      </c>
      <c r="I108" s="700">
        <v>61</v>
      </c>
      <c r="J108" s="700">
        <v>290</v>
      </c>
      <c r="K108" s="642">
        <v>43556</v>
      </c>
      <c r="L108" s="78">
        <v>43677</v>
      </c>
      <c r="M108" s="700"/>
      <c r="N108" s="700"/>
      <c r="O108" s="700"/>
      <c r="P108" s="700"/>
      <c r="Q108" s="663" t="s">
        <v>43</v>
      </c>
      <c r="R108" s="377"/>
      <c r="S108" s="377"/>
      <c r="T108" s="700">
        <v>1</v>
      </c>
      <c r="U108" s="377"/>
      <c r="V108" s="377"/>
      <c r="W108" s="700">
        <v>1</v>
      </c>
      <c r="X108" s="377"/>
      <c r="Y108" s="377"/>
      <c r="Z108" s="377"/>
      <c r="AA108" s="377"/>
      <c r="AB108" s="377"/>
      <c r="AC108" s="377"/>
      <c r="AD108" s="377"/>
      <c r="AE108" s="377"/>
      <c r="AF108" s="377"/>
      <c r="AG108" s="377"/>
      <c r="AH108" s="700">
        <v>2</v>
      </c>
      <c r="AI108" s="377"/>
      <c r="AJ108" s="377"/>
      <c r="AK108" s="377"/>
      <c r="AL108" s="377"/>
      <c r="AM108" s="377"/>
      <c r="AN108" s="377"/>
      <c r="AO108" s="215"/>
      <c r="AP108" s="700">
        <v>7</v>
      </c>
      <c r="AQ108" s="377"/>
      <c r="AR108" s="77"/>
      <c r="AS108" s="377"/>
      <c r="AT108" s="377"/>
      <c r="AU108" s="377">
        <v>0</v>
      </c>
      <c r="AV108" s="377"/>
      <c r="AW108" s="700">
        <v>7</v>
      </c>
      <c r="AX108" s="245" t="s">
        <v>43</v>
      </c>
      <c r="AY108" s="245" t="s">
        <v>145</v>
      </c>
      <c r="AZ108" s="377"/>
      <c r="BA108" s="377"/>
      <c r="BB108" s="377"/>
      <c r="BC108" s="215"/>
      <c r="BD108" s="377"/>
      <c r="BE108" s="377"/>
      <c r="BF108" s="377"/>
      <c r="BG108" s="377">
        <v>3</v>
      </c>
      <c r="BH108" s="377"/>
      <c r="BI108" s="377"/>
      <c r="BJ108" s="377">
        <v>1</v>
      </c>
      <c r="BK108" s="377"/>
      <c r="BL108" s="377"/>
      <c r="BM108" s="215"/>
      <c r="BN108" s="80"/>
      <c r="BO108" s="82"/>
      <c r="BP108" s="215"/>
      <c r="BQ108" s="79" t="str">
        <f>IFERROR(WWWW[[#This Row],['#_Water sources treated]]/WWWW[[#This Row],['#_Water sources tested for contamination]],"no test")</f>
        <v>no test</v>
      </c>
      <c r="BR108" s="82" t="str">
        <f>IFERROR(WWWW[[#This Row],['#_Household received remediation action due to contamination]]/WWWW[[#This Row],['#_Household water samples tested for contamination]],"no test")</f>
        <v>no test</v>
      </c>
      <c r="BS108" s="81" t="str">
        <f>IF(AND(WWWW[[#This Row],[% of water sources treated]]="no test",WWWW[[#This Row],[% Household received corrective actions]]="no test"),"No Test","Tested")</f>
        <v>No Test</v>
      </c>
      <c r="BT108" s="81">
        <f>WWWW[[#This Row],['#_Constructed/existing protected hand dug well]]-WWWW[[#This Row],['#_Non-functional protected hand dug well]]</f>
        <v>1</v>
      </c>
      <c r="BU108" s="81">
        <f>(WWWW[[#This Row],['#_Constructed/Existing tube wells/boreholes/handpumps_WASH_agency]]+WWWW[[#This Row],['#_Non-Cluster partner water tube-wells/boreholes/handpumps]])-WWWW[[#This Row],['#_Non-functional tube wells/boreholes/handpumps]]</f>
        <v>1</v>
      </c>
      <c r="BV108" s="81">
        <f>WWWW[[#This Row],['#_Constructed/Existingwater storage tank with gravity fed reticulation system]]-WWWW[[#This Row],['#_Non-functional storage tank gravity fed reticulation system]]</f>
        <v>0</v>
      </c>
      <c r="BW108" s="81">
        <f>WWWW[[#This Row],['#_Water boating or water trucking]]</f>
        <v>0</v>
      </c>
      <c r="BX108" s="81">
        <f>WWWW[[#This Row],['#_Constructed/Existing water distribution system from river or natural spring]]</f>
        <v>0</v>
      </c>
      <c r="BY108"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08"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08" s="82">
        <f>IF(WWWW[[#This Row],[Location Type 1]]="Village",WWWW[[#This Row],[Access to safe drinking water for Village]],WWWW[[#This Row],[Access to safe drinking water for Camp]])</f>
        <v>1</v>
      </c>
      <c r="CB108" s="80">
        <f>WWWW[[#This Row],[%Equitable and continuous access to sufficient quantity of safe drinking water]]*WWWW[[#This Row],[Total PoP ]]</f>
        <v>290</v>
      </c>
      <c r="CC108" s="82">
        <f>IF((WWWW[[#This Row],['#_Constructed/Existing protected/fenced ponds]]*250)/WWWW[[#This Row],[Total PoP ]]&gt;1,1,(WWWW[[#This Row],['#_Constructed/Existing protected/fenced ponds]]*250)/WWWW[[#This Row],[Total PoP ]])</f>
        <v>0</v>
      </c>
      <c r="CD108" s="80">
        <f>WWWW[[#This Row],[% Access to unimproved water points]]*WWWW[[#This Row],[Total PoP ]]</f>
        <v>0</v>
      </c>
      <c r="CE108"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08"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290</v>
      </c>
      <c r="CG108" s="80">
        <f>WWWW[[#This Row],[HRP1]]/500</f>
        <v>0.57999999999999996</v>
      </c>
      <c r="CH108" s="79">
        <f>1-WWWW[[#This Row],[% Equitable and continuous access to sufficient quantity of domestic water]]</f>
        <v>0</v>
      </c>
      <c r="CI108" s="80">
        <f>WWWW[[#This Row],[%equitable and continuous access to sufficient quantity of safe drinking and domestic water''s GAP]]*WWWW[[#This Row],[Total PoP ]]</f>
        <v>0</v>
      </c>
      <c r="CJ108" s="81">
        <f>IF(WWWW[[#This Row],[Total required water points]]-WWWW[[#This Row],['#Water points coverage]]&lt;0,0,WWWW[[#This Row],[Total required water points]]-WWWW[[#This Row],['#Water points coverage]])</f>
        <v>0.42000000000000004</v>
      </c>
      <c r="CK108" s="81">
        <f>ROUND(IF(WWWW[[#This Row],[Total PoP ]]&lt;500,1,WWWW[[#This Row],[Total PoP ]]/500),0)</f>
        <v>1</v>
      </c>
      <c r="CL108" s="81">
        <f>(WWWW[[#This Row],['#_Constructed latrines_by_WASHAgencies]]+WWWW[[#This Row],['#_Non Cluster partner latrines]])-WWWW[[#This Row],['#_Non-functional latrines]]</f>
        <v>7</v>
      </c>
      <c r="CM108"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0.48275862068965519</v>
      </c>
      <c r="CN108"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140</v>
      </c>
      <c r="CO108"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08" s="81">
        <f>IF(WWWW[[#This Row],[Location Type 1]]="Village","NA",IF(WWWW[[#This Row],['#_Constructed/Existing latrines in TLS]]*50&gt;WWWW[[#This Row],['#_students at TLS_CFS]],WWWW[[#This Row],['#_students at TLS_CFS]],(WWWW[[#This Row],['#_Constructed/Existing latrines in TLS]]*50)))</f>
        <v>0</v>
      </c>
      <c r="CQ108" s="81">
        <f>ROUND(IF(WWWW[[#This Row],[Location Type 1]]="camp",WWWW[[#This Row],[Total PoP ]]/20,IF(WWWW[[#This Row],[Location Type 1]]="Temporary Location",WWWW[[#This Row],[Total PoP ]]/50,(WWWW[[#This Row],[Total PoP ]]/6))),0)</f>
        <v>15</v>
      </c>
      <c r="CR108" s="80">
        <f>IF(WWWW[[#This Row],[Total required Latrines]]-(WWWW[[#This Row],['#_Constructed latrines_by_WASHAgencies]]+WWWW[[#This Row],['#_Non Cluster partner latrines]])&lt;0,0,WWWW[[#This Row],[Total required Latrines]]-(WWWW[[#This Row],['#_Constructed latrines_by_WASHAgencies]]+WWWW[[#This Row],['#_Non Cluster partner latrines]]))</f>
        <v>8</v>
      </c>
      <c r="CS108" s="79">
        <f>1-WWWW[[#This Row],[% people access to functioning Latrine]]</f>
        <v>0.51724137931034475</v>
      </c>
      <c r="CT108" s="83">
        <f>IF(OR(WWWW[[#This Row],['#_Non-functional latrines]]="",WWWW[[#This Row],['#_Non-functional latrines]]=0),0,WWWW[[#This Row],['#_Non-functional latrines]]/(WWWW[[#This Row],['#_Constructed latrines_by_WASHAgencies]]+WWWW[[#This Row],['#_Non Cluster partner latrines]]))</f>
        <v>0</v>
      </c>
      <c r="CU108" s="80">
        <f>IF(500*(WWWW[[#This Row],['#_male hygiene promoters]]+WWWW[[#This Row],['#_female hygiene promoters]])&gt;WWWW[[#This Row],[Total PoP ]],WWWW[[#This Row],[Total PoP ]],500*(WWWW[[#This Row],['#_male hygiene promoters]]+WWWW[[#This Row],['#_female hygiene promoters]]))</f>
        <v>290</v>
      </c>
      <c r="CV108"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08"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08" s="81">
        <f>IF(WWWW[[#This Row],['# People with access to soap]]&gt;WWWW[[#This Row],['# People with access to Sanity Pads]],WWWW[[#This Row],['# People with access to soap]],WWWW[[#This Row],['# People with access to Sanity Pads]])</f>
        <v>0</v>
      </c>
      <c r="CY108" s="81">
        <f>IF(WWWW[[#This Row],['# people reached by regular dedicated hygiene promotion_5]]&gt;WWWW[[#This Row],['# People received regular supply of hygiene items_6]],WWWW[[#This Row],['# people reached by regular dedicated hygiene promotion_5]],WWWW[[#This Row],['# People received regular supply of hygiene items_6]])</f>
        <v>290</v>
      </c>
      <c r="CZ108" s="79">
        <f>IF(WWWW[[#This Row],[HRP3]]/WWWW[[#This Row],[Total PoP ]]&gt;100%,100%,WWWW[[#This Row],[HRP3]]/WWWW[[#This Row],[Total PoP ]])</f>
        <v>1</v>
      </c>
      <c r="DA108" s="83">
        <f>1-WWWW[[#This Row],[Hygiene Coverage%]]</f>
        <v>0</v>
      </c>
      <c r="DB108" s="82">
        <f>WWWW[[#This Row],['# people reached by regular dedicated hygiene promotion_5]]/WWWW[[#This Row],[Total PoP ]]</f>
        <v>1</v>
      </c>
      <c r="DC108" s="82">
        <f>IF(WWWW[[#This Row],['#_households that received standard amount of soap for this quarter]]/WWWW[[#This Row],[Total HH]]&gt;1,1,WWWW[[#This Row],['#_households that received standard amount of soap for this quarter]]/WWWW[[#This Row],[Total HH]])</f>
        <v>0</v>
      </c>
      <c r="DD108" s="82">
        <f>IF(WWWW[[#This Row],['#_households that received standard amount of sanitary pads for this quarter]]/WWWW[[#This Row],[Total HH]]&gt;1,1,WWWW[[#This Row],['#_households that received standard amount of sanitary pads for this quarter]]/WWWW[[#This Row],[Total HH]])</f>
        <v>0</v>
      </c>
      <c r="DE108" s="81">
        <f>WWWW[[#This Row],['#_Constructed/Existing hand washing stations]]-WWWW[[#This Row],['#_Non-Functional_hand_washing_stations]]</f>
        <v>0</v>
      </c>
      <c r="DF108" s="667">
        <f>IF(WWWW[[#This Row],['# Functional hand washing stations during reporting period]]*20&gt;WWWW[[#This Row],[Total HH]],WWWW[[#This Row],[Total HH]],WWWW[[#This Row],['# Functional hand washing stations during reporting period]]*20)</f>
        <v>0</v>
      </c>
      <c r="DG108" s="80">
        <f>IF(WWWW[[#This Row],[Is sufficient soap available for TLS? (Yes/No)]]="yes",WWWW[[#This Row],['#_Constructed/Existing hand washing stations at TLS]],0)</f>
        <v>0</v>
      </c>
      <c r="DH108" s="667">
        <f>IF(WWWW[[#This Row],['# Functional hand washing stations during reporting period]]*100&gt;WWWW[[#This Row],[Total PoP ]],WWWW[[#This Row],[Total PoP ]],WWWW[[#This Row],['# Functional hand washing stations during reporting period]]*100)</f>
        <v>0</v>
      </c>
      <c r="DI108" s="667" t="str">
        <f>IF(WWWW[[#This Row],['#_students at TLS_CFS]]="","No","Yes")</f>
        <v>No</v>
      </c>
      <c r="DJ108" s="245" t="str">
        <f>VLOOKUP(WWWW[[#This Row],[Site Name]],SiteDB6[[Site Name]:[CCCM Management]],6,FALSE)</f>
        <v>Yes</v>
      </c>
      <c r="DK108" s="245" t="str">
        <f>VLOOKUP(WWWW[[#This Row],[Site Name]],SiteDB6[[Site Name]:[CCCM Focal Agency]],7,FALSE)</f>
        <v>KBC-MYT</v>
      </c>
      <c r="DL108" s="245" t="str">
        <f>VLOOKUP(WWWW[[#This Row],[Site Name]],SiteDB6[[Site Name]:[Location Type 1]],9,FALSE)</f>
        <v>Camp</v>
      </c>
      <c r="DM108" s="245" t="str">
        <f>VLOOKUP(WWWW[[#This Row],[Site Name]],SiteDB6[[Site Name]:[Type of Accommodation]],10,FALSE)</f>
        <v>Camp</v>
      </c>
      <c r="DN108" s="245" t="str">
        <f>VLOOKUP(WWWW[[#This Row],[Site Name]],SiteDB6[[Site Name]:[Ethnic or GCA/NGCA]],11,FALSE)</f>
        <v>GCA</v>
      </c>
      <c r="DO108" s="245">
        <f>VLOOKUP(WWWW[[#This Row],[Site Name]],SiteDB6[[Site Name]:[Lat]],12,FALSE)</f>
        <v>25.360463124999999</v>
      </c>
      <c r="DP108" s="245">
        <f>VLOOKUP(WWWW[[#This Row],[Site Name]],SiteDB6[[Site Name]:[Long]],13,FALSE)</f>
        <v>97.4113064583333</v>
      </c>
      <c r="DQ108" s="245" t="str">
        <f>VLOOKUP(WWWW[[#This Row],[Site Name]],SiteDB6[[Site Name]:[Pcode]],3,FALSE)</f>
        <v>MMR001CMP016</v>
      </c>
      <c r="DR108" s="215" t="str">
        <f t="shared" ref="DR108:DR137" si="4">IF(C108="none","Notcovered","Covered")</f>
        <v>Covered</v>
      </c>
      <c r="DS108" s="215"/>
      <c r="DT108" s="20"/>
      <c r="DU108" s="20"/>
      <c r="DV108" s="20"/>
      <c r="DW108" s="20"/>
      <c r="DX108" s="20"/>
      <c r="DY108" s="20"/>
      <c r="DZ108" s="20"/>
      <c r="EA108" s="20"/>
      <c r="EB108" s="20"/>
      <c r="EC108" s="20"/>
      <c r="ED108" s="20"/>
      <c r="EE108" s="20"/>
      <c r="EF108" s="20"/>
      <c r="EG108" s="20"/>
      <c r="EH108" s="20"/>
    </row>
    <row r="109" spans="1:138" ht="15.75" customHeight="1">
      <c r="A109" s="259" t="s">
        <v>2525</v>
      </c>
      <c r="B109" s="259" t="s">
        <v>149</v>
      </c>
      <c r="C109" s="663" t="s">
        <v>149</v>
      </c>
      <c r="D109" s="663" t="s">
        <v>152</v>
      </c>
      <c r="E109" s="663" t="s">
        <v>39</v>
      </c>
      <c r="F109" s="663" t="s">
        <v>167</v>
      </c>
      <c r="G109" s="663" t="str">
        <f>VLOOKUP(WWWW[[#This Row],[Site Name]],SiteDB6[[Site Name]:[Location Type]],8,FALSE)</f>
        <v>Camp</v>
      </c>
      <c r="H109" s="663" t="s">
        <v>174</v>
      </c>
      <c r="I109" s="700">
        <v>101</v>
      </c>
      <c r="J109" s="700">
        <v>547</v>
      </c>
      <c r="K109" s="642">
        <v>43556</v>
      </c>
      <c r="L109" s="78">
        <v>43677</v>
      </c>
      <c r="M109" s="700"/>
      <c r="N109" s="700"/>
      <c r="O109" s="700"/>
      <c r="P109" s="700"/>
      <c r="Q109" s="663" t="s">
        <v>43</v>
      </c>
      <c r="R109" s="377"/>
      <c r="S109" s="377"/>
      <c r="T109" s="700">
        <v>0</v>
      </c>
      <c r="U109" s="377"/>
      <c r="V109" s="377"/>
      <c r="W109" s="700">
        <v>2</v>
      </c>
      <c r="X109" s="377"/>
      <c r="Y109" s="377"/>
      <c r="Z109" s="377"/>
      <c r="AA109" s="377"/>
      <c r="AB109" s="377"/>
      <c r="AC109" s="377"/>
      <c r="AD109" s="377"/>
      <c r="AE109" s="377"/>
      <c r="AF109" s="377"/>
      <c r="AG109" s="377"/>
      <c r="AH109" s="700">
        <v>3</v>
      </c>
      <c r="AI109" s="377"/>
      <c r="AJ109" s="377"/>
      <c r="AK109" s="377"/>
      <c r="AL109" s="377"/>
      <c r="AM109" s="377"/>
      <c r="AN109" s="377"/>
      <c r="AO109" s="215"/>
      <c r="AP109" s="700">
        <v>34</v>
      </c>
      <c r="AQ109" s="377"/>
      <c r="AR109" s="77"/>
      <c r="AS109" s="377"/>
      <c r="AT109" s="377"/>
      <c r="AU109" s="377">
        <v>8</v>
      </c>
      <c r="AV109" s="377"/>
      <c r="AW109" s="700">
        <v>34</v>
      </c>
      <c r="AX109" s="245" t="s">
        <v>43</v>
      </c>
      <c r="AY109" s="245" t="s">
        <v>1200</v>
      </c>
      <c r="AZ109" s="377"/>
      <c r="BA109" s="377"/>
      <c r="BB109" s="377"/>
      <c r="BC109" s="215"/>
      <c r="BD109" s="377"/>
      <c r="BE109" s="377"/>
      <c r="BF109" s="377"/>
      <c r="BG109" s="377">
        <v>2</v>
      </c>
      <c r="BH109" s="377"/>
      <c r="BI109" s="377"/>
      <c r="BJ109" s="377">
        <v>2</v>
      </c>
      <c r="BK109" s="377"/>
      <c r="BL109" s="377"/>
      <c r="BM109" s="215"/>
      <c r="BN109" s="80"/>
      <c r="BO109" s="82"/>
      <c r="BP109" s="215"/>
      <c r="BQ109" s="79" t="str">
        <f>IFERROR(WWWW[[#This Row],['#_Water sources treated]]/WWWW[[#This Row],['#_Water sources tested for contamination]],"no test")</f>
        <v>no test</v>
      </c>
      <c r="BR109" s="82" t="str">
        <f>IFERROR(WWWW[[#This Row],['#_Household received remediation action due to contamination]]/WWWW[[#This Row],['#_Household water samples tested for contamination]],"no test")</f>
        <v>no test</v>
      </c>
      <c r="BS109" s="81" t="str">
        <f>IF(AND(WWWW[[#This Row],[% of water sources treated]]="no test",WWWW[[#This Row],[% Household received corrective actions]]="no test"),"No Test","Tested")</f>
        <v>No Test</v>
      </c>
      <c r="BT109" s="81">
        <f>WWWW[[#This Row],['#_Constructed/existing protected hand dug well]]-WWWW[[#This Row],['#_Non-functional protected hand dug well]]</f>
        <v>0</v>
      </c>
      <c r="BU109" s="81">
        <f>(WWWW[[#This Row],['#_Constructed/Existing tube wells/boreholes/handpumps_WASH_agency]]+WWWW[[#This Row],['#_Non-Cluster partner water tube-wells/boreholes/handpumps]])-WWWW[[#This Row],['#_Non-functional tube wells/boreholes/handpumps]]</f>
        <v>2</v>
      </c>
      <c r="BV109" s="81">
        <f>WWWW[[#This Row],['#_Constructed/Existingwater storage tank with gravity fed reticulation system]]-WWWW[[#This Row],['#_Non-functional storage tank gravity fed reticulation system]]</f>
        <v>0</v>
      </c>
      <c r="BW109" s="81">
        <f>WWWW[[#This Row],['#_Water boating or water trucking]]</f>
        <v>0</v>
      </c>
      <c r="BX109" s="81">
        <f>WWWW[[#This Row],['#_Constructed/Existing water distribution system from river or natural spring]]</f>
        <v>0</v>
      </c>
      <c r="BY109"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09"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0.91407678244972579</v>
      </c>
      <c r="CA109" s="82">
        <f>IF(WWWW[[#This Row],[Location Type 1]]="Village",WWWW[[#This Row],[Access to safe drinking water for Village]],WWWW[[#This Row],[Access to safe drinking water for Camp]])</f>
        <v>1</v>
      </c>
      <c r="CB109" s="80">
        <f>WWWW[[#This Row],[%Equitable and continuous access to sufficient quantity of safe drinking water]]*WWWW[[#This Row],[Total PoP ]]</f>
        <v>547</v>
      </c>
      <c r="CC109" s="82">
        <f>IF((WWWW[[#This Row],['#_Constructed/Existing protected/fenced ponds]]*250)/WWWW[[#This Row],[Total PoP ]]&gt;1,1,(WWWW[[#This Row],['#_Constructed/Existing protected/fenced ponds]]*250)/WWWW[[#This Row],[Total PoP ]])</f>
        <v>0</v>
      </c>
      <c r="CD109" s="80">
        <f>WWWW[[#This Row],[% Access to unimproved water points]]*WWWW[[#This Row],[Total PoP ]]</f>
        <v>0</v>
      </c>
      <c r="CE109"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09"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547</v>
      </c>
      <c r="CG109" s="80">
        <f>WWWW[[#This Row],[HRP1]]/500</f>
        <v>1.0940000000000001</v>
      </c>
      <c r="CH109" s="79">
        <f>1-WWWW[[#This Row],[% Equitable and continuous access to sufficient quantity of domestic water]]</f>
        <v>0</v>
      </c>
      <c r="CI109" s="80">
        <f>WWWW[[#This Row],[%equitable and continuous access to sufficient quantity of safe drinking and domestic water''s GAP]]*WWWW[[#This Row],[Total PoP ]]</f>
        <v>0</v>
      </c>
      <c r="CJ109" s="81">
        <f>IF(WWWW[[#This Row],[Total required water points]]-WWWW[[#This Row],['#Water points coverage]]&lt;0,0,WWWW[[#This Row],[Total required water points]]-WWWW[[#This Row],['#Water points coverage]])</f>
        <v>0</v>
      </c>
      <c r="CK109" s="81">
        <f>ROUND(IF(WWWW[[#This Row],[Total PoP ]]&lt;500,1,WWWW[[#This Row],[Total PoP ]]/500),0)</f>
        <v>1</v>
      </c>
      <c r="CL109" s="81">
        <f>(WWWW[[#This Row],['#_Constructed latrines_by_WASHAgencies]]+WWWW[[#This Row],['#_Non Cluster partner latrines]])-WWWW[[#This Row],['#_Non-functional latrines]]</f>
        <v>34</v>
      </c>
      <c r="CM109"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09"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547</v>
      </c>
      <c r="CO109"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160</v>
      </c>
      <c r="CP109" s="81">
        <f>IF(WWWW[[#This Row],[Location Type 1]]="Village","NA",IF(WWWW[[#This Row],['#_Constructed/Existing latrines in TLS]]*50&gt;WWWW[[#This Row],['#_students at TLS_CFS]],WWWW[[#This Row],['#_students at TLS_CFS]],(WWWW[[#This Row],['#_Constructed/Existing latrines in TLS]]*50)))</f>
        <v>0</v>
      </c>
      <c r="CQ109" s="81">
        <f>ROUND(IF(WWWW[[#This Row],[Location Type 1]]="camp",WWWW[[#This Row],[Total PoP ]]/20,IF(WWWW[[#This Row],[Location Type 1]]="Temporary Location",WWWW[[#This Row],[Total PoP ]]/50,(WWWW[[#This Row],[Total PoP ]]/6))),0)</f>
        <v>27</v>
      </c>
      <c r="CR109" s="80">
        <f>IF(WWWW[[#This Row],[Total required Latrines]]-(WWWW[[#This Row],['#_Constructed latrines_by_WASHAgencies]]+WWWW[[#This Row],['#_Non Cluster partner latrines]])&lt;0,0,WWWW[[#This Row],[Total required Latrines]]-(WWWW[[#This Row],['#_Constructed latrines_by_WASHAgencies]]+WWWW[[#This Row],['#_Non Cluster partner latrines]]))</f>
        <v>0</v>
      </c>
      <c r="CS109" s="79">
        <f>1-WWWW[[#This Row],[% people access to functioning Latrine]]</f>
        <v>0</v>
      </c>
      <c r="CT109" s="83">
        <f>IF(OR(WWWW[[#This Row],['#_Non-functional latrines]]="",WWWW[[#This Row],['#_Non-functional latrines]]=0),0,WWWW[[#This Row],['#_Non-functional latrines]]/(WWWW[[#This Row],['#_Constructed latrines_by_WASHAgencies]]+WWWW[[#This Row],['#_Non Cluster partner latrines]]))</f>
        <v>0</v>
      </c>
      <c r="CU109" s="80">
        <f>IF(500*(WWWW[[#This Row],['#_male hygiene promoters]]+WWWW[[#This Row],['#_female hygiene promoters]])&gt;WWWW[[#This Row],[Total PoP ]],WWWW[[#This Row],[Total PoP ]],500*(WWWW[[#This Row],['#_male hygiene promoters]]+WWWW[[#This Row],['#_female hygiene promoters]]))</f>
        <v>547</v>
      </c>
      <c r="CV109"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09"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09" s="81">
        <f>IF(WWWW[[#This Row],['# People with access to soap]]&gt;WWWW[[#This Row],['# People with access to Sanity Pads]],WWWW[[#This Row],['# People with access to soap]],WWWW[[#This Row],['# People with access to Sanity Pads]])</f>
        <v>0</v>
      </c>
      <c r="CY109" s="81">
        <f>IF(WWWW[[#This Row],['# people reached by regular dedicated hygiene promotion_5]]&gt;WWWW[[#This Row],['# People received regular supply of hygiene items_6]],WWWW[[#This Row],['# people reached by regular dedicated hygiene promotion_5]],WWWW[[#This Row],['# People received regular supply of hygiene items_6]])</f>
        <v>547</v>
      </c>
      <c r="CZ109" s="79">
        <f>IF(WWWW[[#This Row],[HRP3]]/WWWW[[#This Row],[Total PoP ]]&gt;100%,100%,WWWW[[#This Row],[HRP3]]/WWWW[[#This Row],[Total PoP ]])</f>
        <v>1</v>
      </c>
      <c r="DA109" s="83">
        <f>1-WWWW[[#This Row],[Hygiene Coverage%]]</f>
        <v>0</v>
      </c>
      <c r="DB109" s="82">
        <f>WWWW[[#This Row],['# people reached by regular dedicated hygiene promotion_5]]/WWWW[[#This Row],[Total PoP ]]</f>
        <v>1</v>
      </c>
      <c r="DC109" s="82">
        <f>IF(WWWW[[#This Row],['#_households that received standard amount of soap for this quarter]]/WWWW[[#This Row],[Total HH]]&gt;1,1,WWWW[[#This Row],['#_households that received standard amount of soap for this quarter]]/WWWW[[#This Row],[Total HH]])</f>
        <v>0</v>
      </c>
      <c r="DD109" s="82">
        <f>IF(WWWW[[#This Row],['#_households that received standard amount of sanitary pads for this quarter]]/WWWW[[#This Row],[Total HH]]&gt;1,1,WWWW[[#This Row],['#_households that received standard amount of sanitary pads for this quarter]]/WWWW[[#This Row],[Total HH]])</f>
        <v>0</v>
      </c>
      <c r="DE109" s="81">
        <f>WWWW[[#This Row],['#_Constructed/Existing hand washing stations]]-WWWW[[#This Row],['#_Non-Functional_hand_washing_stations]]</f>
        <v>0</v>
      </c>
      <c r="DF109" s="667">
        <f>IF(WWWW[[#This Row],['# Functional hand washing stations during reporting period]]*20&gt;WWWW[[#This Row],[Total HH]],WWWW[[#This Row],[Total HH]],WWWW[[#This Row],['# Functional hand washing stations during reporting period]]*20)</f>
        <v>0</v>
      </c>
      <c r="DG109" s="80">
        <f>IF(WWWW[[#This Row],[Is sufficient soap available for TLS? (Yes/No)]]="yes",WWWW[[#This Row],['#_Constructed/Existing hand washing stations at TLS]],0)</f>
        <v>0</v>
      </c>
      <c r="DH109" s="667">
        <f>IF(WWWW[[#This Row],['# Functional hand washing stations during reporting period]]*100&gt;WWWW[[#This Row],[Total PoP ]],WWWW[[#This Row],[Total PoP ]],WWWW[[#This Row],['# Functional hand washing stations during reporting period]]*100)</f>
        <v>0</v>
      </c>
      <c r="DI109" s="667" t="str">
        <f>IF(WWWW[[#This Row],['#_students at TLS_CFS]]="","No","Yes")</f>
        <v>No</v>
      </c>
      <c r="DJ109" s="245" t="str">
        <f>VLOOKUP(WWWW[[#This Row],[Site Name]],SiteDB6[[Site Name]:[CCCM Management]],6,FALSE)</f>
        <v>Yes</v>
      </c>
      <c r="DK109" s="245" t="str">
        <f>VLOOKUP(WWWW[[#This Row],[Site Name]],SiteDB6[[Site Name]:[CCCM Focal Agency]],7,FALSE)</f>
        <v>KBC-MYT</v>
      </c>
      <c r="DL109" s="245" t="str">
        <f>VLOOKUP(WWWW[[#This Row],[Site Name]],SiteDB6[[Site Name]:[Location Type 1]],9,FALSE)</f>
        <v>Camp</v>
      </c>
      <c r="DM109" s="245" t="str">
        <f>VLOOKUP(WWWW[[#This Row],[Site Name]],SiteDB6[[Site Name]:[Type of Accommodation]],10,FALSE)</f>
        <v>Camp</v>
      </c>
      <c r="DN109" s="245" t="str">
        <f>VLOOKUP(WWWW[[#This Row],[Site Name]],SiteDB6[[Site Name]:[Ethnic or GCA/NGCA]],11,FALSE)</f>
        <v>GCA</v>
      </c>
      <c r="DO109" s="245">
        <f>VLOOKUP(WWWW[[#This Row],[Site Name]],SiteDB6[[Site Name]:[Lat]],12,FALSE)</f>
        <v>25.428910999999999</v>
      </c>
      <c r="DP109" s="245">
        <f>VLOOKUP(WWWW[[#This Row],[Site Name]],SiteDB6[[Site Name]:[Long]],13,FALSE)</f>
        <v>97.418694000000002</v>
      </c>
      <c r="DQ109" s="245" t="str">
        <f>VLOOKUP(WWWW[[#This Row],[Site Name]],SiteDB6[[Site Name]:[Pcode]],3,FALSE)</f>
        <v>MMR001CMP008</v>
      </c>
      <c r="DR109" s="215" t="str">
        <f t="shared" si="4"/>
        <v>Covered</v>
      </c>
      <c r="DS109" s="215"/>
      <c r="DT109" s="20"/>
      <c r="DU109" s="20"/>
      <c r="DV109" s="20"/>
      <c r="DW109" s="20"/>
      <c r="DX109" s="20"/>
      <c r="DY109" s="20"/>
      <c r="DZ109" s="20"/>
      <c r="EA109" s="20"/>
      <c r="EB109" s="20"/>
      <c r="EC109" s="20"/>
      <c r="ED109" s="20"/>
      <c r="EE109" s="20"/>
      <c r="EF109" s="20"/>
      <c r="EG109" s="20"/>
      <c r="EH109" s="20"/>
    </row>
    <row r="110" spans="1:138" ht="15.75" customHeight="1">
      <c r="A110" s="259" t="s">
        <v>2525</v>
      </c>
      <c r="B110" s="259" t="s">
        <v>149</v>
      </c>
      <c r="C110" s="663" t="s">
        <v>149</v>
      </c>
      <c r="D110" s="663" t="s">
        <v>252</v>
      </c>
      <c r="E110" s="663" t="s">
        <v>39</v>
      </c>
      <c r="F110" s="663" t="s">
        <v>203</v>
      </c>
      <c r="G110" s="663" t="str">
        <f>VLOOKUP(WWWW[[#This Row],[Site Name]],SiteDB6[[Site Name]:[Location Type]],8,FALSE)</f>
        <v>Camp_not registered</v>
      </c>
      <c r="H110" s="663" t="s">
        <v>2089</v>
      </c>
      <c r="I110" s="700">
        <v>37</v>
      </c>
      <c r="J110" s="700">
        <v>161</v>
      </c>
      <c r="K110" s="642"/>
      <c r="L110" s="78">
        <v>43511</v>
      </c>
      <c r="M110" s="700"/>
      <c r="N110" s="700"/>
      <c r="O110" s="700"/>
      <c r="P110" s="700"/>
      <c r="Q110" s="77" t="s">
        <v>43</v>
      </c>
      <c r="R110" s="377"/>
      <c r="S110" s="377"/>
      <c r="T110" s="700">
        <v>0</v>
      </c>
      <c r="U110" s="377"/>
      <c r="V110" s="377"/>
      <c r="W110" s="700">
        <v>2</v>
      </c>
      <c r="X110" s="377"/>
      <c r="Y110" s="377"/>
      <c r="Z110" s="377"/>
      <c r="AA110" s="377"/>
      <c r="AB110" s="377"/>
      <c r="AC110" s="377"/>
      <c r="AD110" s="377"/>
      <c r="AE110" s="377"/>
      <c r="AF110" s="377"/>
      <c r="AG110" s="377"/>
      <c r="AH110" s="700">
        <v>2</v>
      </c>
      <c r="AI110" s="377"/>
      <c r="AJ110" s="377"/>
      <c r="AK110" s="377"/>
      <c r="AL110" s="377"/>
      <c r="AM110" s="377"/>
      <c r="AN110" s="377"/>
      <c r="AO110" s="215"/>
      <c r="AP110" s="700">
        <v>6</v>
      </c>
      <c r="AQ110" s="377"/>
      <c r="AR110" s="77"/>
      <c r="AS110" s="377"/>
      <c r="AT110" s="377"/>
      <c r="AU110" s="377"/>
      <c r="AV110" s="377"/>
      <c r="AW110" s="700">
        <v>6</v>
      </c>
      <c r="AX110" s="245" t="s">
        <v>43</v>
      </c>
      <c r="AY110" s="245" t="s">
        <v>145</v>
      </c>
      <c r="AZ110" s="377"/>
      <c r="BA110" s="377"/>
      <c r="BB110" s="377"/>
      <c r="BC110" s="215"/>
      <c r="BD110" s="377"/>
      <c r="BE110" s="377"/>
      <c r="BF110" s="377"/>
      <c r="BG110" s="377">
        <v>0</v>
      </c>
      <c r="BH110" s="377"/>
      <c r="BI110" s="377"/>
      <c r="BJ110" s="377">
        <v>1</v>
      </c>
      <c r="BK110" s="377"/>
      <c r="BL110" s="377"/>
      <c r="BM110" s="215"/>
      <c r="BN110" s="80"/>
      <c r="BO110" s="82"/>
      <c r="BP110" s="215"/>
      <c r="BQ110" s="79" t="str">
        <f>IFERROR(WWWW[[#This Row],['#_Water sources treated]]/WWWW[[#This Row],['#_Water sources tested for contamination]],"no test")</f>
        <v>no test</v>
      </c>
      <c r="BR110" s="82" t="str">
        <f>IFERROR(WWWW[[#This Row],['#_Household received remediation action due to contamination]]/WWWW[[#This Row],['#_Household water samples tested for contamination]],"no test")</f>
        <v>no test</v>
      </c>
      <c r="BS110" s="81" t="str">
        <f>IF(AND(WWWW[[#This Row],[% of water sources treated]]="no test",WWWW[[#This Row],[% Household received corrective actions]]="no test"),"No Test","Tested")</f>
        <v>No Test</v>
      </c>
      <c r="BT110" s="81">
        <f>WWWW[[#This Row],['#_Constructed/existing protected hand dug well]]-WWWW[[#This Row],['#_Non-functional protected hand dug well]]</f>
        <v>0</v>
      </c>
      <c r="BU110" s="81">
        <f>(WWWW[[#This Row],['#_Constructed/Existing tube wells/boreholes/handpumps_WASH_agency]]+WWWW[[#This Row],['#_Non-Cluster partner water tube-wells/boreholes/handpumps]])-WWWW[[#This Row],['#_Non-functional tube wells/boreholes/handpumps]]</f>
        <v>2</v>
      </c>
      <c r="BV110" s="81">
        <f>WWWW[[#This Row],['#_Constructed/Existingwater storage tank with gravity fed reticulation system]]-WWWW[[#This Row],['#_Non-functional storage tank gravity fed reticulation system]]</f>
        <v>0</v>
      </c>
      <c r="BW110" s="81">
        <f>WWWW[[#This Row],['#_Water boating or water trucking]]</f>
        <v>0</v>
      </c>
      <c r="BX110" s="81">
        <f>WWWW[[#This Row],['#_Constructed/Existing water distribution system from river or natural spring]]</f>
        <v>0</v>
      </c>
      <c r="BY110"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10"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10" s="82">
        <f>IF(WWWW[[#This Row],[Location Type 1]]="Village",WWWW[[#This Row],[Access to safe drinking water for Village]],WWWW[[#This Row],[Access to safe drinking water for Camp]])</f>
        <v>1</v>
      </c>
      <c r="CB110" s="80">
        <f>WWWW[[#This Row],[%Equitable and continuous access to sufficient quantity of safe drinking water]]*WWWW[[#This Row],[Total PoP ]]</f>
        <v>161</v>
      </c>
      <c r="CC110" s="82">
        <f>IF((WWWW[[#This Row],['#_Constructed/Existing protected/fenced ponds]]*250)/WWWW[[#This Row],[Total PoP ]]&gt;1,1,(WWWW[[#This Row],['#_Constructed/Existing protected/fenced ponds]]*250)/WWWW[[#This Row],[Total PoP ]])</f>
        <v>0</v>
      </c>
      <c r="CD110" s="80">
        <f>WWWW[[#This Row],[% Access to unimproved water points]]*WWWW[[#This Row],[Total PoP ]]</f>
        <v>0</v>
      </c>
      <c r="CE110"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10"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161</v>
      </c>
      <c r="CG110" s="80">
        <f>WWWW[[#This Row],[HRP1]]/500</f>
        <v>0.32200000000000001</v>
      </c>
      <c r="CH110" s="79">
        <f>1-WWWW[[#This Row],[% Equitable and continuous access to sufficient quantity of domestic water]]</f>
        <v>0</v>
      </c>
      <c r="CI110" s="80">
        <f>WWWW[[#This Row],[%equitable and continuous access to sufficient quantity of safe drinking and domestic water''s GAP]]*WWWW[[#This Row],[Total PoP ]]</f>
        <v>0</v>
      </c>
      <c r="CJ110" s="81">
        <f>IF(WWWW[[#This Row],[Total required water points]]-WWWW[[#This Row],['#Water points coverage]]&lt;0,0,WWWW[[#This Row],[Total required water points]]-WWWW[[#This Row],['#Water points coverage]])</f>
        <v>0.67799999999999994</v>
      </c>
      <c r="CK110" s="81">
        <f>ROUND(IF(WWWW[[#This Row],[Total PoP ]]&lt;500,1,WWWW[[#This Row],[Total PoP ]]/500),0)</f>
        <v>1</v>
      </c>
      <c r="CL110" s="81">
        <f>(WWWW[[#This Row],['#_Constructed latrines_by_WASHAgencies]]+WWWW[[#This Row],['#_Non Cluster partner latrines]])-WWWW[[#This Row],['#_Non-functional latrines]]</f>
        <v>6</v>
      </c>
      <c r="CM110"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0.74534161490683226</v>
      </c>
      <c r="CN110"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120</v>
      </c>
      <c r="CO110"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10" s="81">
        <f>IF(WWWW[[#This Row],[Location Type 1]]="Village","NA",IF(WWWW[[#This Row],['#_Constructed/Existing latrines in TLS]]*50&gt;WWWW[[#This Row],['#_students at TLS_CFS]],WWWW[[#This Row],['#_students at TLS_CFS]],(WWWW[[#This Row],['#_Constructed/Existing latrines in TLS]]*50)))</f>
        <v>0</v>
      </c>
      <c r="CQ110" s="81">
        <f>ROUND(IF(WWWW[[#This Row],[Location Type 1]]="camp",WWWW[[#This Row],[Total PoP ]]/20,IF(WWWW[[#This Row],[Location Type 1]]="Temporary Location",WWWW[[#This Row],[Total PoP ]]/50,(WWWW[[#This Row],[Total PoP ]]/6))),0)</f>
        <v>8</v>
      </c>
      <c r="CR110" s="80">
        <f>IF(WWWW[[#This Row],[Total required Latrines]]-(WWWW[[#This Row],['#_Constructed latrines_by_WASHAgencies]]+WWWW[[#This Row],['#_Non Cluster partner latrines]])&lt;0,0,WWWW[[#This Row],[Total required Latrines]]-(WWWW[[#This Row],['#_Constructed latrines_by_WASHAgencies]]+WWWW[[#This Row],['#_Non Cluster partner latrines]]))</f>
        <v>2</v>
      </c>
      <c r="CS110" s="79">
        <f>1-WWWW[[#This Row],[% people access to functioning Latrine]]</f>
        <v>0.25465838509316774</v>
      </c>
      <c r="CT110" s="83">
        <f>IF(OR(WWWW[[#This Row],['#_Non-functional latrines]]="",WWWW[[#This Row],['#_Non-functional latrines]]=0),0,WWWW[[#This Row],['#_Non-functional latrines]]/(WWWW[[#This Row],['#_Constructed latrines_by_WASHAgencies]]+WWWW[[#This Row],['#_Non Cluster partner latrines]]))</f>
        <v>0</v>
      </c>
      <c r="CU110" s="80">
        <f>IF(500*(WWWW[[#This Row],['#_male hygiene promoters]]+WWWW[[#This Row],['#_female hygiene promoters]])&gt;WWWW[[#This Row],[Total PoP ]],WWWW[[#This Row],[Total PoP ]],500*(WWWW[[#This Row],['#_male hygiene promoters]]+WWWW[[#This Row],['#_female hygiene promoters]]))</f>
        <v>161</v>
      </c>
      <c r="CV110"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10"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10" s="81">
        <f>IF(WWWW[[#This Row],['# People with access to soap]]&gt;WWWW[[#This Row],['# People with access to Sanity Pads]],WWWW[[#This Row],['# People with access to soap]],WWWW[[#This Row],['# People with access to Sanity Pads]])</f>
        <v>0</v>
      </c>
      <c r="CY110" s="81">
        <f>IF(WWWW[[#This Row],['# people reached by regular dedicated hygiene promotion_5]]&gt;WWWW[[#This Row],['# People received regular supply of hygiene items_6]],WWWW[[#This Row],['# people reached by regular dedicated hygiene promotion_5]],WWWW[[#This Row],['# People received regular supply of hygiene items_6]])</f>
        <v>161</v>
      </c>
      <c r="CZ110" s="79">
        <f>IF(WWWW[[#This Row],[HRP3]]/WWWW[[#This Row],[Total PoP ]]&gt;100%,100%,WWWW[[#This Row],[HRP3]]/WWWW[[#This Row],[Total PoP ]])</f>
        <v>1</v>
      </c>
      <c r="DA110" s="83">
        <f>1-WWWW[[#This Row],[Hygiene Coverage%]]</f>
        <v>0</v>
      </c>
      <c r="DB110" s="82">
        <f>WWWW[[#This Row],['# people reached by regular dedicated hygiene promotion_5]]/WWWW[[#This Row],[Total PoP ]]</f>
        <v>1</v>
      </c>
      <c r="DC110" s="82">
        <f>IF(WWWW[[#This Row],['#_households that received standard amount of soap for this quarter]]/WWWW[[#This Row],[Total HH]]&gt;1,1,WWWW[[#This Row],['#_households that received standard amount of soap for this quarter]]/WWWW[[#This Row],[Total HH]])</f>
        <v>0</v>
      </c>
      <c r="DD110" s="82">
        <f>IF(WWWW[[#This Row],['#_households that received standard amount of sanitary pads for this quarter]]/WWWW[[#This Row],[Total HH]]&gt;1,1,WWWW[[#This Row],['#_households that received standard amount of sanitary pads for this quarter]]/WWWW[[#This Row],[Total HH]])</f>
        <v>0</v>
      </c>
      <c r="DE110" s="81">
        <f>WWWW[[#This Row],['#_Constructed/Existing hand washing stations]]-WWWW[[#This Row],['#_Non-Functional_hand_washing_stations]]</f>
        <v>0</v>
      </c>
      <c r="DF110" s="667">
        <f>IF(WWWW[[#This Row],['# Functional hand washing stations during reporting period]]*20&gt;WWWW[[#This Row],[Total HH]],WWWW[[#This Row],[Total HH]],WWWW[[#This Row],['# Functional hand washing stations during reporting period]]*20)</f>
        <v>0</v>
      </c>
      <c r="DG110" s="80">
        <f>IF(WWWW[[#This Row],[Is sufficient soap available for TLS? (Yes/No)]]="yes",WWWW[[#This Row],['#_Constructed/Existing hand washing stations at TLS]],0)</f>
        <v>0</v>
      </c>
      <c r="DH110" s="667">
        <f>IF(WWWW[[#This Row],['# Functional hand washing stations during reporting period]]*100&gt;WWWW[[#This Row],[Total PoP ]],WWWW[[#This Row],[Total PoP ]],WWWW[[#This Row],['# Functional hand washing stations during reporting period]]*100)</f>
        <v>0</v>
      </c>
      <c r="DI110" s="667" t="str">
        <f>IF(WWWW[[#This Row],['#_students at TLS_CFS]]="","No","Yes")</f>
        <v>No</v>
      </c>
      <c r="DJ110" s="245">
        <f>VLOOKUP(WWWW[[#This Row],[Site Name]],SiteDB6[[Site Name]:[CCCM Management]],6,FALSE)</f>
        <v>0</v>
      </c>
      <c r="DK110" s="245">
        <f>VLOOKUP(WWWW[[#This Row],[Site Name]],SiteDB6[[Site Name]:[CCCM Focal Agency]],7,FALSE)</f>
        <v>0</v>
      </c>
      <c r="DL110" s="245" t="str">
        <f>VLOOKUP(WWWW[[#This Row],[Site Name]],SiteDB6[[Site Name]:[Location Type 1]],9,FALSE)</f>
        <v>Camp</v>
      </c>
      <c r="DM110" s="245" t="str">
        <f>VLOOKUP(WWWW[[#This Row],[Site Name]],SiteDB6[[Site Name]:[Type of Accommodation]],10,FALSE)</f>
        <v>camp</v>
      </c>
      <c r="DN110" s="245" t="str">
        <f>VLOOKUP(WWWW[[#This Row],[Site Name]],SiteDB6[[Site Name]:[Ethnic or GCA/NGCA]],11,FALSE)</f>
        <v>GCA</v>
      </c>
      <c r="DO110" s="245">
        <f>VLOOKUP(WWWW[[#This Row],[Site Name]],SiteDB6[[Site Name]:[Lat]],12,FALSE)</f>
        <v>0</v>
      </c>
      <c r="DP110" s="245">
        <f>VLOOKUP(WWWW[[#This Row],[Site Name]],SiteDB6[[Site Name]:[Long]],13,FALSE)</f>
        <v>0</v>
      </c>
      <c r="DQ110" s="245">
        <f>VLOOKUP(WWWW[[#This Row],[Site Name]],SiteDB6[[Site Name]:[Pcode]],3,FALSE)</f>
        <v>0</v>
      </c>
      <c r="DR110" s="215" t="str">
        <f t="shared" si="4"/>
        <v>Covered</v>
      </c>
      <c r="DS110" s="215"/>
      <c r="DT110" s="20"/>
      <c r="DU110" s="20"/>
      <c r="DV110" s="20"/>
      <c r="DW110" s="20"/>
      <c r="DX110" s="20"/>
      <c r="DY110" s="20"/>
      <c r="DZ110" s="20"/>
      <c r="EA110" s="20"/>
      <c r="EB110" s="20"/>
      <c r="EC110" s="20"/>
      <c r="ED110" s="20"/>
      <c r="EE110" s="20"/>
      <c r="EF110" s="20"/>
      <c r="EG110" s="20"/>
      <c r="EH110" s="20"/>
    </row>
    <row r="111" spans="1:138" ht="15.75" customHeight="1">
      <c r="A111" s="259" t="s">
        <v>2525</v>
      </c>
      <c r="B111" s="259" t="s">
        <v>149</v>
      </c>
      <c r="C111" s="663" t="s">
        <v>149</v>
      </c>
      <c r="D111" s="663" t="s">
        <v>158</v>
      </c>
      <c r="E111" s="663" t="s">
        <v>39</v>
      </c>
      <c r="F111" s="663" t="s">
        <v>160</v>
      </c>
      <c r="G111" s="663" t="str">
        <f>VLOOKUP(WWWW[[#This Row],[Site Name]],SiteDB6[[Site Name]:[Location Type]],8,FALSE)</f>
        <v>Camp_not registered</v>
      </c>
      <c r="H111" s="663" t="s">
        <v>2090</v>
      </c>
      <c r="I111" s="700">
        <v>6</v>
      </c>
      <c r="J111" s="700">
        <v>36</v>
      </c>
      <c r="K111" s="642">
        <v>43556</v>
      </c>
      <c r="L111" s="78">
        <v>43677</v>
      </c>
      <c r="M111" s="700"/>
      <c r="N111" s="700"/>
      <c r="O111" s="700"/>
      <c r="P111" s="700"/>
      <c r="Q111" s="77" t="s">
        <v>43</v>
      </c>
      <c r="R111" s="377"/>
      <c r="S111" s="377"/>
      <c r="T111" s="700">
        <v>0</v>
      </c>
      <c r="U111" s="377"/>
      <c r="V111" s="377"/>
      <c r="W111" s="700">
        <v>1</v>
      </c>
      <c r="X111" s="377"/>
      <c r="Y111" s="377"/>
      <c r="Z111" s="377"/>
      <c r="AA111" s="377"/>
      <c r="AB111" s="377"/>
      <c r="AC111" s="377"/>
      <c r="AD111" s="377"/>
      <c r="AE111" s="377"/>
      <c r="AF111" s="377"/>
      <c r="AG111" s="377"/>
      <c r="AH111" s="700">
        <v>3</v>
      </c>
      <c r="AI111" s="377"/>
      <c r="AJ111" s="377"/>
      <c r="AK111" s="377"/>
      <c r="AL111" s="377"/>
      <c r="AM111" s="377"/>
      <c r="AN111" s="377"/>
      <c r="AO111" s="215"/>
      <c r="AP111" s="700">
        <v>2</v>
      </c>
      <c r="AQ111" s="377"/>
      <c r="AR111" s="77"/>
      <c r="AS111" s="377"/>
      <c r="AT111" s="377"/>
      <c r="AU111" s="377"/>
      <c r="AV111" s="377"/>
      <c r="AW111" s="700">
        <v>2</v>
      </c>
      <c r="AX111" s="245" t="s">
        <v>43</v>
      </c>
      <c r="AY111" s="245" t="s">
        <v>145</v>
      </c>
      <c r="AZ111" s="377"/>
      <c r="BA111" s="377"/>
      <c r="BB111" s="377"/>
      <c r="BC111" s="215"/>
      <c r="BD111" s="377"/>
      <c r="BE111" s="377"/>
      <c r="BF111" s="377"/>
      <c r="BG111" s="377">
        <v>0</v>
      </c>
      <c r="BH111" s="377"/>
      <c r="BI111" s="377"/>
      <c r="BJ111" s="377">
        <v>1</v>
      </c>
      <c r="BK111" s="377"/>
      <c r="BL111" s="377"/>
      <c r="BM111" s="215"/>
      <c r="BN111" s="80"/>
      <c r="BO111" s="82"/>
      <c r="BP111" s="215"/>
      <c r="BQ111" s="79" t="str">
        <f>IFERROR(WWWW[[#This Row],['#_Water sources treated]]/WWWW[[#This Row],['#_Water sources tested for contamination]],"no test")</f>
        <v>no test</v>
      </c>
      <c r="BR111" s="82" t="str">
        <f>IFERROR(WWWW[[#This Row],['#_Household received remediation action due to contamination]]/WWWW[[#This Row],['#_Household water samples tested for contamination]],"no test")</f>
        <v>no test</v>
      </c>
      <c r="BS111" s="81" t="str">
        <f>IF(AND(WWWW[[#This Row],[% of water sources treated]]="no test",WWWW[[#This Row],[% Household received corrective actions]]="no test"),"No Test","Tested")</f>
        <v>No Test</v>
      </c>
      <c r="BT111" s="81">
        <f>WWWW[[#This Row],['#_Constructed/existing protected hand dug well]]-WWWW[[#This Row],['#_Non-functional protected hand dug well]]</f>
        <v>0</v>
      </c>
      <c r="BU111" s="81">
        <f>(WWWW[[#This Row],['#_Constructed/Existing tube wells/boreholes/handpumps_WASH_agency]]+WWWW[[#This Row],['#_Non-Cluster partner water tube-wells/boreholes/handpumps]])-WWWW[[#This Row],['#_Non-functional tube wells/boreholes/handpumps]]</f>
        <v>1</v>
      </c>
      <c r="BV111" s="81">
        <f>WWWW[[#This Row],['#_Constructed/Existingwater storage tank with gravity fed reticulation system]]-WWWW[[#This Row],['#_Non-functional storage tank gravity fed reticulation system]]</f>
        <v>0</v>
      </c>
      <c r="BW111" s="81">
        <f>WWWW[[#This Row],['#_Water boating or water trucking]]</f>
        <v>0</v>
      </c>
      <c r="BX111" s="81">
        <f>WWWW[[#This Row],['#_Constructed/Existing water distribution system from river or natural spring]]</f>
        <v>0</v>
      </c>
      <c r="BY111"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11"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11" s="82">
        <f>IF(WWWW[[#This Row],[Location Type 1]]="Village",WWWW[[#This Row],[Access to safe drinking water for Village]],WWWW[[#This Row],[Access to safe drinking water for Camp]])</f>
        <v>1</v>
      </c>
      <c r="CB111" s="80">
        <f>WWWW[[#This Row],[%Equitable and continuous access to sufficient quantity of safe drinking water]]*WWWW[[#This Row],[Total PoP ]]</f>
        <v>36</v>
      </c>
      <c r="CC111" s="82">
        <f>IF((WWWW[[#This Row],['#_Constructed/Existing protected/fenced ponds]]*250)/WWWW[[#This Row],[Total PoP ]]&gt;1,1,(WWWW[[#This Row],['#_Constructed/Existing protected/fenced ponds]]*250)/WWWW[[#This Row],[Total PoP ]])</f>
        <v>0</v>
      </c>
      <c r="CD111" s="80">
        <f>WWWW[[#This Row],[% Access to unimproved water points]]*WWWW[[#This Row],[Total PoP ]]</f>
        <v>0</v>
      </c>
      <c r="CE111"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11"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36</v>
      </c>
      <c r="CG111" s="80">
        <f>WWWW[[#This Row],[HRP1]]/500</f>
        <v>7.1999999999999995E-2</v>
      </c>
      <c r="CH111" s="79">
        <f>1-WWWW[[#This Row],[% Equitable and continuous access to sufficient quantity of domestic water]]</f>
        <v>0</v>
      </c>
      <c r="CI111" s="80">
        <f>WWWW[[#This Row],[%equitable and continuous access to sufficient quantity of safe drinking and domestic water''s GAP]]*WWWW[[#This Row],[Total PoP ]]</f>
        <v>0</v>
      </c>
      <c r="CJ111" s="81">
        <f>IF(WWWW[[#This Row],[Total required water points]]-WWWW[[#This Row],['#Water points coverage]]&lt;0,0,WWWW[[#This Row],[Total required water points]]-WWWW[[#This Row],['#Water points coverage]])</f>
        <v>0.92800000000000005</v>
      </c>
      <c r="CK111" s="81">
        <f>ROUND(IF(WWWW[[#This Row],[Total PoP ]]&lt;500,1,WWWW[[#This Row],[Total PoP ]]/500),0)</f>
        <v>1</v>
      </c>
      <c r="CL111" s="81">
        <f>(WWWW[[#This Row],['#_Constructed latrines_by_WASHAgencies]]+WWWW[[#This Row],['#_Non Cluster partner latrines]])-WWWW[[#This Row],['#_Non-functional latrines]]</f>
        <v>2</v>
      </c>
      <c r="CM111"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11"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36</v>
      </c>
      <c r="CO111"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11" s="81">
        <f>IF(WWWW[[#This Row],[Location Type 1]]="Village","NA",IF(WWWW[[#This Row],['#_Constructed/Existing latrines in TLS]]*50&gt;WWWW[[#This Row],['#_students at TLS_CFS]],WWWW[[#This Row],['#_students at TLS_CFS]],(WWWW[[#This Row],['#_Constructed/Existing latrines in TLS]]*50)))</f>
        <v>0</v>
      </c>
      <c r="CQ111" s="81">
        <f>ROUND(IF(WWWW[[#This Row],[Location Type 1]]="camp",WWWW[[#This Row],[Total PoP ]]/20,IF(WWWW[[#This Row],[Location Type 1]]="Temporary Location",WWWW[[#This Row],[Total PoP ]]/50,(WWWW[[#This Row],[Total PoP ]]/6))),0)</f>
        <v>2</v>
      </c>
      <c r="CR111" s="80">
        <f>IF(WWWW[[#This Row],[Total required Latrines]]-(WWWW[[#This Row],['#_Constructed latrines_by_WASHAgencies]]+WWWW[[#This Row],['#_Non Cluster partner latrines]])&lt;0,0,WWWW[[#This Row],[Total required Latrines]]-(WWWW[[#This Row],['#_Constructed latrines_by_WASHAgencies]]+WWWW[[#This Row],['#_Non Cluster partner latrines]]))</f>
        <v>0</v>
      </c>
      <c r="CS111" s="79">
        <f>1-WWWW[[#This Row],[% people access to functioning Latrine]]</f>
        <v>0</v>
      </c>
      <c r="CT111" s="83">
        <f>IF(OR(WWWW[[#This Row],['#_Non-functional latrines]]="",WWWW[[#This Row],['#_Non-functional latrines]]=0),0,WWWW[[#This Row],['#_Non-functional latrines]]/(WWWW[[#This Row],['#_Constructed latrines_by_WASHAgencies]]+WWWW[[#This Row],['#_Non Cluster partner latrines]]))</f>
        <v>0</v>
      </c>
      <c r="CU111" s="80">
        <f>IF(500*(WWWW[[#This Row],['#_male hygiene promoters]]+WWWW[[#This Row],['#_female hygiene promoters]])&gt;WWWW[[#This Row],[Total PoP ]],WWWW[[#This Row],[Total PoP ]],500*(WWWW[[#This Row],['#_male hygiene promoters]]+WWWW[[#This Row],['#_female hygiene promoters]]))</f>
        <v>36</v>
      </c>
      <c r="CV111"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11"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11" s="81">
        <f>IF(WWWW[[#This Row],['# People with access to soap]]&gt;WWWW[[#This Row],['# People with access to Sanity Pads]],WWWW[[#This Row],['# People with access to soap]],WWWW[[#This Row],['# People with access to Sanity Pads]])</f>
        <v>0</v>
      </c>
      <c r="CY111" s="81">
        <f>IF(WWWW[[#This Row],['# people reached by regular dedicated hygiene promotion_5]]&gt;WWWW[[#This Row],['# People received regular supply of hygiene items_6]],WWWW[[#This Row],['# people reached by regular dedicated hygiene promotion_5]],WWWW[[#This Row],['# People received regular supply of hygiene items_6]])</f>
        <v>36</v>
      </c>
      <c r="CZ111" s="79">
        <f>IF(WWWW[[#This Row],[HRP3]]/WWWW[[#This Row],[Total PoP ]]&gt;100%,100%,WWWW[[#This Row],[HRP3]]/WWWW[[#This Row],[Total PoP ]])</f>
        <v>1</v>
      </c>
      <c r="DA111" s="83">
        <f>1-WWWW[[#This Row],[Hygiene Coverage%]]</f>
        <v>0</v>
      </c>
      <c r="DB111" s="82">
        <f>WWWW[[#This Row],['# people reached by regular dedicated hygiene promotion_5]]/WWWW[[#This Row],[Total PoP ]]</f>
        <v>1</v>
      </c>
      <c r="DC111" s="82">
        <f>IF(WWWW[[#This Row],['#_households that received standard amount of soap for this quarter]]/WWWW[[#This Row],[Total HH]]&gt;1,1,WWWW[[#This Row],['#_households that received standard amount of soap for this quarter]]/WWWW[[#This Row],[Total HH]])</f>
        <v>0</v>
      </c>
      <c r="DD111" s="82">
        <f>IF(WWWW[[#This Row],['#_households that received standard amount of sanitary pads for this quarter]]/WWWW[[#This Row],[Total HH]]&gt;1,1,WWWW[[#This Row],['#_households that received standard amount of sanitary pads for this quarter]]/WWWW[[#This Row],[Total HH]])</f>
        <v>0</v>
      </c>
      <c r="DE111" s="81">
        <f>WWWW[[#This Row],['#_Constructed/Existing hand washing stations]]-WWWW[[#This Row],['#_Non-Functional_hand_washing_stations]]</f>
        <v>0</v>
      </c>
      <c r="DF111" s="667">
        <f>IF(WWWW[[#This Row],['# Functional hand washing stations during reporting period]]*20&gt;WWWW[[#This Row],[Total HH]],WWWW[[#This Row],[Total HH]],WWWW[[#This Row],['# Functional hand washing stations during reporting period]]*20)</f>
        <v>0</v>
      </c>
      <c r="DG111" s="80">
        <f>IF(WWWW[[#This Row],[Is sufficient soap available for TLS? (Yes/No)]]="yes",WWWW[[#This Row],['#_Constructed/Existing hand washing stations at TLS]],0)</f>
        <v>0</v>
      </c>
      <c r="DH111" s="667">
        <f>IF(WWWW[[#This Row],['# Functional hand washing stations during reporting period]]*100&gt;WWWW[[#This Row],[Total PoP ]],WWWW[[#This Row],[Total PoP ]],WWWW[[#This Row],['# Functional hand washing stations during reporting period]]*100)</f>
        <v>0</v>
      </c>
      <c r="DI111" s="667" t="str">
        <f>IF(WWWW[[#This Row],['#_students at TLS_CFS]]="","No","Yes")</f>
        <v>No</v>
      </c>
      <c r="DJ111" s="245">
        <f>VLOOKUP(WWWW[[#This Row],[Site Name]],SiteDB6[[Site Name]:[CCCM Management]],6,FALSE)</f>
        <v>0</v>
      </c>
      <c r="DK111" s="245">
        <f>VLOOKUP(WWWW[[#This Row],[Site Name]],SiteDB6[[Site Name]:[CCCM Focal Agency]],7,FALSE)</f>
        <v>0</v>
      </c>
      <c r="DL111" s="245" t="str">
        <f>VLOOKUP(WWWW[[#This Row],[Site Name]],SiteDB6[[Site Name]:[Location Type 1]],9,FALSE)</f>
        <v>Camp</v>
      </c>
      <c r="DM111" s="245" t="str">
        <f>VLOOKUP(WWWW[[#This Row],[Site Name]],SiteDB6[[Site Name]:[Type of Accommodation]],10,FALSE)</f>
        <v>Camp like setting</v>
      </c>
      <c r="DN111" s="245" t="str">
        <f>VLOOKUP(WWWW[[#This Row],[Site Name]],SiteDB6[[Site Name]:[Ethnic or GCA/NGCA]],11,FALSE)</f>
        <v>GCA</v>
      </c>
      <c r="DO111" s="245">
        <f>VLOOKUP(WWWW[[#This Row],[Site Name]],SiteDB6[[Site Name]:[Lat]],12,FALSE)</f>
        <v>0</v>
      </c>
      <c r="DP111" s="245">
        <f>VLOOKUP(WWWW[[#This Row],[Site Name]],SiteDB6[[Site Name]:[Long]],13,FALSE)</f>
        <v>0</v>
      </c>
      <c r="DQ111" s="245">
        <f>VLOOKUP(WWWW[[#This Row],[Site Name]],SiteDB6[[Site Name]:[Pcode]],3,FALSE)</f>
        <v>0</v>
      </c>
      <c r="DR111" s="215" t="str">
        <f t="shared" si="4"/>
        <v>Covered</v>
      </c>
      <c r="DS111" s="215"/>
      <c r="DT111" s="20"/>
      <c r="DU111" s="20"/>
      <c r="DV111" s="20"/>
      <c r="DW111" s="20"/>
      <c r="DX111" s="20"/>
      <c r="DY111" s="20"/>
      <c r="DZ111" s="20"/>
      <c r="EA111" s="20"/>
      <c r="EB111" s="20"/>
      <c r="EC111" s="20"/>
      <c r="ED111" s="20"/>
      <c r="EE111" s="20"/>
      <c r="EF111" s="20"/>
      <c r="EG111" s="20"/>
      <c r="EH111" s="20"/>
    </row>
    <row r="112" spans="1:138" ht="15.75" customHeight="1">
      <c r="A112" s="259" t="s">
        <v>2525</v>
      </c>
      <c r="B112" s="663" t="s">
        <v>250</v>
      </c>
      <c r="C112" s="663" t="s">
        <v>250</v>
      </c>
      <c r="D112" s="701" t="s">
        <v>315</v>
      </c>
      <c r="E112" s="663" t="s">
        <v>39</v>
      </c>
      <c r="F112" s="663" t="s">
        <v>167</v>
      </c>
      <c r="G112" s="663" t="str">
        <f>VLOOKUP(WWWW[[#This Row],[Site Name]],SiteDB6[[Site Name]:[Location Type]],8,FALSE)</f>
        <v>Camp</v>
      </c>
      <c r="H112" s="663" t="s">
        <v>271</v>
      </c>
      <c r="I112" s="700">
        <v>22</v>
      </c>
      <c r="J112" s="700">
        <v>92</v>
      </c>
      <c r="K112" s="642">
        <v>43313</v>
      </c>
      <c r="L112" s="58">
        <v>44043</v>
      </c>
      <c r="M112" s="700"/>
      <c r="N112" s="700">
        <v>1</v>
      </c>
      <c r="O112" s="700"/>
      <c r="P112" s="700"/>
      <c r="Q112" s="663" t="s">
        <v>43</v>
      </c>
      <c r="R112" s="377">
        <v>3</v>
      </c>
      <c r="S112" s="377">
        <v>7</v>
      </c>
      <c r="T112" s="377">
        <v>1</v>
      </c>
      <c r="U112" s="377">
        <v>1</v>
      </c>
      <c r="V112" s="377"/>
      <c r="W112" s="377">
        <v>1</v>
      </c>
      <c r="X112" s="377">
        <v>1</v>
      </c>
      <c r="Y112" s="377">
        <v>0</v>
      </c>
      <c r="Z112" s="377"/>
      <c r="AA112" s="377"/>
      <c r="AB112" s="377"/>
      <c r="AC112" s="377"/>
      <c r="AD112" s="377"/>
      <c r="AE112" s="377"/>
      <c r="AF112" s="377"/>
      <c r="AG112" s="377"/>
      <c r="AH112" s="377"/>
      <c r="AI112" s="377"/>
      <c r="AJ112" s="377"/>
      <c r="AK112" s="377"/>
      <c r="AL112" s="377"/>
      <c r="AM112" s="377"/>
      <c r="AN112" s="377"/>
      <c r="AO112" s="215"/>
      <c r="AP112" s="377">
        <v>5</v>
      </c>
      <c r="AQ112" s="377">
        <v>5</v>
      </c>
      <c r="AR112" s="77"/>
      <c r="AS112" s="667">
        <v>0</v>
      </c>
      <c r="AT112" s="663">
        <v>0</v>
      </c>
      <c r="AU112" s="667">
        <v>2</v>
      </c>
      <c r="AV112" s="377"/>
      <c r="AW112" s="700"/>
      <c r="AX112" s="694" t="s">
        <v>43</v>
      </c>
      <c r="AY112" s="245" t="s">
        <v>1200</v>
      </c>
      <c r="AZ112" s="377"/>
      <c r="BA112" s="377"/>
      <c r="BB112" s="377"/>
      <c r="BC112" s="215"/>
      <c r="BD112" s="377">
        <v>2</v>
      </c>
      <c r="BE112" s="377">
        <v>1</v>
      </c>
      <c r="BF112" s="377">
        <v>0</v>
      </c>
      <c r="BG112" s="377">
        <v>0</v>
      </c>
      <c r="BH112" s="377">
        <v>0</v>
      </c>
      <c r="BI112" s="377">
        <v>0</v>
      </c>
      <c r="BJ112" s="377">
        <v>0</v>
      </c>
      <c r="BK112" s="377">
        <v>0</v>
      </c>
      <c r="BL112" s="377">
        <v>0</v>
      </c>
      <c r="BM112" s="215" t="s">
        <v>144</v>
      </c>
      <c r="BN112" s="80">
        <v>0</v>
      </c>
      <c r="BO112" s="82">
        <v>0</v>
      </c>
      <c r="BP112" s="215"/>
      <c r="BQ112" s="79" t="str">
        <f>IFERROR(WWWW[[#This Row],['#_Water sources treated]]/WWWW[[#This Row],['#_Water sources tested for contamination]],"no test")</f>
        <v>no test</v>
      </c>
      <c r="BR112" s="82" t="str">
        <f>IFERROR(WWWW[[#This Row],['#_Household received remediation action due to contamination]]/WWWW[[#This Row],['#_Household water samples tested for contamination]],"no test")</f>
        <v>no test</v>
      </c>
      <c r="BS112" s="81" t="str">
        <f>IF(AND(WWWW[[#This Row],[% of water sources treated]]="no test",WWWW[[#This Row],[% Household received corrective actions]]="no test"),"No Test","Tested")</f>
        <v>No Test</v>
      </c>
      <c r="BT112" s="81">
        <f>WWWW[[#This Row],['#_Constructed/existing protected hand dug well]]-WWWW[[#This Row],['#_Non-functional protected hand dug well]]</f>
        <v>0</v>
      </c>
      <c r="BU112" s="81">
        <f>(WWWW[[#This Row],['#_Constructed/Existing tube wells/boreholes/handpumps_WASH_agency]]+WWWW[[#This Row],['#_Non-Cluster partner water tube-wells/boreholes/handpumps]])-WWWW[[#This Row],['#_Non-functional tube wells/boreholes/handpumps]]</f>
        <v>2</v>
      </c>
      <c r="BV112" s="81">
        <f>WWWW[[#This Row],['#_Constructed/Existingwater storage tank with gravity fed reticulation system]]-WWWW[[#This Row],['#_Non-functional storage tank gravity fed reticulation system]]</f>
        <v>0</v>
      </c>
      <c r="BW112" s="81">
        <f>WWWW[[#This Row],['#_Water boating or water trucking]]</f>
        <v>0</v>
      </c>
      <c r="BX112" s="81">
        <f>WWWW[[#This Row],['#_Constructed/Existing water distribution system from river or natural spring]]</f>
        <v>0</v>
      </c>
      <c r="BY112"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12"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12" s="82">
        <f>IF(WWWW[[#This Row],[Location Type 1]]="Village",WWWW[[#This Row],[Access to safe drinking water for Village]],WWWW[[#This Row],[Access to safe drinking water for Camp]])</f>
        <v>1</v>
      </c>
      <c r="CB112" s="80">
        <f>WWWW[[#This Row],[%Equitable and continuous access to sufficient quantity of safe drinking water]]*WWWW[[#This Row],[Total PoP ]]</f>
        <v>92</v>
      </c>
      <c r="CC112" s="82">
        <f>IF((WWWW[[#This Row],['#_Constructed/Existing protected/fenced ponds]]*250)/WWWW[[#This Row],[Total PoP ]]&gt;1,1,(WWWW[[#This Row],['#_Constructed/Existing protected/fenced ponds]]*250)/WWWW[[#This Row],[Total PoP ]])</f>
        <v>0</v>
      </c>
      <c r="CD112" s="80">
        <f>WWWW[[#This Row],[% Access to unimproved water points]]*WWWW[[#This Row],[Total PoP ]]</f>
        <v>0</v>
      </c>
      <c r="CE112"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12"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92</v>
      </c>
      <c r="CG112" s="80">
        <f>WWWW[[#This Row],[HRP1]]/500</f>
        <v>0.184</v>
      </c>
      <c r="CH112" s="79">
        <f>1-WWWW[[#This Row],[% Equitable and continuous access to sufficient quantity of domestic water]]</f>
        <v>0</v>
      </c>
      <c r="CI112" s="80">
        <f>WWWW[[#This Row],[%equitable and continuous access to sufficient quantity of safe drinking and domestic water''s GAP]]*WWWW[[#This Row],[Total PoP ]]</f>
        <v>0</v>
      </c>
      <c r="CJ112" s="81">
        <f>IF(WWWW[[#This Row],[Total required water points]]-WWWW[[#This Row],['#Water points coverage]]&lt;0,0,WWWW[[#This Row],[Total required water points]]-WWWW[[#This Row],['#Water points coverage]])</f>
        <v>0.81600000000000006</v>
      </c>
      <c r="CK112" s="81">
        <f>ROUND(IF(WWWW[[#This Row],[Total PoP ]]&lt;500,1,WWWW[[#This Row],[Total PoP ]]/500),0)</f>
        <v>1</v>
      </c>
      <c r="CL112" s="81">
        <f>(WWWW[[#This Row],['#_Constructed latrines_by_WASHAgencies]]+WWWW[[#This Row],['#_Non Cluster partner latrines]])-WWWW[[#This Row],['#_Non-functional latrines]]</f>
        <v>10</v>
      </c>
      <c r="CM112"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12"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92</v>
      </c>
      <c r="CO112"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40</v>
      </c>
      <c r="CP112" s="81">
        <f>IF(WWWW[[#This Row],[Location Type 1]]="Village","NA",IF(WWWW[[#This Row],['#_Constructed/Existing latrines in TLS]]*50&gt;WWWW[[#This Row],['#_students at TLS_CFS]],WWWW[[#This Row],['#_students at TLS_CFS]],(WWWW[[#This Row],['#_Constructed/Existing latrines in TLS]]*50)))</f>
        <v>0</v>
      </c>
      <c r="CQ112" s="81">
        <f>ROUND(IF(WWWW[[#This Row],[Location Type 1]]="camp",WWWW[[#This Row],[Total PoP ]]/20,IF(WWWW[[#This Row],[Location Type 1]]="Temporary Location",WWWW[[#This Row],[Total PoP ]]/50,(WWWW[[#This Row],[Total PoP ]]/6))),0)</f>
        <v>5</v>
      </c>
      <c r="CR112" s="80">
        <f>IF(WWWW[[#This Row],[Total required Latrines]]-(WWWW[[#This Row],['#_Constructed latrines_by_WASHAgencies]]+WWWW[[#This Row],['#_Non Cluster partner latrines]])&lt;0,0,WWWW[[#This Row],[Total required Latrines]]-(WWWW[[#This Row],['#_Constructed latrines_by_WASHAgencies]]+WWWW[[#This Row],['#_Non Cluster partner latrines]]))</f>
        <v>0</v>
      </c>
      <c r="CS112" s="79">
        <f>1-WWWW[[#This Row],[% people access to functioning Latrine]]</f>
        <v>0</v>
      </c>
      <c r="CT112" s="83">
        <f>IF(OR(WWWW[[#This Row],['#_Non-functional latrines]]="",WWWW[[#This Row],['#_Non-functional latrines]]=0),0,WWWW[[#This Row],['#_Non-functional latrines]]/(WWWW[[#This Row],['#_Constructed latrines_by_WASHAgencies]]+WWWW[[#This Row],['#_Non Cluster partner latrines]]))</f>
        <v>0</v>
      </c>
      <c r="CU112" s="80">
        <f>IF(500*(WWWW[[#This Row],['#_male hygiene promoters]]+WWWW[[#This Row],['#_female hygiene promoters]])&gt;WWWW[[#This Row],[Total PoP ]],WWWW[[#This Row],[Total PoP ]],500*(WWWW[[#This Row],['#_male hygiene promoters]]+WWWW[[#This Row],['#_female hygiene promoters]]))</f>
        <v>0</v>
      </c>
      <c r="CV112"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12"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12" s="81">
        <f>IF(WWWW[[#This Row],['# People with access to soap]]&gt;WWWW[[#This Row],['# People with access to Sanity Pads]],WWWW[[#This Row],['# People with access to soap]],WWWW[[#This Row],['# People with access to Sanity Pads]])</f>
        <v>0</v>
      </c>
      <c r="CY112"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12" s="79">
        <f>IF(WWWW[[#This Row],[HRP3]]/WWWW[[#This Row],[Total PoP ]]&gt;100%,100%,WWWW[[#This Row],[HRP3]]/WWWW[[#This Row],[Total PoP ]])</f>
        <v>0</v>
      </c>
      <c r="DA112" s="83">
        <f>1-WWWW[[#This Row],[Hygiene Coverage%]]</f>
        <v>1</v>
      </c>
      <c r="DB112" s="82">
        <f>WWWW[[#This Row],['# people reached by regular dedicated hygiene promotion_5]]/WWWW[[#This Row],[Total PoP ]]</f>
        <v>0</v>
      </c>
      <c r="DC112" s="82">
        <f>IF(WWWW[[#This Row],['#_households that received standard amount of soap for this quarter]]/WWWW[[#This Row],[Total HH]]&gt;1,1,WWWW[[#This Row],['#_households that received standard amount of soap for this quarter]]/WWWW[[#This Row],[Total HH]])</f>
        <v>0</v>
      </c>
      <c r="DD112" s="82">
        <f>IF(WWWW[[#This Row],['#_households that received standard amount of sanitary pads for this quarter]]/WWWW[[#This Row],[Total HH]]&gt;1,1,WWWW[[#This Row],['#_households that received standard amount of sanitary pads for this quarter]]/WWWW[[#This Row],[Total HH]])</f>
        <v>0</v>
      </c>
      <c r="DE112" s="81">
        <f>WWWW[[#This Row],['#_Constructed/Existing hand washing stations]]-WWWW[[#This Row],['#_Non-Functional_hand_washing_stations]]</f>
        <v>1</v>
      </c>
      <c r="DF112" s="667">
        <f>IF(WWWW[[#This Row],['# Functional hand washing stations during reporting period]]*20&gt;WWWW[[#This Row],[Total HH]],WWWW[[#This Row],[Total HH]],WWWW[[#This Row],['# Functional hand washing stations during reporting period]]*20)</f>
        <v>20</v>
      </c>
      <c r="DG112" s="80">
        <f>IF(WWWW[[#This Row],[Is sufficient soap available for TLS? (Yes/No)]]="yes",WWWW[[#This Row],['#_Constructed/Existing hand washing stations at TLS]],0)</f>
        <v>0</v>
      </c>
      <c r="DH112" s="667">
        <f>IF(WWWW[[#This Row],['# Functional hand washing stations during reporting period]]*100&gt;WWWW[[#This Row],[Total PoP ]],WWWW[[#This Row],[Total PoP ]],WWWW[[#This Row],['# Functional hand washing stations during reporting period]]*100)</f>
        <v>92</v>
      </c>
      <c r="DI112" s="667" t="str">
        <f>IF(WWWW[[#This Row],['#_students at TLS_CFS]]="","No","Yes")</f>
        <v>No</v>
      </c>
      <c r="DJ112" s="245" t="str">
        <f>VLOOKUP(WWWW[[#This Row],[Site Name]],SiteDB6[[Site Name]:[CCCM Management]],6,FALSE)</f>
        <v>Yes</v>
      </c>
      <c r="DK112" s="245" t="str">
        <f>VLOOKUP(WWWW[[#This Row],[Site Name]],SiteDB6[[Site Name]:[CCCM Focal Agency]],7,FALSE)</f>
        <v>Shalom</v>
      </c>
      <c r="DL112" s="245" t="str">
        <f>VLOOKUP(WWWW[[#This Row],[Site Name]],SiteDB6[[Site Name]:[Location Type 1]],9,FALSE)</f>
        <v>Camp</v>
      </c>
      <c r="DM112" s="245" t="str">
        <f>VLOOKUP(WWWW[[#This Row],[Site Name]],SiteDB6[[Site Name]:[Type of Accommodation]],10,FALSE)</f>
        <v>Camp</v>
      </c>
      <c r="DN112" s="245" t="str">
        <f>VLOOKUP(WWWW[[#This Row],[Site Name]],SiteDB6[[Site Name]:[Ethnic or GCA/NGCA]],11,FALSE)</f>
        <v>GCA</v>
      </c>
      <c r="DO112" s="245">
        <f>VLOOKUP(WWWW[[#This Row],[Site Name]],SiteDB6[[Site Name]:[Lat]],12,FALSE)</f>
        <v>25.374343974359</v>
      </c>
      <c r="DP112" s="245">
        <f>VLOOKUP(WWWW[[#This Row],[Site Name]],SiteDB6[[Site Name]:[Long]],13,FALSE)</f>
        <v>97.2843958974359</v>
      </c>
      <c r="DQ112" s="245" t="str">
        <f>VLOOKUP(WWWW[[#This Row],[Site Name]],SiteDB6[[Site Name]:[Pcode]],3,FALSE)</f>
        <v>MMR001CMP020</v>
      </c>
      <c r="DR112" s="215" t="str">
        <f t="shared" si="4"/>
        <v>Covered</v>
      </c>
      <c r="DS112" s="215"/>
      <c r="DT112" s="20"/>
      <c r="DU112" s="20"/>
      <c r="DV112" s="20"/>
      <c r="DW112" s="20"/>
      <c r="DX112" s="20"/>
      <c r="DY112" s="20"/>
      <c r="DZ112" s="20"/>
      <c r="EA112" s="20"/>
      <c r="EB112" s="20"/>
      <c r="EC112" s="20"/>
      <c r="ED112" s="20"/>
      <c r="EE112" s="20"/>
      <c r="EF112" s="20"/>
      <c r="EG112" s="20"/>
      <c r="EH112" s="20"/>
    </row>
    <row r="113" spans="1:138" ht="15.75" customHeight="1">
      <c r="A113" s="259" t="s">
        <v>2525</v>
      </c>
      <c r="B113" s="663" t="s">
        <v>250</v>
      </c>
      <c r="C113" s="663" t="s">
        <v>250</v>
      </c>
      <c r="D113" s="701" t="s">
        <v>315</v>
      </c>
      <c r="E113" s="663" t="s">
        <v>39</v>
      </c>
      <c r="F113" s="663" t="s">
        <v>167</v>
      </c>
      <c r="G113" s="663" t="str">
        <f>VLOOKUP(WWWW[[#This Row],[Site Name]],SiteDB6[[Site Name]:[Location Type]],8,FALSE)</f>
        <v>Camp</v>
      </c>
      <c r="H113" s="663" t="s">
        <v>272</v>
      </c>
      <c r="I113" s="700">
        <v>21</v>
      </c>
      <c r="J113" s="700">
        <v>123</v>
      </c>
      <c r="K113" s="642">
        <v>43313</v>
      </c>
      <c r="L113" s="58">
        <v>44043</v>
      </c>
      <c r="M113" s="700"/>
      <c r="N113" s="700">
        <v>1</v>
      </c>
      <c r="O113" s="700"/>
      <c r="P113" s="700"/>
      <c r="Q113" s="663" t="s">
        <v>43</v>
      </c>
      <c r="R113" s="377">
        <v>1</v>
      </c>
      <c r="S113" s="377">
        <v>4</v>
      </c>
      <c r="T113" s="377">
        <v>0</v>
      </c>
      <c r="U113" s="377"/>
      <c r="V113" s="377"/>
      <c r="W113" s="377">
        <v>1</v>
      </c>
      <c r="X113" s="377">
        <v>1</v>
      </c>
      <c r="Y113" s="377">
        <v>1</v>
      </c>
      <c r="Z113" s="377"/>
      <c r="AA113" s="377"/>
      <c r="AB113" s="377"/>
      <c r="AC113" s="377"/>
      <c r="AD113" s="377"/>
      <c r="AE113" s="377"/>
      <c r="AF113" s="377"/>
      <c r="AG113" s="377">
        <v>1</v>
      </c>
      <c r="AH113" s="377">
        <v>1</v>
      </c>
      <c r="AI113" s="377"/>
      <c r="AJ113" s="377"/>
      <c r="AK113" s="377"/>
      <c r="AL113" s="377"/>
      <c r="AM113" s="377"/>
      <c r="AN113" s="377"/>
      <c r="AO113" s="215"/>
      <c r="AP113" s="377">
        <v>3</v>
      </c>
      <c r="AQ113" s="377">
        <v>3</v>
      </c>
      <c r="AR113" s="663" t="s">
        <v>384</v>
      </c>
      <c r="AS113" s="667">
        <v>1</v>
      </c>
      <c r="AT113" s="663">
        <v>1</v>
      </c>
      <c r="AU113" s="667">
        <v>2</v>
      </c>
      <c r="AV113" s="377"/>
      <c r="AW113" s="700"/>
      <c r="AX113" s="694" t="s">
        <v>43</v>
      </c>
      <c r="AY113" s="245" t="s">
        <v>1200</v>
      </c>
      <c r="AZ113" s="377"/>
      <c r="BA113" s="377"/>
      <c r="BB113" s="377"/>
      <c r="BC113" s="215"/>
      <c r="BD113" s="377">
        <v>1</v>
      </c>
      <c r="BE113" s="377">
        <v>0</v>
      </c>
      <c r="BF113" s="377">
        <v>0</v>
      </c>
      <c r="BG113" s="377">
        <v>2</v>
      </c>
      <c r="BH113" s="377">
        <v>0</v>
      </c>
      <c r="BI113" s="377">
        <v>1</v>
      </c>
      <c r="BJ113" s="377">
        <v>0</v>
      </c>
      <c r="BK113" s="377">
        <v>0</v>
      </c>
      <c r="BL113" s="377">
        <v>0</v>
      </c>
      <c r="BM113" s="215" t="s">
        <v>144</v>
      </c>
      <c r="BN113" s="80">
        <v>0</v>
      </c>
      <c r="BO113" s="82">
        <v>0</v>
      </c>
      <c r="BP113" s="215"/>
      <c r="BQ113" s="79" t="str">
        <f>IFERROR(WWWW[[#This Row],['#_Water sources treated]]/WWWW[[#This Row],['#_Water sources tested for contamination]],"no test")</f>
        <v>no test</v>
      </c>
      <c r="BR113" s="82" t="str">
        <f>IFERROR(WWWW[[#This Row],['#_Household received remediation action due to contamination]]/WWWW[[#This Row],['#_Household water samples tested for contamination]],"no test")</f>
        <v>no test</v>
      </c>
      <c r="BS113" s="81" t="str">
        <f>IF(AND(WWWW[[#This Row],[% of water sources treated]]="no test",WWWW[[#This Row],[% Household received corrective actions]]="no test"),"No Test","Tested")</f>
        <v>No Test</v>
      </c>
      <c r="BT113" s="81">
        <f>WWWW[[#This Row],['#_Constructed/existing protected hand dug well]]-WWWW[[#This Row],['#_Non-functional protected hand dug well]]</f>
        <v>0</v>
      </c>
      <c r="BU113" s="81">
        <f>(WWWW[[#This Row],['#_Constructed/Existing tube wells/boreholes/handpumps_WASH_agency]]+WWWW[[#This Row],['#_Non-Cluster partner water tube-wells/boreholes/handpumps]])-WWWW[[#This Row],['#_Non-functional tube wells/boreholes/handpumps]]</f>
        <v>1</v>
      </c>
      <c r="BV113" s="81">
        <f>WWWW[[#This Row],['#_Constructed/Existingwater storage tank with gravity fed reticulation system]]-WWWW[[#This Row],['#_Non-functional storage tank gravity fed reticulation system]]</f>
        <v>0</v>
      </c>
      <c r="BW113" s="81">
        <f>WWWW[[#This Row],['#_Water boating or water trucking]]</f>
        <v>0</v>
      </c>
      <c r="BX113" s="81">
        <f>WWWW[[#This Row],['#_Constructed/Existing water distribution system from river or natural spring]]</f>
        <v>0</v>
      </c>
      <c r="BY113"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13"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13" s="82">
        <f>IF(WWWW[[#This Row],[Location Type 1]]="Village",WWWW[[#This Row],[Access to safe drinking water for Village]],WWWW[[#This Row],[Access to safe drinking water for Camp]])</f>
        <v>1</v>
      </c>
      <c r="CB113" s="80">
        <f>WWWW[[#This Row],[%Equitable and continuous access to sufficient quantity of safe drinking water]]*WWWW[[#This Row],[Total PoP ]]</f>
        <v>123</v>
      </c>
      <c r="CC113" s="82">
        <f>IF((WWWW[[#This Row],['#_Constructed/Existing protected/fenced ponds]]*250)/WWWW[[#This Row],[Total PoP ]]&gt;1,1,(WWWW[[#This Row],['#_Constructed/Existing protected/fenced ponds]]*250)/WWWW[[#This Row],[Total PoP ]])</f>
        <v>0</v>
      </c>
      <c r="CD113" s="80">
        <f>WWWW[[#This Row],[% Access to unimproved water points]]*WWWW[[#This Row],[Total PoP ]]</f>
        <v>0</v>
      </c>
      <c r="CE113"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13"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123</v>
      </c>
      <c r="CG113" s="80">
        <f>WWWW[[#This Row],[HRP1]]/500</f>
        <v>0.246</v>
      </c>
      <c r="CH113" s="79">
        <f>1-WWWW[[#This Row],[% Equitable and continuous access to sufficient quantity of domestic water]]</f>
        <v>0</v>
      </c>
      <c r="CI113" s="80">
        <f>WWWW[[#This Row],[%equitable and continuous access to sufficient quantity of safe drinking and domestic water''s GAP]]*WWWW[[#This Row],[Total PoP ]]</f>
        <v>0</v>
      </c>
      <c r="CJ113" s="81">
        <f>IF(WWWW[[#This Row],[Total required water points]]-WWWW[[#This Row],['#Water points coverage]]&lt;0,0,WWWW[[#This Row],[Total required water points]]-WWWW[[#This Row],['#Water points coverage]])</f>
        <v>0.754</v>
      </c>
      <c r="CK113" s="81">
        <f>ROUND(IF(WWWW[[#This Row],[Total PoP ]]&lt;500,1,WWWW[[#This Row],[Total PoP ]]/500),0)</f>
        <v>1</v>
      </c>
      <c r="CL113" s="81">
        <f>(WWWW[[#This Row],['#_Constructed latrines_by_WASHAgencies]]+WWWW[[#This Row],['#_Non Cluster partner latrines]])-WWWW[[#This Row],['#_Non-functional latrines]]</f>
        <v>5</v>
      </c>
      <c r="CM113"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0.81300813008130079</v>
      </c>
      <c r="CN113"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100</v>
      </c>
      <c r="CO113"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40</v>
      </c>
      <c r="CP113" s="81">
        <f>IF(WWWW[[#This Row],[Location Type 1]]="Village","NA",IF(WWWW[[#This Row],['#_Constructed/Existing latrines in TLS]]*50&gt;WWWW[[#This Row],['#_students at TLS_CFS]],WWWW[[#This Row],['#_students at TLS_CFS]],(WWWW[[#This Row],['#_Constructed/Existing latrines in TLS]]*50)))</f>
        <v>0</v>
      </c>
      <c r="CQ113" s="81">
        <f>ROUND(IF(WWWW[[#This Row],[Location Type 1]]="camp",WWWW[[#This Row],[Total PoP ]]/20,IF(WWWW[[#This Row],[Location Type 1]]="Temporary Location",WWWW[[#This Row],[Total PoP ]]/50,(WWWW[[#This Row],[Total PoP ]]/6))),0)</f>
        <v>6</v>
      </c>
      <c r="CR113" s="80">
        <f>IF(WWWW[[#This Row],[Total required Latrines]]-(WWWW[[#This Row],['#_Constructed latrines_by_WASHAgencies]]+WWWW[[#This Row],['#_Non Cluster partner latrines]])&lt;0,0,WWWW[[#This Row],[Total required Latrines]]-(WWWW[[#This Row],['#_Constructed latrines_by_WASHAgencies]]+WWWW[[#This Row],['#_Non Cluster partner latrines]]))</f>
        <v>0</v>
      </c>
      <c r="CS113" s="79">
        <f>1-WWWW[[#This Row],[% people access to functioning Latrine]]</f>
        <v>0.18699186991869921</v>
      </c>
      <c r="CT113" s="83">
        <f>IF(OR(WWWW[[#This Row],['#_Non-functional latrines]]="",WWWW[[#This Row],['#_Non-functional latrines]]=0),0,WWWW[[#This Row],['#_Non-functional latrines]]/(WWWW[[#This Row],['#_Constructed latrines_by_WASHAgencies]]+WWWW[[#This Row],['#_Non Cluster partner latrines]]))</f>
        <v>0.16666666666666666</v>
      </c>
      <c r="CU113" s="80">
        <f>IF(500*(WWWW[[#This Row],['#_male hygiene promoters]]+WWWW[[#This Row],['#_female hygiene promoters]])&gt;WWWW[[#This Row],[Total PoP ]],WWWW[[#This Row],[Total PoP ]],500*(WWWW[[#This Row],['#_male hygiene promoters]]+WWWW[[#This Row],['#_female hygiene promoters]]))</f>
        <v>123</v>
      </c>
      <c r="CV113"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13"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13" s="81">
        <f>IF(WWWW[[#This Row],['# People with access to soap]]&gt;WWWW[[#This Row],['# People with access to Sanity Pads]],WWWW[[#This Row],['# People with access to soap]],WWWW[[#This Row],['# People with access to Sanity Pads]])</f>
        <v>0</v>
      </c>
      <c r="CY113" s="81">
        <f>IF(WWWW[[#This Row],['# people reached by regular dedicated hygiene promotion_5]]&gt;WWWW[[#This Row],['# People received regular supply of hygiene items_6]],WWWW[[#This Row],['# people reached by regular dedicated hygiene promotion_5]],WWWW[[#This Row],['# People received regular supply of hygiene items_6]])</f>
        <v>123</v>
      </c>
      <c r="CZ113" s="79">
        <f>IF(WWWW[[#This Row],[HRP3]]/WWWW[[#This Row],[Total PoP ]]&gt;100%,100%,WWWW[[#This Row],[HRP3]]/WWWW[[#This Row],[Total PoP ]])</f>
        <v>1</v>
      </c>
      <c r="DA113" s="83">
        <f>1-WWWW[[#This Row],[Hygiene Coverage%]]</f>
        <v>0</v>
      </c>
      <c r="DB113" s="82">
        <f>WWWW[[#This Row],['# people reached by regular dedicated hygiene promotion_5]]/WWWW[[#This Row],[Total PoP ]]</f>
        <v>1</v>
      </c>
      <c r="DC113" s="82">
        <f>IF(WWWW[[#This Row],['#_households that received standard amount of soap for this quarter]]/WWWW[[#This Row],[Total HH]]&gt;1,1,WWWW[[#This Row],['#_households that received standard amount of soap for this quarter]]/WWWW[[#This Row],[Total HH]])</f>
        <v>0</v>
      </c>
      <c r="DD113" s="82">
        <f>IF(WWWW[[#This Row],['#_households that received standard amount of sanitary pads for this quarter]]/WWWW[[#This Row],[Total HH]]&gt;1,1,WWWW[[#This Row],['#_households that received standard amount of sanitary pads for this quarter]]/WWWW[[#This Row],[Total HH]])</f>
        <v>0</v>
      </c>
      <c r="DE113" s="81">
        <f>WWWW[[#This Row],['#_Constructed/Existing hand washing stations]]-WWWW[[#This Row],['#_Non-Functional_hand_washing_stations]]</f>
        <v>1</v>
      </c>
      <c r="DF113" s="667">
        <f>IF(WWWW[[#This Row],['# Functional hand washing stations during reporting period]]*20&gt;WWWW[[#This Row],[Total HH]],WWWW[[#This Row],[Total HH]],WWWW[[#This Row],['# Functional hand washing stations during reporting period]]*20)</f>
        <v>20</v>
      </c>
      <c r="DG113" s="80">
        <f>IF(WWWW[[#This Row],[Is sufficient soap available for TLS? (Yes/No)]]="yes",WWWW[[#This Row],['#_Constructed/Existing hand washing stations at TLS]],0)</f>
        <v>0</v>
      </c>
      <c r="DH113" s="667">
        <f>IF(WWWW[[#This Row],['# Functional hand washing stations during reporting period]]*100&gt;WWWW[[#This Row],[Total PoP ]],WWWW[[#This Row],[Total PoP ]],WWWW[[#This Row],['# Functional hand washing stations during reporting period]]*100)</f>
        <v>100</v>
      </c>
      <c r="DI113" s="667" t="str">
        <f>IF(WWWW[[#This Row],['#_students at TLS_CFS]]="","No","Yes")</f>
        <v>No</v>
      </c>
      <c r="DJ113" s="245" t="str">
        <f>VLOOKUP(WWWW[[#This Row],[Site Name]],SiteDB6[[Site Name]:[CCCM Management]],6,FALSE)</f>
        <v>Yes</v>
      </c>
      <c r="DK113" s="245" t="str">
        <f>VLOOKUP(WWWW[[#This Row],[Site Name]],SiteDB6[[Site Name]:[CCCM Focal Agency]],7,FALSE)</f>
        <v>Shalom</v>
      </c>
      <c r="DL113" s="245" t="str">
        <f>VLOOKUP(WWWW[[#This Row],[Site Name]],SiteDB6[[Site Name]:[Location Type 1]],9,FALSE)</f>
        <v>Camp</v>
      </c>
      <c r="DM113" s="245" t="str">
        <f>VLOOKUP(WWWW[[#This Row],[Site Name]],SiteDB6[[Site Name]:[Type of Accommodation]],10,FALSE)</f>
        <v>Camp</v>
      </c>
      <c r="DN113" s="245" t="str">
        <f>VLOOKUP(WWWW[[#This Row],[Site Name]],SiteDB6[[Site Name]:[Ethnic or GCA/NGCA]],11,FALSE)</f>
        <v>GCA</v>
      </c>
      <c r="DO113" s="245">
        <f>VLOOKUP(WWWW[[#This Row],[Site Name]],SiteDB6[[Site Name]:[Lat]],12,FALSE)</f>
        <v>25.371049444444399</v>
      </c>
      <c r="DP113" s="245">
        <f>VLOOKUP(WWWW[[#This Row],[Site Name]],SiteDB6[[Site Name]:[Long]],13,FALSE)</f>
        <v>97.290952037037002</v>
      </c>
      <c r="DQ113" s="245" t="str">
        <f>VLOOKUP(WWWW[[#This Row],[Site Name]],SiteDB6[[Site Name]:[Pcode]],3,FALSE)</f>
        <v>MMR001CMP021</v>
      </c>
      <c r="DR113" s="215" t="str">
        <f t="shared" si="4"/>
        <v>Covered</v>
      </c>
      <c r="DS113" s="215"/>
      <c r="DT113" s="20"/>
      <c r="DU113" s="20"/>
      <c r="DV113" s="20"/>
      <c r="DW113" s="20"/>
      <c r="DX113" s="20"/>
      <c r="DY113" s="20"/>
      <c r="DZ113" s="20"/>
      <c r="EA113" s="20"/>
      <c r="EB113" s="20"/>
      <c r="EC113" s="20"/>
      <c r="ED113" s="20"/>
      <c r="EE113" s="20"/>
      <c r="EF113" s="20"/>
      <c r="EG113" s="20"/>
      <c r="EH113" s="20"/>
    </row>
    <row r="114" spans="1:138" ht="15.75" customHeight="1">
      <c r="A114" s="259" t="s">
        <v>2525</v>
      </c>
      <c r="B114" s="663" t="s">
        <v>38</v>
      </c>
      <c r="C114" s="663" t="s">
        <v>38</v>
      </c>
      <c r="D114" s="663" t="s">
        <v>3119</v>
      </c>
      <c r="E114" s="663" t="s">
        <v>39</v>
      </c>
      <c r="F114" s="663" t="s">
        <v>154</v>
      </c>
      <c r="G114" s="663" t="str">
        <f>VLOOKUP(WWWW[[#This Row],[Site Name]],SiteDB6[[Site Name]:[Location Type]],8,FALSE)</f>
        <v>Camp</v>
      </c>
      <c r="H114" s="663" t="s">
        <v>233</v>
      </c>
      <c r="I114" s="700">
        <v>57</v>
      </c>
      <c r="J114" s="700">
        <v>264</v>
      </c>
      <c r="K114" s="642" t="s">
        <v>2986</v>
      </c>
      <c r="L114" s="78" t="s">
        <v>2980</v>
      </c>
      <c r="M114" s="700">
        <v>148</v>
      </c>
      <c r="N114" s="700"/>
      <c r="O114" s="700"/>
      <c r="P114" s="700"/>
      <c r="Q114" s="663" t="s">
        <v>43</v>
      </c>
      <c r="R114" s="700"/>
      <c r="S114" s="700"/>
      <c r="T114" s="700"/>
      <c r="U114" s="700"/>
      <c r="V114" s="700"/>
      <c r="W114" s="700"/>
      <c r="X114" s="700"/>
      <c r="Y114" s="700"/>
      <c r="Z114" s="700"/>
      <c r="AA114" s="700">
        <v>1</v>
      </c>
      <c r="AB114" s="700"/>
      <c r="AC114" s="700"/>
      <c r="AD114" s="700"/>
      <c r="AE114" s="700"/>
      <c r="AF114" s="700"/>
      <c r="AG114" s="700"/>
      <c r="AH114" s="700"/>
      <c r="AI114" s="700"/>
      <c r="AJ114" s="700"/>
      <c r="AK114" s="700"/>
      <c r="AL114" s="700"/>
      <c r="AM114" s="700"/>
      <c r="AN114" s="700"/>
      <c r="AO114" s="667"/>
      <c r="AP114" s="719">
        <v>28</v>
      </c>
      <c r="AQ114" s="663"/>
      <c r="AR114" s="663"/>
      <c r="AS114" s="667"/>
      <c r="AT114" s="663"/>
      <c r="AU114" s="667"/>
      <c r="AV114" s="667"/>
      <c r="AW114" s="81"/>
      <c r="AX114" s="81" t="s">
        <v>43</v>
      </c>
      <c r="AY114" s="81" t="s">
        <v>145</v>
      </c>
      <c r="AZ114" s="81">
        <v>2</v>
      </c>
      <c r="BA114" s="81"/>
      <c r="BB114" s="667"/>
      <c r="BC114" s="667"/>
      <c r="BD114" s="667"/>
      <c r="BE114" s="667"/>
      <c r="BF114" s="667"/>
      <c r="BG114" s="720">
        <v>2</v>
      </c>
      <c r="BH114" s="667"/>
      <c r="BI114" s="700">
        <v>1</v>
      </c>
      <c r="BJ114" s="700"/>
      <c r="BK114" s="721">
        <v>30</v>
      </c>
      <c r="BL114" s="667"/>
      <c r="BM114" s="667" t="s">
        <v>144</v>
      </c>
      <c r="BN114" s="667"/>
      <c r="BO114" s="82"/>
      <c r="BP114" s="667"/>
      <c r="BQ114" s="79" t="str">
        <f>IFERROR(WWWW[[#This Row],['#_Water sources treated]]/WWWW[[#This Row],['#_Water sources tested for contamination]],"no test")</f>
        <v>no test</v>
      </c>
      <c r="BR114" s="82" t="str">
        <f>IFERROR(WWWW[[#This Row],['#_Household received remediation action due to contamination]]/WWWW[[#This Row],['#_Household water samples tested for contamination]],"no test")</f>
        <v>no test</v>
      </c>
      <c r="BS114" s="81" t="str">
        <f>IF(AND(WWWW[[#This Row],[% of water sources treated]]="no test",WWWW[[#This Row],[% Household received corrective actions]]="no test"),"No Test","Tested")</f>
        <v>No Test</v>
      </c>
      <c r="BT114" s="81">
        <f>WWWW[[#This Row],['#_Constructed/existing protected hand dug well]]-WWWW[[#This Row],['#_Non-functional protected hand dug well]]</f>
        <v>0</v>
      </c>
      <c r="BU114" s="81">
        <f>(WWWW[[#This Row],['#_Constructed/Existing tube wells/boreholes/handpumps_WASH_agency]]+WWWW[[#This Row],['#_Non-Cluster partner water tube-wells/boreholes/handpumps]])-WWWW[[#This Row],['#_Non-functional tube wells/boreholes/handpumps]]</f>
        <v>0</v>
      </c>
      <c r="BV114" s="81">
        <f>WWWW[[#This Row],['#_Constructed/Existingwater storage tank with gravity fed reticulation system]]-WWWW[[#This Row],['#_Non-functional storage tank gravity fed reticulation system]]</f>
        <v>1</v>
      </c>
      <c r="BW114" s="81">
        <f>WWWW[[#This Row],['#_Water boating or water trucking]]</f>
        <v>0</v>
      </c>
      <c r="BX114" s="81">
        <f>WWWW[[#This Row],['#_Constructed/Existing water distribution system from river or natural spring]]</f>
        <v>0</v>
      </c>
      <c r="BY114"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0.25252525252525254</v>
      </c>
      <c r="BZ114"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0.25252525252525254</v>
      </c>
      <c r="CA114" s="82">
        <f>IF(WWWW[[#This Row],[Location Type 1]]="Village",WWWW[[#This Row],[Access to safe drinking water for Village]],WWWW[[#This Row],[Access to safe drinking water for Camp]])</f>
        <v>0.25252525252525254</v>
      </c>
      <c r="CB114" s="80">
        <f>WWWW[[#This Row],[%Equitable and continuous access to sufficient quantity of safe drinking water]]*WWWW[[#This Row],[Total PoP ]]</f>
        <v>66.666666666666671</v>
      </c>
      <c r="CC114" s="82">
        <f>IF((WWWW[[#This Row],['#_Constructed/Existing protected/fenced ponds]]*250)/WWWW[[#This Row],[Total PoP ]]&gt;1,1,(WWWW[[#This Row],['#_Constructed/Existing protected/fenced ponds]]*250)/WWWW[[#This Row],[Total PoP ]])</f>
        <v>0</v>
      </c>
      <c r="CD114" s="80">
        <f>WWWW[[#This Row],[% Access to unimproved water points]]*WWWW[[#This Row],[Total PoP ]]</f>
        <v>0</v>
      </c>
      <c r="CE114"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0.25252525252525254</v>
      </c>
      <c r="CF114"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G114" s="80">
        <f>WWWW[[#This Row],[HRP1]]/500</f>
        <v>0.13333333333333333</v>
      </c>
      <c r="CH114" s="79">
        <f>1-WWWW[[#This Row],[% Equitable and continuous access to sufficient quantity of domestic water]]</f>
        <v>0.7474747474747474</v>
      </c>
      <c r="CI114" s="80">
        <f>WWWW[[#This Row],[%equitable and continuous access to sufficient quantity of safe drinking and domestic water''s GAP]]*WWWW[[#This Row],[Total PoP ]]</f>
        <v>197.33333333333331</v>
      </c>
      <c r="CJ114" s="81">
        <f>IF(WWWW[[#This Row],[Total required water points]]-WWWW[[#This Row],['#Water points coverage]]&lt;0,0,WWWW[[#This Row],[Total required water points]]-WWWW[[#This Row],['#Water points coverage]])</f>
        <v>0.8666666666666667</v>
      </c>
      <c r="CK114" s="81">
        <f>ROUND(IF(WWWW[[#This Row],[Total PoP ]]&lt;500,1,WWWW[[#This Row],[Total PoP ]]/500),0)</f>
        <v>1</v>
      </c>
      <c r="CL114" s="81">
        <f>(WWWW[[#This Row],['#_Constructed latrines_by_WASHAgencies]]+WWWW[[#This Row],['#_Non Cluster partner latrines]])-WWWW[[#This Row],['#_Non-functional latrines]]</f>
        <v>28</v>
      </c>
      <c r="CM114"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14"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264</v>
      </c>
      <c r="CO114"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14" s="81">
        <f>IF(WWWW[[#This Row],[Location Type 1]]="Village","NA",IF(WWWW[[#This Row],['#_Constructed/Existing latrines in TLS]]*50&gt;WWWW[[#This Row],['#_students at TLS_CFS]],WWWW[[#This Row],['#_students at TLS_CFS]],(WWWW[[#This Row],['#_Constructed/Existing latrines in TLS]]*50)))</f>
        <v>0</v>
      </c>
      <c r="CQ114" s="81">
        <f>ROUND(IF(WWWW[[#This Row],[Location Type 1]]="camp",WWWW[[#This Row],[Total PoP ]]/20,IF(WWWW[[#This Row],[Location Type 1]]="Temporary Location",WWWW[[#This Row],[Total PoP ]]/50,(WWWW[[#This Row],[Total PoP ]]/6))),0)</f>
        <v>13</v>
      </c>
      <c r="CR114" s="80">
        <f>IF(WWWW[[#This Row],[Total required Latrines]]-(WWWW[[#This Row],['#_Constructed latrines_by_WASHAgencies]]+WWWW[[#This Row],['#_Non Cluster partner latrines]])&lt;0,0,WWWW[[#This Row],[Total required Latrines]]-(WWWW[[#This Row],['#_Constructed latrines_by_WASHAgencies]]+WWWW[[#This Row],['#_Non Cluster partner latrines]]))</f>
        <v>0</v>
      </c>
      <c r="CS114" s="79">
        <f>1-WWWW[[#This Row],[% people access to functioning Latrine]]</f>
        <v>0</v>
      </c>
      <c r="CT114" s="83">
        <f>IF(OR(WWWW[[#This Row],['#_Non-functional latrines]]="",WWWW[[#This Row],['#_Non-functional latrines]]=0),0,WWWW[[#This Row],['#_Non-functional latrines]]/(WWWW[[#This Row],['#_Constructed latrines_by_WASHAgencies]]+WWWW[[#This Row],['#_Non Cluster partner latrines]]))</f>
        <v>0</v>
      </c>
      <c r="CU114" s="80">
        <f>IF(500*(WWWW[[#This Row],['#_male hygiene promoters]]+WWWW[[#This Row],['#_female hygiene promoters]])&gt;WWWW[[#This Row],[Total PoP ]],WWWW[[#This Row],[Total PoP ]],500*(WWWW[[#This Row],['#_male hygiene promoters]]+WWWW[[#This Row],['#_female hygiene promoters]]))</f>
        <v>264</v>
      </c>
      <c r="CV114"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150</v>
      </c>
      <c r="CW114"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14" s="81">
        <f>IF(WWWW[[#This Row],['# People with access to soap]]&gt;WWWW[[#This Row],['# People with access to Sanity Pads]],WWWW[[#This Row],['# People with access to soap]],WWWW[[#This Row],['# People with access to Sanity Pads]])</f>
        <v>150</v>
      </c>
      <c r="CY114" s="81">
        <f>IF(WWWW[[#This Row],['# people reached by regular dedicated hygiene promotion_5]]&gt;WWWW[[#This Row],['# People received regular supply of hygiene items_6]],WWWW[[#This Row],['# people reached by regular dedicated hygiene promotion_5]],WWWW[[#This Row],['# People received regular supply of hygiene items_6]])</f>
        <v>264</v>
      </c>
      <c r="CZ114" s="79">
        <f>IF(WWWW[[#This Row],[HRP3]]/WWWW[[#This Row],[Total PoP ]]&gt;100%,100%,WWWW[[#This Row],[HRP3]]/WWWW[[#This Row],[Total PoP ]])</f>
        <v>1</v>
      </c>
      <c r="DA114" s="83">
        <f>1-WWWW[[#This Row],[Hygiene Coverage%]]</f>
        <v>0</v>
      </c>
      <c r="DB114" s="82">
        <f>WWWW[[#This Row],['# people reached by regular dedicated hygiene promotion_5]]/WWWW[[#This Row],[Total PoP ]]</f>
        <v>1</v>
      </c>
      <c r="DC114" s="82">
        <f>IF(WWWW[[#This Row],['#_households that received standard amount of soap for this quarter]]/WWWW[[#This Row],[Total HH]]&gt;1,1,WWWW[[#This Row],['#_households that received standard amount of soap for this quarter]]/WWWW[[#This Row],[Total HH]])</f>
        <v>0.52631578947368418</v>
      </c>
      <c r="DD114" s="82">
        <f>IF(WWWW[[#This Row],['#_households that received standard amount of sanitary pads for this quarter]]/WWWW[[#This Row],[Total HH]]&gt;1,1,WWWW[[#This Row],['#_households that received standard amount of sanitary pads for this quarter]]/WWWW[[#This Row],[Total HH]])</f>
        <v>0</v>
      </c>
      <c r="DE114" s="81">
        <f>WWWW[[#This Row],['#_Constructed/Existing hand washing stations]]-WWWW[[#This Row],['#_Non-Functional_hand_washing_stations]]</f>
        <v>0</v>
      </c>
      <c r="DF114" s="667">
        <f>IF(WWWW[[#This Row],['# Functional hand washing stations during reporting period]]*20&gt;WWWW[[#This Row],[Total HH]],WWWW[[#This Row],[Total HH]],WWWW[[#This Row],['# Functional hand washing stations during reporting period]]*20)</f>
        <v>0</v>
      </c>
      <c r="DG114" s="80">
        <f>IF(WWWW[[#This Row],[Is sufficient soap available for TLS? (Yes/No)]]="yes",WWWW[[#This Row],['#_Constructed/Existing hand washing stations at TLS]],0)</f>
        <v>0</v>
      </c>
      <c r="DH114" s="667">
        <f>IF(WWWW[[#This Row],['# Functional hand washing stations during reporting period]]*100&gt;WWWW[[#This Row],[Total PoP ]],WWWW[[#This Row],[Total PoP ]],WWWW[[#This Row],['# Functional hand washing stations during reporting period]]*100)</f>
        <v>0</v>
      </c>
      <c r="DI114" s="667" t="str">
        <f>IF(WWWW[[#This Row],['#_students at TLS_CFS]]="","No","Yes")</f>
        <v>Yes</v>
      </c>
      <c r="DJ114" s="245" t="str">
        <f>VLOOKUP(WWWW[[#This Row],[Site Name]],SiteDB6[[Site Name]:[CCCM Management]],6,FALSE)</f>
        <v>Yes</v>
      </c>
      <c r="DK114" s="245" t="str">
        <f>VLOOKUP(WWWW[[#This Row],[Site Name]],SiteDB6[[Site Name]:[CCCM Focal Agency]],7,FALSE)</f>
        <v>KMSS-MYT</v>
      </c>
      <c r="DL114" s="245" t="str">
        <f>VLOOKUP(WWWW[[#This Row],[Site Name]],SiteDB6[[Site Name]:[Location Type 1]],9,FALSE)</f>
        <v>Camp</v>
      </c>
      <c r="DM114" s="245" t="str">
        <f>VLOOKUP(WWWW[[#This Row],[Site Name]],SiteDB6[[Site Name]:[Type of Accommodation]],10,FALSE)</f>
        <v>Camp</v>
      </c>
      <c r="DN114" s="245" t="str">
        <f>VLOOKUP(WWWW[[#This Row],[Site Name]],SiteDB6[[Site Name]:[Ethnic or GCA/NGCA]],11,FALSE)</f>
        <v>GCA</v>
      </c>
      <c r="DO114" s="245">
        <f>VLOOKUP(WWWW[[#This Row],[Site Name]],SiteDB6[[Site Name]:[Lat]],12,FALSE)</f>
        <v>25.60867</v>
      </c>
      <c r="DP114" s="245">
        <f>VLOOKUP(WWWW[[#This Row],[Site Name]],SiteDB6[[Site Name]:[Long]],13,FALSE)</f>
        <v>98.377780000000001</v>
      </c>
      <c r="DQ114" s="245" t="str">
        <f>VLOOKUP(WWWW[[#This Row],[Site Name]],SiteDB6[[Site Name]:[Pcode]],3,FALSE)</f>
        <v>MMR001CMP210</v>
      </c>
      <c r="DR114" s="215" t="str">
        <f t="shared" si="4"/>
        <v>Covered</v>
      </c>
      <c r="DS114" s="215"/>
      <c r="DT114" s="20"/>
      <c r="DU114" s="20"/>
      <c r="DV114" s="20"/>
      <c r="DW114" s="20"/>
      <c r="DX114" s="20"/>
      <c r="DY114" s="20"/>
      <c r="DZ114" s="20"/>
      <c r="EA114" s="20"/>
      <c r="EB114" s="20"/>
      <c r="EC114" s="20"/>
      <c r="ED114" s="20"/>
      <c r="EE114" s="20"/>
      <c r="EF114" s="20"/>
      <c r="EG114" s="20"/>
      <c r="EH114" s="20"/>
    </row>
    <row r="115" spans="1:138" ht="15.75" customHeight="1">
      <c r="A115" s="259" t="s">
        <v>2525</v>
      </c>
      <c r="B115" s="259" t="s">
        <v>149</v>
      </c>
      <c r="C115" s="663" t="s">
        <v>149</v>
      </c>
      <c r="D115" s="663" t="s">
        <v>158</v>
      </c>
      <c r="E115" s="663" t="s">
        <v>39</v>
      </c>
      <c r="F115" s="663" t="s">
        <v>160</v>
      </c>
      <c r="G115" s="663" t="str">
        <f>VLOOKUP(WWWW[[#This Row],[Site Name]],SiteDB6[[Site Name]:[Location Type]],8,FALSE)</f>
        <v>Camp</v>
      </c>
      <c r="H115" s="663" t="s">
        <v>2198</v>
      </c>
      <c r="I115" s="700">
        <v>105</v>
      </c>
      <c r="J115" s="700">
        <v>474</v>
      </c>
      <c r="K115" s="642">
        <v>43556</v>
      </c>
      <c r="L115" s="78">
        <v>43677</v>
      </c>
      <c r="M115" s="700"/>
      <c r="N115" s="700"/>
      <c r="O115" s="700"/>
      <c r="P115" s="700"/>
      <c r="Q115" s="77" t="s">
        <v>43</v>
      </c>
      <c r="R115" s="377"/>
      <c r="S115" s="377"/>
      <c r="T115" s="700">
        <v>1</v>
      </c>
      <c r="U115" s="377"/>
      <c r="V115" s="377"/>
      <c r="W115" s="700">
        <v>0</v>
      </c>
      <c r="X115" s="377"/>
      <c r="Y115" s="377"/>
      <c r="Z115" s="377"/>
      <c r="AA115" s="377"/>
      <c r="AB115" s="377"/>
      <c r="AC115" s="377"/>
      <c r="AD115" s="377"/>
      <c r="AE115" s="377"/>
      <c r="AF115" s="377"/>
      <c r="AG115" s="377"/>
      <c r="AH115" s="700">
        <v>2</v>
      </c>
      <c r="AI115" s="377"/>
      <c r="AJ115" s="377"/>
      <c r="AK115" s="377"/>
      <c r="AL115" s="377"/>
      <c r="AM115" s="377"/>
      <c r="AN115" s="377"/>
      <c r="AO115" s="215"/>
      <c r="AP115" s="700">
        <v>12</v>
      </c>
      <c r="AQ115" s="377"/>
      <c r="AR115" s="77"/>
      <c r="AS115" s="377"/>
      <c r="AT115" s="377"/>
      <c r="AU115" s="377"/>
      <c r="AV115" s="377"/>
      <c r="AW115" s="700">
        <v>12</v>
      </c>
      <c r="AX115" s="245" t="s">
        <v>43</v>
      </c>
      <c r="AY115" s="245" t="s">
        <v>145</v>
      </c>
      <c r="AZ115" s="377"/>
      <c r="BA115" s="377"/>
      <c r="BB115" s="377"/>
      <c r="BC115" s="215"/>
      <c r="BD115" s="377"/>
      <c r="BE115" s="377"/>
      <c r="BF115" s="377"/>
      <c r="BG115" s="377">
        <v>3</v>
      </c>
      <c r="BH115" s="377"/>
      <c r="BI115" s="377"/>
      <c r="BJ115" s="377">
        <v>2</v>
      </c>
      <c r="BK115" s="377"/>
      <c r="BL115" s="377"/>
      <c r="BM115" s="215"/>
      <c r="BN115" s="80"/>
      <c r="BO115" s="82"/>
      <c r="BP115" s="215"/>
      <c r="BQ115" s="79" t="str">
        <f>IFERROR(WWWW[[#This Row],['#_Water sources treated]]/WWWW[[#This Row],['#_Water sources tested for contamination]],"no test")</f>
        <v>no test</v>
      </c>
      <c r="BR115" s="82" t="str">
        <f>IFERROR(WWWW[[#This Row],['#_Household received remediation action due to contamination]]/WWWW[[#This Row],['#_Household water samples tested for contamination]],"no test")</f>
        <v>no test</v>
      </c>
      <c r="BS115" s="81" t="str">
        <f>IF(AND(WWWW[[#This Row],[% of water sources treated]]="no test",WWWW[[#This Row],[% Household received corrective actions]]="no test"),"No Test","Tested")</f>
        <v>No Test</v>
      </c>
      <c r="BT115" s="81">
        <f>WWWW[[#This Row],['#_Constructed/existing protected hand dug well]]-WWWW[[#This Row],['#_Non-functional protected hand dug well]]</f>
        <v>1</v>
      </c>
      <c r="BU115" s="81">
        <f>(WWWW[[#This Row],['#_Constructed/Existing tube wells/boreholes/handpumps_WASH_agency]]+WWWW[[#This Row],['#_Non-Cluster partner water tube-wells/boreholes/handpumps]])-WWWW[[#This Row],['#_Non-functional tube wells/boreholes/handpumps]]</f>
        <v>0</v>
      </c>
      <c r="BV115" s="81">
        <f>WWWW[[#This Row],['#_Constructed/Existingwater storage tank with gravity fed reticulation system]]-WWWW[[#This Row],['#_Non-functional storage tank gravity fed reticulation system]]</f>
        <v>0</v>
      </c>
      <c r="BW115" s="81">
        <f>WWWW[[#This Row],['#_Water boating or water trucking]]</f>
        <v>0</v>
      </c>
      <c r="BX115" s="81">
        <f>WWWW[[#This Row],['#_Constructed/Existing water distribution system from river or natural spring]]</f>
        <v>0</v>
      </c>
      <c r="BY115"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0.84388185654008441</v>
      </c>
      <c r="BZ115"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0.52742616033755274</v>
      </c>
      <c r="CA115" s="82">
        <f>IF(WWWW[[#This Row],[Location Type 1]]="Village",WWWW[[#This Row],[Access to safe drinking water for Village]],WWWW[[#This Row],[Access to safe drinking water for Camp]])</f>
        <v>0.84388185654008441</v>
      </c>
      <c r="CB115" s="80">
        <f>WWWW[[#This Row],[%Equitable and continuous access to sufficient quantity of safe drinking water]]*WWWW[[#This Row],[Total PoP ]]</f>
        <v>400</v>
      </c>
      <c r="CC115" s="82">
        <f>IF((WWWW[[#This Row],['#_Constructed/Existing protected/fenced ponds]]*250)/WWWW[[#This Row],[Total PoP ]]&gt;1,1,(WWWW[[#This Row],['#_Constructed/Existing protected/fenced ponds]]*250)/WWWW[[#This Row],[Total PoP ]])</f>
        <v>0</v>
      </c>
      <c r="CD115" s="80">
        <f>WWWW[[#This Row],[% Access to unimproved water points]]*WWWW[[#This Row],[Total PoP ]]</f>
        <v>0</v>
      </c>
      <c r="CE115"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0.84388185654008441</v>
      </c>
      <c r="CF115"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400</v>
      </c>
      <c r="CG115" s="80">
        <f>WWWW[[#This Row],[HRP1]]/500</f>
        <v>0.8</v>
      </c>
      <c r="CH115" s="79">
        <f>1-WWWW[[#This Row],[% Equitable and continuous access to sufficient quantity of domestic water]]</f>
        <v>0.15611814345991559</v>
      </c>
      <c r="CI115" s="80">
        <f>WWWW[[#This Row],[%equitable and continuous access to sufficient quantity of safe drinking and domestic water''s GAP]]*WWWW[[#This Row],[Total PoP ]]</f>
        <v>73.999999999999986</v>
      </c>
      <c r="CJ115" s="81">
        <f>IF(WWWW[[#This Row],[Total required water points]]-WWWW[[#This Row],['#Water points coverage]]&lt;0,0,WWWW[[#This Row],[Total required water points]]-WWWW[[#This Row],['#Water points coverage]])</f>
        <v>0.19999999999999996</v>
      </c>
      <c r="CK115" s="81">
        <f>ROUND(IF(WWWW[[#This Row],[Total PoP ]]&lt;500,1,WWWW[[#This Row],[Total PoP ]]/500),0)</f>
        <v>1</v>
      </c>
      <c r="CL115" s="81">
        <f>(WWWW[[#This Row],['#_Constructed latrines_by_WASHAgencies]]+WWWW[[#This Row],['#_Non Cluster partner latrines]])-WWWW[[#This Row],['#_Non-functional latrines]]</f>
        <v>12</v>
      </c>
      <c r="CM115"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0.50632911392405067</v>
      </c>
      <c r="CN115"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240</v>
      </c>
      <c r="CO115"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15" s="81">
        <f>IF(WWWW[[#This Row],[Location Type 1]]="Village","NA",IF(WWWW[[#This Row],['#_Constructed/Existing latrines in TLS]]*50&gt;WWWW[[#This Row],['#_students at TLS_CFS]],WWWW[[#This Row],['#_students at TLS_CFS]],(WWWW[[#This Row],['#_Constructed/Existing latrines in TLS]]*50)))</f>
        <v>0</v>
      </c>
      <c r="CQ115" s="81">
        <f>ROUND(IF(WWWW[[#This Row],[Location Type 1]]="camp",WWWW[[#This Row],[Total PoP ]]/20,IF(WWWW[[#This Row],[Location Type 1]]="Temporary Location",WWWW[[#This Row],[Total PoP ]]/50,(WWWW[[#This Row],[Total PoP ]]/6))),0)</f>
        <v>24</v>
      </c>
      <c r="CR115" s="80">
        <f>IF(WWWW[[#This Row],[Total required Latrines]]-(WWWW[[#This Row],['#_Constructed latrines_by_WASHAgencies]]+WWWW[[#This Row],['#_Non Cluster partner latrines]])&lt;0,0,WWWW[[#This Row],[Total required Latrines]]-(WWWW[[#This Row],['#_Constructed latrines_by_WASHAgencies]]+WWWW[[#This Row],['#_Non Cluster partner latrines]]))</f>
        <v>12</v>
      </c>
      <c r="CS115" s="79">
        <f>1-WWWW[[#This Row],[% people access to functioning Latrine]]</f>
        <v>0.49367088607594933</v>
      </c>
      <c r="CT115" s="83">
        <f>IF(OR(WWWW[[#This Row],['#_Non-functional latrines]]="",WWWW[[#This Row],['#_Non-functional latrines]]=0),0,WWWW[[#This Row],['#_Non-functional latrines]]/(WWWW[[#This Row],['#_Constructed latrines_by_WASHAgencies]]+WWWW[[#This Row],['#_Non Cluster partner latrines]]))</f>
        <v>0</v>
      </c>
      <c r="CU115" s="80">
        <f>IF(500*(WWWW[[#This Row],['#_male hygiene promoters]]+WWWW[[#This Row],['#_female hygiene promoters]])&gt;WWWW[[#This Row],[Total PoP ]],WWWW[[#This Row],[Total PoP ]],500*(WWWW[[#This Row],['#_male hygiene promoters]]+WWWW[[#This Row],['#_female hygiene promoters]]))</f>
        <v>474</v>
      </c>
      <c r="CV115"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15"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15" s="81">
        <f>IF(WWWW[[#This Row],['# People with access to soap]]&gt;WWWW[[#This Row],['# People with access to Sanity Pads]],WWWW[[#This Row],['# People with access to soap]],WWWW[[#This Row],['# People with access to Sanity Pads]])</f>
        <v>0</v>
      </c>
      <c r="CY115" s="81">
        <f>IF(WWWW[[#This Row],['# people reached by regular dedicated hygiene promotion_5]]&gt;WWWW[[#This Row],['# People received regular supply of hygiene items_6]],WWWW[[#This Row],['# people reached by regular dedicated hygiene promotion_5]],WWWW[[#This Row],['# People received regular supply of hygiene items_6]])</f>
        <v>474</v>
      </c>
      <c r="CZ115" s="79">
        <f>IF(WWWW[[#This Row],[HRP3]]/WWWW[[#This Row],[Total PoP ]]&gt;100%,100%,WWWW[[#This Row],[HRP3]]/WWWW[[#This Row],[Total PoP ]])</f>
        <v>1</v>
      </c>
      <c r="DA115" s="83">
        <f>1-WWWW[[#This Row],[Hygiene Coverage%]]</f>
        <v>0</v>
      </c>
      <c r="DB115" s="82">
        <f>WWWW[[#This Row],['# people reached by regular dedicated hygiene promotion_5]]/WWWW[[#This Row],[Total PoP ]]</f>
        <v>1</v>
      </c>
      <c r="DC115" s="82">
        <f>IF(WWWW[[#This Row],['#_households that received standard amount of soap for this quarter]]/WWWW[[#This Row],[Total HH]]&gt;1,1,WWWW[[#This Row],['#_households that received standard amount of soap for this quarter]]/WWWW[[#This Row],[Total HH]])</f>
        <v>0</v>
      </c>
      <c r="DD115" s="82">
        <f>IF(WWWW[[#This Row],['#_households that received standard amount of sanitary pads for this quarter]]/WWWW[[#This Row],[Total HH]]&gt;1,1,WWWW[[#This Row],['#_households that received standard amount of sanitary pads for this quarter]]/WWWW[[#This Row],[Total HH]])</f>
        <v>0</v>
      </c>
      <c r="DE115" s="81">
        <f>WWWW[[#This Row],['#_Constructed/Existing hand washing stations]]-WWWW[[#This Row],['#_Non-Functional_hand_washing_stations]]</f>
        <v>0</v>
      </c>
      <c r="DF115" s="667">
        <f>IF(WWWW[[#This Row],['# Functional hand washing stations during reporting period]]*20&gt;WWWW[[#This Row],[Total HH]],WWWW[[#This Row],[Total HH]],WWWW[[#This Row],['# Functional hand washing stations during reporting period]]*20)</f>
        <v>0</v>
      </c>
      <c r="DG115" s="80">
        <f>IF(WWWW[[#This Row],[Is sufficient soap available for TLS? (Yes/No)]]="yes",WWWW[[#This Row],['#_Constructed/Existing hand washing stations at TLS]],0)</f>
        <v>0</v>
      </c>
      <c r="DH115" s="667">
        <f>IF(WWWW[[#This Row],['# Functional hand washing stations during reporting period]]*100&gt;WWWW[[#This Row],[Total PoP ]],WWWW[[#This Row],[Total PoP ]],WWWW[[#This Row],['# Functional hand washing stations during reporting period]]*100)</f>
        <v>0</v>
      </c>
      <c r="DI115" s="667" t="str">
        <f>IF(WWWW[[#This Row],['#_students at TLS_CFS]]="","No","Yes")</f>
        <v>No</v>
      </c>
      <c r="DJ115" s="245">
        <f>VLOOKUP(WWWW[[#This Row],[Site Name]],SiteDB6[[Site Name]:[CCCM Management]],6,FALSE)</f>
        <v>0</v>
      </c>
      <c r="DK115" s="245" t="str">
        <f>VLOOKUP(WWWW[[#This Row],[Site Name]],SiteDB6[[Site Name]:[CCCM Focal Agency]],7,FALSE)</f>
        <v>KBC</v>
      </c>
      <c r="DL115" s="245" t="str">
        <f>VLOOKUP(WWWW[[#This Row],[Site Name]],SiteDB6[[Site Name]:[Location Type 1]],9,FALSE)</f>
        <v>Camp</v>
      </c>
      <c r="DM115" s="245" t="str">
        <f>VLOOKUP(WWWW[[#This Row],[Site Name]],SiteDB6[[Site Name]:[Type of Accommodation]],10,FALSE)</f>
        <v>Camp</v>
      </c>
      <c r="DN115" s="245" t="str">
        <f>VLOOKUP(WWWW[[#This Row],[Site Name]],SiteDB6[[Site Name]:[Ethnic or GCA/NGCA]],11,FALSE)</f>
        <v>GCA</v>
      </c>
      <c r="DO115" s="245">
        <f>VLOOKUP(WWWW[[#This Row],[Site Name]],SiteDB6[[Site Name]:[Lat]],12,FALSE)</f>
        <v>97.104997409999996</v>
      </c>
      <c r="DP115" s="245">
        <f>VLOOKUP(WWWW[[#This Row],[Site Name]],SiteDB6[[Site Name]:[Long]],13,FALSE)</f>
        <v>25.379014999999999</v>
      </c>
      <c r="DQ115" s="245" t="str">
        <f>VLOOKUP(WWWW[[#This Row],[Site Name]],SiteDB6[[Site Name]:[Pcode]],3,FALSE)</f>
        <v>MMR001CMP261</v>
      </c>
      <c r="DR115" s="215" t="str">
        <f t="shared" si="4"/>
        <v>Covered</v>
      </c>
      <c r="DS115" s="215"/>
      <c r="DT115" s="20"/>
      <c r="DU115" s="20"/>
      <c r="DV115" s="20"/>
      <c r="DW115" s="20"/>
      <c r="DX115" s="20"/>
      <c r="DY115" s="20"/>
      <c r="DZ115" s="20"/>
      <c r="EA115" s="20"/>
      <c r="EB115" s="20"/>
      <c r="EC115" s="20"/>
      <c r="ED115" s="20"/>
      <c r="EE115" s="20"/>
      <c r="EF115" s="20"/>
      <c r="EG115" s="20"/>
      <c r="EH115" s="20"/>
    </row>
    <row r="116" spans="1:138" ht="15.75" customHeight="1">
      <c r="A116" s="259" t="s">
        <v>2525</v>
      </c>
      <c r="B116" s="663" t="s">
        <v>38</v>
      </c>
      <c r="C116" s="663" t="s">
        <v>38</v>
      </c>
      <c r="D116" s="663" t="s">
        <v>3119</v>
      </c>
      <c r="E116" s="663" t="s">
        <v>39</v>
      </c>
      <c r="F116" s="663" t="s">
        <v>150</v>
      </c>
      <c r="G116" s="663" t="str">
        <f>VLOOKUP(WWWW[[#This Row],[Site Name]],SiteDB6[[Site Name]:[Location Type]],8,FALSE)</f>
        <v>Camp</v>
      </c>
      <c r="H116" s="663" t="s">
        <v>246</v>
      </c>
      <c r="I116" s="700">
        <v>100</v>
      </c>
      <c r="J116" s="700">
        <v>612</v>
      </c>
      <c r="K116" s="642" t="s">
        <v>2986</v>
      </c>
      <c r="L116" s="78" t="s">
        <v>2980</v>
      </c>
      <c r="M116" s="700">
        <v>133</v>
      </c>
      <c r="N116" s="700"/>
      <c r="O116" s="700"/>
      <c r="P116" s="700"/>
      <c r="Q116" s="663" t="s">
        <v>43</v>
      </c>
      <c r="R116" s="700"/>
      <c r="S116" s="700"/>
      <c r="T116" s="700"/>
      <c r="U116" s="700"/>
      <c r="V116" s="700"/>
      <c r="W116" s="700"/>
      <c r="X116" s="700"/>
      <c r="Y116" s="700"/>
      <c r="Z116" s="700"/>
      <c r="AA116" s="700">
        <v>1</v>
      </c>
      <c r="AB116" s="700"/>
      <c r="AC116" s="700"/>
      <c r="AD116" s="700"/>
      <c r="AE116" s="700"/>
      <c r="AF116" s="700"/>
      <c r="AG116" s="700"/>
      <c r="AH116" s="700"/>
      <c r="AI116" s="700"/>
      <c r="AJ116" s="700"/>
      <c r="AK116" s="700"/>
      <c r="AL116" s="700"/>
      <c r="AM116" s="700"/>
      <c r="AN116" s="700"/>
      <c r="AO116" s="667"/>
      <c r="AP116" s="719">
        <v>98</v>
      </c>
      <c r="AQ116" s="663"/>
      <c r="AR116" s="663"/>
      <c r="AS116" s="667"/>
      <c r="AT116" s="663"/>
      <c r="AU116" s="667"/>
      <c r="AV116" s="667"/>
      <c r="AW116" s="81"/>
      <c r="AX116" s="81" t="s">
        <v>43</v>
      </c>
      <c r="AY116" s="81" t="s">
        <v>145</v>
      </c>
      <c r="AZ116" s="81">
        <v>3</v>
      </c>
      <c r="BA116" s="81"/>
      <c r="BB116" s="667"/>
      <c r="BC116" s="667"/>
      <c r="BD116" s="667"/>
      <c r="BE116" s="667"/>
      <c r="BF116" s="667"/>
      <c r="BG116" s="720">
        <v>4</v>
      </c>
      <c r="BH116" s="667"/>
      <c r="BI116" s="700">
        <v>1</v>
      </c>
      <c r="BJ116" s="700">
        <v>1</v>
      </c>
      <c r="BK116" s="721">
        <v>50</v>
      </c>
      <c r="BL116" s="667"/>
      <c r="BM116" s="667" t="s">
        <v>144</v>
      </c>
      <c r="BN116" s="667"/>
      <c r="BO116" s="82"/>
      <c r="BP116" s="667"/>
      <c r="BQ116" s="79" t="str">
        <f>IFERROR(WWWW[[#This Row],['#_Water sources treated]]/WWWW[[#This Row],['#_Water sources tested for contamination]],"no test")</f>
        <v>no test</v>
      </c>
      <c r="BR116" s="82" t="str">
        <f>IFERROR(WWWW[[#This Row],['#_Household received remediation action due to contamination]]/WWWW[[#This Row],['#_Household water samples tested for contamination]],"no test")</f>
        <v>no test</v>
      </c>
      <c r="BS116" s="81" t="str">
        <f>IF(AND(WWWW[[#This Row],[% of water sources treated]]="no test",WWWW[[#This Row],[% Household received corrective actions]]="no test"),"No Test","Tested")</f>
        <v>No Test</v>
      </c>
      <c r="BT116" s="81">
        <f>WWWW[[#This Row],['#_Constructed/existing protected hand dug well]]-WWWW[[#This Row],['#_Non-functional protected hand dug well]]</f>
        <v>0</v>
      </c>
      <c r="BU116" s="81">
        <f>(WWWW[[#This Row],['#_Constructed/Existing tube wells/boreholes/handpumps_WASH_agency]]+WWWW[[#This Row],['#_Non-Cluster partner water tube-wells/boreholes/handpumps]])-WWWW[[#This Row],['#_Non-functional tube wells/boreholes/handpumps]]</f>
        <v>0</v>
      </c>
      <c r="BV116" s="81">
        <f>WWWW[[#This Row],['#_Constructed/Existingwater storage tank with gravity fed reticulation system]]-WWWW[[#This Row],['#_Non-functional storage tank gravity fed reticulation system]]</f>
        <v>1</v>
      </c>
      <c r="BW116" s="81">
        <f>WWWW[[#This Row],['#_Water boating or water trucking]]</f>
        <v>0</v>
      </c>
      <c r="BX116" s="81">
        <f>WWWW[[#This Row],['#_Constructed/Existing water distribution system from river or natural spring]]</f>
        <v>0</v>
      </c>
      <c r="BY116"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0.10893246187363835</v>
      </c>
      <c r="BZ116"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0.10893246187363835</v>
      </c>
      <c r="CA116" s="82">
        <f>IF(WWWW[[#This Row],[Location Type 1]]="Village",WWWW[[#This Row],[Access to safe drinking water for Village]],WWWW[[#This Row],[Access to safe drinking water for Camp]])</f>
        <v>0.10893246187363835</v>
      </c>
      <c r="CB116" s="80">
        <f>WWWW[[#This Row],[%Equitable and continuous access to sufficient quantity of safe drinking water]]*WWWW[[#This Row],[Total PoP ]]</f>
        <v>66.666666666666671</v>
      </c>
      <c r="CC116" s="82">
        <f>IF((WWWW[[#This Row],['#_Constructed/Existing protected/fenced ponds]]*250)/WWWW[[#This Row],[Total PoP ]]&gt;1,1,(WWWW[[#This Row],['#_Constructed/Existing protected/fenced ponds]]*250)/WWWW[[#This Row],[Total PoP ]])</f>
        <v>0</v>
      </c>
      <c r="CD116" s="80">
        <f>WWWW[[#This Row],[% Access to unimproved water points]]*WWWW[[#This Row],[Total PoP ]]</f>
        <v>0</v>
      </c>
      <c r="CE116"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0.10893246187363835</v>
      </c>
      <c r="CF116"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G116" s="80">
        <f>WWWW[[#This Row],[HRP1]]/500</f>
        <v>0.13333333333333333</v>
      </c>
      <c r="CH116" s="79">
        <f>1-WWWW[[#This Row],[% Equitable and continuous access to sufficient quantity of domestic water]]</f>
        <v>0.89106753812636164</v>
      </c>
      <c r="CI116" s="80">
        <f>WWWW[[#This Row],[%equitable and continuous access to sufficient quantity of safe drinking and domestic water''s GAP]]*WWWW[[#This Row],[Total PoP ]]</f>
        <v>545.33333333333337</v>
      </c>
      <c r="CJ116" s="81">
        <f>IF(WWWW[[#This Row],[Total required water points]]-WWWW[[#This Row],['#Water points coverage]]&lt;0,0,WWWW[[#This Row],[Total required water points]]-WWWW[[#This Row],['#Water points coverage]])</f>
        <v>0.8666666666666667</v>
      </c>
      <c r="CK116" s="81">
        <f>ROUND(IF(WWWW[[#This Row],[Total PoP ]]&lt;500,1,WWWW[[#This Row],[Total PoP ]]/500),0)</f>
        <v>1</v>
      </c>
      <c r="CL116" s="81">
        <f>(WWWW[[#This Row],['#_Constructed latrines_by_WASHAgencies]]+WWWW[[#This Row],['#_Non Cluster partner latrines]])-WWWW[[#This Row],['#_Non-functional latrines]]</f>
        <v>98</v>
      </c>
      <c r="CM116"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16"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612</v>
      </c>
      <c r="CO116"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16" s="81">
        <f>IF(WWWW[[#This Row],[Location Type 1]]="Village","NA",IF(WWWW[[#This Row],['#_Constructed/Existing latrines in TLS]]*50&gt;WWWW[[#This Row],['#_students at TLS_CFS]],WWWW[[#This Row],['#_students at TLS_CFS]],(WWWW[[#This Row],['#_Constructed/Existing latrines in TLS]]*50)))</f>
        <v>0</v>
      </c>
      <c r="CQ116" s="81">
        <f>ROUND(IF(WWWW[[#This Row],[Location Type 1]]="camp",WWWW[[#This Row],[Total PoP ]]/20,IF(WWWW[[#This Row],[Location Type 1]]="Temporary Location",WWWW[[#This Row],[Total PoP ]]/50,(WWWW[[#This Row],[Total PoP ]]/6))),0)</f>
        <v>31</v>
      </c>
      <c r="CR116" s="80">
        <f>IF(WWWW[[#This Row],[Total required Latrines]]-(WWWW[[#This Row],['#_Constructed latrines_by_WASHAgencies]]+WWWW[[#This Row],['#_Non Cluster partner latrines]])&lt;0,0,WWWW[[#This Row],[Total required Latrines]]-(WWWW[[#This Row],['#_Constructed latrines_by_WASHAgencies]]+WWWW[[#This Row],['#_Non Cluster partner latrines]]))</f>
        <v>0</v>
      </c>
      <c r="CS116" s="79">
        <f>1-WWWW[[#This Row],[% people access to functioning Latrine]]</f>
        <v>0</v>
      </c>
      <c r="CT116" s="83">
        <f>IF(OR(WWWW[[#This Row],['#_Non-functional latrines]]="",WWWW[[#This Row],['#_Non-functional latrines]]=0),0,WWWW[[#This Row],['#_Non-functional latrines]]/(WWWW[[#This Row],['#_Constructed latrines_by_WASHAgencies]]+WWWW[[#This Row],['#_Non Cluster partner latrines]]))</f>
        <v>0</v>
      </c>
      <c r="CU116" s="80">
        <f>IF(500*(WWWW[[#This Row],['#_male hygiene promoters]]+WWWW[[#This Row],['#_female hygiene promoters]])&gt;WWWW[[#This Row],[Total PoP ]],WWWW[[#This Row],[Total PoP ]],500*(WWWW[[#This Row],['#_male hygiene promoters]]+WWWW[[#This Row],['#_female hygiene promoters]]))</f>
        <v>612</v>
      </c>
      <c r="CV116"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250</v>
      </c>
      <c r="CW116"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16" s="81">
        <f>IF(WWWW[[#This Row],['# People with access to soap]]&gt;WWWW[[#This Row],['# People with access to Sanity Pads]],WWWW[[#This Row],['# People with access to soap]],WWWW[[#This Row],['# People with access to Sanity Pads]])</f>
        <v>250</v>
      </c>
      <c r="CY116" s="81">
        <f>IF(WWWW[[#This Row],['# people reached by regular dedicated hygiene promotion_5]]&gt;WWWW[[#This Row],['# People received regular supply of hygiene items_6]],WWWW[[#This Row],['# people reached by regular dedicated hygiene promotion_5]],WWWW[[#This Row],['# People received regular supply of hygiene items_6]])</f>
        <v>612</v>
      </c>
      <c r="CZ116" s="79">
        <f>IF(WWWW[[#This Row],[HRP3]]/WWWW[[#This Row],[Total PoP ]]&gt;100%,100%,WWWW[[#This Row],[HRP3]]/WWWW[[#This Row],[Total PoP ]])</f>
        <v>1</v>
      </c>
      <c r="DA116" s="83">
        <f>1-WWWW[[#This Row],[Hygiene Coverage%]]</f>
        <v>0</v>
      </c>
      <c r="DB116" s="82">
        <f>WWWW[[#This Row],['# people reached by regular dedicated hygiene promotion_5]]/WWWW[[#This Row],[Total PoP ]]</f>
        <v>1</v>
      </c>
      <c r="DC116" s="82">
        <f>IF(WWWW[[#This Row],['#_households that received standard amount of soap for this quarter]]/WWWW[[#This Row],[Total HH]]&gt;1,1,WWWW[[#This Row],['#_households that received standard amount of soap for this quarter]]/WWWW[[#This Row],[Total HH]])</f>
        <v>0.5</v>
      </c>
      <c r="DD116" s="82">
        <f>IF(WWWW[[#This Row],['#_households that received standard amount of sanitary pads for this quarter]]/WWWW[[#This Row],[Total HH]]&gt;1,1,WWWW[[#This Row],['#_households that received standard amount of sanitary pads for this quarter]]/WWWW[[#This Row],[Total HH]])</f>
        <v>0</v>
      </c>
      <c r="DE116" s="81">
        <f>WWWW[[#This Row],['#_Constructed/Existing hand washing stations]]-WWWW[[#This Row],['#_Non-Functional_hand_washing_stations]]</f>
        <v>0</v>
      </c>
      <c r="DF116" s="667">
        <f>IF(WWWW[[#This Row],['# Functional hand washing stations during reporting period]]*20&gt;WWWW[[#This Row],[Total HH]],WWWW[[#This Row],[Total HH]],WWWW[[#This Row],['# Functional hand washing stations during reporting period]]*20)</f>
        <v>0</v>
      </c>
      <c r="DG116" s="80">
        <f>IF(WWWW[[#This Row],[Is sufficient soap available for TLS? (Yes/No)]]="yes",WWWW[[#This Row],['#_Constructed/Existing hand washing stations at TLS]],0)</f>
        <v>0</v>
      </c>
      <c r="DH116" s="667">
        <f>IF(WWWW[[#This Row],['# Functional hand washing stations during reporting period]]*100&gt;WWWW[[#This Row],[Total PoP ]],WWWW[[#This Row],[Total PoP ]],WWWW[[#This Row],['# Functional hand washing stations during reporting period]]*100)</f>
        <v>0</v>
      </c>
      <c r="DI116" s="667" t="str">
        <f>IF(WWWW[[#This Row],['#_students at TLS_CFS]]="","No","Yes")</f>
        <v>Yes</v>
      </c>
      <c r="DJ116" s="245" t="str">
        <f>VLOOKUP(WWWW[[#This Row],[Site Name]],SiteDB6[[Site Name]:[CCCM Management]],6,FALSE)</f>
        <v>Yes</v>
      </c>
      <c r="DK116" s="245" t="str">
        <f>VLOOKUP(WWWW[[#This Row],[Site Name]],SiteDB6[[Site Name]:[CCCM Focal Agency]],7,FALSE)</f>
        <v>KMSS-MYT</v>
      </c>
      <c r="DL116" s="245" t="str">
        <f>VLOOKUP(WWWW[[#This Row],[Site Name]],SiteDB6[[Site Name]:[Location Type 1]],9,FALSE)</f>
        <v>Camp</v>
      </c>
      <c r="DM116" s="245" t="str">
        <f>VLOOKUP(WWWW[[#This Row],[Site Name]],SiteDB6[[Site Name]:[Type of Accommodation]],10,FALSE)</f>
        <v>Camp</v>
      </c>
      <c r="DN116" s="245" t="str">
        <f>VLOOKUP(WWWW[[#This Row],[Site Name]],SiteDB6[[Site Name]:[Ethnic or GCA/NGCA]],11,FALSE)</f>
        <v>NGCA</v>
      </c>
      <c r="DO116" s="245">
        <f>VLOOKUP(WWWW[[#This Row],[Site Name]],SiteDB6[[Site Name]:[Lat]],12,FALSE)</f>
        <v>25.265277999999999</v>
      </c>
      <c r="DP116" s="245">
        <f>VLOOKUP(WWWW[[#This Row],[Site Name]],SiteDB6[[Site Name]:[Long]],13,FALSE)</f>
        <v>97.990555999999998</v>
      </c>
      <c r="DQ116" s="245" t="str">
        <f>VLOOKUP(WWWW[[#This Row],[Site Name]],SiteDB6[[Site Name]:[Pcode]],3,FALSE)</f>
        <v>MMR001CMP160</v>
      </c>
      <c r="DR116" s="215" t="str">
        <f t="shared" si="4"/>
        <v>Covered</v>
      </c>
      <c r="DS116" s="215"/>
      <c r="DT116" s="20"/>
      <c r="DU116" s="20"/>
      <c r="DV116" s="20"/>
      <c r="DW116" s="20"/>
      <c r="DX116" s="20"/>
      <c r="DY116" s="20"/>
      <c r="DZ116" s="20"/>
      <c r="EA116" s="20"/>
      <c r="EB116" s="20"/>
      <c r="EC116" s="20"/>
      <c r="ED116" s="20"/>
      <c r="EE116" s="20"/>
      <c r="EF116" s="20"/>
      <c r="EG116" s="20"/>
      <c r="EH116" s="20"/>
    </row>
    <row r="117" spans="1:138" ht="15.75" customHeight="1">
      <c r="A117" s="259" t="s">
        <v>2525</v>
      </c>
      <c r="B117" s="663" t="s">
        <v>317</v>
      </c>
      <c r="C117" s="663" t="s">
        <v>317</v>
      </c>
      <c r="D117" s="663"/>
      <c r="E117" s="663" t="s">
        <v>39</v>
      </c>
      <c r="F117" s="663" t="s">
        <v>167</v>
      </c>
      <c r="G117" s="663" t="str">
        <f>VLOOKUP(WWWW[[#This Row],[Site Name]],SiteDB6[[Site Name]:[Location Type]],8,FALSE)</f>
        <v>Camp</v>
      </c>
      <c r="H117" s="77" t="s">
        <v>2191</v>
      </c>
      <c r="I117" s="700">
        <v>255</v>
      </c>
      <c r="J117" s="700">
        <v>1374</v>
      </c>
      <c r="K117" s="642"/>
      <c r="L117" s="78"/>
      <c r="M117" s="700"/>
      <c r="N117" s="700"/>
      <c r="O117" s="700"/>
      <c r="P117" s="700"/>
      <c r="Q117" s="77"/>
      <c r="R117" s="377"/>
      <c r="S117" s="377"/>
      <c r="T117" s="377"/>
      <c r="U117" s="377"/>
      <c r="V117" s="377"/>
      <c r="W117" s="377"/>
      <c r="X117" s="377"/>
      <c r="Y117" s="377"/>
      <c r="Z117" s="377"/>
      <c r="AA117" s="377"/>
      <c r="AB117" s="377"/>
      <c r="AC117" s="377"/>
      <c r="AD117" s="377"/>
      <c r="AE117" s="377"/>
      <c r="AF117" s="377"/>
      <c r="AG117" s="377"/>
      <c r="AH117" s="377"/>
      <c r="AI117" s="377"/>
      <c r="AJ117" s="377"/>
      <c r="AK117" s="377"/>
      <c r="AL117" s="377"/>
      <c r="AM117" s="377"/>
      <c r="AN117" s="377"/>
      <c r="AO117" s="215"/>
      <c r="AP117" s="377"/>
      <c r="AQ117" s="377"/>
      <c r="AR117" s="77"/>
      <c r="AS117" s="377"/>
      <c r="AT117" s="377"/>
      <c r="AU117" s="377"/>
      <c r="AV117" s="377"/>
      <c r="AW117" s="377"/>
      <c r="AX117" s="245"/>
      <c r="AY117" s="245"/>
      <c r="AZ117" s="377"/>
      <c r="BA117" s="377"/>
      <c r="BB117" s="377"/>
      <c r="BC117" s="215"/>
      <c r="BD117" s="377"/>
      <c r="BE117" s="377"/>
      <c r="BF117" s="377"/>
      <c r="BG117" s="377"/>
      <c r="BH117" s="377"/>
      <c r="BI117" s="377"/>
      <c r="BJ117" s="377"/>
      <c r="BK117" s="377"/>
      <c r="BL117" s="377"/>
      <c r="BM117" s="215"/>
      <c r="BN117" s="80"/>
      <c r="BO117" s="82"/>
      <c r="BP117" s="215"/>
      <c r="BQ117" s="79" t="str">
        <f>IFERROR(WWWW[[#This Row],['#_Water sources treated]]/WWWW[[#This Row],['#_Water sources tested for contamination]],"no test")</f>
        <v>no test</v>
      </c>
      <c r="BR117" s="82" t="str">
        <f>IFERROR(WWWW[[#This Row],['#_Household received remediation action due to contamination]]/WWWW[[#This Row],['#_Household water samples tested for contamination]],"no test")</f>
        <v>no test</v>
      </c>
      <c r="BS117" s="81" t="str">
        <f>IF(AND(WWWW[[#This Row],[% of water sources treated]]="no test",WWWW[[#This Row],[% Household received corrective actions]]="no test"),"No Test","Tested")</f>
        <v>No Test</v>
      </c>
      <c r="BT117" s="81">
        <f>WWWW[[#This Row],['#_Constructed/existing protected hand dug well]]-WWWW[[#This Row],['#_Non-functional protected hand dug well]]</f>
        <v>0</v>
      </c>
      <c r="BU117" s="81">
        <f>(WWWW[[#This Row],['#_Constructed/Existing tube wells/boreholes/handpumps_WASH_agency]]+WWWW[[#This Row],['#_Non-Cluster partner water tube-wells/boreholes/handpumps]])-WWWW[[#This Row],['#_Non-functional tube wells/boreholes/handpumps]]</f>
        <v>0</v>
      </c>
      <c r="BV117" s="81">
        <f>WWWW[[#This Row],['#_Constructed/Existingwater storage tank with gravity fed reticulation system]]-WWWW[[#This Row],['#_Non-functional storage tank gravity fed reticulation system]]</f>
        <v>0</v>
      </c>
      <c r="BW117" s="81">
        <f>WWWW[[#This Row],['#_Water boating or water trucking]]</f>
        <v>0</v>
      </c>
      <c r="BX117" s="81">
        <f>WWWW[[#This Row],['#_Constructed/Existing water distribution system from river or natural spring]]</f>
        <v>0</v>
      </c>
      <c r="BY117"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17"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17" s="82">
        <f>IF(WWWW[[#This Row],[Location Type 1]]="Village",WWWW[[#This Row],[Access to safe drinking water for Village]],WWWW[[#This Row],[Access to safe drinking water for Camp]])</f>
        <v>0</v>
      </c>
      <c r="CB117" s="80">
        <f>WWWW[[#This Row],[%Equitable and continuous access to sufficient quantity of safe drinking water]]*WWWW[[#This Row],[Total PoP ]]</f>
        <v>0</v>
      </c>
      <c r="CC117" s="82">
        <f>IF((WWWW[[#This Row],['#_Constructed/Existing protected/fenced ponds]]*250)/WWWW[[#This Row],[Total PoP ]]&gt;1,1,(WWWW[[#This Row],['#_Constructed/Existing protected/fenced ponds]]*250)/WWWW[[#This Row],[Total PoP ]])</f>
        <v>0</v>
      </c>
      <c r="CD117" s="80">
        <f>WWWW[[#This Row],[% Access to unimproved water points]]*WWWW[[#This Row],[Total PoP ]]</f>
        <v>0</v>
      </c>
      <c r="CE117"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17"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17" s="80">
        <f>WWWW[[#This Row],[HRP1]]/500</f>
        <v>0</v>
      </c>
      <c r="CH117" s="79">
        <f>1-WWWW[[#This Row],[% Equitable and continuous access to sufficient quantity of domestic water]]</f>
        <v>1</v>
      </c>
      <c r="CI117" s="80">
        <f>WWWW[[#This Row],[%equitable and continuous access to sufficient quantity of safe drinking and domestic water''s GAP]]*WWWW[[#This Row],[Total PoP ]]</f>
        <v>1374</v>
      </c>
      <c r="CJ117" s="81">
        <f>IF(WWWW[[#This Row],[Total required water points]]-WWWW[[#This Row],['#Water points coverage]]&lt;0,0,WWWW[[#This Row],[Total required water points]]-WWWW[[#This Row],['#Water points coverage]])</f>
        <v>3</v>
      </c>
      <c r="CK117" s="81">
        <f>ROUND(IF(WWWW[[#This Row],[Total PoP ]]&lt;500,1,WWWW[[#This Row],[Total PoP ]]/500),0)</f>
        <v>3</v>
      </c>
      <c r="CL117" s="81">
        <f>(WWWW[[#This Row],['#_Constructed latrines_by_WASHAgencies]]+WWWW[[#This Row],['#_Non Cluster partner latrines]])-WWWW[[#This Row],['#_Non-functional latrines]]</f>
        <v>0</v>
      </c>
      <c r="CM117"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17"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17"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17" s="81">
        <f>IF(WWWW[[#This Row],[Location Type 1]]="Village","NA",IF(WWWW[[#This Row],['#_Constructed/Existing latrines in TLS]]*50&gt;WWWW[[#This Row],['#_students at TLS_CFS]],WWWW[[#This Row],['#_students at TLS_CFS]],(WWWW[[#This Row],['#_Constructed/Existing latrines in TLS]]*50)))</f>
        <v>0</v>
      </c>
      <c r="CQ117" s="81">
        <f>ROUND(IF(WWWW[[#This Row],[Location Type 1]]="camp",WWWW[[#This Row],[Total PoP ]]/20,IF(WWWW[[#This Row],[Location Type 1]]="Temporary Location",WWWW[[#This Row],[Total PoP ]]/50,(WWWW[[#This Row],[Total PoP ]]/6))),0)</f>
        <v>69</v>
      </c>
      <c r="CR117" s="80">
        <f>IF(WWWW[[#This Row],[Total required Latrines]]-(WWWW[[#This Row],['#_Constructed latrines_by_WASHAgencies]]+WWWW[[#This Row],['#_Non Cluster partner latrines]])&lt;0,0,WWWW[[#This Row],[Total required Latrines]]-(WWWW[[#This Row],['#_Constructed latrines_by_WASHAgencies]]+WWWW[[#This Row],['#_Non Cluster partner latrines]]))</f>
        <v>69</v>
      </c>
      <c r="CS117" s="79">
        <f>1-WWWW[[#This Row],[% people access to functioning Latrine]]</f>
        <v>1</v>
      </c>
      <c r="CT117" s="83">
        <f>IF(OR(WWWW[[#This Row],['#_Non-functional latrines]]="",WWWW[[#This Row],['#_Non-functional latrines]]=0),0,WWWW[[#This Row],['#_Non-functional latrines]]/(WWWW[[#This Row],['#_Constructed latrines_by_WASHAgencies]]+WWWW[[#This Row],['#_Non Cluster partner latrines]]))</f>
        <v>0</v>
      </c>
      <c r="CU117" s="80">
        <f>IF(500*(WWWW[[#This Row],['#_male hygiene promoters]]+WWWW[[#This Row],['#_female hygiene promoters]])&gt;WWWW[[#This Row],[Total PoP ]],WWWW[[#This Row],[Total PoP ]],500*(WWWW[[#This Row],['#_male hygiene promoters]]+WWWW[[#This Row],['#_female hygiene promoters]]))</f>
        <v>0</v>
      </c>
      <c r="CV117"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17"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17" s="81">
        <f>IF(WWWW[[#This Row],['# People with access to soap]]&gt;WWWW[[#This Row],['# People with access to Sanity Pads]],WWWW[[#This Row],['# People with access to soap]],WWWW[[#This Row],['# People with access to Sanity Pads]])</f>
        <v>0</v>
      </c>
      <c r="CY117"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17" s="79">
        <f>IF(WWWW[[#This Row],[HRP3]]/WWWW[[#This Row],[Total PoP ]]&gt;100%,100%,WWWW[[#This Row],[HRP3]]/WWWW[[#This Row],[Total PoP ]])</f>
        <v>0</v>
      </c>
      <c r="DA117" s="83">
        <f>1-WWWW[[#This Row],[Hygiene Coverage%]]</f>
        <v>1</v>
      </c>
      <c r="DB117" s="82">
        <f>WWWW[[#This Row],['# people reached by regular dedicated hygiene promotion_5]]/WWWW[[#This Row],[Total PoP ]]</f>
        <v>0</v>
      </c>
      <c r="DC117" s="82">
        <f>IF(WWWW[[#This Row],['#_households that received standard amount of soap for this quarter]]/WWWW[[#This Row],[Total HH]]&gt;1,1,WWWW[[#This Row],['#_households that received standard amount of soap for this quarter]]/WWWW[[#This Row],[Total HH]])</f>
        <v>0</v>
      </c>
      <c r="DD117" s="82">
        <f>IF(WWWW[[#This Row],['#_households that received standard amount of sanitary pads for this quarter]]/WWWW[[#This Row],[Total HH]]&gt;1,1,WWWW[[#This Row],['#_households that received standard amount of sanitary pads for this quarter]]/WWWW[[#This Row],[Total HH]])</f>
        <v>0</v>
      </c>
      <c r="DE117" s="81">
        <f>WWWW[[#This Row],['#_Constructed/Existing hand washing stations]]-WWWW[[#This Row],['#_Non-Functional_hand_washing_stations]]</f>
        <v>0</v>
      </c>
      <c r="DF117" s="667">
        <f>IF(WWWW[[#This Row],['# Functional hand washing stations during reporting period]]*20&gt;WWWW[[#This Row],[Total HH]],WWWW[[#This Row],[Total HH]],WWWW[[#This Row],['# Functional hand washing stations during reporting period]]*20)</f>
        <v>0</v>
      </c>
      <c r="DG117" s="80">
        <f>IF(WWWW[[#This Row],[Is sufficient soap available for TLS? (Yes/No)]]="yes",WWWW[[#This Row],['#_Constructed/Existing hand washing stations at TLS]],0)</f>
        <v>0</v>
      </c>
      <c r="DH117" s="667">
        <f>IF(WWWW[[#This Row],['# Functional hand washing stations during reporting period]]*100&gt;WWWW[[#This Row],[Total PoP ]],WWWW[[#This Row],[Total PoP ]],WWWW[[#This Row],['# Functional hand washing stations during reporting period]]*100)</f>
        <v>0</v>
      </c>
      <c r="DI117" s="667" t="str">
        <f>IF(WWWW[[#This Row],['#_students at TLS_CFS]]="","No","Yes")</f>
        <v>No</v>
      </c>
      <c r="DJ117" s="245" t="str">
        <f>VLOOKUP(WWWW[[#This Row],[Site Name]],SiteDB6[[Site Name]:[CCCM Management]],6,FALSE)</f>
        <v>Yes</v>
      </c>
      <c r="DK117" s="245" t="str">
        <f>VLOOKUP(WWWW[[#This Row],[Site Name]],SiteDB6[[Site Name]:[CCCM Focal Agency]],7,FALSE)</f>
        <v>KMSS-MYT</v>
      </c>
      <c r="DL117" s="245" t="str">
        <f>VLOOKUP(WWWW[[#This Row],[Site Name]],SiteDB6[[Site Name]:[Location Type 1]],9,FALSE)</f>
        <v>Camp</v>
      </c>
      <c r="DM117" s="245" t="str">
        <f>VLOOKUP(WWWW[[#This Row],[Site Name]],SiteDB6[[Site Name]:[Type of Accommodation]],10,FALSE)</f>
        <v>Camp</v>
      </c>
      <c r="DN117" s="245" t="str">
        <f>VLOOKUP(WWWW[[#This Row],[Site Name]],SiteDB6[[Site Name]:[Ethnic or GCA/NGCA]],11,FALSE)</f>
        <v>GCA</v>
      </c>
      <c r="DO117" s="245">
        <f>VLOOKUP(WWWW[[#This Row],[Site Name]],SiteDB6[[Site Name]:[Lat]],12,FALSE)</f>
        <v>25.493819999999999</v>
      </c>
      <c r="DP117" s="245">
        <f>VLOOKUP(WWWW[[#This Row],[Site Name]],SiteDB6[[Site Name]:[Long]],13,FALSE)</f>
        <v>97.4345</v>
      </c>
      <c r="DQ117" s="245" t="str">
        <f>VLOOKUP(WWWW[[#This Row],[Site Name]],SiteDB6[[Site Name]:[Pcode]],3,FALSE)</f>
        <v>MMR001CMP271</v>
      </c>
      <c r="DR117" s="215" t="str">
        <f t="shared" si="4"/>
        <v>Notcovered</v>
      </c>
      <c r="DS117" s="215"/>
      <c r="DT117" s="20"/>
      <c r="DU117" s="20"/>
      <c r="DV117" s="20"/>
      <c r="DW117" s="20"/>
      <c r="DX117" s="20"/>
      <c r="DY117" s="20"/>
      <c r="DZ117" s="20"/>
      <c r="EA117" s="20"/>
      <c r="EB117" s="20"/>
      <c r="EC117" s="20"/>
      <c r="ED117" s="20"/>
      <c r="EE117" s="20"/>
      <c r="EF117" s="20"/>
      <c r="EG117" s="20"/>
      <c r="EH117" s="20"/>
    </row>
    <row r="118" spans="1:138" ht="15.75" customHeight="1">
      <c r="A118" s="259" t="s">
        <v>2525</v>
      </c>
      <c r="B118" s="259" t="s">
        <v>149</v>
      </c>
      <c r="C118" s="663" t="s">
        <v>149</v>
      </c>
      <c r="D118" s="663" t="s">
        <v>158</v>
      </c>
      <c r="E118" s="663" t="s">
        <v>39</v>
      </c>
      <c r="F118" s="663" t="s">
        <v>160</v>
      </c>
      <c r="G118" s="663" t="str">
        <f>VLOOKUP(WWWW[[#This Row],[Site Name]],SiteDB6[[Site Name]:[Location Type]],8,FALSE)</f>
        <v>Camp</v>
      </c>
      <c r="H118" s="663" t="s">
        <v>163</v>
      </c>
      <c r="I118" s="700">
        <v>10</v>
      </c>
      <c r="J118" s="700">
        <v>41</v>
      </c>
      <c r="K118" s="642">
        <v>43556</v>
      </c>
      <c r="L118" s="78">
        <v>43677</v>
      </c>
      <c r="M118" s="700"/>
      <c r="N118" s="700"/>
      <c r="O118" s="700"/>
      <c r="P118" s="700"/>
      <c r="Q118" s="77" t="s">
        <v>43</v>
      </c>
      <c r="R118" s="377"/>
      <c r="S118" s="377"/>
      <c r="T118" s="700">
        <v>1</v>
      </c>
      <c r="U118" s="377"/>
      <c r="V118" s="377"/>
      <c r="W118" s="700">
        <v>0</v>
      </c>
      <c r="X118" s="377"/>
      <c r="Y118" s="377"/>
      <c r="Z118" s="377"/>
      <c r="AA118" s="377"/>
      <c r="AB118" s="377"/>
      <c r="AC118" s="377"/>
      <c r="AD118" s="377"/>
      <c r="AE118" s="377"/>
      <c r="AF118" s="377"/>
      <c r="AG118" s="377"/>
      <c r="AH118" s="700">
        <v>3</v>
      </c>
      <c r="AI118" s="377"/>
      <c r="AJ118" s="377"/>
      <c r="AK118" s="377"/>
      <c r="AL118" s="377"/>
      <c r="AM118" s="377"/>
      <c r="AN118" s="377"/>
      <c r="AO118" s="215"/>
      <c r="AP118" s="700">
        <v>3</v>
      </c>
      <c r="AQ118" s="377"/>
      <c r="AR118" s="77"/>
      <c r="AS118" s="377"/>
      <c r="AT118" s="377"/>
      <c r="AU118" s="377"/>
      <c r="AV118" s="377"/>
      <c r="AW118" s="700">
        <v>3</v>
      </c>
      <c r="AX118" s="245" t="s">
        <v>43</v>
      </c>
      <c r="AY118" s="245" t="s">
        <v>145</v>
      </c>
      <c r="AZ118" s="377"/>
      <c r="BA118" s="377"/>
      <c r="BB118" s="377"/>
      <c r="BC118" s="215"/>
      <c r="BD118" s="377"/>
      <c r="BE118" s="377"/>
      <c r="BF118" s="377"/>
      <c r="BG118" s="377">
        <v>2</v>
      </c>
      <c r="BH118" s="377"/>
      <c r="BI118" s="377"/>
      <c r="BJ118" s="377">
        <v>1</v>
      </c>
      <c r="BK118" s="377"/>
      <c r="BL118" s="377"/>
      <c r="BM118" s="215"/>
      <c r="BN118" s="80"/>
      <c r="BO118" s="82"/>
      <c r="BP118" s="215"/>
      <c r="BQ118" s="79" t="str">
        <f>IFERROR(WWWW[[#This Row],['#_Water sources treated]]/WWWW[[#This Row],['#_Water sources tested for contamination]],"no test")</f>
        <v>no test</v>
      </c>
      <c r="BR118" s="82" t="str">
        <f>IFERROR(WWWW[[#This Row],['#_Household received remediation action due to contamination]]/WWWW[[#This Row],['#_Household water samples tested for contamination]],"no test")</f>
        <v>no test</v>
      </c>
      <c r="BS118" s="81" t="str">
        <f>IF(AND(WWWW[[#This Row],[% of water sources treated]]="no test",WWWW[[#This Row],[% Household received corrective actions]]="no test"),"No Test","Tested")</f>
        <v>No Test</v>
      </c>
      <c r="BT118" s="81">
        <f>WWWW[[#This Row],['#_Constructed/existing protected hand dug well]]-WWWW[[#This Row],['#_Non-functional protected hand dug well]]</f>
        <v>1</v>
      </c>
      <c r="BU118" s="81">
        <f>(WWWW[[#This Row],['#_Constructed/Existing tube wells/boreholes/handpumps_WASH_agency]]+WWWW[[#This Row],['#_Non-Cluster partner water tube-wells/boreholes/handpumps]])-WWWW[[#This Row],['#_Non-functional tube wells/boreholes/handpumps]]</f>
        <v>0</v>
      </c>
      <c r="BV118" s="81">
        <f>WWWW[[#This Row],['#_Constructed/Existingwater storage tank with gravity fed reticulation system]]-WWWW[[#This Row],['#_Non-functional storage tank gravity fed reticulation system]]</f>
        <v>0</v>
      </c>
      <c r="BW118" s="81">
        <f>WWWW[[#This Row],['#_Water boating or water trucking]]</f>
        <v>0</v>
      </c>
      <c r="BX118" s="81">
        <f>WWWW[[#This Row],['#_Constructed/Existing water distribution system from river or natural spring]]</f>
        <v>0</v>
      </c>
      <c r="BY118"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18"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18" s="82">
        <f>IF(WWWW[[#This Row],[Location Type 1]]="Village",WWWW[[#This Row],[Access to safe drinking water for Village]],WWWW[[#This Row],[Access to safe drinking water for Camp]])</f>
        <v>1</v>
      </c>
      <c r="CB118" s="80">
        <f>WWWW[[#This Row],[%Equitable and continuous access to sufficient quantity of safe drinking water]]*WWWW[[#This Row],[Total PoP ]]</f>
        <v>41</v>
      </c>
      <c r="CC118" s="82">
        <f>IF((WWWW[[#This Row],['#_Constructed/Existing protected/fenced ponds]]*250)/WWWW[[#This Row],[Total PoP ]]&gt;1,1,(WWWW[[#This Row],['#_Constructed/Existing protected/fenced ponds]]*250)/WWWW[[#This Row],[Total PoP ]])</f>
        <v>0</v>
      </c>
      <c r="CD118" s="80">
        <f>WWWW[[#This Row],[% Access to unimproved water points]]*WWWW[[#This Row],[Total PoP ]]</f>
        <v>0</v>
      </c>
      <c r="CE118"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18"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41</v>
      </c>
      <c r="CG118" s="80">
        <f>WWWW[[#This Row],[HRP1]]/500</f>
        <v>8.2000000000000003E-2</v>
      </c>
      <c r="CH118" s="79">
        <f>1-WWWW[[#This Row],[% Equitable and continuous access to sufficient quantity of domestic water]]</f>
        <v>0</v>
      </c>
      <c r="CI118" s="80">
        <f>WWWW[[#This Row],[%equitable and continuous access to sufficient quantity of safe drinking and domestic water''s GAP]]*WWWW[[#This Row],[Total PoP ]]</f>
        <v>0</v>
      </c>
      <c r="CJ118" s="81">
        <f>IF(WWWW[[#This Row],[Total required water points]]-WWWW[[#This Row],['#Water points coverage]]&lt;0,0,WWWW[[#This Row],[Total required water points]]-WWWW[[#This Row],['#Water points coverage]])</f>
        <v>0.91800000000000004</v>
      </c>
      <c r="CK118" s="81">
        <f>ROUND(IF(WWWW[[#This Row],[Total PoP ]]&lt;500,1,WWWW[[#This Row],[Total PoP ]]/500),0)</f>
        <v>1</v>
      </c>
      <c r="CL118" s="81">
        <f>(WWWW[[#This Row],['#_Constructed latrines_by_WASHAgencies]]+WWWW[[#This Row],['#_Non Cluster partner latrines]])-WWWW[[#This Row],['#_Non-functional latrines]]</f>
        <v>3</v>
      </c>
      <c r="CM118"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18"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41</v>
      </c>
      <c r="CO118"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18" s="81">
        <f>IF(WWWW[[#This Row],[Location Type 1]]="Village","NA",IF(WWWW[[#This Row],['#_Constructed/Existing latrines in TLS]]*50&gt;WWWW[[#This Row],['#_students at TLS_CFS]],WWWW[[#This Row],['#_students at TLS_CFS]],(WWWW[[#This Row],['#_Constructed/Existing latrines in TLS]]*50)))</f>
        <v>0</v>
      </c>
      <c r="CQ118" s="81">
        <f>ROUND(IF(WWWW[[#This Row],[Location Type 1]]="camp",WWWW[[#This Row],[Total PoP ]]/20,IF(WWWW[[#This Row],[Location Type 1]]="Temporary Location",WWWW[[#This Row],[Total PoP ]]/50,(WWWW[[#This Row],[Total PoP ]]/6))),0)</f>
        <v>2</v>
      </c>
      <c r="CR118" s="80">
        <f>IF(WWWW[[#This Row],[Total required Latrines]]-(WWWW[[#This Row],['#_Constructed latrines_by_WASHAgencies]]+WWWW[[#This Row],['#_Non Cluster partner latrines]])&lt;0,0,WWWW[[#This Row],[Total required Latrines]]-(WWWW[[#This Row],['#_Constructed latrines_by_WASHAgencies]]+WWWW[[#This Row],['#_Non Cluster partner latrines]]))</f>
        <v>0</v>
      </c>
      <c r="CS118" s="79">
        <f>1-WWWW[[#This Row],[% people access to functioning Latrine]]</f>
        <v>0</v>
      </c>
      <c r="CT118" s="83">
        <f>IF(OR(WWWW[[#This Row],['#_Non-functional latrines]]="",WWWW[[#This Row],['#_Non-functional latrines]]=0),0,WWWW[[#This Row],['#_Non-functional latrines]]/(WWWW[[#This Row],['#_Constructed latrines_by_WASHAgencies]]+WWWW[[#This Row],['#_Non Cluster partner latrines]]))</f>
        <v>0</v>
      </c>
      <c r="CU118" s="80">
        <f>IF(500*(WWWW[[#This Row],['#_male hygiene promoters]]+WWWW[[#This Row],['#_female hygiene promoters]])&gt;WWWW[[#This Row],[Total PoP ]],WWWW[[#This Row],[Total PoP ]],500*(WWWW[[#This Row],['#_male hygiene promoters]]+WWWW[[#This Row],['#_female hygiene promoters]]))</f>
        <v>41</v>
      </c>
      <c r="CV118"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18"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18" s="81">
        <f>IF(WWWW[[#This Row],['# People with access to soap]]&gt;WWWW[[#This Row],['# People with access to Sanity Pads]],WWWW[[#This Row],['# People with access to soap]],WWWW[[#This Row],['# People with access to Sanity Pads]])</f>
        <v>0</v>
      </c>
      <c r="CY118" s="81">
        <f>IF(WWWW[[#This Row],['# people reached by regular dedicated hygiene promotion_5]]&gt;WWWW[[#This Row],['# People received regular supply of hygiene items_6]],WWWW[[#This Row],['# people reached by regular dedicated hygiene promotion_5]],WWWW[[#This Row],['# People received regular supply of hygiene items_6]])</f>
        <v>41</v>
      </c>
      <c r="CZ118" s="79">
        <f>IF(WWWW[[#This Row],[HRP3]]/WWWW[[#This Row],[Total PoP ]]&gt;100%,100%,WWWW[[#This Row],[HRP3]]/WWWW[[#This Row],[Total PoP ]])</f>
        <v>1</v>
      </c>
      <c r="DA118" s="83">
        <f>1-WWWW[[#This Row],[Hygiene Coverage%]]</f>
        <v>0</v>
      </c>
      <c r="DB118" s="82">
        <f>WWWW[[#This Row],['# people reached by regular dedicated hygiene promotion_5]]/WWWW[[#This Row],[Total PoP ]]</f>
        <v>1</v>
      </c>
      <c r="DC118" s="82">
        <f>IF(WWWW[[#This Row],['#_households that received standard amount of soap for this quarter]]/WWWW[[#This Row],[Total HH]]&gt;1,1,WWWW[[#This Row],['#_households that received standard amount of soap for this quarter]]/WWWW[[#This Row],[Total HH]])</f>
        <v>0</v>
      </c>
      <c r="DD118" s="82">
        <f>IF(WWWW[[#This Row],['#_households that received standard amount of sanitary pads for this quarter]]/WWWW[[#This Row],[Total HH]]&gt;1,1,WWWW[[#This Row],['#_households that received standard amount of sanitary pads for this quarter]]/WWWW[[#This Row],[Total HH]])</f>
        <v>0</v>
      </c>
      <c r="DE118" s="81">
        <f>WWWW[[#This Row],['#_Constructed/Existing hand washing stations]]-WWWW[[#This Row],['#_Non-Functional_hand_washing_stations]]</f>
        <v>0</v>
      </c>
      <c r="DF118" s="667">
        <f>IF(WWWW[[#This Row],['# Functional hand washing stations during reporting period]]*20&gt;WWWW[[#This Row],[Total HH]],WWWW[[#This Row],[Total HH]],WWWW[[#This Row],['# Functional hand washing stations during reporting period]]*20)</f>
        <v>0</v>
      </c>
      <c r="DG118" s="80">
        <f>IF(WWWW[[#This Row],[Is sufficient soap available for TLS? (Yes/No)]]="yes",WWWW[[#This Row],['#_Constructed/Existing hand washing stations at TLS]],0)</f>
        <v>0</v>
      </c>
      <c r="DH118" s="667">
        <f>IF(WWWW[[#This Row],['# Functional hand washing stations during reporting period]]*100&gt;WWWW[[#This Row],[Total PoP ]],WWWW[[#This Row],[Total PoP ]],WWWW[[#This Row],['# Functional hand washing stations during reporting period]]*100)</f>
        <v>0</v>
      </c>
      <c r="DI118" s="667" t="str">
        <f>IF(WWWW[[#This Row],['#_students at TLS_CFS]]="","No","Yes")</f>
        <v>No</v>
      </c>
      <c r="DJ118" s="245" t="str">
        <f>VLOOKUP(WWWW[[#This Row],[Site Name]],SiteDB6[[Site Name]:[CCCM Management]],6,FALSE)</f>
        <v>Yes</v>
      </c>
      <c r="DK118" s="245" t="str">
        <f>VLOOKUP(WWWW[[#This Row],[Site Name]],SiteDB6[[Site Name]:[CCCM Focal Agency]],7,FALSE)</f>
        <v>KBC</v>
      </c>
      <c r="DL118" s="245" t="str">
        <f>VLOOKUP(WWWW[[#This Row],[Site Name]],SiteDB6[[Site Name]:[Location Type 1]],9,FALSE)</f>
        <v>Camp</v>
      </c>
      <c r="DM118" s="245" t="str">
        <f>VLOOKUP(WWWW[[#This Row],[Site Name]],SiteDB6[[Site Name]:[Type of Accommodation]],10,FALSE)</f>
        <v>Camp</v>
      </c>
      <c r="DN118" s="245" t="str">
        <f>VLOOKUP(WWWW[[#This Row],[Site Name]],SiteDB6[[Site Name]:[Ethnic or GCA/NGCA]],11,FALSE)</f>
        <v>GCA</v>
      </c>
      <c r="DO118" s="245">
        <f>VLOOKUP(WWWW[[#This Row],[Site Name]],SiteDB6[[Site Name]:[Lat]],12,FALSE)</f>
        <v>25.30442</v>
      </c>
      <c r="DP118" s="245">
        <f>VLOOKUP(WWWW[[#This Row],[Site Name]],SiteDB6[[Site Name]:[Long]],13,FALSE)</f>
        <v>96.948740000000001</v>
      </c>
      <c r="DQ118" s="245" t="str">
        <f>VLOOKUP(WWWW[[#This Row],[Site Name]],SiteDB6[[Site Name]:[Pcode]],3,FALSE)</f>
        <v>MMR001CMP079</v>
      </c>
      <c r="DR118" s="215" t="str">
        <f t="shared" si="4"/>
        <v>Covered</v>
      </c>
      <c r="DS118" s="215"/>
      <c r="DT118" s="20"/>
      <c r="DU118" s="20"/>
      <c r="DV118" s="20"/>
      <c r="DW118" s="20"/>
      <c r="DX118" s="20"/>
      <c r="DY118" s="20"/>
      <c r="DZ118" s="20"/>
      <c r="EA118" s="20"/>
      <c r="EB118" s="20"/>
      <c r="EC118" s="20"/>
      <c r="ED118" s="20"/>
      <c r="EE118" s="20"/>
      <c r="EF118" s="20"/>
      <c r="EG118" s="20"/>
      <c r="EH118" s="20"/>
    </row>
    <row r="119" spans="1:138" ht="15.75" customHeight="1">
      <c r="A119" s="259" t="s">
        <v>2525</v>
      </c>
      <c r="B119" s="663" t="s">
        <v>250</v>
      </c>
      <c r="C119" s="663" t="s">
        <v>250</v>
      </c>
      <c r="D119" s="701" t="s">
        <v>315</v>
      </c>
      <c r="E119" s="663" t="s">
        <v>39</v>
      </c>
      <c r="F119" s="663" t="s">
        <v>167</v>
      </c>
      <c r="G119" s="663" t="str">
        <f>VLOOKUP(WWWW[[#This Row],[Site Name]],SiteDB6[[Site Name]:[Location Type]],8,FALSE)</f>
        <v>Camp</v>
      </c>
      <c r="H119" s="663" t="s">
        <v>273</v>
      </c>
      <c r="I119" s="700">
        <v>24</v>
      </c>
      <c r="J119" s="700">
        <v>111</v>
      </c>
      <c r="K119" s="642">
        <v>43313</v>
      </c>
      <c r="L119" s="58">
        <v>44043</v>
      </c>
      <c r="M119" s="700"/>
      <c r="N119" s="700">
        <v>1</v>
      </c>
      <c r="O119" s="700"/>
      <c r="P119" s="700"/>
      <c r="Q119" s="663" t="s">
        <v>43</v>
      </c>
      <c r="R119" s="377">
        <v>1</v>
      </c>
      <c r="S119" s="377">
        <v>3</v>
      </c>
      <c r="T119" s="377">
        <v>1</v>
      </c>
      <c r="U119" s="377"/>
      <c r="V119" s="377"/>
      <c r="W119" s="377">
        <v>0</v>
      </c>
      <c r="X119" s="377">
        <v>0</v>
      </c>
      <c r="Y119" s="377">
        <v>0</v>
      </c>
      <c r="Z119" s="377"/>
      <c r="AA119" s="377"/>
      <c r="AB119" s="377"/>
      <c r="AC119" s="377"/>
      <c r="AD119" s="377"/>
      <c r="AE119" s="377"/>
      <c r="AF119" s="377"/>
      <c r="AG119" s="377"/>
      <c r="AH119" s="377"/>
      <c r="AI119" s="377"/>
      <c r="AJ119" s="377"/>
      <c r="AK119" s="377"/>
      <c r="AL119" s="377"/>
      <c r="AM119" s="377"/>
      <c r="AN119" s="377"/>
      <c r="AO119" s="215"/>
      <c r="AP119" s="377">
        <v>2</v>
      </c>
      <c r="AQ119" s="377">
        <v>5</v>
      </c>
      <c r="AR119" s="663" t="s">
        <v>3129</v>
      </c>
      <c r="AS119" s="667">
        <v>1</v>
      </c>
      <c r="AT119" s="663">
        <v>1</v>
      </c>
      <c r="AU119" s="667">
        <v>2</v>
      </c>
      <c r="AV119" s="377"/>
      <c r="AW119" s="700"/>
      <c r="AX119" s="694" t="s">
        <v>43</v>
      </c>
      <c r="AY119" s="245" t="s">
        <v>1200</v>
      </c>
      <c r="AZ119" s="377"/>
      <c r="BA119" s="377"/>
      <c r="BB119" s="377"/>
      <c r="BC119" s="215"/>
      <c r="BD119" s="377">
        <v>2</v>
      </c>
      <c r="BE119" s="377">
        <v>0</v>
      </c>
      <c r="BF119" s="377">
        <v>0</v>
      </c>
      <c r="BG119" s="377">
        <v>0</v>
      </c>
      <c r="BH119" s="377">
        <v>0</v>
      </c>
      <c r="BI119" s="377">
        <v>0</v>
      </c>
      <c r="BJ119" s="377">
        <v>0</v>
      </c>
      <c r="BK119" s="377">
        <v>0</v>
      </c>
      <c r="BL119" s="377">
        <v>0</v>
      </c>
      <c r="BM119" s="215" t="s">
        <v>144</v>
      </c>
      <c r="BN119" s="80">
        <v>0</v>
      </c>
      <c r="BO119" s="82">
        <v>0</v>
      </c>
      <c r="BP119" s="215"/>
      <c r="BQ119" s="79" t="str">
        <f>IFERROR(WWWW[[#This Row],['#_Water sources treated]]/WWWW[[#This Row],['#_Water sources tested for contamination]],"no test")</f>
        <v>no test</v>
      </c>
      <c r="BR119" s="82" t="str">
        <f>IFERROR(WWWW[[#This Row],['#_Household received remediation action due to contamination]]/WWWW[[#This Row],['#_Household water samples tested for contamination]],"no test")</f>
        <v>no test</v>
      </c>
      <c r="BS119" s="81" t="str">
        <f>IF(AND(WWWW[[#This Row],[% of water sources treated]]="no test",WWWW[[#This Row],[% Household received corrective actions]]="no test"),"No Test","Tested")</f>
        <v>No Test</v>
      </c>
      <c r="BT119" s="81">
        <f>WWWW[[#This Row],['#_Constructed/existing protected hand dug well]]-WWWW[[#This Row],['#_Non-functional protected hand dug well]]</f>
        <v>1</v>
      </c>
      <c r="BU119" s="81">
        <f>(WWWW[[#This Row],['#_Constructed/Existing tube wells/boreholes/handpumps_WASH_agency]]+WWWW[[#This Row],['#_Non-Cluster partner water tube-wells/boreholes/handpumps]])-WWWW[[#This Row],['#_Non-functional tube wells/boreholes/handpumps]]</f>
        <v>0</v>
      </c>
      <c r="BV119" s="81">
        <f>WWWW[[#This Row],['#_Constructed/Existingwater storage tank with gravity fed reticulation system]]-WWWW[[#This Row],['#_Non-functional storage tank gravity fed reticulation system]]</f>
        <v>0</v>
      </c>
      <c r="BW119" s="81">
        <f>WWWW[[#This Row],['#_Water boating or water trucking]]</f>
        <v>0</v>
      </c>
      <c r="BX119" s="81">
        <f>WWWW[[#This Row],['#_Constructed/Existing water distribution system from river or natural spring]]</f>
        <v>0</v>
      </c>
      <c r="BY119"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19"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19" s="82">
        <f>IF(WWWW[[#This Row],[Location Type 1]]="Village",WWWW[[#This Row],[Access to safe drinking water for Village]],WWWW[[#This Row],[Access to safe drinking water for Camp]])</f>
        <v>1</v>
      </c>
      <c r="CB119" s="80">
        <f>WWWW[[#This Row],[%Equitable and continuous access to sufficient quantity of safe drinking water]]*WWWW[[#This Row],[Total PoP ]]</f>
        <v>111</v>
      </c>
      <c r="CC119" s="82">
        <f>IF((WWWW[[#This Row],['#_Constructed/Existing protected/fenced ponds]]*250)/WWWW[[#This Row],[Total PoP ]]&gt;1,1,(WWWW[[#This Row],['#_Constructed/Existing protected/fenced ponds]]*250)/WWWW[[#This Row],[Total PoP ]])</f>
        <v>0</v>
      </c>
      <c r="CD119" s="80">
        <f>WWWW[[#This Row],[% Access to unimproved water points]]*WWWW[[#This Row],[Total PoP ]]</f>
        <v>0</v>
      </c>
      <c r="CE119"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19"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111</v>
      </c>
      <c r="CG119" s="80">
        <f>WWWW[[#This Row],[HRP1]]/500</f>
        <v>0.222</v>
      </c>
      <c r="CH119" s="79">
        <f>1-WWWW[[#This Row],[% Equitable and continuous access to sufficient quantity of domestic water]]</f>
        <v>0</v>
      </c>
      <c r="CI119" s="80">
        <f>WWWW[[#This Row],[%equitable and continuous access to sufficient quantity of safe drinking and domestic water''s GAP]]*WWWW[[#This Row],[Total PoP ]]</f>
        <v>0</v>
      </c>
      <c r="CJ119" s="81">
        <f>IF(WWWW[[#This Row],[Total required water points]]-WWWW[[#This Row],['#Water points coverage]]&lt;0,0,WWWW[[#This Row],[Total required water points]]-WWWW[[#This Row],['#Water points coverage]])</f>
        <v>0.77800000000000002</v>
      </c>
      <c r="CK119" s="81">
        <f>ROUND(IF(WWWW[[#This Row],[Total PoP ]]&lt;500,1,WWWW[[#This Row],[Total PoP ]]/500),0)</f>
        <v>1</v>
      </c>
      <c r="CL119" s="81">
        <f>(WWWW[[#This Row],['#_Constructed latrines_by_WASHAgencies]]+WWWW[[#This Row],['#_Non Cluster partner latrines]])-WWWW[[#This Row],['#_Non-functional latrines]]</f>
        <v>6</v>
      </c>
      <c r="CM119"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19"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111</v>
      </c>
      <c r="CO119"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40</v>
      </c>
      <c r="CP119" s="81">
        <f>IF(WWWW[[#This Row],[Location Type 1]]="Village","NA",IF(WWWW[[#This Row],['#_Constructed/Existing latrines in TLS]]*50&gt;WWWW[[#This Row],['#_students at TLS_CFS]],WWWW[[#This Row],['#_students at TLS_CFS]],(WWWW[[#This Row],['#_Constructed/Existing latrines in TLS]]*50)))</f>
        <v>0</v>
      </c>
      <c r="CQ119" s="81">
        <f>ROUND(IF(WWWW[[#This Row],[Location Type 1]]="camp",WWWW[[#This Row],[Total PoP ]]/20,IF(WWWW[[#This Row],[Location Type 1]]="Temporary Location",WWWW[[#This Row],[Total PoP ]]/50,(WWWW[[#This Row],[Total PoP ]]/6))),0)</f>
        <v>6</v>
      </c>
      <c r="CR119" s="80">
        <f>IF(WWWW[[#This Row],[Total required Latrines]]-(WWWW[[#This Row],['#_Constructed latrines_by_WASHAgencies]]+WWWW[[#This Row],['#_Non Cluster partner latrines]])&lt;0,0,WWWW[[#This Row],[Total required Latrines]]-(WWWW[[#This Row],['#_Constructed latrines_by_WASHAgencies]]+WWWW[[#This Row],['#_Non Cluster partner latrines]]))</f>
        <v>0</v>
      </c>
      <c r="CS119" s="79">
        <f>1-WWWW[[#This Row],[% people access to functioning Latrine]]</f>
        <v>0</v>
      </c>
      <c r="CT119" s="83">
        <f>IF(OR(WWWW[[#This Row],['#_Non-functional latrines]]="",WWWW[[#This Row],['#_Non-functional latrines]]=0),0,WWWW[[#This Row],['#_Non-functional latrines]]/(WWWW[[#This Row],['#_Constructed latrines_by_WASHAgencies]]+WWWW[[#This Row],['#_Non Cluster partner latrines]]))</f>
        <v>0.14285714285714285</v>
      </c>
      <c r="CU119" s="80">
        <f>IF(500*(WWWW[[#This Row],['#_male hygiene promoters]]+WWWW[[#This Row],['#_female hygiene promoters]])&gt;WWWW[[#This Row],[Total PoP ]],WWWW[[#This Row],[Total PoP ]],500*(WWWW[[#This Row],['#_male hygiene promoters]]+WWWW[[#This Row],['#_female hygiene promoters]]))</f>
        <v>0</v>
      </c>
      <c r="CV119"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19"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19" s="81">
        <f>IF(WWWW[[#This Row],['# People with access to soap]]&gt;WWWW[[#This Row],['# People with access to Sanity Pads]],WWWW[[#This Row],['# People with access to soap]],WWWW[[#This Row],['# People with access to Sanity Pads]])</f>
        <v>0</v>
      </c>
      <c r="CY119"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19" s="79">
        <f>IF(WWWW[[#This Row],[HRP3]]/WWWW[[#This Row],[Total PoP ]]&gt;100%,100%,WWWW[[#This Row],[HRP3]]/WWWW[[#This Row],[Total PoP ]])</f>
        <v>0</v>
      </c>
      <c r="DA119" s="83">
        <f>1-WWWW[[#This Row],[Hygiene Coverage%]]</f>
        <v>1</v>
      </c>
      <c r="DB119" s="82">
        <f>WWWW[[#This Row],['# people reached by regular dedicated hygiene promotion_5]]/WWWW[[#This Row],[Total PoP ]]</f>
        <v>0</v>
      </c>
      <c r="DC119" s="82">
        <f>IF(WWWW[[#This Row],['#_households that received standard amount of soap for this quarter]]/WWWW[[#This Row],[Total HH]]&gt;1,1,WWWW[[#This Row],['#_households that received standard amount of soap for this quarter]]/WWWW[[#This Row],[Total HH]])</f>
        <v>0</v>
      </c>
      <c r="DD119" s="82">
        <f>IF(WWWW[[#This Row],['#_households that received standard amount of sanitary pads for this quarter]]/WWWW[[#This Row],[Total HH]]&gt;1,1,WWWW[[#This Row],['#_households that received standard amount of sanitary pads for this quarter]]/WWWW[[#This Row],[Total HH]])</f>
        <v>0</v>
      </c>
      <c r="DE119" s="81">
        <f>WWWW[[#This Row],['#_Constructed/Existing hand washing stations]]-WWWW[[#This Row],['#_Non-Functional_hand_washing_stations]]</f>
        <v>2</v>
      </c>
      <c r="DF119" s="667">
        <f>IF(WWWW[[#This Row],['# Functional hand washing stations during reporting period]]*20&gt;WWWW[[#This Row],[Total HH]],WWWW[[#This Row],[Total HH]],WWWW[[#This Row],['# Functional hand washing stations during reporting period]]*20)</f>
        <v>24</v>
      </c>
      <c r="DG119" s="80">
        <f>IF(WWWW[[#This Row],[Is sufficient soap available for TLS? (Yes/No)]]="yes",WWWW[[#This Row],['#_Constructed/Existing hand washing stations at TLS]],0)</f>
        <v>0</v>
      </c>
      <c r="DH119" s="667">
        <f>IF(WWWW[[#This Row],['# Functional hand washing stations during reporting period]]*100&gt;WWWW[[#This Row],[Total PoP ]],WWWW[[#This Row],[Total PoP ]],WWWW[[#This Row],['# Functional hand washing stations during reporting period]]*100)</f>
        <v>111</v>
      </c>
      <c r="DI119" s="667" t="str">
        <f>IF(WWWW[[#This Row],['#_students at TLS_CFS]]="","No","Yes")</f>
        <v>No</v>
      </c>
      <c r="DJ119" s="245" t="str">
        <f>VLOOKUP(WWWW[[#This Row],[Site Name]],SiteDB6[[Site Name]:[CCCM Management]],6,FALSE)</f>
        <v>Yes</v>
      </c>
      <c r="DK119" s="245" t="str">
        <f>VLOOKUP(WWWW[[#This Row],[Site Name]],SiteDB6[[Site Name]:[CCCM Focal Agency]],7,FALSE)</f>
        <v>Shalom</v>
      </c>
      <c r="DL119" s="245" t="str">
        <f>VLOOKUP(WWWW[[#This Row],[Site Name]],SiteDB6[[Site Name]:[Location Type 1]],9,FALSE)</f>
        <v>Camp</v>
      </c>
      <c r="DM119" s="245" t="str">
        <f>VLOOKUP(WWWW[[#This Row],[Site Name]],SiteDB6[[Site Name]:[Type of Accommodation]],10,FALSE)</f>
        <v>Camp</v>
      </c>
      <c r="DN119" s="245" t="str">
        <f>VLOOKUP(WWWW[[#This Row],[Site Name]],SiteDB6[[Site Name]:[Ethnic or GCA/NGCA]],11,FALSE)</f>
        <v>GCA</v>
      </c>
      <c r="DO119" s="245">
        <f>VLOOKUP(WWWW[[#This Row],[Site Name]],SiteDB6[[Site Name]:[Lat]],12,FALSE)</f>
        <v>25.423817</v>
      </c>
      <c r="DP119" s="245">
        <f>VLOOKUP(WWWW[[#This Row],[Site Name]],SiteDB6[[Site Name]:[Long]],13,FALSE)</f>
        <v>97.418004999999994</v>
      </c>
      <c r="DQ119" s="245" t="str">
        <f>VLOOKUP(WWWW[[#This Row],[Site Name]],SiteDB6[[Site Name]:[Pcode]],3,FALSE)</f>
        <v>MMR001CMP007</v>
      </c>
      <c r="DR119" s="215" t="str">
        <f t="shared" si="4"/>
        <v>Covered</v>
      </c>
      <c r="DS119" s="215"/>
      <c r="DT119" s="20"/>
      <c r="DU119" s="20"/>
      <c r="DV119" s="20"/>
      <c r="DW119" s="20"/>
      <c r="DX119" s="20"/>
      <c r="DY119" s="20"/>
      <c r="DZ119" s="20"/>
      <c r="EA119" s="20"/>
      <c r="EB119" s="20"/>
      <c r="EC119" s="20"/>
      <c r="ED119" s="20"/>
      <c r="EE119" s="20"/>
      <c r="EF119" s="20"/>
      <c r="EG119" s="20"/>
      <c r="EH119" s="20"/>
    </row>
    <row r="120" spans="1:138" ht="15.75" customHeight="1">
      <c r="A120" s="259" t="s">
        <v>2525</v>
      </c>
      <c r="B120" s="259" t="s">
        <v>149</v>
      </c>
      <c r="C120" s="663" t="s">
        <v>149</v>
      </c>
      <c r="D120" s="663" t="s">
        <v>158</v>
      </c>
      <c r="E120" s="663" t="s">
        <v>39</v>
      </c>
      <c r="F120" s="663" t="s">
        <v>165</v>
      </c>
      <c r="G120" s="663" t="str">
        <f>VLOOKUP(WWWW[[#This Row],[Site Name]],SiteDB6[[Site Name]:[Location Type]],8,FALSE)</f>
        <v>Camp</v>
      </c>
      <c r="H120" s="663" t="s">
        <v>166</v>
      </c>
      <c r="I120" s="700">
        <v>22</v>
      </c>
      <c r="J120" s="700">
        <v>113</v>
      </c>
      <c r="K120" s="642">
        <v>43556</v>
      </c>
      <c r="L120" s="78">
        <v>43677</v>
      </c>
      <c r="M120" s="700"/>
      <c r="N120" s="700"/>
      <c r="O120" s="700"/>
      <c r="P120" s="700"/>
      <c r="Q120" s="77" t="s">
        <v>43</v>
      </c>
      <c r="R120" s="377"/>
      <c r="S120" s="377"/>
      <c r="T120" s="700">
        <v>0</v>
      </c>
      <c r="U120" s="377"/>
      <c r="V120" s="377"/>
      <c r="W120" s="700">
        <v>3</v>
      </c>
      <c r="X120" s="377"/>
      <c r="Y120" s="377"/>
      <c r="Z120" s="377"/>
      <c r="AA120" s="377"/>
      <c r="AB120" s="377"/>
      <c r="AC120" s="377"/>
      <c r="AD120" s="377"/>
      <c r="AE120" s="377"/>
      <c r="AF120" s="377"/>
      <c r="AG120" s="377"/>
      <c r="AH120" s="700">
        <v>0</v>
      </c>
      <c r="AI120" s="377"/>
      <c r="AJ120" s="377"/>
      <c r="AK120" s="377"/>
      <c r="AL120" s="377"/>
      <c r="AM120" s="377"/>
      <c r="AN120" s="377"/>
      <c r="AO120" s="215"/>
      <c r="AP120" s="700">
        <v>5</v>
      </c>
      <c r="AQ120" s="377"/>
      <c r="AR120" s="77"/>
      <c r="AS120" s="377"/>
      <c r="AT120" s="377"/>
      <c r="AU120" s="377"/>
      <c r="AV120" s="377"/>
      <c r="AW120" s="700"/>
      <c r="AX120" s="245" t="s">
        <v>43</v>
      </c>
      <c r="AY120" s="245" t="s">
        <v>1200</v>
      </c>
      <c r="AZ120" s="377"/>
      <c r="BA120" s="377"/>
      <c r="BB120" s="377"/>
      <c r="BC120" s="215"/>
      <c r="BD120" s="377"/>
      <c r="BE120" s="377"/>
      <c r="BF120" s="377"/>
      <c r="BG120" s="377">
        <v>2</v>
      </c>
      <c r="BH120" s="377"/>
      <c r="BI120" s="377"/>
      <c r="BJ120" s="377">
        <v>1</v>
      </c>
      <c r="BK120" s="377"/>
      <c r="BL120" s="377"/>
      <c r="BM120" s="215"/>
      <c r="BN120" s="80"/>
      <c r="BO120" s="82"/>
      <c r="BP120" s="215"/>
      <c r="BQ120" s="79" t="str">
        <f>IFERROR(WWWW[[#This Row],['#_Water sources treated]]/WWWW[[#This Row],['#_Water sources tested for contamination]],"no test")</f>
        <v>no test</v>
      </c>
      <c r="BR120" s="82" t="str">
        <f>IFERROR(WWWW[[#This Row],['#_Household received remediation action due to contamination]]/WWWW[[#This Row],['#_Household water samples tested for contamination]],"no test")</f>
        <v>no test</v>
      </c>
      <c r="BS120" s="81" t="str">
        <f>IF(AND(WWWW[[#This Row],[% of water sources treated]]="no test",WWWW[[#This Row],[% Household received corrective actions]]="no test"),"No Test","Tested")</f>
        <v>No Test</v>
      </c>
      <c r="BT120" s="81">
        <f>WWWW[[#This Row],['#_Constructed/existing protected hand dug well]]-WWWW[[#This Row],['#_Non-functional protected hand dug well]]</f>
        <v>0</v>
      </c>
      <c r="BU120" s="81">
        <f>(WWWW[[#This Row],['#_Constructed/Existing tube wells/boreholes/handpumps_WASH_agency]]+WWWW[[#This Row],['#_Non-Cluster partner water tube-wells/boreholes/handpumps]])-WWWW[[#This Row],['#_Non-functional tube wells/boreholes/handpumps]]</f>
        <v>3</v>
      </c>
      <c r="BV120" s="81">
        <f>WWWW[[#This Row],['#_Constructed/Existingwater storage tank with gravity fed reticulation system]]-WWWW[[#This Row],['#_Non-functional storage tank gravity fed reticulation system]]</f>
        <v>0</v>
      </c>
      <c r="BW120" s="81">
        <f>WWWW[[#This Row],['#_Water boating or water trucking]]</f>
        <v>0</v>
      </c>
      <c r="BX120" s="81">
        <f>WWWW[[#This Row],['#_Constructed/Existing water distribution system from river or natural spring]]</f>
        <v>0</v>
      </c>
      <c r="BY120"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20"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20" s="82">
        <f>IF(WWWW[[#This Row],[Location Type 1]]="Village",WWWW[[#This Row],[Access to safe drinking water for Village]],WWWW[[#This Row],[Access to safe drinking water for Camp]])</f>
        <v>1</v>
      </c>
      <c r="CB120" s="80">
        <f>WWWW[[#This Row],[%Equitable and continuous access to sufficient quantity of safe drinking water]]*WWWW[[#This Row],[Total PoP ]]</f>
        <v>113</v>
      </c>
      <c r="CC120" s="82">
        <f>IF((WWWW[[#This Row],['#_Constructed/Existing protected/fenced ponds]]*250)/WWWW[[#This Row],[Total PoP ]]&gt;1,1,(WWWW[[#This Row],['#_Constructed/Existing protected/fenced ponds]]*250)/WWWW[[#This Row],[Total PoP ]])</f>
        <v>0</v>
      </c>
      <c r="CD120" s="80">
        <f>WWWW[[#This Row],[% Access to unimproved water points]]*WWWW[[#This Row],[Total PoP ]]</f>
        <v>0</v>
      </c>
      <c r="CE120"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20"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113</v>
      </c>
      <c r="CG120" s="80">
        <f>WWWW[[#This Row],[HRP1]]/500</f>
        <v>0.22600000000000001</v>
      </c>
      <c r="CH120" s="79">
        <f>1-WWWW[[#This Row],[% Equitable and continuous access to sufficient quantity of domestic water]]</f>
        <v>0</v>
      </c>
      <c r="CI120" s="80">
        <f>WWWW[[#This Row],[%equitable and continuous access to sufficient quantity of safe drinking and domestic water''s GAP]]*WWWW[[#This Row],[Total PoP ]]</f>
        <v>0</v>
      </c>
      <c r="CJ120" s="81">
        <f>IF(WWWW[[#This Row],[Total required water points]]-WWWW[[#This Row],['#Water points coverage]]&lt;0,0,WWWW[[#This Row],[Total required water points]]-WWWW[[#This Row],['#Water points coverage]])</f>
        <v>0.77400000000000002</v>
      </c>
      <c r="CK120" s="81">
        <f>ROUND(IF(WWWW[[#This Row],[Total PoP ]]&lt;500,1,WWWW[[#This Row],[Total PoP ]]/500),0)</f>
        <v>1</v>
      </c>
      <c r="CL120" s="81">
        <f>(WWWW[[#This Row],['#_Constructed latrines_by_WASHAgencies]]+WWWW[[#This Row],['#_Non Cluster partner latrines]])-WWWW[[#This Row],['#_Non-functional latrines]]</f>
        <v>5</v>
      </c>
      <c r="CM120"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0.88495575221238942</v>
      </c>
      <c r="CN120"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100</v>
      </c>
      <c r="CO120"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20" s="81">
        <f>IF(WWWW[[#This Row],[Location Type 1]]="Village","NA",IF(WWWW[[#This Row],['#_Constructed/Existing latrines in TLS]]*50&gt;WWWW[[#This Row],['#_students at TLS_CFS]],WWWW[[#This Row],['#_students at TLS_CFS]],(WWWW[[#This Row],['#_Constructed/Existing latrines in TLS]]*50)))</f>
        <v>0</v>
      </c>
      <c r="CQ120" s="81">
        <f>ROUND(IF(WWWW[[#This Row],[Location Type 1]]="camp",WWWW[[#This Row],[Total PoP ]]/20,IF(WWWW[[#This Row],[Location Type 1]]="Temporary Location",WWWW[[#This Row],[Total PoP ]]/50,(WWWW[[#This Row],[Total PoP ]]/6))),0)</f>
        <v>6</v>
      </c>
      <c r="CR120" s="80">
        <f>IF(WWWW[[#This Row],[Total required Latrines]]-(WWWW[[#This Row],['#_Constructed latrines_by_WASHAgencies]]+WWWW[[#This Row],['#_Non Cluster partner latrines]])&lt;0,0,WWWW[[#This Row],[Total required Latrines]]-(WWWW[[#This Row],['#_Constructed latrines_by_WASHAgencies]]+WWWW[[#This Row],['#_Non Cluster partner latrines]]))</f>
        <v>1</v>
      </c>
      <c r="CS120" s="79">
        <f>1-WWWW[[#This Row],[% people access to functioning Latrine]]</f>
        <v>0.11504424778761058</v>
      </c>
      <c r="CT120" s="83">
        <f>IF(OR(WWWW[[#This Row],['#_Non-functional latrines]]="",WWWW[[#This Row],['#_Non-functional latrines]]=0),0,WWWW[[#This Row],['#_Non-functional latrines]]/(WWWW[[#This Row],['#_Constructed latrines_by_WASHAgencies]]+WWWW[[#This Row],['#_Non Cluster partner latrines]]))</f>
        <v>0</v>
      </c>
      <c r="CU120" s="80">
        <f>IF(500*(WWWW[[#This Row],['#_male hygiene promoters]]+WWWW[[#This Row],['#_female hygiene promoters]])&gt;WWWW[[#This Row],[Total PoP ]],WWWW[[#This Row],[Total PoP ]],500*(WWWW[[#This Row],['#_male hygiene promoters]]+WWWW[[#This Row],['#_female hygiene promoters]]))</f>
        <v>113</v>
      </c>
      <c r="CV120"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20"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20" s="81">
        <f>IF(WWWW[[#This Row],['# People with access to soap]]&gt;WWWW[[#This Row],['# People with access to Sanity Pads]],WWWW[[#This Row],['# People with access to soap]],WWWW[[#This Row],['# People with access to Sanity Pads]])</f>
        <v>0</v>
      </c>
      <c r="CY120" s="81">
        <f>IF(WWWW[[#This Row],['# people reached by regular dedicated hygiene promotion_5]]&gt;WWWW[[#This Row],['# People received regular supply of hygiene items_6]],WWWW[[#This Row],['# people reached by regular dedicated hygiene promotion_5]],WWWW[[#This Row],['# People received regular supply of hygiene items_6]])</f>
        <v>113</v>
      </c>
      <c r="CZ120" s="79">
        <f>IF(WWWW[[#This Row],[HRP3]]/WWWW[[#This Row],[Total PoP ]]&gt;100%,100%,WWWW[[#This Row],[HRP3]]/WWWW[[#This Row],[Total PoP ]])</f>
        <v>1</v>
      </c>
      <c r="DA120" s="83">
        <f>1-WWWW[[#This Row],[Hygiene Coverage%]]</f>
        <v>0</v>
      </c>
      <c r="DB120" s="82">
        <f>WWWW[[#This Row],['# people reached by regular dedicated hygiene promotion_5]]/WWWW[[#This Row],[Total PoP ]]</f>
        <v>1</v>
      </c>
      <c r="DC120" s="82">
        <f>IF(WWWW[[#This Row],['#_households that received standard amount of soap for this quarter]]/WWWW[[#This Row],[Total HH]]&gt;1,1,WWWW[[#This Row],['#_households that received standard amount of soap for this quarter]]/WWWW[[#This Row],[Total HH]])</f>
        <v>0</v>
      </c>
      <c r="DD120" s="82">
        <f>IF(WWWW[[#This Row],['#_households that received standard amount of sanitary pads for this quarter]]/WWWW[[#This Row],[Total HH]]&gt;1,1,WWWW[[#This Row],['#_households that received standard amount of sanitary pads for this quarter]]/WWWW[[#This Row],[Total HH]])</f>
        <v>0</v>
      </c>
      <c r="DE120" s="81">
        <f>WWWW[[#This Row],['#_Constructed/Existing hand washing stations]]-WWWW[[#This Row],['#_Non-Functional_hand_washing_stations]]</f>
        <v>0</v>
      </c>
      <c r="DF120" s="667">
        <f>IF(WWWW[[#This Row],['# Functional hand washing stations during reporting period]]*20&gt;WWWW[[#This Row],[Total HH]],WWWW[[#This Row],[Total HH]],WWWW[[#This Row],['# Functional hand washing stations during reporting period]]*20)</f>
        <v>0</v>
      </c>
      <c r="DG120" s="80">
        <f>IF(WWWW[[#This Row],[Is sufficient soap available for TLS? (Yes/No)]]="yes",WWWW[[#This Row],['#_Constructed/Existing hand washing stations at TLS]],0)</f>
        <v>0</v>
      </c>
      <c r="DH120" s="667">
        <f>IF(WWWW[[#This Row],['# Functional hand washing stations during reporting period]]*100&gt;WWWW[[#This Row],[Total PoP ]],WWWW[[#This Row],[Total PoP ]],WWWW[[#This Row],['# Functional hand washing stations during reporting period]]*100)</f>
        <v>0</v>
      </c>
      <c r="DI120" s="667" t="str">
        <f>IF(WWWW[[#This Row],['#_students at TLS_CFS]]="","No","Yes")</f>
        <v>No</v>
      </c>
      <c r="DJ120" s="245" t="str">
        <f>VLOOKUP(WWWW[[#This Row],[Site Name]],SiteDB6[[Site Name]:[CCCM Management]],6,FALSE)</f>
        <v>Yes</v>
      </c>
      <c r="DK120" s="245" t="str">
        <f>VLOOKUP(WWWW[[#This Row],[Site Name]],SiteDB6[[Site Name]:[CCCM Focal Agency]],7,FALSE)</f>
        <v>KBC</v>
      </c>
      <c r="DL120" s="245" t="str">
        <f>VLOOKUP(WWWW[[#This Row],[Site Name]],SiteDB6[[Site Name]:[Location Type 1]],9,FALSE)</f>
        <v>Camp</v>
      </c>
      <c r="DM120" s="245" t="str">
        <f>VLOOKUP(WWWW[[#This Row],[Site Name]],SiteDB6[[Site Name]:[Type of Accommodation]],10,FALSE)</f>
        <v>Camp</v>
      </c>
      <c r="DN120" s="245" t="str">
        <f>VLOOKUP(WWWW[[#This Row],[Site Name]],SiteDB6[[Site Name]:[Ethnic or GCA/NGCA]],11,FALSE)</f>
        <v>GCA</v>
      </c>
      <c r="DO120" s="245">
        <f>VLOOKUP(WWWW[[#This Row],[Site Name]],SiteDB6[[Site Name]:[Lat]],12,FALSE)</f>
        <v>24.998349999999999</v>
      </c>
      <c r="DP120" s="245">
        <f>VLOOKUP(WWWW[[#This Row],[Site Name]],SiteDB6[[Site Name]:[Long]],13,FALSE)</f>
        <v>96.364949999999993</v>
      </c>
      <c r="DQ120" s="245" t="str">
        <f>VLOOKUP(WWWW[[#This Row],[Site Name]],SiteDB6[[Site Name]:[Pcode]],3,FALSE)</f>
        <v>MMR001CMP152</v>
      </c>
      <c r="DR120" s="215" t="str">
        <f t="shared" si="4"/>
        <v>Covered</v>
      </c>
      <c r="DS120" s="215"/>
      <c r="DT120" s="20"/>
      <c r="DU120" s="20"/>
      <c r="DV120" s="20"/>
      <c r="DW120" s="20"/>
      <c r="DX120" s="20"/>
      <c r="DY120" s="20"/>
      <c r="DZ120" s="20"/>
      <c r="EA120" s="20"/>
      <c r="EB120" s="20"/>
      <c r="EC120" s="20"/>
      <c r="ED120" s="20"/>
      <c r="EE120" s="20"/>
      <c r="EF120" s="20"/>
      <c r="EG120" s="20"/>
      <c r="EH120" s="20"/>
    </row>
    <row r="121" spans="1:138" ht="15.75" customHeight="1">
      <c r="A121" s="259" t="s">
        <v>2525</v>
      </c>
      <c r="B121" s="259" t="s">
        <v>149</v>
      </c>
      <c r="C121" s="663" t="s">
        <v>149</v>
      </c>
      <c r="D121" s="663" t="s">
        <v>158</v>
      </c>
      <c r="E121" s="663" t="s">
        <v>39</v>
      </c>
      <c r="F121" s="663" t="s">
        <v>192</v>
      </c>
      <c r="G121" s="663" t="str">
        <f>VLOOKUP(WWWW[[#This Row],[Site Name]],SiteDB6[[Site Name]:[Location Type]],8,FALSE)</f>
        <v>Camp</v>
      </c>
      <c r="H121" s="663" t="s">
        <v>193</v>
      </c>
      <c r="I121" s="700">
        <v>127</v>
      </c>
      <c r="J121" s="700">
        <v>547</v>
      </c>
      <c r="K121" s="642">
        <v>43556</v>
      </c>
      <c r="L121" s="78">
        <v>43677</v>
      </c>
      <c r="M121" s="700"/>
      <c r="N121" s="700"/>
      <c r="O121" s="700"/>
      <c r="P121" s="700">
        <v>30</v>
      </c>
      <c r="Q121" s="77" t="s">
        <v>43</v>
      </c>
      <c r="R121" s="377"/>
      <c r="S121" s="377"/>
      <c r="T121" s="700">
        <v>0</v>
      </c>
      <c r="U121" s="377"/>
      <c r="V121" s="377"/>
      <c r="W121" s="700">
        <v>0</v>
      </c>
      <c r="X121" s="377"/>
      <c r="Y121" s="377"/>
      <c r="Z121" s="377"/>
      <c r="AA121" s="377">
        <v>1</v>
      </c>
      <c r="AB121" s="377">
        <v>1</v>
      </c>
      <c r="AC121" s="377"/>
      <c r="AD121" s="377"/>
      <c r="AE121" s="377"/>
      <c r="AF121" s="377"/>
      <c r="AG121" s="377"/>
      <c r="AH121" s="700">
        <v>0</v>
      </c>
      <c r="AI121" s="377"/>
      <c r="AJ121" s="377"/>
      <c r="AK121" s="377"/>
      <c r="AL121" s="377"/>
      <c r="AM121" s="377"/>
      <c r="AN121" s="377"/>
      <c r="AO121" s="215"/>
      <c r="AP121" s="700">
        <v>74</v>
      </c>
      <c r="AQ121" s="377"/>
      <c r="AR121" s="77"/>
      <c r="AS121" s="377"/>
      <c r="AT121" s="377"/>
      <c r="AU121" s="377"/>
      <c r="AV121" s="377"/>
      <c r="AW121" s="700">
        <v>74</v>
      </c>
      <c r="AX121" s="245" t="s">
        <v>43</v>
      </c>
      <c r="AY121" s="245" t="s">
        <v>145</v>
      </c>
      <c r="AZ121" s="377"/>
      <c r="BA121" s="377"/>
      <c r="BB121" s="377"/>
      <c r="BC121" s="215"/>
      <c r="BD121" s="377"/>
      <c r="BE121" s="377"/>
      <c r="BF121" s="377"/>
      <c r="BG121" s="377">
        <v>0</v>
      </c>
      <c r="BH121" s="377"/>
      <c r="BI121" s="377"/>
      <c r="BJ121" s="377">
        <v>2</v>
      </c>
      <c r="BK121" s="377"/>
      <c r="BL121" s="377"/>
      <c r="BM121" s="215"/>
      <c r="BN121" s="80"/>
      <c r="BO121" s="82"/>
      <c r="BP121" s="215"/>
      <c r="BQ121" s="79" t="str">
        <f>IFERROR(WWWW[[#This Row],['#_Water sources treated]]/WWWW[[#This Row],['#_Water sources tested for contamination]],"no test")</f>
        <v>no test</v>
      </c>
      <c r="BR121" s="82" t="str">
        <f>IFERROR(WWWW[[#This Row],['#_Household received remediation action due to contamination]]/WWWW[[#This Row],['#_Household water samples tested for contamination]],"no test")</f>
        <v>no test</v>
      </c>
      <c r="BS121" s="81" t="str">
        <f>IF(AND(WWWW[[#This Row],[% of water sources treated]]="no test",WWWW[[#This Row],[% Household received corrective actions]]="no test"),"No Test","Tested")</f>
        <v>No Test</v>
      </c>
      <c r="BT121" s="81">
        <f>WWWW[[#This Row],['#_Constructed/existing protected hand dug well]]-WWWW[[#This Row],['#_Non-functional protected hand dug well]]</f>
        <v>0</v>
      </c>
      <c r="BU121" s="81">
        <f>(WWWW[[#This Row],['#_Constructed/Existing tube wells/boreholes/handpumps_WASH_agency]]+WWWW[[#This Row],['#_Non-Cluster partner water tube-wells/boreholes/handpumps]])-WWWW[[#This Row],['#_Non-functional tube wells/boreholes/handpumps]]</f>
        <v>0</v>
      </c>
      <c r="BV121" s="81">
        <f>WWWW[[#This Row],['#_Constructed/Existingwater storage tank with gravity fed reticulation system]]-WWWW[[#This Row],['#_Non-functional storage tank gravity fed reticulation system]]</f>
        <v>0</v>
      </c>
      <c r="BW121" s="81">
        <f>WWWW[[#This Row],['#_Water boating or water trucking]]</f>
        <v>0</v>
      </c>
      <c r="BX121" s="81">
        <f>WWWW[[#This Row],['#_Constructed/Existing water distribution system from river or natural spring]]</f>
        <v>0</v>
      </c>
      <c r="BY121"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21"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21" s="82">
        <f>IF(WWWW[[#This Row],[Location Type 1]]="Village",WWWW[[#This Row],[Access to safe drinking water for Village]],WWWW[[#This Row],[Access to safe drinking water for Camp]])</f>
        <v>0</v>
      </c>
      <c r="CB121" s="80">
        <f>WWWW[[#This Row],[%Equitable and continuous access to sufficient quantity of safe drinking water]]*WWWW[[#This Row],[Total PoP ]]</f>
        <v>0</v>
      </c>
      <c r="CC121" s="82">
        <f>IF((WWWW[[#This Row],['#_Constructed/Existing protected/fenced ponds]]*250)/WWWW[[#This Row],[Total PoP ]]&gt;1,1,(WWWW[[#This Row],['#_Constructed/Existing protected/fenced ponds]]*250)/WWWW[[#This Row],[Total PoP ]])</f>
        <v>0</v>
      </c>
      <c r="CD121" s="80">
        <f>WWWW[[#This Row],[% Access to unimproved water points]]*WWWW[[#This Row],[Total PoP ]]</f>
        <v>0</v>
      </c>
      <c r="CE121"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21"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21" s="80">
        <f>WWWW[[#This Row],[HRP1]]/500</f>
        <v>0</v>
      </c>
      <c r="CH121" s="79">
        <f>1-WWWW[[#This Row],[% Equitable and continuous access to sufficient quantity of domestic water]]</f>
        <v>1</v>
      </c>
      <c r="CI121" s="80">
        <f>WWWW[[#This Row],[%equitable and continuous access to sufficient quantity of safe drinking and domestic water''s GAP]]*WWWW[[#This Row],[Total PoP ]]</f>
        <v>547</v>
      </c>
      <c r="CJ121" s="81">
        <f>IF(WWWW[[#This Row],[Total required water points]]-WWWW[[#This Row],['#Water points coverage]]&lt;0,0,WWWW[[#This Row],[Total required water points]]-WWWW[[#This Row],['#Water points coverage]])</f>
        <v>1</v>
      </c>
      <c r="CK121" s="81">
        <f>ROUND(IF(WWWW[[#This Row],[Total PoP ]]&lt;500,1,WWWW[[#This Row],[Total PoP ]]/500),0)</f>
        <v>1</v>
      </c>
      <c r="CL121" s="81">
        <f>(WWWW[[#This Row],['#_Constructed latrines_by_WASHAgencies]]+WWWW[[#This Row],['#_Non Cluster partner latrines]])-WWWW[[#This Row],['#_Non-functional latrines]]</f>
        <v>74</v>
      </c>
      <c r="CM121"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21"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547</v>
      </c>
      <c r="CO121"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21" s="81">
        <f>IF(WWWW[[#This Row],[Location Type 1]]="Village","NA",IF(WWWW[[#This Row],['#_Constructed/Existing latrines in TLS]]*50&gt;WWWW[[#This Row],['#_students at TLS_CFS]],WWWW[[#This Row],['#_students at TLS_CFS]],(WWWW[[#This Row],['#_Constructed/Existing latrines in TLS]]*50)))</f>
        <v>0</v>
      </c>
      <c r="CQ121" s="81">
        <f>ROUND(IF(WWWW[[#This Row],[Location Type 1]]="camp",WWWW[[#This Row],[Total PoP ]]/20,IF(WWWW[[#This Row],[Location Type 1]]="Temporary Location",WWWW[[#This Row],[Total PoP ]]/50,(WWWW[[#This Row],[Total PoP ]]/6))),0)</f>
        <v>27</v>
      </c>
      <c r="CR121" s="80">
        <f>IF(WWWW[[#This Row],[Total required Latrines]]-(WWWW[[#This Row],['#_Constructed latrines_by_WASHAgencies]]+WWWW[[#This Row],['#_Non Cluster partner latrines]])&lt;0,0,WWWW[[#This Row],[Total required Latrines]]-(WWWW[[#This Row],['#_Constructed latrines_by_WASHAgencies]]+WWWW[[#This Row],['#_Non Cluster partner latrines]]))</f>
        <v>0</v>
      </c>
      <c r="CS121" s="79">
        <f>1-WWWW[[#This Row],[% people access to functioning Latrine]]</f>
        <v>0</v>
      </c>
      <c r="CT121" s="83">
        <f>IF(OR(WWWW[[#This Row],['#_Non-functional latrines]]="",WWWW[[#This Row],['#_Non-functional latrines]]=0),0,WWWW[[#This Row],['#_Non-functional latrines]]/(WWWW[[#This Row],['#_Constructed latrines_by_WASHAgencies]]+WWWW[[#This Row],['#_Non Cluster partner latrines]]))</f>
        <v>0</v>
      </c>
      <c r="CU121" s="80">
        <f>IF(500*(WWWW[[#This Row],['#_male hygiene promoters]]+WWWW[[#This Row],['#_female hygiene promoters]])&gt;WWWW[[#This Row],[Total PoP ]],WWWW[[#This Row],[Total PoP ]],500*(WWWW[[#This Row],['#_male hygiene promoters]]+WWWW[[#This Row],['#_female hygiene promoters]]))</f>
        <v>547</v>
      </c>
      <c r="CV121"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21"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21" s="81">
        <f>IF(WWWW[[#This Row],['# People with access to soap]]&gt;WWWW[[#This Row],['# People with access to Sanity Pads]],WWWW[[#This Row],['# People with access to soap]],WWWW[[#This Row],['# People with access to Sanity Pads]])</f>
        <v>0</v>
      </c>
      <c r="CY121" s="81">
        <f>IF(WWWW[[#This Row],['# people reached by regular dedicated hygiene promotion_5]]&gt;WWWW[[#This Row],['# People received regular supply of hygiene items_6]],WWWW[[#This Row],['# people reached by regular dedicated hygiene promotion_5]],WWWW[[#This Row],['# People received regular supply of hygiene items_6]])</f>
        <v>547</v>
      </c>
      <c r="CZ121" s="79">
        <f>IF(WWWW[[#This Row],[HRP3]]/WWWW[[#This Row],[Total PoP ]]&gt;100%,100%,WWWW[[#This Row],[HRP3]]/WWWW[[#This Row],[Total PoP ]])</f>
        <v>1</v>
      </c>
      <c r="DA121" s="83">
        <f>1-WWWW[[#This Row],[Hygiene Coverage%]]</f>
        <v>0</v>
      </c>
      <c r="DB121" s="82">
        <f>WWWW[[#This Row],['# people reached by regular dedicated hygiene promotion_5]]/WWWW[[#This Row],[Total PoP ]]</f>
        <v>1</v>
      </c>
      <c r="DC121" s="82">
        <f>IF(WWWW[[#This Row],['#_households that received standard amount of soap for this quarter]]/WWWW[[#This Row],[Total HH]]&gt;1,1,WWWW[[#This Row],['#_households that received standard amount of soap for this quarter]]/WWWW[[#This Row],[Total HH]])</f>
        <v>0</v>
      </c>
      <c r="DD121" s="82">
        <f>IF(WWWW[[#This Row],['#_households that received standard amount of sanitary pads for this quarter]]/WWWW[[#This Row],[Total HH]]&gt;1,1,WWWW[[#This Row],['#_households that received standard amount of sanitary pads for this quarter]]/WWWW[[#This Row],[Total HH]])</f>
        <v>0</v>
      </c>
      <c r="DE121" s="81">
        <f>WWWW[[#This Row],['#_Constructed/Existing hand washing stations]]-WWWW[[#This Row],['#_Non-Functional_hand_washing_stations]]</f>
        <v>0</v>
      </c>
      <c r="DF121" s="667">
        <f>IF(WWWW[[#This Row],['# Functional hand washing stations during reporting period]]*20&gt;WWWW[[#This Row],[Total HH]],WWWW[[#This Row],[Total HH]],WWWW[[#This Row],['# Functional hand washing stations during reporting period]]*20)</f>
        <v>0</v>
      </c>
      <c r="DG121" s="80">
        <f>IF(WWWW[[#This Row],[Is sufficient soap available for TLS? (Yes/No)]]="yes",WWWW[[#This Row],['#_Constructed/Existing hand washing stations at TLS]],0)</f>
        <v>0</v>
      </c>
      <c r="DH121" s="667">
        <f>IF(WWWW[[#This Row],['# Functional hand washing stations during reporting period]]*100&gt;WWWW[[#This Row],[Total PoP ]],WWWW[[#This Row],[Total PoP ]],WWWW[[#This Row],['# Functional hand washing stations during reporting period]]*100)</f>
        <v>0</v>
      </c>
      <c r="DI121" s="667" t="str">
        <f>IF(WWWW[[#This Row],['#_students at TLS_CFS]]="","No","Yes")</f>
        <v>No</v>
      </c>
      <c r="DJ121" s="245" t="str">
        <f>VLOOKUP(WWWW[[#This Row],[Site Name]],SiteDB6[[Site Name]:[CCCM Management]],6,FALSE)</f>
        <v>Yes</v>
      </c>
      <c r="DK121" s="245" t="str">
        <f>VLOOKUP(WWWW[[#This Row],[Site Name]],SiteDB6[[Site Name]:[CCCM Focal Agency]],7,FALSE)</f>
        <v>KBC-MYT</v>
      </c>
      <c r="DL121" s="245" t="str">
        <f>VLOOKUP(WWWW[[#This Row],[Site Name]],SiteDB6[[Site Name]:[Location Type 1]],9,FALSE)</f>
        <v>Camp</v>
      </c>
      <c r="DM121" s="245" t="str">
        <f>VLOOKUP(WWWW[[#This Row],[Site Name]],SiteDB6[[Site Name]:[Type of Accommodation]],10,FALSE)</f>
        <v>Camp</v>
      </c>
      <c r="DN121" s="245" t="str">
        <f>VLOOKUP(WWWW[[#This Row],[Site Name]],SiteDB6[[Site Name]:[Ethnic or GCA/NGCA]],11,FALSE)</f>
        <v>NGCA</v>
      </c>
      <c r="DO121" s="245">
        <f>VLOOKUP(WWWW[[#This Row],[Site Name]],SiteDB6[[Site Name]:[Lat]],12,FALSE)</f>
        <v>26.569633</v>
      </c>
      <c r="DP121" s="245">
        <f>VLOOKUP(WWWW[[#This Row],[Site Name]],SiteDB6[[Site Name]:[Long]],13,FALSE)</f>
        <v>97.745480999999998</v>
      </c>
      <c r="DQ121" s="245" t="str">
        <f>VLOOKUP(WWWW[[#This Row],[Site Name]],SiteDB6[[Site Name]:[Pcode]],3,FALSE)</f>
        <v>MMR001CMP238</v>
      </c>
      <c r="DR121" s="215" t="str">
        <f t="shared" si="4"/>
        <v>Covered</v>
      </c>
      <c r="DS121" s="215"/>
      <c r="DT121" s="20"/>
      <c r="DU121" s="20"/>
      <c r="DV121" s="20"/>
      <c r="DW121" s="20"/>
      <c r="DX121" s="20"/>
      <c r="DY121" s="20"/>
      <c r="DZ121" s="20"/>
      <c r="EA121" s="20"/>
      <c r="EB121" s="20"/>
      <c r="EC121" s="20"/>
      <c r="ED121" s="20"/>
      <c r="EE121" s="20"/>
      <c r="EF121" s="20"/>
      <c r="EG121" s="20"/>
      <c r="EH121" s="20"/>
    </row>
    <row r="122" spans="1:138" ht="15.75" customHeight="1">
      <c r="A122" s="259" t="s">
        <v>2525</v>
      </c>
      <c r="B122" s="663" t="s">
        <v>250</v>
      </c>
      <c r="C122" s="663" t="s">
        <v>250</v>
      </c>
      <c r="D122" s="701" t="s">
        <v>315</v>
      </c>
      <c r="E122" s="663" t="s">
        <v>39</v>
      </c>
      <c r="F122" s="663" t="s">
        <v>167</v>
      </c>
      <c r="G122" s="663" t="str">
        <f>VLOOKUP(WWWW[[#This Row],[Site Name]],SiteDB6[[Site Name]:[Location Type]],8,FALSE)</f>
        <v>Camp</v>
      </c>
      <c r="H122" s="663" t="s">
        <v>274</v>
      </c>
      <c r="I122" s="700">
        <v>54</v>
      </c>
      <c r="J122" s="700">
        <v>253</v>
      </c>
      <c r="K122" s="642">
        <v>43313</v>
      </c>
      <c r="L122" s="58">
        <v>44043</v>
      </c>
      <c r="M122" s="700"/>
      <c r="N122" s="700">
        <v>1</v>
      </c>
      <c r="O122" s="700"/>
      <c r="P122" s="700"/>
      <c r="Q122" s="663" t="s">
        <v>43</v>
      </c>
      <c r="R122" s="377">
        <v>2</v>
      </c>
      <c r="S122" s="377">
        <v>3</v>
      </c>
      <c r="T122" s="377">
        <v>1</v>
      </c>
      <c r="U122" s="377"/>
      <c r="V122" s="377"/>
      <c r="W122" s="377">
        <v>4</v>
      </c>
      <c r="X122" s="377">
        <v>0</v>
      </c>
      <c r="Y122" s="377">
        <v>0</v>
      </c>
      <c r="Z122" s="377"/>
      <c r="AA122" s="377"/>
      <c r="AB122" s="377"/>
      <c r="AC122" s="377"/>
      <c r="AD122" s="377"/>
      <c r="AE122" s="377"/>
      <c r="AF122" s="377"/>
      <c r="AG122" s="377"/>
      <c r="AH122" s="377"/>
      <c r="AI122" s="377"/>
      <c r="AJ122" s="377"/>
      <c r="AK122" s="377"/>
      <c r="AL122" s="377"/>
      <c r="AM122" s="377"/>
      <c r="AN122" s="377"/>
      <c r="AO122" s="215"/>
      <c r="AP122" s="377">
        <v>18</v>
      </c>
      <c r="AQ122" s="377">
        <v>0</v>
      </c>
      <c r="AR122" s="77"/>
      <c r="AS122" s="667">
        <v>0</v>
      </c>
      <c r="AT122" s="663">
        <v>0</v>
      </c>
      <c r="AU122" s="667">
        <v>10</v>
      </c>
      <c r="AV122" s="377"/>
      <c r="AW122" s="700"/>
      <c r="AX122" s="694" t="s">
        <v>43</v>
      </c>
      <c r="AY122" s="245" t="s">
        <v>145</v>
      </c>
      <c r="AZ122" s="377"/>
      <c r="BA122" s="377">
        <v>1</v>
      </c>
      <c r="BB122" s="377"/>
      <c r="BC122" s="215"/>
      <c r="BD122" s="377">
        <v>3</v>
      </c>
      <c r="BE122" s="377">
        <v>0</v>
      </c>
      <c r="BF122" s="377"/>
      <c r="BG122" s="377">
        <v>4</v>
      </c>
      <c r="BH122" s="377">
        <v>0</v>
      </c>
      <c r="BI122" s="377">
        <v>2</v>
      </c>
      <c r="BJ122" s="377">
        <v>3</v>
      </c>
      <c r="BK122" s="377">
        <v>0</v>
      </c>
      <c r="BL122" s="377">
        <v>0</v>
      </c>
      <c r="BM122" s="215" t="s">
        <v>144</v>
      </c>
      <c r="BN122" s="80">
        <v>0</v>
      </c>
      <c r="BO122" s="82">
        <v>0</v>
      </c>
      <c r="BP122" s="215"/>
      <c r="BQ122" s="79" t="str">
        <f>IFERROR(WWWW[[#This Row],['#_Water sources treated]]/WWWW[[#This Row],['#_Water sources tested for contamination]],"no test")</f>
        <v>no test</v>
      </c>
      <c r="BR122" s="82" t="str">
        <f>IFERROR(WWWW[[#This Row],['#_Household received remediation action due to contamination]]/WWWW[[#This Row],['#_Household water samples tested for contamination]],"no test")</f>
        <v>no test</v>
      </c>
      <c r="BS122" s="81" t="str">
        <f>IF(AND(WWWW[[#This Row],[% of water sources treated]]="no test",WWWW[[#This Row],[% Household received corrective actions]]="no test"),"No Test","Tested")</f>
        <v>No Test</v>
      </c>
      <c r="BT122" s="81">
        <f>WWWW[[#This Row],['#_Constructed/existing protected hand dug well]]-WWWW[[#This Row],['#_Non-functional protected hand dug well]]</f>
        <v>1</v>
      </c>
      <c r="BU122" s="81">
        <f>(WWWW[[#This Row],['#_Constructed/Existing tube wells/boreholes/handpumps_WASH_agency]]+WWWW[[#This Row],['#_Non-Cluster partner water tube-wells/boreholes/handpumps]])-WWWW[[#This Row],['#_Non-functional tube wells/boreholes/handpumps]]</f>
        <v>4</v>
      </c>
      <c r="BV122" s="81">
        <f>WWWW[[#This Row],['#_Constructed/Existingwater storage tank with gravity fed reticulation system]]-WWWW[[#This Row],['#_Non-functional storage tank gravity fed reticulation system]]</f>
        <v>0</v>
      </c>
      <c r="BW122" s="81">
        <f>WWWW[[#This Row],['#_Water boating or water trucking]]</f>
        <v>0</v>
      </c>
      <c r="BX122" s="81">
        <f>WWWW[[#This Row],['#_Constructed/Existing water distribution system from river or natural spring]]</f>
        <v>0</v>
      </c>
      <c r="BY122"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22"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22" s="82">
        <f>IF(WWWW[[#This Row],[Location Type 1]]="Village",WWWW[[#This Row],[Access to safe drinking water for Village]],WWWW[[#This Row],[Access to safe drinking water for Camp]])</f>
        <v>1</v>
      </c>
      <c r="CB122" s="80">
        <f>WWWW[[#This Row],[%Equitable and continuous access to sufficient quantity of safe drinking water]]*WWWW[[#This Row],[Total PoP ]]</f>
        <v>253</v>
      </c>
      <c r="CC122" s="82">
        <f>IF((WWWW[[#This Row],['#_Constructed/Existing protected/fenced ponds]]*250)/WWWW[[#This Row],[Total PoP ]]&gt;1,1,(WWWW[[#This Row],['#_Constructed/Existing protected/fenced ponds]]*250)/WWWW[[#This Row],[Total PoP ]])</f>
        <v>0</v>
      </c>
      <c r="CD122" s="80">
        <f>WWWW[[#This Row],[% Access to unimproved water points]]*WWWW[[#This Row],[Total PoP ]]</f>
        <v>0</v>
      </c>
      <c r="CE122"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22"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253</v>
      </c>
      <c r="CG122" s="80">
        <f>WWWW[[#This Row],[HRP1]]/500</f>
        <v>0.50600000000000001</v>
      </c>
      <c r="CH122" s="79">
        <f>1-WWWW[[#This Row],[% Equitable and continuous access to sufficient quantity of domestic water]]</f>
        <v>0</v>
      </c>
      <c r="CI122" s="80">
        <f>WWWW[[#This Row],[%equitable and continuous access to sufficient quantity of safe drinking and domestic water''s GAP]]*WWWW[[#This Row],[Total PoP ]]</f>
        <v>0</v>
      </c>
      <c r="CJ122" s="81">
        <f>IF(WWWW[[#This Row],[Total required water points]]-WWWW[[#This Row],['#Water points coverage]]&lt;0,0,WWWW[[#This Row],[Total required water points]]-WWWW[[#This Row],['#Water points coverage]])</f>
        <v>0.49399999999999999</v>
      </c>
      <c r="CK122" s="81">
        <f>ROUND(IF(WWWW[[#This Row],[Total PoP ]]&lt;500,1,WWWW[[#This Row],[Total PoP ]]/500),0)</f>
        <v>1</v>
      </c>
      <c r="CL122" s="81">
        <f>(WWWW[[#This Row],['#_Constructed latrines_by_WASHAgencies]]+WWWW[[#This Row],['#_Non Cluster partner latrines]])-WWWW[[#This Row],['#_Non-functional latrines]]</f>
        <v>18</v>
      </c>
      <c r="CM122"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22"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253</v>
      </c>
      <c r="CO122"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200</v>
      </c>
      <c r="CP122" s="81">
        <f>IF(WWWW[[#This Row],[Location Type 1]]="Village","NA",IF(WWWW[[#This Row],['#_Constructed/Existing latrines in TLS]]*50&gt;WWWW[[#This Row],['#_students at TLS_CFS]],WWWW[[#This Row],['#_students at TLS_CFS]],(WWWW[[#This Row],['#_Constructed/Existing latrines in TLS]]*50)))</f>
        <v>0</v>
      </c>
      <c r="CQ122" s="81">
        <f>ROUND(IF(WWWW[[#This Row],[Location Type 1]]="camp",WWWW[[#This Row],[Total PoP ]]/20,IF(WWWW[[#This Row],[Location Type 1]]="Temporary Location",WWWW[[#This Row],[Total PoP ]]/50,(WWWW[[#This Row],[Total PoP ]]/6))),0)</f>
        <v>13</v>
      </c>
      <c r="CR122" s="80">
        <f>IF(WWWW[[#This Row],[Total required Latrines]]-(WWWW[[#This Row],['#_Constructed latrines_by_WASHAgencies]]+WWWW[[#This Row],['#_Non Cluster partner latrines]])&lt;0,0,WWWW[[#This Row],[Total required Latrines]]-(WWWW[[#This Row],['#_Constructed latrines_by_WASHAgencies]]+WWWW[[#This Row],['#_Non Cluster partner latrines]]))</f>
        <v>0</v>
      </c>
      <c r="CS122" s="79">
        <f>1-WWWW[[#This Row],[% people access to functioning Latrine]]</f>
        <v>0</v>
      </c>
      <c r="CT122" s="83">
        <f>IF(OR(WWWW[[#This Row],['#_Non-functional latrines]]="",WWWW[[#This Row],['#_Non-functional latrines]]=0),0,WWWW[[#This Row],['#_Non-functional latrines]]/(WWWW[[#This Row],['#_Constructed latrines_by_WASHAgencies]]+WWWW[[#This Row],['#_Non Cluster partner latrines]]))</f>
        <v>0</v>
      </c>
      <c r="CU122" s="80">
        <f>IF(500*(WWWW[[#This Row],['#_male hygiene promoters]]+WWWW[[#This Row],['#_female hygiene promoters]])&gt;WWWW[[#This Row],[Total PoP ]],WWWW[[#This Row],[Total PoP ]],500*(WWWW[[#This Row],['#_male hygiene promoters]]+WWWW[[#This Row],['#_female hygiene promoters]]))</f>
        <v>253</v>
      </c>
      <c r="CV122"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22"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22" s="81">
        <f>IF(WWWW[[#This Row],['# People with access to soap]]&gt;WWWW[[#This Row],['# People with access to Sanity Pads]],WWWW[[#This Row],['# People with access to soap]],WWWW[[#This Row],['# People with access to Sanity Pads]])</f>
        <v>0</v>
      </c>
      <c r="CY122" s="81">
        <f>IF(WWWW[[#This Row],['# people reached by regular dedicated hygiene promotion_5]]&gt;WWWW[[#This Row],['# People received regular supply of hygiene items_6]],WWWW[[#This Row],['# people reached by regular dedicated hygiene promotion_5]],WWWW[[#This Row],['# People received regular supply of hygiene items_6]])</f>
        <v>253</v>
      </c>
      <c r="CZ122" s="79">
        <f>IF(WWWW[[#This Row],[HRP3]]/WWWW[[#This Row],[Total PoP ]]&gt;100%,100%,WWWW[[#This Row],[HRP3]]/WWWW[[#This Row],[Total PoP ]])</f>
        <v>1</v>
      </c>
      <c r="DA122" s="83">
        <f>1-WWWW[[#This Row],[Hygiene Coverage%]]</f>
        <v>0</v>
      </c>
      <c r="DB122" s="82">
        <f>WWWW[[#This Row],['# people reached by regular dedicated hygiene promotion_5]]/WWWW[[#This Row],[Total PoP ]]</f>
        <v>1</v>
      </c>
      <c r="DC122" s="82">
        <f>IF(WWWW[[#This Row],['#_households that received standard amount of soap for this quarter]]/WWWW[[#This Row],[Total HH]]&gt;1,1,WWWW[[#This Row],['#_households that received standard amount of soap for this quarter]]/WWWW[[#This Row],[Total HH]])</f>
        <v>0</v>
      </c>
      <c r="DD122" s="82">
        <f>IF(WWWW[[#This Row],['#_households that received standard amount of sanitary pads for this quarter]]/WWWW[[#This Row],[Total HH]]&gt;1,1,WWWW[[#This Row],['#_households that received standard amount of sanitary pads for this quarter]]/WWWW[[#This Row],[Total HH]])</f>
        <v>0</v>
      </c>
      <c r="DE122" s="81">
        <f>WWWW[[#This Row],['#_Constructed/Existing hand washing stations]]-WWWW[[#This Row],['#_Non-Functional_hand_washing_stations]]</f>
        <v>3</v>
      </c>
      <c r="DF122" s="667">
        <f>IF(WWWW[[#This Row],['# Functional hand washing stations during reporting period]]*20&gt;WWWW[[#This Row],[Total HH]],WWWW[[#This Row],[Total HH]],WWWW[[#This Row],['# Functional hand washing stations during reporting period]]*20)</f>
        <v>54</v>
      </c>
      <c r="DG122" s="80">
        <f>IF(WWWW[[#This Row],[Is sufficient soap available for TLS? (Yes/No)]]="yes",WWWW[[#This Row],['#_Constructed/Existing hand washing stations at TLS]],0)</f>
        <v>0</v>
      </c>
      <c r="DH122" s="667">
        <f>IF(WWWW[[#This Row],['# Functional hand washing stations during reporting period]]*100&gt;WWWW[[#This Row],[Total PoP ]],WWWW[[#This Row],[Total PoP ]],WWWW[[#This Row],['# Functional hand washing stations during reporting period]]*100)</f>
        <v>253</v>
      </c>
      <c r="DI122" s="667" t="str">
        <f>IF(WWWW[[#This Row],['#_students at TLS_CFS]]="","No","Yes")</f>
        <v>No</v>
      </c>
      <c r="DJ122" s="245" t="str">
        <f>VLOOKUP(WWWW[[#This Row],[Site Name]],SiteDB6[[Site Name]:[CCCM Management]],6,FALSE)</f>
        <v>Yes</v>
      </c>
      <c r="DK122" s="245" t="str">
        <f>VLOOKUP(WWWW[[#This Row],[Site Name]],SiteDB6[[Site Name]:[CCCM Focal Agency]],7,FALSE)</f>
        <v>Shalom</v>
      </c>
      <c r="DL122" s="245" t="str">
        <f>VLOOKUP(WWWW[[#This Row],[Site Name]],SiteDB6[[Site Name]:[Location Type 1]],9,FALSE)</f>
        <v>Camp</v>
      </c>
      <c r="DM122" s="245" t="str">
        <f>VLOOKUP(WWWW[[#This Row],[Site Name]],SiteDB6[[Site Name]:[Type of Accommodation]],10,FALSE)</f>
        <v>Camp</v>
      </c>
      <c r="DN122" s="245" t="str">
        <f>VLOOKUP(WWWW[[#This Row],[Site Name]],SiteDB6[[Site Name]:[Ethnic or GCA/NGCA]],11,FALSE)</f>
        <v>GCA</v>
      </c>
      <c r="DO122" s="245">
        <f>VLOOKUP(WWWW[[#This Row],[Site Name]],SiteDB6[[Site Name]:[Lat]],12,FALSE)</f>
        <v>25.423209</v>
      </c>
      <c r="DP122" s="245">
        <f>VLOOKUP(WWWW[[#This Row],[Site Name]],SiteDB6[[Site Name]:[Long]],13,FALSE)</f>
        <v>97.379987</v>
      </c>
      <c r="DQ122" s="245" t="str">
        <f>VLOOKUP(WWWW[[#This Row],[Site Name]],SiteDB6[[Site Name]:[Pcode]],3,FALSE)</f>
        <v>MMR001CMP023</v>
      </c>
      <c r="DR122" s="215" t="str">
        <f t="shared" si="4"/>
        <v>Covered</v>
      </c>
      <c r="DS122" s="215"/>
      <c r="DT122" s="20"/>
      <c r="DU122" s="20"/>
      <c r="DV122" s="20"/>
      <c r="DW122" s="20"/>
      <c r="DX122" s="20"/>
      <c r="DY122" s="20"/>
      <c r="DZ122" s="20"/>
      <c r="EA122" s="20"/>
      <c r="EB122" s="20"/>
      <c r="EC122" s="20"/>
      <c r="ED122" s="20"/>
      <c r="EE122" s="20"/>
      <c r="EF122" s="20"/>
      <c r="EG122" s="20"/>
      <c r="EH122" s="20"/>
    </row>
    <row r="123" spans="1:138" ht="15.75" customHeight="1">
      <c r="A123" s="259" t="s">
        <v>2525</v>
      </c>
      <c r="B123" s="663" t="s">
        <v>250</v>
      </c>
      <c r="C123" s="663" t="s">
        <v>250</v>
      </c>
      <c r="D123" s="701" t="s">
        <v>315</v>
      </c>
      <c r="E123" s="663" t="s">
        <v>39</v>
      </c>
      <c r="F123" s="663" t="s">
        <v>167</v>
      </c>
      <c r="G123" s="663" t="str">
        <f>VLOOKUP(WWWW[[#This Row],[Site Name]],SiteDB6[[Site Name]:[Location Type]],8,FALSE)</f>
        <v>Camp</v>
      </c>
      <c r="H123" s="663" t="s">
        <v>275</v>
      </c>
      <c r="I123" s="700">
        <v>16</v>
      </c>
      <c r="J123" s="700">
        <v>77</v>
      </c>
      <c r="K123" s="642">
        <v>43313</v>
      </c>
      <c r="L123" s="58">
        <v>44043</v>
      </c>
      <c r="M123" s="700"/>
      <c r="N123" s="700">
        <v>1</v>
      </c>
      <c r="O123" s="700"/>
      <c r="P123" s="700"/>
      <c r="Q123" s="663" t="s">
        <v>43</v>
      </c>
      <c r="R123" s="377">
        <v>0</v>
      </c>
      <c r="S123" s="377">
        <v>3</v>
      </c>
      <c r="T123" s="377">
        <v>1</v>
      </c>
      <c r="U123" s="377"/>
      <c r="V123" s="377"/>
      <c r="W123" s="377">
        <v>3</v>
      </c>
      <c r="X123" s="377">
        <v>3</v>
      </c>
      <c r="Y123" s="377">
        <v>1</v>
      </c>
      <c r="Z123" s="377"/>
      <c r="AA123" s="377"/>
      <c r="AB123" s="377"/>
      <c r="AC123" s="377"/>
      <c r="AD123" s="377"/>
      <c r="AE123" s="377"/>
      <c r="AF123" s="377"/>
      <c r="AG123" s="377"/>
      <c r="AH123" s="377">
        <v>0</v>
      </c>
      <c r="AI123" s="377"/>
      <c r="AJ123" s="377"/>
      <c r="AK123" s="377"/>
      <c r="AL123" s="377"/>
      <c r="AM123" s="377"/>
      <c r="AN123" s="377"/>
      <c r="AO123" s="215"/>
      <c r="AP123" s="377">
        <v>7</v>
      </c>
      <c r="AQ123" s="377">
        <v>4</v>
      </c>
      <c r="AR123" s="663" t="s">
        <v>3129</v>
      </c>
      <c r="AS123" s="667">
        <v>1</v>
      </c>
      <c r="AT123" s="663">
        <v>1</v>
      </c>
      <c r="AU123" s="667">
        <v>2</v>
      </c>
      <c r="AV123" s="377"/>
      <c r="AW123" s="700"/>
      <c r="AX123" s="694" t="s">
        <v>43</v>
      </c>
      <c r="AY123" s="245" t="s">
        <v>1200</v>
      </c>
      <c r="AZ123" s="377"/>
      <c r="BA123" s="377"/>
      <c r="BB123" s="377"/>
      <c r="BC123" s="215"/>
      <c r="BD123" s="377">
        <v>2</v>
      </c>
      <c r="BE123" s="377">
        <v>0</v>
      </c>
      <c r="BF123" s="377">
        <v>0</v>
      </c>
      <c r="BG123" s="377">
        <v>2</v>
      </c>
      <c r="BH123" s="377">
        <v>0</v>
      </c>
      <c r="BI123" s="377">
        <v>0</v>
      </c>
      <c r="BJ123" s="377">
        <v>0</v>
      </c>
      <c r="BK123" s="377">
        <v>0</v>
      </c>
      <c r="BL123" s="377">
        <v>0</v>
      </c>
      <c r="BM123" s="215" t="s">
        <v>144</v>
      </c>
      <c r="BN123" s="80">
        <v>0</v>
      </c>
      <c r="BO123" s="82">
        <v>0</v>
      </c>
      <c r="BP123" s="215"/>
      <c r="BQ123" s="79" t="str">
        <f>IFERROR(WWWW[[#This Row],['#_Water sources treated]]/WWWW[[#This Row],['#_Water sources tested for contamination]],"no test")</f>
        <v>no test</v>
      </c>
      <c r="BR123" s="82" t="str">
        <f>IFERROR(WWWW[[#This Row],['#_Household received remediation action due to contamination]]/WWWW[[#This Row],['#_Household water samples tested for contamination]],"no test")</f>
        <v>no test</v>
      </c>
      <c r="BS123" s="81" t="str">
        <f>IF(AND(WWWW[[#This Row],[% of water sources treated]]="no test",WWWW[[#This Row],[% Household received corrective actions]]="no test"),"No Test","Tested")</f>
        <v>No Test</v>
      </c>
      <c r="BT123" s="81">
        <f>WWWW[[#This Row],['#_Constructed/existing protected hand dug well]]-WWWW[[#This Row],['#_Non-functional protected hand dug well]]</f>
        <v>1</v>
      </c>
      <c r="BU123" s="81">
        <f>(WWWW[[#This Row],['#_Constructed/Existing tube wells/boreholes/handpumps_WASH_agency]]+WWWW[[#This Row],['#_Non-Cluster partner water tube-wells/boreholes/handpumps]])-WWWW[[#This Row],['#_Non-functional tube wells/boreholes/handpumps]]</f>
        <v>5</v>
      </c>
      <c r="BV123" s="81">
        <f>WWWW[[#This Row],['#_Constructed/Existingwater storage tank with gravity fed reticulation system]]-WWWW[[#This Row],['#_Non-functional storage tank gravity fed reticulation system]]</f>
        <v>0</v>
      </c>
      <c r="BW123" s="81">
        <f>WWWW[[#This Row],['#_Water boating or water trucking]]</f>
        <v>0</v>
      </c>
      <c r="BX123" s="81">
        <f>WWWW[[#This Row],['#_Constructed/Existing water distribution system from river or natural spring]]</f>
        <v>0</v>
      </c>
      <c r="BY123"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23"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23" s="82">
        <f>IF(WWWW[[#This Row],[Location Type 1]]="Village",WWWW[[#This Row],[Access to safe drinking water for Village]],WWWW[[#This Row],[Access to safe drinking water for Camp]])</f>
        <v>1</v>
      </c>
      <c r="CB123" s="80">
        <f>WWWW[[#This Row],[%Equitable and continuous access to sufficient quantity of safe drinking water]]*WWWW[[#This Row],[Total PoP ]]</f>
        <v>77</v>
      </c>
      <c r="CC123" s="82">
        <f>IF((WWWW[[#This Row],['#_Constructed/Existing protected/fenced ponds]]*250)/WWWW[[#This Row],[Total PoP ]]&gt;1,1,(WWWW[[#This Row],['#_Constructed/Existing protected/fenced ponds]]*250)/WWWW[[#This Row],[Total PoP ]])</f>
        <v>0</v>
      </c>
      <c r="CD123" s="80">
        <f>WWWW[[#This Row],[% Access to unimproved water points]]*WWWW[[#This Row],[Total PoP ]]</f>
        <v>0</v>
      </c>
      <c r="CE123"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23"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77</v>
      </c>
      <c r="CG123" s="80">
        <f>WWWW[[#This Row],[HRP1]]/500</f>
        <v>0.154</v>
      </c>
      <c r="CH123" s="79">
        <f>1-WWWW[[#This Row],[% Equitable and continuous access to sufficient quantity of domestic water]]</f>
        <v>0</v>
      </c>
      <c r="CI123" s="80">
        <f>WWWW[[#This Row],[%equitable and continuous access to sufficient quantity of safe drinking and domestic water''s GAP]]*WWWW[[#This Row],[Total PoP ]]</f>
        <v>0</v>
      </c>
      <c r="CJ123" s="81">
        <f>IF(WWWW[[#This Row],[Total required water points]]-WWWW[[#This Row],['#Water points coverage]]&lt;0,0,WWWW[[#This Row],[Total required water points]]-WWWW[[#This Row],['#Water points coverage]])</f>
        <v>0.84599999999999997</v>
      </c>
      <c r="CK123" s="81">
        <f>ROUND(IF(WWWW[[#This Row],[Total PoP ]]&lt;500,1,WWWW[[#This Row],[Total PoP ]]/500),0)</f>
        <v>1</v>
      </c>
      <c r="CL123" s="81">
        <f>(WWWW[[#This Row],['#_Constructed latrines_by_WASHAgencies]]+WWWW[[#This Row],['#_Non Cluster partner latrines]])-WWWW[[#This Row],['#_Non-functional latrines]]</f>
        <v>10</v>
      </c>
      <c r="CM123"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23"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77</v>
      </c>
      <c r="CO123"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40</v>
      </c>
      <c r="CP123" s="81">
        <f>IF(WWWW[[#This Row],[Location Type 1]]="Village","NA",IF(WWWW[[#This Row],['#_Constructed/Existing latrines in TLS]]*50&gt;WWWW[[#This Row],['#_students at TLS_CFS]],WWWW[[#This Row],['#_students at TLS_CFS]],(WWWW[[#This Row],['#_Constructed/Existing latrines in TLS]]*50)))</f>
        <v>0</v>
      </c>
      <c r="CQ123" s="81">
        <f>ROUND(IF(WWWW[[#This Row],[Location Type 1]]="camp",WWWW[[#This Row],[Total PoP ]]/20,IF(WWWW[[#This Row],[Location Type 1]]="Temporary Location",WWWW[[#This Row],[Total PoP ]]/50,(WWWW[[#This Row],[Total PoP ]]/6))),0)</f>
        <v>4</v>
      </c>
      <c r="CR123" s="80">
        <f>IF(WWWW[[#This Row],[Total required Latrines]]-(WWWW[[#This Row],['#_Constructed latrines_by_WASHAgencies]]+WWWW[[#This Row],['#_Non Cluster partner latrines]])&lt;0,0,WWWW[[#This Row],[Total required Latrines]]-(WWWW[[#This Row],['#_Constructed latrines_by_WASHAgencies]]+WWWW[[#This Row],['#_Non Cluster partner latrines]]))</f>
        <v>0</v>
      </c>
      <c r="CS123" s="79">
        <f>1-WWWW[[#This Row],[% people access to functioning Latrine]]</f>
        <v>0</v>
      </c>
      <c r="CT123" s="83">
        <f>IF(OR(WWWW[[#This Row],['#_Non-functional latrines]]="",WWWW[[#This Row],['#_Non-functional latrines]]=0),0,WWWW[[#This Row],['#_Non-functional latrines]]/(WWWW[[#This Row],['#_Constructed latrines_by_WASHAgencies]]+WWWW[[#This Row],['#_Non Cluster partner latrines]]))</f>
        <v>9.0909090909090912E-2</v>
      </c>
      <c r="CU123" s="80">
        <f>IF(500*(WWWW[[#This Row],['#_male hygiene promoters]]+WWWW[[#This Row],['#_female hygiene promoters]])&gt;WWWW[[#This Row],[Total PoP ]],WWWW[[#This Row],[Total PoP ]],500*(WWWW[[#This Row],['#_male hygiene promoters]]+WWWW[[#This Row],['#_female hygiene promoters]]))</f>
        <v>0</v>
      </c>
      <c r="CV123"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23"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23" s="81">
        <f>IF(WWWW[[#This Row],['# People with access to soap]]&gt;WWWW[[#This Row],['# People with access to Sanity Pads]],WWWW[[#This Row],['# People with access to soap]],WWWW[[#This Row],['# People with access to Sanity Pads]])</f>
        <v>0</v>
      </c>
      <c r="CY123"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23" s="79">
        <f>IF(WWWW[[#This Row],[HRP3]]/WWWW[[#This Row],[Total PoP ]]&gt;100%,100%,WWWW[[#This Row],[HRP3]]/WWWW[[#This Row],[Total PoP ]])</f>
        <v>0</v>
      </c>
      <c r="DA123" s="83">
        <f>1-WWWW[[#This Row],[Hygiene Coverage%]]</f>
        <v>1</v>
      </c>
      <c r="DB123" s="82">
        <f>WWWW[[#This Row],['# people reached by regular dedicated hygiene promotion_5]]/WWWW[[#This Row],[Total PoP ]]</f>
        <v>0</v>
      </c>
      <c r="DC123" s="82">
        <f>IF(WWWW[[#This Row],['#_households that received standard amount of soap for this quarter]]/WWWW[[#This Row],[Total HH]]&gt;1,1,WWWW[[#This Row],['#_households that received standard amount of soap for this quarter]]/WWWW[[#This Row],[Total HH]])</f>
        <v>0</v>
      </c>
      <c r="DD123" s="82">
        <f>IF(WWWW[[#This Row],['#_households that received standard amount of sanitary pads for this quarter]]/WWWW[[#This Row],[Total HH]]&gt;1,1,WWWW[[#This Row],['#_households that received standard amount of sanitary pads for this quarter]]/WWWW[[#This Row],[Total HH]])</f>
        <v>0</v>
      </c>
      <c r="DE123" s="81">
        <f>WWWW[[#This Row],['#_Constructed/Existing hand washing stations]]-WWWW[[#This Row],['#_Non-Functional_hand_washing_stations]]</f>
        <v>2</v>
      </c>
      <c r="DF123" s="667">
        <f>IF(WWWW[[#This Row],['# Functional hand washing stations during reporting period]]*20&gt;WWWW[[#This Row],[Total HH]],WWWW[[#This Row],[Total HH]],WWWW[[#This Row],['# Functional hand washing stations during reporting period]]*20)</f>
        <v>16</v>
      </c>
      <c r="DG123" s="80">
        <f>IF(WWWW[[#This Row],[Is sufficient soap available for TLS? (Yes/No)]]="yes",WWWW[[#This Row],['#_Constructed/Existing hand washing stations at TLS]],0)</f>
        <v>0</v>
      </c>
      <c r="DH123" s="667">
        <f>IF(WWWW[[#This Row],['# Functional hand washing stations during reporting period]]*100&gt;WWWW[[#This Row],[Total PoP ]],WWWW[[#This Row],[Total PoP ]],WWWW[[#This Row],['# Functional hand washing stations during reporting period]]*100)</f>
        <v>77</v>
      </c>
      <c r="DI123" s="667" t="str">
        <f>IF(WWWW[[#This Row],['#_students at TLS_CFS]]="","No","Yes")</f>
        <v>No</v>
      </c>
      <c r="DJ123" s="245" t="str">
        <f>VLOOKUP(WWWW[[#This Row],[Site Name]],SiteDB6[[Site Name]:[CCCM Management]],6,FALSE)</f>
        <v>Yes</v>
      </c>
      <c r="DK123" s="245" t="str">
        <f>VLOOKUP(WWWW[[#This Row],[Site Name]],SiteDB6[[Site Name]:[CCCM Focal Agency]],7,FALSE)</f>
        <v>Shalom</v>
      </c>
      <c r="DL123" s="245" t="str">
        <f>VLOOKUP(WWWW[[#This Row],[Site Name]],SiteDB6[[Site Name]:[Location Type 1]],9,FALSE)</f>
        <v>Camp</v>
      </c>
      <c r="DM123" s="245" t="str">
        <f>VLOOKUP(WWWW[[#This Row],[Site Name]],SiteDB6[[Site Name]:[Type of Accommodation]],10,FALSE)</f>
        <v>Camp</v>
      </c>
      <c r="DN123" s="245" t="str">
        <f>VLOOKUP(WWWW[[#This Row],[Site Name]],SiteDB6[[Site Name]:[Ethnic or GCA/NGCA]],11,FALSE)</f>
        <v>GCA</v>
      </c>
      <c r="DO123" s="245">
        <f>VLOOKUP(WWWW[[#This Row],[Site Name]],SiteDB6[[Site Name]:[Lat]],12,FALSE)</f>
        <v>25.417733999999999</v>
      </c>
      <c r="DP123" s="245">
        <f>VLOOKUP(WWWW[[#This Row],[Site Name]],SiteDB6[[Site Name]:[Long]],13,FALSE)</f>
        <v>97.389778000000007</v>
      </c>
      <c r="DQ123" s="245" t="str">
        <f>VLOOKUP(WWWW[[#This Row],[Site Name]],SiteDB6[[Site Name]:[Pcode]],3,FALSE)</f>
        <v>MMR001CMP004</v>
      </c>
      <c r="DR123" s="215" t="str">
        <f t="shared" si="4"/>
        <v>Covered</v>
      </c>
      <c r="DS123" s="215"/>
      <c r="DT123" s="20"/>
      <c r="DU123" s="20"/>
      <c r="DV123" s="20"/>
      <c r="DW123" s="20"/>
      <c r="DX123" s="20"/>
      <c r="DY123" s="20"/>
      <c r="DZ123" s="20"/>
      <c r="EA123" s="20"/>
      <c r="EB123" s="20"/>
      <c r="EC123" s="20"/>
      <c r="ED123" s="20"/>
      <c r="EE123" s="20"/>
      <c r="EF123" s="20"/>
      <c r="EG123" s="20"/>
      <c r="EH123" s="20"/>
    </row>
    <row r="124" spans="1:138" ht="15.75" customHeight="1">
      <c r="A124" s="259" t="s">
        <v>2525</v>
      </c>
      <c r="B124" s="259" t="s">
        <v>149</v>
      </c>
      <c r="C124" s="663" t="s">
        <v>149</v>
      </c>
      <c r="D124" s="663" t="s">
        <v>152</v>
      </c>
      <c r="E124" s="663" t="s">
        <v>39</v>
      </c>
      <c r="F124" s="663" t="s">
        <v>167</v>
      </c>
      <c r="G124" s="663" t="str">
        <f>VLOOKUP(WWWW[[#This Row],[Site Name]],SiteDB6[[Site Name]:[Location Type]],8,FALSE)</f>
        <v>Camp</v>
      </c>
      <c r="H124" s="663" t="s">
        <v>175</v>
      </c>
      <c r="I124" s="700">
        <v>67</v>
      </c>
      <c r="J124" s="700">
        <v>281</v>
      </c>
      <c r="K124" s="642">
        <v>43556</v>
      </c>
      <c r="L124" s="78">
        <v>43677</v>
      </c>
      <c r="M124" s="700"/>
      <c r="N124" s="700"/>
      <c r="O124" s="700"/>
      <c r="P124" s="700"/>
      <c r="Q124" s="663" t="s">
        <v>43</v>
      </c>
      <c r="R124" s="377"/>
      <c r="S124" s="377"/>
      <c r="T124" s="700">
        <v>1</v>
      </c>
      <c r="U124" s="377"/>
      <c r="V124" s="377"/>
      <c r="W124" s="700">
        <v>2</v>
      </c>
      <c r="X124" s="377"/>
      <c r="Y124" s="377"/>
      <c r="Z124" s="377"/>
      <c r="AA124" s="377"/>
      <c r="AB124" s="377"/>
      <c r="AC124" s="377"/>
      <c r="AD124" s="377"/>
      <c r="AE124" s="377"/>
      <c r="AF124" s="377"/>
      <c r="AG124" s="377"/>
      <c r="AH124" s="700">
        <v>3</v>
      </c>
      <c r="AI124" s="377"/>
      <c r="AJ124" s="377"/>
      <c r="AK124" s="377"/>
      <c r="AL124" s="377"/>
      <c r="AM124" s="377"/>
      <c r="AN124" s="377"/>
      <c r="AO124" s="215"/>
      <c r="AP124" s="700">
        <v>15</v>
      </c>
      <c r="AQ124" s="377"/>
      <c r="AR124" s="77"/>
      <c r="AS124" s="377"/>
      <c r="AT124" s="377"/>
      <c r="AU124" s="377">
        <v>0</v>
      </c>
      <c r="AV124" s="377"/>
      <c r="AW124" s="700">
        <v>15</v>
      </c>
      <c r="AX124" s="245" t="s">
        <v>43</v>
      </c>
      <c r="AY124" s="245" t="s">
        <v>145</v>
      </c>
      <c r="AZ124" s="377"/>
      <c r="BA124" s="377"/>
      <c r="BB124" s="377"/>
      <c r="BC124" s="215"/>
      <c r="BD124" s="377"/>
      <c r="BE124" s="377"/>
      <c r="BF124" s="377"/>
      <c r="BG124" s="377">
        <v>2</v>
      </c>
      <c r="BH124" s="377"/>
      <c r="BI124" s="377"/>
      <c r="BJ124" s="377">
        <v>1</v>
      </c>
      <c r="BK124" s="377"/>
      <c r="BL124" s="377"/>
      <c r="BM124" s="215"/>
      <c r="BN124" s="80"/>
      <c r="BO124" s="82"/>
      <c r="BP124" s="215"/>
      <c r="BQ124" s="79" t="str">
        <f>IFERROR(WWWW[[#This Row],['#_Water sources treated]]/WWWW[[#This Row],['#_Water sources tested for contamination]],"no test")</f>
        <v>no test</v>
      </c>
      <c r="BR124" s="82" t="str">
        <f>IFERROR(WWWW[[#This Row],['#_Household received remediation action due to contamination]]/WWWW[[#This Row],['#_Household water samples tested for contamination]],"no test")</f>
        <v>no test</v>
      </c>
      <c r="BS124" s="81" t="str">
        <f>IF(AND(WWWW[[#This Row],[% of water sources treated]]="no test",WWWW[[#This Row],[% Household received corrective actions]]="no test"),"No Test","Tested")</f>
        <v>No Test</v>
      </c>
      <c r="BT124" s="81">
        <f>WWWW[[#This Row],['#_Constructed/existing protected hand dug well]]-WWWW[[#This Row],['#_Non-functional protected hand dug well]]</f>
        <v>1</v>
      </c>
      <c r="BU124" s="81">
        <f>(WWWW[[#This Row],['#_Constructed/Existing tube wells/boreholes/handpumps_WASH_agency]]+WWWW[[#This Row],['#_Non-Cluster partner water tube-wells/boreholes/handpumps]])-WWWW[[#This Row],['#_Non-functional tube wells/boreholes/handpumps]]</f>
        <v>2</v>
      </c>
      <c r="BV124" s="81">
        <f>WWWW[[#This Row],['#_Constructed/Existingwater storage tank with gravity fed reticulation system]]-WWWW[[#This Row],['#_Non-functional storage tank gravity fed reticulation system]]</f>
        <v>0</v>
      </c>
      <c r="BW124" s="81">
        <f>WWWW[[#This Row],['#_Water boating or water trucking]]</f>
        <v>0</v>
      </c>
      <c r="BX124" s="81">
        <f>WWWW[[#This Row],['#_Constructed/Existing water distribution system from river or natural spring]]</f>
        <v>0</v>
      </c>
      <c r="BY124"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24"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24" s="82">
        <f>IF(WWWW[[#This Row],[Location Type 1]]="Village",WWWW[[#This Row],[Access to safe drinking water for Village]],WWWW[[#This Row],[Access to safe drinking water for Camp]])</f>
        <v>1</v>
      </c>
      <c r="CB124" s="80">
        <f>WWWW[[#This Row],[%Equitable and continuous access to sufficient quantity of safe drinking water]]*WWWW[[#This Row],[Total PoP ]]</f>
        <v>281</v>
      </c>
      <c r="CC124" s="82">
        <f>IF((WWWW[[#This Row],['#_Constructed/Existing protected/fenced ponds]]*250)/WWWW[[#This Row],[Total PoP ]]&gt;1,1,(WWWW[[#This Row],['#_Constructed/Existing protected/fenced ponds]]*250)/WWWW[[#This Row],[Total PoP ]])</f>
        <v>0</v>
      </c>
      <c r="CD124" s="80">
        <f>WWWW[[#This Row],[% Access to unimproved water points]]*WWWW[[#This Row],[Total PoP ]]</f>
        <v>0</v>
      </c>
      <c r="CE124"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24"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281</v>
      </c>
      <c r="CG124" s="80">
        <f>WWWW[[#This Row],[HRP1]]/500</f>
        <v>0.56200000000000006</v>
      </c>
      <c r="CH124" s="79">
        <f>1-WWWW[[#This Row],[% Equitable and continuous access to sufficient quantity of domestic water]]</f>
        <v>0</v>
      </c>
      <c r="CI124" s="80">
        <f>WWWW[[#This Row],[%equitable and continuous access to sufficient quantity of safe drinking and domestic water''s GAP]]*WWWW[[#This Row],[Total PoP ]]</f>
        <v>0</v>
      </c>
      <c r="CJ124" s="81">
        <f>IF(WWWW[[#This Row],[Total required water points]]-WWWW[[#This Row],['#Water points coverage]]&lt;0,0,WWWW[[#This Row],[Total required water points]]-WWWW[[#This Row],['#Water points coverage]])</f>
        <v>0.43799999999999994</v>
      </c>
      <c r="CK124" s="81">
        <f>ROUND(IF(WWWW[[#This Row],[Total PoP ]]&lt;500,1,WWWW[[#This Row],[Total PoP ]]/500),0)</f>
        <v>1</v>
      </c>
      <c r="CL124" s="81">
        <f>(WWWW[[#This Row],['#_Constructed latrines_by_WASHAgencies]]+WWWW[[#This Row],['#_Non Cluster partner latrines]])-WWWW[[#This Row],['#_Non-functional latrines]]</f>
        <v>15</v>
      </c>
      <c r="CM124"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24"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281</v>
      </c>
      <c r="CO124"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24" s="81">
        <f>IF(WWWW[[#This Row],[Location Type 1]]="Village","NA",IF(WWWW[[#This Row],['#_Constructed/Existing latrines in TLS]]*50&gt;WWWW[[#This Row],['#_students at TLS_CFS]],WWWW[[#This Row],['#_students at TLS_CFS]],(WWWW[[#This Row],['#_Constructed/Existing latrines in TLS]]*50)))</f>
        <v>0</v>
      </c>
      <c r="CQ124" s="81">
        <f>ROUND(IF(WWWW[[#This Row],[Location Type 1]]="camp",WWWW[[#This Row],[Total PoP ]]/20,IF(WWWW[[#This Row],[Location Type 1]]="Temporary Location",WWWW[[#This Row],[Total PoP ]]/50,(WWWW[[#This Row],[Total PoP ]]/6))),0)</f>
        <v>14</v>
      </c>
      <c r="CR124" s="80">
        <f>IF(WWWW[[#This Row],[Total required Latrines]]-(WWWW[[#This Row],['#_Constructed latrines_by_WASHAgencies]]+WWWW[[#This Row],['#_Non Cluster partner latrines]])&lt;0,0,WWWW[[#This Row],[Total required Latrines]]-(WWWW[[#This Row],['#_Constructed latrines_by_WASHAgencies]]+WWWW[[#This Row],['#_Non Cluster partner latrines]]))</f>
        <v>0</v>
      </c>
      <c r="CS124" s="79">
        <f>1-WWWW[[#This Row],[% people access to functioning Latrine]]</f>
        <v>0</v>
      </c>
      <c r="CT124" s="83">
        <f>IF(OR(WWWW[[#This Row],['#_Non-functional latrines]]="",WWWW[[#This Row],['#_Non-functional latrines]]=0),0,WWWW[[#This Row],['#_Non-functional latrines]]/(WWWW[[#This Row],['#_Constructed latrines_by_WASHAgencies]]+WWWW[[#This Row],['#_Non Cluster partner latrines]]))</f>
        <v>0</v>
      </c>
      <c r="CU124" s="80">
        <f>IF(500*(WWWW[[#This Row],['#_male hygiene promoters]]+WWWW[[#This Row],['#_female hygiene promoters]])&gt;WWWW[[#This Row],[Total PoP ]],WWWW[[#This Row],[Total PoP ]],500*(WWWW[[#This Row],['#_male hygiene promoters]]+WWWW[[#This Row],['#_female hygiene promoters]]))</f>
        <v>281</v>
      </c>
      <c r="CV124"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24"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24" s="81">
        <f>IF(WWWW[[#This Row],['# People with access to soap]]&gt;WWWW[[#This Row],['# People with access to Sanity Pads]],WWWW[[#This Row],['# People with access to soap]],WWWW[[#This Row],['# People with access to Sanity Pads]])</f>
        <v>0</v>
      </c>
      <c r="CY124" s="81">
        <f>IF(WWWW[[#This Row],['# people reached by regular dedicated hygiene promotion_5]]&gt;WWWW[[#This Row],['# People received regular supply of hygiene items_6]],WWWW[[#This Row],['# people reached by regular dedicated hygiene promotion_5]],WWWW[[#This Row],['# People received regular supply of hygiene items_6]])</f>
        <v>281</v>
      </c>
      <c r="CZ124" s="79">
        <f>IF(WWWW[[#This Row],[HRP3]]/WWWW[[#This Row],[Total PoP ]]&gt;100%,100%,WWWW[[#This Row],[HRP3]]/WWWW[[#This Row],[Total PoP ]])</f>
        <v>1</v>
      </c>
      <c r="DA124" s="83">
        <f>1-WWWW[[#This Row],[Hygiene Coverage%]]</f>
        <v>0</v>
      </c>
      <c r="DB124" s="82">
        <f>WWWW[[#This Row],['# people reached by regular dedicated hygiene promotion_5]]/WWWW[[#This Row],[Total PoP ]]</f>
        <v>1</v>
      </c>
      <c r="DC124" s="82">
        <f>IF(WWWW[[#This Row],['#_households that received standard amount of soap for this quarter]]/WWWW[[#This Row],[Total HH]]&gt;1,1,WWWW[[#This Row],['#_households that received standard amount of soap for this quarter]]/WWWW[[#This Row],[Total HH]])</f>
        <v>0</v>
      </c>
      <c r="DD124" s="82">
        <f>IF(WWWW[[#This Row],['#_households that received standard amount of sanitary pads for this quarter]]/WWWW[[#This Row],[Total HH]]&gt;1,1,WWWW[[#This Row],['#_households that received standard amount of sanitary pads for this quarter]]/WWWW[[#This Row],[Total HH]])</f>
        <v>0</v>
      </c>
      <c r="DE124" s="81">
        <f>WWWW[[#This Row],['#_Constructed/Existing hand washing stations]]-WWWW[[#This Row],['#_Non-Functional_hand_washing_stations]]</f>
        <v>0</v>
      </c>
      <c r="DF124" s="667">
        <f>IF(WWWW[[#This Row],['# Functional hand washing stations during reporting period]]*20&gt;WWWW[[#This Row],[Total HH]],WWWW[[#This Row],[Total HH]],WWWW[[#This Row],['# Functional hand washing stations during reporting period]]*20)</f>
        <v>0</v>
      </c>
      <c r="DG124" s="80">
        <f>IF(WWWW[[#This Row],[Is sufficient soap available for TLS? (Yes/No)]]="yes",WWWW[[#This Row],['#_Constructed/Existing hand washing stations at TLS]],0)</f>
        <v>0</v>
      </c>
      <c r="DH124" s="667">
        <f>IF(WWWW[[#This Row],['# Functional hand washing stations during reporting period]]*100&gt;WWWW[[#This Row],[Total PoP ]],WWWW[[#This Row],[Total PoP ]],WWWW[[#This Row],['# Functional hand washing stations during reporting period]]*100)</f>
        <v>0</v>
      </c>
      <c r="DI124" s="667" t="str">
        <f>IF(WWWW[[#This Row],['#_students at TLS_CFS]]="","No","Yes")</f>
        <v>No</v>
      </c>
      <c r="DJ124" s="245" t="str">
        <f>VLOOKUP(WWWW[[#This Row],[Site Name]],SiteDB6[[Site Name]:[CCCM Management]],6,FALSE)</f>
        <v>Yes</v>
      </c>
      <c r="DK124" s="245" t="str">
        <f>VLOOKUP(WWWW[[#This Row],[Site Name]],SiteDB6[[Site Name]:[CCCM Focal Agency]],7,FALSE)</f>
        <v>KBC-MYT</v>
      </c>
      <c r="DL124" s="245" t="str">
        <f>VLOOKUP(WWWW[[#This Row],[Site Name]],SiteDB6[[Site Name]:[Location Type 1]],9,FALSE)</f>
        <v>Camp</v>
      </c>
      <c r="DM124" s="245" t="str">
        <f>VLOOKUP(WWWW[[#This Row],[Site Name]],SiteDB6[[Site Name]:[Type of Accommodation]],10,FALSE)</f>
        <v>Camp</v>
      </c>
      <c r="DN124" s="245" t="str">
        <f>VLOOKUP(WWWW[[#This Row],[Site Name]],SiteDB6[[Site Name]:[Ethnic or GCA/NGCA]],11,FALSE)</f>
        <v>GCA</v>
      </c>
      <c r="DO124" s="245">
        <f>VLOOKUP(WWWW[[#This Row],[Site Name]],SiteDB6[[Site Name]:[Lat]],12,FALSE)</f>
        <v>25.422194000000001</v>
      </c>
      <c r="DP124" s="245">
        <f>VLOOKUP(WWWW[[#This Row],[Site Name]],SiteDB6[[Site Name]:[Long]],13,FALSE)</f>
        <v>97.394547000000003</v>
      </c>
      <c r="DQ124" s="245" t="str">
        <f>VLOOKUP(WWWW[[#This Row],[Site Name]],SiteDB6[[Site Name]:[Pcode]],3,FALSE)</f>
        <v>MMR001CMP002</v>
      </c>
      <c r="DR124" s="215" t="str">
        <f t="shared" si="4"/>
        <v>Covered</v>
      </c>
      <c r="DS124" s="215"/>
      <c r="DT124" s="20"/>
      <c r="DU124" s="20"/>
      <c r="DV124" s="20"/>
      <c r="DW124" s="20"/>
      <c r="DX124" s="20"/>
      <c r="DY124" s="20"/>
      <c r="DZ124" s="20"/>
      <c r="EA124" s="20"/>
      <c r="EB124" s="20"/>
      <c r="EC124" s="20"/>
      <c r="ED124" s="20"/>
      <c r="EE124" s="20"/>
      <c r="EF124" s="20"/>
      <c r="EG124" s="20"/>
      <c r="EH124" s="20"/>
    </row>
    <row r="125" spans="1:138" ht="15.75" customHeight="1">
      <c r="A125" s="259" t="s">
        <v>2525</v>
      </c>
      <c r="B125" s="259" t="s">
        <v>149</v>
      </c>
      <c r="C125" s="663" t="s">
        <v>149</v>
      </c>
      <c r="D125" s="701" t="s">
        <v>158</v>
      </c>
      <c r="E125" s="663" t="s">
        <v>39</v>
      </c>
      <c r="F125" s="663" t="s">
        <v>150</v>
      </c>
      <c r="G125" s="663" t="str">
        <f>VLOOKUP(WWWW[[#This Row],[Site Name]],SiteDB6[[Site Name]:[Location Type]],8,FALSE)</f>
        <v>Camp</v>
      </c>
      <c r="H125" s="663" t="s">
        <v>188</v>
      </c>
      <c r="I125" s="700">
        <v>178</v>
      </c>
      <c r="J125" s="700">
        <v>846</v>
      </c>
      <c r="K125" s="642">
        <v>43556</v>
      </c>
      <c r="L125" s="78">
        <v>43677</v>
      </c>
      <c r="M125" s="700"/>
      <c r="N125" s="700"/>
      <c r="O125" s="700"/>
      <c r="P125" s="700"/>
      <c r="Q125" s="663" t="s">
        <v>43</v>
      </c>
      <c r="R125" s="377"/>
      <c r="S125" s="377"/>
      <c r="T125" s="700">
        <v>0</v>
      </c>
      <c r="U125" s="377"/>
      <c r="V125" s="377"/>
      <c r="W125" s="700">
        <v>0</v>
      </c>
      <c r="X125" s="377"/>
      <c r="Y125" s="377"/>
      <c r="Z125" s="377"/>
      <c r="AA125" s="377">
        <v>3</v>
      </c>
      <c r="AB125" s="377"/>
      <c r="AC125" s="377"/>
      <c r="AD125" s="377"/>
      <c r="AE125" s="377"/>
      <c r="AF125" s="377"/>
      <c r="AG125" s="377"/>
      <c r="AH125" s="700">
        <v>0</v>
      </c>
      <c r="AI125" s="377"/>
      <c r="AJ125" s="377"/>
      <c r="AK125" s="377"/>
      <c r="AL125" s="377"/>
      <c r="AM125" s="377"/>
      <c r="AN125" s="377"/>
      <c r="AO125" s="215"/>
      <c r="AP125" s="700">
        <v>150</v>
      </c>
      <c r="AQ125" s="377"/>
      <c r="AR125" s="77"/>
      <c r="AS125" s="377"/>
      <c r="AT125" s="377"/>
      <c r="AU125" s="377"/>
      <c r="AV125" s="377"/>
      <c r="AW125" s="700">
        <v>150</v>
      </c>
      <c r="AX125" s="245" t="s">
        <v>43</v>
      </c>
      <c r="AY125" s="245" t="s">
        <v>145</v>
      </c>
      <c r="AZ125" s="377"/>
      <c r="BA125" s="377"/>
      <c r="BB125" s="377"/>
      <c r="BC125" s="215"/>
      <c r="BD125" s="377"/>
      <c r="BE125" s="377"/>
      <c r="BF125" s="377"/>
      <c r="BG125" s="377">
        <v>4</v>
      </c>
      <c r="BH125" s="377"/>
      <c r="BI125" s="377"/>
      <c r="BJ125" s="377">
        <v>3</v>
      </c>
      <c r="BK125" s="377"/>
      <c r="BL125" s="377"/>
      <c r="BM125" s="215"/>
      <c r="BN125" s="80"/>
      <c r="BO125" s="82"/>
      <c r="BP125" s="215"/>
      <c r="BQ125" s="79" t="str">
        <f>IFERROR(WWWW[[#This Row],['#_Water sources treated]]/WWWW[[#This Row],['#_Water sources tested for contamination]],"no test")</f>
        <v>no test</v>
      </c>
      <c r="BR125" s="82" t="str">
        <f>IFERROR(WWWW[[#This Row],['#_Household received remediation action due to contamination]]/WWWW[[#This Row],['#_Household water samples tested for contamination]],"no test")</f>
        <v>no test</v>
      </c>
      <c r="BS125" s="81" t="str">
        <f>IF(AND(WWWW[[#This Row],[% of water sources treated]]="no test",WWWW[[#This Row],[% Household received corrective actions]]="no test"),"No Test","Tested")</f>
        <v>No Test</v>
      </c>
      <c r="BT125" s="81">
        <f>WWWW[[#This Row],['#_Constructed/existing protected hand dug well]]-WWWW[[#This Row],['#_Non-functional protected hand dug well]]</f>
        <v>0</v>
      </c>
      <c r="BU125" s="81">
        <f>(WWWW[[#This Row],['#_Constructed/Existing tube wells/boreholes/handpumps_WASH_agency]]+WWWW[[#This Row],['#_Non-Cluster partner water tube-wells/boreholes/handpumps]])-WWWW[[#This Row],['#_Non-functional tube wells/boreholes/handpumps]]</f>
        <v>0</v>
      </c>
      <c r="BV125" s="81">
        <f>WWWW[[#This Row],['#_Constructed/Existingwater storage tank with gravity fed reticulation system]]-WWWW[[#This Row],['#_Non-functional storage tank gravity fed reticulation system]]</f>
        <v>3</v>
      </c>
      <c r="BW125" s="81">
        <f>WWWW[[#This Row],['#_Water boating or water trucking]]</f>
        <v>0</v>
      </c>
      <c r="BX125" s="81">
        <f>WWWW[[#This Row],['#_Constructed/Existing water distribution system from river or natural spring]]</f>
        <v>0</v>
      </c>
      <c r="BY125"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0.2364066193853428</v>
      </c>
      <c r="BZ125"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0.2364066193853428</v>
      </c>
      <c r="CA125" s="82">
        <f>IF(WWWW[[#This Row],[Location Type 1]]="Village",WWWW[[#This Row],[Access to safe drinking water for Village]],WWWW[[#This Row],[Access to safe drinking water for Camp]])</f>
        <v>0.2364066193853428</v>
      </c>
      <c r="CB125" s="80">
        <f>WWWW[[#This Row],[%Equitable and continuous access to sufficient quantity of safe drinking water]]*WWWW[[#This Row],[Total PoP ]]</f>
        <v>200</v>
      </c>
      <c r="CC125" s="82">
        <f>IF((WWWW[[#This Row],['#_Constructed/Existing protected/fenced ponds]]*250)/WWWW[[#This Row],[Total PoP ]]&gt;1,1,(WWWW[[#This Row],['#_Constructed/Existing protected/fenced ponds]]*250)/WWWW[[#This Row],[Total PoP ]])</f>
        <v>0</v>
      </c>
      <c r="CD125" s="80">
        <f>WWWW[[#This Row],[% Access to unimproved water points]]*WWWW[[#This Row],[Total PoP ]]</f>
        <v>0</v>
      </c>
      <c r="CE125"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0.2364066193853428</v>
      </c>
      <c r="CF125"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200</v>
      </c>
      <c r="CG125" s="80">
        <f>WWWW[[#This Row],[HRP1]]/500</f>
        <v>0.4</v>
      </c>
      <c r="CH125" s="79">
        <f>1-WWWW[[#This Row],[% Equitable and continuous access to sufficient quantity of domestic water]]</f>
        <v>0.7635933806146572</v>
      </c>
      <c r="CI125" s="80">
        <f>WWWW[[#This Row],[%equitable and continuous access to sufficient quantity of safe drinking and domestic water''s GAP]]*WWWW[[#This Row],[Total PoP ]]</f>
        <v>646</v>
      </c>
      <c r="CJ125" s="81">
        <f>IF(WWWW[[#This Row],[Total required water points]]-WWWW[[#This Row],['#Water points coverage]]&lt;0,0,WWWW[[#This Row],[Total required water points]]-WWWW[[#This Row],['#Water points coverage]])</f>
        <v>1.6</v>
      </c>
      <c r="CK125" s="81">
        <f>ROUND(IF(WWWW[[#This Row],[Total PoP ]]&lt;500,1,WWWW[[#This Row],[Total PoP ]]/500),0)</f>
        <v>2</v>
      </c>
      <c r="CL125" s="81">
        <f>(WWWW[[#This Row],['#_Constructed latrines_by_WASHAgencies]]+WWWW[[#This Row],['#_Non Cluster partner latrines]])-WWWW[[#This Row],['#_Non-functional latrines]]</f>
        <v>150</v>
      </c>
      <c r="CM125"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25"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846</v>
      </c>
      <c r="CO125"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25" s="81">
        <f>IF(WWWW[[#This Row],[Location Type 1]]="Village","NA",IF(WWWW[[#This Row],['#_Constructed/Existing latrines in TLS]]*50&gt;WWWW[[#This Row],['#_students at TLS_CFS]],WWWW[[#This Row],['#_students at TLS_CFS]],(WWWW[[#This Row],['#_Constructed/Existing latrines in TLS]]*50)))</f>
        <v>0</v>
      </c>
      <c r="CQ125" s="81">
        <f>ROUND(IF(WWWW[[#This Row],[Location Type 1]]="camp",WWWW[[#This Row],[Total PoP ]]/20,IF(WWWW[[#This Row],[Location Type 1]]="Temporary Location",WWWW[[#This Row],[Total PoP ]]/50,(WWWW[[#This Row],[Total PoP ]]/6))),0)</f>
        <v>141</v>
      </c>
      <c r="CR125" s="80">
        <f>IF(WWWW[[#This Row],[Total required Latrines]]-(WWWW[[#This Row],['#_Constructed latrines_by_WASHAgencies]]+WWWW[[#This Row],['#_Non Cluster partner latrines]])&lt;0,0,WWWW[[#This Row],[Total required Latrines]]-(WWWW[[#This Row],['#_Constructed latrines_by_WASHAgencies]]+WWWW[[#This Row],['#_Non Cluster partner latrines]]))</f>
        <v>0</v>
      </c>
      <c r="CS125" s="79">
        <f>1-WWWW[[#This Row],[% people access to functioning Latrine]]</f>
        <v>0</v>
      </c>
      <c r="CT125" s="83">
        <f>IF(OR(WWWW[[#This Row],['#_Non-functional latrines]]="",WWWW[[#This Row],['#_Non-functional latrines]]=0),0,WWWW[[#This Row],['#_Non-functional latrines]]/(WWWW[[#This Row],['#_Constructed latrines_by_WASHAgencies]]+WWWW[[#This Row],['#_Non Cluster partner latrines]]))</f>
        <v>0</v>
      </c>
      <c r="CU125" s="80">
        <f>IF(500*(WWWW[[#This Row],['#_male hygiene promoters]]+WWWW[[#This Row],['#_female hygiene promoters]])&gt;WWWW[[#This Row],[Total PoP ]],WWWW[[#This Row],[Total PoP ]],500*(WWWW[[#This Row],['#_male hygiene promoters]]+WWWW[[#This Row],['#_female hygiene promoters]]))</f>
        <v>846</v>
      </c>
      <c r="CV125"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25"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25" s="81">
        <f>IF(WWWW[[#This Row],['# People with access to soap]]&gt;WWWW[[#This Row],['# People with access to Sanity Pads]],WWWW[[#This Row],['# People with access to soap]],WWWW[[#This Row],['# People with access to Sanity Pads]])</f>
        <v>0</v>
      </c>
      <c r="CY125" s="81">
        <f>IF(WWWW[[#This Row],['# people reached by regular dedicated hygiene promotion_5]]&gt;WWWW[[#This Row],['# People received regular supply of hygiene items_6]],WWWW[[#This Row],['# people reached by regular dedicated hygiene promotion_5]],WWWW[[#This Row],['# People received regular supply of hygiene items_6]])</f>
        <v>846</v>
      </c>
      <c r="CZ125" s="79">
        <f>IF(WWWW[[#This Row],[HRP3]]/WWWW[[#This Row],[Total PoP ]]&gt;100%,100%,WWWW[[#This Row],[HRP3]]/WWWW[[#This Row],[Total PoP ]])</f>
        <v>1</v>
      </c>
      <c r="DA125" s="83">
        <f>1-WWWW[[#This Row],[Hygiene Coverage%]]</f>
        <v>0</v>
      </c>
      <c r="DB125" s="82">
        <f>WWWW[[#This Row],['# people reached by regular dedicated hygiene promotion_5]]/WWWW[[#This Row],[Total PoP ]]</f>
        <v>1</v>
      </c>
      <c r="DC125" s="82">
        <f>IF(WWWW[[#This Row],['#_households that received standard amount of soap for this quarter]]/WWWW[[#This Row],[Total HH]]&gt;1,1,WWWW[[#This Row],['#_households that received standard amount of soap for this quarter]]/WWWW[[#This Row],[Total HH]])</f>
        <v>0</v>
      </c>
      <c r="DD125" s="82">
        <f>IF(WWWW[[#This Row],['#_households that received standard amount of sanitary pads for this quarter]]/WWWW[[#This Row],[Total HH]]&gt;1,1,WWWW[[#This Row],['#_households that received standard amount of sanitary pads for this quarter]]/WWWW[[#This Row],[Total HH]])</f>
        <v>0</v>
      </c>
      <c r="DE125" s="81">
        <f>WWWW[[#This Row],['#_Constructed/Existing hand washing stations]]-WWWW[[#This Row],['#_Non-Functional_hand_washing_stations]]</f>
        <v>0</v>
      </c>
      <c r="DF125" s="667">
        <f>IF(WWWW[[#This Row],['# Functional hand washing stations during reporting period]]*20&gt;WWWW[[#This Row],[Total HH]],WWWW[[#This Row],[Total HH]],WWWW[[#This Row],['# Functional hand washing stations during reporting period]]*20)</f>
        <v>0</v>
      </c>
      <c r="DG125" s="80">
        <f>IF(WWWW[[#This Row],[Is sufficient soap available for TLS? (Yes/No)]]="yes",WWWW[[#This Row],['#_Constructed/Existing hand washing stations at TLS]],0)</f>
        <v>0</v>
      </c>
      <c r="DH125" s="667">
        <f>IF(WWWW[[#This Row],['# Functional hand washing stations during reporting period]]*100&gt;WWWW[[#This Row],[Total PoP ]],WWWW[[#This Row],[Total PoP ]],WWWW[[#This Row],['# Functional hand washing stations during reporting period]]*100)</f>
        <v>0</v>
      </c>
      <c r="DI125" s="667" t="str">
        <f>IF(WWWW[[#This Row],['#_students at TLS_CFS]]="","No","Yes")</f>
        <v>No</v>
      </c>
      <c r="DJ125" s="245" t="str">
        <f>VLOOKUP(WWWW[[#This Row],[Site Name]],SiteDB6[[Site Name]:[CCCM Management]],6,FALSE)</f>
        <v>Yes</v>
      </c>
      <c r="DK125" s="245" t="str">
        <f>VLOOKUP(WWWW[[#This Row],[Site Name]],SiteDB6[[Site Name]:[CCCM Focal Agency]],7,FALSE)</f>
        <v>KBC-MYT</v>
      </c>
      <c r="DL125" s="245" t="str">
        <f>VLOOKUP(WWWW[[#This Row],[Site Name]],SiteDB6[[Site Name]:[Location Type 1]],9,FALSE)</f>
        <v>Village Type Camp</v>
      </c>
      <c r="DM125" s="245" t="str">
        <f>VLOOKUP(WWWW[[#This Row],[Site Name]],SiteDB6[[Site Name]:[Type of Accommodation]],10,FALSE)</f>
        <v>Camp</v>
      </c>
      <c r="DN125" s="245" t="str">
        <f>VLOOKUP(WWWW[[#This Row],[Site Name]],SiteDB6[[Site Name]:[Ethnic or GCA/NGCA]],11,FALSE)</f>
        <v>NGCA</v>
      </c>
      <c r="DO125" s="245">
        <f>VLOOKUP(WWWW[[#This Row],[Site Name]],SiteDB6[[Site Name]:[Lat]],12,FALSE)</f>
        <v>24.831944</v>
      </c>
      <c r="DP125" s="245">
        <f>VLOOKUP(WWWW[[#This Row],[Site Name]],SiteDB6[[Site Name]:[Long]],13,FALSE)</f>
        <v>97.751389000000003</v>
      </c>
      <c r="DQ125" s="245" t="str">
        <f>VLOOKUP(WWWW[[#This Row],[Site Name]],SiteDB6[[Site Name]:[Pcode]],3,FALSE)</f>
        <v>MMR001CMP120</v>
      </c>
      <c r="DR125" s="215" t="str">
        <f t="shared" si="4"/>
        <v>Covered</v>
      </c>
      <c r="DS125" s="215"/>
      <c r="DT125" s="20"/>
      <c r="DU125" s="20"/>
      <c r="DV125" s="20"/>
      <c r="DW125" s="20"/>
      <c r="DX125" s="20"/>
      <c r="DY125" s="20"/>
      <c r="DZ125" s="20"/>
      <c r="EA125" s="20"/>
      <c r="EB125" s="20"/>
      <c r="EC125" s="20"/>
      <c r="ED125" s="20"/>
      <c r="EE125" s="20"/>
      <c r="EF125" s="20"/>
      <c r="EG125" s="20"/>
      <c r="EH125" s="20"/>
    </row>
    <row r="126" spans="1:138" ht="15.75" customHeight="1">
      <c r="A126" s="259" t="s">
        <v>2525</v>
      </c>
      <c r="B126" s="259" t="s">
        <v>149</v>
      </c>
      <c r="C126" s="663" t="s">
        <v>149</v>
      </c>
      <c r="D126" s="663" t="s">
        <v>307</v>
      </c>
      <c r="E126" s="663" t="s">
        <v>39</v>
      </c>
      <c r="F126" s="663" t="s">
        <v>222</v>
      </c>
      <c r="G126" s="663" t="str">
        <f>VLOOKUP(WWWW[[#This Row],[Site Name]],SiteDB6[[Site Name]:[Location Type]],8,FALSE)</f>
        <v>Camp_not registered</v>
      </c>
      <c r="H126" s="663" t="s">
        <v>2087</v>
      </c>
      <c r="I126" s="700">
        <v>228</v>
      </c>
      <c r="J126" s="700">
        <v>1015</v>
      </c>
      <c r="K126" s="642"/>
      <c r="L126" s="78">
        <v>43768</v>
      </c>
      <c r="M126" s="700"/>
      <c r="N126" s="700"/>
      <c r="O126" s="700"/>
      <c r="P126" s="700"/>
      <c r="Q126" s="77"/>
      <c r="R126" s="377"/>
      <c r="S126" s="377"/>
      <c r="T126" s="700">
        <v>13</v>
      </c>
      <c r="U126" s="377"/>
      <c r="V126" s="377"/>
      <c r="W126" s="700">
        <v>1</v>
      </c>
      <c r="X126" s="377"/>
      <c r="Y126" s="377"/>
      <c r="Z126" s="377"/>
      <c r="AA126" s="377"/>
      <c r="AB126" s="377"/>
      <c r="AC126" s="377"/>
      <c r="AD126" s="377"/>
      <c r="AE126" s="377"/>
      <c r="AF126" s="377"/>
      <c r="AG126" s="377"/>
      <c r="AH126" s="700">
        <v>0</v>
      </c>
      <c r="AI126" s="377"/>
      <c r="AJ126" s="377"/>
      <c r="AK126" s="377"/>
      <c r="AL126" s="377"/>
      <c r="AM126" s="377"/>
      <c r="AN126" s="377"/>
      <c r="AO126" s="215"/>
      <c r="AP126" s="700">
        <v>16</v>
      </c>
      <c r="AQ126" s="377"/>
      <c r="AR126" s="77"/>
      <c r="AS126" s="377"/>
      <c r="AT126" s="377"/>
      <c r="AU126" s="377"/>
      <c r="AV126" s="377"/>
      <c r="AW126" s="700">
        <v>16</v>
      </c>
      <c r="AX126" s="245" t="s">
        <v>43</v>
      </c>
      <c r="AY126" s="245" t="s">
        <v>144</v>
      </c>
      <c r="AZ126" s="377"/>
      <c r="BA126" s="377"/>
      <c r="BB126" s="377"/>
      <c r="BC126" s="215"/>
      <c r="BD126" s="377"/>
      <c r="BE126" s="377"/>
      <c r="BF126" s="377"/>
      <c r="BG126" s="377">
        <v>0</v>
      </c>
      <c r="BH126" s="377"/>
      <c r="BI126" s="377"/>
      <c r="BJ126" s="377">
        <v>0</v>
      </c>
      <c r="BK126" s="377"/>
      <c r="BL126" s="377"/>
      <c r="BM126" s="215"/>
      <c r="BN126" s="80"/>
      <c r="BO126" s="82"/>
      <c r="BP126" s="215"/>
      <c r="BQ126" s="79" t="str">
        <f>IFERROR(WWWW[[#This Row],['#_Water sources treated]]/WWWW[[#This Row],['#_Water sources tested for contamination]],"no test")</f>
        <v>no test</v>
      </c>
      <c r="BR126" s="82" t="str">
        <f>IFERROR(WWWW[[#This Row],['#_Household received remediation action due to contamination]]/WWWW[[#This Row],['#_Household water samples tested for contamination]],"no test")</f>
        <v>no test</v>
      </c>
      <c r="BS126" s="81" t="str">
        <f>IF(AND(WWWW[[#This Row],[% of water sources treated]]="no test",WWWW[[#This Row],[% Household received corrective actions]]="no test"),"No Test","Tested")</f>
        <v>No Test</v>
      </c>
      <c r="BT126" s="81">
        <f>WWWW[[#This Row],['#_Constructed/existing protected hand dug well]]-WWWW[[#This Row],['#_Non-functional protected hand dug well]]</f>
        <v>13</v>
      </c>
      <c r="BU126" s="81">
        <f>(WWWW[[#This Row],['#_Constructed/Existing tube wells/boreholes/handpumps_WASH_agency]]+WWWW[[#This Row],['#_Non-Cluster partner water tube-wells/boreholes/handpumps]])-WWWW[[#This Row],['#_Non-functional tube wells/boreholes/handpumps]]</f>
        <v>1</v>
      </c>
      <c r="BV126" s="81">
        <f>WWWW[[#This Row],['#_Constructed/Existingwater storage tank with gravity fed reticulation system]]-WWWW[[#This Row],['#_Non-functional storage tank gravity fed reticulation system]]</f>
        <v>0</v>
      </c>
      <c r="BW126" s="81">
        <f>WWWW[[#This Row],['#_Water boating or water trucking]]</f>
        <v>0</v>
      </c>
      <c r="BX126" s="81">
        <f>WWWW[[#This Row],['#_Constructed/Existing water distribution system from river or natural spring]]</f>
        <v>0</v>
      </c>
      <c r="BY126"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26"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26" s="82">
        <f>IF(WWWW[[#This Row],[Location Type 1]]="Village",WWWW[[#This Row],[Access to safe drinking water for Village]],WWWW[[#This Row],[Access to safe drinking water for Camp]])</f>
        <v>1</v>
      </c>
      <c r="CB126" s="80">
        <f>WWWW[[#This Row],[%Equitable and continuous access to sufficient quantity of safe drinking water]]*WWWW[[#This Row],[Total PoP ]]</f>
        <v>1015</v>
      </c>
      <c r="CC126" s="82">
        <f>IF((WWWW[[#This Row],['#_Constructed/Existing protected/fenced ponds]]*250)/WWWW[[#This Row],[Total PoP ]]&gt;1,1,(WWWW[[#This Row],['#_Constructed/Existing protected/fenced ponds]]*250)/WWWW[[#This Row],[Total PoP ]])</f>
        <v>0</v>
      </c>
      <c r="CD126" s="80">
        <f>WWWW[[#This Row],[% Access to unimproved water points]]*WWWW[[#This Row],[Total PoP ]]</f>
        <v>0</v>
      </c>
      <c r="CE126"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26"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1015</v>
      </c>
      <c r="CG126" s="80">
        <f>WWWW[[#This Row],[HRP1]]/500</f>
        <v>2.0299999999999998</v>
      </c>
      <c r="CH126" s="79">
        <f>1-WWWW[[#This Row],[% Equitable and continuous access to sufficient quantity of domestic water]]</f>
        <v>0</v>
      </c>
      <c r="CI126" s="80">
        <f>WWWW[[#This Row],[%equitable and continuous access to sufficient quantity of safe drinking and domestic water''s GAP]]*WWWW[[#This Row],[Total PoP ]]</f>
        <v>0</v>
      </c>
      <c r="CJ126" s="81">
        <f>IF(WWWW[[#This Row],[Total required water points]]-WWWW[[#This Row],['#Water points coverage]]&lt;0,0,WWWW[[#This Row],[Total required water points]]-WWWW[[#This Row],['#Water points coverage]])</f>
        <v>0</v>
      </c>
      <c r="CK126" s="81">
        <f>ROUND(IF(WWWW[[#This Row],[Total PoP ]]&lt;500,1,WWWW[[#This Row],[Total PoP ]]/500),0)</f>
        <v>2</v>
      </c>
      <c r="CL126" s="81">
        <f>(WWWW[[#This Row],['#_Constructed latrines_by_WASHAgencies]]+WWWW[[#This Row],['#_Non Cluster partner latrines]])-WWWW[[#This Row],['#_Non-functional latrines]]</f>
        <v>16</v>
      </c>
      <c r="CM126"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0.31527093596059114</v>
      </c>
      <c r="CN126"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320</v>
      </c>
      <c r="CO126"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26" s="81">
        <f>IF(WWWW[[#This Row],[Location Type 1]]="Village","NA",IF(WWWW[[#This Row],['#_Constructed/Existing latrines in TLS]]*50&gt;WWWW[[#This Row],['#_students at TLS_CFS]],WWWW[[#This Row],['#_students at TLS_CFS]],(WWWW[[#This Row],['#_Constructed/Existing latrines in TLS]]*50)))</f>
        <v>0</v>
      </c>
      <c r="CQ126" s="81">
        <f>ROUND(IF(WWWW[[#This Row],[Location Type 1]]="camp",WWWW[[#This Row],[Total PoP ]]/20,IF(WWWW[[#This Row],[Location Type 1]]="Temporary Location",WWWW[[#This Row],[Total PoP ]]/50,(WWWW[[#This Row],[Total PoP ]]/6))),0)</f>
        <v>51</v>
      </c>
      <c r="CR126" s="80">
        <f>IF(WWWW[[#This Row],[Total required Latrines]]-(WWWW[[#This Row],['#_Constructed latrines_by_WASHAgencies]]+WWWW[[#This Row],['#_Non Cluster partner latrines]])&lt;0,0,WWWW[[#This Row],[Total required Latrines]]-(WWWW[[#This Row],['#_Constructed latrines_by_WASHAgencies]]+WWWW[[#This Row],['#_Non Cluster partner latrines]]))</f>
        <v>35</v>
      </c>
      <c r="CS126" s="79">
        <f>1-WWWW[[#This Row],[% people access to functioning Latrine]]</f>
        <v>0.68472906403940881</v>
      </c>
      <c r="CT126" s="83">
        <f>IF(OR(WWWW[[#This Row],['#_Non-functional latrines]]="",WWWW[[#This Row],['#_Non-functional latrines]]=0),0,WWWW[[#This Row],['#_Non-functional latrines]]/(WWWW[[#This Row],['#_Constructed latrines_by_WASHAgencies]]+WWWW[[#This Row],['#_Non Cluster partner latrines]]))</f>
        <v>0</v>
      </c>
      <c r="CU126" s="80">
        <f>IF(500*(WWWW[[#This Row],['#_male hygiene promoters]]+WWWW[[#This Row],['#_female hygiene promoters]])&gt;WWWW[[#This Row],[Total PoP ]],WWWW[[#This Row],[Total PoP ]],500*(WWWW[[#This Row],['#_male hygiene promoters]]+WWWW[[#This Row],['#_female hygiene promoters]]))</f>
        <v>0</v>
      </c>
      <c r="CV126"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26"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26" s="81">
        <f>IF(WWWW[[#This Row],['# People with access to soap]]&gt;WWWW[[#This Row],['# People with access to Sanity Pads]],WWWW[[#This Row],['# People with access to soap]],WWWW[[#This Row],['# People with access to Sanity Pads]])</f>
        <v>0</v>
      </c>
      <c r="CY126"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26" s="79">
        <f>IF(WWWW[[#This Row],[HRP3]]/WWWW[[#This Row],[Total PoP ]]&gt;100%,100%,WWWW[[#This Row],[HRP3]]/WWWW[[#This Row],[Total PoP ]])</f>
        <v>0</v>
      </c>
      <c r="DA126" s="83">
        <f>1-WWWW[[#This Row],[Hygiene Coverage%]]</f>
        <v>1</v>
      </c>
      <c r="DB126" s="82">
        <f>WWWW[[#This Row],['# people reached by regular dedicated hygiene promotion_5]]/WWWW[[#This Row],[Total PoP ]]</f>
        <v>0</v>
      </c>
      <c r="DC126" s="82">
        <f>IF(WWWW[[#This Row],['#_households that received standard amount of soap for this quarter]]/WWWW[[#This Row],[Total HH]]&gt;1,1,WWWW[[#This Row],['#_households that received standard amount of soap for this quarter]]/WWWW[[#This Row],[Total HH]])</f>
        <v>0</v>
      </c>
      <c r="DD126" s="82">
        <f>IF(WWWW[[#This Row],['#_households that received standard amount of sanitary pads for this quarter]]/WWWW[[#This Row],[Total HH]]&gt;1,1,WWWW[[#This Row],['#_households that received standard amount of sanitary pads for this quarter]]/WWWW[[#This Row],[Total HH]])</f>
        <v>0</v>
      </c>
      <c r="DE126" s="81">
        <f>WWWW[[#This Row],['#_Constructed/Existing hand washing stations]]-WWWW[[#This Row],['#_Non-Functional_hand_washing_stations]]</f>
        <v>0</v>
      </c>
      <c r="DF126" s="667">
        <f>IF(WWWW[[#This Row],['# Functional hand washing stations during reporting period]]*20&gt;WWWW[[#This Row],[Total HH]],WWWW[[#This Row],[Total HH]],WWWW[[#This Row],['# Functional hand washing stations during reporting period]]*20)</f>
        <v>0</v>
      </c>
      <c r="DG126" s="80">
        <f>IF(WWWW[[#This Row],[Is sufficient soap available for TLS? (Yes/No)]]="yes",WWWW[[#This Row],['#_Constructed/Existing hand washing stations at TLS]],0)</f>
        <v>0</v>
      </c>
      <c r="DH126" s="667">
        <f>IF(WWWW[[#This Row],['# Functional hand washing stations during reporting period]]*100&gt;WWWW[[#This Row],[Total PoP ]],WWWW[[#This Row],[Total PoP ]],WWWW[[#This Row],['# Functional hand washing stations during reporting period]]*100)</f>
        <v>0</v>
      </c>
      <c r="DI126" s="667" t="str">
        <f>IF(WWWW[[#This Row],['#_students at TLS_CFS]]="","No","Yes")</f>
        <v>No</v>
      </c>
      <c r="DJ126" s="245">
        <f>VLOOKUP(WWWW[[#This Row],[Site Name]],SiteDB6[[Site Name]:[CCCM Management]],6,FALSE)</f>
        <v>0</v>
      </c>
      <c r="DK126" s="245">
        <f>VLOOKUP(WWWW[[#This Row],[Site Name]],SiteDB6[[Site Name]:[CCCM Focal Agency]],7,FALSE)</f>
        <v>0</v>
      </c>
      <c r="DL126" s="245" t="str">
        <f>VLOOKUP(WWWW[[#This Row],[Site Name]],SiteDB6[[Site Name]:[Location Type 1]],9,FALSE)</f>
        <v>Camp</v>
      </c>
      <c r="DM126" s="245" t="str">
        <f>VLOOKUP(WWWW[[#This Row],[Site Name]],SiteDB6[[Site Name]:[Type of Accommodation]],10,FALSE)</f>
        <v>Camp like setting</v>
      </c>
      <c r="DN126" s="245" t="str">
        <f>VLOOKUP(WWWW[[#This Row],[Site Name]],SiteDB6[[Site Name]:[Ethnic or GCA/NGCA]],11,FALSE)</f>
        <v>NGCA</v>
      </c>
      <c r="DO126" s="245">
        <f>VLOOKUP(WWWW[[#This Row],[Site Name]],SiteDB6[[Site Name]:[Lat]],12,FALSE)</f>
        <v>0</v>
      </c>
      <c r="DP126" s="245">
        <f>VLOOKUP(WWWW[[#This Row],[Site Name]],SiteDB6[[Site Name]:[Long]],13,FALSE)</f>
        <v>0</v>
      </c>
      <c r="DQ126" s="245">
        <f>VLOOKUP(WWWW[[#This Row],[Site Name]],SiteDB6[[Site Name]:[Pcode]],3,FALSE)</f>
        <v>0</v>
      </c>
      <c r="DR126" s="215" t="str">
        <f t="shared" si="4"/>
        <v>Covered</v>
      </c>
      <c r="DS126" s="215"/>
      <c r="DT126" s="20"/>
      <c r="DU126" s="20"/>
      <c r="DV126" s="20"/>
      <c r="DW126" s="20"/>
      <c r="DX126" s="20"/>
      <c r="DY126" s="20"/>
      <c r="DZ126" s="20"/>
      <c r="EA126" s="20"/>
      <c r="EB126" s="20"/>
      <c r="EC126" s="20"/>
      <c r="ED126" s="20"/>
      <c r="EE126" s="20"/>
      <c r="EF126" s="20"/>
      <c r="EG126" s="20"/>
      <c r="EH126" s="20"/>
    </row>
    <row r="127" spans="1:138" ht="15.75" customHeight="1">
      <c r="A127" s="259" t="s">
        <v>2525</v>
      </c>
      <c r="B127" s="259" t="s">
        <v>149</v>
      </c>
      <c r="C127" s="663" t="s">
        <v>149</v>
      </c>
      <c r="D127" s="701" t="s">
        <v>152</v>
      </c>
      <c r="E127" s="663" t="s">
        <v>39</v>
      </c>
      <c r="F127" s="663" t="s">
        <v>150</v>
      </c>
      <c r="G127" s="663" t="str">
        <f>VLOOKUP(WWWW[[#This Row],[Site Name]],SiteDB6[[Site Name]:[Location Type]],8,FALSE)</f>
        <v>Camp</v>
      </c>
      <c r="H127" s="663" t="s">
        <v>189</v>
      </c>
      <c r="I127" s="700">
        <v>60</v>
      </c>
      <c r="J127" s="700">
        <v>307</v>
      </c>
      <c r="K127" s="642">
        <v>43556</v>
      </c>
      <c r="L127" s="78">
        <v>43677</v>
      </c>
      <c r="M127" s="700"/>
      <c r="N127" s="700"/>
      <c r="O127" s="700"/>
      <c r="P127" s="700"/>
      <c r="Q127" s="663" t="s">
        <v>43</v>
      </c>
      <c r="R127" s="377"/>
      <c r="S127" s="377"/>
      <c r="T127" s="700">
        <v>1</v>
      </c>
      <c r="U127" s="377"/>
      <c r="V127" s="377"/>
      <c r="W127" s="700">
        <v>0</v>
      </c>
      <c r="X127" s="377"/>
      <c r="Y127" s="377"/>
      <c r="Z127" s="377"/>
      <c r="AA127" s="377"/>
      <c r="AB127" s="377"/>
      <c r="AC127" s="377"/>
      <c r="AD127" s="377"/>
      <c r="AE127" s="377"/>
      <c r="AF127" s="377"/>
      <c r="AG127" s="377"/>
      <c r="AH127" s="700">
        <v>1</v>
      </c>
      <c r="AI127" s="377"/>
      <c r="AJ127" s="377"/>
      <c r="AK127" s="377"/>
      <c r="AL127" s="377"/>
      <c r="AM127" s="377"/>
      <c r="AN127" s="377"/>
      <c r="AO127" s="215"/>
      <c r="AP127" s="700">
        <v>10</v>
      </c>
      <c r="AQ127" s="377"/>
      <c r="AR127" s="77"/>
      <c r="AS127" s="377"/>
      <c r="AT127" s="377"/>
      <c r="AU127" s="377"/>
      <c r="AV127" s="377"/>
      <c r="AW127" s="700">
        <v>10</v>
      </c>
      <c r="AX127" s="245" t="s">
        <v>43</v>
      </c>
      <c r="AY127" s="245" t="s">
        <v>145</v>
      </c>
      <c r="AZ127" s="377"/>
      <c r="BA127" s="377"/>
      <c r="BB127" s="377"/>
      <c r="BC127" s="215"/>
      <c r="BD127" s="377"/>
      <c r="BE127" s="377"/>
      <c r="BF127" s="377"/>
      <c r="BG127" s="377">
        <v>2</v>
      </c>
      <c r="BH127" s="377"/>
      <c r="BI127" s="377"/>
      <c r="BJ127" s="377">
        <v>1</v>
      </c>
      <c r="BK127" s="377"/>
      <c r="BL127" s="377"/>
      <c r="BM127" s="215"/>
      <c r="BN127" s="80"/>
      <c r="BO127" s="82"/>
      <c r="BP127" s="215"/>
      <c r="BQ127" s="79" t="str">
        <f>IFERROR(WWWW[[#This Row],['#_Water sources treated]]/WWWW[[#This Row],['#_Water sources tested for contamination]],"no test")</f>
        <v>no test</v>
      </c>
      <c r="BR127" s="82" t="str">
        <f>IFERROR(WWWW[[#This Row],['#_Household received remediation action due to contamination]]/WWWW[[#This Row],['#_Household water samples tested for contamination]],"no test")</f>
        <v>no test</v>
      </c>
      <c r="BS127" s="81" t="str">
        <f>IF(AND(WWWW[[#This Row],[% of water sources treated]]="no test",WWWW[[#This Row],[% Household received corrective actions]]="no test"),"No Test","Tested")</f>
        <v>No Test</v>
      </c>
      <c r="BT127" s="81">
        <f>WWWW[[#This Row],['#_Constructed/existing protected hand dug well]]-WWWW[[#This Row],['#_Non-functional protected hand dug well]]</f>
        <v>1</v>
      </c>
      <c r="BU127" s="81">
        <f>(WWWW[[#This Row],['#_Constructed/Existing tube wells/boreholes/handpumps_WASH_agency]]+WWWW[[#This Row],['#_Non-Cluster partner water tube-wells/boreholes/handpumps]])-WWWW[[#This Row],['#_Non-functional tube wells/boreholes/handpumps]]</f>
        <v>0</v>
      </c>
      <c r="BV127" s="81">
        <f>WWWW[[#This Row],['#_Constructed/Existingwater storage tank with gravity fed reticulation system]]-WWWW[[#This Row],['#_Non-functional storage tank gravity fed reticulation system]]</f>
        <v>0</v>
      </c>
      <c r="BW127" s="81">
        <f>WWWW[[#This Row],['#_Water boating or water trucking]]</f>
        <v>0</v>
      </c>
      <c r="BX127" s="81">
        <f>WWWW[[#This Row],['#_Constructed/Existing water distribution system from river or natural spring]]</f>
        <v>0</v>
      </c>
      <c r="BY127"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27"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0.81433224755700329</v>
      </c>
      <c r="CA127" s="82">
        <f>IF(WWWW[[#This Row],[Location Type 1]]="Village",WWWW[[#This Row],[Access to safe drinking water for Village]],WWWW[[#This Row],[Access to safe drinking water for Camp]])</f>
        <v>1</v>
      </c>
      <c r="CB127" s="80">
        <f>WWWW[[#This Row],[%Equitable and continuous access to sufficient quantity of safe drinking water]]*WWWW[[#This Row],[Total PoP ]]</f>
        <v>307</v>
      </c>
      <c r="CC127" s="82">
        <f>IF((WWWW[[#This Row],['#_Constructed/Existing protected/fenced ponds]]*250)/WWWW[[#This Row],[Total PoP ]]&gt;1,1,(WWWW[[#This Row],['#_Constructed/Existing protected/fenced ponds]]*250)/WWWW[[#This Row],[Total PoP ]])</f>
        <v>0</v>
      </c>
      <c r="CD127" s="80">
        <f>WWWW[[#This Row],[% Access to unimproved water points]]*WWWW[[#This Row],[Total PoP ]]</f>
        <v>0</v>
      </c>
      <c r="CE127"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27"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307</v>
      </c>
      <c r="CG127" s="80">
        <f>WWWW[[#This Row],[HRP1]]/500</f>
        <v>0.61399999999999999</v>
      </c>
      <c r="CH127" s="79">
        <f>1-WWWW[[#This Row],[% Equitable and continuous access to sufficient quantity of domestic water]]</f>
        <v>0</v>
      </c>
      <c r="CI127" s="80">
        <f>WWWW[[#This Row],[%equitable and continuous access to sufficient quantity of safe drinking and domestic water''s GAP]]*WWWW[[#This Row],[Total PoP ]]</f>
        <v>0</v>
      </c>
      <c r="CJ127" s="81">
        <f>IF(WWWW[[#This Row],[Total required water points]]-WWWW[[#This Row],['#Water points coverage]]&lt;0,0,WWWW[[#This Row],[Total required water points]]-WWWW[[#This Row],['#Water points coverage]])</f>
        <v>0.38600000000000001</v>
      </c>
      <c r="CK127" s="81">
        <f>ROUND(IF(WWWW[[#This Row],[Total PoP ]]&lt;500,1,WWWW[[#This Row],[Total PoP ]]/500),0)</f>
        <v>1</v>
      </c>
      <c r="CL127" s="81">
        <f>(WWWW[[#This Row],['#_Constructed latrines_by_WASHAgencies]]+WWWW[[#This Row],['#_Non Cluster partner latrines]])-WWWW[[#This Row],['#_Non-functional latrines]]</f>
        <v>10</v>
      </c>
      <c r="CM127"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0.65146579804560256</v>
      </c>
      <c r="CN127"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200</v>
      </c>
      <c r="CO127"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27" s="81">
        <f>IF(WWWW[[#This Row],[Location Type 1]]="Village","NA",IF(WWWW[[#This Row],['#_Constructed/Existing latrines in TLS]]*50&gt;WWWW[[#This Row],['#_students at TLS_CFS]],WWWW[[#This Row],['#_students at TLS_CFS]],(WWWW[[#This Row],['#_Constructed/Existing latrines in TLS]]*50)))</f>
        <v>0</v>
      </c>
      <c r="CQ127" s="81">
        <f>ROUND(IF(WWWW[[#This Row],[Location Type 1]]="camp",WWWW[[#This Row],[Total PoP ]]/20,IF(WWWW[[#This Row],[Location Type 1]]="Temporary Location",WWWW[[#This Row],[Total PoP ]]/50,(WWWW[[#This Row],[Total PoP ]]/6))),0)</f>
        <v>15</v>
      </c>
      <c r="CR127" s="80">
        <f>IF(WWWW[[#This Row],[Total required Latrines]]-(WWWW[[#This Row],['#_Constructed latrines_by_WASHAgencies]]+WWWW[[#This Row],['#_Non Cluster partner latrines]])&lt;0,0,WWWW[[#This Row],[Total required Latrines]]-(WWWW[[#This Row],['#_Constructed latrines_by_WASHAgencies]]+WWWW[[#This Row],['#_Non Cluster partner latrines]]))</f>
        <v>5</v>
      </c>
      <c r="CS127" s="79">
        <f>1-WWWW[[#This Row],[% people access to functioning Latrine]]</f>
        <v>0.34853420195439744</v>
      </c>
      <c r="CT127" s="83">
        <f>IF(OR(WWWW[[#This Row],['#_Non-functional latrines]]="",WWWW[[#This Row],['#_Non-functional latrines]]=0),0,WWWW[[#This Row],['#_Non-functional latrines]]/(WWWW[[#This Row],['#_Constructed latrines_by_WASHAgencies]]+WWWW[[#This Row],['#_Non Cluster partner latrines]]))</f>
        <v>0</v>
      </c>
      <c r="CU127" s="80">
        <f>IF(500*(WWWW[[#This Row],['#_male hygiene promoters]]+WWWW[[#This Row],['#_female hygiene promoters]])&gt;WWWW[[#This Row],[Total PoP ]],WWWW[[#This Row],[Total PoP ]],500*(WWWW[[#This Row],['#_male hygiene promoters]]+WWWW[[#This Row],['#_female hygiene promoters]]))</f>
        <v>307</v>
      </c>
      <c r="CV127"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27"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27" s="81">
        <f>IF(WWWW[[#This Row],['# People with access to soap]]&gt;WWWW[[#This Row],['# People with access to Sanity Pads]],WWWW[[#This Row],['# People with access to soap]],WWWW[[#This Row],['# People with access to Sanity Pads]])</f>
        <v>0</v>
      </c>
      <c r="CY127" s="81">
        <f>IF(WWWW[[#This Row],['# people reached by regular dedicated hygiene promotion_5]]&gt;WWWW[[#This Row],['# People received regular supply of hygiene items_6]],WWWW[[#This Row],['# people reached by regular dedicated hygiene promotion_5]],WWWW[[#This Row],['# People received regular supply of hygiene items_6]])</f>
        <v>307</v>
      </c>
      <c r="CZ127" s="79">
        <f>IF(WWWW[[#This Row],[HRP3]]/WWWW[[#This Row],[Total PoP ]]&gt;100%,100%,WWWW[[#This Row],[HRP3]]/WWWW[[#This Row],[Total PoP ]])</f>
        <v>1</v>
      </c>
      <c r="DA127" s="83">
        <f>1-WWWW[[#This Row],[Hygiene Coverage%]]</f>
        <v>0</v>
      </c>
      <c r="DB127" s="82">
        <f>WWWW[[#This Row],['# people reached by regular dedicated hygiene promotion_5]]/WWWW[[#This Row],[Total PoP ]]</f>
        <v>1</v>
      </c>
      <c r="DC127" s="82">
        <f>IF(WWWW[[#This Row],['#_households that received standard amount of soap for this quarter]]/WWWW[[#This Row],[Total HH]]&gt;1,1,WWWW[[#This Row],['#_households that received standard amount of soap for this quarter]]/WWWW[[#This Row],[Total HH]])</f>
        <v>0</v>
      </c>
      <c r="DD127" s="82">
        <f>IF(WWWW[[#This Row],['#_households that received standard amount of sanitary pads for this quarter]]/WWWW[[#This Row],[Total HH]]&gt;1,1,WWWW[[#This Row],['#_households that received standard amount of sanitary pads for this quarter]]/WWWW[[#This Row],[Total HH]])</f>
        <v>0</v>
      </c>
      <c r="DE127" s="81">
        <f>WWWW[[#This Row],['#_Constructed/Existing hand washing stations]]-WWWW[[#This Row],['#_Non-Functional_hand_washing_stations]]</f>
        <v>0</v>
      </c>
      <c r="DF127" s="667">
        <f>IF(WWWW[[#This Row],['# Functional hand washing stations during reporting period]]*20&gt;WWWW[[#This Row],[Total HH]],WWWW[[#This Row],[Total HH]],WWWW[[#This Row],['# Functional hand washing stations during reporting period]]*20)</f>
        <v>0</v>
      </c>
      <c r="DG127" s="80">
        <f>IF(WWWW[[#This Row],[Is sufficient soap available for TLS? (Yes/No)]]="yes",WWWW[[#This Row],['#_Constructed/Existing hand washing stations at TLS]],0)</f>
        <v>0</v>
      </c>
      <c r="DH127" s="667">
        <f>IF(WWWW[[#This Row],['# Functional hand washing stations during reporting period]]*100&gt;WWWW[[#This Row],[Total PoP ]],WWWW[[#This Row],[Total PoP ]],WWWW[[#This Row],['# Functional hand washing stations during reporting period]]*100)</f>
        <v>0</v>
      </c>
      <c r="DI127" s="667" t="str">
        <f>IF(WWWW[[#This Row],['#_students at TLS_CFS]]="","No","Yes")</f>
        <v>No</v>
      </c>
      <c r="DJ127" s="245" t="str">
        <f>VLOOKUP(WWWW[[#This Row],[Site Name]],SiteDB6[[Site Name]:[CCCM Management]],6,FALSE)</f>
        <v>Yes</v>
      </c>
      <c r="DK127" s="245" t="str">
        <f>VLOOKUP(WWWW[[#This Row],[Site Name]],SiteDB6[[Site Name]:[CCCM Focal Agency]],7,FALSE)</f>
        <v>KBC-MYT</v>
      </c>
      <c r="DL127" s="245" t="str">
        <f>VLOOKUP(WWWW[[#This Row],[Site Name]],SiteDB6[[Site Name]:[Location Type 1]],9,FALSE)</f>
        <v>Camp</v>
      </c>
      <c r="DM127" s="245" t="str">
        <f>VLOOKUP(WWWW[[#This Row],[Site Name]],SiteDB6[[Site Name]:[Type of Accommodation]],10,FALSE)</f>
        <v>Camp</v>
      </c>
      <c r="DN127" s="245" t="str">
        <f>VLOOKUP(WWWW[[#This Row],[Site Name]],SiteDB6[[Site Name]:[Ethnic or GCA/NGCA]],11,FALSE)</f>
        <v>GCA</v>
      </c>
      <c r="DO127" s="245">
        <f>VLOOKUP(WWWW[[#This Row],[Site Name]],SiteDB6[[Site Name]:[Lat]],12,FALSE)</f>
        <v>25.351724999999998</v>
      </c>
      <c r="DP127" s="245">
        <f>VLOOKUP(WWWW[[#This Row],[Site Name]],SiteDB6[[Site Name]:[Long]],13,FALSE)</f>
        <v>97.438432380952406</v>
      </c>
      <c r="DQ127" s="245" t="str">
        <f>VLOOKUP(WWWW[[#This Row],[Site Name]],SiteDB6[[Site Name]:[Pcode]],3,FALSE)</f>
        <v>MMR001CMP025</v>
      </c>
      <c r="DR127" s="215" t="str">
        <f t="shared" si="4"/>
        <v>Covered</v>
      </c>
      <c r="DS127" s="215"/>
      <c r="DT127" s="20"/>
      <c r="DU127" s="20"/>
      <c r="DV127" s="20"/>
      <c r="DW127" s="20"/>
      <c r="DX127" s="20"/>
      <c r="DY127" s="20"/>
      <c r="DZ127" s="20"/>
      <c r="EA127" s="20"/>
      <c r="EB127" s="20"/>
      <c r="EC127" s="20"/>
      <c r="ED127" s="20"/>
      <c r="EE127" s="20"/>
      <c r="EF127" s="20"/>
      <c r="EG127" s="20"/>
      <c r="EH127" s="20"/>
    </row>
    <row r="128" spans="1:138" ht="15.75" customHeight="1">
      <c r="A128" s="259" t="s">
        <v>2525</v>
      </c>
      <c r="B128" s="663" t="s">
        <v>317</v>
      </c>
      <c r="C128" s="663" t="s">
        <v>317</v>
      </c>
      <c r="D128" s="663"/>
      <c r="E128" s="663" t="s">
        <v>39</v>
      </c>
      <c r="F128" s="663" t="s">
        <v>181</v>
      </c>
      <c r="G128" s="663" t="str">
        <f>VLOOKUP(WWWW[[#This Row],[Site Name]],SiteDB6[[Site Name]:[Location Type]],8,FALSE)</f>
        <v>Camp</v>
      </c>
      <c r="H128" s="77" t="s">
        <v>1088</v>
      </c>
      <c r="I128" s="700">
        <v>10</v>
      </c>
      <c r="J128" s="700">
        <v>56</v>
      </c>
      <c r="K128" s="642"/>
      <c r="L128" s="78"/>
      <c r="M128" s="700"/>
      <c r="N128" s="700"/>
      <c r="O128" s="700"/>
      <c r="P128" s="700"/>
      <c r="Q128" s="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215"/>
      <c r="AP128" s="377"/>
      <c r="AQ128" s="377"/>
      <c r="AR128" s="77"/>
      <c r="AS128" s="377"/>
      <c r="AT128" s="377"/>
      <c r="AU128" s="377"/>
      <c r="AV128" s="377"/>
      <c r="AW128" s="377"/>
      <c r="AX128" s="245"/>
      <c r="AY128" s="245"/>
      <c r="AZ128" s="377"/>
      <c r="BA128" s="377"/>
      <c r="BB128" s="377"/>
      <c r="BC128" s="215"/>
      <c r="BD128" s="377"/>
      <c r="BE128" s="377"/>
      <c r="BF128" s="377"/>
      <c r="BG128" s="377"/>
      <c r="BH128" s="377"/>
      <c r="BI128" s="377"/>
      <c r="BJ128" s="377"/>
      <c r="BK128" s="377"/>
      <c r="BL128" s="377"/>
      <c r="BM128" s="215"/>
      <c r="BN128" s="80"/>
      <c r="BO128" s="82"/>
      <c r="BP128" s="215"/>
      <c r="BQ128" s="79" t="str">
        <f>IFERROR(WWWW[[#This Row],['#_Water sources treated]]/WWWW[[#This Row],['#_Water sources tested for contamination]],"no test")</f>
        <v>no test</v>
      </c>
      <c r="BR128" s="82" t="str">
        <f>IFERROR(WWWW[[#This Row],['#_Household received remediation action due to contamination]]/WWWW[[#This Row],['#_Household water samples tested for contamination]],"no test")</f>
        <v>no test</v>
      </c>
      <c r="BS128" s="81" t="str">
        <f>IF(AND(WWWW[[#This Row],[% of water sources treated]]="no test",WWWW[[#This Row],[% Household received corrective actions]]="no test"),"No Test","Tested")</f>
        <v>No Test</v>
      </c>
      <c r="BT128" s="81">
        <f>WWWW[[#This Row],['#_Constructed/existing protected hand dug well]]-WWWW[[#This Row],['#_Non-functional protected hand dug well]]</f>
        <v>0</v>
      </c>
      <c r="BU128" s="81">
        <f>(WWWW[[#This Row],['#_Constructed/Existing tube wells/boreholes/handpumps_WASH_agency]]+WWWW[[#This Row],['#_Non-Cluster partner water tube-wells/boreholes/handpumps]])-WWWW[[#This Row],['#_Non-functional tube wells/boreholes/handpumps]]</f>
        <v>0</v>
      </c>
      <c r="BV128" s="81">
        <f>WWWW[[#This Row],['#_Constructed/Existingwater storage tank with gravity fed reticulation system]]-WWWW[[#This Row],['#_Non-functional storage tank gravity fed reticulation system]]</f>
        <v>0</v>
      </c>
      <c r="BW128" s="81">
        <f>WWWW[[#This Row],['#_Water boating or water trucking]]</f>
        <v>0</v>
      </c>
      <c r="BX128" s="81">
        <f>WWWW[[#This Row],['#_Constructed/Existing water distribution system from river or natural spring]]</f>
        <v>0</v>
      </c>
      <c r="BY128"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28"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28" s="82">
        <f>IF(WWWW[[#This Row],[Location Type 1]]="Village",WWWW[[#This Row],[Access to safe drinking water for Village]],WWWW[[#This Row],[Access to safe drinking water for Camp]])</f>
        <v>0</v>
      </c>
      <c r="CB128" s="80">
        <f>WWWW[[#This Row],[%Equitable and continuous access to sufficient quantity of safe drinking water]]*WWWW[[#This Row],[Total PoP ]]</f>
        <v>0</v>
      </c>
      <c r="CC128" s="82">
        <f>IF((WWWW[[#This Row],['#_Constructed/Existing protected/fenced ponds]]*250)/WWWW[[#This Row],[Total PoP ]]&gt;1,1,(WWWW[[#This Row],['#_Constructed/Existing protected/fenced ponds]]*250)/WWWW[[#This Row],[Total PoP ]])</f>
        <v>0</v>
      </c>
      <c r="CD128" s="80">
        <f>WWWW[[#This Row],[% Access to unimproved water points]]*WWWW[[#This Row],[Total PoP ]]</f>
        <v>0</v>
      </c>
      <c r="CE128"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28"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28" s="80">
        <f>WWWW[[#This Row],[HRP1]]/500</f>
        <v>0</v>
      </c>
      <c r="CH128" s="79">
        <f>1-WWWW[[#This Row],[% Equitable and continuous access to sufficient quantity of domestic water]]</f>
        <v>1</v>
      </c>
      <c r="CI128" s="80">
        <f>WWWW[[#This Row],[%equitable and continuous access to sufficient quantity of safe drinking and domestic water''s GAP]]*WWWW[[#This Row],[Total PoP ]]</f>
        <v>56</v>
      </c>
      <c r="CJ128" s="81">
        <f>IF(WWWW[[#This Row],[Total required water points]]-WWWW[[#This Row],['#Water points coverage]]&lt;0,0,WWWW[[#This Row],[Total required water points]]-WWWW[[#This Row],['#Water points coverage]])</f>
        <v>1</v>
      </c>
      <c r="CK128" s="81">
        <f>ROUND(IF(WWWW[[#This Row],[Total PoP ]]&lt;500,1,WWWW[[#This Row],[Total PoP ]]/500),0)</f>
        <v>1</v>
      </c>
      <c r="CL128" s="81">
        <f>(WWWW[[#This Row],['#_Constructed latrines_by_WASHAgencies]]+WWWW[[#This Row],['#_Non Cluster partner latrines]])-WWWW[[#This Row],['#_Non-functional latrines]]</f>
        <v>0</v>
      </c>
      <c r="CM128"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28"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28"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28" s="81">
        <f>IF(WWWW[[#This Row],[Location Type 1]]="Village","NA",IF(WWWW[[#This Row],['#_Constructed/Existing latrines in TLS]]*50&gt;WWWW[[#This Row],['#_students at TLS_CFS]],WWWW[[#This Row],['#_students at TLS_CFS]],(WWWW[[#This Row],['#_Constructed/Existing latrines in TLS]]*50)))</f>
        <v>0</v>
      </c>
      <c r="CQ128" s="81">
        <f>ROUND(IF(WWWW[[#This Row],[Location Type 1]]="camp",WWWW[[#This Row],[Total PoP ]]/20,IF(WWWW[[#This Row],[Location Type 1]]="Temporary Location",WWWW[[#This Row],[Total PoP ]]/50,(WWWW[[#This Row],[Total PoP ]]/6))),0)</f>
        <v>3</v>
      </c>
      <c r="CR128" s="80">
        <f>IF(WWWW[[#This Row],[Total required Latrines]]-(WWWW[[#This Row],['#_Constructed latrines_by_WASHAgencies]]+WWWW[[#This Row],['#_Non Cluster partner latrines]])&lt;0,0,WWWW[[#This Row],[Total required Latrines]]-(WWWW[[#This Row],['#_Constructed latrines_by_WASHAgencies]]+WWWW[[#This Row],['#_Non Cluster partner latrines]]))</f>
        <v>3</v>
      </c>
      <c r="CS128" s="79">
        <f>1-WWWW[[#This Row],[% people access to functioning Latrine]]</f>
        <v>1</v>
      </c>
      <c r="CT128" s="83">
        <f>IF(OR(WWWW[[#This Row],['#_Non-functional latrines]]="",WWWW[[#This Row],['#_Non-functional latrines]]=0),0,WWWW[[#This Row],['#_Non-functional latrines]]/(WWWW[[#This Row],['#_Constructed latrines_by_WASHAgencies]]+WWWW[[#This Row],['#_Non Cluster partner latrines]]))</f>
        <v>0</v>
      </c>
      <c r="CU128" s="80">
        <f>IF(500*(WWWW[[#This Row],['#_male hygiene promoters]]+WWWW[[#This Row],['#_female hygiene promoters]])&gt;WWWW[[#This Row],[Total PoP ]],WWWW[[#This Row],[Total PoP ]],500*(WWWW[[#This Row],['#_male hygiene promoters]]+WWWW[[#This Row],['#_female hygiene promoters]]))</f>
        <v>0</v>
      </c>
      <c r="CV128"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28"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28" s="81">
        <f>IF(WWWW[[#This Row],['# People with access to soap]]&gt;WWWW[[#This Row],['# People with access to Sanity Pads]],WWWW[[#This Row],['# People with access to soap]],WWWW[[#This Row],['# People with access to Sanity Pads]])</f>
        <v>0</v>
      </c>
      <c r="CY128"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28" s="79">
        <f>IF(WWWW[[#This Row],[HRP3]]/WWWW[[#This Row],[Total PoP ]]&gt;100%,100%,WWWW[[#This Row],[HRP3]]/WWWW[[#This Row],[Total PoP ]])</f>
        <v>0</v>
      </c>
      <c r="DA128" s="83">
        <f>1-WWWW[[#This Row],[Hygiene Coverage%]]</f>
        <v>1</v>
      </c>
      <c r="DB128" s="82">
        <f>WWWW[[#This Row],['# people reached by regular dedicated hygiene promotion_5]]/WWWW[[#This Row],[Total PoP ]]</f>
        <v>0</v>
      </c>
      <c r="DC128" s="82">
        <f>IF(WWWW[[#This Row],['#_households that received standard amount of soap for this quarter]]/WWWW[[#This Row],[Total HH]]&gt;1,1,WWWW[[#This Row],['#_households that received standard amount of soap for this quarter]]/WWWW[[#This Row],[Total HH]])</f>
        <v>0</v>
      </c>
      <c r="DD128" s="82">
        <f>IF(WWWW[[#This Row],['#_households that received standard amount of sanitary pads for this quarter]]/WWWW[[#This Row],[Total HH]]&gt;1,1,WWWW[[#This Row],['#_households that received standard amount of sanitary pads for this quarter]]/WWWW[[#This Row],[Total HH]])</f>
        <v>0</v>
      </c>
      <c r="DE128" s="81">
        <f>WWWW[[#This Row],['#_Constructed/Existing hand washing stations]]-WWWW[[#This Row],['#_Non-Functional_hand_washing_stations]]</f>
        <v>0</v>
      </c>
      <c r="DF128" s="667">
        <f>IF(WWWW[[#This Row],['# Functional hand washing stations during reporting period]]*20&gt;WWWW[[#This Row],[Total HH]],WWWW[[#This Row],[Total HH]],WWWW[[#This Row],['# Functional hand washing stations during reporting period]]*20)</f>
        <v>0</v>
      </c>
      <c r="DG128" s="80">
        <f>IF(WWWW[[#This Row],[Is sufficient soap available for TLS? (Yes/No)]]="yes",WWWW[[#This Row],['#_Constructed/Existing hand washing stations at TLS]],0)</f>
        <v>0</v>
      </c>
      <c r="DH128" s="667">
        <f>IF(WWWW[[#This Row],['# Functional hand washing stations during reporting period]]*100&gt;WWWW[[#This Row],[Total PoP ]],WWWW[[#This Row],[Total PoP ]],WWWW[[#This Row],['# Functional hand washing stations during reporting period]]*100)</f>
        <v>0</v>
      </c>
      <c r="DI128" s="667" t="str">
        <f>IF(WWWW[[#This Row],['#_students at TLS_CFS]]="","No","Yes")</f>
        <v>No</v>
      </c>
      <c r="DJ128" s="245">
        <f>VLOOKUP(WWWW[[#This Row],[Site Name]],SiteDB6[[Site Name]:[CCCM Management]],6,FALSE)</f>
        <v>0</v>
      </c>
      <c r="DK128" s="245" t="str">
        <f>VLOOKUP(WWWW[[#This Row],[Site Name]],SiteDB6[[Site Name]:[CCCM Focal Agency]],7,FALSE)</f>
        <v>uncovered</v>
      </c>
      <c r="DL128" s="245" t="str">
        <f>VLOOKUP(WWWW[[#This Row],[Site Name]],SiteDB6[[Site Name]:[Location Type 1]],9,FALSE)</f>
        <v>Camp</v>
      </c>
      <c r="DM128" s="245" t="str">
        <f>VLOOKUP(WWWW[[#This Row],[Site Name]],SiteDB6[[Site Name]:[Type of Accommodation]],10,FALSE)</f>
        <v>Host Families</v>
      </c>
      <c r="DN128" s="245" t="str">
        <f>VLOOKUP(WWWW[[#This Row],[Site Name]],SiteDB6[[Site Name]:[Ethnic or GCA/NGCA]],11,FALSE)</f>
        <v>GCA</v>
      </c>
      <c r="DO128" s="245">
        <f>VLOOKUP(WWWW[[#This Row],[Site Name]],SiteDB6[[Site Name]:[Lat]],12,FALSE)</f>
        <v>27.248964999999998</v>
      </c>
      <c r="DP128" s="245">
        <f>VLOOKUP(WWWW[[#This Row],[Site Name]],SiteDB6[[Site Name]:[Long]],13,FALSE)</f>
        <v>97.561105999999995</v>
      </c>
      <c r="DQ128" s="245" t="str">
        <f>VLOOKUP(WWWW[[#This Row],[Site Name]],SiteDB6[[Site Name]:[Pcode]],3,FALSE)</f>
        <v>MMR001CMP227</v>
      </c>
      <c r="DR128" s="215" t="str">
        <f t="shared" si="4"/>
        <v>Notcovered</v>
      </c>
      <c r="DS128" s="215"/>
      <c r="DT128" s="20"/>
      <c r="DU128" s="20"/>
      <c r="DV128" s="20"/>
      <c r="DW128" s="20"/>
      <c r="DX128" s="20"/>
      <c r="DY128" s="20"/>
      <c r="DZ128" s="20"/>
      <c r="EA128" s="20"/>
      <c r="EB128" s="20"/>
      <c r="EC128" s="20"/>
      <c r="ED128" s="20"/>
      <c r="EE128" s="20"/>
      <c r="EF128" s="20"/>
      <c r="EG128" s="20"/>
      <c r="EH128" s="20"/>
    </row>
    <row r="129" spans="1:138" ht="15.75" customHeight="1">
      <c r="A129" s="259" t="s">
        <v>2525</v>
      </c>
      <c r="B129" s="259" t="s">
        <v>149</v>
      </c>
      <c r="C129" s="663" t="s">
        <v>149</v>
      </c>
      <c r="D129" s="663" t="s">
        <v>158</v>
      </c>
      <c r="E129" s="663" t="s">
        <v>39</v>
      </c>
      <c r="F129" s="663" t="s">
        <v>192</v>
      </c>
      <c r="G129" s="663" t="str">
        <f>VLOOKUP(WWWW[[#This Row],[Site Name]],SiteDB6[[Site Name]:[Location Type]],8,FALSE)</f>
        <v>Camp</v>
      </c>
      <c r="H129" s="663" t="s">
        <v>195</v>
      </c>
      <c r="I129" s="700">
        <v>63</v>
      </c>
      <c r="J129" s="700">
        <v>325</v>
      </c>
      <c r="K129" s="642">
        <v>43556</v>
      </c>
      <c r="L129" s="78">
        <v>43677</v>
      </c>
      <c r="M129" s="700"/>
      <c r="N129" s="700"/>
      <c r="O129" s="700"/>
      <c r="P129" s="700">
        <v>30</v>
      </c>
      <c r="Q129" s="77" t="s">
        <v>43</v>
      </c>
      <c r="R129" s="377"/>
      <c r="S129" s="377"/>
      <c r="T129" s="700">
        <v>0</v>
      </c>
      <c r="U129" s="377"/>
      <c r="V129" s="377"/>
      <c r="W129" s="700">
        <v>0</v>
      </c>
      <c r="X129" s="377"/>
      <c r="Y129" s="377"/>
      <c r="Z129" s="377"/>
      <c r="AA129" s="377">
        <v>1</v>
      </c>
      <c r="AB129" s="377">
        <v>1</v>
      </c>
      <c r="AC129" s="377"/>
      <c r="AD129" s="377"/>
      <c r="AE129" s="377"/>
      <c r="AF129" s="377"/>
      <c r="AG129" s="377"/>
      <c r="AH129" s="700">
        <v>0</v>
      </c>
      <c r="AI129" s="377"/>
      <c r="AJ129" s="377"/>
      <c r="AK129" s="377"/>
      <c r="AL129" s="377"/>
      <c r="AM129" s="377"/>
      <c r="AN129" s="377"/>
      <c r="AO129" s="215"/>
      <c r="AP129" s="700">
        <v>65</v>
      </c>
      <c r="AQ129" s="377"/>
      <c r="AR129" s="77"/>
      <c r="AS129" s="377"/>
      <c r="AT129" s="377"/>
      <c r="AU129" s="377"/>
      <c r="AV129" s="377"/>
      <c r="AW129" s="700">
        <v>65</v>
      </c>
      <c r="AX129" s="245" t="s">
        <v>43</v>
      </c>
      <c r="AY129" s="245" t="s">
        <v>145</v>
      </c>
      <c r="AZ129" s="377"/>
      <c r="BA129" s="377"/>
      <c r="BB129" s="377"/>
      <c r="BC129" s="215"/>
      <c r="BD129" s="377"/>
      <c r="BE129" s="377"/>
      <c r="BF129" s="377"/>
      <c r="BG129" s="377">
        <v>0</v>
      </c>
      <c r="BH129" s="377"/>
      <c r="BI129" s="377"/>
      <c r="BJ129" s="377">
        <v>2</v>
      </c>
      <c r="BK129" s="377"/>
      <c r="BL129" s="377"/>
      <c r="BM129" s="215"/>
      <c r="BN129" s="80"/>
      <c r="BO129" s="82"/>
      <c r="BP129" s="215"/>
      <c r="BQ129" s="79" t="str">
        <f>IFERROR(WWWW[[#This Row],['#_Water sources treated]]/WWWW[[#This Row],['#_Water sources tested for contamination]],"no test")</f>
        <v>no test</v>
      </c>
      <c r="BR129" s="82" t="str">
        <f>IFERROR(WWWW[[#This Row],['#_Household received remediation action due to contamination]]/WWWW[[#This Row],['#_Household water samples tested for contamination]],"no test")</f>
        <v>no test</v>
      </c>
      <c r="BS129" s="81" t="str">
        <f>IF(AND(WWWW[[#This Row],[% of water sources treated]]="no test",WWWW[[#This Row],[% Household received corrective actions]]="no test"),"No Test","Tested")</f>
        <v>No Test</v>
      </c>
      <c r="BT129" s="81">
        <f>WWWW[[#This Row],['#_Constructed/existing protected hand dug well]]-WWWW[[#This Row],['#_Non-functional protected hand dug well]]</f>
        <v>0</v>
      </c>
      <c r="BU129" s="81">
        <f>(WWWW[[#This Row],['#_Constructed/Existing tube wells/boreholes/handpumps_WASH_agency]]+WWWW[[#This Row],['#_Non-Cluster partner water tube-wells/boreholes/handpumps]])-WWWW[[#This Row],['#_Non-functional tube wells/boreholes/handpumps]]</f>
        <v>0</v>
      </c>
      <c r="BV129" s="81">
        <f>WWWW[[#This Row],['#_Constructed/Existingwater storage tank with gravity fed reticulation system]]-WWWW[[#This Row],['#_Non-functional storage tank gravity fed reticulation system]]</f>
        <v>0</v>
      </c>
      <c r="BW129" s="81">
        <f>WWWW[[#This Row],['#_Water boating or water trucking]]</f>
        <v>0</v>
      </c>
      <c r="BX129" s="81">
        <f>WWWW[[#This Row],['#_Constructed/Existing water distribution system from river or natural spring]]</f>
        <v>0</v>
      </c>
      <c r="BY129"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29"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29" s="82">
        <f>IF(WWWW[[#This Row],[Location Type 1]]="Village",WWWW[[#This Row],[Access to safe drinking water for Village]],WWWW[[#This Row],[Access to safe drinking water for Camp]])</f>
        <v>0</v>
      </c>
      <c r="CB129" s="80">
        <f>WWWW[[#This Row],[%Equitable and continuous access to sufficient quantity of safe drinking water]]*WWWW[[#This Row],[Total PoP ]]</f>
        <v>0</v>
      </c>
      <c r="CC129" s="82">
        <f>IF((WWWW[[#This Row],['#_Constructed/Existing protected/fenced ponds]]*250)/WWWW[[#This Row],[Total PoP ]]&gt;1,1,(WWWW[[#This Row],['#_Constructed/Existing protected/fenced ponds]]*250)/WWWW[[#This Row],[Total PoP ]])</f>
        <v>0</v>
      </c>
      <c r="CD129" s="80">
        <f>WWWW[[#This Row],[% Access to unimproved water points]]*WWWW[[#This Row],[Total PoP ]]</f>
        <v>0</v>
      </c>
      <c r="CE129"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29"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29" s="80">
        <f>WWWW[[#This Row],[HRP1]]/500</f>
        <v>0</v>
      </c>
      <c r="CH129" s="79">
        <f>1-WWWW[[#This Row],[% Equitable and continuous access to sufficient quantity of domestic water]]</f>
        <v>1</v>
      </c>
      <c r="CI129" s="80">
        <f>WWWW[[#This Row],[%equitable and continuous access to sufficient quantity of safe drinking and domestic water''s GAP]]*WWWW[[#This Row],[Total PoP ]]</f>
        <v>325</v>
      </c>
      <c r="CJ129" s="81">
        <f>IF(WWWW[[#This Row],[Total required water points]]-WWWW[[#This Row],['#Water points coverage]]&lt;0,0,WWWW[[#This Row],[Total required water points]]-WWWW[[#This Row],['#Water points coverage]])</f>
        <v>1</v>
      </c>
      <c r="CK129" s="81">
        <f>ROUND(IF(WWWW[[#This Row],[Total PoP ]]&lt;500,1,WWWW[[#This Row],[Total PoP ]]/500),0)</f>
        <v>1</v>
      </c>
      <c r="CL129" s="81">
        <f>(WWWW[[#This Row],['#_Constructed latrines_by_WASHAgencies]]+WWWW[[#This Row],['#_Non Cluster partner latrines]])-WWWW[[#This Row],['#_Non-functional latrines]]</f>
        <v>65</v>
      </c>
      <c r="CM129"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29"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325</v>
      </c>
      <c r="CO129"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29" s="81">
        <f>IF(WWWW[[#This Row],[Location Type 1]]="Village","NA",IF(WWWW[[#This Row],['#_Constructed/Existing latrines in TLS]]*50&gt;WWWW[[#This Row],['#_students at TLS_CFS]],WWWW[[#This Row],['#_students at TLS_CFS]],(WWWW[[#This Row],['#_Constructed/Existing latrines in TLS]]*50)))</f>
        <v>0</v>
      </c>
      <c r="CQ129" s="81">
        <f>ROUND(IF(WWWW[[#This Row],[Location Type 1]]="camp",WWWW[[#This Row],[Total PoP ]]/20,IF(WWWW[[#This Row],[Location Type 1]]="Temporary Location",WWWW[[#This Row],[Total PoP ]]/50,(WWWW[[#This Row],[Total PoP ]]/6))),0)</f>
        <v>16</v>
      </c>
      <c r="CR129" s="80">
        <f>IF(WWWW[[#This Row],[Total required Latrines]]-(WWWW[[#This Row],['#_Constructed latrines_by_WASHAgencies]]+WWWW[[#This Row],['#_Non Cluster partner latrines]])&lt;0,0,WWWW[[#This Row],[Total required Latrines]]-(WWWW[[#This Row],['#_Constructed latrines_by_WASHAgencies]]+WWWW[[#This Row],['#_Non Cluster partner latrines]]))</f>
        <v>0</v>
      </c>
      <c r="CS129" s="79">
        <f>1-WWWW[[#This Row],[% people access to functioning Latrine]]</f>
        <v>0</v>
      </c>
      <c r="CT129" s="83">
        <f>IF(OR(WWWW[[#This Row],['#_Non-functional latrines]]="",WWWW[[#This Row],['#_Non-functional latrines]]=0),0,WWWW[[#This Row],['#_Non-functional latrines]]/(WWWW[[#This Row],['#_Constructed latrines_by_WASHAgencies]]+WWWW[[#This Row],['#_Non Cluster partner latrines]]))</f>
        <v>0</v>
      </c>
      <c r="CU129" s="80">
        <f>IF(500*(WWWW[[#This Row],['#_male hygiene promoters]]+WWWW[[#This Row],['#_female hygiene promoters]])&gt;WWWW[[#This Row],[Total PoP ]],WWWW[[#This Row],[Total PoP ]],500*(WWWW[[#This Row],['#_male hygiene promoters]]+WWWW[[#This Row],['#_female hygiene promoters]]))</f>
        <v>325</v>
      </c>
      <c r="CV129"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29"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29" s="81">
        <f>IF(WWWW[[#This Row],['# People with access to soap]]&gt;WWWW[[#This Row],['# People with access to Sanity Pads]],WWWW[[#This Row],['# People with access to soap]],WWWW[[#This Row],['# People with access to Sanity Pads]])</f>
        <v>0</v>
      </c>
      <c r="CY129" s="81">
        <f>IF(WWWW[[#This Row],['# people reached by regular dedicated hygiene promotion_5]]&gt;WWWW[[#This Row],['# People received regular supply of hygiene items_6]],WWWW[[#This Row],['# people reached by regular dedicated hygiene promotion_5]],WWWW[[#This Row],['# People received regular supply of hygiene items_6]])</f>
        <v>325</v>
      </c>
      <c r="CZ129" s="79">
        <f>IF(WWWW[[#This Row],[HRP3]]/WWWW[[#This Row],[Total PoP ]]&gt;100%,100%,WWWW[[#This Row],[HRP3]]/WWWW[[#This Row],[Total PoP ]])</f>
        <v>1</v>
      </c>
      <c r="DA129" s="83">
        <f>1-WWWW[[#This Row],[Hygiene Coverage%]]</f>
        <v>0</v>
      </c>
      <c r="DB129" s="82">
        <f>WWWW[[#This Row],['# people reached by regular dedicated hygiene promotion_5]]/WWWW[[#This Row],[Total PoP ]]</f>
        <v>1</v>
      </c>
      <c r="DC129" s="82">
        <f>IF(WWWW[[#This Row],['#_households that received standard amount of soap for this quarter]]/WWWW[[#This Row],[Total HH]]&gt;1,1,WWWW[[#This Row],['#_households that received standard amount of soap for this quarter]]/WWWW[[#This Row],[Total HH]])</f>
        <v>0</v>
      </c>
      <c r="DD129" s="82">
        <f>IF(WWWW[[#This Row],['#_households that received standard amount of sanitary pads for this quarter]]/WWWW[[#This Row],[Total HH]]&gt;1,1,WWWW[[#This Row],['#_households that received standard amount of sanitary pads for this quarter]]/WWWW[[#This Row],[Total HH]])</f>
        <v>0</v>
      </c>
      <c r="DE129" s="81">
        <f>WWWW[[#This Row],['#_Constructed/Existing hand washing stations]]-WWWW[[#This Row],['#_Non-Functional_hand_washing_stations]]</f>
        <v>0</v>
      </c>
      <c r="DF129" s="667">
        <f>IF(WWWW[[#This Row],['# Functional hand washing stations during reporting period]]*20&gt;WWWW[[#This Row],[Total HH]],WWWW[[#This Row],[Total HH]],WWWW[[#This Row],['# Functional hand washing stations during reporting period]]*20)</f>
        <v>0</v>
      </c>
      <c r="DG129" s="80">
        <f>IF(WWWW[[#This Row],[Is sufficient soap available for TLS? (Yes/No)]]="yes",WWWW[[#This Row],['#_Constructed/Existing hand washing stations at TLS]],0)</f>
        <v>0</v>
      </c>
      <c r="DH129" s="667">
        <f>IF(WWWW[[#This Row],['# Functional hand washing stations during reporting period]]*100&gt;WWWW[[#This Row],[Total PoP ]],WWWW[[#This Row],[Total PoP ]],WWWW[[#This Row],['# Functional hand washing stations during reporting period]]*100)</f>
        <v>0</v>
      </c>
      <c r="DI129" s="667" t="str">
        <f>IF(WWWW[[#This Row],['#_students at TLS_CFS]]="","No","Yes")</f>
        <v>No</v>
      </c>
      <c r="DJ129" s="245" t="str">
        <f>VLOOKUP(WWWW[[#This Row],[Site Name]],SiteDB6[[Site Name]:[CCCM Management]],6,FALSE)</f>
        <v>Yes</v>
      </c>
      <c r="DK129" s="245" t="str">
        <f>VLOOKUP(WWWW[[#This Row],[Site Name]],SiteDB6[[Site Name]:[CCCM Focal Agency]],7,FALSE)</f>
        <v>KBC-MYT</v>
      </c>
      <c r="DL129" s="245" t="str">
        <f>VLOOKUP(WWWW[[#This Row],[Site Name]],SiteDB6[[Site Name]:[Location Type 1]],9,FALSE)</f>
        <v>Camp</v>
      </c>
      <c r="DM129" s="245" t="str">
        <f>VLOOKUP(WWWW[[#This Row],[Site Name]],SiteDB6[[Site Name]:[Type of Accommodation]],10,FALSE)</f>
        <v>Camp</v>
      </c>
      <c r="DN129" s="245" t="str">
        <f>VLOOKUP(WWWW[[#This Row],[Site Name]],SiteDB6[[Site Name]:[Ethnic or GCA/NGCA]],11,FALSE)</f>
        <v>NGCA</v>
      </c>
      <c r="DO129" s="245">
        <f>VLOOKUP(WWWW[[#This Row],[Site Name]],SiteDB6[[Site Name]:[Lat]],12,FALSE)</f>
        <v>26.548506</v>
      </c>
      <c r="DP129" s="245">
        <f>VLOOKUP(WWWW[[#This Row],[Site Name]],SiteDB6[[Site Name]:[Long]],13,FALSE)</f>
        <v>97.75609</v>
      </c>
      <c r="DQ129" s="245" t="str">
        <f>VLOOKUP(WWWW[[#This Row],[Site Name]],SiteDB6[[Site Name]:[Pcode]],3,FALSE)</f>
        <v>MMR001CMP239</v>
      </c>
      <c r="DR129" s="215" t="str">
        <f t="shared" si="4"/>
        <v>Covered</v>
      </c>
      <c r="DS129" s="215"/>
      <c r="DT129" s="20"/>
      <c r="DU129" s="20"/>
      <c r="DV129" s="20"/>
      <c r="DW129" s="20"/>
      <c r="DX129" s="20"/>
      <c r="DY129" s="20"/>
      <c r="DZ129" s="20"/>
      <c r="EA129" s="20"/>
      <c r="EB129" s="20"/>
      <c r="EC129" s="20"/>
      <c r="ED129" s="20"/>
      <c r="EE129" s="20"/>
      <c r="EF129" s="20"/>
      <c r="EG129" s="20"/>
      <c r="EH129" s="20"/>
    </row>
    <row r="130" spans="1:138" ht="15.75" customHeight="1">
      <c r="A130" s="259" t="s">
        <v>2525</v>
      </c>
      <c r="B130" s="663" t="s">
        <v>317</v>
      </c>
      <c r="C130" s="663" t="s">
        <v>317</v>
      </c>
      <c r="D130" s="663"/>
      <c r="E130" s="663" t="s">
        <v>39</v>
      </c>
      <c r="F130" s="663" t="s">
        <v>181</v>
      </c>
      <c r="G130" s="663" t="str">
        <f>VLOOKUP(WWWW[[#This Row],[Site Name]],SiteDB6[[Site Name]:[Location Type]],8,FALSE)</f>
        <v>Camp</v>
      </c>
      <c r="H130" s="77" t="s">
        <v>1094</v>
      </c>
      <c r="I130" s="700">
        <v>14</v>
      </c>
      <c r="J130" s="700">
        <v>75</v>
      </c>
      <c r="K130" s="642"/>
      <c r="L130" s="78"/>
      <c r="M130" s="700"/>
      <c r="N130" s="700"/>
      <c r="O130" s="700"/>
      <c r="P130" s="700"/>
      <c r="Q130" s="77"/>
      <c r="R130" s="377"/>
      <c r="S130" s="377"/>
      <c r="T130" s="377"/>
      <c r="U130" s="377"/>
      <c r="V130" s="377"/>
      <c r="W130" s="377"/>
      <c r="X130" s="377"/>
      <c r="Y130" s="377"/>
      <c r="Z130" s="377"/>
      <c r="AA130" s="377"/>
      <c r="AB130" s="377"/>
      <c r="AC130" s="377"/>
      <c r="AD130" s="377"/>
      <c r="AE130" s="377"/>
      <c r="AF130" s="377"/>
      <c r="AG130" s="377"/>
      <c r="AH130" s="377"/>
      <c r="AI130" s="377"/>
      <c r="AJ130" s="377"/>
      <c r="AK130" s="377"/>
      <c r="AL130" s="377"/>
      <c r="AM130" s="377"/>
      <c r="AN130" s="377"/>
      <c r="AO130" s="215"/>
      <c r="AP130" s="377"/>
      <c r="AQ130" s="377"/>
      <c r="AR130" s="77"/>
      <c r="AS130" s="377"/>
      <c r="AT130" s="377"/>
      <c r="AU130" s="377"/>
      <c r="AV130" s="377"/>
      <c r="AW130" s="377"/>
      <c r="AX130" s="245"/>
      <c r="AY130" s="245"/>
      <c r="AZ130" s="377"/>
      <c r="BA130" s="377"/>
      <c r="BB130" s="377"/>
      <c r="BC130" s="215"/>
      <c r="BD130" s="377"/>
      <c r="BE130" s="377"/>
      <c r="BF130" s="377"/>
      <c r="BG130" s="377"/>
      <c r="BH130" s="377"/>
      <c r="BI130" s="377"/>
      <c r="BJ130" s="377"/>
      <c r="BK130" s="377"/>
      <c r="BL130" s="377"/>
      <c r="BM130" s="215"/>
      <c r="BN130" s="80"/>
      <c r="BO130" s="82"/>
      <c r="BP130" s="215"/>
      <c r="BQ130" s="79" t="str">
        <f>IFERROR(WWWW[[#This Row],['#_Water sources treated]]/WWWW[[#This Row],['#_Water sources tested for contamination]],"no test")</f>
        <v>no test</v>
      </c>
      <c r="BR130" s="82" t="str">
        <f>IFERROR(WWWW[[#This Row],['#_Household received remediation action due to contamination]]/WWWW[[#This Row],['#_Household water samples tested for contamination]],"no test")</f>
        <v>no test</v>
      </c>
      <c r="BS130" s="81" t="str">
        <f>IF(AND(WWWW[[#This Row],[% of water sources treated]]="no test",WWWW[[#This Row],[% Household received corrective actions]]="no test"),"No Test","Tested")</f>
        <v>No Test</v>
      </c>
      <c r="BT130" s="81">
        <f>WWWW[[#This Row],['#_Constructed/existing protected hand dug well]]-WWWW[[#This Row],['#_Non-functional protected hand dug well]]</f>
        <v>0</v>
      </c>
      <c r="BU130" s="81">
        <f>(WWWW[[#This Row],['#_Constructed/Existing tube wells/boreholes/handpumps_WASH_agency]]+WWWW[[#This Row],['#_Non-Cluster partner water tube-wells/boreholes/handpumps]])-WWWW[[#This Row],['#_Non-functional tube wells/boreholes/handpumps]]</f>
        <v>0</v>
      </c>
      <c r="BV130" s="81">
        <f>WWWW[[#This Row],['#_Constructed/Existingwater storage tank with gravity fed reticulation system]]-WWWW[[#This Row],['#_Non-functional storage tank gravity fed reticulation system]]</f>
        <v>0</v>
      </c>
      <c r="BW130" s="81">
        <f>WWWW[[#This Row],['#_Water boating or water trucking]]</f>
        <v>0</v>
      </c>
      <c r="BX130" s="81">
        <f>WWWW[[#This Row],['#_Constructed/Existing water distribution system from river or natural spring]]</f>
        <v>0</v>
      </c>
      <c r="BY130"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30"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30" s="82">
        <f>IF(WWWW[[#This Row],[Location Type 1]]="Village",WWWW[[#This Row],[Access to safe drinking water for Village]],WWWW[[#This Row],[Access to safe drinking water for Camp]])</f>
        <v>0</v>
      </c>
      <c r="CB130" s="80">
        <f>WWWW[[#This Row],[%Equitable and continuous access to sufficient quantity of safe drinking water]]*WWWW[[#This Row],[Total PoP ]]</f>
        <v>0</v>
      </c>
      <c r="CC130" s="82">
        <f>IF((WWWW[[#This Row],['#_Constructed/Existing protected/fenced ponds]]*250)/WWWW[[#This Row],[Total PoP ]]&gt;1,1,(WWWW[[#This Row],['#_Constructed/Existing protected/fenced ponds]]*250)/WWWW[[#This Row],[Total PoP ]])</f>
        <v>0</v>
      </c>
      <c r="CD130" s="80">
        <f>WWWW[[#This Row],[% Access to unimproved water points]]*WWWW[[#This Row],[Total PoP ]]</f>
        <v>0</v>
      </c>
      <c r="CE130"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30"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30" s="80">
        <f>WWWW[[#This Row],[HRP1]]/500</f>
        <v>0</v>
      </c>
      <c r="CH130" s="79">
        <f>1-WWWW[[#This Row],[% Equitable and continuous access to sufficient quantity of domestic water]]</f>
        <v>1</v>
      </c>
      <c r="CI130" s="80">
        <f>WWWW[[#This Row],[%equitable and continuous access to sufficient quantity of safe drinking and domestic water''s GAP]]*WWWW[[#This Row],[Total PoP ]]</f>
        <v>75</v>
      </c>
      <c r="CJ130" s="81">
        <f>IF(WWWW[[#This Row],[Total required water points]]-WWWW[[#This Row],['#Water points coverage]]&lt;0,0,WWWW[[#This Row],[Total required water points]]-WWWW[[#This Row],['#Water points coverage]])</f>
        <v>1</v>
      </c>
      <c r="CK130" s="81">
        <f>ROUND(IF(WWWW[[#This Row],[Total PoP ]]&lt;500,1,WWWW[[#This Row],[Total PoP ]]/500),0)</f>
        <v>1</v>
      </c>
      <c r="CL130" s="81">
        <f>(WWWW[[#This Row],['#_Constructed latrines_by_WASHAgencies]]+WWWW[[#This Row],['#_Non Cluster partner latrines]])-WWWW[[#This Row],['#_Non-functional latrines]]</f>
        <v>0</v>
      </c>
      <c r="CM130"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30"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30"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30" s="81">
        <f>IF(WWWW[[#This Row],[Location Type 1]]="Village","NA",IF(WWWW[[#This Row],['#_Constructed/Existing latrines in TLS]]*50&gt;WWWW[[#This Row],['#_students at TLS_CFS]],WWWW[[#This Row],['#_students at TLS_CFS]],(WWWW[[#This Row],['#_Constructed/Existing latrines in TLS]]*50)))</f>
        <v>0</v>
      </c>
      <c r="CQ130" s="81">
        <f>ROUND(IF(WWWW[[#This Row],[Location Type 1]]="camp",WWWW[[#This Row],[Total PoP ]]/20,IF(WWWW[[#This Row],[Location Type 1]]="Temporary Location",WWWW[[#This Row],[Total PoP ]]/50,(WWWW[[#This Row],[Total PoP ]]/6))),0)</f>
        <v>4</v>
      </c>
      <c r="CR130" s="80">
        <f>IF(WWWW[[#This Row],[Total required Latrines]]-(WWWW[[#This Row],['#_Constructed latrines_by_WASHAgencies]]+WWWW[[#This Row],['#_Non Cluster partner latrines]])&lt;0,0,WWWW[[#This Row],[Total required Latrines]]-(WWWW[[#This Row],['#_Constructed latrines_by_WASHAgencies]]+WWWW[[#This Row],['#_Non Cluster partner latrines]]))</f>
        <v>4</v>
      </c>
      <c r="CS130" s="79">
        <f>1-WWWW[[#This Row],[% people access to functioning Latrine]]</f>
        <v>1</v>
      </c>
      <c r="CT130" s="83">
        <f>IF(OR(WWWW[[#This Row],['#_Non-functional latrines]]="",WWWW[[#This Row],['#_Non-functional latrines]]=0),0,WWWW[[#This Row],['#_Non-functional latrines]]/(WWWW[[#This Row],['#_Constructed latrines_by_WASHAgencies]]+WWWW[[#This Row],['#_Non Cluster partner latrines]]))</f>
        <v>0</v>
      </c>
      <c r="CU130" s="80">
        <f>IF(500*(WWWW[[#This Row],['#_male hygiene promoters]]+WWWW[[#This Row],['#_female hygiene promoters]])&gt;WWWW[[#This Row],[Total PoP ]],WWWW[[#This Row],[Total PoP ]],500*(WWWW[[#This Row],['#_male hygiene promoters]]+WWWW[[#This Row],['#_female hygiene promoters]]))</f>
        <v>0</v>
      </c>
      <c r="CV130"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30"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30" s="81">
        <f>IF(WWWW[[#This Row],['# People with access to soap]]&gt;WWWW[[#This Row],['# People with access to Sanity Pads]],WWWW[[#This Row],['# People with access to soap]],WWWW[[#This Row],['# People with access to Sanity Pads]])</f>
        <v>0</v>
      </c>
      <c r="CY130"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30" s="79">
        <f>IF(WWWW[[#This Row],[HRP3]]/WWWW[[#This Row],[Total PoP ]]&gt;100%,100%,WWWW[[#This Row],[HRP3]]/WWWW[[#This Row],[Total PoP ]])</f>
        <v>0</v>
      </c>
      <c r="DA130" s="83">
        <f>1-WWWW[[#This Row],[Hygiene Coverage%]]</f>
        <v>1</v>
      </c>
      <c r="DB130" s="82">
        <f>WWWW[[#This Row],['# people reached by regular dedicated hygiene promotion_5]]/WWWW[[#This Row],[Total PoP ]]</f>
        <v>0</v>
      </c>
      <c r="DC130" s="82">
        <f>IF(WWWW[[#This Row],['#_households that received standard amount of soap for this quarter]]/WWWW[[#This Row],[Total HH]]&gt;1,1,WWWW[[#This Row],['#_households that received standard amount of soap for this quarter]]/WWWW[[#This Row],[Total HH]])</f>
        <v>0</v>
      </c>
      <c r="DD130" s="82">
        <f>IF(WWWW[[#This Row],['#_households that received standard amount of sanitary pads for this quarter]]/WWWW[[#This Row],[Total HH]]&gt;1,1,WWWW[[#This Row],['#_households that received standard amount of sanitary pads for this quarter]]/WWWW[[#This Row],[Total HH]])</f>
        <v>0</v>
      </c>
      <c r="DE130" s="81">
        <f>WWWW[[#This Row],['#_Constructed/Existing hand washing stations]]-WWWW[[#This Row],['#_Non-Functional_hand_washing_stations]]</f>
        <v>0</v>
      </c>
      <c r="DF130" s="667">
        <f>IF(WWWW[[#This Row],['# Functional hand washing stations during reporting period]]*20&gt;WWWW[[#This Row],[Total HH]],WWWW[[#This Row],[Total HH]],WWWW[[#This Row],['# Functional hand washing stations during reporting period]]*20)</f>
        <v>0</v>
      </c>
      <c r="DG130" s="80">
        <f>IF(WWWW[[#This Row],[Is sufficient soap available for TLS? (Yes/No)]]="yes",WWWW[[#This Row],['#_Constructed/Existing hand washing stations at TLS]],0)</f>
        <v>0</v>
      </c>
      <c r="DH130" s="667">
        <f>IF(WWWW[[#This Row],['# Functional hand washing stations during reporting period]]*100&gt;WWWW[[#This Row],[Total PoP ]],WWWW[[#This Row],[Total PoP ]],WWWW[[#This Row],['# Functional hand washing stations during reporting period]]*100)</f>
        <v>0</v>
      </c>
      <c r="DI130" s="667" t="str">
        <f>IF(WWWW[[#This Row],['#_students at TLS_CFS]]="","No","Yes")</f>
        <v>No</v>
      </c>
      <c r="DJ130" s="245">
        <f>VLOOKUP(WWWW[[#This Row],[Site Name]],SiteDB6[[Site Name]:[CCCM Management]],6,FALSE)</f>
        <v>0</v>
      </c>
      <c r="DK130" s="245" t="str">
        <f>VLOOKUP(WWWW[[#This Row],[Site Name]],SiteDB6[[Site Name]:[CCCM Focal Agency]],7,FALSE)</f>
        <v>uncovered</v>
      </c>
      <c r="DL130" s="245" t="str">
        <f>VLOOKUP(WWWW[[#This Row],[Site Name]],SiteDB6[[Site Name]:[Location Type 1]],9,FALSE)</f>
        <v>Camp</v>
      </c>
      <c r="DM130" s="245" t="str">
        <f>VLOOKUP(WWWW[[#This Row],[Site Name]],SiteDB6[[Site Name]:[Type of Accommodation]],10,FALSE)</f>
        <v>Host Families</v>
      </c>
      <c r="DN130" s="245" t="str">
        <f>VLOOKUP(WWWW[[#This Row],[Site Name]],SiteDB6[[Site Name]:[Ethnic or GCA/NGCA]],11,FALSE)</f>
        <v>GCA</v>
      </c>
      <c r="DO130" s="245">
        <f>VLOOKUP(WWWW[[#This Row],[Site Name]],SiteDB6[[Site Name]:[Lat]],12,FALSE)</f>
        <v>27.311699999999998</v>
      </c>
      <c r="DP130" s="245">
        <f>VLOOKUP(WWWW[[#This Row],[Site Name]],SiteDB6[[Site Name]:[Long]],13,FALSE)</f>
        <v>97.415289999999999</v>
      </c>
      <c r="DQ130" s="245" t="str">
        <f>VLOOKUP(WWWW[[#This Row],[Site Name]],SiteDB6[[Site Name]:[Pcode]],3,FALSE)</f>
        <v>MMR001CMP075</v>
      </c>
      <c r="DR130" s="215" t="str">
        <f t="shared" si="4"/>
        <v>Notcovered</v>
      </c>
      <c r="DS130" s="215"/>
      <c r="DT130" s="20"/>
      <c r="DU130" s="20"/>
      <c r="DV130" s="20"/>
      <c r="DW130" s="20"/>
      <c r="DX130" s="20"/>
      <c r="DY130" s="20"/>
      <c r="DZ130" s="20"/>
      <c r="EA130" s="20"/>
      <c r="EB130" s="20"/>
      <c r="EC130" s="20"/>
      <c r="ED130" s="20"/>
      <c r="EE130" s="20"/>
      <c r="EF130" s="20"/>
      <c r="EG130" s="20"/>
      <c r="EH130" s="20"/>
    </row>
    <row r="131" spans="1:138" ht="15.75" customHeight="1">
      <c r="A131" s="259" t="s">
        <v>2525</v>
      </c>
      <c r="B131" s="259" t="s">
        <v>149</v>
      </c>
      <c r="C131" s="663" t="s">
        <v>149</v>
      </c>
      <c r="D131" s="663" t="s">
        <v>158</v>
      </c>
      <c r="E131" s="663" t="s">
        <v>39</v>
      </c>
      <c r="F131" s="663" t="s">
        <v>160</v>
      </c>
      <c r="G131" s="663" t="str">
        <f>VLOOKUP(WWWW[[#This Row],[Site Name]],SiteDB6[[Site Name]:[Location Type]],8,FALSE)</f>
        <v>Camp</v>
      </c>
      <c r="H131" s="663" t="s">
        <v>164</v>
      </c>
      <c r="I131" s="700">
        <v>28</v>
      </c>
      <c r="J131" s="700">
        <v>136</v>
      </c>
      <c r="K131" s="642">
        <v>43556</v>
      </c>
      <c r="L131" s="78">
        <v>43677</v>
      </c>
      <c r="M131" s="700"/>
      <c r="N131" s="700"/>
      <c r="O131" s="700"/>
      <c r="P131" s="700"/>
      <c r="Q131" s="77" t="s">
        <v>43</v>
      </c>
      <c r="R131" s="377"/>
      <c r="S131" s="377"/>
      <c r="T131" s="700">
        <v>1</v>
      </c>
      <c r="U131" s="377"/>
      <c r="V131" s="377"/>
      <c r="W131" s="700">
        <v>1</v>
      </c>
      <c r="X131" s="377"/>
      <c r="Y131" s="377"/>
      <c r="Z131" s="377"/>
      <c r="AA131" s="377"/>
      <c r="AB131" s="377"/>
      <c r="AC131" s="377"/>
      <c r="AD131" s="377"/>
      <c r="AE131" s="377"/>
      <c r="AF131" s="377"/>
      <c r="AG131" s="377"/>
      <c r="AH131" s="700">
        <v>3</v>
      </c>
      <c r="AI131" s="377"/>
      <c r="AJ131" s="377"/>
      <c r="AK131" s="377"/>
      <c r="AL131" s="377"/>
      <c r="AM131" s="377"/>
      <c r="AN131" s="377"/>
      <c r="AO131" s="215"/>
      <c r="AP131" s="700">
        <v>12</v>
      </c>
      <c r="AQ131" s="377"/>
      <c r="AR131" s="77"/>
      <c r="AS131" s="377"/>
      <c r="AT131" s="377"/>
      <c r="AU131" s="377"/>
      <c r="AV131" s="377"/>
      <c r="AW131" s="700">
        <v>12</v>
      </c>
      <c r="AX131" s="245" t="s">
        <v>43</v>
      </c>
      <c r="AY131" s="245" t="s">
        <v>1200</v>
      </c>
      <c r="AZ131" s="377"/>
      <c r="BA131" s="377"/>
      <c r="BB131" s="377"/>
      <c r="BC131" s="215"/>
      <c r="BD131" s="377"/>
      <c r="BE131" s="377"/>
      <c r="BF131" s="377"/>
      <c r="BG131" s="377">
        <v>2</v>
      </c>
      <c r="BH131" s="377"/>
      <c r="BI131" s="377"/>
      <c r="BJ131" s="377">
        <v>1</v>
      </c>
      <c r="BK131" s="377"/>
      <c r="BL131" s="377"/>
      <c r="BM131" s="215"/>
      <c r="BN131" s="80"/>
      <c r="BO131" s="82"/>
      <c r="BP131" s="215"/>
      <c r="BQ131" s="79" t="str">
        <f>IFERROR(WWWW[[#This Row],['#_Water sources treated]]/WWWW[[#This Row],['#_Water sources tested for contamination]],"no test")</f>
        <v>no test</v>
      </c>
      <c r="BR131" s="82" t="str">
        <f>IFERROR(WWWW[[#This Row],['#_Household received remediation action due to contamination]]/WWWW[[#This Row],['#_Household water samples tested for contamination]],"no test")</f>
        <v>no test</v>
      </c>
      <c r="BS131" s="81" t="str">
        <f>IF(AND(WWWW[[#This Row],[% of water sources treated]]="no test",WWWW[[#This Row],[% Household received corrective actions]]="no test"),"No Test","Tested")</f>
        <v>No Test</v>
      </c>
      <c r="BT131" s="81">
        <f>WWWW[[#This Row],['#_Constructed/existing protected hand dug well]]-WWWW[[#This Row],['#_Non-functional protected hand dug well]]</f>
        <v>1</v>
      </c>
      <c r="BU131" s="81">
        <f>(WWWW[[#This Row],['#_Constructed/Existing tube wells/boreholes/handpumps_WASH_agency]]+WWWW[[#This Row],['#_Non-Cluster partner water tube-wells/boreholes/handpumps]])-WWWW[[#This Row],['#_Non-functional tube wells/boreholes/handpumps]]</f>
        <v>1</v>
      </c>
      <c r="BV131" s="81">
        <f>WWWW[[#This Row],['#_Constructed/Existingwater storage tank with gravity fed reticulation system]]-WWWW[[#This Row],['#_Non-functional storage tank gravity fed reticulation system]]</f>
        <v>0</v>
      </c>
      <c r="BW131" s="81">
        <f>WWWW[[#This Row],['#_Water boating or water trucking]]</f>
        <v>0</v>
      </c>
      <c r="BX131" s="81">
        <f>WWWW[[#This Row],['#_Constructed/Existing water distribution system from river or natural spring]]</f>
        <v>0</v>
      </c>
      <c r="BY131"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31"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31" s="82">
        <f>IF(WWWW[[#This Row],[Location Type 1]]="Village",WWWW[[#This Row],[Access to safe drinking water for Village]],WWWW[[#This Row],[Access to safe drinking water for Camp]])</f>
        <v>1</v>
      </c>
      <c r="CB131" s="80">
        <f>WWWW[[#This Row],[%Equitable and continuous access to sufficient quantity of safe drinking water]]*WWWW[[#This Row],[Total PoP ]]</f>
        <v>136</v>
      </c>
      <c r="CC131" s="82">
        <f>IF((WWWW[[#This Row],['#_Constructed/Existing protected/fenced ponds]]*250)/WWWW[[#This Row],[Total PoP ]]&gt;1,1,(WWWW[[#This Row],['#_Constructed/Existing protected/fenced ponds]]*250)/WWWW[[#This Row],[Total PoP ]])</f>
        <v>0</v>
      </c>
      <c r="CD131" s="80">
        <f>WWWW[[#This Row],[% Access to unimproved water points]]*WWWW[[#This Row],[Total PoP ]]</f>
        <v>0</v>
      </c>
      <c r="CE131"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31"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136</v>
      </c>
      <c r="CG131" s="80">
        <f>WWWW[[#This Row],[HRP1]]/500</f>
        <v>0.27200000000000002</v>
      </c>
      <c r="CH131" s="79">
        <f>1-WWWW[[#This Row],[% Equitable and continuous access to sufficient quantity of domestic water]]</f>
        <v>0</v>
      </c>
      <c r="CI131" s="80">
        <f>WWWW[[#This Row],[%equitable and continuous access to sufficient quantity of safe drinking and domestic water''s GAP]]*WWWW[[#This Row],[Total PoP ]]</f>
        <v>0</v>
      </c>
      <c r="CJ131" s="81">
        <f>IF(WWWW[[#This Row],[Total required water points]]-WWWW[[#This Row],['#Water points coverage]]&lt;0,0,WWWW[[#This Row],[Total required water points]]-WWWW[[#This Row],['#Water points coverage]])</f>
        <v>0.72799999999999998</v>
      </c>
      <c r="CK131" s="81">
        <f>ROUND(IF(WWWW[[#This Row],[Total PoP ]]&lt;500,1,WWWW[[#This Row],[Total PoP ]]/500),0)</f>
        <v>1</v>
      </c>
      <c r="CL131" s="81">
        <f>(WWWW[[#This Row],['#_Constructed latrines_by_WASHAgencies]]+WWWW[[#This Row],['#_Non Cluster partner latrines]])-WWWW[[#This Row],['#_Non-functional latrines]]</f>
        <v>12</v>
      </c>
      <c r="CM131"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31"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136</v>
      </c>
      <c r="CO131"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31" s="81">
        <f>IF(WWWW[[#This Row],[Location Type 1]]="Village","NA",IF(WWWW[[#This Row],['#_Constructed/Existing latrines in TLS]]*50&gt;WWWW[[#This Row],['#_students at TLS_CFS]],WWWW[[#This Row],['#_students at TLS_CFS]],(WWWW[[#This Row],['#_Constructed/Existing latrines in TLS]]*50)))</f>
        <v>0</v>
      </c>
      <c r="CQ131" s="81">
        <f>ROUND(IF(WWWW[[#This Row],[Location Type 1]]="camp",WWWW[[#This Row],[Total PoP ]]/20,IF(WWWW[[#This Row],[Location Type 1]]="Temporary Location",WWWW[[#This Row],[Total PoP ]]/50,(WWWW[[#This Row],[Total PoP ]]/6))),0)</f>
        <v>7</v>
      </c>
      <c r="CR131" s="80">
        <f>IF(WWWW[[#This Row],[Total required Latrines]]-(WWWW[[#This Row],['#_Constructed latrines_by_WASHAgencies]]+WWWW[[#This Row],['#_Non Cluster partner latrines]])&lt;0,0,WWWW[[#This Row],[Total required Latrines]]-(WWWW[[#This Row],['#_Constructed latrines_by_WASHAgencies]]+WWWW[[#This Row],['#_Non Cluster partner latrines]]))</f>
        <v>0</v>
      </c>
      <c r="CS131" s="79">
        <f>1-WWWW[[#This Row],[% people access to functioning Latrine]]</f>
        <v>0</v>
      </c>
      <c r="CT131" s="83">
        <f>IF(OR(WWWW[[#This Row],['#_Non-functional latrines]]="",WWWW[[#This Row],['#_Non-functional latrines]]=0),0,WWWW[[#This Row],['#_Non-functional latrines]]/(WWWW[[#This Row],['#_Constructed latrines_by_WASHAgencies]]+WWWW[[#This Row],['#_Non Cluster partner latrines]]))</f>
        <v>0</v>
      </c>
      <c r="CU131" s="80">
        <f>IF(500*(WWWW[[#This Row],['#_male hygiene promoters]]+WWWW[[#This Row],['#_female hygiene promoters]])&gt;WWWW[[#This Row],[Total PoP ]],WWWW[[#This Row],[Total PoP ]],500*(WWWW[[#This Row],['#_male hygiene promoters]]+WWWW[[#This Row],['#_female hygiene promoters]]))</f>
        <v>136</v>
      </c>
      <c r="CV131"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31"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31" s="81">
        <f>IF(WWWW[[#This Row],['# People with access to soap]]&gt;WWWW[[#This Row],['# People with access to Sanity Pads]],WWWW[[#This Row],['# People with access to soap]],WWWW[[#This Row],['# People with access to Sanity Pads]])</f>
        <v>0</v>
      </c>
      <c r="CY131" s="81">
        <f>IF(WWWW[[#This Row],['# people reached by regular dedicated hygiene promotion_5]]&gt;WWWW[[#This Row],['# People received regular supply of hygiene items_6]],WWWW[[#This Row],['# people reached by regular dedicated hygiene promotion_5]],WWWW[[#This Row],['# People received regular supply of hygiene items_6]])</f>
        <v>136</v>
      </c>
      <c r="CZ131" s="79">
        <f>IF(WWWW[[#This Row],[HRP3]]/WWWW[[#This Row],[Total PoP ]]&gt;100%,100%,WWWW[[#This Row],[HRP3]]/WWWW[[#This Row],[Total PoP ]])</f>
        <v>1</v>
      </c>
      <c r="DA131" s="83">
        <f>1-WWWW[[#This Row],[Hygiene Coverage%]]</f>
        <v>0</v>
      </c>
      <c r="DB131" s="82">
        <f>WWWW[[#This Row],['# people reached by regular dedicated hygiene promotion_5]]/WWWW[[#This Row],[Total PoP ]]</f>
        <v>1</v>
      </c>
      <c r="DC131" s="82">
        <f>IF(WWWW[[#This Row],['#_households that received standard amount of soap for this quarter]]/WWWW[[#This Row],[Total HH]]&gt;1,1,WWWW[[#This Row],['#_households that received standard amount of soap for this quarter]]/WWWW[[#This Row],[Total HH]])</f>
        <v>0</v>
      </c>
      <c r="DD131" s="82">
        <f>IF(WWWW[[#This Row],['#_households that received standard amount of sanitary pads for this quarter]]/WWWW[[#This Row],[Total HH]]&gt;1,1,WWWW[[#This Row],['#_households that received standard amount of sanitary pads for this quarter]]/WWWW[[#This Row],[Total HH]])</f>
        <v>0</v>
      </c>
      <c r="DE131" s="81">
        <f>WWWW[[#This Row],['#_Constructed/Existing hand washing stations]]-WWWW[[#This Row],['#_Non-Functional_hand_washing_stations]]</f>
        <v>0</v>
      </c>
      <c r="DF131" s="667">
        <f>IF(WWWW[[#This Row],['# Functional hand washing stations during reporting period]]*20&gt;WWWW[[#This Row],[Total HH]],WWWW[[#This Row],[Total HH]],WWWW[[#This Row],['# Functional hand washing stations during reporting period]]*20)</f>
        <v>0</v>
      </c>
      <c r="DG131" s="80">
        <f>IF(WWWW[[#This Row],[Is sufficient soap available for TLS? (Yes/No)]]="yes",WWWW[[#This Row],['#_Constructed/Existing hand washing stations at TLS]],0)</f>
        <v>0</v>
      </c>
      <c r="DH131" s="667">
        <f>IF(WWWW[[#This Row],['# Functional hand washing stations during reporting period]]*100&gt;WWWW[[#This Row],[Total PoP ]],WWWW[[#This Row],[Total PoP ]],WWWW[[#This Row],['# Functional hand washing stations during reporting period]]*100)</f>
        <v>0</v>
      </c>
      <c r="DI131" s="667" t="str">
        <f>IF(WWWW[[#This Row],['#_students at TLS_CFS]]="","No","Yes")</f>
        <v>No</v>
      </c>
      <c r="DJ131" s="245" t="str">
        <f>VLOOKUP(WWWW[[#This Row],[Site Name]],SiteDB6[[Site Name]:[CCCM Management]],6,FALSE)</f>
        <v>Yes</v>
      </c>
      <c r="DK131" s="245" t="str">
        <f>VLOOKUP(WWWW[[#This Row],[Site Name]],SiteDB6[[Site Name]:[CCCM Focal Agency]],7,FALSE)</f>
        <v>KBC</v>
      </c>
      <c r="DL131" s="245" t="str">
        <f>VLOOKUP(WWWW[[#This Row],[Site Name]],SiteDB6[[Site Name]:[Location Type 1]],9,FALSE)</f>
        <v>Camp</v>
      </c>
      <c r="DM131" s="245" t="str">
        <f>VLOOKUP(WWWW[[#This Row],[Site Name]],SiteDB6[[Site Name]:[Type of Accommodation]],10,FALSE)</f>
        <v>Camp</v>
      </c>
      <c r="DN131" s="245" t="str">
        <f>VLOOKUP(WWWW[[#This Row],[Site Name]],SiteDB6[[Site Name]:[Ethnic or GCA/NGCA]],11,FALSE)</f>
        <v>GCA</v>
      </c>
      <c r="DO131" s="245">
        <f>VLOOKUP(WWWW[[#This Row],[Site Name]],SiteDB6[[Site Name]:[Lat]],12,FALSE)</f>
        <v>25.225000000000001</v>
      </c>
      <c r="DP131" s="245">
        <f>VLOOKUP(WWWW[[#This Row],[Site Name]],SiteDB6[[Site Name]:[Long]],13,FALSE)</f>
        <v>96.793999999999997</v>
      </c>
      <c r="DQ131" s="245" t="str">
        <f>VLOOKUP(WWWW[[#This Row],[Site Name]],SiteDB6[[Site Name]:[Pcode]],3,FALSE)</f>
        <v>MMR001CMP236</v>
      </c>
      <c r="DR131" s="215" t="str">
        <f t="shared" si="4"/>
        <v>Covered</v>
      </c>
      <c r="DS131" s="215"/>
      <c r="DT131" s="20"/>
      <c r="DU131" s="20"/>
      <c r="DV131" s="20"/>
      <c r="DW131" s="20"/>
      <c r="DX131" s="20"/>
      <c r="DY131" s="20"/>
      <c r="DZ131" s="20"/>
      <c r="EA131" s="20"/>
      <c r="EB131" s="20"/>
      <c r="EC131" s="20"/>
      <c r="ED131" s="20"/>
      <c r="EE131" s="20"/>
      <c r="EF131" s="20"/>
      <c r="EG131" s="20"/>
      <c r="EH131" s="20"/>
    </row>
    <row r="132" spans="1:138" ht="15.75" customHeight="1">
      <c r="A132" s="259" t="s">
        <v>2525</v>
      </c>
      <c r="B132" s="259" t="s">
        <v>149</v>
      </c>
      <c r="C132" s="663" t="s">
        <v>149</v>
      </c>
      <c r="D132" s="701" t="s">
        <v>152</v>
      </c>
      <c r="E132" s="663" t="s">
        <v>39</v>
      </c>
      <c r="F132" s="663" t="s">
        <v>150</v>
      </c>
      <c r="G132" s="663" t="str">
        <f>VLOOKUP(WWWW[[#This Row],[Site Name]],SiteDB6[[Site Name]:[Location Type]],8,FALSE)</f>
        <v>Camp</v>
      </c>
      <c r="H132" s="663" t="s">
        <v>151</v>
      </c>
      <c r="I132" s="700">
        <v>391</v>
      </c>
      <c r="J132" s="700">
        <v>1775</v>
      </c>
      <c r="K132" s="642">
        <v>43556</v>
      </c>
      <c r="L132" s="78">
        <v>43677</v>
      </c>
      <c r="M132" s="700"/>
      <c r="N132" s="700"/>
      <c r="O132" s="700"/>
      <c r="P132" s="700"/>
      <c r="Q132" s="663" t="s">
        <v>43</v>
      </c>
      <c r="R132" s="377"/>
      <c r="S132" s="377"/>
      <c r="T132" s="700">
        <v>0</v>
      </c>
      <c r="U132" s="377"/>
      <c r="V132" s="377"/>
      <c r="W132" s="700">
        <v>0</v>
      </c>
      <c r="X132" s="377"/>
      <c r="Y132" s="377"/>
      <c r="Z132" s="377"/>
      <c r="AA132" s="377">
        <v>4</v>
      </c>
      <c r="AB132" s="377"/>
      <c r="AC132" s="377"/>
      <c r="AD132" s="377"/>
      <c r="AE132" s="377"/>
      <c r="AF132" s="377"/>
      <c r="AG132" s="377"/>
      <c r="AH132" s="700">
        <v>0</v>
      </c>
      <c r="AI132" s="377"/>
      <c r="AJ132" s="377"/>
      <c r="AK132" s="377"/>
      <c r="AL132" s="377"/>
      <c r="AM132" s="377"/>
      <c r="AN132" s="377"/>
      <c r="AO132" s="215"/>
      <c r="AP132" s="700">
        <v>391</v>
      </c>
      <c r="AQ132" s="377"/>
      <c r="AR132" s="77"/>
      <c r="AS132" s="377"/>
      <c r="AT132" s="377"/>
      <c r="AU132" s="377"/>
      <c r="AV132" s="377"/>
      <c r="AW132" s="700">
        <v>413</v>
      </c>
      <c r="AX132" s="245" t="s">
        <v>43</v>
      </c>
      <c r="AY132" s="245" t="s">
        <v>145</v>
      </c>
      <c r="AZ132" s="377"/>
      <c r="BA132" s="377"/>
      <c r="BB132" s="377"/>
      <c r="BC132" s="215"/>
      <c r="BD132" s="377"/>
      <c r="BE132" s="377"/>
      <c r="BF132" s="377"/>
      <c r="BG132" s="377">
        <v>9</v>
      </c>
      <c r="BH132" s="377"/>
      <c r="BI132" s="377"/>
      <c r="BJ132" s="377">
        <v>5</v>
      </c>
      <c r="BK132" s="377"/>
      <c r="BL132" s="377"/>
      <c r="BM132" s="215"/>
      <c r="BN132" s="80"/>
      <c r="BO132" s="82"/>
      <c r="BP132" s="215"/>
      <c r="BQ132" s="79" t="str">
        <f>IFERROR(WWWW[[#This Row],['#_Water sources treated]]/WWWW[[#This Row],['#_Water sources tested for contamination]],"no test")</f>
        <v>no test</v>
      </c>
      <c r="BR132" s="82" t="str">
        <f>IFERROR(WWWW[[#This Row],['#_Household received remediation action due to contamination]]/WWWW[[#This Row],['#_Household water samples tested for contamination]],"no test")</f>
        <v>no test</v>
      </c>
      <c r="BS132" s="81" t="str">
        <f>IF(AND(WWWW[[#This Row],[% of water sources treated]]="no test",WWWW[[#This Row],[% Household received corrective actions]]="no test"),"No Test","Tested")</f>
        <v>No Test</v>
      </c>
      <c r="BT132" s="81">
        <f>WWWW[[#This Row],['#_Constructed/existing protected hand dug well]]-WWWW[[#This Row],['#_Non-functional protected hand dug well]]</f>
        <v>0</v>
      </c>
      <c r="BU132" s="81">
        <f>(WWWW[[#This Row],['#_Constructed/Existing tube wells/boreholes/handpumps_WASH_agency]]+WWWW[[#This Row],['#_Non-Cluster partner water tube-wells/boreholes/handpumps]])-WWWW[[#This Row],['#_Non-functional tube wells/boreholes/handpumps]]</f>
        <v>0</v>
      </c>
      <c r="BV132" s="81">
        <f>WWWW[[#This Row],['#_Constructed/Existingwater storage tank with gravity fed reticulation system]]-WWWW[[#This Row],['#_Non-functional storage tank gravity fed reticulation system]]</f>
        <v>4</v>
      </c>
      <c r="BW132" s="81">
        <f>WWWW[[#This Row],['#_Water boating or water trucking]]</f>
        <v>0</v>
      </c>
      <c r="BX132" s="81">
        <f>WWWW[[#This Row],['#_Constructed/Existing water distribution system from river or natural spring]]</f>
        <v>0</v>
      </c>
      <c r="BY132"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0.15023474178403756</v>
      </c>
      <c r="BZ132"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0.15023474178403756</v>
      </c>
      <c r="CA132" s="82">
        <f>IF(WWWW[[#This Row],[Location Type 1]]="Village",WWWW[[#This Row],[Access to safe drinking water for Village]],WWWW[[#This Row],[Access to safe drinking water for Camp]])</f>
        <v>0.15023474178403756</v>
      </c>
      <c r="CB132" s="80">
        <f>WWWW[[#This Row],[%Equitable and continuous access to sufficient quantity of safe drinking water]]*WWWW[[#This Row],[Total PoP ]]</f>
        <v>266.66666666666669</v>
      </c>
      <c r="CC132" s="82">
        <f>IF((WWWW[[#This Row],['#_Constructed/Existing protected/fenced ponds]]*250)/WWWW[[#This Row],[Total PoP ]]&gt;1,1,(WWWW[[#This Row],['#_Constructed/Existing protected/fenced ponds]]*250)/WWWW[[#This Row],[Total PoP ]])</f>
        <v>0</v>
      </c>
      <c r="CD132" s="80">
        <f>WWWW[[#This Row],[% Access to unimproved water points]]*WWWW[[#This Row],[Total PoP ]]</f>
        <v>0</v>
      </c>
      <c r="CE132"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0.15023474178403756</v>
      </c>
      <c r="CF132"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266.66666666666669</v>
      </c>
      <c r="CG132" s="80">
        <f>WWWW[[#This Row],[HRP1]]/500</f>
        <v>0.53333333333333333</v>
      </c>
      <c r="CH132" s="79">
        <f>1-WWWW[[#This Row],[% Equitable and continuous access to sufficient quantity of domestic water]]</f>
        <v>0.84976525821596249</v>
      </c>
      <c r="CI132" s="80">
        <f>WWWW[[#This Row],[%equitable and continuous access to sufficient quantity of safe drinking and domestic water''s GAP]]*WWWW[[#This Row],[Total PoP ]]</f>
        <v>1508.3333333333335</v>
      </c>
      <c r="CJ132" s="81">
        <f>IF(WWWW[[#This Row],[Total required water points]]-WWWW[[#This Row],['#Water points coverage]]&lt;0,0,WWWW[[#This Row],[Total required water points]]-WWWW[[#This Row],['#Water points coverage]])</f>
        <v>3.4666666666666668</v>
      </c>
      <c r="CK132" s="81">
        <f>ROUND(IF(WWWW[[#This Row],[Total PoP ]]&lt;500,1,WWWW[[#This Row],[Total PoP ]]/500),0)</f>
        <v>4</v>
      </c>
      <c r="CL132" s="81">
        <f>(WWWW[[#This Row],['#_Constructed latrines_by_WASHAgencies]]+WWWW[[#This Row],['#_Non Cluster partner latrines]])-WWWW[[#This Row],['#_Non-functional latrines]]</f>
        <v>391</v>
      </c>
      <c r="CM132"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32"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1775</v>
      </c>
      <c r="CO132"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32" s="81">
        <f>IF(WWWW[[#This Row],[Location Type 1]]="Village","NA",IF(WWWW[[#This Row],['#_Constructed/Existing latrines in TLS]]*50&gt;WWWW[[#This Row],['#_students at TLS_CFS]],WWWW[[#This Row],['#_students at TLS_CFS]],(WWWW[[#This Row],['#_Constructed/Existing latrines in TLS]]*50)))</f>
        <v>0</v>
      </c>
      <c r="CQ132" s="81">
        <f>ROUND(IF(WWWW[[#This Row],[Location Type 1]]="camp",WWWW[[#This Row],[Total PoP ]]/20,IF(WWWW[[#This Row],[Location Type 1]]="Temporary Location",WWWW[[#This Row],[Total PoP ]]/50,(WWWW[[#This Row],[Total PoP ]]/6))),0)</f>
        <v>89</v>
      </c>
      <c r="CR132" s="80">
        <f>IF(WWWW[[#This Row],[Total required Latrines]]-(WWWW[[#This Row],['#_Constructed latrines_by_WASHAgencies]]+WWWW[[#This Row],['#_Non Cluster partner latrines]])&lt;0,0,WWWW[[#This Row],[Total required Latrines]]-(WWWW[[#This Row],['#_Constructed latrines_by_WASHAgencies]]+WWWW[[#This Row],['#_Non Cluster partner latrines]]))</f>
        <v>0</v>
      </c>
      <c r="CS132" s="79">
        <f>1-WWWW[[#This Row],[% people access to functioning Latrine]]</f>
        <v>0</v>
      </c>
      <c r="CT132" s="83">
        <f>IF(OR(WWWW[[#This Row],['#_Non-functional latrines]]="",WWWW[[#This Row],['#_Non-functional latrines]]=0),0,WWWW[[#This Row],['#_Non-functional latrines]]/(WWWW[[#This Row],['#_Constructed latrines_by_WASHAgencies]]+WWWW[[#This Row],['#_Non Cluster partner latrines]]))</f>
        <v>0</v>
      </c>
      <c r="CU132" s="80">
        <f>IF(500*(WWWW[[#This Row],['#_male hygiene promoters]]+WWWW[[#This Row],['#_female hygiene promoters]])&gt;WWWW[[#This Row],[Total PoP ]],WWWW[[#This Row],[Total PoP ]],500*(WWWW[[#This Row],['#_male hygiene promoters]]+WWWW[[#This Row],['#_female hygiene promoters]]))</f>
        <v>1775</v>
      </c>
      <c r="CV132"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32"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32" s="81">
        <f>IF(WWWW[[#This Row],['# People with access to soap]]&gt;WWWW[[#This Row],['# People with access to Sanity Pads]],WWWW[[#This Row],['# People with access to soap]],WWWW[[#This Row],['# People with access to Sanity Pads]])</f>
        <v>0</v>
      </c>
      <c r="CY132" s="81">
        <f>IF(WWWW[[#This Row],['# people reached by regular dedicated hygiene promotion_5]]&gt;WWWW[[#This Row],['# People received regular supply of hygiene items_6]],WWWW[[#This Row],['# people reached by regular dedicated hygiene promotion_5]],WWWW[[#This Row],['# People received regular supply of hygiene items_6]])</f>
        <v>1775</v>
      </c>
      <c r="CZ132" s="79">
        <f>IF(WWWW[[#This Row],[HRP3]]/WWWW[[#This Row],[Total PoP ]]&gt;100%,100%,WWWW[[#This Row],[HRP3]]/WWWW[[#This Row],[Total PoP ]])</f>
        <v>1</v>
      </c>
      <c r="DA132" s="83">
        <f>1-WWWW[[#This Row],[Hygiene Coverage%]]</f>
        <v>0</v>
      </c>
      <c r="DB132" s="82">
        <f>WWWW[[#This Row],['# people reached by regular dedicated hygiene promotion_5]]/WWWW[[#This Row],[Total PoP ]]</f>
        <v>1</v>
      </c>
      <c r="DC132" s="82">
        <f>IF(WWWW[[#This Row],['#_households that received standard amount of soap for this quarter]]/WWWW[[#This Row],[Total HH]]&gt;1,1,WWWW[[#This Row],['#_households that received standard amount of soap for this quarter]]/WWWW[[#This Row],[Total HH]])</f>
        <v>0</v>
      </c>
      <c r="DD132" s="82">
        <f>IF(WWWW[[#This Row],['#_households that received standard amount of sanitary pads for this quarter]]/WWWW[[#This Row],[Total HH]]&gt;1,1,WWWW[[#This Row],['#_households that received standard amount of sanitary pads for this quarter]]/WWWW[[#This Row],[Total HH]])</f>
        <v>0</v>
      </c>
      <c r="DE132" s="81">
        <f>WWWW[[#This Row],['#_Constructed/Existing hand washing stations]]-WWWW[[#This Row],['#_Non-Functional_hand_washing_stations]]</f>
        <v>0</v>
      </c>
      <c r="DF132" s="667">
        <f>IF(WWWW[[#This Row],['# Functional hand washing stations during reporting period]]*20&gt;WWWW[[#This Row],[Total HH]],WWWW[[#This Row],[Total HH]],WWWW[[#This Row],['# Functional hand washing stations during reporting period]]*20)</f>
        <v>0</v>
      </c>
      <c r="DG132" s="80">
        <f>IF(WWWW[[#This Row],[Is sufficient soap available for TLS? (Yes/No)]]="yes",WWWW[[#This Row],['#_Constructed/Existing hand washing stations at TLS]],0)</f>
        <v>0</v>
      </c>
      <c r="DH132" s="667">
        <f>IF(WWWW[[#This Row],['# Functional hand washing stations during reporting period]]*100&gt;WWWW[[#This Row],[Total PoP ]],WWWW[[#This Row],[Total PoP ]],WWWW[[#This Row],['# Functional hand washing stations during reporting period]]*100)</f>
        <v>0</v>
      </c>
      <c r="DI132" s="667" t="str">
        <f>IF(WWWW[[#This Row],['#_students at TLS_CFS]]="","No","Yes")</f>
        <v>No</v>
      </c>
      <c r="DJ132" s="245" t="str">
        <f>VLOOKUP(WWWW[[#This Row],[Site Name]],SiteDB6[[Site Name]:[CCCM Management]],6,FALSE)</f>
        <v>Yes</v>
      </c>
      <c r="DK132" s="245" t="str">
        <f>VLOOKUP(WWWW[[#This Row],[Site Name]],SiteDB6[[Site Name]:[CCCM Focal Agency]],7,FALSE)</f>
        <v>KBC-MYT</v>
      </c>
      <c r="DL132" s="245" t="str">
        <f>VLOOKUP(WWWW[[#This Row],[Site Name]],SiteDB6[[Site Name]:[Location Type 1]],9,FALSE)</f>
        <v>Camp</v>
      </c>
      <c r="DM132" s="245" t="str">
        <f>VLOOKUP(WWWW[[#This Row],[Site Name]],SiteDB6[[Site Name]:[Type of Accommodation]],10,FALSE)</f>
        <v>Camp</v>
      </c>
      <c r="DN132" s="245" t="str">
        <f>VLOOKUP(WWWW[[#This Row],[Site Name]],SiteDB6[[Site Name]:[Ethnic or GCA/NGCA]],11,FALSE)</f>
        <v>NGCA</v>
      </c>
      <c r="DO132" s="245">
        <f>VLOOKUP(WWWW[[#This Row],[Site Name]],SiteDB6[[Site Name]:[Lat]],12,FALSE)</f>
        <v>0</v>
      </c>
      <c r="DP132" s="245">
        <f>VLOOKUP(WWWW[[#This Row],[Site Name]],SiteDB6[[Site Name]:[Long]],13,FALSE)</f>
        <v>0</v>
      </c>
      <c r="DQ132" s="245" t="str">
        <f>VLOOKUP(WWWW[[#This Row],[Site Name]],SiteDB6[[Site Name]:[Pcode]],3,FALSE)</f>
        <v>MMR001CMP249</v>
      </c>
      <c r="DR132" s="215" t="str">
        <f t="shared" si="4"/>
        <v>Covered</v>
      </c>
      <c r="DS132" s="215"/>
      <c r="DT132" s="20"/>
      <c r="DU132" s="20"/>
      <c r="DV132" s="20"/>
      <c r="DW132" s="20"/>
      <c r="DX132" s="20"/>
      <c r="DY132" s="20"/>
      <c r="DZ132" s="20"/>
      <c r="EA132" s="20"/>
      <c r="EB132" s="20"/>
      <c r="EC132" s="20"/>
      <c r="ED132" s="20"/>
      <c r="EE132" s="20"/>
      <c r="EF132" s="20"/>
      <c r="EG132" s="20"/>
      <c r="EH132" s="20"/>
    </row>
    <row r="133" spans="1:138" ht="15.75" customHeight="1">
      <c r="A133" s="259" t="s">
        <v>2525</v>
      </c>
      <c r="B133" s="663" t="s">
        <v>200</v>
      </c>
      <c r="C133" s="663" t="s">
        <v>200</v>
      </c>
      <c r="D133" s="663" t="s">
        <v>2967</v>
      </c>
      <c r="E133" s="663" t="s">
        <v>39</v>
      </c>
      <c r="F133" s="663" t="s">
        <v>222</v>
      </c>
      <c r="G133" s="663" t="str">
        <f>VLOOKUP(WWWW[[#This Row],[Site Name]],SiteDB6[[Site Name]:[Location Type]],8,FALSE)</f>
        <v>Camp</v>
      </c>
      <c r="H133" s="663" t="s">
        <v>223</v>
      </c>
      <c r="I133" s="700">
        <v>45</v>
      </c>
      <c r="J133" s="700">
        <v>259</v>
      </c>
      <c r="K133" s="642">
        <v>43466</v>
      </c>
      <c r="L133" s="78">
        <v>43830</v>
      </c>
      <c r="M133" s="700"/>
      <c r="N133" s="700"/>
      <c r="O133" s="700"/>
      <c r="P133" s="700"/>
      <c r="Q133" s="77" t="s">
        <v>43</v>
      </c>
      <c r="R133" s="377">
        <v>1</v>
      </c>
      <c r="S133" s="377">
        <v>2</v>
      </c>
      <c r="T133" s="377"/>
      <c r="U133" s="377"/>
      <c r="V133" s="377"/>
      <c r="W133" s="377"/>
      <c r="X133" s="377">
        <v>2</v>
      </c>
      <c r="Y133" s="377"/>
      <c r="Z133" s="377"/>
      <c r="AA133" s="377"/>
      <c r="AB133" s="377"/>
      <c r="AC133" s="377"/>
      <c r="AD133" s="377"/>
      <c r="AE133" s="377"/>
      <c r="AF133" s="377"/>
      <c r="AG133" s="377"/>
      <c r="AH133" s="377"/>
      <c r="AI133" s="377"/>
      <c r="AJ133" s="377"/>
      <c r="AK133" s="377"/>
      <c r="AL133" s="377"/>
      <c r="AM133" s="377"/>
      <c r="AN133" s="377"/>
      <c r="AO133" s="215"/>
      <c r="AP133" s="377">
        <v>13</v>
      </c>
      <c r="AQ133" s="377"/>
      <c r="AR133" s="77"/>
      <c r="AS133" s="377">
        <v>4</v>
      </c>
      <c r="AT133" s="377"/>
      <c r="AU133" s="377"/>
      <c r="AV133" s="377"/>
      <c r="AW133" s="377"/>
      <c r="AX133" s="694" t="s">
        <v>43</v>
      </c>
      <c r="AY133" s="694" t="s">
        <v>145</v>
      </c>
      <c r="AZ133" s="377"/>
      <c r="BA133" s="377"/>
      <c r="BB133" s="377"/>
      <c r="BC133" s="215"/>
      <c r="BD133" s="377">
        <v>4</v>
      </c>
      <c r="BE133" s="377"/>
      <c r="BF133" s="377"/>
      <c r="BG133" s="377">
        <v>3</v>
      </c>
      <c r="BH133" s="377"/>
      <c r="BI133" s="377"/>
      <c r="BJ133" s="377"/>
      <c r="BK133" s="377"/>
      <c r="BL133" s="377"/>
      <c r="BM133" s="215"/>
      <c r="BN133" s="80"/>
      <c r="BO133" s="82"/>
      <c r="BP133" s="215"/>
      <c r="BQ133" s="79" t="str">
        <f>IFERROR(WWWW[[#This Row],['#_Water sources treated]]/WWWW[[#This Row],['#_Water sources tested for contamination]],"no test")</f>
        <v>no test</v>
      </c>
      <c r="BR133" s="82" t="str">
        <f>IFERROR(WWWW[[#This Row],['#_Household received remediation action due to contamination]]/WWWW[[#This Row],['#_Household water samples tested for contamination]],"no test")</f>
        <v>no test</v>
      </c>
      <c r="BS133" s="81" t="str">
        <f>IF(AND(WWWW[[#This Row],[% of water sources treated]]="no test",WWWW[[#This Row],[% Household received corrective actions]]="no test"),"No Test","Tested")</f>
        <v>No Test</v>
      </c>
      <c r="BT133" s="81">
        <f>WWWW[[#This Row],['#_Constructed/existing protected hand dug well]]-WWWW[[#This Row],['#_Non-functional protected hand dug well]]</f>
        <v>0</v>
      </c>
      <c r="BU133" s="81">
        <f>(WWWW[[#This Row],['#_Constructed/Existing tube wells/boreholes/handpumps_WASH_agency]]+WWWW[[#This Row],['#_Non-Cluster partner water tube-wells/boreholes/handpumps]])-WWWW[[#This Row],['#_Non-functional tube wells/boreholes/handpumps]]</f>
        <v>2</v>
      </c>
      <c r="BV133" s="81">
        <f>WWWW[[#This Row],['#_Constructed/Existingwater storage tank with gravity fed reticulation system]]-WWWW[[#This Row],['#_Non-functional storage tank gravity fed reticulation system]]</f>
        <v>0</v>
      </c>
      <c r="BW133" s="81">
        <f>WWWW[[#This Row],['#_Water boating or water trucking]]</f>
        <v>0</v>
      </c>
      <c r="BX133" s="81">
        <f>WWWW[[#This Row],['#_Constructed/Existing water distribution system from river or natural spring]]</f>
        <v>0</v>
      </c>
      <c r="BY133"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33"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33" s="82">
        <f>IF(WWWW[[#This Row],[Location Type 1]]="Village",WWWW[[#This Row],[Access to safe drinking water for Village]],WWWW[[#This Row],[Access to safe drinking water for Camp]])</f>
        <v>1</v>
      </c>
      <c r="CB133" s="80">
        <f>WWWW[[#This Row],[%Equitable and continuous access to sufficient quantity of safe drinking water]]*WWWW[[#This Row],[Total PoP ]]</f>
        <v>259</v>
      </c>
      <c r="CC133" s="82">
        <f>IF((WWWW[[#This Row],['#_Constructed/Existing protected/fenced ponds]]*250)/WWWW[[#This Row],[Total PoP ]]&gt;1,1,(WWWW[[#This Row],['#_Constructed/Existing protected/fenced ponds]]*250)/WWWW[[#This Row],[Total PoP ]])</f>
        <v>0</v>
      </c>
      <c r="CD133" s="80">
        <f>WWWW[[#This Row],[% Access to unimproved water points]]*WWWW[[#This Row],[Total PoP ]]</f>
        <v>0</v>
      </c>
      <c r="CE133"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33"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259</v>
      </c>
      <c r="CG133" s="80">
        <f>WWWW[[#This Row],[HRP1]]/500</f>
        <v>0.51800000000000002</v>
      </c>
      <c r="CH133" s="79">
        <f>1-WWWW[[#This Row],[% Equitable and continuous access to sufficient quantity of domestic water]]</f>
        <v>0</v>
      </c>
      <c r="CI133" s="80">
        <f>WWWW[[#This Row],[%equitable and continuous access to sufficient quantity of safe drinking and domestic water''s GAP]]*WWWW[[#This Row],[Total PoP ]]</f>
        <v>0</v>
      </c>
      <c r="CJ133" s="81">
        <f>IF(WWWW[[#This Row],[Total required water points]]-WWWW[[#This Row],['#Water points coverage]]&lt;0,0,WWWW[[#This Row],[Total required water points]]-WWWW[[#This Row],['#Water points coverage]])</f>
        <v>0.48199999999999998</v>
      </c>
      <c r="CK133" s="81">
        <f>ROUND(IF(WWWW[[#This Row],[Total PoP ]]&lt;500,1,WWWW[[#This Row],[Total PoP ]]/500),0)</f>
        <v>1</v>
      </c>
      <c r="CL133" s="81">
        <f>(WWWW[[#This Row],['#_Constructed latrines_by_WASHAgencies]]+WWWW[[#This Row],['#_Non Cluster partner latrines]])-WWWW[[#This Row],['#_Non-functional latrines]]</f>
        <v>9</v>
      </c>
      <c r="CM133"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0.69498069498069504</v>
      </c>
      <c r="CN133"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180</v>
      </c>
      <c r="CO133"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33" s="81">
        <f>IF(WWWW[[#This Row],[Location Type 1]]="Village","NA",IF(WWWW[[#This Row],['#_Constructed/Existing latrines in TLS]]*50&gt;WWWW[[#This Row],['#_students at TLS_CFS]],WWWW[[#This Row],['#_students at TLS_CFS]],(WWWW[[#This Row],['#_Constructed/Existing latrines in TLS]]*50)))</f>
        <v>0</v>
      </c>
      <c r="CQ133" s="81">
        <f>ROUND(IF(WWWW[[#This Row],[Location Type 1]]="camp",WWWW[[#This Row],[Total PoP ]]/20,IF(WWWW[[#This Row],[Location Type 1]]="Temporary Location",WWWW[[#This Row],[Total PoP ]]/50,(WWWW[[#This Row],[Total PoP ]]/6))),0)</f>
        <v>13</v>
      </c>
      <c r="CR133" s="80">
        <f>IF(WWWW[[#This Row],[Total required Latrines]]-(WWWW[[#This Row],['#_Constructed latrines_by_WASHAgencies]]+WWWW[[#This Row],['#_Non Cluster partner latrines]])&lt;0,0,WWWW[[#This Row],[Total required Latrines]]-(WWWW[[#This Row],['#_Constructed latrines_by_WASHAgencies]]+WWWW[[#This Row],['#_Non Cluster partner latrines]]))</f>
        <v>0</v>
      </c>
      <c r="CS133" s="79">
        <f>1-WWWW[[#This Row],[% people access to functioning Latrine]]</f>
        <v>0.30501930501930496</v>
      </c>
      <c r="CT133" s="83">
        <f>IF(OR(WWWW[[#This Row],['#_Non-functional latrines]]="",WWWW[[#This Row],['#_Non-functional latrines]]=0),0,WWWW[[#This Row],['#_Non-functional latrines]]/(WWWW[[#This Row],['#_Constructed latrines_by_WASHAgencies]]+WWWW[[#This Row],['#_Non Cluster partner latrines]]))</f>
        <v>0.30769230769230771</v>
      </c>
      <c r="CU133" s="80">
        <f>IF(500*(WWWW[[#This Row],['#_male hygiene promoters]]+WWWW[[#This Row],['#_female hygiene promoters]])&gt;WWWW[[#This Row],[Total PoP ]],WWWW[[#This Row],[Total PoP ]],500*(WWWW[[#This Row],['#_male hygiene promoters]]+WWWW[[#This Row],['#_female hygiene promoters]]))</f>
        <v>0</v>
      </c>
      <c r="CV133"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33"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33" s="81">
        <f>IF(WWWW[[#This Row],['# People with access to soap]]&gt;WWWW[[#This Row],['# People with access to Sanity Pads]],WWWW[[#This Row],['# People with access to soap]],WWWW[[#This Row],['# People with access to Sanity Pads]])</f>
        <v>0</v>
      </c>
      <c r="CY133"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33" s="79">
        <f>IF(WWWW[[#This Row],[HRP3]]/WWWW[[#This Row],[Total PoP ]]&gt;100%,100%,WWWW[[#This Row],[HRP3]]/WWWW[[#This Row],[Total PoP ]])</f>
        <v>0</v>
      </c>
      <c r="DA133" s="83">
        <f>1-WWWW[[#This Row],[Hygiene Coverage%]]</f>
        <v>1</v>
      </c>
      <c r="DB133" s="82">
        <f>WWWW[[#This Row],['# people reached by regular dedicated hygiene promotion_5]]/WWWW[[#This Row],[Total PoP ]]</f>
        <v>0</v>
      </c>
      <c r="DC133" s="82">
        <f>IF(WWWW[[#This Row],['#_households that received standard amount of soap for this quarter]]/WWWW[[#This Row],[Total HH]]&gt;1,1,WWWW[[#This Row],['#_households that received standard amount of soap for this quarter]]/WWWW[[#This Row],[Total HH]])</f>
        <v>0</v>
      </c>
      <c r="DD133" s="82">
        <f>IF(WWWW[[#This Row],['#_households that received standard amount of sanitary pads for this quarter]]/WWWW[[#This Row],[Total HH]]&gt;1,1,WWWW[[#This Row],['#_households that received standard amount of sanitary pads for this quarter]]/WWWW[[#This Row],[Total HH]])</f>
        <v>0</v>
      </c>
      <c r="DE133" s="81">
        <f>WWWW[[#This Row],['#_Constructed/Existing hand washing stations]]-WWWW[[#This Row],['#_Non-Functional_hand_washing_stations]]</f>
        <v>4</v>
      </c>
      <c r="DF133" s="667">
        <f>IF(WWWW[[#This Row],['# Functional hand washing stations during reporting period]]*20&gt;WWWW[[#This Row],[Total HH]],WWWW[[#This Row],[Total HH]],WWWW[[#This Row],['# Functional hand washing stations during reporting period]]*20)</f>
        <v>45</v>
      </c>
      <c r="DG133" s="80">
        <f>IF(WWWW[[#This Row],[Is sufficient soap available for TLS? (Yes/No)]]="yes",WWWW[[#This Row],['#_Constructed/Existing hand washing stations at TLS]],0)</f>
        <v>0</v>
      </c>
      <c r="DH133" s="667">
        <f>IF(WWWW[[#This Row],['# Functional hand washing stations during reporting period]]*100&gt;WWWW[[#This Row],[Total PoP ]],WWWW[[#This Row],[Total PoP ]],WWWW[[#This Row],['# Functional hand washing stations during reporting period]]*100)</f>
        <v>259</v>
      </c>
      <c r="DI133" s="667" t="str">
        <f>IF(WWWW[[#This Row],['#_students at TLS_CFS]]="","No","Yes")</f>
        <v>No</v>
      </c>
      <c r="DJ133" s="245" t="str">
        <f>VLOOKUP(WWWW[[#This Row],[Site Name]],SiteDB6[[Site Name]:[CCCM Management]],6,FALSE)</f>
        <v>Yes</v>
      </c>
      <c r="DK133" s="245" t="str">
        <f>VLOOKUP(WWWW[[#This Row],[Site Name]],SiteDB6[[Site Name]:[CCCM Focal Agency]],7,FALSE)</f>
        <v>KBC-BMO</v>
      </c>
      <c r="DL133" s="245" t="str">
        <f>VLOOKUP(WWWW[[#This Row],[Site Name]],SiteDB6[[Site Name]:[Location Type 1]],9,FALSE)</f>
        <v>Camp</v>
      </c>
      <c r="DM133" s="245" t="str">
        <f>VLOOKUP(WWWW[[#This Row],[Site Name]],SiteDB6[[Site Name]:[Type of Accommodation]],10,FALSE)</f>
        <v>Camp</v>
      </c>
      <c r="DN133" s="245" t="str">
        <f>VLOOKUP(WWWW[[#This Row],[Site Name]],SiteDB6[[Site Name]:[Ethnic or GCA/NGCA]],11,FALSE)</f>
        <v>GCA</v>
      </c>
      <c r="DO133" s="245">
        <f>VLOOKUP(WWWW[[#This Row],[Site Name]],SiteDB6[[Site Name]:[Lat]],12,FALSE)</f>
        <v>24.200361000000001</v>
      </c>
      <c r="DP133" s="245">
        <f>VLOOKUP(WWWW[[#This Row],[Site Name]],SiteDB6[[Site Name]:[Long]],13,FALSE)</f>
        <v>96.807353000000006</v>
      </c>
      <c r="DQ133" s="245" t="str">
        <f>VLOOKUP(WWWW[[#This Row],[Site Name]],SiteDB6[[Site Name]:[Pcode]],3,FALSE)</f>
        <v>MMR001CMP067</v>
      </c>
      <c r="DR133" s="215" t="str">
        <f t="shared" si="4"/>
        <v>Covered</v>
      </c>
      <c r="DS133" s="215"/>
      <c r="DT133" s="20"/>
      <c r="DU133" s="20"/>
      <c r="DV133" s="20"/>
      <c r="DW133" s="20"/>
      <c r="DX133" s="20"/>
      <c r="DY133" s="20"/>
      <c r="DZ133" s="20"/>
      <c r="EA133" s="20"/>
      <c r="EB133" s="20"/>
      <c r="EC133" s="20"/>
      <c r="ED133" s="20"/>
      <c r="EE133" s="20"/>
      <c r="EF133" s="20"/>
      <c r="EG133" s="20"/>
      <c r="EH133" s="20"/>
    </row>
    <row r="134" spans="1:138" ht="15.75" customHeight="1">
      <c r="A134" s="259" t="s">
        <v>2525</v>
      </c>
      <c r="B134" s="663" t="s">
        <v>200</v>
      </c>
      <c r="C134" s="663" t="s">
        <v>200</v>
      </c>
      <c r="D134" s="663" t="s">
        <v>2967</v>
      </c>
      <c r="E134" s="663" t="s">
        <v>39</v>
      </c>
      <c r="F134" s="663" t="s">
        <v>222</v>
      </c>
      <c r="G134" s="663" t="str">
        <f>VLOOKUP(WWWW[[#This Row],[Site Name]],SiteDB6[[Site Name]:[Location Type]],8,FALSE)</f>
        <v>Camp</v>
      </c>
      <c r="H134" s="663" t="s">
        <v>224</v>
      </c>
      <c r="I134" s="700">
        <v>33</v>
      </c>
      <c r="J134" s="700">
        <v>169</v>
      </c>
      <c r="K134" s="642">
        <v>43466</v>
      </c>
      <c r="L134" s="78">
        <v>43830</v>
      </c>
      <c r="M134" s="700"/>
      <c r="N134" s="700"/>
      <c r="O134" s="700"/>
      <c r="P134" s="700"/>
      <c r="Q134" s="77" t="s">
        <v>43</v>
      </c>
      <c r="R134" s="377">
        <v>1</v>
      </c>
      <c r="S134" s="377">
        <v>1</v>
      </c>
      <c r="T134" s="377"/>
      <c r="U134" s="377"/>
      <c r="V134" s="377"/>
      <c r="W134" s="377"/>
      <c r="X134" s="377">
        <v>1</v>
      </c>
      <c r="Y134" s="377"/>
      <c r="Z134" s="377"/>
      <c r="AA134" s="377"/>
      <c r="AB134" s="377"/>
      <c r="AC134" s="377"/>
      <c r="AD134" s="377"/>
      <c r="AE134" s="377"/>
      <c r="AF134" s="377"/>
      <c r="AG134" s="377"/>
      <c r="AH134" s="377"/>
      <c r="AI134" s="377"/>
      <c r="AJ134" s="377"/>
      <c r="AK134" s="377"/>
      <c r="AL134" s="377"/>
      <c r="AM134" s="377"/>
      <c r="AN134" s="377"/>
      <c r="AO134" s="215"/>
      <c r="AP134" s="377">
        <v>9</v>
      </c>
      <c r="AQ134" s="377"/>
      <c r="AR134" s="77"/>
      <c r="AS134" s="377"/>
      <c r="AT134" s="377"/>
      <c r="AU134" s="377"/>
      <c r="AV134" s="377"/>
      <c r="AW134" s="377"/>
      <c r="AX134" s="694" t="s">
        <v>43</v>
      </c>
      <c r="AY134" s="694" t="s">
        <v>145</v>
      </c>
      <c r="AZ134" s="377"/>
      <c r="BA134" s="377"/>
      <c r="BB134" s="377"/>
      <c r="BC134" s="215"/>
      <c r="BD134" s="377">
        <v>0</v>
      </c>
      <c r="BE134" s="377"/>
      <c r="BF134" s="377"/>
      <c r="BG134" s="377">
        <v>2</v>
      </c>
      <c r="BH134" s="377"/>
      <c r="BI134" s="377"/>
      <c r="BJ134" s="377"/>
      <c r="BK134" s="377"/>
      <c r="BL134" s="377"/>
      <c r="BM134" s="215"/>
      <c r="BN134" s="80"/>
      <c r="BO134" s="82"/>
      <c r="BP134" s="215"/>
      <c r="BQ134" s="79" t="str">
        <f>IFERROR(WWWW[[#This Row],['#_Water sources treated]]/WWWW[[#This Row],['#_Water sources tested for contamination]],"no test")</f>
        <v>no test</v>
      </c>
      <c r="BR134" s="82" t="str">
        <f>IFERROR(WWWW[[#This Row],['#_Household received remediation action due to contamination]]/WWWW[[#This Row],['#_Household water samples tested for contamination]],"no test")</f>
        <v>no test</v>
      </c>
      <c r="BS134" s="81" t="str">
        <f>IF(AND(WWWW[[#This Row],[% of water sources treated]]="no test",WWWW[[#This Row],[% Household received corrective actions]]="no test"),"No Test","Tested")</f>
        <v>No Test</v>
      </c>
      <c r="BT134" s="81">
        <f>WWWW[[#This Row],['#_Constructed/existing protected hand dug well]]-WWWW[[#This Row],['#_Non-functional protected hand dug well]]</f>
        <v>0</v>
      </c>
      <c r="BU134" s="81">
        <f>(WWWW[[#This Row],['#_Constructed/Existing tube wells/boreholes/handpumps_WASH_agency]]+WWWW[[#This Row],['#_Non-Cluster partner water tube-wells/boreholes/handpumps]])-WWWW[[#This Row],['#_Non-functional tube wells/boreholes/handpumps]]</f>
        <v>1</v>
      </c>
      <c r="BV134" s="81">
        <f>WWWW[[#This Row],['#_Constructed/Existingwater storage tank with gravity fed reticulation system]]-WWWW[[#This Row],['#_Non-functional storage tank gravity fed reticulation system]]</f>
        <v>0</v>
      </c>
      <c r="BW134" s="81">
        <f>WWWW[[#This Row],['#_Water boating or water trucking]]</f>
        <v>0</v>
      </c>
      <c r="BX134" s="81">
        <f>WWWW[[#This Row],['#_Constructed/Existing water distribution system from river or natural spring]]</f>
        <v>0</v>
      </c>
      <c r="BY134"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34"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34" s="82">
        <f>IF(WWWW[[#This Row],[Location Type 1]]="Village",WWWW[[#This Row],[Access to safe drinking water for Village]],WWWW[[#This Row],[Access to safe drinking water for Camp]])</f>
        <v>1</v>
      </c>
      <c r="CB134" s="80">
        <f>WWWW[[#This Row],[%Equitable and continuous access to sufficient quantity of safe drinking water]]*WWWW[[#This Row],[Total PoP ]]</f>
        <v>169</v>
      </c>
      <c r="CC134" s="82">
        <f>IF((WWWW[[#This Row],['#_Constructed/Existing protected/fenced ponds]]*250)/WWWW[[#This Row],[Total PoP ]]&gt;1,1,(WWWW[[#This Row],['#_Constructed/Existing protected/fenced ponds]]*250)/WWWW[[#This Row],[Total PoP ]])</f>
        <v>0</v>
      </c>
      <c r="CD134" s="80">
        <f>WWWW[[#This Row],[% Access to unimproved water points]]*WWWW[[#This Row],[Total PoP ]]</f>
        <v>0</v>
      </c>
      <c r="CE134"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34"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169</v>
      </c>
      <c r="CG134" s="80">
        <f>WWWW[[#This Row],[HRP1]]/500</f>
        <v>0.33800000000000002</v>
      </c>
      <c r="CH134" s="79">
        <f>1-WWWW[[#This Row],[% Equitable and continuous access to sufficient quantity of domestic water]]</f>
        <v>0</v>
      </c>
      <c r="CI134" s="80">
        <f>WWWW[[#This Row],[%equitable and continuous access to sufficient quantity of safe drinking and domestic water''s GAP]]*WWWW[[#This Row],[Total PoP ]]</f>
        <v>0</v>
      </c>
      <c r="CJ134" s="81">
        <f>IF(WWWW[[#This Row],[Total required water points]]-WWWW[[#This Row],['#Water points coverage]]&lt;0,0,WWWW[[#This Row],[Total required water points]]-WWWW[[#This Row],['#Water points coverage]])</f>
        <v>0.66199999999999992</v>
      </c>
      <c r="CK134" s="81">
        <f>ROUND(IF(WWWW[[#This Row],[Total PoP ]]&lt;500,1,WWWW[[#This Row],[Total PoP ]]/500),0)</f>
        <v>1</v>
      </c>
      <c r="CL134" s="81">
        <f>(WWWW[[#This Row],['#_Constructed latrines_by_WASHAgencies]]+WWWW[[#This Row],['#_Non Cluster partner latrines]])-WWWW[[#This Row],['#_Non-functional latrines]]</f>
        <v>9</v>
      </c>
      <c r="CM134"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34"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169</v>
      </c>
      <c r="CO134"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34" s="81">
        <f>IF(WWWW[[#This Row],[Location Type 1]]="Village","NA",IF(WWWW[[#This Row],['#_Constructed/Existing latrines in TLS]]*50&gt;WWWW[[#This Row],['#_students at TLS_CFS]],WWWW[[#This Row],['#_students at TLS_CFS]],(WWWW[[#This Row],['#_Constructed/Existing latrines in TLS]]*50)))</f>
        <v>0</v>
      </c>
      <c r="CQ134" s="81">
        <f>ROUND(IF(WWWW[[#This Row],[Location Type 1]]="camp",WWWW[[#This Row],[Total PoP ]]/20,IF(WWWW[[#This Row],[Location Type 1]]="Temporary Location",WWWW[[#This Row],[Total PoP ]]/50,(WWWW[[#This Row],[Total PoP ]]/6))),0)</f>
        <v>8</v>
      </c>
      <c r="CR134" s="80">
        <f>IF(WWWW[[#This Row],[Total required Latrines]]-(WWWW[[#This Row],['#_Constructed latrines_by_WASHAgencies]]+WWWW[[#This Row],['#_Non Cluster partner latrines]])&lt;0,0,WWWW[[#This Row],[Total required Latrines]]-(WWWW[[#This Row],['#_Constructed latrines_by_WASHAgencies]]+WWWW[[#This Row],['#_Non Cluster partner latrines]]))</f>
        <v>0</v>
      </c>
      <c r="CS134" s="79">
        <f>1-WWWW[[#This Row],[% people access to functioning Latrine]]</f>
        <v>0</v>
      </c>
      <c r="CT134" s="83">
        <f>IF(OR(WWWW[[#This Row],['#_Non-functional latrines]]="",WWWW[[#This Row],['#_Non-functional latrines]]=0),0,WWWW[[#This Row],['#_Non-functional latrines]]/(WWWW[[#This Row],['#_Constructed latrines_by_WASHAgencies]]+WWWW[[#This Row],['#_Non Cluster partner latrines]]))</f>
        <v>0</v>
      </c>
      <c r="CU134" s="80">
        <f>IF(500*(WWWW[[#This Row],['#_male hygiene promoters]]+WWWW[[#This Row],['#_female hygiene promoters]])&gt;WWWW[[#This Row],[Total PoP ]],WWWW[[#This Row],[Total PoP ]],500*(WWWW[[#This Row],['#_male hygiene promoters]]+WWWW[[#This Row],['#_female hygiene promoters]]))</f>
        <v>0</v>
      </c>
      <c r="CV134"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34"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34" s="81">
        <f>IF(WWWW[[#This Row],['# People with access to soap]]&gt;WWWW[[#This Row],['# People with access to Sanity Pads]],WWWW[[#This Row],['# People with access to soap]],WWWW[[#This Row],['# People with access to Sanity Pads]])</f>
        <v>0</v>
      </c>
      <c r="CY134"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34" s="79">
        <f>IF(WWWW[[#This Row],[HRP3]]/WWWW[[#This Row],[Total PoP ]]&gt;100%,100%,WWWW[[#This Row],[HRP3]]/WWWW[[#This Row],[Total PoP ]])</f>
        <v>0</v>
      </c>
      <c r="DA134" s="83">
        <f>1-WWWW[[#This Row],[Hygiene Coverage%]]</f>
        <v>1</v>
      </c>
      <c r="DB134" s="82">
        <f>WWWW[[#This Row],['# people reached by regular dedicated hygiene promotion_5]]/WWWW[[#This Row],[Total PoP ]]</f>
        <v>0</v>
      </c>
      <c r="DC134" s="82">
        <f>IF(WWWW[[#This Row],['#_households that received standard amount of soap for this quarter]]/WWWW[[#This Row],[Total HH]]&gt;1,1,WWWW[[#This Row],['#_households that received standard amount of soap for this quarter]]/WWWW[[#This Row],[Total HH]])</f>
        <v>0</v>
      </c>
      <c r="DD134" s="82">
        <f>IF(WWWW[[#This Row],['#_households that received standard amount of sanitary pads for this quarter]]/WWWW[[#This Row],[Total HH]]&gt;1,1,WWWW[[#This Row],['#_households that received standard amount of sanitary pads for this quarter]]/WWWW[[#This Row],[Total HH]])</f>
        <v>0</v>
      </c>
      <c r="DE134" s="81">
        <f>WWWW[[#This Row],['#_Constructed/Existing hand washing stations]]-WWWW[[#This Row],['#_Non-Functional_hand_washing_stations]]</f>
        <v>0</v>
      </c>
      <c r="DF134" s="667">
        <f>IF(WWWW[[#This Row],['# Functional hand washing stations during reporting period]]*20&gt;WWWW[[#This Row],[Total HH]],WWWW[[#This Row],[Total HH]],WWWW[[#This Row],['# Functional hand washing stations during reporting period]]*20)</f>
        <v>0</v>
      </c>
      <c r="DG134" s="80">
        <f>IF(WWWW[[#This Row],[Is sufficient soap available for TLS? (Yes/No)]]="yes",WWWW[[#This Row],['#_Constructed/Existing hand washing stations at TLS]],0)</f>
        <v>0</v>
      </c>
      <c r="DH134" s="667">
        <f>IF(WWWW[[#This Row],['# Functional hand washing stations during reporting period]]*100&gt;WWWW[[#This Row],[Total PoP ]],WWWW[[#This Row],[Total PoP ]],WWWW[[#This Row],['# Functional hand washing stations during reporting period]]*100)</f>
        <v>0</v>
      </c>
      <c r="DI134" s="667" t="str">
        <f>IF(WWWW[[#This Row],['#_students at TLS_CFS]]="","No","Yes")</f>
        <v>No</v>
      </c>
      <c r="DJ134" s="245" t="str">
        <f>VLOOKUP(WWWW[[#This Row],[Site Name]],SiteDB6[[Site Name]:[CCCM Management]],6,FALSE)</f>
        <v>Yes</v>
      </c>
      <c r="DK134" s="245" t="str">
        <f>VLOOKUP(WWWW[[#This Row],[Site Name]],SiteDB6[[Site Name]:[CCCM Focal Agency]],7,FALSE)</f>
        <v>KMSS-BMO</v>
      </c>
      <c r="DL134" s="245" t="str">
        <f>VLOOKUP(WWWW[[#This Row],[Site Name]],SiteDB6[[Site Name]:[Location Type 1]],9,FALSE)</f>
        <v>Camp</v>
      </c>
      <c r="DM134" s="245" t="str">
        <f>VLOOKUP(WWWW[[#This Row],[Site Name]],SiteDB6[[Site Name]:[Type of Accommodation]],10,FALSE)</f>
        <v>Camp</v>
      </c>
      <c r="DN134" s="245" t="str">
        <f>VLOOKUP(WWWW[[#This Row],[Site Name]],SiteDB6[[Site Name]:[Ethnic or GCA/NGCA]],11,FALSE)</f>
        <v>GCA</v>
      </c>
      <c r="DO134" s="245">
        <f>VLOOKUP(WWWW[[#This Row],[Site Name]],SiteDB6[[Site Name]:[Lat]],12,FALSE)</f>
        <v>24.200367</v>
      </c>
      <c r="DP134" s="245">
        <f>VLOOKUP(WWWW[[#This Row],[Site Name]],SiteDB6[[Site Name]:[Long]],13,FALSE)</f>
        <v>96.807353000000006</v>
      </c>
      <c r="DQ134" s="245" t="str">
        <f>VLOOKUP(WWWW[[#This Row],[Site Name]],SiteDB6[[Site Name]:[Pcode]],3,FALSE)</f>
        <v>MMR001CMP068</v>
      </c>
      <c r="DR134" s="215" t="str">
        <f t="shared" si="4"/>
        <v>Covered</v>
      </c>
      <c r="DS134" s="215"/>
      <c r="DT134" s="20"/>
      <c r="DU134" s="20"/>
      <c r="DV134" s="20"/>
      <c r="DW134" s="20"/>
      <c r="DX134" s="20"/>
      <c r="DY134" s="20"/>
      <c r="DZ134" s="20"/>
      <c r="EA134" s="20"/>
      <c r="EB134" s="20"/>
      <c r="EC134" s="20"/>
      <c r="ED134" s="20"/>
      <c r="EE134" s="20"/>
      <c r="EF134" s="20"/>
      <c r="EG134" s="20"/>
      <c r="EH134" s="20"/>
    </row>
    <row r="135" spans="1:138" ht="15.75" customHeight="1">
      <c r="A135" s="259" t="s">
        <v>2525</v>
      </c>
      <c r="B135" s="259" t="s">
        <v>149</v>
      </c>
      <c r="C135" s="663" t="s">
        <v>149</v>
      </c>
      <c r="D135" s="663" t="s">
        <v>158</v>
      </c>
      <c r="E135" s="663" t="s">
        <v>39</v>
      </c>
      <c r="F135" s="663" t="s">
        <v>156</v>
      </c>
      <c r="G135" s="663" t="str">
        <f>VLOOKUP(WWWW[[#This Row],[Site Name]],SiteDB6[[Site Name]:[Location Type]],8,FALSE)</f>
        <v>Camp</v>
      </c>
      <c r="H135" s="663" t="s">
        <v>196</v>
      </c>
      <c r="I135" s="700">
        <v>28</v>
      </c>
      <c r="J135" s="700">
        <v>103</v>
      </c>
      <c r="K135" s="642">
        <v>43556</v>
      </c>
      <c r="L135" s="78">
        <v>43677</v>
      </c>
      <c r="M135" s="700"/>
      <c r="N135" s="700"/>
      <c r="O135" s="700"/>
      <c r="P135" s="700"/>
      <c r="Q135" s="77" t="s">
        <v>43</v>
      </c>
      <c r="R135" s="377"/>
      <c r="S135" s="377"/>
      <c r="T135" s="700">
        <v>1</v>
      </c>
      <c r="U135" s="377"/>
      <c r="V135" s="377"/>
      <c r="W135" s="700">
        <v>1</v>
      </c>
      <c r="X135" s="377"/>
      <c r="Y135" s="377"/>
      <c r="Z135" s="377"/>
      <c r="AA135" s="377"/>
      <c r="AB135" s="377"/>
      <c r="AC135" s="377"/>
      <c r="AD135" s="377"/>
      <c r="AE135" s="377"/>
      <c r="AF135" s="377"/>
      <c r="AG135" s="377"/>
      <c r="AH135" s="700">
        <v>0</v>
      </c>
      <c r="AI135" s="377"/>
      <c r="AJ135" s="377"/>
      <c r="AK135" s="377"/>
      <c r="AL135" s="377"/>
      <c r="AM135" s="377"/>
      <c r="AN135" s="377"/>
      <c r="AO135" s="215"/>
      <c r="AP135" s="700">
        <v>8</v>
      </c>
      <c r="AQ135" s="377"/>
      <c r="AR135" s="77"/>
      <c r="AS135" s="377"/>
      <c r="AT135" s="377"/>
      <c r="AU135" s="377"/>
      <c r="AV135" s="377"/>
      <c r="AW135" s="700">
        <v>8</v>
      </c>
      <c r="AX135" s="245" t="s">
        <v>43</v>
      </c>
      <c r="AY135" s="245" t="s">
        <v>1200</v>
      </c>
      <c r="AZ135" s="377"/>
      <c r="BA135" s="377"/>
      <c r="BB135" s="377"/>
      <c r="BC135" s="215"/>
      <c r="BD135" s="377"/>
      <c r="BE135" s="377"/>
      <c r="BF135" s="377"/>
      <c r="BG135" s="377">
        <v>2</v>
      </c>
      <c r="BH135" s="377"/>
      <c r="BI135" s="377"/>
      <c r="BJ135" s="377">
        <v>1</v>
      </c>
      <c r="BK135" s="377"/>
      <c r="BL135" s="377"/>
      <c r="BM135" s="215"/>
      <c r="BN135" s="80"/>
      <c r="BO135" s="82"/>
      <c r="BP135" s="215"/>
      <c r="BQ135" s="79" t="str">
        <f>IFERROR(WWWW[[#This Row],['#_Water sources treated]]/WWWW[[#This Row],['#_Water sources tested for contamination]],"no test")</f>
        <v>no test</v>
      </c>
      <c r="BR135" s="82" t="str">
        <f>IFERROR(WWWW[[#This Row],['#_Household received remediation action due to contamination]]/WWWW[[#This Row],['#_Household water samples tested for contamination]],"no test")</f>
        <v>no test</v>
      </c>
      <c r="BS135" s="81" t="str">
        <f>IF(AND(WWWW[[#This Row],[% of water sources treated]]="no test",WWWW[[#This Row],[% Household received corrective actions]]="no test"),"No Test","Tested")</f>
        <v>No Test</v>
      </c>
      <c r="BT135" s="81">
        <f>WWWW[[#This Row],['#_Constructed/existing protected hand dug well]]-WWWW[[#This Row],['#_Non-functional protected hand dug well]]</f>
        <v>1</v>
      </c>
      <c r="BU135" s="81">
        <f>(WWWW[[#This Row],['#_Constructed/Existing tube wells/boreholes/handpumps_WASH_agency]]+WWWW[[#This Row],['#_Non-Cluster partner water tube-wells/boreholes/handpumps]])-WWWW[[#This Row],['#_Non-functional tube wells/boreholes/handpumps]]</f>
        <v>1</v>
      </c>
      <c r="BV135" s="81">
        <f>WWWW[[#This Row],['#_Constructed/Existingwater storage tank with gravity fed reticulation system]]-WWWW[[#This Row],['#_Non-functional storage tank gravity fed reticulation system]]</f>
        <v>0</v>
      </c>
      <c r="BW135" s="81">
        <f>WWWW[[#This Row],['#_Water boating or water trucking]]</f>
        <v>0</v>
      </c>
      <c r="BX135" s="81">
        <f>WWWW[[#This Row],['#_Constructed/Existing water distribution system from river or natural spring]]</f>
        <v>0</v>
      </c>
      <c r="BY135"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35"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35" s="82">
        <f>IF(WWWW[[#This Row],[Location Type 1]]="Village",WWWW[[#This Row],[Access to safe drinking water for Village]],WWWW[[#This Row],[Access to safe drinking water for Camp]])</f>
        <v>1</v>
      </c>
      <c r="CB135" s="80">
        <f>WWWW[[#This Row],[%Equitable and continuous access to sufficient quantity of safe drinking water]]*WWWW[[#This Row],[Total PoP ]]</f>
        <v>103</v>
      </c>
      <c r="CC135" s="82">
        <f>IF((WWWW[[#This Row],['#_Constructed/Existing protected/fenced ponds]]*250)/WWWW[[#This Row],[Total PoP ]]&gt;1,1,(WWWW[[#This Row],['#_Constructed/Existing protected/fenced ponds]]*250)/WWWW[[#This Row],[Total PoP ]])</f>
        <v>0</v>
      </c>
      <c r="CD135" s="80">
        <f>WWWW[[#This Row],[% Access to unimproved water points]]*WWWW[[#This Row],[Total PoP ]]</f>
        <v>0</v>
      </c>
      <c r="CE135"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35"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103</v>
      </c>
      <c r="CG135" s="80">
        <f>WWWW[[#This Row],[HRP1]]/500</f>
        <v>0.20599999999999999</v>
      </c>
      <c r="CH135" s="79">
        <f>1-WWWW[[#This Row],[% Equitable and continuous access to sufficient quantity of domestic water]]</f>
        <v>0</v>
      </c>
      <c r="CI135" s="80">
        <f>WWWW[[#This Row],[%equitable and continuous access to sufficient quantity of safe drinking and domestic water''s GAP]]*WWWW[[#This Row],[Total PoP ]]</f>
        <v>0</v>
      </c>
      <c r="CJ135" s="81">
        <f>IF(WWWW[[#This Row],[Total required water points]]-WWWW[[#This Row],['#Water points coverage]]&lt;0,0,WWWW[[#This Row],[Total required water points]]-WWWW[[#This Row],['#Water points coverage]])</f>
        <v>0.79400000000000004</v>
      </c>
      <c r="CK135" s="81">
        <f>ROUND(IF(WWWW[[#This Row],[Total PoP ]]&lt;500,1,WWWW[[#This Row],[Total PoP ]]/500),0)</f>
        <v>1</v>
      </c>
      <c r="CL135" s="81">
        <f>(WWWW[[#This Row],['#_Constructed latrines_by_WASHAgencies]]+WWWW[[#This Row],['#_Non Cluster partner latrines]])-WWWW[[#This Row],['#_Non-functional latrines]]</f>
        <v>8</v>
      </c>
      <c r="CM135"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35"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103</v>
      </c>
      <c r="CO135"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35" s="81">
        <f>IF(WWWW[[#This Row],[Location Type 1]]="Village","NA",IF(WWWW[[#This Row],['#_Constructed/Existing latrines in TLS]]*50&gt;WWWW[[#This Row],['#_students at TLS_CFS]],WWWW[[#This Row],['#_students at TLS_CFS]],(WWWW[[#This Row],['#_Constructed/Existing latrines in TLS]]*50)))</f>
        <v>0</v>
      </c>
      <c r="CQ135" s="81">
        <f>ROUND(IF(WWWW[[#This Row],[Location Type 1]]="camp",WWWW[[#This Row],[Total PoP ]]/20,IF(WWWW[[#This Row],[Location Type 1]]="Temporary Location",WWWW[[#This Row],[Total PoP ]]/50,(WWWW[[#This Row],[Total PoP ]]/6))),0)</f>
        <v>5</v>
      </c>
      <c r="CR135" s="80">
        <f>IF(WWWW[[#This Row],[Total required Latrines]]-(WWWW[[#This Row],['#_Constructed latrines_by_WASHAgencies]]+WWWW[[#This Row],['#_Non Cluster partner latrines]])&lt;0,0,WWWW[[#This Row],[Total required Latrines]]-(WWWW[[#This Row],['#_Constructed latrines_by_WASHAgencies]]+WWWW[[#This Row],['#_Non Cluster partner latrines]]))</f>
        <v>0</v>
      </c>
      <c r="CS135" s="79">
        <f>1-WWWW[[#This Row],[% people access to functioning Latrine]]</f>
        <v>0</v>
      </c>
      <c r="CT135" s="83">
        <f>IF(OR(WWWW[[#This Row],['#_Non-functional latrines]]="",WWWW[[#This Row],['#_Non-functional latrines]]=0),0,WWWW[[#This Row],['#_Non-functional latrines]]/(WWWW[[#This Row],['#_Constructed latrines_by_WASHAgencies]]+WWWW[[#This Row],['#_Non Cluster partner latrines]]))</f>
        <v>0</v>
      </c>
      <c r="CU135" s="80">
        <f>IF(500*(WWWW[[#This Row],['#_male hygiene promoters]]+WWWW[[#This Row],['#_female hygiene promoters]])&gt;WWWW[[#This Row],[Total PoP ]],WWWW[[#This Row],[Total PoP ]],500*(WWWW[[#This Row],['#_male hygiene promoters]]+WWWW[[#This Row],['#_female hygiene promoters]]))</f>
        <v>103</v>
      </c>
      <c r="CV135"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35"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35" s="81">
        <f>IF(WWWW[[#This Row],['# People with access to soap]]&gt;WWWW[[#This Row],['# People with access to Sanity Pads]],WWWW[[#This Row],['# People with access to soap]],WWWW[[#This Row],['# People with access to Sanity Pads]])</f>
        <v>0</v>
      </c>
      <c r="CY135" s="81">
        <f>IF(WWWW[[#This Row],['# people reached by regular dedicated hygiene promotion_5]]&gt;WWWW[[#This Row],['# People received regular supply of hygiene items_6]],WWWW[[#This Row],['# people reached by regular dedicated hygiene promotion_5]],WWWW[[#This Row],['# People received regular supply of hygiene items_6]])</f>
        <v>103</v>
      </c>
      <c r="CZ135" s="79">
        <f>IF(WWWW[[#This Row],[HRP3]]/WWWW[[#This Row],[Total PoP ]]&gt;100%,100%,WWWW[[#This Row],[HRP3]]/WWWW[[#This Row],[Total PoP ]])</f>
        <v>1</v>
      </c>
      <c r="DA135" s="83">
        <f>1-WWWW[[#This Row],[Hygiene Coverage%]]</f>
        <v>0</v>
      </c>
      <c r="DB135" s="82">
        <f>WWWW[[#This Row],['# people reached by regular dedicated hygiene promotion_5]]/WWWW[[#This Row],[Total PoP ]]</f>
        <v>1</v>
      </c>
      <c r="DC135" s="82">
        <f>IF(WWWW[[#This Row],['#_households that received standard amount of soap for this quarter]]/WWWW[[#This Row],[Total HH]]&gt;1,1,WWWW[[#This Row],['#_households that received standard amount of soap for this quarter]]/WWWW[[#This Row],[Total HH]])</f>
        <v>0</v>
      </c>
      <c r="DD135" s="82">
        <f>IF(WWWW[[#This Row],['#_households that received standard amount of sanitary pads for this quarter]]/WWWW[[#This Row],[Total HH]]&gt;1,1,WWWW[[#This Row],['#_households that received standard amount of sanitary pads for this quarter]]/WWWW[[#This Row],[Total HH]])</f>
        <v>0</v>
      </c>
      <c r="DE135" s="81">
        <f>WWWW[[#This Row],['#_Constructed/Existing hand washing stations]]-WWWW[[#This Row],['#_Non-Functional_hand_washing_stations]]</f>
        <v>0</v>
      </c>
      <c r="DF135" s="667">
        <f>IF(WWWW[[#This Row],['# Functional hand washing stations during reporting period]]*20&gt;WWWW[[#This Row],[Total HH]],WWWW[[#This Row],[Total HH]],WWWW[[#This Row],['# Functional hand washing stations during reporting period]]*20)</f>
        <v>0</v>
      </c>
      <c r="DG135" s="80">
        <f>IF(WWWW[[#This Row],[Is sufficient soap available for TLS? (Yes/No)]]="yes",WWWW[[#This Row],['#_Constructed/Existing hand washing stations at TLS]],0)</f>
        <v>0</v>
      </c>
      <c r="DH135" s="667">
        <f>IF(WWWW[[#This Row],['# Functional hand washing stations during reporting period]]*100&gt;WWWW[[#This Row],[Total PoP ]],WWWW[[#This Row],[Total PoP ]],WWWW[[#This Row],['# Functional hand washing stations during reporting period]]*100)</f>
        <v>0</v>
      </c>
      <c r="DI135" s="667" t="str">
        <f>IF(WWWW[[#This Row],['#_students at TLS_CFS]]="","No","Yes")</f>
        <v>No</v>
      </c>
      <c r="DJ135" s="245" t="str">
        <f>VLOOKUP(WWWW[[#This Row],[Site Name]],SiteDB6[[Site Name]:[CCCM Management]],6,FALSE)</f>
        <v>Yes</v>
      </c>
      <c r="DK135" s="245" t="str">
        <f>VLOOKUP(WWWW[[#This Row],[Site Name]],SiteDB6[[Site Name]:[CCCM Focal Agency]],7,FALSE)</f>
        <v>KBC</v>
      </c>
      <c r="DL135" s="245" t="str">
        <f>VLOOKUP(WWWW[[#This Row],[Site Name]],SiteDB6[[Site Name]:[Location Type 1]],9,FALSE)</f>
        <v>Camp</v>
      </c>
      <c r="DM135" s="245" t="str">
        <f>VLOOKUP(WWWW[[#This Row],[Site Name]],SiteDB6[[Site Name]:[Type of Accommodation]],10,FALSE)</f>
        <v>Camp</v>
      </c>
      <c r="DN135" s="245" t="str">
        <f>VLOOKUP(WWWW[[#This Row],[Site Name]],SiteDB6[[Site Name]:[Ethnic or GCA/NGCA]],11,FALSE)</f>
        <v>GCA</v>
      </c>
      <c r="DO135" s="245">
        <f>VLOOKUP(WWWW[[#This Row],[Site Name]],SiteDB6[[Site Name]:[Lat]],12,FALSE)</f>
        <v>25.920006000000001</v>
      </c>
      <c r="DP135" s="245">
        <f>VLOOKUP(WWWW[[#This Row],[Site Name]],SiteDB6[[Site Name]:[Long]],13,FALSE)</f>
        <v>96.662092000000001</v>
      </c>
      <c r="DQ135" s="245" t="str">
        <f>VLOOKUP(WWWW[[#This Row],[Site Name]],SiteDB6[[Site Name]:[Pcode]],3,FALSE)</f>
        <v>MMR001CMP244</v>
      </c>
      <c r="DR135" s="215" t="str">
        <f t="shared" si="4"/>
        <v>Covered</v>
      </c>
      <c r="DS135" s="215"/>
      <c r="DT135" s="20"/>
      <c r="DU135" s="20"/>
      <c r="DV135" s="20"/>
      <c r="DW135" s="20"/>
      <c r="DX135" s="20"/>
      <c r="DY135" s="20"/>
      <c r="DZ135" s="20"/>
      <c r="EA135" s="20"/>
      <c r="EB135" s="20"/>
      <c r="EC135" s="20"/>
      <c r="ED135" s="20"/>
      <c r="EE135" s="20"/>
      <c r="EF135" s="20"/>
      <c r="EG135" s="20"/>
      <c r="EH135" s="20"/>
    </row>
    <row r="136" spans="1:138" ht="15.75" customHeight="1">
      <c r="A136" s="259" t="s">
        <v>2525</v>
      </c>
      <c r="B136" s="259" t="s">
        <v>149</v>
      </c>
      <c r="C136" s="663" t="s">
        <v>149</v>
      </c>
      <c r="D136" s="663" t="s">
        <v>158</v>
      </c>
      <c r="E136" s="663" t="s">
        <v>39</v>
      </c>
      <c r="F136" s="663" t="s">
        <v>156</v>
      </c>
      <c r="G136" s="663" t="str">
        <f>VLOOKUP(WWWW[[#This Row],[Site Name]],SiteDB6[[Site Name]:[Location Type]],8,FALSE)</f>
        <v>Camp_not registered</v>
      </c>
      <c r="H136" s="663" t="s">
        <v>199</v>
      </c>
      <c r="I136" s="700">
        <v>18</v>
      </c>
      <c r="J136" s="700">
        <v>80</v>
      </c>
      <c r="K136" s="642">
        <v>43556</v>
      </c>
      <c r="L136" s="78">
        <v>43677</v>
      </c>
      <c r="M136" s="700"/>
      <c r="N136" s="700"/>
      <c r="O136" s="700"/>
      <c r="P136" s="700"/>
      <c r="Q136" s="77" t="s">
        <v>43</v>
      </c>
      <c r="R136" s="377"/>
      <c r="S136" s="377"/>
      <c r="T136" s="700">
        <v>2</v>
      </c>
      <c r="U136" s="377"/>
      <c r="V136" s="377"/>
      <c r="W136" s="700"/>
      <c r="X136" s="377"/>
      <c r="Y136" s="377"/>
      <c r="Z136" s="377"/>
      <c r="AA136" s="377"/>
      <c r="AB136" s="377"/>
      <c r="AC136" s="377"/>
      <c r="AD136" s="377"/>
      <c r="AE136" s="377"/>
      <c r="AF136" s="377"/>
      <c r="AG136" s="377"/>
      <c r="AH136" s="700">
        <v>0</v>
      </c>
      <c r="AI136" s="377"/>
      <c r="AJ136" s="377"/>
      <c r="AK136" s="377"/>
      <c r="AL136" s="377"/>
      <c r="AM136" s="377"/>
      <c r="AN136" s="377"/>
      <c r="AO136" s="215"/>
      <c r="AP136" s="700">
        <v>4</v>
      </c>
      <c r="AQ136" s="377"/>
      <c r="AR136" s="77"/>
      <c r="AS136" s="377"/>
      <c r="AT136" s="377"/>
      <c r="AU136" s="377"/>
      <c r="AV136" s="377"/>
      <c r="AW136" s="700">
        <v>4</v>
      </c>
      <c r="AX136" s="245" t="s">
        <v>43</v>
      </c>
      <c r="AY136" s="245" t="s">
        <v>145</v>
      </c>
      <c r="AZ136" s="377"/>
      <c r="BA136" s="377"/>
      <c r="BB136" s="377"/>
      <c r="BC136" s="215"/>
      <c r="BD136" s="377"/>
      <c r="BE136" s="377"/>
      <c r="BF136" s="377"/>
      <c r="BG136" s="377">
        <v>1</v>
      </c>
      <c r="BH136" s="377"/>
      <c r="BI136" s="377"/>
      <c r="BJ136" s="377">
        <v>1</v>
      </c>
      <c r="BK136" s="377"/>
      <c r="BL136" s="377"/>
      <c r="BM136" s="215"/>
      <c r="BN136" s="80"/>
      <c r="BO136" s="82"/>
      <c r="BP136" s="215"/>
      <c r="BQ136" s="79" t="str">
        <f>IFERROR(WWWW[[#This Row],['#_Water sources treated]]/WWWW[[#This Row],['#_Water sources tested for contamination]],"no test")</f>
        <v>no test</v>
      </c>
      <c r="BR136" s="82" t="str">
        <f>IFERROR(WWWW[[#This Row],['#_Household received remediation action due to contamination]]/WWWW[[#This Row],['#_Household water samples tested for contamination]],"no test")</f>
        <v>no test</v>
      </c>
      <c r="BS136" s="81" t="str">
        <f>IF(AND(WWWW[[#This Row],[% of water sources treated]]="no test",WWWW[[#This Row],[% Household received corrective actions]]="no test"),"No Test","Tested")</f>
        <v>No Test</v>
      </c>
      <c r="BT136" s="81">
        <f>WWWW[[#This Row],['#_Constructed/existing protected hand dug well]]-WWWW[[#This Row],['#_Non-functional protected hand dug well]]</f>
        <v>2</v>
      </c>
      <c r="BU136" s="81">
        <f>(WWWW[[#This Row],['#_Constructed/Existing tube wells/boreholes/handpumps_WASH_agency]]+WWWW[[#This Row],['#_Non-Cluster partner water tube-wells/boreholes/handpumps]])-WWWW[[#This Row],['#_Non-functional tube wells/boreholes/handpumps]]</f>
        <v>0</v>
      </c>
      <c r="BV136" s="81">
        <f>WWWW[[#This Row],['#_Constructed/Existingwater storage tank with gravity fed reticulation system]]-WWWW[[#This Row],['#_Non-functional storage tank gravity fed reticulation system]]</f>
        <v>0</v>
      </c>
      <c r="BW136" s="81">
        <f>WWWW[[#This Row],['#_Water boating or water trucking]]</f>
        <v>0</v>
      </c>
      <c r="BX136" s="81">
        <f>WWWW[[#This Row],['#_Constructed/Existing water distribution system from river or natural spring]]</f>
        <v>0</v>
      </c>
      <c r="BY136"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36"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36" s="82">
        <f>IF(WWWW[[#This Row],[Location Type 1]]="Village",WWWW[[#This Row],[Access to safe drinking water for Village]],WWWW[[#This Row],[Access to safe drinking water for Camp]])</f>
        <v>1</v>
      </c>
      <c r="CB136" s="80">
        <f>WWWW[[#This Row],[%Equitable and continuous access to sufficient quantity of safe drinking water]]*WWWW[[#This Row],[Total PoP ]]</f>
        <v>80</v>
      </c>
      <c r="CC136" s="82">
        <f>IF((WWWW[[#This Row],['#_Constructed/Existing protected/fenced ponds]]*250)/WWWW[[#This Row],[Total PoP ]]&gt;1,1,(WWWW[[#This Row],['#_Constructed/Existing protected/fenced ponds]]*250)/WWWW[[#This Row],[Total PoP ]])</f>
        <v>0</v>
      </c>
      <c r="CD136" s="80">
        <f>WWWW[[#This Row],[% Access to unimproved water points]]*WWWW[[#This Row],[Total PoP ]]</f>
        <v>0</v>
      </c>
      <c r="CE136"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36"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80</v>
      </c>
      <c r="CG136" s="80">
        <f>WWWW[[#This Row],[HRP1]]/500</f>
        <v>0.16</v>
      </c>
      <c r="CH136" s="79">
        <f>1-WWWW[[#This Row],[% Equitable and continuous access to sufficient quantity of domestic water]]</f>
        <v>0</v>
      </c>
      <c r="CI136" s="80">
        <f>WWWW[[#This Row],[%equitable and continuous access to sufficient quantity of safe drinking and domestic water''s GAP]]*WWWW[[#This Row],[Total PoP ]]</f>
        <v>0</v>
      </c>
      <c r="CJ136" s="81">
        <f>IF(WWWW[[#This Row],[Total required water points]]-WWWW[[#This Row],['#Water points coverage]]&lt;0,0,WWWW[[#This Row],[Total required water points]]-WWWW[[#This Row],['#Water points coverage]])</f>
        <v>0.84</v>
      </c>
      <c r="CK136" s="81">
        <f>ROUND(IF(WWWW[[#This Row],[Total PoP ]]&lt;500,1,WWWW[[#This Row],[Total PoP ]]/500),0)</f>
        <v>1</v>
      </c>
      <c r="CL136" s="81">
        <f>(WWWW[[#This Row],['#_Constructed latrines_by_WASHAgencies]]+WWWW[[#This Row],['#_Non Cluster partner latrines]])-WWWW[[#This Row],['#_Non-functional latrines]]</f>
        <v>4</v>
      </c>
      <c r="CM136"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36"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80</v>
      </c>
      <c r="CO136"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36" s="81">
        <f>IF(WWWW[[#This Row],[Location Type 1]]="Village","NA",IF(WWWW[[#This Row],['#_Constructed/Existing latrines in TLS]]*50&gt;WWWW[[#This Row],['#_students at TLS_CFS]],WWWW[[#This Row],['#_students at TLS_CFS]],(WWWW[[#This Row],['#_Constructed/Existing latrines in TLS]]*50)))</f>
        <v>0</v>
      </c>
      <c r="CQ136" s="81">
        <f>ROUND(IF(WWWW[[#This Row],[Location Type 1]]="camp",WWWW[[#This Row],[Total PoP ]]/20,IF(WWWW[[#This Row],[Location Type 1]]="Temporary Location",WWWW[[#This Row],[Total PoP ]]/50,(WWWW[[#This Row],[Total PoP ]]/6))),0)</f>
        <v>4</v>
      </c>
      <c r="CR136" s="80">
        <f>IF(WWWW[[#This Row],[Total required Latrines]]-(WWWW[[#This Row],['#_Constructed latrines_by_WASHAgencies]]+WWWW[[#This Row],['#_Non Cluster partner latrines]])&lt;0,0,WWWW[[#This Row],[Total required Latrines]]-(WWWW[[#This Row],['#_Constructed latrines_by_WASHAgencies]]+WWWW[[#This Row],['#_Non Cluster partner latrines]]))</f>
        <v>0</v>
      </c>
      <c r="CS136" s="79">
        <f>1-WWWW[[#This Row],[% people access to functioning Latrine]]</f>
        <v>0</v>
      </c>
      <c r="CT136" s="83">
        <f>IF(OR(WWWW[[#This Row],['#_Non-functional latrines]]="",WWWW[[#This Row],['#_Non-functional latrines]]=0),0,WWWW[[#This Row],['#_Non-functional latrines]]/(WWWW[[#This Row],['#_Constructed latrines_by_WASHAgencies]]+WWWW[[#This Row],['#_Non Cluster partner latrines]]))</f>
        <v>0</v>
      </c>
      <c r="CU136" s="80">
        <f>IF(500*(WWWW[[#This Row],['#_male hygiene promoters]]+WWWW[[#This Row],['#_female hygiene promoters]])&gt;WWWW[[#This Row],[Total PoP ]],WWWW[[#This Row],[Total PoP ]],500*(WWWW[[#This Row],['#_male hygiene promoters]]+WWWW[[#This Row],['#_female hygiene promoters]]))</f>
        <v>80</v>
      </c>
      <c r="CV136"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36"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36" s="81">
        <f>IF(WWWW[[#This Row],['# People with access to soap]]&gt;WWWW[[#This Row],['# People with access to Sanity Pads]],WWWW[[#This Row],['# People with access to soap]],WWWW[[#This Row],['# People with access to Sanity Pads]])</f>
        <v>0</v>
      </c>
      <c r="CY136" s="81">
        <f>IF(WWWW[[#This Row],['# people reached by regular dedicated hygiene promotion_5]]&gt;WWWW[[#This Row],['# People received regular supply of hygiene items_6]],WWWW[[#This Row],['# people reached by regular dedicated hygiene promotion_5]],WWWW[[#This Row],['# People received regular supply of hygiene items_6]])</f>
        <v>80</v>
      </c>
      <c r="CZ136" s="79">
        <f>IF(WWWW[[#This Row],[HRP3]]/WWWW[[#This Row],[Total PoP ]]&gt;100%,100%,WWWW[[#This Row],[HRP3]]/WWWW[[#This Row],[Total PoP ]])</f>
        <v>1</v>
      </c>
      <c r="DA136" s="83">
        <f>1-WWWW[[#This Row],[Hygiene Coverage%]]</f>
        <v>0</v>
      </c>
      <c r="DB136" s="82">
        <f>WWWW[[#This Row],['# people reached by regular dedicated hygiene promotion_5]]/WWWW[[#This Row],[Total PoP ]]</f>
        <v>1</v>
      </c>
      <c r="DC136" s="82">
        <f>IF(WWWW[[#This Row],['#_households that received standard amount of soap for this quarter]]/WWWW[[#This Row],[Total HH]]&gt;1,1,WWWW[[#This Row],['#_households that received standard amount of soap for this quarter]]/WWWW[[#This Row],[Total HH]])</f>
        <v>0</v>
      </c>
      <c r="DD136" s="82">
        <f>IF(WWWW[[#This Row],['#_households that received standard amount of sanitary pads for this quarter]]/WWWW[[#This Row],[Total HH]]&gt;1,1,WWWW[[#This Row],['#_households that received standard amount of sanitary pads for this quarter]]/WWWW[[#This Row],[Total HH]])</f>
        <v>0</v>
      </c>
      <c r="DE136" s="81">
        <f>WWWW[[#This Row],['#_Constructed/Existing hand washing stations]]-WWWW[[#This Row],['#_Non-Functional_hand_washing_stations]]</f>
        <v>0</v>
      </c>
      <c r="DF136" s="667">
        <f>IF(WWWW[[#This Row],['# Functional hand washing stations during reporting period]]*20&gt;WWWW[[#This Row],[Total HH]],WWWW[[#This Row],[Total HH]],WWWW[[#This Row],['# Functional hand washing stations during reporting period]]*20)</f>
        <v>0</v>
      </c>
      <c r="DG136" s="80">
        <f>IF(WWWW[[#This Row],[Is sufficient soap available for TLS? (Yes/No)]]="yes",WWWW[[#This Row],['#_Constructed/Existing hand washing stations at TLS]],0)</f>
        <v>0</v>
      </c>
      <c r="DH136" s="667">
        <f>IF(WWWW[[#This Row],['# Functional hand washing stations during reporting period]]*100&gt;WWWW[[#This Row],[Total PoP ]],WWWW[[#This Row],[Total PoP ]],WWWW[[#This Row],['# Functional hand washing stations during reporting period]]*100)</f>
        <v>0</v>
      </c>
      <c r="DI136" s="667" t="str">
        <f>IF(WWWW[[#This Row],['#_students at TLS_CFS]]="","No","Yes")</f>
        <v>No</v>
      </c>
      <c r="DJ136" s="245">
        <f>VLOOKUP(WWWW[[#This Row],[Site Name]],SiteDB6[[Site Name]:[CCCM Management]],6,FALSE)</f>
        <v>0</v>
      </c>
      <c r="DK136" s="245">
        <f>VLOOKUP(WWWW[[#This Row],[Site Name]],SiteDB6[[Site Name]:[CCCM Focal Agency]],7,FALSE)</f>
        <v>0</v>
      </c>
      <c r="DL136" s="245" t="str">
        <f>VLOOKUP(WWWW[[#This Row],[Site Name]],SiteDB6[[Site Name]:[Location Type 1]],9,FALSE)</f>
        <v>Camp</v>
      </c>
      <c r="DM136" s="245" t="str">
        <f>VLOOKUP(WWWW[[#This Row],[Site Name]],SiteDB6[[Site Name]:[Type of Accommodation]],10,FALSE)</f>
        <v>Camp</v>
      </c>
      <c r="DN136" s="245" t="str">
        <f>VLOOKUP(WWWW[[#This Row],[Site Name]],SiteDB6[[Site Name]:[Ethnic or GCA/NGCA]],11,FALSE)</f>
        <v>GCA</v>
      </c>
      <c r="DO136" s="245">
        <f>VLOOKUP(WWWW[[#This Row],[Site Name]],SiteDB6[[Site Name]:[Lat]],12,FALSE)</f>
        <v>0</v>
      </c>
      <c r="DP136" s="245">
        <f>VLOOKUP(WWWW[[#This Row],[Site Name]],SiteDB6[[Site Name]:[Long]],13,FALSE)</f>
        <v>0</v>
      </c>
      <c r="DQ136" s="245">
        <f>VLOOKUP(WWWW[[#This Row],[Site Name]],SiteDB6[[Site Name]:[Pcode]],3,FALSE)</f>
        <v>0</v>
      </c>
      <c r="DR136" s="215" t="str">
        <f t="shared" si="4"/>
        <v>Covered</v>
      </c>
      <c r="DS136" s="215"/>
      <c r="DT136" s="20"/>
      <c r="DU136" s="20"/>
      <c r="DV136" s="20"/>
      <c r="DW136" s="20"/>
      <c r="DX136" s="20"/>
      <c r="DY136" s="20"/>
      <c r="DZ136" s="20"/>
      <c r="EA136" s="20"/>
      <c r="EB136" s="20"/>
      <c r="EC136" s="20"/>
      <c r="ED136" s="20"/>
      <c r="EE136" s="20"/>
      <c r="EF136" s="20"/>
      <c r="EG136" s="20"/>
      <c r="EH136" s="20"/>
    </row>
    <row r="137" spans="1:138" ht="15.75" customHeight="1">
      <c r="A137" s="259" t="s">
        <v>2525</v>
      </c>
      <c r="B137" s="259" t="s">
        <v>149</v>
      </c>
      <c r="C137" s="663" t="s">
        <v>149</v>
      </c>
      <c r="D137" s="663" t="s">
        <v>152</v>
      </c>
      <c r="E137" s="663" t="s">
        <v>39</v>
      </c>
      <c r="F137" s="663" t="s">
        <v>167</v>
      </c>
      <c r="G137" s="663" t="str">
        <f>VLOOKUP(WWWW[[#This Row],[Site Name]],SiteDB6[[Site Name]:[Location Type]],8,FALSE)</f>
        <v>Camp</v>
      </c>
      <c r="H137" s="663" t="s">
        <v>176</v>
      </c>
      <c r="I137" s="700">
        <v>107</v>
      </c>
      <c r="J137" s="700">
        <v>534</v>
      </c>
      <c r="K137" s="642">
        <v>43556</v>
      </c>
      <c r="L137" s="78">
        <v>43677</v>
      </c>
      <c r="M137" s="700"/>
      <c r="N137" s="700"/>
      <c r="O137" s="700"/>
      <c r="P137" s="700"/>
      <c r="Q137" s="663" t="s">
        <v>43</v>
      </c>
      <c r="R137" s="377"/>
      <c r="S137" s="377"/>
      <c r="T137" s="700">
        <v>1</v>
      </c>
      <c r="U137" s="377"/>
      <c r="V137" s="377"/>
      <c r="W137" s="700">
        <v>1</v>
      </c>
      <c r="X137" s="377"/>
      <c r="Y137" s="377"/>
      <c r="Z137" s="377"/>
      <c r="AA137" s="377"/>
      <c r="AB137" s="377"/>
      <c r="AC137" s="377"/>
      <c r="AD137" s="377"/>
      <c r="AE137" s="377"/>
      <c r="AF137" s="377"/>
      <c r="AG137" s="377"/>
      <c r="AH137" s="700">
        <v>2</v>
      </c>
      <c r="AI137" s="377"/>
      <c r="AJ137" s="377"/>
      <c r="AK137" s="377"/>
      <c r="AL137" s="377"/>
      <c r="AM137" s="377"/>
      <c r="AN137" s="377"/>
      <c r="AO137" s="215"/>
      <c r="AP137" s="700">
        <v>13</v>
      </c>
      <c r="AQ137" s="377"/>
      <c r="AR137" s="77"/>
      <c r="AS137" s="377"/>
      <c r="AT137" s="377"/>
      <c r="AU137" s="377">
        <v>14</v>
      </c>
      <c r="AV137" s="377"/>
      <c r="AW137" s="700">
        <v>13</v>
      </c>
      <c r="AX137" s="245" t="s">
        <v>43</v>
      </c>
      <c r="AY137" s="245" t="s">
        <v>145</v>
      </c>
      <c r="AZ137" s="377"/>
      <c r="BA137" s="377"/>
      <c r="BB137" s="377"/>
      <c r="BC137" s="215"/>
      <c r="BD137" s="377"/>
      <c r="BE137" s="377"/>
      <c r="BF137" s="377"/>
      <c r="BG137" s="377">
        <v>2</v>
      </c>
      <c r="BH137" s="377"/>
      <c r="BI137" s="377"/>
      <c r="BJ137" s="377">
        <v>2</v>
      </c>
      <c r="BK137" s="377"/>
      <c r="BL137" s="377"/>
      <c r="BM137" s="215"/>
      <c r="BN137" s="80"/>
      <c r="BO137" s="82"/>
      <c r="BP137" s="215"/>
      <c r="BQ137" s="79" t="str">
        <f>IFERROR(WWWW[[#This Row],['#_Water sources treated]]/WWWW[[#This Row],['#_Water sources tested for contamination]],"no test")</f>
        <v>no test</v>
      </c>
      <c r="BR137" s="82" t="str">
        <f>IFERROR(WWWW[[#This Row],['#_Household received remediation action due to contamination]]/WWWW[[#This Row],['#_Household water samples tested for contamination]],"no test")</f>
        <v>no test</v>
      </c>
      <c r="BS137" s="81" t="str">
        <f>IF(AND(WWWW[[#This Row],[% of water sources treated]]="no test",WWWW[[#This Row],[% Household received corrective actions]]="no test"),"No Test","Tested")</f>
        <v>No Test</v>
      </c>
      <c r="BT137" s="81">
        <f>WWWW[[#This Row],['#_Constructed/existing protected hand dug well]]-WWWW[[#This Row],['#_Non-functional protected hand dug well]]</f>
        <v>1</v>
      </c>
      <c r="BU137" s="81">
        <f>(WWWW[[#This Row],['#_Constructed/Existing tube wells/boreholes/handpumps_WASH_agency]]+WWWW[[#This Row],['#_Non-Cluster partner water tube-wells/boreholes/handpumps]])-WWWW[[#This Row],['#_Non-functional tube wells/boreholes/handpumps]]</f>
        <v>1</v>
      </c>
      <c r="BV137" s="81">
        <f>WWWW[[#This Row],['#_Constructed/Existingwater storage tank with gravity fed reticulation system]]-WWWW[[#This Row],['#_Non-functional storage tank gravity fed reticulation system]]</f>
        <v>0</v>
      </c>
      <c r="BW137" s="81">
        <f>WWWW[[#This Row],['#_Water boating or water trucking]]</f>
        <v>0</v>
      </c>
      <c r="BX137" s="81">
        <f>WWWW[[#This Row],['#_Constructed/Existing water distribution system from river or natural spring]]</f>
        <v>0</v>
      </c>
      <c r="BY137"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37"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0.93632958801498123</v>
      </c>
      <c r="CA137" s="82">
        <f>IF(WWWW[[#This Row],[Location Type 1]]="Village",WWWW[[#This Row],[Access to safe drinking water for Village]],WWWW[[#This Row],[Access to safe drinking water for Camp]])</f>
        <v>1</v>
      </c>
      <c r="CB137" s="80">
        <f>WWWW[[#This Row],[%Equitable and continuous access to sufficient quantity of safe drinking water]]*WWWW[[#This Row],[Total PoP ]]</f>
        <v>534</v>
      </c>
      <c r="CC137" s="82">
        <f>IF((WWWW[[#This Row],['#_Constructed/Existing protected/fenced ponds]]*250)/WWWW[[#This Row],[Total PoP ]]&gt;1,1,(WWWW[[#This Row],['#_Constructed/Existing protected/fenced ponds]]*250)/WWWW[[#This Row],[Total PoP ]])</f>
        <v>0</v>
      </c>
      <c r="CD137" s="80">
        <f>WWWW[[#This Row],[% Access to unimproved water points]]*WWWW[[#This Row],[Total PoP ]]</f>
        <v>0</v>
      </c>
      <c r="CE137"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37"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534</v>
      </c>
      <c r="CG137" s="80">
        <f>WWWW[[#This Row],[HRP1]]/500</f>
        <v>1.0680000000000001</v>
      </c>
      <c r="CH137" s="79">
        <f>1-WWWW[[#This Row],[% Equitable and continuous access to sufficient quantity of domestic water]]</f>
        <v>0</v>
      </c>
      <c r="CI137" s="80">
        <f>WWWW[[#This Row],[%equitable and continuous access to sufficient quantity of safe drinking and domestic water''s GAP]]*WWWW[[#This Row],[Total PoP ]]</f>
        <v>0</v>
      </c>
      <c r="CJ137" s="81">
        <f>IF(WWWW[[#This Row],[Total required water points]]-WWWW[[#This Row],['#Water points coverage]]&lt;0,0,WWWW[[#This Row],[Total required water points]]-WWWW[[#This Row],['#Water points coverage]])</f>
        <v>0</v>
      </c>
      <c r="CK137" s="81">
        <f>ROUND(IF(WWWW[[#This Row],[Total PoP ]]&lt;500,1,WWWW[[#This Row],[Total PoP ]]/500),0)</f>
        <v>1</v>
      </c>
      <c r="CL137" s="81">
        <f>(WWWW[[#This Row],['#_Constructed latrines_by_WASHAgencies]]+WWWW[[#This Row],['#_Non Cluster partner latrines]])-WWWW[[#This Row],['#_Non-functional latrines]]</f>
        <v>13</v>
      </c>
      <c r="CM137"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0.48689138576779029</v>
      </c>
      <c r="CN137"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260</v>
      </c>
      <c r="CO137"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280</v>
      </c>
      <c r="CP137" s="81">
        <f>IF(WWWW[[#This Row],[Location Type 1]]="Village","NA",IF(WWWW[[#This Row],['#_Constructed/Existing latrines in TLS]]*50&gt;WWWW[[#This Row],['#_students at TLS_CFS]],WWWW[[#This Row],['#_students at TLS_CFS]],(WWWW[[#This Row],['#_Constructed/Existing latrines in TLS]]*50)))</f>
        <v>0</v>
      </c>
      <c r="CQ137" s="81">
        <f>ROUND(IF(WWWW[[#This Row],[Location Type 1]]="camp",WWWW[[#This Row],[Total PoP ]]/20,IF(WWWW[[#This Row],[Location Type 1]]="Temporary Location",WWWW[[#This Row],[Total PoP ]]/50,(WWWW[[#This Row],[Total PoP ]]/6))),0)</f>
        <v>27</v>
      </c>
      <c r="CR137" s="80">
        <f>IF(WWWW[[#This Row],[Total required Latrines]]-(WWWW[[#This Row],['#_Constructed latrines_by_WASHAgencies]]+WWWW[[#This Row],['#_Non Cluster partner latrines]])&lt;0,0,WWWW[[#This Row],[Total required Latrines]]-(WWWW[[#This Row],['#_Constructed latrines_by_WASHAgencies]]+WWWW[[#This Row],['#_Non Cluster partner latrines]]))</f>
        <v>14</v>
      </c>
      <c r="CS137" s="79">
        <f>1-WWWW[[#This Row],[% people access to functioning Latrine]]</f>
        <v>0.51310861423220966</v>
      </c>
      <c r="CT137" s="83">
        <f>IF(OR(WWWW[[#This Row],['#_Non-functional latrines]]="",WWWW[[#This Row],['#_Non-functional latrines]]=0),0,WWWW[[#This Row],['#_Non-functional latrines]]/(WWWW[[#This Row],['#_Constructed latrines_by_WASHAgencies]]+WWWW[[#This Row],['#_Non Cluster partner latrines]]))</f>
        <v>0</v>
      </c>
      <c r="CU137" s="80">
        <f>IF(500*(WWWW[[#This Row],['#_male hygiene promoters]]+WWWW[[#This Row],['#_female hygiene promoters]])&gt;WWWW[[#This Row],[Total PoP ]],WWWW[[#This Row],[Total PoP ]],500*(WWWW[[#This Row],['#_male hygiene promoters]]+WWWW[[#This Row],['#_female hygiene promoters]]))</f>
        <v>534</v>
      </c>
      <c r="CV137"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37"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37" s="81">
        <f>IF(WWWW[[#This Row],['# People with access to soap]]&gt;WWWW[[#This Row],['# People with access to Sanity Pads]],WWWW[[#This Row],['# People with access to soap]],WWWW[[#This Row],['# People with access to Sanity Pads]])</f>
        <v>0</v>
      </c>
      <c r="CY137" s="81">
        <f>IF(WWWW[[#This Row],['# people reached by regular dedicated hygiene promotion_5]]&gt;WWWW[[#This Row],['# People received regular supply of hygiene items_6]],WWWW[[#This Row],['# people reached by regular dedicated hygiene promotion_5]],WWWW[[#This Row],['# People received regular supply of hygiene items_6]])</f>
        <v>534</v>
      </c>
      <c r="CZ137" s="79">
        <f>IF(WWWW[[#This Row],[HRP3]]/WWWW[[#This Row],[Total PoP ]]&gt;100%,100%,WWWW[[#This Row],[HRP3]]/WWWW[[#This Row],[Total PoP ]])</f>
        <v>1</v>
      </c>
      <c r="DA137" s="83">
        <f>1-WWWW[[#This Row],[Hygiene Coverage%]]</f>
        <v>0</v>
      </c>
      <c r="DB137" s="82">
        <f>WWWW[[#This Row],['# people reached by regular dedicated hygiene promotion_5]]/WWWW[[#This Row],[Total PoP ]]</f>
        <v>1</v>
      </c>
      <c r="DC137" s="82">
        <f>IF(WWWW[[#This Row],['#_households that received standard amount of soap for this quarter]]/WWWW[[#This Row],[Total HH]]&gt;1,1,WWWW[[#This Row],['#_households that received standard amount of soap for this quarter]]/WWWW[[#This Row],[Total HH]])</f>
        <v>0</v>
      </c>
      <c r="DD137" s="82">
        <f>IF(WWWW[[#This Row],['#_households that received standard amount of sanitary pads for this quarter]]/WWWW[[#This Row],[Total HH]]&gt;1,1,WWWW[[#This Row],['#_households that received standard amount of sanitary pads for this quarter]]/WWWW[[#This Row],[Total HH]])</f>
        <v>0</v>
      </c>
      <c r="DE137" s="81">
        <f>WWWW[[#This Row],['#_Constructed/Existing hand washing stations]]-WWWW[[#This Row],['#_Non-Functional_hand_washing_stations]]</f>
        <v>0</v>
      </c>
      <c r="DF137" s="667">
        <f>IF(WWWW[[#This Row],['# Functional hand washing stations during reporting period]]*20&gt;WWWW[[#This Row],[Total HH]],WWWW[[#This Row],[Total HH]],WWWW[[#This Row],['# Functional hand washing stations during reporting period]]*20)</f>
        <v>0</v>
      </c>
      <c r="DG137" s="80">
        <f>IF(WWWW[[#This Row],[Is sufficient soap available for TLS? (Yes/No)]]="yes",WWWW[[#This Row],['#_Constructed/Existing hand washing stations at TLS]],0)</f>
        <v>0</v>
      </c>
      <c r="DH137" s="667">
        <f>IF(WWWW[[#This Row],['# Functional hand washing stations during reporting period]]*100&gt;WWWW[[#This Row],[Total PoP ]],WWWW[[#This Row],[Total PoP ]],WWWW[[#This Row],['# Functional hand washing stations during reporting period]]*100)</f>
        <v>0</v>
      </c>
      <c r="DI137" s="667" t="str">
        <f>IF(WWWW[[#This Row],['#_students at TLS_CFS]]="","No","Yes")</f>
        <v>No</v>
      </c>
      <c r="DJ137" s="245" t="str">
        <f>VLOOKUP(WWWW[[#This Row],[Site Name]],SiteDB6[[Site Name]:[CCCM Management]],6,FALSE)</f>
        <v>Yes</v>
      </c>
      <c r="DK137" s="245" t="str">
        <f>VLOOKUP(WWWW[[#This Row],[Site Name]],SiteDB6[[Site Name]:[CCCM Focal Agency]],7,FALSE)</f>
        <v>KBC-MYT</v>
      </c>
      <c r="DL137" s="245" t="str">
        <f>VLOOKUP(WWWW[[#This Row],[Site Name]],SiteDB6[[Site Name]:[Location Type 1]],9,FALSE)</f>
        <v>Camp</v>
      </c>
      <c r="DM137" s="245" t="str">
        <f>VLOOKUP(WWWW[[#This Row],[Site Name]],SiteDB6[[Site Name]:[Type of Accommodation]],10,FALSE)</f>
        <v>Camp</v>
      </c>
      <c r="DN137" s="245" t="str">
        <f>VLOOKUP(WWWW[[#This Row],[Site Name]],SiteDB6[[Site Name]:[Ethnic or GCA/NGCA]],11,FALSE)</f>
        <v>GCA</v>
      </c>
      <c r="DO137" s="245">
        <f>VLOOKUP(WWWW[[#This Row],[Site Name]],SiteDB6[[Site Name]:[Lat]],12,FALSE)</f>
        <v>25.412313000000001</v>
      </c>
      <c r="DP137" s="245">
        <f>VLOOKUP(WWWW[[#This Row],[Site Name]],SiteDB6[[Site Name]:[Long]],13,FALSE)</f>
        <v>97.399628000000007</v>
      </c>
      <c r="DQ137" s="245" t="str">
        <f>VLOOKUP(WWWW[[#This Row],[Site Name]],SiteDB6[[Site Name]:[Pcode]],3,FALSE)</f>
        <v>MMR001CMP006</v>
      </c>
      <c r="DR137" s="215" t="str">
        <f t="shared" si="4"/>
        <v>Covered</v>
      </c>
      <c r="DS137" s="215"/>
      <c r="DT137" s="20"/>
      <c r="DU137" s="20"/>
      <c r="DV137" s="20"/>
      <c r="DW137" s="20"/>
      <c r="DX137" s="20"/>
      <c r="DY137" s="20"/>
      <c r="DZ137" s="20"/>
      <c r="EA137" s="20"/>
      <c r="EB137" s="20"/>
      <c r="EC137" s="20"/>
      <c r="ED137" s="20"/>
      <c r="EE137" s="20"/>
      <c r="EF137" s="20"/>
      <c r="EG137" s="20"/>
      <c r="EH137" s="20"/>
    </row>
    <row r="138" spans="1:138" ht="15.75" customHeight="1">
      <c r="A138" s="259" t="s">
        <v>2525</v>
      </c>
      <c r="B138" s="663" t="s">
        <v>317</v>
      </c>
      <c r="C138" s="663" t="s">
        <v>317</v>
      </c>
      <c r="D138" s="663"/>
      <c r="E138" s="663" t="s">
        <v>39</v>
      </c>
      <c r="F138" s="663" t="s">
        <v>192</v>
      </c>
      <c r="G138" s="663" t="str">
        <f>VLOOKUP(WWWW[[#This Row],[Site Name]],SiteDB6[[Site Name]:[Location Type]],8,FALSE)</f>
        <v>Camp</v>
      </c>
      <c r="H138" s="663" t="s">
        <v>3045</v>
      </c>
      <c r="I138" s="700">
        <v>29</v>
      </c>
      <c r="J138" s="700">
        <v>140</v>
      </c>
      <c r="K138" s="642"/>
      <c r="L138" s="78"/>
      <c r="M138" s="700"/>
      <c r="N138" s="700"/>
      <c r="O138" s="700"/>
      <c r="P138" s="700"/>
      <c r="Q138" s="663"/>
      <c r="R138" s="700"/>
      <c r="S138" s="700"/>
      <c r="T138" s="700"/>
      <c r="U138" s="700"/>
      <c r="V138" s="700"/>
      <c r="W138" s="700"/>
      <c r="X138" s="700"/>
      <c r="Y138" s="700"/>
      <c r="Z138" s="700"/>
      <c r="AA138" s="700"/>
      <c r="AB138" s="700"/>
      <c r="AC138" s="700"/>
      <c r="AD138" s="700"/>
      <c r="AE138" s="700"/>
      <c r="AF138" s="700"/>
      <c r="AG138" s="700"/>
      <c r="AH138" s="700"/>
      <c r="AI138" s="700"/>
      <c r="AJ138" s="700"/>
      <c r="AK138" s="700"/>
      <c r="AL138" s="700"/>
      <c r="AM138" s="700"/>
      <c r="AN138" s="700"/>
      <c r="AO138" s="215"/>
      <c r="AP138" s="700"/>
      <c r="AQ138" s="700"/>
      <c r="AR138" s="663"/>
      <c r="AS138" s="700"/>
      <c r="AT138" s="700"/>
      <c r="AU138" s="700"/>
      <c r="AV138" s="700"/>
      <c r="AW138" s="700"/>
      <c r="AX138" s="694"/>
      <c r="AY138" s="694"/>
      <c r="AZ138" s="700"/>
      <c r="BA138" s="700"/>
      <c r="BB138" s="700"/>
      <c r="BC138" s="215"/>
      <c r="BD138" s="700"/>
      <c r="BE138" s="700"/>
      <c r="BF138" s="700"/>
      <c r="BG138" s="700"/>
      <c r="BH138" s="700"/>
      <c r="BI138" s="700"/>
      <c r="BJ138" s="700"/>
      <c r="BK138" s="700"/>
      <c r="BL138" s="700"/>
      <c r="BM138" s="215"/>
      <c r="BN138" s="667"/>
      <c r="BO138" s="82"/>
      <c r="BP138" s="215"/>
      <c r="BQ138" s="79" t="str">
        <f>IFERROR(WWWW[[#This Row],['#_Water sources treated]]/WWWW[[#This Row],['#_Water sources tested for contamination]],"no test")</f>
        <v>no test</v>
      </c>
      <c r="BR138" s="82" t="str">
        <f>IFERROR(WWWW[[#This Row],['#_Household received remediation action due to contamination]]/WWWW[[#This Row],['#_Household water samples tested for contamination]],"no test")</f>
        <v>no test</v>
      </c>
      <c r="BS138" s="81" t="str">
        <f>IF(AND(WWWW[[#This Row],[% of water sources treated]]="no test",WWWW[[#This Row],[% Household received corrective actions]]="no test"),"No Test","Tested")</f>
        <v>No Test</v>
      </c>
      <c r="BT138" s="81">
        <f>WWWW[[#This Row],['#_Constructed/existing protected hand dug well]]-WWWW[[#This Row],['#_Non-functional protected hand dug well]]</f>
        <v>0</v>
      </c>
      <c r="BU138" s="81">
        <f>(WWWW[[#This Row],['#_Constructed/Existing tube wells/boreholes/handpumps_WASH_agency]]+WWWW[[#This Row],['#_Non-Cluster partner water tube-wells/boreholes/handpumps]])-WWWW[[#This Row],['#_Non-functional tube wells/boreholes/handpumps]]</f>
        <v>0</v>
      </c>
      <c r="BV138" s="81">
        <f>WWWW[[#This Row],['#_Constructed/Existingwater storage tank with gravity fed reticulation system]]-WWWW[[#This Row],['#_Non-functional storage tank gravity fed reticulation system]]</f>
        <v>0</v>
      </c>
      <c r="BW138" s="81">
        <f>WWWW[[#This Row],['#_Water boating or water trucking]]</f>
        <v>0</v>
      </c>
      <c r="BX138" s="81">
        <f>WWWW[[#This Row],['#_Constructed/Existing water distribution system from river or natural spring]]</f>
        <v>0</v>
      </c>
      <c r="BY138" s="83">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38" s="83">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38" s="82">
        <f>IF(WWWW[[#This Row],[Location Type 1]]="Village",WWWW[[#This Row],[Access to safe drinking water for Village]],WWWW[[#This Row],[Access to safe drinking water for Camp]])</f>
        <v>0</v>
      </c>
      <c r="CB138" s="667">
        <f>WWWW[[#This Row],[%Equitable and continuous access to sufficient quantity of safe drinking water]]*WWWW[[#This Row],[Total PoP ]]</f>
        <v>0</v>
      </c>
      <c r="CC138" s="82">
        <f>IF((WWWW[[#This Row],['#_Constructed/Existing protected/fenced ponds]]*250)/WWWW[[#This Row],[Total PoP ]]&gt;1,1,(WWWW[[#This Row],['#_Constructed/Existing protected/fenced ponds]]*250)/WWWW[[#This Row],[Total PoP ]])</f>
        <v>0</v>
      </c>
      <c r="CD138" s="667">
        <f>WWWW[[#This Row],[% Access to unimproved water points]]*WWWW[[#This Row],[Total PoP ]]</f>
        <v>0</v>
      </c>
      <c r="CE138"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38" s="66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38" s="667">
        <f>WWWW[[#This Row],[HRP1]]/500</f>
        <v>0</v>
      </c>
      <c r="CH138" s="79">
        <f>1-WWWW[[#This Row],[% Equitable and continuous access to sufficient quantity of domestic water]]</f>
        <v>1</v>
      </c>
      <c r="CI138" s="667">
        <f>WWWW[[#This Row],[%equitable and continuous access to sufficient quantity of safe drinking and domestic water''s GAP]]*WWWW[[#This Row],[Total PoP ]]</f>
        <v>140</v>
      </c>
      <c r="CJ138" s="81">
        <f>IF(WWWW[[#This Row],[Total required water points]]-WWWW[[#This Row],['#Water points coverage]]&lt;0,0,WWWW[[#This Row],[Total required water points]]-WWWW[[#This Row],['#Water points coverage]])</f>
        <v>1</v>
      </c>
      <c r="CK138" s="81">
        <f>ROUND(IF(WWWW[[#This Row],[Total PoP ]]&lt;500,1,WWWW[[#This Row],[Total PoP ]]/500),0)</f>
        <v>1</v>
      </c>
      <c r="CL138" s="81">
        <f>(WWWW[[#This Row],['#_Constructed latrines_by_WASHAgencies]]+WWWW[[#This Row],['#_Non Cluster partner latrines]])-WWWW[[#This Row],['#_Non-functional latrines]]</f>
        <v>0</v>
      </c>
      <c r="CM138" s="8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38" s="667">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38"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38" s="81">
        <f>IF(WWWW[[#This Row],[Location Type 1]]="Village","NA",IF(WWWW[[#This Row],['#_Constructed/Existing latrines in TLS]]*50&gt;WWWW[[#This Row],['#_students at TLS_CFS]],WWWW[[#This Row],['#_students at TLS_CFS]],(WWWW[[#This Row],['#_Constructed/Existing latrines in TLS]]*50)))</f>
        <v>0</v>
      </c>
      <c r="CQ138" s="81">
        <f>ROUND(IF(WWWW[[#This Row],[Location Type 1]]="camp",WWWW[[#This Row],[Total PoP ]]/20,IF(WWWW[[#This Row],[Location Type 1]]="Temporary Location",WWWW[[#This Row],[Total PoP ]]/50,(WWWW[[#This Row],[Total PoP ]]/6))),0)</f>
        <v>7</v>
      </c>
      <c r="CR138" s="81">
        <f>IF(WWWW[[#This Row],[Total required Latrines]]-(WWWW[[#This Row],['#_Constructed latrines_by_WASHAgencies]]+WWWW[[#This Row],['#_Non Cluster partner latrines]])&lt;0,0,WWWW[[#This Row],[Total required Latrines]]-(WWWW[[#This Row],['#_Constructed latrines_by_WASHAgencies]]+WWWW[[#This Row],['#_Non Cluster partner latrines]]))</f>
        <v>7</v>
      </c>
      <c r="CS138" s="79">
        <f>1-WWWW[[#This Row],[% people access to functioning Latrine]]</f>
        <v>1</v>
      </c>
      <c r="CT138" s="83">
        <f>IF(OR(WWWW[[#This Row],['#_Non-functional latrines]]="",WWWW[[#This Row],['#_Non-functional latrines]]=0),0,WWWW[[#This Row],['#_Non-functional latrines]]/(WWWW[[#This Row],['#_Constructed latrines_by_WASHAgencies]]+WWWW[[#This Row],['#_Non Cluster partner latrines]]))</f>
        <v>0</v>
      </c>
      <c r="CU138" s="667">
        <f>IF(500*(WWWW[[#This Row],['#_male hygiene promoters]]+WWWW[[#This Row],['#_female hygiene promoters]])&gt;WWWW[[#This Row],[Total PoP ]],WWWW[[#This Row],[Total PoP ]],500*(WWWW[[#This Row],['#_male hygiene promoters]]+WWWW[[#This Row],['#_female hygiene promoters]]))</f>
        <v>0</v>
      </c>
      <c r="CV138"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38"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38" s="81">
        <f>IF(WWWW[[#This Row],['# People with access to soap]]&gt;WWWW[[#This Row],['# People with access to Sanity Pads]],WWWW[[#This Row],['# People with access to soap]],WWWW[[#This Row],['# People with access to Sanity Pads]])</f>
        <v>0</v>
      </c>
      <c r="CY138"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38" s="79">
        <f>IF(WWWW[[#This Row],[HRP3]]/WWWW[[#This Row],[Total PoP ]]&gt;100%,100%,WWWW[[#This Row],[HRP3]]/WWWW[[#This Row],[Total PoP ]])</f>
        <v>0</v>
      </c>
      <c r="DA138" s="83">
        <f>1-WWWW[[#This Row],[Hygiene Coverage%]]</f>
        <v>1</v>
      </c>
      <c r="DB138" s="82">
        <f>WWWW[[#This Row],['# people reached by regular dedicated hygiene promotion_5]]/WWWW[[#This Row],[Total PoP ]]</f>
        <v>0</v>
      </c>
      <c r="DC138" s="82">
        <f>IF(WWWW[[#This Row],['#_households that received standard amount of soap for this quarter]]/WWWW[[#This Row],[Total HH]]&gt;1,1,WWWW[[#This Row],['#_households that received standard amount of soap for this quarter]]/WWWW[[#This Row],[Total HH]])</f>
        <v>0</v>
      </c>
      <c r="DD138" s="82">
        <f>IF(WWWW[[#This Row],['#_households that received standard amount of sanitary pads for this quarter]]/WWWW[[#This Row],[Total HH]]&gt;1,1,WWWW[[#This Row],['#_households that received standard amount of sanitary pads for this quarter]]/WWWW[[#This Row],[Total HH]])</f>
        <v>0</v>
      </c>
      <c r="DE138" s="81">
        <f>WWWW[[#This Row],['#_Constructed/Existing hand washing stations]]-WWWW[[#This Row],['#_Non-Functional_hand_washing_stations]]</f>
        <v>0</v>
      </c>
      <c r="DF138" s="667">
        <f>IF(WWWW[[#This Row],['# Functional hand washing stations during reporting period]]*20&gt;WWWW[[#This Row],[Total HH]],WWWW[[#This Row],[Total HH]],WWWW[[#This Row],['# Functional hand washing stations during reporting period]]*20)</f>
        <v>0</v>
      </c>
      <c r="DG138" s="667">
        <f>IF(WWWW[[#This Row],[Is sufficient soap available for TLS? (Yes/No)]]="yes",WWWW[[#This Row],['#_Constructed/Existing hand washing stations at TLS]],0)</f>
        <v>0</v>
      </c>
      <c r="DH138" s="667">
        <f>IF(WWWW[[#This Row],['# Functional hand washing stations during reporting period]]*100&gt;WWWW[[#This Row],[Total PoP ]],WWWW[[#This Row],[Total PoP ]],WWWW[[#This Row],['# Functional hand washing stations during reporting period]]*100)</f>
        <v>0</v>
      </c>
      <c r="DI138" s="667" t="str">
        <f>IF(WWWW[[#This Row],['#_students at TLS_CFS]]="","No","Yes")</f>
        <v>No</v>
      </c>
      <c r="DJ138" s="694">
        <f>VLOOKUP(WWWW[[#This Row],[Site Name]],SiteDB6[[Site Name]:[CCCM Management]],6,FALSE)</f>
        <v>0</v>
      </c>
      <c r="DK138" s="694" t="str">
        <f>VLOOKUP(WWWW[[#This Row],[Site Name]],SiteDB6[[Site Name]:[CCCM Focal Agency]],7,FALSE)</f>
        <v>uncovered</v>
      </c>
      <c r="DL138" s="694" t="str">
        <f>VLOOKUP(WWWW[[#This Row],[Site Name]],SiteDB6[[Site Name]:[Location Type 1]],9,FALSE)</f>
        <v>Camp</v>
      </c>
      <c r="DM138" s="694" t="str">
        <f>VLOOKUP(WWWW[[#This Row],[Site Name]],SiteDB6[[Site Name]:[Type of Accommodation]],10,FALSE)</f>
        <v>Camp like setting</v>
      </c>
      <c r="DN138" s="694" t="str">
        <f>VLOOKUP(WWWW[[#This Row],[Site Name]],SiteDB6[[Site Name]:[Ethnic or GCA/NGCA]],11,FALSE)</f>
        <v>GCA</v>
      </c>
      <c r="DO138" s="694">
        <f>VLOOKUP(WWWW[[#This Row],[Site Name]],SiteDB6[[Site Name]:[Lat]],12,FALSE)</f>
        <v>25.415667500000001</v>
      </c>
      <c r="DP138" s="694">
        <f>VLOOKUP(WWWW[[#This Row],[Site Name]],SiteDB6[[Site Name]:[Long]],13,FALSE)</f>
        <v>97.437782499999997</v>
      </c>
      <c r="DQ138" s="694" t="str">
        <f>VLOOKUP(WWWW[[#This Row],[Site Name]],SiteDB6[[Site Name]:[Pcode]],3,FALSE)</f>
        <v>MMR001CMP272</v>
      </c>
      <c r="DR138" s="215" t="str">
        <f>IF(C138="none","Notcovered","Covered")</f>
        <v>Notcovered</v>
      </c>
      <c r="DS138" s="215"/>
      <c r="DT138" s="20"/>
      <c r="DU138" s="20"/>
      <c r="DV138" s="20"/>
      <c r="DW138" s="20"/>
      <c r="DX138" s="20"/>
      <c r="DY138" s="20"/>
      <c r="DZ138" s="20"/>
      <c r="EA138" s="20"/>
      <c r="EB138" s="20"/>
      <c r="EC138" s="20"/>
      <c r="ED138" s="20"/>
      <c r="EE138" s="20"/>
      <c r="EF138" s="20"/>
      <c r="EG138" s="20"/>
      <c r="EH138" s="20"/>
    </row>
    <row r="139" spans="1:138" ht="15.75" customHeight="1">
      <c r="A139" s="259" t="s">
        <v>2525</v>
      </c>
      <c r="B139" s="663" t="s">
        <v>317</v>
      </c>
      <c r="C139" s="663" t="s">
        <v>317</v>
      </c>
      <c r="D139" s="663"/>
      <c r="E139" s="663" t="s">
        <v>39</v>
      </c>
      <c r="F139" s="663" t="s">
        <v>192</v>
      </c>
      <c r="G139" s="663" t="str">
        <f>VLOOKUP(WWWW[[#This Row],[Site Name]],SiteDB6[[Site Name]:[Location Type]],8,FALSE)</f>
        <v>Camp</v>
      </c>
      <c r="H139" s="77" t="s">
        <v>192</v>
      </c>
      <c r="I139" s="700">
        <v>5</v>
      </c>
      <c r="J139" s="700">
        <v>32</v>
      </c>
      <c r="K139" s="642"/>
      <c r="L139" s="78"/>
      <c r="M139" s="700"/>
      <c r="N139" s="700"/>
      <c r="O139" s="700"/>
      <c r="P139" s="700"/>
      <c r="Q139" s="77"/>
      <c r="R139" s="377"/>
      <c r="S139" s="377"/>
      <c r="T139" s="377"/>
      <c r="U139" s="377"/>
      <c r="V139" s="377"/>
      <c r="W139" s="377"/>
      <c r="X139" s="377"/>
      <c r="Y139" s="377"/>
      <c r="Z139" s="377"/>
      <c r="AA139" s="377"/>
      <c r="AB139" s="377"/>
      <c r="AC139" s="377"/>
      <c r="AD139" s="377"/>
      <c r="AE139" s="377"/>
      <c r="AF139" s="377"/>
      <c r="AG139" s="377"/>
      <c r="AH139" s="377"/>
      <c r="AI139" s="377"/>
      <c r="AJ139" s="377"/>
      <c r="AK139" s="377"/>
      <c r="AL139" s="377"/>
      <c r="AM139" s="377"/>
      <c r="AN139" s="377"/>
      <c r="AO139" s="215"/>
      <c r="AP139" s="377"/>
      <c r="AQ139" s="377"/>
      <c r="AR139" s="77"/>
      <c r="AS139" s="377"/>
      <c r="AT139" s="377"/>
      <c r="AU139" s="377"/>
      <c r="AV139" s="377"/>
      <c r="AW139" s="377"/>
      <c r="AX139" s="245"/>
      <c r="AY139" s="245"/>
      <c r="AZ139" s="377"/>
      <c r="BA139" s="377"/>
      <c r="BB139" s="377"/>
      <c r="BC139" s="215"/>
      <c r="BD139" s="377"/>
      <c r="BE139" s="377"/>
      <c r="BF139" s="377"/>
      <c r="BG139" s="377"/>
      <c r="BH139" s="377"/>
      <c r="BI139" s="377"/>
      <c r="BJ139" s="377"/>
      <c r="BK139" s="377"/>
      <c r="BL139" s="377"/>
      <c r="BM139" s="215"/>
      <c r="BN139" s="80"/>
      <c r="BO139" s="82"/>
      <c r="BP139" s="215"/>
      <c r="BQ139" s="79" t="str">
        <f>IFERROR(WWWW[[#This Row],['#_Water sources treated]]/WWWW[[#This Row],['#_Water sources tested for contamination]],"no test")</f>
        <v>no test</v>
      </c>
      <c r="BR139" s="82" t="str">
        <f>IFERROR(WWWW[[#This Row],['#_Household received remediation action due to contamination]]/WWWW[[#This Row],['#_Household water samples tested for contamination]],"no test")</f>
        <v>no test</v>
      </c>
      <c r="BS139" s="81" t="str">
        <f>IF(AND(WWWW[[#This Row],[% of water sources treated]]="no test",WWWW[[#This Row],[% Household received corrective actions]]="no test"),"No Test","Tested")</f>
        <v>No Test</v>
      </c>
      <c r="BT139" s="81">
        <f>WWWW[[#This Row],['#_Constructed/existing protected hand dug well]]-WWWW[[#This Row],['#_Non-functional protected hand dug well]]</f>
        <v>0</v>
      </c>
      <c r="BU139" s="81">
        <f>(WWWW[[#This Row],['#_Constructed/Existing tube wells/boreholes/handpumps_WASH_agency]]+WWWW[[#This Row],['#_Non-Cluster partner water tube-wells/boreholes/handpumps]])-WWWW[[#This Row],['#_Non-functional tube wells/boreholes/handpumps]]</f>
        <v>0</v>
      </c>
      <c r="BV139" s="81">
        <f>WWWW[[#This Row],['#_Constructed/Existingwater storage tank with gravity fed reticulation system]]-WWWW[[#This Row],['#_Non-functional storage tank gravity fed reticulation system]]</f>
        <v>0</v>
      </c>
      <c r="BW139" s="81">
        <f>WWWW[[#This Row],['#_Water boating or water trucking]]</f>
        <v>0</v>
      </c>
      <c r="BX139" s="81">
        <f>WWWW[[#This Row],['#_Constructed/Existing water distribution system from river or natural spring]]</f>
        <v>0</v>
      </c>
      <c r="BY139"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39"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39" s="82">
        <f>IF(WWWW[[#This Row],[Location Type 1]]="Village",WWWW[[#This Row],[Access to safe drinking water for Village]],WWWW[[#This Row],[Access to safe drinking water for Camp]])</f>
        <v>0</v>
      </c>
      <c r="CB139" s="80">
        <f>WWWW[[#This Row],[%Equitable and continuous access to sufficient quantity of safe drinking water]]*WWWW[[#This Row],[Total PoP ]]</f>
        <v>0</v>
      </c>
      <c r="CC139" s="82">
        <f>IF((WWWW[[#This Row],['#_Constructed/Existing protected/fenced ponds]]*250)/WWWW[[#This Row],[Total PoP ]]&gt;1,1,(WWWW[[#This Row],['#_Constructed/Existing protected/fenced ponds]]*250)/WWWW[[#This Row],[Total PoP ]])</f>
        <v>0</v>
      </c>
      <c r="CD139" s="80">
        <f>WWWW[[#This Row],[% Access to unimproved water points]]*WWWW[[#This Row],[Total PoP ]]</f>
        <v>0</v>
      </c>
      <c r="CE139"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39"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39" s="80">
        <f>WWWW[[#This Row],[HRP1]]/500</f>
        <v>0</v>
      </c>
      <c r="CH139" s="79">
        <f>1-WWWW[[#This Row],[% Equitable and continuous access to sufficient quantity of domestic water]]</f>
        <v>1</v>
      </c>
      <c r="CI139" s="80">
        <f>WWWW[[#This Row],[%equitable and continuous access to sufficient quantity of safe drinking and domestic water''s GAP]]*WWWW[[#This Row],[Total PoP ]]</f>
        <v>32</v>
      </c>
      <c r="CJ139" s="81">
        <f>IF(WWWW[[#This Row],[Total required water points]]-WWWW[[#This Row],['#Water points coverage]]&lt;0,0,WWWW[[#This Row],[Total required water points]]-WWWW[[#This Row],['#Water points coverage]])</f>
        <v>1</v>
      </c>
      <c r="CK139" s="81">
        <f>ROUND(IF(WWWW[[#This Row],[Total PoP ]]&lt;500,1,WWWW[[#This Row],[Total PoP ]]/500),0)</f>
        <v>1</v>
      </c>
      <c r="CL139" s="81">
        <f>(WWWW[[#This Row],['#_Constructed latrines_by_WASHAgencies]]+WWWW[[#This Row],['#_Non Cluster partner latrines]])-WWWW[[#This Row],['#_Non-functional latrines]]</f>
        <v>0</v>
      </c>
      <c r="CM139"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39"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39"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39" s="81">
        <f>IF(WWWW[[#This Row],[Location Type 1]]="Village","NA",IF(WWWW[[#This Row],['#_Constructed/Existing latrines in TLS]]*50&gt;WWWW[[#This Row],['#_students at TLS_CFS]],WWWW[[#This Row],['#_students at TLS_CFS]],(WWWW[[#This Row],['#_Constructed/Existing latrines in TLS]]*50)))</f>
        <v>0</v>
      </c>
      <c r="CQ139" s="81">
        <f>ROUND(IF(WWWW[[#This Row],[Location Type 1]]="camp",WWWW[[#This Row],[Total PoP ]]/20,IF(WWWW[[#This Row],[Location Type 1]]="Temporary Location",WWWW[[#This Row],[Total PoP ]]/50,(WWWW[[#This Row],[Total PoP ]]/6))),0)</f>
        <v>2</v>
      </c>
      <c r="CR139" s="80">
        <f>IF(WWWW[[#This Row],[Total required Latrines]]-(WWWW[[#This Row],['#_Constructed latrines_by_WASHAgencies]]+WWWW[[#This Row],['#_Non Cluster partner latrines]])&lt;0,0,WWWW[[#This Row],[Total required Latrines]]-(WWWW[[#This Row],['#_Constructed latrines_by_WASHAgencies]]+WWWW[[#This Row],['#_Non Cluster partner latrines]]))</f>
        <v>2</v>
      </c>
      <c r="CS139" s="79">
        <f>1-WWWW[[#This Row],[% people access to functioning Latrine]]</f>
        <v>1</v>
      </c>
      <c r="CT139" s="83">
        <f>IF(OR(WWWW[[#This Row],['#_Non-functional latrines]]="",WWWW[[#This Row],['#_Non-functional latrines]]=0),0,WWWW[[#This Row],['#_Non-functional latrines]]/(WWWW[[#This Row],['#_Constructed latrines_by_WASHAgencies]]+WWWW[[#This Row],['#_Non Cluster partner latrines]]))</f>
        <v>0</v>
      </c>
      <c r="CU139" s="80">
        <f>IF(500*(WWWW[[#This Row],['#_male hygiene promoters]]+WWWW[[#This Row],['#_female hygiene promoters]])&gt;WWWW[[#This Row],[Total PoP ]],WWWW[[#This Row],[Total PoP ]],500*(WWWW[[#This Row],['#_male hygiene promoters]]+WWWW[[#This Row],['#_female hygiene promoters]]))</f>
        <v>0</v>
      </c>
      <c r="CV139"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39"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39" s="81">
        <f>IF(WWWW[[#This Row],['# People with access to soap]]&gt;WWWW[[#This Row],['# People with access to Sanity Pads]],WWWW[[#This Row],['# People with access to soap]],WWWW[[#This Row],['# People with access to Sanity Pads]])</f>
        <v>0</v>
      </c>
      <c r="CY139"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39" s="79">
        <f>IF(WWWW[[#This Row],[HRP3]]/WWWW[[#This Row],[Total PoP ]]&gt;100%,100%,WWWW[[#This Row],[HRP3]]/WWWW[[#This Row],[Total PoP ]])</f>
        <v>0</v>
      </c>
      <c r="DA139" s="83">
        <f>1-WWWW[[#This Row],[Hygiene Coverage%]]</f>
        <v>1</v>
      </c>
      <c r="DB139" s="82">
        <f>WWWW[[#This Row],['# people reached by regular dedicated hygiene promotion_5]]/WWWW[[#This Row],[Total PoP ]]</f>
        <v>0</v>
      </c>
      <c r="DC139" s="82">
        <f>IF(WWWW[[#This Row],['#_households that received standard amount of soap for this quarter]]/WWWW[[#This Row],[Total HH]]&gt;1,1,WWWW[[#This Row],['#_households that received standard amount of soap for this quarter]]/WWWW[[#This Row],[Total HH]])</f>
        <v>0</v>
      </c>
      <c r="DD139" s="82">
        <f>IF(WWWW[[#This Row],['#_households that received standard amount of sanitary pads for this quarter]]/WWWW[[#This Row],[Total HH]]&gt;1,1,WWWW[[#This Row],['#_households that received standard amount of sanitary pads for this quarter]]/WWWW[[#This Row],[Total HH]])</f>
        <v>0</v>
      </c>
      <c r="DE139" s="81">
        <f>WWWW[[#This Row],['#_Constructed/Existing hand washing stations]]-WWWW[[#This Row],['#_Non-Functional_hand_washing_stations]]</f>
        <v>0</v>
      </c>
      <c r="DF139" s="667">
        <f>IF(WWWW[[#This Row],['# Functional hand washing stations during reporting period]]*20&gt;WWWW[[#This Row],[Total HH]],WWWW[[#This Row],[Total HH]],WWWW[[#This Row],['# Functional hand washing stations during reporting period]]*20)</f>
        <v>0</v>
      </c>
      <c r="DG139" s="80">
        <f>IF(WWWW[[#This Row],[Is sufficient soap available for TLS? (Yes/No)]]="yes",WWWW[[#This Row],['#_Constructed/Existing hand washing stations at TLS]],0)</f>
        <v>0</v>
      </c>
      <c r="DH139" s="667">
        <f>IF(WWWW[[#This Row],['# Functional hand washing stations during reporting period]]*100&gt;WWWW[[#This Row],[Total PoP ]],WWWW[[#This Row],[Total PoP ]],WWWW[[#This Row],['# Functional hand washing stations during reporting period]]*100)</f>
        <v>0</v>
      </c>
      <c r="DI139" s="667" t="str">
        <f>IF(WWWW[[#This Row],['#_students at TLS_CFS]]="","No","Yes")</f>
        <v>No</v>
      </c>
      <c r="DJ139" s="245">
        <f>VLOOKUP(WWWW[[#This Row],[Site Name]],SiteDB6[[Site Name]:[CCCM Management]],6,FALSE)</f>
        <v>0</v>
      </c>
      <c r="DK139" s="245" t="str">
        <f>VLOOKUP(WWWW[[#This Row],[Site Name]],SiteDB6[[Site Name]:[CCCM Focal Agency]],7,FALSE)</f>
        <v>uncovered</v>
      </c>
      <c r="DL139" s="245" t="str">
        <f>VLOOKUP(WWWW[[#This Row],[Site Name]],SiteDB6[[Site Name]:[Location Type 1]],9,FALSE)</f>
        <v>Camp</v>
      </c>
      <c r="DM139" s="245" t="str">
        <f>VLOOKUP(WWWW[[#This Row],[Site Name]],SiteDB6[[Site Name]:[Type of Accommodation]],10,FALSE)</f>
        <v>Camp like setting</v>
      </c>
      <c r="DN139" s="245" t="str">
        <f>VLOOKUP(WWWW[[#This Row],[Site Name]],SiteDB6[[Site Name]:[Ethnic or GCA/NGCA]],11,FALSE)</f>
        <v>GCA</v>
      </c>
      <c r="DO139" s="245">
        <f>VLOOKUP(WWWW[[#This Row],[Site Name]],SiteDB6[[Site Name]:[Lat]],12,FALSE)</f>
        <v>26.541930000000001</v>
      </c>
      <c r="DP139" s="245">
        <f>VLOOKUP(WWWW[[#This Row],[Site Name]],SiteDB6[[Site Name]:[Long]],13,FALSE)</f>
        <v>97.568836000000005</v>
      </c>
      <c r="DQ139" s="245" t="str">
        <f>VLOOKUP(WWWW[[#This Row],[Site Name]],SiteDB6[[Site Name]:[Pcode]],3,FALSE)</f>
        <v>MMR001CMP206</v>
      </c>
      <c r="DR139" s="215" t="str">
        <f t="shared" ref="DR139:DR164" si="5">IF(C139="none","Notcovered","Covered")</f>
        <v>Notcovered</v>
      </c>
      <c r="DS139" s="215"/>
      <c r="DT139" s="20"/>
      <c r="DU139" s="20"/>
      <c r="DV139" s="20"/>
      <c r="DW139" s="20"/>
      <c r="DX139" s="20"/>
      <c r="DY139" s="20"/>
      <c r="DZ139" s="20"/>
      <c r="EA139" s="20"/>
      <c r="EB139" s="20"/>
      <c r="EC139" s="20"/>
      <c r="ED139" s="20"/>
      <c r="EE139" s="20"/>
      <c r="EF139" s="20"/>
      <c r="EG139" s="20"/>
      <c r="EH139" s="20"/>
    </row>
    <row r="140" spans="1:138" ht="15.75" customHeight="1">
      <c r="A140" s="259" t="s">
        <v>2525</v>
      </c>
      <c r="B140" s="663" t="s">
        <v>38</v>
      </c>
      <c r="C140" s="663" t="s">
        <v>38</v>
      </c>
      <c r="D140" s="663" t="s">
        <v>3119</v>
      </c>
      <c r="E140" s="663" t="s">
        <v>39</v>
      </c>
      <c r="F140" s="663" t="s">
        <v>154</v>
      </c>
      <c r="G140" s="663" t="str">
        <f>VLOOKUP(WWWW[[#This Row],[Site Name]],SiteDB6[[Site Name]:[Location Type]],8,FALSE)</f>
        <v>Camp</v>
      </c>
      <c r="H140" s="663" t="s">
        <v>235</v>
      </c>
      <c r="I140" s="700">
        <v>31</v>
      </c>
      <c r="J140" s="700">
        <v>173</v>
      </c>
      <c r="K140" s="642" t="s">
        <v>2986</v>
      </c>
      <c r="L140" s="78" t="s">
        <v>2980</v>
      </c>
      <c r="M140" s="700">
        <v>66</v>
      </c>
      <c r="N140" s="700"/>
      <c r="O140" s="700"/>
      <c r="P140" s="700"/>
      <c r="Q140" s="663" t="s">
        <v>43</v>
      </c>
      <c r="R140" s="700"/>
      <c r="S140" s="700"/>
      <c r="T140" s="700"/>
      <c r="U140" s="700"/>
      <c r="V140" s="700"/>
      <c r="W140" s="700"/>
      <c r="X140" s="700"/>
      <c r="Y140" s="700"/>
      <c r="Z140" s="700"/>
      <c r="AA140" s="700"/>
      <c r="AB140" s="700"/>
      <c r="AC140" s="700"/>
      <c r="AD140" s="700"/>
      <c r="AE140" s="700"/>
      <c r="AF140" s="700"/>
      <c r="AG140" s="700"/>
      <c r="AH140" s="700"/>
      <c r="AI140" s="700"/>
      <c r="AJ140" s="700"/>
      <c r="AK140" s="700"/>
      <c r="AL140" s="700"/>
      <c r="AM140" s="700"/>
      <c r="AN140" s="700"/>
      <c r="AO140" s="667"/>
      <c r="AP140" s="719">
        <v>10</v>
      </c>
      <c r="AQ140" s="663"/>
      <c r="AR140" s="663"/>
      <c r="AS140" s="667"/>
      <c r="AT140" s="663"/>
      <c r="AU140" s="667"/>
      <c r="AV140" s="667"/>
      <c r="AW140" s="81"/>
      <c r="AX140" s="81" t="s">
        <v>43</v>
      </c>
      <c r="AY140" s="81" t="s">
        <v>145</v>
      </c>
      <c r="AZ140" s="81">
        <v>2</v>
      </c>
      <c r="BA140" s="81"/>
      <c r="BB140" s="667"/>
      <c r="BC140" s="667"/>
      <c r="BD140" s="667"/>
      <c r="BE140" s="667"/>
      <c r="BF140" s="667"/>
      <c r="BG140" s="720"/>
      <c r="BH140" s="667"/>
      <c r="BI140" s="700"/>
      <c r="BJ140" s="700">
        <v>1</v>
      </c>
      <c r="BK140" s="721">
        <v>25</v>
      </c>
      <c r="BL140" s="667"/>
      <c r="BM140" s="667" t="s">
        <v>144</v>
      </c>
      <c r="BN140" s="667"/>
      <c r="BO140" s="82"/>
      <c r="BP140" s="667"/>
      <c r="BQ140" s="79" t="str">
        <f>IFERROR(WWWW[[#This Row],['#_Water sources treated]]/WWWW[[#This Row],['#_Water sources tested for contamination]],"no test")</f>
        <v>no test</v>
      </c>
      <c r="BR140" s="82" t="str">
        <f>IFERROR(WWWW[[#This Row],['#_Household received remediation action due to contamination]]/WWWW[[#This Row],['#_Household water samples tested for contamination]],"no test")</f>
        <v>no test</v>
      </c>
      <c r="BS140" s="81" t="str">
        <f>IF(AND(WWWW[[#This Row],[% of water sources treated]]="no test",WWWW[[#This Row],[% Household received corrective actions]]="no test"),"No Test","Tested")</f>
        <v>No Test</v>
      </c>
      <c r="BT140" s="81">
        <f>WWWW[[#This Row],['#_Constructed/existing protected hand dug well]]-WWWW[[#This Row],['#_Non-functional protected hand dug well]]</f>
        <v>0</v>
      </c>
      <c r="BU140" s="81">
        <f>(WWWW[[#This Row],['#_Constructed/Existing tube wells/boreholes/handpumps_WASH_agency]]+WWWW[[#This Row],['#_Non-Cluster partner water tube-wells/boreholes/handpumps]])-WWWW[[#This Row],['#_Non-functional tube wells/boreholes/handpumps]]</f>
        <v>0</v>
      </c>
      <c r="BV140" s="81">
        <f>WWWW[[#This Row],['#_Constructed/Existingwater storage tank with gravity fed reticulation system]]-WWWW[[#This Row],['#_Non-functional storage tank gravity fed reticulation system]]</f>
        <v>0</v>
      </c>
      <c r="BW140" s="81">
        <f>WWWW[[#This Row],['#_Water boating or water trucking]]</f>
        <v>0</v>
      </c>
      <c r="BX140" s="81">
        <f>WWWW[[#This Row],['#_Constructed/Existing water distribution system from river or natural spring]]</f>
        <v>0</v>
      </c>
      <c r="BY140"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40"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40" s="82">
        <f>IF(WWWW[[#This Row],[Location Type 1]]="Village",WWWW[[#This Row],[Access to safe drinking water for Village]],WWWW[[#This Row],[Access to safe drinking water for Camp]])</f>
        <v>0</v>
      </c>
      <c r="CB140" s="80">
        <f>WWWW[[#This Row],[%Equitable and continuous access to sufficient quantity of safe drinking water]]*WWWW[[#This Row],[Total PoP ]]</f>
        <v>0</v>
      </c>
      <c r="CC140" s="82">
        <f>IF((WWWW[[#This Row],['#_Constructed/Existing protected/fenced ponds]]*250)/WWWW[[#This Row],[Total PoP ]]&gt;1,1,(WWWW[[#This Row],['#_Constructed/Existing protected/fenced ponds]]*250)/WWWW[[#This Row],[Total PoP ]])</f>
        <v>0</v>
      </c>
      <c r="CD140" s="80">
        <f>WWWW[[#This Row],[% Access to unimproved water points]]*WWWW[[#This Row],[Total PoP ]]</f>
        <v>0</v>
      </c>
      <c r="CE140"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40"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40" s="80">
        <f>WWWW[[#This Row],[HRP1]]/500</f>
        <v>0</v>
      </c>
      <c r="CH140" s="79">
        <f>1-WWWW[[#This Row],[% Equitable and continuous access to sufficient quantity of domestic water]]</f>
        <v>1</v>
      </c>
      <c r="CI140" s="80">
        <f>WWWW[[#This Row],[%equitable and continuous access to sufficient quantity of safe drinking and domestic water''s GAP]]*WWWW[[#This Row],[Total PoP ]]</f>
        <v>173</v>
      </c>
      <c r="CJ140" s="81">
        <f>IF(WWWW[[#This Row],[Total required water points]]-WWWW[[#This Row],['#Water points coverage]]&lt;0,0,WWWW[[#This Row],[Total required water points]]-WWWW[[#This Row],['#Water points coverage]])</f>
        <v>1</v>
      </c>
      <c r="CK140" s="81">
        <f>ROUND(IF(WWWW[[#This Row],[Total PoP ]]&lt;500,1,WWWW[[#This Row],[Total PoP ]]/500),0)</f>
        <v>1</v>
      </c>
      <c r="CL140" s="81">
        <f>(WWWW[[#This Row],['#_Constructed latrines_by_WASHAgencies]]+WWWW[[#This Row],['#_Non Cluster partner latrines]])-WWWW[[#This Row],['#_Non-functional latrines]]</f>
        <v>10</v>
      </c>
      <c r="CM140"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40"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173</v>
      </c>
      <c r="CO140"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40" s="81">
        <f>IF(WWWW[[#This Row],[Location Type 1]]="Village","NA",IF(WWWW[[#This Row],['#_Constructed/Existing latrines in TLS]]*50&gt;WWWW[[#This Row],['#_students at TLS_CFS]],WWWW[[#This Row],['#_students at TLS_CFS]],(WWWW[[#This Row],['#_Constructed/Existing latrines in TLS]]*50)))</f>
        <v>0</v>
      </c>
      <c r="CQ140" s="81">
        <f>ROUND(IF(WWWW[[#This Row],[Location Type 1]]="camp",WWWW[[#This Row],[Total PoP ]]/20,IF(WWWW[[#This Row],[Location Type 1]]="Temporary Location",WWWW[[#This Row],[Total PoP ]]/50,(WWWW[[#This Row],[Total PoP ]]/6))),0)</f>
        <v>9</v>
      </c>
      <c r="CR140" s="80">
        <f>IF(WWWW[[#This Row],[Total required Latrines]]-(WWWW[[#This Row],['#_Constructed latrines_by_WASHAgencies]]+WWWW[[#This Row],['#_Non Cluster partner latrines]])&lt;0,0,WWWW[[#This Row],[Total required Latrines]]-(WWWW[[#This Row],['#_Constructed latrines_by_WASHAgencies]]+WWWW[[#This Row],['#_Non Cluster partner latrines]]))</f>
        <v>0</v>
      </c>
      <c r="CS140" s="79">
        <f>1-WWWW[[#This Row],[% people access to functioning Latrine]]</f>
        <v>0</v>
      </c>
      <c r="CT140" s="83">
        <f>IF(OR(WWWW[[#This Row],['#_Non-functional latrines]]="",WWWW[[#This Row],['#_Non-functional latrines]]=0),0,WWWW[[#This Row],['#_Non-functional latrines]]/(WWWW[[#This Row],['#_Constructed latrines_by_WASHAgencies]]+WWWW[[#This Row],['#_Non Cluster partner latrines]]))</f>
        <v>0</v>
      </c>
      <c r="CU140" s="80">
        <f>IF(500*(WWWW[[#This Row],['#_male hygiene promoters]]+WWWW[[#This Row],['#_female hygiene promoters]])&gt;WWWW[[#This Row],[Total PoP ]],WWWW[[#This Row],[Total PoP ]],500*(WWWW[[#This Row],['#_male hygiene promoters]]+WWWW[[#This Row],['#_female hygiene promoters]]))</f>
        <v>173</v>
      </c>
      <c r="CV140"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125</v>
      </c>
      <c r="CW140"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40" s="81">
        <f>IF(WWWW[[#This Row],['# People with access to soap]]&gt;WWWW[[#This Row],['# People with access to Sanity Pads]],WWWW[[#This Row],['# People with access to soap]],WWWW[[#This Row],['# People with access to Sanity Pads]])</f>
        <v>125</v>
      </c>
      <c r="CY140" s="81">
        <f>IF(WWWW[[#This Row],['# people reached by regular dedicated hygiene promotion_5]]&gt;WWWW[[#This Row],['# People received regular supply of hygiene items_6]],WWWW[[#This Row],['# people reached by regular dedicated hygiene promotion_5]],WWWW[[#This Row],['# People received regular supply of hygiene items_6]])</f>
        <v>173</v>
      </c>
      <c r="CZ140" s="79">
        <f>IF(WWWW[[#This Row],[HRP3]]/WWWW[[#This Row],[Total PoP ]]&gt;100%,100%,WWWW[[#This Row],[HRP3]]/WWWW[[#This Row],[Total PoP ]])</f>
        <v>1</v>
      </c>
      <c r="DA140" s="83">
        <f>1-WWWW[[#This Row],[Hygiene Coverage%]]</f>
        <v>0</v>
      </c>
      <c r="DB140" s="82">
        <f>WWWW[[#This Row],['# people reached by regular dedicated hygiene promotion_5]]/WWWW[[#This Row],[Total PoP ]]</f>
        <v>1</v>
      </c>
      <c r="DC140" s="82">
        <f>IF(WWWW[[#This Row],['#_households that received standard amount of soap for this quarter]]/WWWW[[#This Row],[Total HH]]&gt;1,1,WWWW[[#This Row],['#_households that received standard amount of soap for this quarter]]/WWWW[[#This Row],[Total HH]])</f>
        <v>0.80645161290322576</v>
      </c>
      <c r="DD140" s="82">
        <f>IF(WWWW[[#This Row],['#_households that received standard amount of sanitary pads for this quarter]]/WWWW[[#This Row],[Total HH]]&gt;1,1,WWWW[[#This Row],['#_households that received standard amount of sanitary pads for this quarter]]/WWWW[[#This Row],[Total HH]])</f>
        <v>0</v>
      </c>
      <c r="DE140" s="81">
        <f>WWWW[[#This Row],['#_Constructed/Existing hand washing stations]]-WWWW[[#This Row],['#_Non-Functional_hand_washing_stations]]</f>
        <v>0</v>
      </c>
      <c r="DF140" s="667">
        <f>IF(WWWW[[#This Row],['# Functional hand washing stations during reporting period]]*20&gt;WWWW[[#This Row],[Total HH]],WWWW[[#This Row],[Total HH]],WWWW[[#This Row],['# Functional hand washing stations during reporting period]]*20)</f>
        <v>0</v>
      </c>
      <c r="DG140" s="80">
        <f>IF(WWWW[[#This Row],[Is sufficient soap available for TLS? (Yes/No)]]="yes",WWWW[[#This Row],['#_Constructed/Existing hand washing stations at TLS]],0)</f>
        <v>0</v>
      </c>
      <c r="DH140" s="667">
        <f>IF(WWWW[[#This Row],['# Functional hand washing stations during reporting period]]*100&gt;WWWW[[#This Row],[Total PoP ]],WWWW[[#This Row],[Total PoP ]],WWWW[[#This Row],['# Functional hand washing stations during reporting period]]*100)</f>
        <v>0</v>
      </c>
      <c r="DI140" s="667" t="str">
        <f>IF(WWWW[[#This Row],['#_students at TLS_CFS]]="","No","Yes")</f>
        <v>Yes</v>
      </c>
      <c r="DJ140" s="245" t="str">
        <f>VLOOKUP(WWWW[[#This Row],[Site Name]],SiteDB6[[Site Name]:[CCCM Management]],6,FALSE)</f>
        <v>Yes</v>
      </c>
      <c r="DK140" s="245" t="str">
        <f>VLOOKUP(WWWW[[#This Row],[Site Name]],SiteDB6[[Site Name]:[CCCM Focal Agency]],7,FALSE)</f>
        <v>KMSS-MYT</v>
      </c>
      <c r="DL140" s="245" t="str">
        <f>VLOOKUP(WWWW[[#This Row],[Site Name]],SiteDB6[[Site Name]:[Location Type 1]],9,FALSE)</f>
        <v>Camp</v>
      </c>
      <c r="DM140" s="245" t="str">
        <f>VLOOKUP(WWWW[[#This Row],[Site Name]],SiteDB6[[Site Name]:[Type of Accommodation]],10,FALSE)</f>
        <v>Camp</v>
      </c>
      <c r="DN140" s="245" t="str">
        <f>VLOOKUP(WWWW[[#This Row],[Site Name]],SiteDB6[[Site Name]:[Ethnic or GCA/NGCA]],11,FALSE)</f>
        <v>GCA</v>
      </c>
      <c r="DO140" s="245">
        <f>VLOOKUP(WWWW[[#This Row],[Site Name]],SiteDB6[[Site Name]:[Lat]],12,FALSE)</f>
        <v>25.645959999999999</v>
      </c>
      <c r="DP140" s="245">
        <f>VLOOKUP(WWWW[[#This Row],[Site Name]],SiteDB6[[Site Name]:[Long]],13,FALSE)</f>
        <v>98.356260000000006</v>
      </c>
      <c r="DQ140" s="245" t="str">
        <f>VLOOKUP(WWWW[[#This Row],[Site Name]],SiteDB6[[Site Name]:[Pcode]],3,FALSE)</f>
        <v>MMR001CMP225</v>
      </c>
      <c r="DR140" s="215" t="str">
        <f t="shared" si="5"/>
        <v>Covered</v>
      </c>
      <c r="DS140" s="215"/>
      <c r="DT140" s="20"/>
      <c r="DU140" s="20"/>
      <c r="DV140" s="20"/>
      <c r="DW140" s="20"/>
      <c r="DX140" s="20"/>
      <c r="DY140" s="20"/>
      <c r="DZ140" s="20"/>
      <c r="EA140" s="20"/>
      <c r="EB140" s="20"/>
      <c r="EC140" s="20"/>
      <c r="ED140" s="20"/>
      <c r="EE140" s="20"/>
      <c r="EF140" s="20"/>
      <c r="EG140" s="20"/>
      <c r="EH140" s="20"/>
    </row>
    <row r="141" spans="1:138" ht="15.75" customHeight="1">
      <c r="A141" s="259" t="s">
        <v>2525</v>
      </c>
      <c r="B141" s="259" t="s">
        <v>149</v>
      </c>
      <c r="C141" s="663" t="s">
        <v>149</v>
      </c>
      <c r="D141" s="663" t="s">
        <v>158</v>
      </c>
      <c r="E141" s="663" t="s">
        <v>39</v>
      </c>
      <c r="F141" s="663" t="s">
        <v>150</v>
      </c>
      <c r="G141" s="663" t="str">
        <f>VLOOKUP(WWWW[[#This Row],[Site Name]],SiteDB6[[Site Name]:[Location Type]],8,FALSE)</f>
        <v>Camp</v>
      </c>
      <c r="H141" s="663" t="s">
        <v>190</v>
      </c>
      <c r="I141" s="700">
        <v>179</v>
      </c>
      <c r="J141" s="700">
        <v>958</v>
      </c>
      <c r="K141" s="642">
        <v>43556</v>
      </c>
      <c r="L141" s="78">
        <v>43677</v>
      </c>
      <c r="M141" s="700"/>
      <c r="N141" s="700"/>
      <c r="O141" s="700"/>
      <c r="P141" s="700"/>
      <c r="Q141" s="663" t="s">
        <v>43</v>
      </c>
      <c r="R141" s="377"/>
      <c r="S141" s="377"/>
      <c r="T141" s="700">
        <v>0</v>
      </c>
      <c r="U141" s="377"/>
      <c r="V141" s="377"/>
      <c r="W141" s="700">
        <v>0</v>
      </c>
      <c r="X141" s="377"/>
      <c r="Y141" s="377"/>
      <c r="Z141" s="377"/>
      <c r="AA141" s="377">
        <v>1</v>
      </c>
      <c r="AB141" s="377">
        <v>1</v>
      </c>
      <c r="AC141" s="377"/>
      <c r="AD141" s="377"/>
      <c r="AE141" s="377"/>
      <c r="AF141" s="377"/>
      <c r="AG141" s="377"/>
      <c r="AH141" s="700">
        <v>0</v>
      </c>
      <c r="AI141" s="377"/>
      <c r="AJ141" s="377"/>
      <c r="AK141" s="377"/>
      <c r="AL141" s="377"/>
      <c r="AM141" s="377"/>
      <c r="AN141" s="377"/>
      <c r="AO141" s="215"/>
      <c r="AP141" s="700">
        <v>158</v>
      </c>
      <c r="AQ141" s="377"/>
      <c r="AR141" s="77"/>
      <c r="AS141" s="377"/>
      <c r="AT141" s="377"/>
      <c r="AU141" s="377"/>
      <c r="AV141" s="377"/>
      <c r="AW141" s="700">
        <v>158</v>
      </c>
      <c r="AX141" s="245" t="s">
        <v>43</v>
      </c>
      <c r="AY141" s="245" t="s">
        <v>145</v>
      </c>
      <c r="AZ141" s="377"/>
      <c r="BA141" s="377"/>
      <c r="BB141" s="377"/>
      <c r="BC141" s="215"/>
      <c r="BD141" s="377"/>
      <c r="BE141" s="377"/>
      <c r="BF141" s="377"/>
      <c r="BG141" s="377">
        <v>4</v>
      </c>
      <c r="BH141" s="377"/>
      <c r="BI141" s="377"/>
      <c r="BJ141" s="377">
        <v>2</v>
      </c>
      <c r="BK141" s="377"/>
      <c r="BL141" s="377"/>
      <c r="BM141" s="215"/>
      <c r="BN141" s="80"/>
      <c r="BO141" s="82"/>
      <c r="BP141" s="215"/>
      <c r="BQ141" s="79" t="str">
        <f>IFERROR(WWWW[[#This Row],['#_Water sources treated]]/WWWW[[#This Row],['#_Water sources tested for contamination]],"no test")</f>
        <v>no test</v>
      </c>
      <c r="BR141" s="82" t="str">
        <f>IFERROR(WWWW[[#This Row],['#_Household received remediation action due to contamination]]/WWWW[[#This Row],['#_Household water samples tested for contamination]],"no test")</f>
        <v>no test</v>
      </c>
      <c r="BS141" s="81" t="str">
        <f>IF(AND(WWWW[[#This Row],[% of water sources treated]]="no test",WWWW[[#This Row],[% Household received corrective actions]]="no test"),"No Test","Tested")</f>
        <v>No Test</v>
      </c>
      <c r="BT141" s="81">
        <f>WWWW[[#This Row],['#_Constructed/existing protected hand dug well]]-WWWW[[#This Row],['#_Non-functional protected hand dug well]]</f>
        <v>0</v>
      </c>
      <c r="BU141" s="81">
        <f>(WWWW[[#This Row],['#_Constructed/Existing tube wells/boreholes/handpumps_WASH_agency]]+WWWW[[#This Row],['#_Non-Cluster partner water tube-wells/boreholes/handpumps]])-WWWW[[#This Row],['#_Non-functional tube wells/boreholes/handpumps]]</f>
        <v>0</v>
      </c>
      <c r="BV141" s="81">
        <f>WWWW[[#This Row],['#_Constructed/Existingwater storage tank with gravity fed reticulation system]]-WWWW[[#This Row],['#_Non-functional storage tank gravity fed reticulation system]]</f>
        <v>0</v>
      </c>
      <c r="BW141" s="81">
        <f>WWWW[[#This Row],['#_Water boating or water trucking]]</f>
        <v>0</v>
      </c>
      <c r="BX141" s="81">
        <f>WWWW[[#This Row],['#_Constructed/Existing water distribution system from river or natural spring]]</f>
        <v>0</v>
      </c>
      <c r="BY141"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41"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41" s="82">
        <f>IF(WWWW[[#This Row],[Location Type 1]]="Village",WWWW[[#This Row],[Access to safe drinking water for Village]],WWWW[[#This Row],[Access to safe drinking water for Camp]])</f>
        <v>0</v>
      </c>
      <c r="CB141" s="80">
        <f>WWWW[[#This Row],[%Equitable and continuous access to sufficient quantity of safe drinking water]]*WWWW[[#This Row],[Total PoP ]]</f>
        <v>0</v>
      </c>
      <c r="CC141" s="82">
        <f>IF((WWWW[[#This Row],['#_Constructed/Existing protected/fenced ponds]]*250)/WWWW[[#This Row],[Total PoP ]]&gt;1,1,(WWWW[[#This Row],['#_Constructed/Existing protected/fenced ponds]]*250)/WWWW[[#This Row],[Total PoP ]])</f>
        <v>0</v>
      </c>
      <c r="CD141" s="80">
        <f>WWWW[[#This Row],[% Access to unimproved water points]]*WWWW[[#This Row],[Total PoP ]]</f>
        <v>0</v>
      </c>
      <c r="CE141"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41"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41" s="80">
        <f>WWWW[[#This Row],[HRP1]]/500</f>
        <v>0</v>
      </c>
      <c r="CH141" s="79">
        <f>1-WWWW[[#This Row],[% Equitable and continuous access to sufficient quantity of domestic water]]</f>
        <v>1</v>
      </c>
      <c r="CI141" s="80">
        <f>WWWW[[#This Row],[%equitable and continuous access to sufficient quantity of safe drinking and domestic water''s GAP]]*WWWW[[#This Row],[Total PoP ]]</f>
        <v>958</v>
      </c>
      <c r="CJ141" s="81">
        <f>IF(WWWW[[#This Row],[Total required water points]]-WWWW[[#This Row],['#Water points coverage]]&lt;0,0,WWWW[[#This Row],[Total required water points]]-WWWW[[#This Row],['#Water points coverage]])</f>
        <v>2</v>
      </c>
      <c r="CK141" s="81">
        <f>ROUND(IF(WWWW[[#This Row],[Total PoP ]]&lt;500,1,WWWW[[#This Row],[Total PoP ]]/500),0)</f>
        <v>2</v>
      </c>
      <c r="CL141" s="81">
        <f>(WWWW[[#This Row],['#_Constructed latrines_by_WASHAgencies]]+WWWW[[#This Row],['#_Non Cluster partner latrines]])-WWWW[[#This Row],['#_Non-functional latrines]]</f>
        <v>158</v>
      </c>
      <c r="CM141"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41"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958</v>
      </c>
      <c r="CO141"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41" s="81">
        <f>IF(WWWW[[#This Row],[Location Type 1]]="Village","NA",IF(WWWW[[#This Row],['#_Constructed/Existing latrines in TLS]]*50&gt;WWWW[[#This Row],['#_students at TLS_CFS]],WWWW[[#This Row],['#_students at TLS_CFS]],(WWWW[[#This Row],['#_Constructed/Existing latrines in TLS]]*50)))</f>
        <v>0</v>
      </c>
      <c r="CQ141" s="81">
        <f>ROUND(IF(WWWW[[#This Row],[Location Type 1]]="camp",WWWW[[#This Row],[Total PoP ]]/20,IF(WWWW[[#This Row],[Location Type 1]]="Temporary Location",WWWW[[#This Row],[Total PoP ]]/50,(WWWW[[#This Row],[Total PoP ]]/6))),0)</f>
        <v>48</v>
      </c>
      <c r="CR141" s="80">
        <f>IF(WWWW[[#This Row],[Total required Latrines]]-(WWWW[[#This Row],['#_Constructed latrines_by_WASHAgencies]]+WWWW[[#This Row],['#_Non Cluster partner latrines]])&lt;0,0,WWWW[[#This Row],[Total required Latrines]]-(WWWW[[#This Row],['#_Constructed latrines_by_WASHAgencies]]+WWWW[[#This Row],['#_Non Cluster partner latrines]]))</f>
        <v>0</v>
      </c>
      <c r="CS141" s="79">
        <f>1-WWWW[[#This Row],[% people access to functioning Latrine]]</f>
        <v>0</v>
      </c>
      <c r="CT141" s="83">
        <f>IF(OR(WWWW[[#This Row],['#_Non-functional latrines]]="",WWWW[[#This Row],['#_Non-functional latrines]]=0),0,WWWW[[#This Row],['#_Non-functional latrines]]/(WWWW[[#This Row],['#_Constructed latrines_by_WASHAgencies]]+WWWW[[#This Row],['#_Non Cluster partner latrines]]))</f>
        <v>0</v>
      </c>
      <c r="CU141" s="80">
        <f>IF(500*(WWWW[[#This Row],['#_male hygiene promoters]]+WWWW[[#This Row],['#_female hygiene promoters]])&gt;WWWW[[#This Row],[Total PoP ]],WWWW[[#This Row],[Total PoP ]],500*(WWWW[[#This Row],['#_male hygiene promoters]]+WWWW[[#This Row],['#_female hygiene promoters]]))</f>
        <v>958</v>
      </c>
      <c r="CV141"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41"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41" s="81">
        <f>IF(WWWW[[#This Row],['# People with access to soap]]&gt;WWWW[[#This Row],['# People with access to Sanity Pads]],WWWW[[#This Row],['# People with access to soap]],WWWW[[#This Row],['# People with access to Sanity Pads]])</f>
        <v>0</v>
      </c>
      <c r="CY141" s="81">
        <f>IF(WWWW[[#This Row],['# people reached by regular dedicated hygiene promotion_5]]&gt;WWWW[[#This Row],['# People received regular supply of hygiene items_6]],WWWW[[#This Row],['# people reached by regular dedicated hygiene promotion_5]],WWWW[[#This Row],['# People received regular supply of hygiene items_6]])</f>
        <v>958</v>
      </c>
      <c r="CZ141" s="79">
        <f>IF(WWWW[[#This Row],[HRP3]]/WWWW[[#This Row],[Total PoP ]]&gt;100%,100%,WWWW[[#This Row],[HRP3]]/WWWW[[#This Row],[Total PoP ]])</f>
        <v>1</v>
      </c>
      <c r="DA141" s="83">
        <f>1-WWWW[[#This Row],[Hygiene Coverage%]]</f>
        <v>0</v>
      </c>
      <c r="DB141" s="82">
        <f>WWWW[[#This Row],['# people reached by regular dedicated hygiene promotion_5]]/WWWW[[#This Row],[Total PoP ]]</f>
        <v>1</v>
      </c>
      <c r="DC141" s="82">
        <f>IF(WWWW[[#This Row],['#_households that received standard amount of soap for this quarter]]/WWWW[[#This Row],[Total HH]]&gt;1,1,WWWW[[#This Row],['#_households that received standard amount of soap for this quarter]]/WWWW[[#This Row],[Total HH]])</f>
        <v>0</v>
      </c>
      <c r="DD141" s="82">
        <f>IF(WWWW[[#This Row],['#_households that received standard amount of sanitary pads for this quarter]]/WWWW[[#This Row],[Total HH]]&gt;1,1,WWWW[[#This Row],['#_households that received standard amount of sanitary pads for this quarter]]/WWWW[[#This Row],[Total HH]])</f>
        <v>0</v>
      </c>
      <c r="DE141" s="81">
        <f>WWWW[[#This Row],['#_Constructed/Existing hand washing stations]]-WWWW[[#This Row],['#_Non-Functional_hand_washing_stations]]</f>
        <v>0</v>
      </c>
      <c r="DF141" s="667">
        <f>IF(WWWW[[#This Row],['# Functional hand washing stations during reporting period]]*20&gt;WWWW[[#This Row],[Total HH]],WWWW[[#This Row],[Total HH]],WWWW[[#This Row],['# Functional hand washing stations during reporting period]]*20)</f>
        <v>0</v>
      </c>
      <c r="DG141" s="80">
        <f>IF(WWWW[[#This Row],[Is sufficient soap available for TLS? (Yes/No)]]="yes",WWWW[[#This Row],['#_Constructed/Existing hand washing stations at TLS]],0)</f>
        <v>0</v>
      </c>
      <c r="DH141" s="667">
        <f>IF(WWWW[[#This Row],['# Functional hand washing stations during reporting period]]*100&gt;WWWW[[#This Row],[Total PoP ]],WWWW[[#This Row],[Total PoP ]],WWWW[[#This Row],['# Functional hand washing stations during reporting period]]*100)</f>
        <v>0</v>
      </c>
      <c r="DI141" s="667" t="str">
        <f>IF(WWWW[[#This Row],['#_students at TLS_CFS]]="","No","Yes")</f>
        <v>No</v>
      </c>
      <c r="DJ141" s="245" t="str">
        <f>VLOOKUP(WWWW[[#This Row],[Site Name]],SiteDB6[[Site Name]:[CCCM Management]],6,FALSE)</f>
        <v>Yes</v>
      </c>
      <c r="DK141" s="245" t="str">
        <f>VLOOKUP(WWWW[[#This Row],[Site Name]],SiteDB6[[Site Name]:[CCCM Focal Agency]],7,FALSE)</f>
        <v>KBC-MYT</v>
      </c>
      <c r="DL141" s="245" t="str">
        <f>VLOOKUP(WWWW[[#This Row],[Site Name]],SiteDB6[[Site Name]:[Location Type 1]],9,FALSE)</f>
        <v>Camp</v>
      </c>
      <c r="DM141" s="245" t="str">
        <f>VLOOKUP(WWWW[[#This Row],[Site Name]],SiteDB6[[Site Name]:[Type of Accommodation]],10,FALSE)</f>
        <v>Camp</v>
      </c>
      <c r="DN141" s="245" t="str">
        <f>VLOOKUP(WWWW[[#This Row],[Site Name]],SiteDB6[[Site Name]:[Ethnic or GCA/NGCA]],11,FALSE)</f>
        <v>GCA</v>
      </c>
      <c r="DO141" s="245">
        <f>VLOOKUP(WWWW[[#This Row],[Site Name]],SiteDB6[[Site Name]:[Lat]],12,FALSE)</f>
        <v>25.418084</v>
      </c>
      <c r="DP141" s="245">
        <f>VLOOKUP(WWWW[[#This Row],[Site Name]],SiteDB6[[Site Name]:[Long]],13,FALSE)</f>
        <v>98.025662999999994</v>
      </c>
      <c r="DQ141" s="245" t="str">
        <f>VLOOKUP(WWWW[[#This Row],[Site Name]],SiteDB6[[Site Name]:[Pcode]],3,FALSE)</f>
        <v>MMR001CMP041</v>
      </c>
      <c r="DR141" s="215" t="str">
        <f t="shared" si="5"/>
        <v>Covered</v>
      </c>
      <c r="DS141" s="215"/>
      <c r="DT141" s="20"/>
      <c r="DU141" s="20"/>
      <c r="DV141" s="20"/>
      <c r="DW141" s="20"/>
      <c r="DX141" s="20"/>
      <c r="DY141" s="20"/>
      <c r="DZ141" s="20"/>
      <c r="EA141" s="20"/>
      <c r="EB141" s="20"/>
      <c r="EC141" s="20"/>
      <c r="ED141" s="20"/>
      <c r="EE141" s="20"/>
      <c r="EF141" s="20"/>
      <c r="EG141" s="20"/>
      <c r="EH141" s="20"/>
    </row>
    <row r="142" spans="1:138" ht="15.75" customHeight="1">
      <c r="A142" s="259" t="s">
        <v>2525</v>
      </c>
      <c r="B142" s="663" t="s">
        <v>317</v>
      </c>
      <c r="C142" s="259" t="s">
        <v>317</v>
      </c>
      <c r="D142" s="663"/>
      <c r="E142" s="663" t="s">
        <v>39</v>
      </c>
      <c r="F142" s="663" t="s">
        <v>1153</v>
      </c>
      <c r="G142" s="663" t="str">
        <f>VLOOKUP(WWWW[[#This Row],[Site Name]],SiteDB6[[Site Name]:[Location Type]],8,FALSE)</f>
        <v>Camp</v>
      </c>
      <c r="H142" s="77" t="s">
        <v>2321</v>
      </c>
      <c r="I142" s="700">
        <v>31</v>
      </c>
      <c r="J142" s="700">
        <v>129</v>
      </c>
      <c r="K142" s="642"/>
      <c r="L142" s="78"/>
      <c r="M142" s="700"/>
      <c r="N142" s="700"/>
      <c r="O142" s="700"/>
      <c r="P142" s="700"/>
      <c r="Q142" s="77"/>
      <c r="R142" s="377"/>
      <c r="S142" s="377"/>
      <c r="T142" s="377"/>
      <c r="U142" s="377"/>
      <c r="V142" s="377"/>
      <c r="W142" s="377"/>
      <c r="X142" s="377"/>
      <c r="Y142" s="377"/>
      <c r="Z142" s="377"/>
      <c r="AA142" s="377"/>
      <c r="AB142" s="377"/>
      <c r="AC142" s="377"/>
      <c r="AD142" s="377"/>
      <c r="AE142" s="377"/>
      <c r="AF142" s="377"/>
      <c r="AG142" s="377"/>
      <c r="AH142" s="377"/>
      <c r="AI142" s="377"/>
      <c r="AJ142" s="377"/>
      <c r="AK142" s="377"/>
      <c r="AL142" s="377"/>
      <c r="AM142" s="377"/>
      <c r="AN142" s="377"/>
      <c r="AO142" s="215"/>
      <c r="AP142" s="377"/>
      <c r="AQ142" s="377"/>
      <c r="AR142" s="77"/>
      <c r="AS142" s="377"/>
      <c r="AT142" s="377"/>
      <c r="AU142" s="377"/>
      <c r="AV142" s="377"/>
      <c r="AW142" s="377"/>
      <c r="AX142" s="245"/>
      <c r="AY142" s="245"/>
      <c r="AZ142" s="377"/>
      <c r="BA142" s="377"/>
      <c r="BB142" s="377"/>
      <c r="BC142" s="215"/>
      <c r="BD142" s="377"/>
      <c r="BE142" s="377"/>
      <c r="BF142" s="377"/>
      <c r="BG142" s="377"/>
      <c r="BH142" s="377"/>
      <c r="BI142" s="377"/>
      <c r="BJ142" s="377"/>
      <c r="BK142" s="377"/>
      <c r="BL142" s="377"/>
      <c r="BM142" s="215"/>
      <c r="BN142" s="80"/>
      <c r="BO142" s="82"/>
      <c r="BP142" s="215"/>
      <c r="BQ142" s="79" t="str">
        <f>IFERROR(WWWW[[#This Row],['#_Water sources treated]]/WWWW[[#This Row],['#_Water sources tested for contamination]],"no test")</f>
        <v>no test</v>
      </c>
      <c r="BR142" s="82" t="str">
        <f>IFERROR(WWWW[[#This Row],['#_Household received remediation action due to contamination]]/WWWW[[#This Row],['#_Household water samples tested for contamination]],"no test")</f>
        <v>no test</v>
      </c>
      <c r="BS142" s="81" t="str">
        <f>IF(AND(WWWW[[#This Row],[% of water sources treated]]="no test",WWWW[[#This Row],[% Household received corrective actions]]="no test"),"No Test","Tested")</f>
        <v>No Test</v>
      </c>
      <c r="BT142" s="81">
        <f>WWWW[[#This Row],['#_Constructed/existing protected hand dug well]]-WWWW[[#This Row],['#_Non-functional protected hand dug well]]</f>
        <v>0</v>
      </c>
      <c r="BU142" s="81">
        <f>(WWWW[[#This Row],['#_Constructed/Existing tube wells/boreholes/handpumps_WASH_agency]]+WWWW[[#This Row],['#_Non-Cluster partner water tube-wells/boreholes/handpumps]])-WWWW[[#This Row],['#_Non-functional tube wells/boreholes/handpumps]]</f>
        <v>0</v>
      </c>
      <c r="BV142" s="81">
        <f>WWWW[[#This Row],['#_Constructed/Existingwater storage tank with gravity fed reticulation system]]-WWWW[[#This Row],['#_Non-functional storage tank gravity fed reticulation system]]</f>
        <v>0</v>
      </c>
      <c r="BW142" s="81">
        <f>WWWW[[#This Row],['#_Water boating or water trucking]]</f>
        <v>0</v>
      </c>
      <c r="BX142" s="81">
        <f>WWWW[[#This Row],['#_Constructed/Existing water distribution system from river or natural spring]]</f>
        <v>0</v>
      </c>
      <c r="BY142"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42"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42" s="82">
        <f>IF(WWWW[[#This Row],[Location Type 1]]="Village",WWWW[[#This Row],[Access to safe drinking water for Village]],WWWW[[#This Row],[Access to safe drinking water for Camp]])</f>
        <v>0</v>
      </c>
      <c r="CB142" s="80">
        <f>WWWW[[#This Row],[%Equitable and continuous access to sufficient quantity of safe drinking water]]*WWWW[[#This Row],[Total PoP ]]</f>
        <v>0</v>
      </c>
      <c r="CC142" s="82">
        <f>IF((WWWW[[#This Row],['#_Constructed/Existing protected/fenced ponds]]*250)/WWWW[[#This Row],[Total PoP ]]&gt;1,1,(WWWW[[#This Row],['#_Constructed/Existing protected/fenced ponds]]*250)/WWWW[[#This Row],[Total PoP ]])</f>
        <v>0</v>
      </c>
      <c r="CD142" s="80">
        <f>WWWW[[#This Row],[% Access to unimproved water points]]*WWWW[[#This Row],[Total PoP ]]</f>
        <v>0</v>
      </c>
      <c r="CE142"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42"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42" s="80">
        <f>WWWW[[#This Row],[HRP1]]/500</f>
        <v>0</v>
      </c>
      <c r="CH142" s="79">
        <f>1-WWWW[[#This Row],[% Equitable and continuous access to sufficient quantity of domestic water]]</f>
        <v>1</v>
      </c>
      <c r="CI142" s="80">
        <f>WWWW[[#This Row],[%equitable and continuous access to sufficient quantity of safe drinking and domestic water''s GAP]]*WWWW[[#This Row],[Total PoP ]]</f>
        <v>129</v>
      </c>
      <c r="CJ142" s="81">
        <f>IF(WWWW[[#This Row],[Total required water points]]-WWWW[[#This Row],['#Water points coverage]]&lt;0,0,WWWW[[#This Row],[Total required water points]]-WWWW[[#This Row],['#Water points coverage]])</f>
        <v>1</v>
      </c>
      <c r="CK142" s="81">
        <f>ROUND(IF(WWWW[[#This Row],[Total PoP ]]&lt;500,1,WWWW[[#This Row],[Total PoP ]]/500),0)</f>
        <v>1</v>
      </c>
      <c r="CL142" s="81">
        <f>(WWWW[[#This Row],['#_Constructed latrines_by_WASHAgencies]]+WWWW[[#This Row],['#_Non Cluster partner latrines]])-WWWW[[#This Row],['#_Non-functional latrines]]</f>
        <v>0</v>
      </c>
      <c r="CM142"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42"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42"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42" s="81">
        <f>IF(WWWW[[#This Row],[Location Type 1]]="Village","NA",IF(WWWW[[#This Row],['#_Constructed/Existing latrines in TLS]]*50&gt;WWWW[[#This Row],['#_students at TLS_CFS]],WWWW[[#This Row],['#_students at TLS_CFS]],(WWWW[[#This Row],['#_Constructed/Existing latrines in TLS]]*50)))</f>
        <v>0</v>
      </c>
      <c r="CQ142" s="81">
        <f>ROUND(IF(WWWW[[#This Row],[Location Type 1]]="camp",WWWW[[#This Row],[Total PoP ]]/20,IF(WWWW[[#This Row],[Location Type 1]]="Temporary Location",WWWW[[#This Row],[Total PoP ]]/50,(WWWW[[#This Row],[Total PoP ]]/6))),0)</f>
        <v>6</v>
      </c>
      <c r="CR142" s="80">
        <f>IF(WWWW[[#This Row],[Total required Latrines]]-(WWWW[[#This Row],['#_Constructed latrines_by_WASHAgencies]]+WWWW[[#This Row],['#_Non Cluster partner latrines]])&lt;0,0,WWWW[[#This Row],[Total required Latrines]]-(WWWW[[#This Row],['#_Constructed latrines_by_WASHAgencies]]+WWWW[[#This Row],['#_Non Cluster partner latrines]]))</f>
        <v>6</v>
      </c>
      <c r="CS142" s="79">
        <f>1-WWWW[[#This Row],[% people access to functioning Latrine]]</f>
        <v>1</v>
      </c>
      <c r="CT142" s="83">
        <f>IF(OR(WWWW[[#This Row],['#_Non-functional latrines]]="",WWWW[[#This Row],['#_Non-functional latrines]]=0),0,WWWW[[#This Row],['#_Non-functional latrines]]/(WWWW[[#This Row],['#_Constructed latrines_by_WASHAgencies]]+WWWW[[#This Row],['#_Non Cluster partner latrines]]))</f>
        <v>0</v>
      </c>
      <c r="CU142" s="80">
        <f>IF(500*(WWWW[[#This Row],['#_male hygiene promoters]]+WWWW[[#This Row],['#_female hygiene promoters]])&gt;WWWW[[#This Row],[Total PoP ]],WWWW[[#This Row],[Total PoP ]],500*(WWWW[[#This Row],['#_male hygiene promoters]]+WWWW[[#This Row],['#_female hygiene promoters]]))</f>
        <v>0</v>
      </c>
      <c r="CV142"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42"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42" s="81">
        <f>IF(WWWW[[#This Row],['# People with access to soap]]&gt;WWWW[[#This Row],['# People with access to Sanity Pads]],WWWW[[#This Row],['# People with access to soap]],WWWW[[#This Row],['# People with access to Sanity Pads]])</f>
        <v>0</v>
      </c>
      <c r="CY142"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42" s="79">
        <f>IF(WWWW[[#This Row],[HRP3]]/WWWW[[#This Row],[Total PoP ]]&gt;100%,100%,WWWW[[#This Row],[HRP3]]/WWWW[[#This Row],[Total PoP ]])</f>
        <v>0</v>
      </c>
      <c r="DA142" s="83">
        <f>1-WWWW[[#This Row],[Hygiene Coverage%]]</f>
        <v>1</v>
      </c>
      <c r="DB142" s="82">
        <f>WWWW[[#This Row],['# people reached by regular dedicated hygiene promotion_5]]/WWWW[[#This Row],[Total PoP ]]</f>
        <v>0</v>
      </c>
      <c r="DC142" s="82">
        <f>IF(WWWW[[#This Row],['#_households that received standard amount of soap for this quarter]]/WWWW[[#This Row],[Total HH]]&gt;1,1,WWWW[[#This Row],['#_households that received standard amount of soap for this quarter]]/WWWW[[#This Row],[Total HH]])</f>
        <v>0</v>
      </c>
      <c r="DD142" s="82">
        <f>IF(WWWW[[#This Row],['#_households that received standard amount of sanitary pads for this quarter]]/WWWW[[#This Row],[Total HH]]&gt;1,1,WWWW[[#This Row],['#_households that received standard amount of sanitary pads for this quarter]]/WWWW[[#This Row],[Total HH]])</f>
        <v>0</v>
      </c>
      <c r="DE142" s="81">
        <f>WWWW[[#This Row],['#_Constructed/Existing hand washing stations]]-WWWW[[#This Row],['#_Non-Functional_hand_washing_stations]]</f>
        <v>0</v>
      </c>
      <c r="DF142" s="667">
        <f>IF(WWWW[[#This Row],['# Functional hand washing stations during reporting period]]*20&gt;WWWW[[#This Row],[Total HH]],WWWW[[#This Row],[Total HH]],WWWW[[#This Row],['# Functional hand washing stations during reporting period]]*20)</f>
        <v>0</v>
      </c>
      <c r="DG142" s="80">
        <f>IF(WWWW[[#This Row],[Is sufficient soap available for TLS? (Yes/No)]]="yes",WWWW[[#This Row],['#_Constructed/Existing hand washing stations at TLS]],0)</f>
        <v>0</v>
      </c>
      <c r="DH142" s="667">
        <f>IF(WWWW[[#This Row],['# Functional hand washing stations during reporting period]]*100&gt;WWWW[[#This Row],[Total PoP ]],WWWW[[#This Row],[Total PoP ]],WWWW[[#This Row],['# Functional hand washing stations during reporting period]]*100)</f>
        <v>0</v>
      </c>
      <c r="DI142" s="667" t="str">
        <f>IF(WWWW[[#This Row],['#_students at TLS_CFS]]="","No","Yes")</f>
        <v>No</v>
      </c>
      <c r="DJ142" s="245" t="str">
        <f>VLOOKUP(WWWW[[#This Row],[Site Name]],SiteDB6[[Site Name]:[CCCM Management]],6,FALSE)</f>
        <v>Yes</v>
      </c>
      <c r="DK142" s="245" t="str">
        <f>VLOOKUP(WWWW[[#This Row],[Site Name]],SiteDB6[[Site Name]:[CCCM Focal Agency]],7,FALSE)</f>
        <v>KMSS-MYT</v>
      </c>
      <c r="DL142" s="245" t="str">
        <f>VLOOKUP(WWWW[[#This Row],[Site Name]],SiteDB6[[Site Name]:[Location Type 1]],9,FALSE)</f>
        <v>Camp</v>
      </c>
      <c r="DM142" s="245" t="str">
        <f>VLOOKUP(WWWW[[#This Row],[Site Name]],SiteDB6[[Site Name]:[Type of Accommodation]],10,FALSE)</f>
        <v>Camp</v>
      </c>
      <c r="DN142" s="245" t="str">
        <f>VLOOKUP(WWWW[[#This Row],[Site Name]],SiteDB6[[Site Name]:[Ethnic or GCA/NGCA]],11,FALSE)</f>
        <v>GCA</v>
      </c>
      <c r="DO142" s="245">
        <f>VLOOKUP(WWWW[[#This Row],[Site Name]],SiteDB6[[Site Name]:[Lat]],12,FALSE)</f>
        <v>0</v>
      </c>
      <c r="DP142" s="245">
        <f>VLOOKUP(WWWW[[#This Row],[Site Name]],SiteDB6[[Site Name]:[Long]],13,FALSE)</f>
        <v>0</v>
      </c>
      <c r="DQ142" s="245" t="str">
        <f>VLOOKUP(WWWW[[#This Row],[Site Name]],SiteDB6[[Site Name]:[Pcode]],3,FALSE)</f>
        <v>MMR001CMP251</v>
      </c>
      <c r="DR142" s="215" t="str">
        <f t="shared" si="5"/>
        <v>Notcovered</v>
      </c>
      <c r="DS142" s="215"/>
      <c r="DT142" s="20"/>
      <c r="DU142" s="20"/>
      <c r="DV142" s="20"/>
      <c r="DW142" s="20"/>
      <c r="DX142" s="20"/>
      <c r="DY142" s="20"/>
      <c r="DZ142" s="20"/>
      <c r="EA142" s="20"/>
      <c r="EB142" s="20"/>
      <c r="EC142" s="20"/>
      <c r="ED142" s="20"/>
      <c r="EE142" s="20"/>
      <c r="EF142" s="20"/>
      <c r="EG142" s="20"/>
      <c r="EH142" s="20"/>
    </row>
    <row r="143" spans="1:138" ht="15.75" customHeight="1">
      <c r="A143" s="259" t="s">
        <v>2525</v>
      </c>
      <c r="B143" s="663" t="s">
        <v>38</v>
      </c>
      <c r="C143" s="663" t="s">
        <v>38</v>
      </c>
      <c r="D143" s="663" t="s">
        <v>42</v>
      </c>
      <c r="E143" s="663" t="s">
        <v>39</v>
      </c>
      <c r="F143" s="663" t="s">
        <v>40</v>
      </c>
      <c r="G143" s="663" t="str">
        <f>VLOOKUP(WWWW[[#This Row],[Site Name]],SiteDB6[[Site Name]:[Location Type]],8,FALSE)</f>
        <v>Camp_not registered</v>
      </c>
      <c r="H143" s="663" t="s">
        <v>147</v>
      </c>
      <c r="I143" s="700">
        <v>22</v>
      </c>
      <c r="J143" s="700">
        <v>122</v>
      </c>
      <c r="K143" s="642"/>
      <c r="L143" s="78">
        <v>43585</v>
      </c>
      <c r="M143" s="700"/>
      <c r="N143" s="700"/>
      <c r="O143" s="700"/>
      <c r="P143" s="700"/>
      <c r="Q143" s="77"/>
      <c r="R143" s="377"/>
      <c r="S143" s="377"/>
      <c r="T143" s="377"/>
      <c r="U143" s="377"/>
      <c r="V143" s="377"/>
      <c r="W143" s="377"/>
      <c r="X143" s="377">
        <v>1</v>
      </c>
      <c r="Y143" s="377"/>
      <c r="Z143" s="377"/>
      <c r="AA143" s="377"/>
      <c r="AB143" s="377"/>
      <c r="AC143" s="377"/>
      <c r="AD143" s="377"/>
      <c r="AE143" s="377"/>
      <c r="AF143" s="377"/>
      <c r="AG143" s="377"/>
      <c r="AH143" s="377"/>
      <c r="AI143" s="377"/>
      <c r="AJ143" s="377"/>
      <c r="AK143" s="377"/>
      <c r="AL143" s="377"/>
      <c r="AM143" s="377"/>
      <c r="AN143" s="377"/>
      <c r="AO143" s="215" t="s">
        <v>2968</v>
      </c>
      <c r="AP143" s="377">
        <v>6</v>
      </c>
      <c r="AQ143" s="377"/>
      <c r="AR143" s="77"/>
      <c r="AS143" s="377"/>
      <c r="AT143" s="377"/>
      <c r="AU143" s="377"/>
      <c r="AV143" s="377"/>
      <c r="AW143" s="377"/>
      <c r="AX143" s="245" t="s">
        <v>43</v>
      </c>
      <c r="AY143" s="245" t="s">
        <v>145</v>
      </c>
      <c r="AZ143" s="377"/>
      <c r="BA143" s="377"/>
      <c r="BB143" s="377"/>
      <c r="BC143" s="215"/>
      <c r="BD143" s="377">
        <v>2</v>
      </c>
      <c r="BE143" s="377"/>
      <c r="BF143" s="377"/>
      <c r="BG143" s="377">
        <v>2</v>
      </c>
      <c r="BH143" s="377">
        <v>1</v>
      </c>
      <c r="BI143" s="377"/>
      <c r="BJ143" s="377">
        <v>1</v>
      </c>
      <c r="BK143" s="377">
        <v>122</v>
      </c>
      <c r="BL143" s="377"/>
      <c r="BM143" s="215"/>
      <c r="BN143" s="80"/>
      <c r="BO143" s="82"/>
      <c r="BP143" s="215" t="s">
        <v>2969</v>
      </c>
      <c r="BQ143" s="79" t="str">
        <f>IFERROR(WWWW[[#This Row],['#_Water sources treated]]/WWWW[[#This Row],['#_Water sources tested for contamination]],"no test")</f>
        <v>no test</v>
      </c>
      <c r="BR143" s="82" t="str">
        <f>IFERROR(WWWW[[#This Row],['#_Household received remediation action due to contamination]]/WWWW[[#This Row],['#_Household water samples tested for contamination]],"no test")</f>
        <v>no test</v>
      </c>
      <c r="BS143" s="81" t="str">
        <f>IF(AND(WWWW[[#This Row],[% of water sources treated]]="no test",WWWW[[#This Row],[% Household received corrective actions]]="no test"),"No Test","Tested")</f>
        <v>No Test</v>
      </c>
      <c r="BT143" s="81">
        <f>WWWW[[#This Row],['#_Constructed/existing protected hand dug well]]-WWWW[[#This Row],['#_Non-functional protected hand dug well]]</f>
        <v>0</v>
      </c>
      <c r="BU143" s="81">
        <f>(WWWW[[#This Row],['#_Constructed/Existing tube wells/boreholes/handpumps_WASH_agency]]+WWWW[[#This Row],['#_Non-Cluster partner water tube-wells/boreholes/handpumps]])-WWWW[[#This Row],['#_Non-functional tube wells/boreholes/handpumps]]</f>
        <v>1</v>
      </c>
      <c r="BV143" s="81">
        <f>WWWW[[#This Row],['#_Constructed/Existingwater storage tank with gravity fed reticulation system]]-WWWW[[#This Row],['#_Non-functional storage tank gravity fed reticulation system]]</f>
        <v>0</v>
      </c>
      <c r="BW143" s="81">
        <f>WWWW[[#This Row],['#_Water boating or water trucking]]</f>
        <v>0</v>
      </c>
      <c r="BX143" s="81">
        <f>WWWW[[#This Row],['#_Constructed/Existing water distribution system from river or natural spring]]</f>
        <v>0</v>
      </c>
      <c r="BY143"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43"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43" s="82">
        <f>IF(WWWW[[#This Row],[Location Type 1]]="Village",WWWW[[#This Row],[Access to safe drinking water for Village]],WWWW[[#This Row],[Access to safe drinking water for Camp]])</f>
        <v>1</v>
      </c>
      <c r="CB143" s="80">
        <f>WWWW[[#This Row],[%Equitable and continuous access to sufficient quantity of safe drinking water]]*WWWW[[#This Row],[Total PoP ]]</f>
        <v>122</v>
      </c>
      <c r="CC143" s="82">
        <f>IF((WWWW[[#This Row],['#_Constructed/Existing protected/fenced ponds]]*250)/WWWW[[#This Row],[Total PoP ]]&gt;1,1,(WWWW[[#This Row],['#_Constructed/Existing protected/fenced ponds]]*250)/WWWW[[#This Row],[Total PoP ]])</f>
        <v>0</v>
      </c>
      <c r="CD143" s="80">
        <f>WWWW[[#This Row],[% Access to unimproved water points]]*WWWW[[#This Row],[Total PoP ]]</f>
        <v>0</v>
      </c>
      <c r="CE143"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43"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122</v>
      </c>
      <c r="CG143" s="80">
        <f>WWWW[[#This Row],[HRP1]]/500</f>
        <v>0.24399999999999999</v>
      </c>
      <c r="CH143" s="79">
        <f>1-WWWW[[#This Row],[% Equitable and continuous access to sufficient quantity of domestic water]]</f>
        <v>0</v>
      </c>
      <c r="CI143" s="80">
        <f>WWWW[[#This Row],[%equitable and continuous access to sufficient quantity of safe drinking and domestic water''s GAP]]*WWWW[[#This Row],[Total PoP ]]</f>
        <v>0</v>
      </c>
      <c r="CJ143" s="81">
        <f>IF(WWWW[[#This Row],[Total required water points]]-WWWW[[#This Row],['#Water points coverage]]&lt;0,0,WWWW[[#This Row],[Total required water points]]-WWWW[[#This Row],['#Water points coverage]])</f>
        <v>0.75600000000000001</v>
      </c>
      <c r="CK143" s="81">
        <f>ROUND(IF(WWWW[[#This Row],[Total PoP ]]&lt;500,1,WWWW[[#This Row],[Total PoP ]]/500),0)</f>
        <v>1</v>
      </c>
      <c r="CL143" s="81">
        <f>(WWWW[[#This Row],['#_Constructed latrines_by_WASHAgencies]]+WWWW[[#This Row],['#_Non Cluster partner latrines]])-WWWW[[#This Row],['#_Non-functional latrines]]</f>
        <v>6</v>
      </c>
      <c r="CM143"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0.98360655737704916</v>
      </c>
      <c r="CN143"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120</v>
      </c>
      <c r="CO143"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43" s="81">
        <f>IF(WWWW[[#This Row],[Location Type 1]]="Village","NA",IF(WWWW[[#This Row],['#_Constructed/Existing latrines in TLS]]*50&gt;WWWW[[#This Row],['#_students at TLS_CFS]],WWWW[[#This Row],['#_students at TLS_CFS]],(WWWW[[#This Row],['#_Constructed/Existing latrines in TLS]]*50)))</f>
        <v>0</v>
      </c>
      <c r="CQ143" s="81">
        <f>ROUND(IF(WWWW[[#This Row],[Location Type 1]]="camp",WWWW[[#This Row],[Total PoP ]]/20,IF(WWWW[[#This Row],[Location Type 1]]="Temporary Location",WWWW[[#This Row],[Total PoP ]]/50,(WWWW[[#This Row],[Total PoP ]]/6))),0)</f>
        <v>6</v>
      </c>
      <c r="CR143" s="80">
        <f>IF(WWWW[[#This Row],[Total required Latrines]]-(WWWW[[#This Row],['#_Constructed latrines_by_WASHAgencies]]+WWWW[[#This Row],['#_Non Cluster partner latrines]])&lt;0,0,WWWW[[#This Row],[Total required Latrines]]-(WWWW[[#This Row],['#_Constructed latrines_by_WASHAgencies]]+WWWW[[#This Row],['#_Non Cluster partner latrines]]))</f>
        <v>0</v>
      </c>
      <c r="CS143" s="79">
        <f>1-WWWW[[#This Row],[% people access to functioning Latrine]]</f>
        <v>1.6393442622950838E-2</v>
      </c>
      <c r="CT143" s="83">
        <f>IF(OR(WWWW[[#This Row],['#_Non-functional latrines]]="",WWWW[[#This Row],['#_Non-functional latrines]]=0),0,WWWW[[#This Row],['#_Non-functional latrines]]/(WWWW[[#This Row],['#_Constructed latrines_by_WASHAgencies]]+WWWW[[#This Row],['#_Non Cluster partner latrines]]))</f>
        <v>0</v>
      </c>
      <c r="CU143" s="80">
        <f>IF(500*(WWWW[[#This Row],['#_male hygiene promoters]]+WWWW[[#This Row],['#_female hygiene promoters]])&gt;WWWW[[#This Row],[Total PoP ]],WWWW[[#This Row],[Total PoP ]],500*(WWWW[[#This Row],['#_male hygiene promoters]]+WWWW[[#This Row],['#_female hygiene promoters]]))</f>
        <v>122</v>
      </c>
      <c r="CV143"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122</v>
      </c>
      <c r="CW143"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43" s="81">
        <f>IF(WWWW[[#This Row],['# People with access to soap]]&gt;WWWW[[#This Row],['# People with access to Sanity Pads]],WWWW[[#This Row],['# People with access to soap]],WWWW[[#This Row],['# People with access to Sanity Pads]])</f>
        <v>122</v>
      </c>
      <c r="CY143" s="81">
        <f>IF(WWWW[[#This Row],['# people reached by regular dedicated hygiene promotion_5]]&gt;WWWW[[#This Row],['# People received regular supply of hygiene items_6]],WWWW[[#This Row],['# people reached by regular dedicated hygiene promotion_5]],WWWW[[#This Row],['# People received regular supply of hygiene items_6]])</f>
        <v>122</v>
      </c>
      <c r="CZ143" s="79">
        <f>IF(WWWW[[#This Row],[HRP3]]/WWWW[[#This Row],[Total PoP ]]&gt;100%,100%,WWWW[[#This Row],[HRP3]]/WWWW[[#This Row],[Total PoP ]])</f>
        <v>1</v>
      </c>
      <c r="DA143" s="83">
        <f>1-WWWW[[#This Row],[Hygiene Coverage%]]</f>
        <v>0</v>
      </c>
      <c r="DB143" s="82">
        <f>WWWW[[#This Row],['# people reached by regular dedicated hygiene promotion_5]]/WWWW[[#This Row],[Total PoP ]]</f>
        <v>1</v>
      </c>
      <c r="DC143" s="82">
        <f>IF(WWWW[[#This Row],['#_households that received standard amount of soap for this quarter]]/WWWW[[#This Row],[Total HH]]&gt;1,1,WWWW[[#This Row],['#_households that received standard amount of soap for this quarter]]/WWWW[[#This Row],[Total HH]])</f>
        <v>1</v>
      </c>
      <c r="DD143" s="82">
        <f>IF(WWWW[[#This Row],['#_households that received standard amount of sanitary pads for this quarter]]/WWWW[[#This Row],[Total HH]]&gt;1,1,WWWW[[#This Row],['#_households that received standard amount of sanitary pads for this quarter]]/WWWW[[#This Row],[Total HH]])</f>
        <v>0</v>
      </c>
      <c r="DE143" s="81">
        <f>WWWW[[#This Row],['#_Constructed/Existing hand washing stations]]-WWWW[[#This Row],['#_Non-Functional_hand_washing_stations]]</f>
        <v>2</v>
      </c>
      <c r="DF143" s="667">
        <f>IF(WWWW[[#This Row],['# Functional hand washing stations during reporting period]]*20&gt;WWWW[[#This Row],[Total HH]],WWWW[[#This Row],[Total HH]],WWWW[[#This Row],['# Functional hand washing stations during reporting period]]*20)</f>
        <v>22</v>
      </c>
      <c r="DG143" s="80">
        <f>IF(WWWW[[#This Row],[Is sufficient soap available for TLS? (Yes/No)]]="yes",WWWW[[#This Row],['#_Constructed/Existing hand washing stations at TLS]],0)</f>
        <v>0</v>
      </c>
      <c r="DH143" s="667">
        <f>IF(WWWW[[#This Row],['# Functional hand washing stations during reporting period]]*100&gt;WWWW[[#This Row],[Total PoP ]],WWWW[[#This Row],[Total PoP ]],WWWW[[#This Row],['# Functional hand washing stations during reporting period]]*100)</f>
        <v>122</v>
      </c>
      <c r="DI143" s="667" t="str">
        <f>IF(WWWW[[#This Row],['#_students at TLS_CFS]]="","No","Yes")</f>
        <v>No</v>
      </c>
      <c r="DJ143" s="245">
        <f>VLOOKUP(WWWW[[#This Row],[Site Name]],SiteDB6[[Site Name]:[CCCM Management]],6,FALSE)</f>
        <v>0</v>
      </c>
      <c r="DK143" s="245">
        <f>VLOOKUP(WWWW[[#This Row],[Site Name]],SiteDB6[[Site Name]:[CCCM Focal Agency]],7,FALSE)</f>
        <v>0</v>
      </c>
      <c r="DL143" s="245" t="str">
        <f>VLOOKUP(WWWW[[#This Row],[Site Name]],SiteDB6[[Site Name]:[Location Type 1]],9,FALSE)</f>
        <v>Camp</v>
      </c>
      <c r="DM143" s="245" t="str">
        <f>VLOOKUP(WWWW[[#This Row],[Site Name]],SiteDB6[[Site Name]:[Type of Accommodation]],10,FALSE)</f>
        <v>Camp</v>
      </c>
      <c r="DN143" s="245" t="str">
        <f>VLOOKUP(WWWW[[#This Row],[Site Name]],SiteDB6[[Site Name]:[Ethnic or GCA/NGCA]],11,FALSE)</f>
        <v>GCA</v>
      </c>
      <c r="DO143" s="245">
        <f>VLOOKUP(WWWW[[#This Row],[Site Name]],SiteDB6[[Site Name]:[Lat]],12,FALSE)</f>
        <v>0</v>
      </c>
      <c r="DP143" s="245">
        <f>VLOOKUP(WWWW[[#This Row],[Site Name]],SiteDB6[[Site Name]:[Long]],13,FALSE)</f>
        <v>0</v>
      </c>
      <c r="DQ143" s="245">
        <f>VLOOKUP(WWWW[[#This Row],[Site Name]],SiteDB6[[Site Name]:[Pcode]],3,FALSE)</f>
        <v>0</v>
      </c>
      <c r="DR143" s="215" t="str">
        <f t="shared" si="5"/>
        <v>Covered</v>
      </c>
      <c r="DS143" s="215"/>
      <c r="DT143" s="20"/>
      <c r="DU143" s="20"/>
      <c r="DV143" s="20"/>
      <c r="DW143" s="20"/>
      <c r="DX143" s="20"/>
      <c r="DY143" s="20"/>
      <c r="DZ143" s="20"/>
      <c r="EA143" s="20"/>
      <c r="EB143" s="20"/>
      <c r="EC143" s="20"/>
      <c r="ED143" s="20"/>
      <c r="EE143" s="20"/>
      <c r="EF143" s="20"/>
      <c r="EG143" s="20"/>
      <c r="EH143" s="20"/>
    </row>
    <row r="144" spans="1:138" ht="15.75" customHeight="1">
      <c r="A144" s="259" t="s">
        <v>2525</v>
      </c>
      <c r="B144" s="663" t="s">
        <v>317</v>
      </c>
      <c r="C144" s="663" t="s">
        <v>317</v>
      </c>
      <c r="D144" s="663"/>
      <c r="E144" s="663" t="s">
        <v>39</v>
      </c>
      <c r="F144" s="663" t="s">
        <v>150</v>
      </c>
      <c r="G144" s="663" t="str">
        <f>VLOOKUP(WWWW[[#This Row],[Site Name]],SiteDB6[[Site Name]:[Location Type]],8,FALSE)</f>
        <v>Camp</v>
      </c>
      <c r="H144" s="77" t="s">
        <v>1057</v>
      </c>
      <c r="I144" s="700">
        <v>62</v>
      </c>
      <c r="J144" s="700">
        <v>410</v>
      </c>
      <c r="K144" s="642"/>
      <c r="L144" s="78"/>
      <c r="M144" s="700"/>
      <c r="N144" s="700"/>
      <c r="O144" s="700"/>
      <c r="P144" s="700"/>
      <c r="Q144" s="77"/>
      <c r="R144" s="377"/>
      <c r="S144" s="377"/>
      <c r="T144" s="377"/>
      <c r="U144" s="377"/>
      <c r="V144" s="377"/>
      <c r="W144" s="377"/>
      <c r="X144" s="377"/>
      <c r="Y144" s="377"/>
      <c r="Z144" s="377"/>
      <c r="AA144" s="377"/>
      <c r="AB144" s="377"/>
      <c r="AC144" s="377"/>
      <c r="AD144" s="377"/>
      <c r="AE144" s="377"/>
      <c r="AF144" s="377"/>
      <c r="AG144" s="377"/>
      <c r="AH144" s="377"/>
      <c r="AI144" s="377"/>
      <c r="AJ144" s="377"/>
      <c r="AK144" s="377"/>
      <c r="AL144" s="377"/>
      <c r="AM144" s="377"/>
      <c r="AN144" s="377"/>
      <c r="AO144" s="215"/>
      <c r="AP144" s="377"/>
      <c r="AQ144" s="377"/>
      <c r="AR144" s="77"/>
      <c r="AS144" s="377"/>
      <c r="AT144" s="377"/>
      <c r="AU144" s="377"/>
      <c r="AV144" s="377"/>
      <c r="AW144" s="377"/>
      <c r="AX144" s="245"/>
      <c r="AY144" s="245"/>
      <c r="AZ144" s="377"/>
      <c r="BA144" s="377"/>
      <c r="BB144" s="377"/>
      <c r="BC144" s="215"/>
      <c r="BD144" s="377"/>
      <c r="BE144" s="377"/>
      <c r="BF144" s="377"/>
      <c r="BG144" s="377"/>
      <c r="BH144" s="377"/>
      <c r="BI144" s="377"/>
      <c r="BJ144" s="377"/>
      <c r="BK144" s="377"/>
      <c r="BL144" s="377"/>
      <c r="BM144" s="215"/>
      <c r="BN144" s="80"/>
      <c r="BO144" s="82"/>
      <c r="BP144" s="215"/>
      <c r="BQ144" s="79" t="str">
        <f>IFERROR(WWWW[[#This Row],['#_Water sources treated]]/WWWW[[#This Row],['#_Water sources tested for contamination]],"no test")</f>
        <v>no test</v>
      </c>
      <c r="BR144" s="82" t="str">
        <f>IFERROR(WWWW[[#This Row],['#_Household received remediation action due to contamination]]/WWWW[[#This Row],['#_Household water samples tested for contamination]],"no test")</f>
        <v>no test</v>
      </c>
      <c r="BS144" s="81" t="str">
        <f>IF(AND(WWWW[[#This Row],[% of water sources treated]]="no test",WWWW[[#This Row],[% Household received corrective actions]]="no test"),"No Test","Tested")</f>
        <v>No Test</v>
      </c>
      <c r="BT144" s="81">
        <f>WWWW[[#This Row],['#_Constructed/existing protected hand dug well]]-WWWW[[#This Row],['#_Non-functional protected hand dug well]]</f>
        <v>0</v>
      </c>
      <c r="BU144" s="81">
        <f>(WWWW[[#This Row],['#_Constructed/Existing tube wells/boreholes/handpumps_WASH_agency]]+WWWW[[#This Row],['#_Non-Cluster partner water tube-wells/boreholes/handpumps]])-WWWW[[#This Row],['#_Non-functional tube wells/boreholes/handpumps]]</f>
        <v>0</v>
      </c>
      <c r="BV144" s="81">
        <f>WWWW[[#This Row],['#_Constructed/Existingwater storage tank with gravity fed reticulation system]]-WWWW[[#This Row],['#_Non-functional storage tank gravity fed reticulation system]]</f>
        <v>0</v>
      </c>
      <c r="BW144" s="81">
        <f>WWWW[[#This Row],['#_Water boating or water trucking]]</f>
        <v>0</v>
      </c>
      <c r="BX144" s="81">
        <f>WWWW[[#This Row],['#_Constructed/Existing water distribution system from river or natural spring]]</f>
        <v>0</v>
      </c>
      <c r="BY144"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44"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44" s="82">
        <f>IF(WWWW[[#This Row],[Location Type 1]]="Village",WWWW[[#This Row],[Access to safe drinking water for Village]],WWWW[[#This Row],[Access to safe drinking water for Camp]])</f>
        <v>0</v>
      </c>
      <c r="CB144" s="80">
        <f>WWWW[[#This Row],[%Equitable and continuous access to sufficient quantity of safe drinking water]]*WWWW[[#This Row],[Total PoP ]]</f>
        <v>0</v>
      </c>
      <c r="CC144" s="82">
        <f>IF((WWWW[[#This Row],['#_Constructed/Existing protected/fenced ponds]]*250)/WWWW[[#This Row],[Total PoP ]]&gt;1,1,(WWWW[[#This Row],['#_Constructed/Existing protected/fenced ponds]]*250)/WWWW[[#This Row],[Total PoP ]])</f>
        <v>0</v>
      </c>
      <c r="CD144" s="80">
        <f>WWWW[[#This Row],[% Access to unimproved water points]]*WWWW[[#This Row],[Total PoP ]]</f>
        <v>0</v>
      </c>
      <c r="CE144"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44"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44" s="80">
        <f>WWWW[[#This Row],[HRP1]]/500</f>
        <v>0</v>
      </c>
      <c r="CH144" s="79">
        <f>1-WWWW[[#This Row],[% Equitable and continuous access to sufficient quantity of domestic water]]</f>
        <v>1</v>
      </c>
      <c r="CI144" s="80">
        <f>WWWW[[#This Row],[%equitable and continuous access to sufficient quantity of safe drinking and domestic water''s GAP]]*WWWW[[#This Row],[Total PoP ]]</f>
        <v>410</v>
      </c>
      <c r="CJ144" s="81">
        <f>IF(WWWW[[#This Row],[Total required water points]]-WWWW[[#This Row],['#Water points coverage]]&lt;0,0,WWWW[[#This Row],[Total required water points]]-WWWW[[#This Row],['#Water points coverage]])</f>
        <v>1</v>
      </c>
      <c r="CK144" s="81">
        <f>ROUND(IF(WWWW[[#This Row],[Total PoP ]]&lt;500,1,WWWW[[#This Row],[Total PoP ]]/500),0)</f>
        <v>1</v>
      </c>
      <c r="CL144" s="81">
        <f>(WWWW[[#This Row],['#_Constructed latrines_by_WASHAgencies]]+WWWW[[#This Row],['#_Non Cluster partner latrines]])-WWWW[[#This Row],['#_Non-functional latrines]]</f>
        <v>0</v>
      </c>
      <c r="CM144"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44"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44"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44" s="81">
        <f>IF(WWWW[[#This Row],[Location Type 1]]="Village","NA",IF(WWWW[[#This Row],['#_Constructed/Existing latrines in TLS]]*50&gt;WWWW[[#This Row],['#_students at TLS_CFS]],WWWW[[#This Row],['#_students at TLS_CFS]],(WWWW[[#This Row],['#_Constructed/Existing latrines in TLS]]*50)))</f>
        <v>0</v>
      </c>
      <c r="CQ144" s="81">
        <f>ROUND(IF(WWWW[[#This Row],[Location Type 1]]="camp",WWWW[[#This Row],[Total PoP ]]/20,IF(WWWW[[#This Row],[Location Type 1]]="Temporary Location",WWWW[[#This Row],[Total PoP ]]/50,(WWWW[[#This Row],[Total PoP ]]/6))),0)</f>
        <v>21</v>
      </c>
      <c r="CR144" s="80">
        <f>IF(WWWW[[#This Row],[Total required Latrines]]-(WWWW[[#This Row],['#_Constructed latrines_by_WASHAgencies]]+WWWW[[#This Row],['#_Non Cluster partner latrines]])&lt;0,0,WWWW[[#This Row],[Total required Latrines]]-(WWWW[[#This Row],['#_Constructed latrines_by_WASHAgencies]]+WWWW[[#This Row],['#_Non Cluster partner latrines]]))</f>
        <v>21</v>
      </c>
      <c r="CS144" s="79">
        <f>1-WWWW[[#This Row],[% people access to functioning Latrine]]</f>
        <v>1</v>
      </c>
      <c r="CT144" s="83">
        <f>IF(OR(WWWW[[#This Row],['#_Non-functional latrines]]="",WWWW[[#This Row],['#_Non-functional latrines]]=0),0,WWWW[[#This Row],['#_Non-functional latrines]]/(WWWW[[#This Row],['#_Constructed latrines_by_WASHAgencies]]+WWWW[[#This Row],['#_Non Cluster partner latrines]]))</f>
        <v>0</v>
      </c>
      <c r="CU144" s="80">
        <f>IF(500*(WWWW[[#This Row],['#_male hygiene promoters]]+WWWW[[#This Row],['#_female hygiene promoters]])&gt;WWWW[[#This Row],[Total PoP ]],WWWW[[#This Row],[Total PoP ]],500*(WWWW[[#This Row],['#_male hygiene promoters]]+WWWW[[#This Row],['#_female hygiene promoters]]))</f>
        <v>0</v>
      </c>
      <c r="CV144"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44"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44" s="81">
        <f>IF(WWWW[[#This Row],['# People with access to soap]]&gt;WWWW[[#This Row],['# People with access to Sanity Pads]],WWWW[[#This Row],['# People with access to soap]],WWWW[[#This Row],['# People with access to Sanity Pads]])</f>
        <v>0</v>
      </c>
      <c r="CY144"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44" s="79">
        <f>IF(WWWW[[#This Row],[HRP3]]/WWWW[[#This Row],[Total PoP ]]&gt;100%,100%,WWWW[[#This Row],[HRP3]]/WWWW[[#This Row],[Total PoP ]])</f>
        <v>0</v>
      </c>
      <c r="DA144" s="83">
        <f>1-WWWW[[#This Row],[Hygiene Coverage%]]</f>
        <v>1</v>
      </c>
      <c r="DB144" s="82">
        <f>WWWW[[#This Row],['# people reached by regular dedicated hygiene promotion_5]]/WWWW[[#This Row],[Total PoP ]]</f>
        <v>0</v>
      </c>
      <c r="DC144" s="82">
        <f>IF(WWWW[[#This Row],['#_households that received standard amount of soap for this quarter]]/WWWW[[#This Row],[Total HH]]&gt;1,1,WWWW[[#This Row],['#_households that received standard amount of soap for this quarter]]/WWWW[[#This Row],[Total HH]])</f>
        <v>0</v>
      </c>
      <c r="DD144" s="82">
        <f>IF(WWWW[[#This Row],['#_households that received standard amount of sanitary pads for this quarter]]/WWWW[[#This Row],[Total HH]]&gt;1,1,WWWW[[#This Row],['#_households that received standard amount of sanitary pads for this quarter]]/WWWW[[#This Row],[Total HH]])</f>
        <v>0</v>
      </c>
      <c r="DE144" s="81">
        <f>WWWW[[#This Row],['#_Constructed/Existing hand washing stations]]-WWWW[[#This Row],['#_Non-Functional_hand_washing_stations]]</f>
        <v>0</v>
      </c>
      <c r="DF144" s="667">
        <f>IF(WWWW[[#This Row],['# Functional hand washing stations during reporting period]]*20&gt;WWWW[[#This Row],[Total HH]],WWWW[[#This Row],[Total HH]],WWWW[[#This Row],['# Functional hand washing stations during reporting period]]*20)</f>
        <v>0</v>
      </c>
      <c r="DG144" s="80">
        <f>IF(WWWW[[#This Row],[Is sufficient soap available for TLS? (Yes/No)]]="yes",WWWW[[#This Row],['#_Constructed/Existing hand washing stations at TLS]],0)</f>
        <v>0</v>
      </c>
      <c r="DH144" s="667">
        <f>IF(WWWW[[#This Row],['# Functional hand washing stations during reporting period]]*100&gt;WWWW[[#This Row],[Total PoP ]],WWWW[[#This Row],[Total PoP ]],WWWW[[#This Row],['# Functional hand washing stations during reporting period]]*100)</f>
        <v>0</v>
      </c>
      <c r="DI144" s="667" t="str">
        <f>IF(WWWW[[#This Row],['#_students at TLS_CFS]]="","No","Yes")</f>
        <v>No</v>
      </c>
      <c r="DJ144" s="245">
        <f>VLOOKUP(WWWW[[#This Row],[Site Name]],SiteDB6[[Site Name]:[CCCM Management]],6,FALSE)</f>
        <v>0</v>
      </c>
      <c r="DK144" s="245" t="str">
        <f>VLOOKUP(WWWW[[#This Row],[Site Name]],SiteDB6[[Site Name]:[CCCM Focal Agency]],7,FALSE)</f>
        <v>uncovered</v>
      </c>
      <c r="DL144" s="245" t="str">
        <f>VLOOKUP(WWWW[[#This Row],[Site Name]],SiteDB6[[Site Name]:[Location Type 1]],9,FALSE)</f>
        <v>Camp</v>
      </c>
      <c r="DM144" s="245" t="str">
        <f>VLOOKUP(WWWW[[#This Row],[Site Name]],SiteDB6[[Site Name]:[Type of Accommodation]],10,FALSE)</f>
        <v>Camp like setting</v>
      </c>
      <c r="DN144" s="245" t="str">
        <f>VLOOKUP(WWWW[[#This Row],[Site Name]],SiteDB6[[Site Name]:[Ethnic or GCA/NGCA]],11,FALSE)</f>
        <v>GCA</v>
      </c>
      <c r="DO144" s="245">
        <f>VLOOKUP(WWWW[[#This Row],[Site Name]],SiteDB6[[Site Name]:[Lat]],12,FALSE)</f>
        <v>25.305008999999998</v>
      </c>
      <c r="DP144" s="245">
        <f>VLOOKUP(WWWW[[#This Row],[Site Name]],SiteDB6[[Site Name]:[Long]],13,FALSE)</f>
        <v>97.430321000000006</v>
      </c>
      <c r="DQ144" s="245" t="str">
        <f>VLOOKUP(WWWW[[#This Row],[Site Name]],SiteDB6[[Site Name]:[Pcode]],3,FALSE)</f>
        <v>MMR001CMP248</v>
      </c>
      <c r="DR144" s="215" t="str">
        <f t="shared" si="5"/>
        <v>Notcovered</v>
      </c>
      <c r="DS144" s="215"/>
      <c r="DT144" s="20"/>
      <c r="DU144" s="20"/>
      <c r="DV144" s="20"/>
      <c r="DW144" s="20"/>
      <c r="DX144" s="20"/>
      <c r="DY144" s="20"/>
      <c r="DZ144" s="20"/>
      <c r="EA144" s="20"/>
      <c r="EB144" s="20"/>
      <c r="EC144" s="20"/>
      <c r="ED144" s="20"/>
      <c r="EE144" s="20"/>
      <c r="EF144" s="20"/>
      <c r="EG144" s="20"/>
      <c r="EH144" s="20"/>
    </row>
    <row r="145" spans="1:138" ht="15.75" customHeight="1">
      <c r="A145" s="259" t="s">
        <v>2525</v>
      </c>
      <c r="B145" s="663" t="s">
        <v>250</v>
      </c>
      <c r="C145" s="663" t="s">
        <v>250</v>
      </c>
      <c r="D145" s="663" t="s">
        <v>315</v>
      </c>
      <c r="E145" s="663" t="s">
        <v>39</v>
      </c>
      <c r="F145" s="663" t="s">
        <v>150</v>
      </c>
      <c r="G145" s="663" t="str">
        <f>VLOOKUP(WWWW[[#This Row],[Site Name]],SiteDB6[[Site Name]:[Location Type]],8,FALSE)</f>
        <v>Camp</v>
      </c>
      <c r="H145" s="663" t="s">
        <v>276</v>
      </c>
      <c r="I145" s="700">
        <v>92</v>
      </c>
      <c r="J145" s="700">
        <v>448</v>
      </c>
      <c r="K145" s="642">
        <v>43313</v>
      </c>
      <c r="L145" s="58">
        <v>44043</v>
      </c>
      <c r="M145" s="700">
        <v>0</v>
      </c>
      <c r="N145" s="700">
        <v>1</v>
      </c>
      <c r="O145" s="700">
        <v>0</v>
      </c>
      <c r="P145" s="700">
        <v>0</v>
      </c>
      <c r="Q145" s="663" t="s">
        <v>43</v>
      </c>
      <c r="R145" s="377">
        <v>4</v>
      </c>
      <c r="S145" s="377">
        <v>4</v>
      </c>
      <c r="T145" s="377">
        <v>2</v>
      </c>
      <c r="U145" s="377">
        <v>0</v>
      </c>
      <c r="V145" s="377">
        <v>0</v>
      </c>
      <c r="W145" s="377">
        <v>3</v>
      </c>
      <c r="X145" s="377">
        <v>3</v>
      </c>
      <c r="Y145" s="377">
        <v>1</v>
      </c>
      <c r="Z145" s="377">
        <v>1</v>
      </c>
      <c r="AA145" s="700">
        <v>0</v>
      </c>
      <c r="AB145" s="377">
        <v>0</v>
      </c>
      <c r="AC145" s="377">
        <v>0</v>
      </c>
      <c r="AD145" s="377">
        <v>0</v>
      </c>
      <c r="AE145" s="377">
        <v>0</v>
      </c>
      <c r="AF145" s="377">
        <v>0</v>
      </c>
      <c r="AG145" s="377">
        <v>0</v>
      </c>
      <c r="AH145" s="377">
        <v>2</v>
      </c>
      <c r="AI145" s="377"/>
      <c r="AJ145" s="377"/>
      <c r="AK145" s="377"/>
      <c r="AL145" s="377"/>
      <c r="AM145" s="377">
        <v>0</v>
      </c>
      <c r="AN145" s="377">
        <v>0</v>
      </c>
      <c r="AO145" s="215"/>
      <c r="AP145" s="377">
        <v>16</v>
      </c>
      <c r="AQ145" s="377">
        <v>6</v>
      </c>
      <c r="AR145" s="77" t="s">
        <v>3131</v>
      </c>
      <c r="AS145" s="377">
        <v>2</v>
      </c>
      <c r="AT145" s="377">
        <v>0</v>
      </c>
      <c r="AU145" s="377">
        <v>7</v>
      </c>
      <c r="AV145" s="377"/>
      <c r="AW145" s="700">
        <v>0</v>
      </c>
      <c r="AX145" s="694" t="s">
        <v>43</v>
      </c>
      <c r="AY145" s="245" t="s">
        <v>145</v>
      </c>
      <c r="AZ145" s="377">
        <v>2</v>
      </c>
      <c r="BA145" s="377">
        <v>2</v>
      </c>
      <c r="BB145" s="377">
        <v>0</v>
      </c>
      <c r="BC145" s="215"/>
      <c r="BD145" s="377">
        <v>0</v>
      </c>
      <c r="BE145" s="377">
        <v>0</v>
      </c>
      <c r="BF145" s="377">
        <v>0</v>
      </c>
      <c r="BG145" s="377">
        <v>0</v>
      </c>
      <c r="BH145" s="377">
        <v>0</v>
      </c>
      <c r="BI145" s="377">
        <v>0</v>
      </c>
      <c r="BJ145" s="377">
        <v>0</v>
      </c>
      <c r="BK145" s="377">
        <v>0</v>
      </c>
      <c r="BL145" s="377">
        <v>0</v>
      </c>
      <c r="BM145" s="215" t="s">
        <v>144</v>
      </c>
      <c r="BN145" s="80">
        <v>0</v>
      </c>
      <c r="BO145" s="82">
        <v>0</v>
      </c>
      <c r="BP145" s="215"/>
      <c r="BQ145" s="79" t="str">
        <f>IFERROR(WWWW[[#This Row],['#_Water sources treated]]/WWWW[[#This Row],['#_Water sources tested for contamination]],"no test")</f>
        <v>no test</v>
      </c>
      <c r="BR145" s="82" t="str">
        <f>IFERROR(WWWW[[#This Row],['#_Household received remediation action due to contamination]]/WWWW[[#This Row],['#_Household water samples tested for contamination]],"no test")</f>
        <v>no test</v>
      </c>
      <c r="BS145" s="81" t="str">
        <f>IF(AND(WWWW[[#This Row],[% of water sources treated]]="no test",WWWW[[#This Row],[% Household received corrective actions]]="no test"),"No Test","Tested")</f>
        <v>No Test</v>
      </c>
      <c r="BT145" s="81">
        <f>WWWW[[#This Row],['#_Constructed/existing protected hand dug well]]-WWWW[[#This Row],['#_Non-functional protected hand dug well]]</f>
        <v>2</v>
      </c>
      <c r="BU145" s="81">
        <f>(WWWW[[#This Row],['#_Constructed/Existing tube wells/boreholes/handpumps_WASH_agency]]+WWWW[[#This Row],['#_Non-Cluster partner water tube-wells/boreholes/handpumps]])-WWWW[[#This Row],['#_Non-functional tube wells/boreholes/handpumps]]</f>
        <v>5</v>
      </c>
      <c r="BV145" s="81">
        <f>WWWW[[#This Row],['#_Constructed/Existingwater storage tank with gravity fed reticulation system]]-WWWW[[#This Row],['#_Non-functional storage tank gravity fed reticulation system]]</f>
        <v>0</v>
      </c>
      <c r="BW145" s="81">
        <f>WWWW[[#This Row],['#_Water boating or water trucking]]</f>
        <v>0</v>
      </c>
      <c r="BX145" s="81">
        <f>WWWW[[#This Row],['#_Constructed/Existing water distribution system from river or natural spring]]</f>
        <v>0</v>
      </c>
      <c r="BY145"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45"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45" s="82">
        <f>IF(WWWW[[#This Row],[Location Type 1]]="Village",WWWW[[#This Row],[Access to safe drinking water for Village]],WWWW[[#This Row],[Access to safe drinking water for Camp]])</f>
        <v>1</v>
      </c>
      <c r="CB145" s="80">
        <f>WWWW[[#This Row],[%Equitable and continuous access to sufficient quantity of safe drinking water]]*WWWW[[#This Row],[Total PoP ]]</f>
        <v>448</v>
      </c>
      <c r="CC145" s="82">
        <f>IF((WWWW[[#This Row],['#_Constructed/Existing protected/fenced ponds]]*250)/WWWW[[#This Row],[Total PoP ]]&gt;1,1,(WWWW[[#This Row],['#_Constructed/Existing protected/fenced ponds]]*250)/WWWW[[#This Row],[Total PoP ]])</f>
        <v>0</v>
      </c>
      <c r="CD145" s="80">
        <f>WWWW[[#This Row],[% Access to unimproved water points]]*WWWW[[#This Row],[Total PoP ]]</f>
        <v>0</v>
      </c>
      <c r="CE145"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45"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448</v>
      </c>
      <c r="CG145" s="80">
        <f>WWWW[[#This Row],[HRP1]]/500</f>
        <v>0.89600000000000002</v>
      </c>
      <c r="CH145" s="79">
        <f>1-WWWW[[#This Row],[% Equitable and continuous access to sufficient quantity of domestic water]]</f>
        <v>0</v>
      </c>
      <c r="CI145" s="80">
        <f>WWWW[[#This Row],[%equitable and continuous access to sufficient quantity of safe drinking and domestic water''s GAP]]*WWWW[[#This Row],[Total PoP ]]</f>
        <v>0</v>
      </c>
      <c r="CJ145" s="81">
        <f>IF(WWWW[[#This Row],[Total required water points]]-WWWW[[#This Row],['#Water points coverage]]&lt;0,0,WWWW[[#This Row],[Total required water points]]-WWWW[[#This Row],['#Water points coverage]])</f>
        <v>0.10399999999999998</v>
      </c>
      <c r="CK145" s="81">
        <f>ROUND(IF(WWWW[[#This Row],[Total PoP ]]&lt;500,1,WWWW[[#This Row],[Total PoP ]]/500),0)</f>
        <v>1</v>
      </c>
      <c r="CL145" s="81">
        <f>(WWWW[[#This Row],['#_Constructed latrines_by_WASHAgencies]]+WWWW[[#This Row],['#_Non Cluster partner latrines]])-WWWW[[#This Row],['#_Non-functional latrines]]</f>
        <v>20</v>
      </c>
      <c r="CM145"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0.8928571428571429</v>
      </c>
      <c r="CN145"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400</v>
      </c>
      <c r="CO145"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140</v>
      </c>
      <c r="CP145" s="81">
        <f>IF(WWWW[[#This Row],[Location Type 1]]="Village","NA",IF(WWWW[[#This Row],['#_Constructed/Existing latrines in TLS]]*50&gt;WWWW[[#This Row],['#_students at TLS_CFS]],WWWW[[#This Row],['#_students at TLS_CFS]],(WWWW[[#This Row],['#_Constructed/Existing latrines in TLS]]*50)))</f>
        <v>0</v>
      </c>
      <c r="CQ145" s="81">
        <f>ROUND(IF(WWWW[[#This Row],[Location Type 1]]="camp",WWWW[[#This Row],[Total PoP ]]/20,IF(WWWW[[#This Row],[Location Type 1]]="Temporary Location",WWWW[[#This Row],[Total PoP ]]/50,(WWWW[[#This Row],[Total PoP ]]/6))),0)</f>
        <v>22</v>
      </c>
      <c r="CR145" s="80">
        <f>IF(WWWW[[#This Row],[Total required Latrines]]-(WWWW[[#This Row],['#_Constructed latrines_by_WASHAgencies]]+WWWW[[#This Row],['#_Non Cluster partner latrines]])&lt;0,0,WWWW[[#This Row],[Total required Latrines]]-(WWWW[[#This Row],['#_Constructed latrines_by_WASHAgencies]]+WWWW[[#This Row],['#_Non Cluster partner latrines]]))</f>
        <v>0</v>
      </c>
      <c r="CS145" s="79">
        <f>1-WWWW[[#This Row],[% people access to functioning Latrine]]</f>
        <v>0.1071428571428571</v>
      </c>
      <c r="CT145" s="83">
        <f>IF(OR(WWWW[[#This Row],['#_Non-functional latrines]]="",WWWW[[#This Row],['#_Non-functional latrines]]=0),0,WWWW[[#This Row],['#_Non-functional latrines]]/(WWWW[[#This Row],['#_Constructed latrines_by_WASHAgencies]]+WWWW[[#This Row],['#_Non Cluster partner latrines]]))</f>
        <v>9.0909090909090912E-2</v>
      </c>
      <c r="CU145" s="80">
        <f>IF(500*(WWWW[[#This Row],['#_male hygiene promoters]]+WWWW[[#This Row],['#_female hygiene promoters]])&gt;WWWW[[#This Row],[Total PoP ]],WWWW[[#This Row],[Total PoP ]],500*(WWWW[[#This Row],['#_male hygiene promoters]]+WWWW[[#This Row],['#_female hygiene promoters]]))</f>
        <v>0</v>
      </c>
      <c r="CV145"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45"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45" s="81">
        <f>IF(WWWW[[#This Row],['# People with access to soap]]&gt;WWWW[[#This Row],['# People with access to Sanity Pads]],WWWW[[#This Row],['# People with access to soap]],WWWW[[#This Row],['# People with access to Sanity Pads]])</f>
        <v>0</v>
      </c>
      <c r="CY145"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45" s="79">
        <f>IF(WWWW[[#This Row],[HRP3]]/WWWW[[#This Row],[Total PoP ]]&gt;100%,100%,WWWW[[#This Row],[HRP3]]/WWWW[[#This Row],[Total PoP ]])</f>
        <v>0</v>
      </c>
      <c r="DA145" s="83">
        <f>1-WWWW[[#This Row],[Hygiene Coverage%]]</f>
        <v>1</v>
      </c>
      <c r="DB145" s="82">
        <f>WWWW[[#This Row],['# people reached by regular dedicated hygiene promotion_5]]/WWWW[[#This Row],[Total PoP ]]</f>
        <v>0</v>
      </c>
      <c r="DC145" s="82">
        <f>IF(WWWW[[#This Row],['#_households that received standard amount of soap for this quarter]]/WWWW[[#This Row],[Total HH]]&gt;1,1,WWWW[[#This Row],['#_households that received standard amount of soap for this quarter]]/WWWW[[#This Row],[Total HH]])</f>
        <v>0</v>
      </c>
      <c r="DD145" s="82">
        <f>IF(WWWW[[#This Row],['#_households that received standard amount of sanitary pads for this quarter]]/WWWW[[#This Row],[Total HH]]&gt;1,1,WWWW[[#This Row],['#_households that received standard amount of sanitary pads for this quarter]]/WWWW[[#This Row],[Total HH]])</f>
        <v>0</v>
      </c>
      <c r="DE145" s="81">
        <f>WWWW[[#This Row],['#_Constructed/Existing hand washing stations]]-WWWW[[#This Row],['#_Non-Functional_hand_washing_stations]]</f>
        <v>0</v>
      </c>
      <c r="DF145" s="667">
        <f>IF(WWWW[[#This Row],['# Functional hand washing stations during reporting period]]*20&gt;WWWW[[#This Row],[Total HH]],WWWW[[#This Row],[Total HH]],WWWW[[#This Row],['# Functional hand washing stations during reporting period]]*20)</f>
        <v>0</v>
      </c>
      <c r="DG145" s="80">
        <f>IF(WWWW[[#This Row],[Is sufficient soap available for TLS? (Yes/No)]]="yes",WWWW[[#This Row],['#_Constructed/Existing hand washing stations at TLS]],0)</f>
        <v>0</v>
      </c>
      <c r="DH145" s="667">
        <f>IF(WWWW[[#This Row],['# Functional hand washing stations during reporting period]]*100&gt;WWWW[[#This Row],[Total PoP ]],WWWW[[#This Row],[Total PoP ]],WWWW[[#This Row],['# Functional hand washing stations during reporting period]]*100)</f>
        <v>0</v>
      </c>
      <c r="DI145" s="667" t="str">
        <f>IF(WWWW[[#This Row],['#_students at TLS_CFS]]="","No","Yes")</f>
        <v>Yes</v>
      </c>
      <c r="DJ145" s="245" t="str">
        <f>VLOOKUP(WWWW[[#This Row],[Site Name]],SiteDB6[[Site Name]:[CCCM Management]],6,FALSE)</f>
        <v>Yes</v>
      </c>
      <c r="DK145" s="245" t="str">
        <f>VLOOKUP(WWWW[[#This Row],[Site Name]],SiteDB6[[Site Name]:[CCCM Focal Agency]],7,FALSE)</f>
        <v>Shalom</v>
      </c>
      <c r="DL145" s="245" t="str">
        <f>VLOOKUP(WWWW[[#This Row],[Site Name]],SiteDB6[[Site Name]:[Location Type 1]],9,FALSE)</f>
        <v>Camp</v>
      </c>
      <c r="DM145" s="245" t="str">
        <f>VLOOKUP(WWWW[[#This Row],[Site Name]],SiteDB6[[Site Name]:[Type of Accommodation]],10,FALSE)</f>
        <v>Camp</v>
      </c>
      <c r="DN145" s="245" t="str">
        <f>VLOOKUP(WWWW[[#This Row],[Site Name]],SiteDB6[[Site Name]:[Ethnic or GCA/NGCA]],11,FALSE)</f>
        <v>GCA</v>
      </c>
      <c r="DO145" s="245">
        <f>VLOOKUP(WWWW[[#This Row],[Site Name]],SiteDB6[[Site Name]:[Lat]],12,FALSE)</f>
        <v>25.321710740740698</v>
      </c>
      <c r="DP145" s="245">
        <f>VLOOKUP(WWWW[[#This Row],[Site Name]],SiteDB6[[Site Name]:[Long]],13,FALSE)</f>
        <v>97.404195925926004</v>
      </c>
      <c r="DQ145" s="245" t="str">
        <f>VLOOKUP(WWWW[[#This Row],[Site Name]],SiteDB6[[Site Name]:[Pcode]],3,FALSE)</f>
        <v>MMR001CMP028</v>
      </c>
      <c r="DR145" s="215" t="str">
        <f t="shared" si="5"/>
        <v>Covered</v>
      </c>
      <c r="DS145" s="215"/>
      <c r="DT145" s="20"/>
      <c r="DU145" s="20"/>
      <c r="DV145" s="20"/>
      <c r="DW145" s="20"/>
      <c r="DX145" s="20"/>
      <c r="DY145" s="20"/>
      <c r="DZ145" s="20"/>
      <c r="EA145" s="20"/>
      <c r="EB145" s="20"/>
      <c r="EC145" s="20"/>
      <c r="ED145" s="20"/>
      <c r="EE145" s="20"/>
      <c r="EF145" s="20"/>
      <c r="EG145" s="20"/>
      <c r="EH145" s="20"/>
    </row>
    <row r="146" spans="1:138" ht="15.75" customHeight="1">
      <c r="A146" s="259" t="s">
        <v>2525</v>
      </c>
      <c r="B146" s="259" t="s">
        <v>149</v>
      </c>
      <c r="C146" s="663" t="s">
        <v>149</v>
      </c>
      <c r="D146" s="663" t="s">
        <v>152</v>
      </c>
      <c r="E146" s="663" t="s">
        <v>39</v>
      </c>
      <c r="F146" s="663" t="s">
        <v>167</v>
      </c>
      <c r="G146" s="663" t="str">
        <f>VLOOKUP(WWWW[[#This Row],[Site Name]],SiteDB6[[Site Name]:[Location Type]],8,FALSE)</f>
        <v>Camp</v>
      </c>
      <c r="H146" s="663" t="s">
        <v>177</v>
      </c>
      <c r="I146" s="700">
        <v>93</v>
      </c>
      <c r="J146" s="700">
        <v>499</v>
      </c>
      <c r="K146" s="642">
        <v>43556</v>
      </c>
      <c r="L146" s="78">
        <v>43677</v>
      </c>
      <c r="M146" s="700"/>
      <c r="N146" s="700"/>
      <c r="O146" s="700"/>
      <c r="P146" s="700"/>
      <c r="Q146" s="663" t="s">
        <v>43</v>
      </c>
      <c r="R146" s="377"/>
      <c r="S146" s="377"/>
      <c r="T146" s="700">
        <v>2</v>
      </c>
      <c r="U146" s="377"/>
      <c r="V146" s="377"/>
      <c r="W146" s="700">
        <v>2</v>
      </c>
      <c r="X146" s="377"/>
      <c r="Y146" s="377"/>
      <c r="Z146" s="377"/>
      <c r="AA146" s="700"/>
      <c r="AB146" s="377"/>
      <c r="AC146" s="377"/>
      <c r="AD146" s="377"/>
      <c r="AE146" s="377"/>
      <c r="AF146" s="377"/>
      <c r="AG146" s="377"/>
      <c r="AH146" s="700">
        <v>2</v>
      </c>
      <c r="AI146" s="377"/>
      <c r="AJ146" s="377"/>
      <c r="AK146" s="377"/>
      <c r="AL146" s="377"/>
      <c r="AM146" s="377"/>
      <c r="AN146" s="377"/>
      <c r="AO146" s="215"/>
      <c r="AP146" s="700">
        <v>17</v>
      </c>
      <c r="AQ146" s="377"/>
      <c r="AR146" s="77"/>
      <c r="AS146" s="377"/>
      <c r="AT146" s="377"/>
      <c r="AU146" s="377">
        <v>0</v>
      </c>
      <c r="AV146" s="377"/>
      <c r="AW146" s="700">
        <v>17</v>
      </c>
      <c r="AX146" s="245" t="s">
        <v>43</v>
      </c>
      <c r="AY146" s="245" t="s">
        <v>145</v>
      </c>
      <c r="AZ146" s="377"/>
      <c r="BA146" s="377"/>
      <c r="BB146" s="377"/>
      <c r="BC146" s="215"/>
      <c r="BD146" s="377"/>
      <c r="BE146" s="377"/>
      <c r="BF146" s="377"/>
      <c r="BG146" s="377">
        <v>2</v>
      </c>
      <c r="BH146" s="377"/>
      <c r="BI146" s="377"/>
      <c r="BJ146" s="377">
        <v>2</v>
      </c>
      <c r="BK146" s="377"/>
      <c r="BL146" s="377"/>
      <c r="BM146" s="215"/>
      <c r="BN146" s="80"/>
      <c r="BO146" s="82"/>
      <c r="BP146" s="215"/>
      <c r="BQ146" s="79" t="str">
        <f>IFERROR(WWWW[[#This Row],['#_Water sources treated]]/WWWW[[#This Row],['#_Water sources tested for contamination]],"no test")</f>
        <v>no test</v>
      </c>
      <c r="BR146" s="82" t="str">
        <f>IFERROR(WWWW[[#This Row],['#_Household received remediation action due to contamination]]/WWWW[[#This Row],['#_Household water samples tested for contamination]],"no test")</f>
        <v>no test</v>
      </c>
      <c r="BS146" s="81" t="str">
        <f>IF(AND(WWWW[[#This Row],[% of water sources treated]]="no test",WWWW[[#This Row],[% Household received corrective actions]]="no test"),"No Test","Tested")</f>
        <v>No Test</v>
      </c>
      <c r="BT146" s="81">
        <f>WWWW[[#This Row],['#_Constructed/existing protected hand dug well]]-WWWW[[#This Row],['#_Non-functional protected hand dug well]]</f>
        <v>2</v>
      </c>
      <c r="BU146" s="81">
        <f>(WWWW[[#This Row],['#_Constructed/Existing tube wells/boreholes/handpumps_WASH_agency]]+WWWW[[#This Row],['#_Non-Cluster partner water tube-wells/boreholes/handpumps]])-WWWW[[#This Row],['#_Non-functional tube wells/boreholes/handpumps]]</f>
        <v>2</v>
      </c>
      <c r="BV146" s="81">
        <f>WWWW[[#This Row],['#_Constructed/Existingwater storage tank with gravity fed reticulation system]]-WWWW[[#This Row],['#_Non-functional storage tank gravity fed reticulation system]]</f>
        <v>0</v>
      </c>
      <c r="BW146" s="81">
        <f>WWWW[[#This Row],['#_Water boating or water trucking]]</f>
        <v>0</v>
      </c>
      <c r="BX146" s="81">
        <f>WWWW[[#This Row],['#_Constructed/Existing water distribution system from river or natural spring]]</f>
        <v>0</v>
      </c>
      <c r="BY146"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46"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46" s="82">
        <f>IF(WWWW[[#This Row],[Location Type 1]]="Village",WWWW[[#This Row],[Access to safe drinking water for Village]],WWWW[[#This Row],[Access to safe drinking water for Camp]])</f>
        <v>1</v>
      </c>
      <c r="CB146" s="80">
        <f>WWWW[[#This Row],[%Equitable and continuous access to sufficient quantity of safe drinking water]]*WWWW[[#This Row],[Total PoP ]]</f>
        <v>499</v>
      </c>
      <c r="CC146" s="82">
        <f>IF((WWWW[[#This Row],['#_Constructed/Existing protected/fenced ponds]]*250)/WWWW[[#This Row],[Total PoP ]]&gt;1,1,(WWWW[[#This Row],['#_Constructed/Existing protected/fenced ponds]]*250)/WWWW[[#This Row],[Total PoP ]])</f>
        <v>0</v>
      </c>
      <c r="CD146" s="80">
        <f>WWWW[[#This Row],[% Access to unimproved water points]]*WWWW[[#This Row],[Total PoP ]]</f>
        <v>0</v>
      </c>
      <c r="CE146"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46"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499</v>
      </c>
      <c r="CG146" s="80">
        <f>WWWW[[#This Row],[HRP1]]/500</f>
        <v>0.998</v>
      </c>
      <c r="CH146" s="79">
        <f>1-WWWW[[#This Row],[% Equitable and continuous access to sufficient quantity of domestic water]]</f>
        <v>0</v>
      </c>
      <c r="CI146" s="80">
        <f>WWWW[[#This Row],[%equitable and continuous access to sufficient quantity of safe drinking and domestic water''s GAP]]*WWWW[[#This Row],[Total PoP ]]</f>
        <v>0</v>
      </c>
      <c r="CJ146" s="81">
        <f>IF(WWWW[[#This Row],[Total required water points]]-WWWW[[#This Row],['#Water points coverage]]&lt;0,0,WWWW[[#This Row],[Total required water points]]-WWWW[[#This Row],['#Water points coverage]])</f>
        <v>2.0000000000000018E-3</v>
      </c>
      <c r="CK146" s="81">
        <f>ROUND(IF(WWWW[[#This Row],[Total PoP ]]&lt;500,1,WWWW[[#This Row],[Total PoP ]]/500),0)</f>
        <v>1</v>
      </c>
      <c r="CL146" s="81">
        <f>(WWWW[[#This Row],['#_Constructed latrines_by_WASHAgencies]]+WWWW[[#This Row],['#_Non Cluster partner latrines]])-WWWW[[#This Row],['#_Non-functional latrines]]</f>
        <v>17</v>
      </c>
      <c r="CM146"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0.68136272545090182</v>
      </c>
      <c r="CN146"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340</v>
      </c>
      <c r="CO146"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46" s="81">
        <f>IF(WWWW[[#This Row],[Location Type 1]]="Village","NA",IF(WWWW[[#This Row],['#_Constructed/Existing latrines in TLS]]*50&gt;WWWW[[#This Row],['#_students at TLS_CFS]],WWWW[[#This Row],['#_students at TLS_CFS]],(WWWW[[#This Row],['#_Constructed/Existing latrines in TLS]]*50)))</f>
        <v>0</v>
      </c>
      <c r="CQ146" s="81">
        <f>ROUND(IF(WWWW[[#This Row],[Location Type 1]]="camp",WWWW[[#This Row],[Total PoP ]]/20,IF(WWWW[[#This Row],[Location Type 1]]="Temporary Location",WWWW[[#This Row],[Total PoP ]]/50,(WWWW[[#This Row],[Total PoP ]]/6))),0)</f>
        <v>25</v>
      </c>
      <c r="CR146" s="80">
        <f>IF(WWWW[[#This Row],[Total required Latrines]]-(WWWW[[#This Row],['#_Constructed latrines_by_WASHAgencies]]+WWWW[[#This Row],['#_Non Cluster partner latrines]])&lt;0,0,WWWW[[#This Row],[Total required Latrines]]-(WWWW[[#This Row],['#_Constructed latrines_by_WASHAgencies]]+WWWW[[#This Row],['#_Non Cluster partner latrines]]))</f>
        <v>8</v>
      </c>
      <c r="CS146" s="79">
        <f>1-WWWW[[#This Row],[% people access to functioning Latrine]]</f>
        <v>0.31863727454909818</v>
      </c>
      <c r="CT146" s="83">
        <f>IF(OR(WWWW[[#This Row],['#_Non-functional latrines]]="",WWWW[[#This Row],['#_Non-functional latrines]]=0),0,WWWW[[#This Row],['#_Non-functional latrines]]/(WWWW[[#This Row],['#_Constructed latrines_by_WASHAgencies]]+WWWW[[#This Row],['#_Non Cluster partner latrines]]))</f>
        <v>0</v>
      </c>
      <c r="CU146" s="80">
        <f>IF(500*(WWWW[[#This Row],['#_male hygiene promoters]]+WWWW[[#This Row],['#_female hygiene promoters]])&gt;WWWW[[#This Row],[Total PoP ]],WWWW[[#This Row],[Total PoP ]],500*(WWWW[[#This Row],['#_male hygiene promoters]]+WWWW[[#This Row],['#_female hygiene promoters]]))</f>
        <v>499</v>
      </c>
      <c r="CV146"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46"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46" s="81">
        <f>IF(WWWW[[#This Row],['# People with access to soap]]&gt;WWWW[[#This Row],['# People with access to Sanity Pads]],WWWW[[#This Row],['# People with access to soap]],WWWW[[#This Row],['# People with access to Sanity Pads]])</f>
        <v>0</v>
      </c>
      <c r="CY146" s="81">
        <f>IF(WWWW[[#This Row],['# people reached by regular dedicated hygiene promotion_5]]&gt;WWWW[[#This Row],['# People received regular supply of hygiene items_6]],WWWW[[#This Row],['# people reached by regular dedicated hygiene promotion_5]],WWWW[[#This Row],['# People received regular supply of hygiene items_6]])</f>
        <v>499</v>
      </c>
      <c r="CZ146" s="79">
        <f>IF(WWWW[[#This Row],[HRP3]]/WWWW[[#This Row],[Total PoP ]]&gt;100%,100%,WWWW[[#This Row],[HRP3]]/WWWW[[#This Row],[Total PoP ]])</f>
        <v>1</v>
      </c>
      <c r="DA146" s="83">
        <f>1-WWWW[[#This Row],[Hygiene Coverage%]]</f>
        <v>0</v>
      </c>
      <c r="DB146" s="82">
        <f>WWWW[[#This Row],['# people reached by regular dedicated hygiene promotion_5]]/WWWW[[#This Row],[Total PoP ]]</f>
        <v>1</v>
      </c>
      <c r="DC146" s="82">
        <f>IF(WWWW[[#This Row],['#_households that received standard amount of soap for this quarter]]/WWWW[[#This Row],[Total HH]]&gt;1,1,WWWW[[#This Row],['#_households that received standard amount of soap for this quarter]]/WWWW[[#This Row],[Total HH]])</f>
        <v>0</v>
      </c>
      <c r="DD146" s="82">
        <f>IF(WWWW[[#This Row],['#_households that received standard amount of sanitary pads for this quarter]]/WWWW[[#This Row],[Total HH]]&gt;1,1,WWWW[[#This Row],['#_households that received standard amount of sanitary pads for this quarter]]/WWWW[[#This Row],[Total HH]])</f>
        <v>0</v>
      </c>
      <c r="DE146" s="81">
        <f>WWWW[[#This Row],['#_Constructed/Existing hand washing stations]]-WWWW[[#This Row],['#_Non-Functional_hand_washing_stations]]</f>
        <v>0</v>
      </c>
      <c r="DF146" s="667">
        <f>IF(WWWW[[#This Row],['# Functional hand washing stations during reporting period]]*20&gt;WWWW[[#This Row],[Total HH]],WWWW[[#This Row],[Total HH]],WWWW[[#This Row],['# Functional hand washing stations during reporting period]]*20)</f>
        <v>0</v>
      </c>
      <c r="DG146" s="80">
        <f>IF(WWWW[[#This Row],[Is sufficient soap available for TLS? (Yes/No)]]="yes",WWWW[[#This Row],['#_Constructed/Existing hand washing stations at TLS]],0)</f>
        <v>0</v>
      </c>
      <c r="DH146" s="667">
        <f>IF(WWWW[[#This Row],['# Functional hand washing stations during reporting period]]*100&gt;WWWW[[#This Row],[Total PoP ]],WWWW[[#This Row],[Total PoP ]],WWWW[[#This Row],['# Functional hand washing stations during reporting period]]*100)</f>
        <v>0</v>
      </c>
      <c r="DI146" s="667" t="str">
        <f>IF(WWWW[[#This Row],['#_students at TLS_CFS]]="","No","Yes")</f>
        <v>No</v>
      </c>
      <c r="DJ146" s="245" t="str">
        <f>VLOOKUP(WWWW[[#This Row],[Site Name]],SiteDB6[[Site Name]:[CCCM Management]],6,FALSE)</f>
        <v>Yes</v>
      </c>
      <c r="DK146" s="245" t="str">
        <f>VLOOKUP(WWWW[[#This Row],[Site Name]],SiteDB6[[Site Name]:[CCCM Focal Agency]],7,FALSE)</f>
        <v>KBC-MYT</v>
      </c>
      <c r="DL146" s="245" t="str">
        <f>VLOOKUP(WWWW[[#This Row],[Site Name]],SiteDB6[[Site Name]:[Location Type 1]],9,FALSE)</f>
        <v>Camp</v>
      </c>
      <c r="DM146" s="245" t="str">
        <f>VLOOKUP(WWWW[[#This Row],[Site Name]],SiteDB6[[Site Name]:[Type of Accommodation]],10,FALSE)</f>
        <v>Camp</v>
      </c>
      <c r="DN146" s="245" t="str">
        <f>VLOOKUP(WWWW[[#This Row],[Site Name]],SiteDB6[[Site Name]:[Ethnic or GCA/NGCA]],11,FALSE)</f>
        <v>GCA</v>
      </c>
      <c r="DO146" s="245">
        <f>VLOOKUP(WWWW[[#This Row],[Site Name]],SiteDB6[[Site Name]:[Lat]],12,FALSE)</f>
        <v>25.440928</v>
      </c>
      <c r="DP146" s="245">
        <f>VLOOKUP(WWWW[[#This Row],[Site Name]],SiteDB6[[Site Name]:[Long]],13,FALSE)</f>
        <v>97.419403000000003</v>
      </c>
      <c r="DQ146" s="245" t="str">
        <f>VLOOKUP(WWWW[[#This Row],[Site Name]],SiteDB6[[Site Name]:[Pcode]],3,FALSE)</f>
        <v>MMR001CMP009</v>
      </c>
      <c r="DR146" s="215" t="str">
        <f t="shared" si="5"/>
        <v>Covered</v>
      </c>
      <c r="DS146" s="215"/>
      <c r="DT146" s="20"/>
      <c r="DU146" s="20"/>
      <c r="DV146" s="20"/>
      <c r="DW146" s="20"/>
      <c r="DX146" s="20"/>
      <c r="DY146" s="20"/>
      <c r="DZ146" s="20"/>
      <c r="EA146" s="20"/>
      <c r="EB146" s="20"/>
      <c r="EC146" s="20"/>
      <c r="ED146" s="20"/>
      <c r="EE146" s="20"/>
      <c r="EF146" s="20"/>
      <c r="EG146" s="20"/>
      <c r="EH146" s="20"/>
    </row>
    <row r="147" spans="1:138" ht="15.75" customHeight="1">
      <c r="A147" s="259" t="s">
        <v>2525</v>
      </c>
      <c r="B147" s="663" t="s">
        <v>38</v>
      </c>
      <c r="C147" s="663" t="s">
        <v>38</v>
      </c>
      <c r="D147" s="663" t="s">
        <v>3120</v>
      </c>
      <c r="E147" s="663" t="s">
        <v>39</v>
      </c>
      <c r="F147" s="663" t="s">
        <v>165</v>
      </c>
      <c r="G147" s="663" t="str">
        <f>VLOOKUP(WWWW[[#This Row],[Site Name]],SiteDB6[[Site Name]:[Location Type]],8,FALSE)</f>
        <v>Camp</v>
      </c>
      <c r="H147" s="663" t="s">
        <v>247</v>
      </c>
      <c r="I147" s="700">
        <v>11</v>
      </c>
      <c r="J147" s="700">
        <v>52</v>
      </c>
      <c r="K147" s="642">
        <v>43466</v>
      </c>
      <c r="L147" s="78" t="s">
        <v>2981</v>
      </c>
      <c r="M147" s="700"/>
      <c r="N147" s="700"/>
      <c r="O147" s="700"/>
      <c r="P147" s="700"/>
      <c r="Q147" s="663" t="s">
        <v>43</v>
      </c>
      <c r="R147" s="700"/>
      <c r="S147" s="700"/>
      <c r="T147" s="700">
        <v>1</v>
      </c>
      <c r="U147" s="700"/>
      <c r="V147" s="700"/>
      <c r="W147" s="700"/>
      <c r="X147" s="700"/>
      <c r="Y147" s="700"/>
      <c r="Z147" s="700"/>
      <c r="AA147" s="700"/>
      <c r="AB147" s="700"/>
      <c r="AC147" s="700"/>
      <c r="AD147" s="700"/>
      <c r="AE147" s="700"/>
      <c r="AF147" s="700"/>
      <c r="AG147" s="700"/>
      <c r="AH147" s="700"/>
      <c r="AI147" s="700"/>
      <c r="AJ147" s="700"/>
      <c r="AK147" s="700"/>
      <c r="AL147" s="700"/>
      <c r="AM147" s="700"/>
      <c r="AN147" s="700"/>
      <c r="AO147" s="667"/>
      <c r="AP147" s="719">
        <v>7</v>
      </c>
      <c r="AQ147" s="663"/>
      <c r="AR147" s="663"/>
      <c r="AS147" s="667"/>
      <c r="AT147" s="663"/>
      <c r="AU147" s="667"/>
      <c r="AV147" s="667"/>
      <c r="AW147" s="81"/>
      <c r="AX147" s="81" t="s">
        <v>43</v>
      </c>
      <c r="AY147" s="81" t="s">
        <v>145</v>
      </c>
      <c r="AZ147" s="81"/>
      <c r="BA147" s="81"/>
      <c r="BB147" s="667"/>
      <c r="BC147" s="667"/>
      <c r="BD147" s="667"/>
      <c r="BE147" s="667"/>
      <c r="BF147" s="667"/>
      <c r="BG147" s="720">
        <v>2</v>
      </c>
      <c r="BH147" s="667"/>
      <c r="BI147" s="700"/>
      <c r="BJ147" s="700">
        <v>1</v>
      </c>
      <c r="BK147" s="722">
        <v>11</v>
      </c>
      <c r="BL147" s="667"/>
      <c r="BM147" s="667"/>
      <c r="BN147" s="667"/>
      <c r="BO147" s="82"/>
      <c r="BP147" s="667"/>
      <c r="BQ147" s="79" t="str">
        <f>IFERROR(WWWW[[#This Row],['#_Water sources treated]]/WWWW[[#This Row],['#_Water sources tested for contamination]],"no test")</f>
        <v>no test</v>
      </c>
      <c r="BR147" s="82" t="str">
        <f>IFERROR(WWWW[[#This Row],['#_Household received remediation action due to contamination]]/WWWW[[#This Row],['#_Household water samples tested for contamination]],"no test")</f>
        <v>no test</v>
      </c>
      <c r="BS147" s="81" t="str">
        <f>IF(AND(WWWW[[#This Row],[% of water sources treated]]="no test",WWWW[[#This Row],[% Household received corrective actions]]="no test"),"No Test","Tested")</f>
        <v>No Test</v>
      </c>
      <c r="BT147" s="81">
        <f>WWWW[[#This Row],['#_Constructed/existing protected hand dug well]]-WWWW[[#This Row],['#_Non-functional protected hand dug well]]</f>
        <v>1</v>
      </c>
      <c r="BU147" s="81">
        <f>(WWWW[[#This Row],['#_Constructed/Existing tube wells/boreholes/handpumps_WASH_agency]]+WWWW[[#This Row],['#_Non-Cluster partner water tube-wells/boreholes/handpumps]])-WWWW[[#This Row],['#_Non-functional tube wells/boreholes/handpumps]]</f>
        <v>0</v>
      </c>
      <c r="BV147" s="81">
        <f>WWWW[[#This Row],['#_Constructed/Existingwater storage tank with gravity fed reticulation system]]-WWWW[[#This Row],['#_Non-functional storage tank gravity fed reticulation system]]</f>
        <v>0</v>
      </c>
      <c r="BW147" s="81">
        <f>WWWW[[#This Row],['#_Water boating or water trucking]]</f>
        <v>0</v>
      </c>
      <c r="BX147" s="81">
        <f>WWWW[[#This Row],['#_Constructed/Existing water distribution system from river or natural spring]]</f>
        <v>0</v>
      </c>
      <c r="BY147"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47"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47" s="82">
        <f>IF(WWWW[[#This Row],[Location Type 1]]="Village",WWWW[[#This Row],[Access to safe drinking water for Village]],WWWW[[#This Row],[Access to safe drinking water for Camp]])</f>
        <v>1</v>
      </c>
      <c r="CB147" s="80">
        <f>WWWW[[#This Row],[%Equitable and continuous access to sufficient quantity of safe drinking water]]*WWWW[[#This Row],[Total PoP ]]</f>
        <v>52</v>
      </c>
      <c r="CC147" s="82">
        <f>IF((WWWW[[#This Row],['#_Constructed/Existing protected/fenced ponds]]*250)/WWWW[[#This Row],[Total PoP ]]&gt;1,1,(WWWW[[#This Row],['#_Constructed/Existing protected/fenced ponds]]*250)/WWWW[[#This Row],[Total PoP ]])</f>
        <v>0</v>
      </c>
      <c r="CD147" s="80">
        <f>WWWW[[#This Row],[% Access to unimproved water points]]*WWWW[[#This Row],[Total PoP ]]</f>
        <v>0</v>
      </c>
      <c r="CE147"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47"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52</v>
      </c>
      <c r="CG147" s="80">
        <f>WWWW[[#This Row],[HRP1]]/500</f>
        <v>0.104</v>
      </c>
      <c r="CH147" s="79">
        <f>1-WWWW[[#This Row],[% Equitable and continuous access to sufficient quantity of domestic water]]</f>
        <v>0</v>
      </c>
      <c r="CI147" s="80">
        <f>WWWW[[#This Row],[%equitable and continuous access to sufficient quantity of safe drinking and domestic water''s GAP]]*WWWW[[#This Row],[Total PoP ]]</f>
        <v>0</v>
      </c>
      <c r="CJ147" s="81">
        <f>IF(WWWW[[#This Row],[Total required water points]]-WWWW[[#This Row],['#Water points coverage]]&lt;0,0,WWWW[[#This Row],[Total required water points]]-WWWW[[#This Row],['#Water points coverage]])</f>
        <v>0.89600000000000002</v>
      </c>
      <c r="CK147" s="81">
        <f>ROUND(IF(WWWW[[#This Row],[Total PoP ]]&lt;500,1,WWWW[[#This Row],[Total PoP ]]/500),0)</f>
        <v>1</v>
      </c>
      <c r="CL147" s="81">
        <f>(WWWW[[#This Row],['#_Constructed latrines_by_WASHAgencies]]+WWWW[[#This Row],['#_Non Cluster partner latrines]])-WWWW[[#This Row],['#_Non-functional latrines]]</f>
        <v>7</v>
      </c>
      <c r="CM147"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47"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52</v>
      </c>
      <c r="CO147"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47" s="81">
        <f>IF(WWWW[[#This Row],[Location Type 1]]="Village","NA",IF(WWWW[[#This Row],['#_Constructed/Existing latrines in TLS]]*50&gt;WWWW[[#This Row],['#_students at TLS_CFS]],WWWW[[#This Row],['#_students at TLS_CFS]],(WWWW[[#This Row],['#_Constructed/Existing latrines in TLS]]*50)))</f>
        <v>0</v>
      </c>
      <c r="CQ147" s="81">
        <f>ROUND(IF(WWWW[[#This Row],[Location Type 1]]="camp",WWWW[[#This Row],[Total PoP ]]/20,IF(WWWW[[#This Row],[Location Type 1]]="Temporary Location",WWWW[[#This Row],[Total PoP ]]/50,(WWWW[[#This Row],[Total PoP ]]/6))),0)</f>
        <v>3</v>
      </c>
      <c r="CR147" s="80">
        <f>IF(WWWW[[#This Row],[Total required Latrines]]-(WWWW[[#This Row],['#_Constructed latrines_by_WASHAgencies]]+WWWW[[#This Row],['#_Non Cluster partner latrines]])&lt;0,0,WWWW[[#This Row],[Total required Latrines]]-(WWWW[[#This Row],['#_Constructed latrines_by_WASHAgencies]]+WWWW[[#This Row],['#_Non Cluster partner latrines]]))</f>
        <v>0</v>
      </c>
      <c r="CS147" s="79">
        <f>1-WWWW[[#This Row],[% people access to functioning Latrine]]</f>
        <v>0</v>
      </c>
      <c r="CT147" s="83">
        <f>IF(OR(WWWW[[#This Row],['#_Non-functional latrines]]="",WWWW[[#This Row],['#_Non-functional latrines]]=0),0,WWWW[[#This Row],['#_Non-functional latrines]]/(WWWW[[#This Row],['#_Constructed latrines_by_WASHAgencies]]+WWWW[[#This Row],['#_Non Cluster partner latrines]]))</f>
        <v>0</v>
      </c>
      <c r="CU147" s="80">
        <f>IF(500*(WWWW[[#This Row],['#_male hygiene promoters]]+WWWW[[#This Row],['#_female hygiene promoters]])&gt;WWWW[[#This Row],[Total PoP ]],WWWW[[#This Row],[Total PoP ]],500*(WWWW[[#This Row],['#_male hygiene promoters]]+WWWW[[#This Row],['#_female hygiene promoters]]))</f>
        <v>52</v>
      </c>
      <c r="CV147"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52</v>
      </c>
      <c r="CW147"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47" s="81">
        <f>IF(WWWW[[#This Row],['# People with access to soap]]&gt;WWWW[[#This Row],['# People with access to Sanity Pads]],WWWW[[#This Row],['# People with access to soap]],WWWW[[#This Row],['# People with access to Sanity Pads]])</f>
        <v>52</v>
      </c>
      <c r="CY147" s="81">
        <f>IF(WWWW[[#This Row],['# people reached by regular dedicated hygiene promotion_5]]&gt;WWWW[[#This Row],['# People received regular supply of hygiene items_6]],WWWW[[#This Row],['# people reached by regular dedicated hygiene promotion_5]],WWWW[[#This Row],['# People received regular supply of hygiene items_6]])</f>
        <v>52</v>
      </c>
      <c r="CZ147" s="79">
        <f>IF(WWWW[[#This Row],[HRP3]]/WWWW[[#This Row],[Total PoP ]]&gt;100%,100%,WWWW[[#This Row],[HRP3]]/WWWW[[#This Row],[Total PoP ]])</f>
        <v>1</v>
      </c>
      <c r="DA147" s="83">
        <f>1-WWWW[[#This Row],[Hygiene Coverage%]]</f>
        <v>0</v>
      </c>
      <c r="DB147" s="82">
        <f>WWWW[[#This Row],['# people reached by regular dedicated hygiene promotion_5]]/WWWW[[#This Row],[Total PoP ]]</f>
        <v>1</v>
      </c>
      <c r="DC147" s="82">
        <f>IF(WWWW[[#This Row],['#_households that received standard amount of soap for this quarter]]/WWWW[[#This Row],[Total HH]]&gt;1,1,WWWW[[#This Row],['#_households that received standard amount of soap for this quarter]]/WWWW[[#This Row],[Total HH]])</f>
        <v>1</v>
      </c>
      <c r="DD147" s="82">
        <f>IF(WWWW[[#This Row],['#_households that received standard amount of sanitary pads for this quarter]]/WWWW[[#This Row],[Total HH]]&gt;1,1,WWWW[[#This Row],['#_households that received standard amount of sanitary pads for this quarter]]/WWWW[[#This Row],[Total HH]])</f>
        <v>0</v>
      </c>
      <c r="DE147" s="81">
        <f>WWWW[[#This Row],['#_Constructed/Existing hand washing stations]]-WWWW[[#This Row],['#_Non-Functional_hand_washing_stations]]</f>
        <v>0</v>
      </c>
      <c r="DF147" s="667">
        <f>IF(WWWW[[#This Row],['# Functional hand washing stations during reporting period]]*20&gt;WWWW[[#This Row],[Total HH]],WWWW[[#This Row],[Total HH]],WWWW[[#This Row],['# Functional hand washing stations during reporting period]]*20)</f>
        <v>0</v>
      </c>
      <c r="DG147" s="80">
        <f>IF(WWWW[[#This Row],[Is sufficient soap available for TLS? (Yes/No)]]="yes",WWWW[[#This Row],['#_Constructed/Existing hand washing stations at TLS]],0)</f>
        <v>0</v>
      </c>
      <c r="DH147" s="667">
        <f>IF(WWWW[[#This Row],['# Functional hand washing stations during reporting period]]*100&gt;WWWW[[#This Row],[Total PoP ]],WWWW[[#This Row],[Total PoP ]],WWWW[[#This Row],['# Functional hand washing stations during reporting period]]*100)</f>
        <v>0</v>
      </c>
      <c r="DI147" s="667" t="str">
        <f>IF(WWWW[[#This Row],['#_students at TLS_CFS]]="","No","Yes")</f>
        <v>No</v>
      </c>
      <c r="DJ147" s="245" t="str">
        <f>VLOOKUP(WWWW[[#This Row],[Site Name]],SiteDB6[[Site Name]:[CCCM Management]],6,FALSE)</f>
        <v>Yes</v>
      </c>
      <c r="DK147" s="245" t="str">
        <f>VLOOKUP(WWWW[[#This Row],[Site Name]],SiteDB6[[Site Name]:[CCCM Focal Agency]],7,FALSE)</f>
        <v>KMSS-MYT</v>
      </c>
      <c r="DL147" s="245" t="str">
        <f>VLOOKUP(WWWW[[#This Row],[Site Name]],SiteDB6[[Site Name]:[Location Type 1]],9,FALSE)</f>
        <v>Camp</v>
      </c>
      <c r="DM147" s="245" t="str">
        <f>VLOOKUP(WWWW[[#This Row],[Site Name]],SiteDB6[[Site Name]:[Type of Accommodation]],10,FALSE)</f>
        <v>Camp</v>
      </c>
      <c r="DN147" s="245" t="str">
        <f>VLOOKUP(WWWW[[#This Row],[Site Name]],SiteDB6[[Site Name]:[Ethnic or GCA/NGCA]],11,FALSE)</f>
        <v>GCA</v>
      </c>
      <c r="DO147" s="245">
        <f>VLOOKUP(WWWW[[#This Row],[Site Name]],SiteDB6[[Site Name]:[Lat]],12,FALSE)</f>
        <v>24.764800000000001</v>
      </c>
      <c r="DP147" s="245">
        <f>VLOOKUP(WWWW[[#This Row],[Site Name]],SiteDB6[[Site Name]:[Long]],13,FALSE)</f>
        <v>96.367059999999995</v>
      </c>
      <c r="DQ147" s="245" t="str">
        <f>VLOOKUP(WWWW[[#This Row],[Site Name]],SiteDB6[[Site Name]:[Pcode]],3,FALSE)</f>
        <v>MMR001CMP080</v>
      </c>
      <c r="DR147" s="215" t="str">
        <f t="shared" si="5"/>
        <v>Covered</v>
      </c>
      <c r="DS147" s="215"/>
      <c r="DT147" s="20"/>
      <c r="DU147" s="20"/>
      <c r="DV147" s="20"/>
      <c r="DW147" s="20"/>
      <c r="DX147" s="20"/>
      <c r="DY147" s="20"/>
      <c r="DZ147" s="20"/>
      <c r="EA147" s="20"/>
      <c r="EB147" s="20"/>
      <c r="EC147" s="20"/>
      <c r="ED147" s="20"/>
      <c r="EE147" s="20"/>
      <c r="EF147" s="20"/>
      <c r="EG147" s="20"/>
      <c r="EH147" s="20"/>
    </row>
    <row r="148" spans="1:138" ht="15.75" customHeight="1">
      <c r="A148" s="259" t="s">
        <v>2525</v>
      </c>
      <c r="B148" s="663" t="s">
        <v>149</v>
      </c>
      <c r="C148" s="663" t="s">
        <v>149</v>
      </c>
      <c r="D148" s="663"/>
      <c r="E148" s="663" t="s">
        <v>39</v>
      </c>
      <c r="F148" s="663" t="s">
        <v>222</v>
      </c>
      <c r="G148" s="663" t="str">
        <f>VLOOKUP(WWWW[[#This Row],[Site Name]],SiteDB6[[Site Name]:[Location Type]],8,FALSE)</f>
        <v>Camp_not registered</v>
      </c>
      <c r="H148" s="663" t="s">
        <v>2094</v>
      </c>
      <c r="I148" s="700">
        <v>63</v>
      </c>
      <c r="J148" s="700">
        <v>270</v>
      </c>
      <c r="K148" s="642"/>
      <c r="L148" s="78"/>
      <c r="M148" s="700"/>
      <c r="N148" s="700"/>
      <c r="O148" s="700"/>
      <c r="P148" s="700"/>
      <c r="Q148" s="77"/>
      <c r="R148" s="377"/>
      <c r="S148" s="377"/>
      <c r="T148" s="700">
        <v>0</v>
      </c>
      <c r="U148" s="377"/>
      <c r="V148" s="377"/>
      <c r="W148" s="700">
        <v>0</v>
      </c>
      <c r="X148" s="377"/>
      <c r="Y148" s="377"/>
      <c r="Z148" s="377"/>
      <c r="AA148" s="700"/>
      <c r="AB148" s="377"/>
      <c r="AC148" s="377"/>
      <c r="AD148" s="377"/>
      <c r="AE148" s="377"/>
      <c r="AF148" s="377"/>
      <c r="AG148" s="377"/>
      <c r="AH148" s="700">
        <v>0</v>
      </c>
      <c r="AI148" s="377"/>
      <c r="AJ148" s="377"/>
      <c r="AK148" s="377"/>
      <c r="AL148" s="377"/>
      <c r="AM148" s="377"/>
      <c r="AN148" s="377"/>
      <c r="AO148" s="215"/>
      <c r="AP148" s="700">
        <v>0</v>
      </c>
      <c r="AQ148" s="377"/>
      <c r="AR148" s="77"/>
      <c r="AS148" s="377"/>
      <c r="AT148" s="377"/>
      <c r="AU148" s="377"/>
      <c r="AV148" s="377"/>
      <c r="AW148" s="700">
        <v>0</v>
      </c>
      <c r="AX148" s="694" t="s">
        <v>144</v>
      </c>
      <c r="AY148" s="694" t="s">
        <v>148</v>
      </c>
      <c r="AZ148" s="377"/>
      <c r="BA148" s="377"/>
      <c r="BB148" s="377"/>
      <c r="BC148" s="215"/>
      <c r="BD148" s="377"/>
      <c r="BE148" s="377"/>
      <c r="BF148" s="377"/>
      <c r="BG148" s="377">
        <v>0</v>
      </c>
      <c r="BH148" s="377"/>
      <c r="BI148" s="377"/>
      <c r="BJ148" s="377"/>
      <c r="BK148" s="377"/>
      <c r="BL148" s="377"/>
      <c r="BM148" s="215"/>
      <c r="BN148" s="80"/>
      <c r="BO148" s="82"/>
      <c r="BP148" s="215"/>
      <c r="BQ148" s="79" t="str">
        <f>IFERROR(WWWW[[#This Row],['#_Water sources treated]]/WWWW[[#This Row],['#_Water sources tested for contamination]],"no test")</f>
        <v>no test</v>
      </c>
      <c r="BR148" s="82" t="str">
        <f>IFERROR(WWWW[[#This Row],['#_Household received remediation action due to contamination]]/WWWW[[#This Row],['#_Household water samples tested for contamination]],"no test")</f>
        <v>no test</v>
      </c>
      <c r="BS148" s="81" t="str">
        <f>IF(AND(WWWW[[#This Row],[% of water sources treated]]="no test",WWWW[[#This Row],[% Household received corrective actions]]="no test"),"No Test","Tested")</f>
        <v>No Test</v>
      </c>
      <c r="BT148" s="81">
        <f>WWWW[[#This Row],['#_Constructed/existing protected hand dug well]]-WWWW[[#This Row],['#_Non-functional protected hand dug well]]</f>
        <v>0</v>
      </c>
      <c r="BU148" s="81">
        <f>(WWWW[[#This Row],['#_Constructed/Existing tube wells/boreholes/handpumps_WASH_agency]]+WWWW[[#This Row],['#_Non-Cluster partner water tube-wells/boreholes/handpumps]])-WWWW[[#This Row],['#_Non-functional tube wells/boreholes/handpumps]]</f>
        <v>0</v>
      </c>
      <c r="BV148" s="81">
        <f>WWWW[[#This Row],['#_Constructed/Existingwater storage tank with gravity fed reticulation system]]-WWWW[[#This Row],['#_Non-functional storage tank gravity fed reticulation system]]</f>
        <v>0</v>
      </c>
      <c r="BW148" s="81">
        <f>WWWW[[#This Row],['#_Water boating or water trucking]]</f>
        <v>0</v>
      </c>
      <c r="BX148" s="81">
        <f>WWWW[[#This Row],['#_Constructed/Existing water distribution system from river or natural spring]]</f>
        <v>0</v>
      </c>
      <c r="BY148"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48"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48" s="82">
        <f>IF(WWWW[[#This Row],[Location Type 1]]="Village",WWWW[[#This Row],[Access to safe drinking water for Village]],WWWW[[#This Row],[Access to safe drinking water for Camp]])</f>
        <v>0</v>
      </c>
      <c r="CB148" s="80">
        <f>WWWW[[#This Row],[%Equitable and continuous access to sufficient quantity of safe drinking water]]*WWWW[[#This Row],[Total PoP ]]</f>
        <v>0</v>
      </c>
      <c r="CC148" s="82">
        <f>IF((WWWW[[#This Row],['#_Constructed/Existing protected/fenced ponds]]*250)/WWWW[[#This Row],[Total PoP ]]&gt;1,1,(WWWW[[#This Row],['#_Constructed/Existing protected/fenced ponds]]*250)/WWWW[[#This Row],[Total PoP ]])</f>
        <v>0</v>
      </c>
      <c r="CD148" s="80">
        <f>WWWW[[#This Row],[% Access to unimproved water points]]*WWWW[[#This Row],[Total PoP ]]</f>
        <v>0</v>
      </c>
      <c r="CE148"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48"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48" s="80">
        <f>WWWW[[#This Row],[HRP1]]/500</f>
        <v>0</v>
      </c>
      <c r="CH148" s="79">
        <f>1-WWWW[[#This Row],[% Equitable and continuous access to sufficient quantity of domestic water]]</f>
        <v>1</v>
      </c>
      <c r="CI148" s="80">
        <f>WWWW[[#This Row],[%equitable and continuous access to sufficient quantity of safe drinking and domestic water''s GAP]]*WWWW[[#This Row],[Total PoP ]]</f>
        <v>270</v>
      </c>
      <c r="CJ148" s="81">
        <f>IF(WWWW[[#This Row],[Total required water points]]-WWWW[[#This Row],['#Water points coverage]]&lt;0,0,WWWW[[#This Row],[Total required water points]]-WWWW[[#This Row],['#Water points coverage]])</f>
        <v>1</v>
      </c>
      <c r="CK148" s="81">
        <f>ROUND(IF(WWWW[[#This Row],[Total PoP ]]&lt;500,1,WWWW[[#This Row],[Total PoP ]]/500),0)</f>
        <v>1</v>
      </c>
      <c r="CL148" s="81">
        <f>(WWWW[[#This Row],['#_Constructed latrines_by_WASHAgencies]]+WWWW[[#This Row],['#_Non Cluster partner latrines]])-WWWW[[#This Row],['#_Non-functional latrines]]</f>
        <v>0</v>
      </c>
      <c r="CM148"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48"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48"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48" s="81">
        <f>IF(WWWW[[#This Row],[Location Type 1]]="Village","NA",IF(WWWW[[#This Row],['#_Constructed/Existing latrines in TLS]]*50&gt;WWWW[[#This Row],['#_students at TLS_CFS]],WWWW[[#This Row],['#_students at TLS_CFS]],(WWWW[[#This Row],['#_Constructed/Existing latrines in TLS]]*50)))</f>
        <v>0</v>
      </c>
      <c r="CQ148" s="81">
        <f>ROUND(IF(WWWW[[#This Row],[Location Type 1]]="camp",WWWW[[#This Row],[Total PoP ]]/20,IF(WWWW[[#This Row],[Location Type 1]]="Temporary Location",WWWW[[#This Row],[Total PoP ]]/50,(WWWW[[#This Row],[Total PoP ]]/6))),0)</f>
        <v>14</v>
      </c>
      <c r="CR148" s="80">
        <f>IF(WWWW[[#This Row],[Total required Latrines]]-(WWWW[[#This Row],['#_Constructed latrines_by_WASHAgencies]]+WWWW[[#This Row],['#_Non Cluster partner latrines]])&lt;0,0,WWWW[[#This Row],[Total required Latrines]]-(WWWW[[#This Row],['#_Constructed latrines_by_WASHAgencies]]+WWWW[[#This Row],['#_Non Cluster partner latrines]]))</f>
        <v>14</v>
      </c>
      <c r="CS148" s="79">
        <f>1-WWWW[[#This Row],[% people access to functioning Latrine]]</f>
        <v>1</v>
      </c>
      <c r="CT148" s="83">
        <f>IF(OR(WWWW[[#This Row],['#_Non-functional latrines]]="",WWWW[[#This Row],['#_Non-functional latrines]]=0),0,WWWW[[#This Row],['#_Non-functional latrines]]/(WWWW[[#This Row],['#_Constructed latrines_by_WASHAgencies]]+WWWW[[#This Row],['#_Non Cluster partner latrines]]))</f>
        <v>0</v>
      </c>
      <c r="CU148" s="80">
        <f>IF(500*(WWWW[[#This Row],['#_male hygiene promoters]]+WWWW[[#This Row],['#_female hygiene promoters]])&gt;WWWW[[#This Row],[Total PoP ]],WWWW[[#This Row],[Total PoP ]],500*(WWWW[[#This Row],['#_male hygiene promoters]]+WWWW[[#This Row],['#_female hygiene promoters]]))</f>
        <v>0</v>
      </c>
      <c r="CV148"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48"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48" s="81">
        <f>IF(WWWW[[#This Row],['# People with access to soap]]&gt;WWWW[[#This Row],['# People with access to Sanity Pads]],WWWW[[#This Row],['# People with access to soap]],WWWW[[#This Row],['# People with access to Sanity Pads]])</f>
        <v>0</v>
      </c>
      <c r="CY148"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48" s="79">
        <f>IF(WWWW[[#This Row],[HRP3]]/WWWW[[#This Row],[Total PoP ]]&gt;100%,100%,WWWW[[#This Row],[HRP3]]/WWWW[[#This Row],[Total PoP ]])</f>
        <v>0</v>
      </c>
      <c r="DA148" s="83">
        <f>1-WWWW[[#This Row],[Hygiene Coverage%]]</f>
        <v>1</v>
      </c>
      <c r="DB148" s="82">
        <f>WWWW[[#This Row],['# people reached by regular dedicated hygiene promotion_5]]/WWWW[[#This Row],[Total PoP ]]</f>
        <v>0</v>
      </c>
      <c r="DC148" s="82">
        <f>IF(WWWW[[#This Row],['#_households that received standard amount of soap for this quarter]]/WWWW[[#This Row],[Total HH]]&gt;1,1,WWWW[[#This Row],['#_households that received standard amount of soap for this quarter]]/WWWW[[#This Row],[Total HH]])</f>
        <v>0</v>
      </c>
      <c r="DD148" s="82">
        <f>IF(WWWW[[#This Row],['#_households that received standard amount of sanitary pads for this quarter]]/WWWW[[#This Row],[Total HH]]&gt;1,1,WWWW[[#This Row],['#_households that received standard amount of sanitary pads for this quarter]]/WWWW[[#This Row],[Total HH]])</f>
        <v>0</v>
      </c>
      <c r="DE148" s="81">
        <f>WWWW[[#This Row],['#_Constructed/Existing hand washing stations]]-WWWW[[#This Row],['#_Non-Functional_hand_washing_stations]]</f>
        <v>0</v>
      </c>
      <c r="DF148" s="667">
        <f>IF(WWWW[[#This Row],['# Functional hand washing stations during reporting period]]*20&gt;WWWW[[#This Row],[Total HH]],WWWW[[#This Row],[Total HH]],WWWW[[#This Row],['# Functional hand washing stations during reporting period]]*20)</f>
        <v>0</v>
      </c>
      <c r="DG148" s="80">
        <f>IF(WWWW[[#This Row],[Is sufficient soap available for TLS? (Yes/No)]]="yes",WWWW[[#This Row],['#_Constructed/Existing hand washing stations at TLS]],0)</f>
        <v>0</v>
      </c>
      <c r="DH148" s="667">
        <f>IF(WWWW[[#This Row],['# Functional hand washing stations during reporting period]]*100&gt;WWWW[[#This Row],[Total PoP ]],WWWW[[#This Row],[Total PoP ]],WWWW[[#This Row],['# Functional hand washing stations during reporting period]]*100)</f>
        <v>0</v>
      </c>
      <c r="DI148" s="667" t="str">
        <f>IF(WWWW[[#This Row],['#_students at TLS_CFS]]="","No","Yes")</f>
        <v>No</v>
      </c>
      <c r="DJ148" s="245">
        <f>VLOOKUP(WWWW[[#This Row],[Site Name]],SiteDB6[[Site Name]:[CCCM Management]],6,FALSE)</f>
        <v>0</v>
      </c>
      <c r="DK148" s="245">
        <f>VLOOKUP(WWWW[[#This Row],[Site Name]],SiteDB6[[Site Name]:[CCCM Focal Agency]],7,FALSE)</f>
        <v>0</v>
      </c>
      <c r="DL148" s="245" t="str">
        <f>VLOOKUP(WWWW[[#This Row],[Site Name]],SiteDB6[[Site Name]:[Location Type 1]],9,FALSE)</f>
        <v>Camp</v>
      </c>
      <c r="DM148" s="245" t="str">
        <f>VLOOKUP(WWWW[[#This Row],[Site Name]],SiteDB6[[Site Name]:[Type of Accommodation]],10,FALSE)</f>
        <v>Camp like setting</v>
      </c>
      <c r="DN148" s="245" t="str">
        <f>VLOOKUP(WWWW[[#This Row],[Site Name]],SiteDB6[[Site Name]:[Ethnic or GCA/NGCA]],11,FALSE)</f>
        <v>NGCA</v>
      </c>
      <c r="DO148" s="245">
        <f>VLOOKUP(WWWW[[#This Row],[Site Name]],SiteDB6[[Site Name]:[Lat]],12,FALSE)</f>
        <v>0</v>
      </c>
      <c r="DP148" s="245">
        <f>VLOOKUP(WWWW[[#This Row],[Site Name]],SiteDB6[[Site Name]:[Long]],13,FALSE)</f>
        <v>0</v>
      </c>
      <c r="DQ148" s="245">
        <f>VLOOKUP(WWWW[[#This Row],[Site Name]],SiteDB6[[Site Name]:[Pcode]],3,FALSE)</f>
        <v>0</v>
      </c>
      <c r="DR148" s="215" t="str">
        <f t="shared" si="5"/>
        <v>Covered</v>
      </c>
      <c r="DS148" s="215"/>
      <c r="DT148" s="20"/>
      <c r="DU148" s="20"/>
      <c r="DV148" s="20"/>
      <c r="DW148" s="20"/>
      <c r="DX148" s="20"/>
      <c r="DY148" s="20"/>
      <c r="DZ148" s="20"/>
      <c r="EA148" s="20"/>
      <c r="EB148" s="20"/>
      <c r="EC148" s="20"/>
      <c r="ED148" s="20"/>
      <c r="EE148" s="20"/>
      <c r="EF148" s="20"/>
      <c r="EG148" s="20"/>
      <c r="EH148" s="20"/>
    </row>
    <row r="149" spans="1:138" ht="15.75" customHeight="1">
      <c r="A149" s="259" t="s">
        <v>2525</v>
      </c>
      <c r="B149" s="663" t="s">
        <v>2982</v>
      </c>
      <c r="C149" s="663" t="s">
        <v>2982</v>
      </c>
      <c r="D149" s="663" t="s">
        <v>2987</v>
      </c>
      <c r="E149" s="663" t="s">
        <v>39</v>
      </c>
      <c r="F149" s="663" t="s">
        <v>150</v>
      </c>
      <c r="G149" s="663" t="str">
        <f>VLOOKUP(WWWW[[#This Row],[Site Name]],SiteDB6[[Site Name]:[Location Type]],8,FALSE)</f>
        <v>Camp</v>
      </c>
      <c r="H149" s="663" t="s">
        <v>229</v>
      </c>
      <c r="I149" s="700">
        <v>1467</v>
      </c>
      <c r="J149" s="700">
        <v>6992</v>
      </c>
      <c r="K149" s="642" t="s">
        <v>2988</v>
      </c>
      <c r="L149" s="78" t="s">
        <v>2989</v>
      </c>
      <c r="M149" s="700">
        <v>313</v>
      </c>
      <c r="N149" s="700"/>
      <c r="O149" s="700"/>
      <c r="P149" s="700">
        <v>0</v>
      </c>
      <c r="Q149" s="77" t="s">
        <v>43</v>
      </c>
      <c r="R149" s="377">
        <v>5</v>
      </c>
      <c r="S149" s="377">
        <v>2</v>
      </c>
      <c r="T149" s="377">
        <v>5</v>
      </c>
      <c r="U149" s="377"/>
      <c r="V149" s="377"/>
      <c r="W149" s="377"/>
      <c r="X149" s="377"/>
      <c r="Y149" s="377"/>
      <c r="Z149" s="377"/>
      <c r="AA149" s="700">
        <v>3</v>
      </c>
      <c r="AB149" s="377"/>
      <c r="AC149" s="377"/>
      <c r="AD149" s="377"/>
      <c r="AE149" s="377">
        <v>2</v>
      </c>
      <c r="AF149" s="377"/>
      <c r="AG149" s="377"/>
      <c r="AH149" s="377">
        <v>3</v>
      </c>
      <c r="AI149" s="377">
        <v>1</v>
      </c>
      <c r="AJ149" s="377">
        <v>0</v>
      </c>
      <c r="AK149" s="377">
        <v>1</v>
      </c>
      <c r="AL149" s="377">
        <v>0</v>
      </c>
      <c r="AM149" s="377"/>
      <c r="AN149" s="377"/>
      <c r="AO149" s="215"/>
      <c r="AP149" s="377">
        <v>225</v>
      </c>
      <c r="AQ149" s="377"/>
      <c r="AR149" s="77"/>
      <c r="AS149" s="377"/>
      <c r="AT149" s="377">
        <v>20</v>
      </c>
      <c r="AU149" s="377"/>
      <c r="AV149" s="377"/>
      <c r="AW149" s="377"/>
      <c r="AX149" s="245" t="s">
        <v>43</v>
      </c>
      <c r="AY149" s="245" t="s">
        <v>145</v>
      </c>
      <c r="AZ149" s="377">
        <v>6</v>
      </c>
      <c r="BA149" s="377">
        <v>2</v>
      </c>
      <c r="BB149" s="377"/>
      <c r="BC149" s="215"/>
      <c r="BD149" s="377">
        <v>50</v>
      </c>
      <c r="BE149" s="377"/>
      <c r="BF149" s="377"/>
      <c r="BG149" s="377">
        <v>22</v>
      </c>
      <c r="BH149" s="377"/>
      <c r="BI149" s="377"/>
      <c r="BJ149" s="377">
        <v>7</v>
      </c>
      <c r="BK149" s="377">
        <v>0</v>
      </c>
      <c r="BL149" s="377">
        <v>0</v>
      </c>
      <c r="BM149" s="215" t="s">
        <v>144</v>
      </c>
      <c r="BN149" s="80"/>
      <c r="BO149" s="82"/>
      <c r="BP149" s="215"/>
      <c r="BQ149" s="79">
        <f>IFERROR(WWWW[[#This Row],['#_Water sources treated]]/WWWW[[#This Row],['#_Water sources tested for contamination]],"no test")</f>
        <v>0</v>
      </c>
      <c r="BR149" s="82">
        <f>IFERROR(WWWW[[#This Row],['#_Household received remediation action due to contamination]]/WWWW[[#This Row],['#_Household water samples tested for contamination]],"no test")</f>
        <v>0</v>
      </c>
      <c r="BS149" s="81" t="str">
        <f>IF(AND(WWWW[[#This Row],[% of water sources treated]]="no test",WWWW[[#This Row],[% Household received corrective actions]]="no test"),"No Test","Tested")</f>
        <v>Tested</v>
      </c>
      <c r="BT149" s="81">
        <f>WWWW[[#This Row],['#_Constructed/existing protected hand dug well]]-WWWW[[#This Row],['#_Non-functional protected hand dug well]]</f>
        <v>5</v>
      </c>
      <c r="BU149" s="81">
        <f>(WWWW[[#This Row],['#_Constructed/Existing tube wells/boreholes/handpumps_WASH_agency]]+WWWW[[#This Row],['#_Non-Cluster partner water tube-wells/boreholes/handpumps]])-WWWW[[#This Row],['#_Non-functional tube wells/boreholes/handpumps]]</f>
        <v>0</v>
      </c>
      <c r="BV149" s="81">
        <f>WWWW[[#This Row],['#_Constructed/Existingwater storage tank with gravity fed reticulation system]]-WWWW[[#This Row],['#_Non-functional storage tank gravity fed reticulation system]]</f>
        <v>3</v>
      </c>
      <c r="BW149" s="81">
        <f>WWWW[[#This Row],['#_Water boating or water trucking]]</f>
        <v>0</v>
      </c>
      <c r="BX149" s="81">
        <f>WWWW[[#This Row],['#_Constructed/Existing water distribution system from river or natural spring]]</f>
        <v>0</v>
      </c>
      <c r="BY149"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0.31464530892448511</v>
      </c>
      <c r="BZ149"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0.20737986270022885</v>
      </c>
      <c r="CA149" s="82">
        <f>IF(WWWW[[#This Row],[Location Type 1]]="Village",WWWW[[#This Row],[Access to safe drinking water for Village]],WWWW[[#This Row],[Access to safe drinking water for Camp]])</f>
        <v>0.31464530892448511</v>
      </c>
      <c r="CB149" s="80">
        <f>WWWW[[#This Row],[%Equitable and continuous access to sufficient quantity of safe drinking water]]*WWWW[[#This Row],[Total PoP ]]</f>
        <v>2200</v>
      </c>
      <c r="CC149" s="82">
        <f>IF((WWWW[[#This Row],['#_Constructed/Existing protected/fenced ponds]]*250)/WWWW[[#This Row],[Total PoP ]]&gt;1,1,(WWWW[[#This Row],['#_Constructed/Existing protected/fenced ponds]]*250)/WWWW[[#This Row],[Total PoP ]])</f>
        <v>7.1510297482837534E-2</v>
      </c>
      <c r="CD149" s="80">
        <f>WWWW[[#This Row],[% Access to unimproved water points]]*WWWW[[#This Row],[Total PoP ]]</f>
        <v>500.00000000000006</v>
      </c>
      <c r="CE149"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0.38615560640732266</v>
      </c>
      <c r="CF149"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2700</v>
      </c>
      <c r="CG149" s="80">
        <f>WWWW[[#This Row],[HRP1]]/500</f>
        <v>5.4</v>
      </c>
      <c r="CH149" s="79">
        <f>1-WWWW[[#This Row],[% Equitable and continuous access to sufficient quantity of domestic water]]</f>
        <v>0.6138443935926774</v>
      </c>
      <c r="CI149" s="80">
        <f>WWWW[[#This Row],[%equitable and continuous access to sufficient quantity of safe drinking and domestic water''s GAP]]*WWWW[[#This Row],[Total PoP ]]</f>
        <v>4292</v>
      </c>
      <c r="CJ149" s="81">
        <f>IF(WWWW[[#This Row],[Total required water points]]-WWWW[[#This Row],['#Water points coverage]]&lt;0,0,WWWW[[#This Row],[Total required water points]]-WWWW[[#This Row],['#Water points coverage]])</f>
        <v>8.6</v>
      </c>
      <c r="CK149" s="81">
        <f>ROUND(IF(WWWW[[#This Row],[Total PoP ]]&lt;500,1,WWWW[[#This Row],[Total PoP ]]/500),0)</f>
        <v>14</v>
      </c>
      <c r="CL149" s="81">
        <f>(WWWW[[#This Row],['#_Constructed latrines_by_WASHAgencies]]+WWWW[[#This Row],['#_Non Cluster partner latrines]])-WWWW[[#This Row],['#_Non-functional latrines]]</f>
        <v>225</v>
      </c>
      <c r="CM149"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0.64359267734553771</v>
      </c>
      <c r="CN149"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4500</v>
      </c>
      <c r="CO149"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49" s="81">
        <f>IF(WWWW[[#This Row],[Location Type 1]]="Village","NA",IF(WWWW[[#This Row],['#_Constructed/Existing latrines in TLS]]*50&gt;WWWW[[#This Row],['#_students at TLS_CFS]],WWWW[[#This Row],['#_students at TLS_CFS]],(WWWW[[#This Row],['#_Constructed/Existing latrines in TLS]]*50)))</f>
        <v>0</v>
      </c>
      <c r="CQ149" s="81">
        <f>ROUND(IF(WWWW[[#This Row],[Location Type 1]]="camp",WWWW[[#This Row],[Total PoP ]]/20,IF(WWWW[[#This Row],[Location Type 1]]="Temporary Location",WWWW[[#This Row],[Total PoP ]]/50,(WWWW[[#This Row],[Total PoP ]]/6))),0)</f>
        <v>350</v>
      </c>
      <c r="CR149" s="80">
        <f>IF(WWWW[[#This Row],[Total required Latrines]]-(WWWW[[#This Row],['#_Constructed latrines_by_WASHAgencies]]+WWWW[[#This Row],['#_Non Cluster partner latrines]])&lt;0,0,WWWW[[#This Row],[Total required Latrines]]-(WWWW[[#This Row],['#_Constructed latrines_by_WASHAgencies]]+WWWW[[#This Row],['#_Non Cluster partner latrines]]))</f>
        <v>125</v>
      </c>
      <c r="CS149" s="79">
        <f>1-WWWW[[#This Row],[% people access to functioning Latrine]]</f>
        <v>0.35640732265446229</v>
      </c>
      <c r="CT149" s="83">
        <f>IF(OR(WWWW[[#This Row],['#_Non-functional latrines]]="",WWWW[[#This Row],['#_Non-functional latrines]]=0),0,WWWW[[#This Row],['#_Non-functional latrines]]/(WWWW[[#This Row],['#_Constructed latrines_by_WASHAgencies]]+WWWW[[#This Row],['#_Non Cluster partner latrines]]))</f>
        <v>0</v>
      </c>
      <c r="CU149" s="80">
        <f>IF(500*(WWWW[[#This Row],['#_male hygiene promoters]]+WWWW[[#This Row],['#_female hygiene promoters]])&gt;WWWW[[#This Row],[Total PoP ]],WWWW[[#This Row],[Total PoP ]],500*(WWWW[[#This Row],['#_male hygiene promoters]]+WWWW[[#This Row],['#_female hygiene promoters]]))</f>
        <v>3500</v>
      </c>
      <c r="CV149"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49"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49" s="81">
        <f>IF(WWWW[[#This Row],['# People with access to soap]]&gt;WWWW[[#This Row],['# People with access to Sanity Pads]],WWWW[[#This Row],['# People with access to soap]],WWWW[[#This Row],['# People with access to Sanity Pads]])</f>
        <v>0</v>
      </c>
      <c r="CY149" s="81">
        <f>IF(WWWW[[#This Row],['# people reached by regular dedicated hygiene promotion_5]]&gt;WWWW[[#This Row],['# People received regular supply of hygiene items_6]],WWWW[[#This Row],['# people reached by regular dedicated hygiene promotion_5]],WWWW[[#This Row],['# People received regular supply of hygiene items_6]])</f>
        <v>3500</v>
      </c>
      <c r="CZ149" s="79">
        <f>IF(WWWW[[#This Row],[HRP3]]/WWWW[[#This Row],[Total PoP ]]&gt;100%,100%,WWWW[[#This Row],[HRP3]]/WWWW[[#This Row],[Total PoP ]])</f>
        <v>0.50057208237986273</v>
      </c>
      <c r="DA149" s="83">
        <f>1-WWWW[[#This Row],[Hygiene Coverage%]]</f>
        <v>0.49942791762013727</v>
      </c>
      <c r="DB149" s="82">
        <f>WWWW[[#This Row],['# people reached by regular dedicated hygiene promotion_5]]/WWWW[[#This Row],[Total PoP ]]</f>
        <v>0.50057208237986273</v>
      </c>
      <c r="DC149" s="82">
        <f>IF(WWWW[[#This Row],['#_households that received standard amount of soap for this quarter]]/WWWW[[#This Row],[Total HH]]&gt;1,1,WWWW[[#This Row],['#_households that received standard amount of soap for this quarter]]/WWWW[[#This Row],[Total HH]])</f>
        <v>0</v>
      </c>
      <c r="DD149" s="82">
        <f>IF(WWWW[[#This Row],['#_households that received standard amount of sanitary pads for this quarter]]/WWWW[[#This Row],[Total HH]]&gt;1,1,WWWW[[#This Row],['#_households that received standard amount of sanitary pads for this quarter]]/WWWW[[#This Row],[Total HH]])</f>
        <v>0</v>
      </c>
      <c r="DE149" s="81">
        <f>WWWW[[#This Row],['#_Constructed/Existing hand washing stations]]-WWWW[[#This Row],['#_Non-Functional_hand_washing_stations]]</f>
        <v>50</v>
      </c>
      <c r="DF149" s="667">
        <f>IF(WWWW[[#This Row],['# Functional hand washing stations during reporting period]]*20&gt;WWWW[[#This Row],[Total HH]],WWWW[[#This Row],[Total HH]],WWWW[[#This Row],['# Functional hand washing stations during reporting period]]*20)</f>
        <v>1000</v>
      </c>
      <c r="DG149" s="80">
        <f>IF(WWWW[[#This Row],[Is sufficient soap available for TLS? (Yes/No)]]="yes",WWWW[[#This Row],['#_Constructed/Existing hand washing stations at TLS]],0)</f>
        <v>0</v>
      </c>
      <c r="DH149" s="667">
        <f>IF(WWWW[[#This Row],['# Functional hand washing stations during reporting period]]*100&gt;WWWW[[#This Row],[Total PoP ]],WWWW[[#This Row],[Total PoP ]],WWWW[[#This Row],['# Functional hand washing stations during reporting period]]*100)</f>
        <v>5000</v>
      </c>
      <c r="DI149" s="667" t="str">
        <f>IF(WWWW[[#This Row],['#_students at TLS_CFS]]="","No","Yes")</f>
        <v>Yes</v>
      </c>
      <c r="DJ149" s="245" t="str">
        <f>VLOOKUP(WWWW[[#This Row],[Site Name]],SiteDB6[[Site Name]:[CCCM Management]],6,FALSE)</f>
        <v>Yes</v>
      </c>
      <c r="DK149" s="245" t="str">
        <f>VLOOKUP(WWWW[[#This Row],[Site Name]],SiteDB6[[Site Name]:[CCCM Focal Agency]],7,FALSE)</f>
        <v>KMSS-MYT</v>
      </c>
      <c r="DL149" s="245" t="str">
        <f>VLOOKUP(WWWW[[#This Row],[Site Name]],SiteDB6[[Site Name]:[Location Type 1]],9,FALSE)</f>
        <v>Camp</v>
      </c>
      <c r="DM149" s="245" t="str">
        <f>VLOOKUP(WWWW[[#This Row],[Site Name]],SiteDB6[[Site Name]:[Type of Accommodation]],10,FALSE)</f>
        <v>Camp</v>
      </c>
      <c r="DN149" s="245" t="str">
        <f>VLOOKUP(WWWW[[#This Row],[Site Name]],SiteDB6[[Site Name]:[Ethnic or GCA/NGCA]],11,FALSE)</f>
        <v>NGCA</v>
      </c>
      <c r="DO149" s="245">
        <f>VLOOKUP(WWWW[[#This Row],[Site Name]],SiteDB6[[Site Name]:[Lat]],12,FALSE)</f>
        <v>24.755253</v>
      </c>
      <c r="DP149" s="245">
        <f>VLOOKUP(WWWW[[#This Row],[Site Name]],SiteDB6[[Site Name]:[Long]],13,FALSE)</f>
        <v>97.546893999999995</v>
      </c>
      <c r="DQ149" s="245" t="str">
        <f>VLOOKUP(WWWW[[#This Row],[Site Name]],SiteDB6[[Site Name]:[Pcode]],3,FALSE)</f>
        <v>MMR001CMP116</v>
      </c>
      <c r="DR149" s="215" t="str">
        <f t="shared" si="5"/>
        <v>Covered</v>
      </c>
      <c r="DS149" s="215"/>
      <c r="DT149" s="20"/>
      <c r="DU149" s="20"/>
      <c r="DV149" s="20"/>
      <c r="DW149" s="20"/>
      <c r="DX149" s="20"/>
      <c r="DY149" s="20"/>
      <c r="DZ149" s="20"/>
      <c r="EA149" s="20"/>
      <c r="EB149" s="20"/>
      <c r="EC149" s="20"/>
      <c r="ED149" s="20"/>
      <c r="EE149" s="20"/>
      <c r="EF149" s="20"/>
      <c r="EG149" s="20"/>
      <c r="EH149" s="20"/>
    </row>
    <row r="150" spans="1:138" ht="15.75" customHeight="1">
      <c r="A150" s="259" t="s">
        <v>2525</v>
      </c>
      <c r="B150" s="663" t="s">
        <v>250</v>
      </c>
      <c r="C150" s="663" t="s">
        <v>250</v>
      </c>
      <c r="D150" s="663" t="s">
        <v>315</v>
      </c>
      <c r="E150" s="663" t="s">
        <v>39</v>
      </c>
      <c r="F150" s="663" t="s">
        <v>150</v>
      </c>
      <c r="G150" s="663" t="str">
        <f>VLOOKUP(WWWW[[#This Row],[Site Name]],SiteDB6[[Site Name]:[Location Type]],8,FALSE)</f>
        <v>Camp</v>
      </c>
      <c r="H150" s="663" t="s">
        <v>277</v>
      </c>
      <c r="I150" s="700">
        <v>347</v>
      </c>
      <c r="J150" s="700">
        <v>2065</v>
      </c>
      <c r="K150" s="642">
        <v>43313</v>
      </c>
      <c r="L150" s="58">
        <v>44043</v>
      </c>
      <c r="M150" s="700">
        <v>80</v>
      </c>
      <c r="N150" s="700">
        <v>1</v>
      </c>
      <c r="O150" s="700">
        <v>0</v>
      </c>
      <c r="P150" s="700">
        <v>0</v>
      </c>
      <c r="Q150" s="663" t="s">
        <v>43</v>
      </c>
      <c r="R150" s="377">
        <v>1</v>
      </c>
      <c r="S150" s="377">
        <v>3</v>
      </c>
      <c r="T150" s="377">
        <v>4</v>
      </c>
      <c r="U150" s="377">
        <v>0</v>
      </c>
      <c r="V150" s="377">
        <v>4</v>
      </c>
      <c r="W150" s="377">
        <v>0</v>
      </c>
      <c r="X150" s="377">
        <v>7</v>
      </c>
      <c r="Y150" s="377">
        <v>0</v>
      </c>
      <c r="Z150" s="377">
        <v>0</v>
      </c>
      <c r="AA150" s="700">
        <v>0</v>
      </c>
      <c r="AB150" s="377">
        <v>0</v>
      </c>
      <c r="AC150" s="377">
        <v>0</v>
      </c>
      <c r="AD150" s="377">
        <v>0</v>
      </c>
      <c r="AE150" s="377">
        <v>0</v>
      </c>
      <c r="AF150" s="377">
        <v>0</v>
      </c>
      <c r="AG150" s="377">
        <v>0</v>
      </c>
      <c r="AH150" s="377">
        <v>0</v>
      </c>
      <c r="AI150" s="377"/>
      <c r="AJ150" s="377"/>
      <c r="AK150" s="377"/>
      <c r="AL150" s="377"/>
      <c r="AM150" s="377">
        <v>0</v>
      </c>
      <c r="AN150" s="377">
        <v>0</v>
      </c>
      <c r="AO150" s="215"/>
      <c r="AP150" s="377">
        <v>13</v>
      </c>
      <c r="AQ150" s="377">
        <v>28</v>
      </c>
      <c r="AR150" s="77" t="s">
        <v>3132</v>
      </c>
      <c r="AS150" s="377">
        <v>0</v>
      </c>
      <c r="AT150" s="377">
        <v>0</v>
      </c>
      <c r="AU150" s="377">
        <v>15</v>
      </c>
      <c r="AV150" s="377"/>
      <c r="AW150" s="700">
        <v>0</v>
      </c>
      <c r="AX150" s="694" t="s">
        <v>43</v>
      </c>
      <c r="AY150" s="245" t="s">
        <v>145</v>
      </c>
      <c r="AZ150" s="377">
        <v>0</v>
      </c>
      <c r="BA150" s="377">
        <v>0</v>
      </c>
      <c r="BB150" s="377">
        <v>0</v>
      </c>
      <c r="BC150" s="215"/>
      <c r="BD150" s="377">
        <v>5</v>
      </c>
      <c r="BE150" s="377">
        <v>0</v>
      </c>
      <c r="BF150" s="377">
        <v>0</v>
      </c>
      <c r="BG150" s="377">
        <v>4</v>
      </c>
      <c r="BH150" s="377">
        <v>0</v>
      </c>
      <c r="BI150" s="377">
        <v>0</v>
      </c>
      <c r="BJ150" s="377">
        <v>0</v>
      </c>
      <c r="BK150" s="377">
        <v>0</v>
      </c>
      <c r="BL150" s="377">
        <v>0</v>
      </c>
      <c r="BM150" s="215" t="s">
        <v>144</v>
      </c>
      <c r="BN150" s="80">
        <v>4</v>
      </c>
      <c r="BO150" s="82">
        <v>0</v>
      </c>
      <c r="BP150" s="215"/>
      <c r="BQ150" s="79" t="str">
        <f>IFERROR(WWWW[[#This Row],['#_Water sources treated]]/WWWW[[#This Row],['#_Water sources tested for contamination]],"no test")</f>
        <v>no test</v>
      </c>
      <c r="BR150" s="82" t="str">
        <f>IFERROR(WWWW[[#This Row],['#_Household received remediation action due to contamination]]/WWWW[[#This Row],['#_Household water samples tested for contamination]],"no test")</f>
        <v>no test</v>
      </c>
      <c r="BS150" s="81" t="str">
        <f>IF(AND(WWWW[[#This Row],[% of water sources treated]]="no test",WWWW[[#This Row],[% Household received corrective actions]]="no test"),"No Test","Tested")</f>
        <v>No Test</v>
      </c>
      <c r="BT150" s="81">
        <f>WWWW[[#This Row],['#_Constructed/existing protected hand dug well]]-WWWW[[#This Row],['#_Non-functional protected hand dug well]]</f>
        <v>4</v>
      </c>
      <c r="BU150" s="81">
        <f>(WWWW[[#This Row],['#_Constructed/Existing tube wells/boreholes/handpumps_WASH_agency]]+WWWW[[#This Row],['#_Non-Cluster partner water tube-wells/boreholes/handpumps]])-WWWW[[#This Row],['#_Non-functional tube wells/boreholes/handpumps]]</f>
        <v>7</v>
      </c>
      <c r="BV150" s="81">
        <f>WWWW[[#This Row],['#_Constructed/Existingwater storage tank with gravity fed reticulation system]]-WWWW[[#This Row],['#_Non-functional storage tank gravity fed reticulation system]]</f>
        <v>0</v>
      </c>
      <c r="BW150" s="81">
        <f>WWWW[[#This Row],['#_Water boating or water trucking]]</f>
        <v>0</v>
      </c>
      <c r="BX150" s="81">
        <f>WWWW[[#This Row],['#_Constructed/Existing water distribution system from river or natural spring]]</f>
        <v>0</v>
      </c>
      <c r="BY150"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50"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50" s="82">
        <f>IF(WWWW[[#This Row],[Location Type 1]]="Village",WWWW[[#This Row],[Access to safe drinking water for Village]],WWWW[[#This Row],[Access to safe drinking water for Camp]])</f>
        <v>1</v>
      </c>
      <c r="CB150" s="80">
        <f>WWWW[[#This Row],[%Equitable and continuous access to sufficient quantity of safe drinking water]]*WWWW[[#This Row],[Total PoP ]]</f>
        <v>2065</v>
      </c>
      <c r="CC150" s="82">
        <f>IF((WWWW[[#This Row],['#_Constructed/Existing protected/fenced ponds]]*250)/WWWW[[#This Row],[Total PoP ]]&gt;1,1,(WWWW[[#This Row],['#_Constructed/Existing protected/fenced ponds]]*250)/WWWW[[#This Row],[Total PoP ]])</f>
        <v>0</v>
      </c>
      <c r="CD150" s="80">
        <f>WWWW[[#This Row],[% Access to unimproved water points]]*WWWW[[#This Row],[Total PoP ]]</f>
        <v>0</v>
      </c>
      <c r="CE150"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50"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2065</v>
      </c>
      <c r="CG150" s="80">
        <f>WWWW[[#This Row],[HRP1]]/500</f>
        <v>4.13</v>
      </c>
      <c r="CH150" s="79">
        <f>1-WWWW[[#This Row],[% Equitable and continuous access to sufficient quantity of domestic water]]</f>
        <v>0</v>
      </c>
      <c r="CI150" s="80">
        <f>WWWW[[#This Row],[%equitable and continuous access to sufficient quantity of safe drinking and domestic water''s GAP]]*WWWW[[#This Row],[Total PoP ]]</f>
        <v>0</v>
      </c>
      <c r="CJ150" s="81">
        <f>IF(WWWW[[#This Row],[Total required water points]]-WWWW[[#This Row],['#Water points coverage]]&lt;0,0,WWWW[[#This Row],[Total required water points]]-WWWW[[#This Row],['#Water points coverage]])</f>
        <v>0</v>
      </c>
      <c r="CK150" s="81">
        <f>ROUND(IF(WWWW[[#This Row],[Total PoP ]]&lt;500,1,WWWW[[#This Row],[Total PoP ]]/500),0)</f>
        <v>4</v>
      </c>
      <c r="CL150" s="81">
        <f>(WWWW[[#This Row],['#_Constructed latrines_by_WASHAgencies]]+WWWW[[#This Row],['#_Non Cluster partner latrines]])-WWWW[[#This Row],['#_Non-functional latrines]]</f>
        <v>41</v>
      </c>
      <c r="CM150"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0.39709443099273606</v>
      </c>
      <c r="CN150"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820</v>
      </c>
      <c r="CO150"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300</v>
      </c>
      <c r="CP150" s="81">
        <f>IF(WWWW[[#This Row],[Location Type 1]]="Village","NA",IF(WWWW[[#This Row],['#_Constructed/Existing latrines in TLS]]*50&gt;WWWW[[#This Row],['#_students at TLS_CFS]],WWWW[[#This Row],['#_students at TLS_CFS]],(WWWW[[#This Row],['#_Constructed/Existing latrines in TLS]]*50)))</f>
        <v>0</v>
      </c>
      <c r="CQ150" s="81">
        <f>ROUND(IF(WWWW[[#This Row],[Location Type 1]]="camp",WWWW[[#This Row],[Total PoP ]]/20,IF(WWWW[[#This Row],[Location Type 1]]="Temporary Location",WWWW[[#This Row],[Total PoP ]]/50,(WWWW[[#This Row],[Total PoP ]]/6))),0)</f>
        <v>103</v>
      </c>
      <c r="CR150" s="80">
        <f>IF(WWWW[[#This Row],[Total required Latrines]]-(WWWW[[#This Row],['#_Constructed latrines_by_WASHAgencies]]+WWWW[[#This Row],['#_Non Cluster partner latrines]])&lt;0,0,WWWW[[#This Row],[Total required Latrines]]-(WWWW[[#This Row],['#_Constructed latrines_by_WASHAgencies]]+WWWW[[#This Row],['#_Non Cluster partner latrines]]))</f>
        <v>62</v>
      </c>
      <c r="CS150" s="79">
        <f>1-WWWW[[#This Row],[% people access to functioning Latrine]]</f>
        <v>0.602905569007264</v>
      </c>
      <c r="CT150" s="83">
        <f>IF(OR(WWWW[[#This Row],['#_Non-functional latrines]]="",WWWW[[#This Row],['#_Non-functional latrines]]=0),0,WWWW[[#This Row],['#_Non-functional latrines]]/(WWWW[[#This Row],['#_Constructed latrines_by_WASHAgencies]]+WWWW[[#This Row],['#_Non Cluster partner latrines]]))</f>
        <v>0</v>
      </c>
      <c r="CU150" s="80">
        <f>IF(500*(WWWW[[#This Row],['#_male hygiene promoters]]+WWWW[[#This Row],['#_female hygiene promoters]])&gt;WWWW[[#This Row],[Total PoP ]],WWWW[[#This Row],[Total PoP ]],500*(WWWW[[#This Row],['#_male hygiene promoters]]+WWWW[[#This Row],['#_female hygiene promoters]]))</f>
        <v>0</v>
      </c>
      <c r="CV150"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50"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50" s="81">
        <f>IF(WWWW[[#This Row],['# People with access to soap]]&gt;WWWW[[#This Row],['# People with access to Sanity Pads]],WWWW[[#This Row],['# People with access to soap]],WWWW[[#This Row],['# People with access to Sanity Pads]])</f>
        <v>0</v>
      </c>
      <c r="CY150"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50" s="79">
        <f>IF(WWWW[[#This Row],[HRP3]]/WWWW[[#This Row],[Total PoP ]]&gt;100%,100%,WWWW[[#This Row],[HRP3]]/WWWW[[#This Row],[Total PoP ]])</f>
        <v>0</v>
      </c>
      <c r="DA150" s="83">
        <f>1-WWWW[[#This Row],[Hygiene Coverage%]]</f>
        <v>1</v>
      </c>
      <c r="DB150" s="82">
        <f>WWWW[[#This Row],['# people reached by regular dedicated hygiene promotion_5]]/WWWW[[#This Row],[Total PoP ]]</f>
        <v>0</v>
      </c>
      <c r="DC150" s="82">
        <f>IF(WWWW[[#This Row],['#_households that received standard amount of soap for this quarter]]/WWWW[[#This Row],[Total HH]]&gt;1,1,WWWW[[#This Row],['#_households that received standard amount of soap for this quarter]]/WWWW[[#This Row],[Total HH]])</f>
        <v>0</v>
      </c>
      <c r="DD150" s="82">
        <f>IF(WWWW[[#This Row],['#_households that received standard amount of sanitary pads for this quarter]]/WWWW[[#This Row],[Total HH]]&gt;1,1,WWWW[[#This Row],['#_households that received standard amount of sanitary pads for this quarter]]/WWWW[[#This Row],[Total HH]])</f>
        <v>0</v>
      </c>
      <c r="DE150" s="81">
        <f>WWWW[[#This Row],['#_Constructed/Existing hand washing stations]]-WWWW[[#This Row],['#_Non-Functional_hand_washing_stations]]</f>
        <v>5</v>
      </c>
      <c r="DF150" s="667">
        <f>IF(WWWW[[#This Row],['# Functional hand washing stations during reporting period]]*20&gt;WWWW[[#This Row],[Total HH]],WWWW[[#This Row],[Total HH]],WWWW[[#This Row],['# Functional hand washing stations during reporting period]]*20)</f>
        <v>100</v>
      </c>
      <c r="DG150" s="80">
        <f>IF(WWWW[[#This Row],[Is sufficient soap available for TLS? (Yes/No)]]="yes",WWWW[[#This Row],['#_Constructed/Existing hand washing stations at TLS]],0)</f>
        <v>0</v>
      </c>
      <c r="DH150" s="667">
        <f>IF(WWWW[[#This Row],['# Functional hand washing stations during reporting period]]*100&gt;WWWW[[#This Row],[Total PoP ]],WWWW[[#This Row],[Total PoP ]],WWWW[[#This Row],['# Functional hand washing stations during reporting period]]*100)</f>
        <v>500</v>
      </c>
      <c r="DI150" s="667" t="str">
        <f>IF(WWWW[[#This Row],['#_students at TLS_CFS]]="","No","Yes")</f>
        <v>Yes</v>
      </c>
      <c r="DJ150" s="245" t="str">
        <f>VLOOKUP(WWWW[[#This Row],[Site Name]],SiteDB6[[Site Name]:[CCCM Management]],6,FALSE)</f>
        <v>Yes</v>
      </c>
      <c r="DK150" s="245" t="str">
        <f>VLOOKUP(WWWW[[#This Row],[Site Name]],SiteDB6[[Site Name]:[CCCM Focal Agency]],7,FALSE)</f>
        <v>Shalom</v>
      </c>
      <c r="DL150" s="245" t="str">
        <f>VLOOKUP(WWWW[[#This Row],[Site Name]],SiteDB6[[Site Name]:[Location Type 1]],9,FALSE)</f>
        <v>Camp</v>
      </c>
      <c r="DM150" s="245" t="str">
        <f>VLOOKUP(WWWW[[#This Row],[Site Name]],SiteDB6[[Site Name]:[Type of Accommodation]],10,FALSE)</f>
        <v>Camp</v>
      </c>
      <c r="DN150" s="245" t="str">
        <f>VLOOKUP(WWWW[[#This Row],[Site Name]],SiteDB6[[Site Name]:[Ethnic or GCA/NGCA]],11,FALSE)</f>
        <v>GCA</v>
      </c>
      <c r="DO150" s="245">
        <f>VLOOKUP(WWWW[[#This Row],[Site Name]],SiteDB6[[Site Name]:[Lat]],12,FALSE)</f>
        <v>25.424529444444399</v>
      </c>
      <c r="DP150" s="245">
        <f>VLOOKUP(WWWW[[#This Row],[Site Name]],SiteDB6[[Site Name]:[Long]],13,FALSE)</f>
        <v>97.433419259259296</v>
      </c>
      <c r="DQ150" s="245" t="str">
        <f>VLOOKUP(WWWW[[#This Row],[Site Name]],SiteDB6[[Site Name]:[Pcode]],3,FALSE)</f>
        <v>MMR001CMP031</v>
      </c>
      <c r="DR150" s="215" t="str">
        <f t="shared" si="5"/>
        <v>Covered</v>
      </c>
      <c r="DS150" s="215"/>
      <c r="DT150" s="20"/>
      <c r="DU150" s="20"/>
      <c r="DV150" s="20"/>
      <c r="DW150" s="20"/>
      <c r="DX150" s="20"/>
      <c r="DY150" s="20"/>
      <c r="DZ150" s="20"/>
      <c r="EA150" s="20"/>
      <c r="EB150" s="20"/>
      <c r="EC150" s="20"/>
      <c r="ED150" s="20"/>
      <c r="EE150" s="20"/>
      <c r="EF150" s="20"/>
      <c r="EG150" s="20"/>
      <c r="EH150" s="20"/>
    </row>
    <row r="151" spans="1:138" ht="15.75" customHeight="1">
      <c r="A151" s="259" t="s">
        <v>2525</v>
      </c>
      <c r="B151" s="259" t="s">
        <v>317</v>
      </c>
      <c r="C151" s="259" t="s">
        <v>317</v>
      </c>
      <c r="D151" s="663"/>
      <c r="E151" s="663" t="s">
        <v>39</v>
      </c>
      <c r="F151" s="663" t="s">
        <v>1153</v>
      </c>
      <c r="G151" s="663" t="str">
        <f>VLOOKUP(WWWW[[#This Row],[Site Name]],SiteDB6[[Site Name]:[Location Type]],8,FALSE)</f>
        <v>Camp</v>
      </c>
      <c r="H151" s="77" t="s">
        <v>1155</v>
      </c>
      <c r="I151" s="700">
        <v>36</v>
      </c>
      <c r="J151" s="700">
        <v>152</v>
      </c>
      <c r="K151" s="642"/>
      <c r="L151" s="78"/>
      <c r="M151" s="700"/>
      <c r="N151" s="700"/>
      <c r="O151" s="700"/>
      <c r="P151" s="700"/>
      <c r="Q151" s="77"/>
      <c r="R151" s="377"/>
      <c r="S151" s="377"/>
      <c r="T151" s="377"/>
      <c r="U151" s="377"/>
      <c r="V151" s="377"/>
      <c r="W151" s="377"/>
      <c r="X151" s="377"/>
      <c r="Y151" s="377"/>
      <c r="Z151" s="377"/>
      <c r="AA151" s="377"/>
      <c r="AB151" s="377"/>
      <c r="AC151" s="377"/>
      <c r="AD151" s="377"/>
      <c r="AE151" s="377"/>
      <c r="AF151" s="377"/>
      <c r="AG151" s="377"/>
      <c r="AH151" s="377"/>
      <c r="AI151" s="377"/>
      <c r="AJ151" s="377"/>
      <c r="AK151" s="377"/>
      <c r="AL151" s="377"/>
      <c r="AM151" s="377"/>
      <c r="AN151" s="377"/>
      <c r="AO151" s="215"/>
      <c r="AP151" s="377"/>
      <c r="AQ151" s="377"/>
      <c r="AR151" s="77"/>
      <c r="AS151" s="377"/>
      <c r="AT151" s="377"/>
      <c r="AU151" s="377"/>
      <c r="AV151" s="377"/>
      <c r="AW151" s="377"/>
      <c r="AX151" s="245"/>
      <c r="AY151" s="245"/>
      <c r="AZ151" s="377"/>
      <c r="BA151" s="377"/>
      <c r="BB151" s="377"/>
      <c r="BC151" s="215"/>
      <c r="BD151" s="377"/>
      <c r="BE151" s="377"/>
      <c r="BF151" s="377"/>
      <c r="BG151" s="377"/>
      <c r="BH151" s="377"/>
      <c r="BI151" s="377"/>
      <c r="BJ151" s="377"/>
      <c r="BK151" s="377"/>
      <c r="BL151" s="377"/>
      <c r="BM151" s="215"/>
      <c r="BN151" s="80"/>
      <c r="BO151" s="82"/>
      <c r="BP151" s="215"/>
      <c r="BQ151" s="79" t="str">
        <f>IFERROR(WWWW[[#This Row],['#_Water sources treated]]/WWWW[[#This Row],['#_Water sources tested for contamination]],"no test")</f>
        <v>no test</v>
      </c>
      <c r="BR151" s="82" t="str">
        <f>IFERROR(WWWW[[#This Row],['#_Household received remediation action due to contamination]]/WWWW[[#This Row],['#_Household water samples tested for contamination]],"no test")</f>
        <v>no test</v>
      </c>
      <c r="BS151" s="81" t="str">
        <f>IF(AND(WWWW[[#This Row],[% of water sources treated]]="no test",WWWW[[#This Row],[% Household received corrective actions]]="no test"),"No Test","Tested")</f>
        <v>No Test</v>
      </c>
      <c r="BT151" s="81">
        <f>WWWW[[#This Row],['#_Constructed/existing protected hand dug well]]-WWWW[[#This Row],['#_Non-functional protected hand dug well]]</f>
        <v>0</v>
      </c>
      <c r="BU151" s="81">
        <f>(WWWW[[#This Row],['#_Constructed/Existing tube wells/boreholes/handpumps_WASH_agency]]+WWWW[[#This Row],['#_Non-Cluster partner water tube-wells/boreholes/handpumps]])-WWWW[[#This Row],['#_Non-functional tube wells/boreholes/handpumps]]</f>
        <v>0</v>
      </c>
      <c r="BV151" s="81">
        <f>WWWW[[#This Row],['#_Constructed/Existingwater storage tank with gravity fed reticulation system]]-WWWW[[#This Row],['#_Non-functional storage tank gravity fed reticulation system]]</f>
        <v>0</v>
      </c>
      <c r="BW151" s="81">
        <f>WWWW[[#This Row],['#_Water boating or water trucking]]</f>
        <v>0</v>
      </c>
      <c r="BX151" s="81">
        <f>WWWW[[#This Row],['#_Constructed/Existing water distribution system from river or natural spring]]</f>
        <v>0</v>
      </c>
      <c r="BY151"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51"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51" s="82">
        <f>IF(WWWW[[#This Row],[Location Type 1]]="Village",WWWW[[#This Row],[Access to safe drinking water for Village]],WWWW[[#This Row],[Access to safe drinking water for Camp]])</f>
        <v>0</v>
      </c>
      <c r="CB151" s="80">
        <f>WWWW[[#This Row],[%Equitable and continuous access to sufficient quantity of safe drinking water]]*WWWW[[#This Row],[Total PoP ]]</f>
        <v>0</v>
      </c>
      <c r="CC151" s="82">
        <f>IF((WWWW[[#This Row],['#_Constructed/Existing protected/fenced ponds]]*250)/WWWW[[#This Row],[Total PoP ]]&gt;1,1,(WWWW[[#This Row],['#_Constructed/Existing protected/fenced ponds]]*250)/WWWW[[#This Row],[Total PoP ]])</f>
        <v>0</v>
      </c>
      <c r="CD151" s="80">
        <f>WWWW[[#This Row],[% Access to unimproved water points]]*WWWW[[#This Row],[Total PoP ]]</f>
        <v>0</v>
      </c>
      <c r="CE151"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51"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51" s="80">
        <f>WWWW[[#This Row],[HRP1]]/500</f>
        <v>0</v>
      </c>
      <c r="CH151" s="79">
        <f>1-WWWW[[#This Row],[% Equitable and continuous access to sufficient quantity of domestic water]]</f>
        <v>1</v>
      </c>
      <c r="CI151" s="80">
        <f>WWWW[[#This Row],[%equitable and continuous access to sufficient quantity of safe drinking and domestic water''s GAP]]*WWWW[[#This Row],[Total PoP ]]</f>
        <v>152</v>
      </c>
      <c r="CJ151" s="81">
        <f>IF(WWWW[[#This Row],[Total required water points]]-WWWW[[#This Row],['#Water points coverage]]&lt;0,0,WWWW[[#This Row],[Total required water points]]-WWWW[[#This Row],['#Water points coverage]])</f>
        <v>1</v>
      </c>
      <c r="CK151" s="81">
        <f>ROUND(IF(WWWW[[#This Row],[Total PoP ]]&lt;500,1,WWWW[[#This Row],[Total PoP ]]/500),0)</f>
        <v>1</v>
      </c>
      <c r="CL151" s="81">
        <f>(WWWW[[#This Row],['#_Constructed latrines_by_WASHAgencies]]+WWWW[[#This Row],['#_Non Cluster partner latrines]])-WWWW[[#This Row],['#_Non-functional latrines]]</f>
        <v>0</v>
      </c>
      <c r="CM151"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51"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51"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51" s="81">
        <f>IF(WWWW[[#This Row],[Location Type 1]]="Village","NA",IF(WWWW[[#This Row],['#_Constructed/Existing latrines in TLS]]*50&gt;WWWW[[#This Row],['#_students at TLS_CFS]],WWWW[[#This Row],['#_students at TLS_CFS]],(WWWW[[#This Row],['#_Constructed/Existing latrines in TLS]]*50)))</f>
        <v>0</v>
      </c>
      <c r="CQ151" s="81">
        <f>ROUND(IF(WWWW[[#This Row],[Location Type 1]]="camp",WWWW[[#This Row],[Total PoP ]]/20,IF(WWWW[[#This Row],[Location Type 1]]="Temporary Location",WWWW[[#This Row],[Total PoP ]]/50,(WWWW[[#This Row],[Total PoP ]]/6))),0)</f>
        <v>8</v>
      </c>
      <c r="CR151" s="80">
        <f>IF(WWWW[[#This Row],[Total required Latrines]]-(WWWW[[#This Row],['#_Constructed latrines_by_WASHAgencies]]+WWWW[[#This Row],['#_Non Cluster partner latrines]])&lt;0,0,WWWW[[#This Row],[Total required Latrines]]-(WWWW[[#This Row],['#_Constructed latrines_by_WASHAgencies]]+WWWW[[#This Row],['#_Non Cluster partner latrines]]))</f>
        <v>8</v>
      </c>
      <c r="CS151" s="79">
        <f>1-WWWW[[#This Row],[% people access to functioning Latrine]]</f>
        <v>1</v>
      </c>
      <c r="CT151" s="83">
        <f>IF(OR(WWWW[[#This Row],['#_Non-functional latrines]]="",WWWW[[#This Row],['#_Non-functional latrines]]=0),0,WWWW[[#This Row],['#_Non-functional latrines]]/(WWWW[[#This Row],['#_Constructed latrines_by_WASHAgencies]]+WWWW[[#This Row],['#_Non Cluster partner latrines]]))</f>
        <v>0</v>
      </c>
      <c r="CU151" s="80">
        <f>IF(500*(WWWW[[#This Row],['#_male hygiene promoters]]+WWWW[[#This Row],['#_female hygiene promoters]])&gt;WWWW[[#This Row],[Total PoP ]],WWWW[[#This Row],[Total PoP ]],500*(WWWW[[#This Row],['#_male hygiene promoters]]+WWWW[[#This Row],['#_female hygiene promoters]]))</f>
        <v>0</v>
      </c>
      <c r="CV151"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51"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51" s="81">
        <f>IF(WWWW[[#This Row],['# People with access to soap]]&gt;WWWW[[#This Row],['# People with access to Sanity Pads]],WWWW[[#This Row],['# People with access to soap]],WWWW[[#This Row],['# People with access to Sanity Pads]])</f>
        <v>0</v>
      </c>
      <c r="CY151"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51" s="79">
        <f>IF(WWWW[[#This Row],[HRP3]]/WWWW[[#This Row],[Total PoP ]]&gt;100%,100%,WWWW[[#This Row],[HRP3]]/WWWW[[#This Row],[Total PoP ]])</f>
        <v>0</v>
      </c>
      <c r="DA151" s="83">
        <f>1-WWWW[[#This Row],[Hygiene Coverage%]]</f>
        <v>1</v>
      </c>
      <c r="DB151" s="82">
        <f>WWWW[[#This Row],['# people reached by regular dedicated hygiene promotion_5]]/WWWW[[#This Row],[Total PoP ]]</f>
        <v>0</v>
      </c>
      <c r="DC151" s="82">
        <f>IF(WWWW[[#This Row],['#_households that received standard amount of soap for this quarter]]/WWWW[[#This Row],[Total HH]]&gt;1,1,WWWW[[#This Row],['#_households that received standard amount of soap for this quarter]]/WWWW[[#This Row],[Total HH]])</f>
        <v>0</v>
      </c>
      <c r="DD151" s="82">
        <f>IF(WWWW[[#This Row],['#_households that received standard amount of sanitary pads for this quarter]]/WWWW[[#This Row],[Total HH]]&gt;1,1,WWWW[[#This Row],['#_households that received standard amount of sanitary pads for this quarter]]/WWWW[[#This Row],[Total HH]])</f>
        <v>0</v>
      </c>
      <c r="DE151" s="81">
        <f>WWWW[[#This Row],['#_Constructed/Existing hand washing stations]]-WWWW[[#This Row],['#_Non-Functional_hand_washing_stations]]</f>
        <v>0</v>
      </c>
      <c r="DF151" s="667">
        <f>IF(WWWW[[#This Row],['# Functional hand washing stations during reporting period]]*20&gt;WWWW[[#This Row],[Total HH]],WWWW[[#This Row],[Total HH]],WWWW[[#This Row],['# Functional hand washing stations during reporting period]]*20)</f>
        <v>0</v>
      </c>
      <c r="DG151" s="80">
        <f>IF(WWWW[[#This Row],[Is sufficient soap available for TLS? (Yes/No)]]="yes",WWWW[[#This Row],['#_Constructed/Existing hand washing stations at TLS]],0)</f>
        <v>0</v>
      </c>
      <c r="DH151" s="667">
        <f>IF(WWWW[[#This Row],['# Functional hand washing stations during reporting period]]*100&gt;WWWW[[#This Row],[Total PoP ]],WWWW[[#This Row],[Total PoP ]],WWWW[[#This Row],['# Functional hand washing stations during reporting period]]*100)</f>
        <v>0</v>
      </c>
      <c r="DI151" s="667" t="str">
        <f>IF(WWWW[[#This Row],['#_students at TLS_CFS]]="","No","Yes")</f>
        <v>No</v>
      </c>
      <c r="DJ151" s="245" t="str">
        <f>VLOOKUP(WWWW[[#This Row],[Site Name]],SiteDB6[[Site Name]:[CCCM Management]],6,FALSE)</f>
        <v>Yes</v>
      </c>
      <c r="DK151" s="245" t="str">
        <f>VLOOKUP(WWWW[[#This Row],[Site Name]],SiteDB6[[Site Name]:[CCCM Focal Agency]],7,FALSE)</f>
        <v>KMSS-MYT</v>
      </c>
      <c r="DL151" s="245" t="str">
        <f>VLOOKUP(WWWW[[#This Row],[Site Name]],SiteDB6[[Site Name]:[Location Type 1]],9,FALSE)</f>
        <v>Camp</v>
      </c>
      <c r="DM151" s="245" t="str">
        <f>VLOOKUP(WWWW[[#This Row],[Site Name]],SiteDB6[[Site Name]:[Type of Accommodation]],10,FALSE)</f>
        <v>Camp</v>
      </c>
      <c r="DN151" s="245" t="str">
        <f>VLOOKUP(WWWW[[#This Row],[Site Name]],SiteDB6[[Site Name]:[Ethnic or GCA/NGCA]],11,FALSE)</f>
        <v>GCA</v>
      </c>
      <c r="DO151" s="245">
        <f>VLOOKUP(WWWW[[#This Row],[Site Name]],SiteDB6[[Site Name]:[Lat]],12,FALSE)</f>
        <v>0</v>
      </c>
      <c r="DP151" s="245">
        <f>VLOOKUP(WWWW[[#This Row],[Site Name]],SiteDB6[[Site Name]:[Long]],13,FALSE)</f>
        <v>0</v>
      </c>
      <c r="DQ151" s="245" t="str">
        <f>VLOOKUP(WWWW[[#This Row],[Site Name]],SiteDB6[[Site Name]:[Pcode]],3,FALSE)</f>
        <v>MMR001CMP254</v>
      </c>
      <c r="DR151" s="215" t="str">
        <f t="shared" si="5"/>
        <v>Notcovered</v>
      </c>
      <c r="DS151" s="215"/>
      <c r="DT151" s="20"/>
      <c r="DU151" s="20"/>
      <c r="DV151" s="20"/>
      <c r="DW151" s="20"/>
      <c r="DX151" s="20"/>
      <c r="DY151" s="20"/>
      <c r="DZ151" s="20"/>
      <c r="EA151" s="20"/>
      <c r="EB151" s="20"/>
      <c r="EC151" s="20"/>
      <c r="ED151" s="20"/>
      <c r="EE151" s="20"/>
      <c r="EF151" s="20"/>
      <c r="EG151" s="20"/>
      <c r="EH151" s="20"/>
    </row>
    <row r="152" spans="1:138" ht="15.75" customHeight="1">
      <c r="A152" s="259" t="s">
        <v>2525</v>
      </c>
      <c r="B152" s="259" t="s">
        <v>149</v>
      </c>
      <c r="C152" s="663" t="s">
        <v>149</v>
      </c>
      <c r="D152" s="663" t="s">
        <v>152</v>
      </c>
      <c r="E152" s="663" t="s">
        <v>39</v>
      </c>
      <c r="F152" s="663" t="s">
        <v>167</v>
      </c>
      <c r="G152" s="663" t="str">
        <f>VLOOKUP(WWWW[[#This Row],[Site Name]],SiteDB6[[Site Name]:[Location Type]],8,FALSE)</f>
        <v>Camp</v>
      </c>
      <c r="H152" s="663" t="s">
        <v>178</v>
      </c>
      <c r="I152" s="700">
        <v>69</v>
      </c>
      <c r="J152" s="700">
        <v>351</v>
      </c>
      <c r="K152" s="642">
        <v>43556</v>
      </c>
      <c r="L152" s="78">
        <v>43677</v>
      </c>
      <c r="M152" s="700"/>
      <c r="N152" s="700"/>
      <c r="O152" s="700"/>
      <c r="P152" s="700"/>
      <c r="Q152" s="663" t="s">
        <v>43</v>
      </c>
      <c r="R152" s="377"/>
      <c r="S152" s="377"/>
      <c r="T152" s="700">
        <v>0</v>
      </c>
      <c r="U152" s="377"/>
      <c r="V152" s="377"/>
      <c r="W152" s="700">
        <v>2</v>
      </c>
      <c r="X152" s="377"/>
      <c r="Y152" s="377"/>
      <c r="Z152" s="377"/>
      <c r="AA152" s="377"/>
      <c r="AB152" s="377"/>
      <c r="AC152" s="377"/>
      <c r="AD152" s="377"/>
      <c r="AE152" s="377"/>
      <c r="AF152" s="377"/>
      <c r="AG152" s="377"/>
      <c r="AH152" s="700">
        <v>2</v>
      </c>
      <c r="AI152" s="377"/>
      <c r="AJ152" s="377"/>
      <c r="AK152" s="377"/>
      <c r="AL152" s="377"/>
      <c r="AM152" s="377"/>
      <c r="AN152" s="377"/>
      <c r="AO152" s="215"/>
      <c r="AP152" s="700">
        <v>11</v>
      </c>
      <c r="AQ152" s="377"/>
      <c r="AR152" s="77"/>
      <c r="AS152" s="377"/>
      <c r="AT152" s="377"/>
      <c r="AU152" s="377">
        <v>60</v>
      </c>
      <c r="AV152" s="377"/>
      <c r="AW152" s="700">
        <v>11</v>
      </c>
      <c r="AX152" s="245" t="s">
        <v>43</v>
      </c>
      <c r="AY152" s="245" t="s">
        <v>145</v>
      </c>
      <c r="AZ152" s="377"/>
      <c r="BA152" s="377"/>
      <c r="BB152" s="377"/>
      <c r="BC152" s="215"/>
      <c r="BD152" s="377"/>
      <c r="BE152" s="377"/>
      <c r="BF152" s="377"/>
      <c r="BG152" s="377">
        <v>2</v>
      </c>
      <c r="BH152" s="377"/>
      <c r="BI152" s="377"/>
      <c r="BJ152" s="377">
        <v>1</v>
      </c>
      <c r="BK152" s="377"/>
      <c r="BL152" s="377"/>
      <c r="BM152" s="215"/>
      <c r="BN152" s="80"/>
      <c r="BO152" s="82"/>
      <c r="BP152" s="215"/>
      <c r="BQ152" s="79" t="str">
        <f>IFERROR(WWWW[[#This Row],['#_Water sources treated]]/WWWW[[#This Row],['#_Water sources tested for contamination]],"no test")</f>
        <v>no test</v>
      </c>
      <c r="BR152" s="82" t="str">
        <f>IFERROR(WWWW[[#This Row],['#_Household received remediation action due to contamination]]/WWWW[[#This Row],['#_Household water samples tested for contamination]],"no test")</f>
        <v>no test</v>
      </c>
      <c r="BS152" s="81" t="str">
        <f>IF(AND(WWWW[[#This Row],[% of water sources treated]]="no test",WWWW[[#This Row],[% Household received corrective actions]]="no test"),"No Test","Tested")</f>
        <v>No Test</v>
      </c>
      <c r="BT152" s="81">
        <f>WWWW[[#This Row],['#_Constructed/existing protected hand dug well]]-WWWW[[#This Row],['#_Non-functional protected hand dug well]]</f>
        <v>0</v>
      </c>
      <c r="BU152" s="81">
        <f>(WWWW[[#This Row],['#_Constructed/Existing tube wells/boreholes/handpumps_WASH_agency]]+WWWW[[#This Row],['#_Non-Cluster partner water tube-wells/boreholes/handpumps]])-WWWW[[#This Row],['#_Non-functional tube wells/boreholes/handpumps]]</f>
        <v>2</v>
      </c>
      <c r="BV152" s="81">
        <f>WWWW[[#This Row],['#_Constructed/Existingwater storage tank with gravity fed reticulation system]]-WWWW[[#This Row],['#_Non-functional storage tank gravity fed reticulation system]]</f>
        <v>0</v>
      </c>
      <c r="BW152" s="81">
        <f>WWWW[[#This Row],['#_Water boating or water trucking]]</f>
        <v>0</v>
      </c>
      <c r="BX152" s="81">
        <f>WWWW[[#This Row],['#_Constructed/Existing water distribution system from river or natural spring]]</f>
        <v>0</v>
      </c>
      <c r="BY152"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52"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52" s="82">
        <f>IF(WWWW[[#This Row],[Location Type 1]]="Village",WWWW[[#This Row],[Access to safe drinking water for Village]],WWWW[[#This Row],[Access to safe drinking water for Camp]])</f>
        <v>1</v>
      </c>
      <c r="CB152" s="80">
        <f>WWWW[[#This Row],[%Equitable and continuous access to sufficient quantity of safe drinking water]]*WWWW[[#This Row],[Total PoP ]]</f>
        <v>351</v>
      </c>
      <c r="CC152" s="82">
        <f>IF((WWWW[[#This Row],['#_Constructed/Existing protected/fenced ponds]]*250)/WWWW[[#This Row],[Total PoP ]]&gt;1,1,(WWWW[[#This Row],['#_Constructed/Existing protected/fenced ponds]]*250)/WWWW[[#This Row],[Total PoP ]])</f>
        <v>0</v>
      </c>
      <c r="CD152" s="80">
        <f>WWWW[[#This Row],[% Access to unimproved water points]]*WWWW[[#This Row],[Total PoP ]]</f>
        <v>0</v>
      </c>
      <c r="CE152"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52"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351</v>
      </c>
      <c r="CG152" s="80">
        <f>WWWW[[#This Row],[HRP1]]/500</f>
        <v>0.70199999999999996</v>
      </c>
      <c r="CH152" s="79">
        <f>1-WWWW[[#This Row],[% Equitable and continuous access to sufficient quantity of domestic water]]</f>
        <v>0</v>
      </c>
      <c r="CI152" s="80">
        <f>WWWW[[#This Row],[%equitable and continuous access to sufficient quantity of safe drinking and domestic water''s GAP]]*WWWW[[#This Row],[Total PoP ]]</f>
        <v>0</v>
      </c>
      <c r="CJ152" s="81">
        <f>IF(WWWW[[#This Row],[Total required water points]]-WWWW[[#This Row],['#Water points coverage]]&lt;0,0,WWWW[[#This Row],[Total required water points]]-WWWW[[#This Row],['#Water points coverage]])</f>
        <v>0.29800000000000004</v>
      </c>
      <c r="CK152" s="81">
        <f>ROUND(IF(WWWW[[#This Row],[Total PoP ]]&lt;500,1,WWWW[[#This Row],[Total PoP ]]/500),0)</f>
        <v>1</v>
      </c>
      <c r="CL152" s="81">
        <f>(WWWW[[#This Row],['#_Constructed latrines_by_WASHAgencies]]+WWWW[[#This Row],['#_Non Cluster partner latrines]])-WWWW[[#This Row],['#_Non-functional latrines]]</f>
        <v>11</v>
      </c>
      <c r="CM152"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0.62678062678062674</v>
      </c>
      <c r="CN152"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220</v>
      </c>
      <c r="CO152"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351</v>
      </c>
      <c r="CP152" s="81">
        <f>IF(WWWW[[#This Row],[Location Type 1]]="Village","NA",IF(WWWW[[#This Row],['#_Constructed/Existing latrines in TLS]]*50&gt;WWWW[[#This Row],['#_students at TLS_CFS]],WWWW[[#This Row],['#_students at TLS_CFS]],(WWWW[[#This Row],['#_Constructed/Existing latrines in TLS]]*50)))</f>
        <v>0</v>
      </c>
      <c r="CQ152" s="81">
        <f>ROUND(IF(WWWW[[#This Row],[Location Type 1]]="camp",WWWW[[#This Row],[Total PoP ]]/20,IF(WWWW[[#This Row],[Location Type 1]]="Temporary Location",WWWW[[#This Row],[Total PoP ]]/50,(WWWW[[#This Row],[Total PoP ]]/6))),0)</f>
        <v>18</v>
      </c>
      <c r="CR152" s="80">
        <f>IF(WWWW[[#This Row],[Total required Latrines]]-(WWWW[[#This Row],['#_Constructed latrines_by_WASHAgencies]]+WWWW[[#This Row],['#_Non Cluster partner latrines]])&lt;0,0,WWWW[[#This Row],[Total required Latrines]]-(WWWW[[#This Row],['#_Constructed latrines_by_WASHAgencies]]+WWWW[[#This Row],['#_Non Cluster partner latrines]]))</f>
        <v>7</v>
      </c>
      <c r="CS152" s="79">
        <f>1-WWWW[[#This Row],[% people access to functioning Latrine]]</f>
        <v>0.37321937321937326</v>
      </c>
      <c r="CT152" s="83">
        <f>IF(OR(WWWW[[#This Row],['#_Non-functional latrines]]="",WWWW[[#This Row],['#_Non-functional latrines]]=0),0,WWWW[[#This Row],['#_Non-functional latrines]]/(WWWW[[#This Row],['#_Constructed latrines_by_WASHAgencies]]+WWWW[[#This Row],['#_Non Cluster partner latrines]]))</f>
        <v>0</v>
      </c>
      <c r="CU152" s="80">
        <f>IF(500*(WWWW[[#This Row],['#_male hygiene promoters]]+WWWW[[#This Row],['#_female hygiene promoters]])&gt;WWWW[[#This Row],[Total PoP ]],WWWW[[#This Row],[Total PoP ]],500*(WWWW[[#This Row],['#_male hygiene promoters]]+WWWW[[#This Row],['#_female hygiene promoters]]))</f>
        <v>351</v>
      </c>
      <c r="CV152"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52"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52" s="81">
        <f>IF(WWWW[[#This Row],['# People with access to soap]]&gt;WWWW[[#This Row],['# People with access to Sanity Pads]],WWWW[[#This Row],['# People with access to soap]],WWWW[[#This Row],['# People with access to Sanity Pads]])</f>
        <v>0</v>
      </c>
      <c r="CY152" s="81">
        <f>IF(WWWW[[#This Row],['# people reached by regular dedicated hygiene promotion_5]]&gt;WWWW[[#This Row],['# People received regular supply of hygiene items_6]],WWWW[[#This Row],['# people reached by regular dedicated hygiene promotion_5]],WWWW[[#This Row],['# People received regular supply of hygiene items_6]])</f>
        <v>351</v>
      </c>
      <c r="CZ152" s="79">
        <f>IF(WWWW[[#This Row],[HRP3]]/WWWW[[#This Row],[Total PoP ]]&gt;100%,100%,WWWW[[#This Row],[HRP3]]/WWWW[[#This Row],[Total PoP ]])</f>
        <v>1</v>
      </c>
      <c r="DA152" s="83">
        <f>1-WWWW[[#This Row],[Hygiene Coverage%]]</f>
        <v>0</v>
      </c>
      <c r="DB152" s="82">
        <f>WWWW[[#This Row],['# people reached by regular dedicated hygiene promotion_5]]/WWWW[[#This Row],[Total PoP ]]</f>
        <v>1</v>
      </c>
      <c r="DC152" s="82">
        <f>IF(WWWW[[#This Row],['#_households that received standard amount of soap for this quarter]]/WWWW[[#This Row],[Total HH]]&gt;1,1,WWWW[[#This Row],['#_households that received standard amount of soap for this quarter]]/WWWW[[#This Row],[Total HH]])</f>
        <v>0</v>
      </c>
      <c r="DD152" s="82">
        <f>IF(WWWW[[#This Row],['#_households that received standard amount of sanitary pads for this quarter]]/WWWW[[#This Row],[Total HH]]&gt;1,1,WWWW[[#This Row],['#_households that received standard amount of sanitary pads for this quarter]]/WWWW[[#This Row],[Total HH]])</f>
        <v>0</v>
      </c>
      <c r="DE152" s="81">
        <f>WWWW[[#This Row],['#_Constructed/Existing hand washing stations]]-WWWW[[#This Row],['#_Non-Functional_hand_washing_stations]]</f>
        <v>0</v>
      </c>
      <c r="DF152" s="667">
        <f>IF(WWWW[[#This Row],['# Functional hand washing stations during reporting period]]*20&gt;WWWW[[#This Row],[Total HH]],WWWW[[#This Row],[Total HH]],WWWW[[#This Row],['# Functional hand washing stations during reporting period]]*20)</f>
        <v>0</v>
      </c>
      <c r="DG152" s="80">
        <f>IF(WWWW[[#This Row],[Is sufficient soap available for TLS? (Yes/No)]]="yes",WWWW[[#This Row],['#_Constructed/Existing hand washing stations at TLS]],0)</f>
        <v>0</v>
      </c>
      <c r="DH152" s="667">
        <f>IF(WWWW[[#This Row],['# Functional hand washing stations during reporting period]]*100&gt;WWWW[[#This Row],[Total PoP ]],WWWW[[#This Row],[Total PoP ]],WWWW[[#This Row],['# Functional hand washing stations during reporting period]]*100)</f>
        <v>0</v>
      </c>
      <c r="DI152" s="667" t="str">
        <f>IF(WWWW[[#This Row],['#_students at TLS_CFS]]="","No","Yes")</f>
        <v>No</v>
      </c>
      <c r="DJ152" s="245" t="str">
        <f>VLOOKUP(WWWW[[#This Row],[Site Name]],SiteDB6[[Site Name]:[CCCM Management]],6,FALSE)</f>
        <v>Yes</v>
      </c>
      <c r="DK152" s="245" t="str">
        <f>VLOOKUP(WWWW[[#This Row],[Site Name]],SiteDB6[[Site Name]:[CCCM Focal Agency]],7,FALSE)</f>
        <v>KBC-MYT</v>
      </c>
      <c r="DL152" s="245" t="str">
        <f>VLOOKUP(WWWW[[#This Row],[Site Name]],SiteDB6[[Site Name]:[Location Type 1]],9,FALSE)</f>
        <v>Camp</v>
      </c>
      <c r="DM152" s="245" t="str">
        <f>VLOOKUP(WWWW[[#This Row],[Site Name]],SiteDB6[[Site Name]:[Type of Accommodation]],10,FALSE)</f>
        <v>Camp</v>
      </c>
      <c r="DN152" s="245" t="str">
        <f>VLOOKUP(WWWW[[#This Row],[Site Name]],SiteDB6[[Site Name]:[Ethnic or GCA/NGCA]],11,FALSE)</f>
        <v>GCA</v>
      </c>
      <c r="DO152" s="245">
        <f>VLOOKUP(WWWW[[#This Row],[Site Name]],SiteDB6[[Site Name]:[Lat]],12,FALSE)</f>
        <v>25.415482000000001</v>
      </c>
      <c r="DP152" s="245">
        <f>VLOOKUP(WWWW[[#This Row],[Site Name]],SiteDB6[[Site Name]:[Long]],13,FALSE)</f>
        <v>97.386718999999999</v>
      </c>
      <c r="DQ152" s="245" t="str">
        <f>VLOOKUP(WWWW[[#This Row],[Site Name]],SiteDB6[[Site Name]:[Pcode]],3,FALSE)</f>
        <v>MMR001CMP001</v>
      </c>
      <c r="DR152" s="215" t="str">
        <f t="shared" si="5"/>
        <v>Covered</v>
      </c>
      <c r="DS152" s="215"/>
      <c r="DT152" s="20"/>
      <c r="DU152" s="20"/>
      <c r="DV152" s="20"/>
      <c r="DW152" s="20"/>
      <c r="DX152" s="20"/>
      <c r="DY152" s="20"/>
      <c r="DZ152" s="20"/>
      <c r="EA152" s="20"/>
      <c r="EB152" s="20"/>
      <c r="EC152" s="20"/>
      <c r="ED152" s="20"/>
      <c r="EE152" s="20"/>
      <c r="EF152" s="20"/>
      <c r="EG152" s="20"/>
      <c r="EH152" s="20"/>
    </row>
    <row r="153" spans="1:138">
      <c r="A153" s="259" t="s">
        <v>2525</v>
      </c>
      <c r="B153" s="259" t="s">
        <v>149</v>
      </c>
      <c r="C153" s="663" t="s">
        <v>149</v>
      </c>
      <c r="D153" s="663" t="s">
        <v>152</v>
      </c>
      <c r="E153" s="663" t="s">
        <v>39</v>
      </c>
      <c r="F153" s="663" t="s">
        <v>167</v>
      </c>
      <c r="G153" s="663" t="str">
        <f>VLOOKUP(WWWW[[#This Row],[Site Name]],SiteDB6[[Site Name]:[Location Type]],8,FALSE)</f>
        <v>Camp</v>
      </c>
      <c r="H153" s="663" t="s">
        <v>179</v>
      </c>
      <c r="I153" s="700">
        <v>30</v>
      </c>
      <c r="J153" s="700">
        <v>165</v>
      </c>
      <c r="K153" s="642">
        <v>43556</v>
      </c>
      <c r="L153" s="78">
        <v>43677</v>
      </c>
      <c r="M153" s="700"/>
      <c r="N153" s="700"/>
      <c r="O153" s="700"/>
      <c r="P153" s="700"/>
      <c r="Q153" s="663" t="s">
        <v>43</v>
      </c>
      <c r="R153" s="377"/>
      <c r="S153" s="377"/>
      <c r="T153" s="700">
        <v>0</v>
      </c>
      <c r="U153" s="377"/>
      <c r="V153" s="377"/>
      <c r="W153" s="700">
        <v>2</v>
      </c>
      <c r="X153" s="377"/>
      <c r="Y153" s="377"/>
      <c r="Z153" s="377"/>
      <c r="AA153" s="377"/>
      <c r="AB153" s="377"/>
      <c r="AC153" s="377"/>
      <c r="AD153" s="377"/>
      <c r="AE153" s="377"/>
      <c r="AF153" s="377"/>
      <c r="AG153" s="377"/>
      <c r="AH153" s="700">
        <v>3</v>
      </c>
      <c r="AI153" s="377"/>
      <c r="AJ153" s="377"/>
      <c r="AK153" s="377"/>
      <c r="AL153" s="377"/>
      <c r="AM153" s="377"/>
      <c r="AN153" s="377"/>
      <c r="AO153" s="215"/>
      <c r="AP153" s="700">
        <v>5</v>
      </c>
      <c r="AQ153" s="377"/>
      <c r="AR153" s="77"/>
      <c r="AS153" s="377"/>
      <c r="AT153" s="377"/>
      <c r="AU153" s="377">
        <v>24</v>
      </c>
      <c r="AV153" s="377"/>
      <c r="AW153" s="700">
        <v>5</v>
      </c>
      <c r="AX153" s="245" t="s">
        <v>43</v>
      </c>
      <c r="AY153" s="245" t="s">
        <v>145</v>
      </c>
      <c r="AZ153" s="377"/>
      <c r="BA153" s="377"/>
      <c r="BB153" s="377"/>
      <c r="BC153" s="215"/>
      <c r="BD153" s="377"/>
      <c r="BE153" s="377"/>
      <c r="BF153" s="377"/>
      <c r="BG153" s="377">
        <v>2</v>
      </c>
      <c r="BH153" s="377"/>
      <c r="BI153" s="377"/>
      <c r="BJ153" s="377">
        <v>1</v>
      </c>
      <c r="BK153" s="377"/>
      <c r="BL153" s="377"/>
      <c r="BM153" s="215"/>
      <c r="BN153" s="80"/>
      <c r="BO153" s="82"/>
      <c r="BP153" s="215"/>
      <c r="BQ153" s="79" t="str">
        <f>IFERROR(WWWW[[#This Row],['#_Water sources treated]]/WWWW[[#This Row],['#_Water sources tested for contamination]],"no test")</f>
        <v>no test</v>
      </c>
      <c r="BR153" s="82" t="str">
        <f>IFERROR(WWWW[[#This Row],['#_Household received remediation action due to contamination]]/WWWW[[#This Row],['#_Household water samples tested for contamination]],"no test")</f>
        <v>no test</v>
      </c>
      <c r="BS153" s="81" t="str">
        <f>IF(AND(WWWW[[#This Row],[% of water sources treated]]="no test",WWWW[[#This Row],[% Household received corrective actions]]="no test"),"No Test","Tested")</f>
        <v>No Test</v>
      </c>
      <c r="BT153" s="81">
        <f>WWWW[[#This Row],['#_Constructed/existing protected hand dug well]]-WWWW[[#This Row],['#_Non-functional protected hand dug well]]</f>
        <v>0</v>
      </c>
      <c r="BU153" s="81">
        <f>(WWWW[[#This Row],['#_Constructed/Existing tube wells/boreholes/handpumps_WASH_agency]]+WWWW[[#This Row],['#_Non-Cluster partner water tube-wells/boreholes/handpumps]])-WWWW[[#This Row],['#_Non-functional tube wells/boreholes/handpumps]]</f>
        <v>2</v>
      </c>
      <c r="BV153" s="81">
        <f>WWWW[[#This Row],['#_Constructed/Existingwater storage tank with gravity fed reticulation system]]-WWWW[[#This Row],['#_Non-functional storage tank gravity fed reticulation system]]</f>
        <v>0</v>
      </c>
      <c r="BW153" s="81">
        <f>WWWW[[#This Row],['#_Water boating or water trucking]]</f>
        <v>0</v>
      </c>
      <c r="BX153" s="81">
        <f>WWWW[[#This Row],['#_Constructed/Existing water distribution system from river or natural spring]]</f>
        <v>0</v>
      </c>
      <c r="BY153"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53"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53" s="82">
        <f>IF(WWWW[[#This Row],[Location Type 1]]="Village",WWWW[[#This Row],[Access to safe drinking water for Village]],WWWW[[#This Row],[Access to safe drinking water for Camp]])</f>
        <v>1</v>
      </c>
      <c r="CB153" s="80">
        <f>WWWW[[#This Row],[%Equitable and continuous access to sufficient quantity of safe drinking water]]*WWWW[[#This Row],[Total PoP ]]</f>
        <v>165</v>
      </c>
      <c r="CC153" s="82">
        <f>IF((WWWW[[#This Row],['#_Constructed/Existing protected/fenced ponds]]*250)/WWWW[[#This Row],[Total PoP ]]&gt;1,1,(WWWW[[#This Row],['#_Constructed/Existing protected/fenced ponds]]*250)/WWWW[[#This Row],[Total PoP ]])</f>
        <v>0</v>
      </c>
      <c r="CD153" s="80">
        <f>WWWW[[#This Row],[% Access to unimproved water points]]*WWWW[[#This Row],[Total PoP ]]</f>
        <v>0</v>
      </c>
      <c r="CE153"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53"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165</v>
      </c>
      <c r="CG153" s="80">
        <f>WWWW[[#This Row],[HRP1]]/500</f>
        <v>0.33</v>
      </c>
      <c r="CH153" s="79">
        <f>1-WWWW[[#This Row],[% Equitable and continuous access to sufficient quantity of domestic water]]</f>
        <v>0</v>
      </c>
      <c r="CI153" s="80">
        <f>WWWW[[#This Row],[%equitable and continuous access to sufficient quantity of safe drinking and domestic water''s GAP]]*WWWW[[#This Row],[Total PoP ]]</f>
        <v>0</v>
      </c>
      <c r="CJ153" s="81">
        <f>IF(WWWW[[#This Row],[Total required water points]]-WWWW[[#This Row],['#Water points coverage]]&lt;0,0,WWWW[[#This Row],[Total required water points]]-WWWW[[#This Row],['#Water points coverage]])</f>
        <v>0.66999999999999993</v>
      </c>
      <c r="CK153" s="81">
        <f>ROUND(IF(WWWW[[#This Row],[Total PoP ]]&lt;500,1,WWWW[[#This Row],[Total PoP ]]/500),0)</f>
        <v>1</v>
      </c>
      <c r="CL153" s="81">
        <f>(WWWW[[#This Row],['#_Constructed latrines_by_WASHAgencies]]+WWWW[[#This Row],['#_Non Cluster partner latrines]])-WWWW[[#This Row],['#_Non-functional latrines]]</f>
        <v>5</v>
      </c>
      <c r="CM153"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0.60606060606060608</v>
      </c>
      <c r="CN153"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100</v>
      </c>
      <c r="CO153"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165</v>
      </c>
      <c r="CP153" s="81">
        <f>IF(WWWW[[#This Row],[Location Type 1]]="Village","NA",IF(WWWW[[#This Row],['#_Constructed/Existing latrines in TLS]]*50&gt;WWWW[[#This Row],['#_students at TLS_CFS]],WWWW[[#This Row],['#_students at TLS_CFS]],(WWWW[[#This Row],['#_Constructed/Existing latrines in TLS]]*50)))</f>
        <v>0</v>
      </c>
      <c r="CQ153" s="81">
        <f>ROUND(IF(WWWW[[#This Row],[Location Type 1]]="camp",WWWW[[#This Row],[Total PoP ]]/20,IF(WWWW[[#This Row],[Location Type 1]]="Temporary Location",WWWW[[#This Row],[Total PoP ]]/50,(WWWW[[#This Row],[Total PoP ]]/6))),0)</f>
        <v>8</v>
      </c>
      <c r="CR153" s="80">
        <f>IF(WWWW[[#This Row],[Total required Latrines]]-(WWWW[[#This Row],['#_Constructed latrines_by_WASHAgencies]]+WWWW[[#This Row],['#_Non Cluster partner latrines]])&lt;0,0,WWWW[[#This Row],[Total required Latrines]]-(WWWW[[#This Row],['#_Constructed latrines_by_WASHAgencies]]+WWWW[[#This Row],['#_Non Cluster partner latrines]]))</f>
        <v>3</v>
      </c>
      <c r="CS153" s="79">
        <f>1-WWWW[[#This Row],[% people access to functioning Latrine]]</f>
        <v>0.39393939393939392</v>
      </c>
      <c r="CT153" s="83">
        <f>IF(OR(WWWW[[#This Row],['#_Non-functional latrines]]="",WWWW[[#This Row],['#_Non-functional latrines]]=0),0,WWWW[[#This Row],['#_Non-functional latrines]]/(WWWW[[#This Row],['#_Constructed latrines_by_WASHAgencies]]+WWWW[[#This Row],['#_Non Cluster partner latrines]]))</f>
        <v>0</v>
      </c>
      <c r="CU153" s="80">
        <f>IF(500*(WWWW[[#This Row],['#_male hygiene promoters]]+WWWW[[#This Row],['#_female hygiene promoters]])&gt;WWWW[[#This Row],[Total PoP ]],WWWW[[#This Row],[Total PoP ]],500*(WWWW[[#This Row],['#_male hygiene promoters]]+WWWW[[#This Row],['#_female hygiene promoters]]))</f>
        <v>165</v>
      </c>
      <c r="CV153"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53"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53" s="81">
        <f>IF(WWWW[[#This Row],['# People with access to soap]]&gt;WWWW[[#This Row],['# People with access to Sanity Pads]],WWWW[[#This Row],['# People with access to soap]],WWWW[[#This Row],['# People with access to Sanity Pads]])</f>
        <v>0</v>
      </c>
      <c r="CY153" s="81">
        <f>IF(WWWW[[#This Row],['# people reached by regular dedicated hygiene promotion_5]]&gt;WWWW[[#This Row],['# People received regular supply of hygiene items_6]],WWWW[[#This Row],['# people reached by regular dedicated hygiene promotion_5]],WWWW[[#This Row],['# People received regular supply of hygiene items_6]])</f>
        <v>165</v>
      </c>
      <c r="CZ153" s="79">
        <f>IF(WWWW[[#This Row],[HRP3]]/WWWW[[#This Row],[Total PoP ]]&gt;100%,100%,WWWW[[#This Row],[HRP3]]/WWWW[[#This Row],[Total PoP ]])</f>
        <v>1</v>
      </c>
      <c r="DA153" s="83">
        <f>1-WWWW[[#This Row],[Hygiene Coverage%]]</f>
        <v>0</v>
      </c>
      <c r="DB153" s="82">
        <f>WWWW[[#This Row],['# people reached by regular dedicated hygiene promotion_5]]/WWWW[[#This Row],[Total PoP ]]</f>
        <v>1</v>
      </c>
      <c r="DC153" s="82">
        <f>IF(WWWW[[#This Row],['#_households that received standard amount of soap for this quarter]]/WWWW[[#This Row],[Total HH]]&gt;1,1,WWWW[[#This Row],['#_households that received standard amount of soap for this quarter]]/WWWW[[#This Row],[Total HH]])</f>
        <v>0</v>
      </c>
      <c r="DD153" s="82">
        <f>IF(WWWW[[#This Row],['#_households that received standard amount of sanitary pads for this quarter]]/WWWW[[#This Row],[Total HH]]&gt;1,1,WWWW[[#This Row],['#_households that received standard amount of sanitary pads for this quarter]]/WWWW[[#This Row],[Total HH]])</f>
        <v>0</v>
      </c>
      <c r="DE153" s="81">
        <f>WWWW[[#This Row],['#_Constructed/Existing hand washing stations]]-WWWW[[#This Row],['#_Non-Functional_hand_washing_stations]]</f>
        <v>0</v>
      </c>
      <c r="DF153" s="667">
        <f>IF(WWWW[[#This Row],['# Functional hand washing stations during reporting period]]*20&gt;WWWW[[#This Row],[Total HH]],WWWW[[#This Row],[Total HH]],WWWW[[#This Row],['# Functional hand washing stations during reporting period]]*20)</f>
        <v>0</v>
      </c>
      <c r="DG153" s="80">
        <f>IF(WWWW[[#This Row],[Is sufficient soap available for TLS? (Yes/No)]]="yes",WWWW[[#This Row],['#_Constructed/Existing hand washing stations at TLS]],0)</f>
        <v>0</v>
      </c>
      <c r="DH153" s="667">
        <f>IF(WWWW[[#This Row],['# Functional hand washing stations during reporting period]]*100&gt;WWWW[[#This Row],[Total PoP ]],WWWW[[#This Row],[Total PoP ]],WWWW[[#This Row],['# Functional hand washing stations during reporting period]]*100)</f>
        <v>0</v>
      </c>
      <c r="DI153" s="667" t="str">
        <f>IF(WWWW[[#This Row],['#_students at TLS_CFS]]="","No","Yes")</f>
        <v>No</v>
      </c>
      <c r="DJ153" s="245" t="str">
        <f>VLOOKUP(WWWW[[#This Row],[Site Name]],SiteDB6[[Site Name]:[CCCM Management]],6,FALSE)</f>
        <v>Yes</v>
      </c>
      <c r="DK153" s="245" t="str">
        <f>VLOOKUP(WWWW[[#This Row],[Site Name]],SiteDB6[[Site Name]:[CCCM Focal Agency]],7,FALSE)</f>
        <v>KBC-MYT</v>
      </c>
      <c r="DL153" s="245" t="str">
        <f>VLOOKUP(WWWW[[#This Row],[Site Name]],SiteDB6[[Site Name]:[Location Type 1]],9,FALSE)</f>
        <v>Camp</v>
      </c>
      <c r="DM153" s="245" t="str">
        <f>VLOOKUP(WWWW[[#This Row],[Site Name]],SiteDB6[[Site Name]:[Type of Accommodation]],10,FALSE)</f>
        <v>Camp</v>
      </c>
      <c r="DN153" s="245" t="str">
        <f>VLOOKUP(WWWW[[#This Row],[Site Name]],SiteDB6[[Site Name]:[Ethnic or GCA/NGCA]],11,FALSE)</f>
        <v>GCA</v>
      </c>
      <c r="DO153" s="245">
        <f>VLOOKUP(WWWW[[#This Row],[Site Name]],SiteDB6[[Site Name]:[Lat]],12,FALSE)</f>
        <v>25.404752999999999</v>
      </c>
      <c r="DP153" s="245">
        <f>VLOOKUP(WWWW[[#This Row],[Site Name]],SiteDB6[[Site Name]:[Long]],13,FALSE)</f>
        <v>97.377662999999998</v>
      </c>
      <c r="DQ153" s="245" t="str">
        <f>VLOOKUP(WWWW[[#This Row],[Site Name]],SiteDB6[[Site Name]:[Pcode]],3,FALSE)</f>
        <v>MMR001CMP003</v>
      </c>
      <c r="DR153" s="215" t="str">
        <f t="shared" si="5"/>
        <v>Covered</v>
      </c>
      <c r="DS153" s="215"/>
      <c r="DT153" s="39"/>
      <c r="DU153" s="39"/>
      <c r="DV153" s="20"/>
      <c r="DW153" s="20"/>
      <c r="DX153" s="20"/>
      <c r="DY153" s="20"/>
      <c r="DZ153" s="20"/>
      <c r="EA153" s="20"/>
      <c r="EB153" s="20"/>
      <c r="EC153" s="20"/>
      <c r="ED153" s="20"/>
      <c r="EE153" s="20"/>
      <c r="EF153" s="20"/>
      <c r="EG153" s="20"/>
      <c r="EH153" s="20"/>
    </row>
    <row r="154" spans="1:138">
      <c r="A154" s="259" t="s">
        <v>2525</v>
      </c>
      <c r="B154" s="663" t="s">
        <v>250</v>
      </c>
      <c r="C154" s="663" t="s">
        <v>250</v>
      </c>
      <c r="D154" s="663" t="s">
        <v>315</v>
      </c>
      <c r="E154" s="663" t="s">
        <v>39</v>
      </c>
      <c r="F154" s="663" t="s">
        <v>150</v>
      </c>
      <c r="G154" s="663" t="str">
        <f>VLOOKUP(WWWW[[#This Row],[Site Name]],SiteDB6[[Site Name]:[Location Type]],8,FALSE)</f>
        <v>Camp</v>
      </c>
      <c r="H154" s="663" t="s">
        <v>278</v>
      </c>
      <c r="I154" s="700">
        <v>19</v>
      </c>
      <c r="J154" s="700">
        <v>82</v>
      </c>
      <c r="K154" s="642">
        <v>43313</v>
      </c>
      <c r="L154" s="58">
        <v>44043</v>
      </c>
      <c r="M154" s="700">
        <v>0</v>
      </c>
      <c r="N154" s="700">
        <v>1</v>
      </c>
      <c r="O154" s="700">
        <v>0</v>
      </c>
      <c r="P154" s="700">
        <v>0</v>
      </c>
      <c r="Q154" s="663" t="s">
        <v>43</v>
      </c>
      <c r="R154" s="377">
        <v>0</v>
      </c>
      <c r="S154" s="377">
        <v>4</v>
      </c>
      <c r="T154" s="377">
        <v>1</v>
      </c>
      <c r="U154" s="377">
        <v>0</v>
      </c>
      <c r="V154" s="377">
        <v>0</v>
      </c>
      <c r="W154" s="377">
        <v>2</v>
      </c>
      <c r="X154" s="377">
        <v>0</v>
      </c>
      <c r="Y154" s="377">
        <v>0</v>
      </c>
      <c r="Z154" s="377">
        <v>0</v>
      </c>
      <c r="AA154" s="700">
        <v>0</v>
      </c>
      <c r="AB154" s="377">
        <v>0</v>
      </c>
      <c r="AC154" s="377">
        <v>0</v>
      </c>
      <c r="AD154" s="377">
        <v>0</v>
      </c>
      <c r="AE154" s="377">
        <v>0</v>
      </c>
      <c r="AF154" s="377">
        <v>0</v>
      </c>
      <c r="AG154" s="377">
        <v>0</v>
      </c>
      <c r="AH154" s="377">
        <v>0</v>
      </c>
      <c r="AI154" s="377"/>
      <c r="AJ154" s="377"/>
      <c r="AK154" s="377"/>
      <c r="AL154" s="377"/>
      <c r="AM154" s="377">
        <v>0</v>
      </c>
      <c r="AN154" s="377"/>
      <c r="AO154" s="215"/>
      <c r="AP154" s="377">
        <v>6</v>
      </c>
      <c r="AQ154" s="377">
        <v>0</v>
      </c>
      <c r="AR154" s="77"/>
      <c r="AS154" s="377">
        <v>0</v>
      </c>
      <c r="AT154" s="377">
        <v>0</v>
      </c>
      <c r="AU154" s="377">
        <v>0</v>
      </c>
      <c r="AV154" s="377"/>
      <c r="AW154" s="700">
        <v>0</v>
      </c>
      <c r="AX154" s="694" t="s">
        <v>43</v>
      </c>
      <c r="AY154" s="245" t="s">
        <v>145</v>
      </c>
      <c r="AZ154" s="377">
        <v>0</v>
      </c>
      <c r="BA154" s="377">
        <v>0</v>
      </c>
      <c r="BB154" s="377">
        <v>0</v>
      </c>
      <c r="BC154" s="215"/>
      <c r="BD154" s="377">
        <v>1</v>
      </c>
      <c r="BE154" s="377">
        <v>0</v>
      </c>
      <c r="BF154" s="377">
        <v>0</v>
      </c>
      <c r="BG154" s="377">
        <v>2</v>
      </c>
      <c r="BH154" s="377">
        <v>0</v>
      </c>
      <c r="BI154" s="377">
        <v>0</v>
      </c>
      <c r="BJ154" s="377">
        <v>0</v>
      </c>
      <c r="BK154" s="377">
        <v>0</v>
      </c>
      <c r="BL154" s="377">
        <v>0</v>
      </c>
      <c r="BM154" s="215" t="s">
        <v>144</v>
      </c>
      <c r="BN154" s="80">
        <v>0</v>
      </c>
      <c r="BO154" s="82">
        <v>0</v>
      </c>
      <c r="BP154" s="215"/>
      <c r="BQ154" s="79" t="str">
        <f>IFERROR(WWWW[[#This Row],['#_Water sources treated]]/WWWW[[#This Row],['#_Water sources tested for contamination]],"no test")</f>
        <v>no test</v>
      </c>
      <c r="BR154" s="82" t="str">
        <f>IFERROR(WWWW[[#This Row],['#_Household received remediation action due to contamination]]/WWWW[[#This Row],['#_Household water samples tested for contamination]],"no test")</f>
        <v>no test</v>
      </c>
      <c r="BS154" s="81" t="str">
        <f>IF(AND(WWWW[[#This Row],[% of water sources treated]]="no test",WWWW[[#This Row],[% Household received corrective actions]]="no test"),"No Test","Tested")</f>
        <v>No Test</v>
      </c>
      <c r="BT154" s="81">
        <f>WWWW[[#This Row],['#_Constructed/existing protected hand dug well]]-WWWW[[#This Row],['#_Non-functional protected hand dug well]]</f>
        <v>1</v>
      </c>
      <c r="BU154" s="81">
        <f>(WWWW[[#This Row],['#_Constructed/Existing tube wells/boreholes/handpumps_WASH_agency]]+WWWW[[#This Row],['#_Non-Cluster partner water tube-wells/boreholes/handpumps]])-WWWW[[#This Row],['#_Non-functional tube wells/boreholes/handpumps]]</f>
        <v>2</v>
      </c>
      <c r="BV154" s="81">
        <f>WWWW[[#This Row],['#_Constructed/Existingwater storage tank with gravity fed reticulation system]]-WWWW[[#This Row],['#_Non-functional storage tank gravity fed reticulation system]]</f>
        <v>0</v>
      </c>
      <c r="BW154" s="81">
        <f>WWWW[[#This Row],['#_Water boating or water trucking]]</f>
        <v>0</v>
      </c>
      <c r="BX154" s="81">
        <f>WWWW[[#This Row],['#_Constructed/Existing water distribution system from river or natural spring]]</f>
        <v>0</v>
      </c>
      <c r="BY154"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54"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54" s="82">
        <f>IF(WWWW[[#This Row],[Location Type 1]]="Village",WWWW[[#This Row],[Access to safe drinking water for Village]],WWWW[[#This Row],[Access to safe drinking water for Camp]])</f>
        <v>1</v>
      </c>
      <c r="CB154" s="80">
        <f>WWWW[[#This Row],[%Equitable and continuous access to sufficient quantity of safe drinking water]]*WWWW[[#This Row],[Total PoP ]]</f>
        <v>82</v>
      </c>
      <c r="CC154" s="82">
        <f>IF((WWWW[[#This Row],['#_Constructed/Existing protected/fenced ponds]]*250)/WWWW[[#This Row],[Total PoP ]]&gt;1,1,(WWWW[[#This Row],['#_Constructed/Existing protected/fenced ponds]]*250)/WWWW[[#This Row],[Total PoP ]])</f>
        <v>0</v>
      </c>
      <c r="CD154" s="80">
        <f>WWWW[[#This Row],[% Access to unimproved water points]]*WWWW[[#This Row],[Total PoP ]]</f>
        <v>0</v>
      </c>
      <c r="CE154"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54"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82</v>
      </c>
      <c r="CG154" s="80">
        <f>WWWW[[#This Row],[HRP1]]/500</f>
        <v>0.16400000000000001</v>
      </c>
      <c r="CH154" s="79">
        <f>1-WWWW[[#This Row],[% Equitable and continuous access to sufficient quantity of domestic water]]</f>
        <v>0</v>
      </c>
      <c r="CI154" s="80">
        <f>WWWW[[#This Row],[%equitable and continuous access to sufficient quantity of safe drinking and domestic water''s GAP]]*WWWW[[#This Row],[Total PoP ]]</f>
        <v>0</v>
      </c>
      <c r="CJ154" s="81">
        <f>IF(WWWW[[#This Row],[Total required water points]]-WWWW[[#This Row],['#Water points coverage]]&lt;0,0,WWWW[[#This Row],[Total required water points]]-WWWW[[#This Row],['#Water points coverage]])</f>
        <v>0.83599999999999997</v>
      </c>
      <c r="CK154" s="81">
        <f>ROUND(IF(WWWW[[#This Row],[Total PoP ]]&lt;500,1,WWWW[[#This Row],[Total PoP ]]/500),0)</f>
        <v>1</v>
      </c>
      <c r="CL154" s="81">
        <f>(WWWW[[#This Row],['#_Constructed latrines_by_WASHAgencies]]+WWWW[[#This Row],['#_Non Cluster partner latrines]])-WWWW[[#This Row],['#_Non-functional latrines]]</f>
        <v>6</v>
      </c>
      <c r="CM154"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54"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82</v>
      </c>
      <c r="CO154"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54" s="81">
        <f>IF(WWWW[[#This Row],[Location Type 1]]="Village","NA",IF(WWWW[[#This Row],['#_Constructed/Existing latrines in TLS]]*50&gt;WWWW[[#This Row],['#_students at TLS_CFS]],WWWW[[#This Row],['#_students at TLS_CFS]],(WWWW[[#This Row],['#_Constructed/Existing latrines in TLS]]*50)))</f>
        <v>0</v>
      </c>
      <c r="CQ154" s="81">
        <f>ROUND(IF(WWWW[[#This Row],[Location Type 1]]="camp",WWWW[[#This Row],[Total PoP ]]/20,IF(WWWW[[#This Row],[Location Type 1]]="Temporary Location",WWWW[[#This Row],[Total PoP ]]/50,(WWWW[[#This Row],[Total PoP ]]/6))),0)</f>
        <v>4</v>
      </c>
      <c r="CR154" s="80">
        <f>IF(WWWW[[#This Row],[Total required Latrines]]-(WWWW[[#This Row],['#_Constructed latrines_by_WASHAgencies]]+WWWW[[#This Row],['#_Non Cluster partner latrines]])&lt;0,0,WWWW[[#This Row],[Total required Latrines]]-(WWWW[[#This Row],['#_Constructed latrines_by_WASHAgencies]]+WWWW[[#This Row],['#_Non Cluster partner latrines]]))</f>
        <v>0</v>
      </c>
      <c r="CS154" s="79">
        <f>1-WWWW[[#This Row],[% people access to functioning Latrine]]</f>
        <v>0</v>
      </c>
      <c r="CT154" s="83">
        <f>IF(OR(WWWW[[#This Row],['#_Non-functional latrines]]="",WWWW[[#This Row],['#_Non-functional latrines]]=0),0,WWWW[[#This Row],['#_Non-functional latrines]]/(WWWW[[#This Row],['#_Constructed latrines_by_WASHAgencies]]+WWWW[[#This Row],['#_Non Cluster partner latrines]]))</f>
        <v>0</v>
      </c>
      <c r="CU154" s="80">
        <f>IF(500*(WWWW[[#This Row],['#_male hygiene promoters]]+WWWW[[#This Row],['#_female hygiene promoters]])&gt;WWWW[[#This Row],[Total PoP ]],WWWW[[#This Row],[Total PoP ]],500*(WWWW[[#This Row],['#_male hygiene promoters]]+WWWW[[#This Row],['#_female hygiene promoters]]))</f>
        <v>0</v>
      </c>
      <c r="CV154"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54"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54" s="81">
        <f>IF(WWWW[[#This Row],['# People with access to soap]]&gt;WWWW[[#This Row],['# People with access to Sanity Pads]],WWWW[[#This Row],['# People with access to soap]],WWWW[[#This Row],['# People with access to Sanity Pads]])</f>
        <v>0</v>
      </c>
      <c r="CY154"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54" s="79">
        <f>IF(WWWW[[#This Row],[HRP3]]/WWWW[[#This Row],[Total PoP ]]&gt;100%,100%,WWWW[[#This Row],[HRP3]]/WWWW[[#This Row],[Total PoP ]])</f>
        <v>0</v>
      </c>
      <c r="DA154" s="83">
        <f>1-WWWW[[#This Row],[Hygiene Coverage%]]</f>
        <v>1</v>
      </c>
      <c r="DB154" s="82">
        <f>WWWW[[#This Row],['# people reached by regular dedicated hygiene promotion_5]]/WWWW[[#This Row],[Total PoP ]]</f>
        <v>0</v>
      </c>
      <c r="DC154" s="82">
        <f>IF(WWWW[[#This Row],['#_households that received standard amount of soap for this quarter]]/WWWW[[#This Row],[Total HH]]&gt;1,1,WWWW[[#This Row],['#_households that received standard amount of soap for this quarter]]/WWWW[[#This Row],[Total HH]])</f>
        <v>0</v>
      </c>
      <c r="DD154" s="82">
        <f>IF(WWWW[[#This Row],['#_households that received standard amount of sanitary pads for this quarter]]/WWWW[[#This Row],[Total HH]]&gt;1,1,WWWW[[#This Row],['#_households that received standard amount of sanitary pads for this quarter]]/WWWW[[#This Row],[Total HH]])</f>
        <v>0</v>
      </c>
      <c r="DE154" s="81">
        <f>WWWW[[#This Row],['#_Constructed/Existing hand washing stations]]-WWWW[[#This Row],['#_Non-Functional_hand_washing_stations]]</f>
        <v>1</v>
      </c>
      <c r="DF154" s="667">
        <f>IF(WWWW[[#This Row],['# Functional hand washing stations during reporting period]]*20&gt;WWWW[[#This Row],[Total HH]],WWWW[[#This Row],[Total HH]],WWWW[[#This Row],['# Functional hand washing stations during reporting period]]*20)</f>
        <v>19</v>
      </c>
      <c r="DG154" s="80">
        <f>IF(WWWW[[#This Row],[Is sufficient soap available for TLS? (Yes/No)]]="yes",WWWW[[#This Row],['#_Constructed/Existing hand washing stations at TLS]],0)</f>
        <v>0</v>
      </c>
      <c r="DH154" s="667">
        <f>IF(WWWW[[#This Row],['# Functional hand washing stations during reporting period]]*100&gt;WWWW[[#This Row],[Total PoP ]],WWWW[[#This Row],[Total PoP ]],WWWW[[#This Row],['# Functional hand washing stations during reporting period]]*100)</f>
        <v>82</v>
      </c>
      <c r="DI154" s="667" t="str">
        <f>IF(WWWW[[#This Row],['#_students at TLS_CFS]]="","No","Yes")</f>
        <v>Yes</v>
      </c>
      <c r="DJ154" s="245" t="str">
        <f>VLOOKUP(WWWW[[#This Row],[Site Name]],SiteDB6[[Site Name]:[CCCM Management]],6,FALSE)</f>
        <v>Yes</v>
      </c>
      <c r="DK154" s="245" t="str">
        <f>VLOOKUP(WWWW[[#This Row],[Site Name]],SiteDB6[[Site Name]:[CCCM Focal Agency]],7,FALSE)</f>
        <v>Shalom</v>
      </c>
      <c r="DL154" s="245" t="str">
        <f>VLOOKUP(WWWW[[#This Row],[Site Name]],SiteDB6[[Site Name]:[Location Type 1]],9,FALSE)</f>
        <v>Camp</v>
      </c>
      <c r="DM154" s="245" t="str">
        <f>VLOOKUP(WWWW[[#This Row],[Site Name]],SiteDB6[[Site Name]:[Type of Accommodation]],10,FALSE)</f>
        <v>Camp</v>
      </c>
      <c r="DN154" s="245" t="str">
        <f>VLOOKUP(WWWW[[#This Row],[Site Name]],SiteDB6[[Site Name]:[Ethnic or GCA/NGCA]],11,FALSE)</f>
        <v>GCA</v>
      </c>
      <c r="DO154" s="245">
        <f>VLOOKUP(WWWW[[#This Row],[Site Name]],SiteDB6[[Site Name]:[Lat]],12,FALSE)</f>
        <v>25.351965</v>
      </c>
      <c r="DP154" s="245">
        <f>VLOOKUP(WWWW[[#This Row],[Site Name]],SiteDB6[[Site Name]:[Long]],13,FALSE)</f>
        <v>97.345039</v>
      </c>
      <c r="DQ154" s="245" t="str">
        <f>VLOOKUP(WWWW[[#This Row],[Site Name]],SiteDB6[[Site Name]:[Pcode]],3,FALSE)</f>
        <v>MMR001CMP033</v>
      </c>
      <c r="DR154" s="215" t="str">
        <f t="shared" si="5"/>
        <v>Covered</v>
      </c>
      <c r="DS154" s="215"/>
      <c r="DT154" s="39"/>
      <c r="DU154" s="39"/>
      <c r="DV154" s="20"/>
      <c r="DW154" s="20"/>
      <c r="DX154" s="20"/>
      <c r="DY154" s="20"/>
      <c r="DZ154" s="20"/>
      <c r="EA154" s="20"/>
      <c r="EB154" s="20"/>
      <c r="EC154" s="20"/>
      <c r="ED154" s="20"/>
      <c r="EE154" s="20"/>
      <c r="EF154" s="20"/>
      <c r="EG154" s="20"/>
      <c r="EH154" s="20"/>
    </row>
    <row r="155" spans="1:138">
      <c r="A155" s="259" t="s">
        <v>2525</v>
      </c>
      <c r="B155" s="259" t="s">
        <v>149</v>
      </c>
      <c r="C155" s="663" t="s">
        <v>149</v>
      </c>
      <c r="D155" s="663" t="s">
        <v>152</v>
      </c>
      <c r="E155" s="663" t="s">
        <v>39</v>
      </c>
      <c r="F155" s="663" t="s">
        <v>167</v>
      </c>
      <c r="G155" s="663" t="str">
        <f>VLOOKUP(WWWW[[#This Row],[Site Name]],SiteDB6[[Site Name]:[Location Type]],8,FALSE)</f>
        <v>Camp</v>
      </c>
      <c r="H155" s="663" t="s">
        <v>180</v>
      </c>
      <c r="I155" s="700">
        <v>43</v>
      </c>
      <c r="J155" s="700">
        <v>219</v>
      </c>
      <c r="K155" s="642">
        <v>43556</v>
      </c>
      <c r="L155" s="78">
        <v>43677</v>
      </c>
      <c r="M155" s="700"/>
      <c r="N155" s="700"/>
      <c r="O155" s="700"/>
      <c r="P155" s="700"/>
      <c r="Q155" s="663" t="s">
        <v>43</v>
      </c>
      <c r="R155" s="377"/>
      <c r="S155" s="377"/>
      <c r="T155" s="700">
        <v>0</v>
      </c>
      <c r="U155" s="377"/>
      <c r="V155" s="377"/>
      <c r="W155" s="700">
        <v>2</v>
      </c>
      <c r="X155" s="377"/>
      <c r="Y155" s="377"/>
      <c r="Z155" s="377"/>
      <c r="AA155" s="700"/>
      <c r="AB155" s="377"/>
      <c r="AC155" s="377"/>
      <c r="AD155" s="377"/>
      <c r="AE155" s="377"/>
      <c r="AF155" s="377"/>
      <c r="AG155" s="377"/>
      <c r="AH155" s="700">
        <v>3</v>
      </c>
      <c r="AI155" s="377"/>
      <c r="AJ155" s="377"/>
      <c r="AK155" s="377"/>
      <c r="AL155" s="377"/>
      <c r="AM155" s="377"/>
      <c r="AN155" s="377"/>
      <c r="AO155" s="215"/>
      <c r="AP155" s="700">
        <v>13</v>
      </c>
      <c r="AQ155" s="377"/>
      <c r="AR155" s="77"/>
      <c r="AS155" s="377"/>
      <c r="AT155" s="377"/>
      <c r="AU155" s="377">
        <v>7</v>
      </c>
      <c r="AV155" s="377"/>
      <c r="AW155" s="700">
        <v>13</v>
      </c>
      <c r="AX155" s="245" t="s">
        <v>43</v>
      </c>
      <c r="AY155" s="245" t="s">
        <v>145</v>
      </c>
      <c r="AZ155" s="377"/>
      <c r="BA155" s="377"/>
      <c r="BB155" s="377"/>
      <c r="BC155" s="215"/>
      <c r="BD155" s="377"/>
      <c r="BE155" s="377"/>
      <c r="BF155" s="377"/>
      <c r="BG155" s="377">
        <v>3</v>
      </c>
      <c r="BH155" s="377"/>
      <c r="BI155" s="377"/>
      <c r="BJ155" s="377">
        <v>1</v>
      </c>
      <c r="BK155" s="377"/>
      <c r="BL155" s="377"/>
      <c r="BM155" s="215"/>
      <c r="BN155" s="80"/>
      <c r="BO155" s="82"/>
      <c r="BP155" s="215"/>
      <c r="BQ155" s="79" t="str">
        <f>IFERROR(WWWW[[#This Row],['#_Water sources treated]]/WWWW[[#This Row],['#_Water sources tested for contamination]],"no test")</f>
        <v>no test</v>
      </c>
      <c r="BR155" s="82" t="str">
        <f>IFERROR(WWWW[[#This Row],['#_Household received remediation action due to contamination]]/WWWW[[#This Row],['#_Household water samples tested for contamination]],"no test")</f>
        <v>no test</v>
      </c>
      <c r="BS155" s="81" t="str">
        <f>IF(AND(WWWW[[#This Row],[% of water sources treated]]="no test",WWWW[[#This Row],[% Household received corrective actions]]="no test"),"No Test","Tested")</f>
        <v>No Test</v>
      </c>
      <c r="BT155" s="81">
        <f>WWWW[[#This Row],['#_Constructed/existing protected hand dug well]]-WWWW[[#This Row],['#_Non-functional protected hand dug well]]</f>
        <v>0</v>
      </c>
      <c r="BU155" s="81">
        <f>(WWWW[[#This Row],['#_Constructed/Existing tube wells/boreholes/handpumps_WASH_agency]]+WWWW[[#This Row],['#_Non-Cluster partner water tube-wells/boreholes/handpumps]])-WWWW[[#This Row],['#_Non-functional tube wells/boreholes/handpumps]]</f>
        <v>2</v>
      </c>
      <c r="BV155" s="81">
        <f>WWWW[[#This Row],['#_Constructed/Existingwater storage tank with gravity fed reticulation system]]-WWWW[[#This Row],['#_Non-functional storage tank gravity fed reticulation system]]</f>
        <v>0</v>
      </c>
      <c r="BW155" s="81">
        <f>WWWW[[#This Row],['#_Water boating or water trucking]]</f>
        <v>0</v>
      </c>
      <c r="BX155" s="81">
        <f>WWWW[[#This Row],['#_Constructed/Existing water distribution system from river or natural spring]]</f>
        <v>0</v>
      </c>
      <c r="BY155"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55"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55" s="82">
        <f>IF(WWWW[[#This Row],[Location Type 1]]="Village",WWWW[[#This Row],[Access to safe drinking water for Village]],WWWW[[#This Row],[Access to safe drinking water for Camp]])</f>
        <v>1</v>
      </c>
      <c r="CB155" s="80">
        <f>WWWW[[#This Row],[%Equitable and continuous access to sufficient quantity of safe drinking water]]*WWWW[[#This Row],[Total PoP ]]</f>
        <v>219</v>
      </c>
      <c r="CC155" s="82">
        <f>IF((WWWW[[#This Row],['#_Constructed/Existing protected/fenced ponds]]*250)/WWWW[[#This Row],[Total PoP ]]&gt;1,1,(WWWW[[#This Row],['#_Constructed/Existing protected/fenced ponds]]*250)/WWWW[[#This Row],[Total PoP ]])</f>
        <v>0</v>
      </c>
      <c r="CD155" s="80">
        <f>WWWW[[#This Row],[% Access to unimproved water points]]*WWWW[[#This Row],[Total PoP ]]</f>
        <v>0</v>
      </c>
      <c r="CE155"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55"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219</v>
      </c>
      <c r="CG155" s="80">
        <f>WWWW[[#This Row],[HRP1]]/500</f>
        <v>0.438</v>
      </c>
      <c r="CH155" s="79">
        <f>1-WWWW[[#This Row],[% Equitable and continuous access to sufficient quantity of domestic water]]</f>
        <v>0</v>
      </c>
      <c r="CI155" s="80">
        <f>WWWW[[#This Row],[%equitable and continuous access to sufficient quantity of safe drinking and domestic water''s GAP]]*WWWW[[#This Row],[Total PoP ]]</f>
        <v>0</v>
      </c>
      <c r="CJ155" s="81">
        <f>IF(WWWW[[#This Row],[Total required water points]]-WWWW[[#This Row],['#Water points coverage]]&lt;0,0,WWWW[[#This Row],[Total required water points]]-WWWW[[#This Row],['#Water points coverage]])</f>
        <v>0.56200000000000006</v>
      </c>
      <c r="CK155" s="81">
        <f>ROUND(IF(WWWW[[#This Row],[Total PoP ]]&lt;500,1,WWWW[[#This Row],[Total PoP ]]/500),0)</f>
        <v>1</v>
      </c>
      <c r="CL155" s="81">
        <f>(WWWW[[#This Row],['#_Constructed latrines_by_WASHAgencies]]+WWWW[[#This Row],['#_Non Cluster partner latrines]])-WWWW[[#This Row],['#_Non-functional latrines]]</f>
        <v>13</v>
      </c>
      <c r="CM155"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55"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219</v>
      </c>
      <c r="CO155"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140</v>
      </c>
      <c r="CP155" s="81">
        <f>IF(WWWW[[#This Row],[Location Type 1]]="Village","NA",IF(WWWW[[#This Row],['#_Constructed/Existing latrines in TLS]]*50&gt;WWWW[[#This Row],['#_students at TLS_CFS]],WWWW[[#This Row],['#_students at TLS_CFS]],(WWWW[[#This Row],['#_Constructed/Existing latrines in TLS]]*50)))</f>
        <v>0</v>
      </c>
      <c r="CQ155" s="81">
        <f>ROUND(IF(WWWW[[#This Row],[Location Type 1]]="camp",WWWW[[#This Row],[Total PoP ]]/20,IF(WWWW[[#This Row],[Location Type 1]]="Temporary Location",WWWW[[#This Row],[Total PoP ]]/50,(WWWW[[#This Row],[Total PoP ]]/6))),0)</f>
        <v>11</v>
      </c>
      <c r="CR155" s="80">
        <f>IF(WWWW[[#This Row],[Total required Latrines]]-(WWWW[[#This Row],['#_Constructed latrines_by_WASHAgencies]]+WWWW[[#This Row],['#_Non Cluster partner latrines]])&lt;0,0,WWWW[[#This Row],[Total required Latrines]]-(WWWW[[#This Row],['#_Constructed latrines_by_WASHAgencies]]+WWWW[[#This Row],['#_Non Cluster partner latrines]]))</f>
        <v>0</v>
      </c>
      <c r="CS155" s="79">
        <f>1-WWWW[[#This Row],[% people access to functioning Latrine]]</f>
        <v>0</v>
      </c>
      <c r="CT155" s="83">
        <f>IF(OR(WWWW[[#This Row],['#_Non-functional latrines]]="",WWWW[[#This Row],['#_Non-functional latrines]]=0),0,WWWW[[#This Row],['#_Non-functional latrines]]/(WWWW[[#This Row],['#_Constructed latrines_by_WASHAgencies]]+WWWW[[#This Row],['#_Non Cluster partner latrines]]))</f>
        <v>0</v>
      </c>
      <c r="CU155" s="80">
        <f>IF(500*(WWWW[[#This Row],['#_male hygiene promoters]]+WWWW[[#This Row],['#_female hygiene promoters]])&gt;WWWW[[#This Row],[Total PoP ]],WWWW[[#This Row],[Total PoP ]],500*(WWWW[[#This Row],['#_male hygiene promoters]]+WWWW[[#This Row],['#_female hygiene promoters]]))</f>
        <v>219</v>
      </c>
      <c r="CV155"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55"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55" s="81">
        <f>IF(WWWW[[#This Row],['# People with access to soap]]&gt;WWWW[[#This Row],['# People with access to Sanity Pads]],WWWW[[#This Row],['# People with access to soap]],WWWW[[#This Row],['# People with access to Sanity Pads]])</f>
        <v>0</v>
      </c>
      <c r="CY155" s="81">
        <f>IF(WWWW[[#This Row],['# people reached by regular dedicated hygiene promotion_5]]&gt;WWWW[[#This Row],['# People received regular supply of hygiene items_6]],WWWW[[#This Row],['# people reached by regular dedicated hygiene promotion_5]],WWWW[[#This Row],['# People received regular supply of hygiene items_6]])</f>
        <v>219</v>
      </c>
      <c r="CZ155" s="79">
        <f>IF(WWWW[[#This Row],[HRP3]]/WWWW[[#This Row],[Total PoP ]]&gt;100%,100%,WWWW[[#This Row],[HRP3]]/WWWW[[#This Row],[Total PoP ]])</f>
        <v>1</v>
      </c>
      <c r="DA155" s="83">
        <f>1-WWWW[[#This Row],[Hygiene Coverage%]]</f>
        <v>0</v>
      </c>
      <c r="DB155" s="82">
        <f>WWWW[[#This Row],['# people reached by regular dedicated hygiene promotion_5]]/WWWW[[#This Row],[Total PoP ]]</f>
        <v>1</v>
      </c>
      <c r="DC155" s="82">
        <f>IF(WWWW[[#This Row],['#_households that received standard amount of soap for this quarter]]/WWWW[[#This Row],[Total HH]]&gt;1,1,WWWW[[#This Row],['#_households that received standard amount of soap for this quarter]]/WWWW[[#This Row],[Total HH]])</f>
        <v>0</v>
      </c>
      <c r="DD155" s="82">
        <f>IF(WWWW[[#This Row],['#_households that received standard amount of sanitary pads for this quarter]]/WWWW[[#This Row],[Total HH]]&gt;1,1,WWWW[[#This Row],['#_households that received standard amount of sanitary pads for this quarter]]/WWWW[[#This Row],[Total HH]])</f>
        <v>0</v>
      </c>
      <c r="DE155" s="81">
        <f>WWWW[[#This Row],['#_Constructed/Existing hand washing stations]]-WWWW[[#This Row],['#_Non-Functional_hand_washing_stations]]</f>
        <v>0</v>
      </c>
      <c r="DF155" s="667">
        <f>IF(WWWW[[#This Row],['# Functional hand washing stations during reporting period]]*20&gt;WWWW[[#This Row],[Total HH]],WWWW[[#This Row],[Total HH]],WWWW[[#This Row],['# Functional hand washing stations during reporting period]]*20)</f>
        <v>0</v>
      </c>
      <c r="DG155" s="80">
        <f>IF(WWWW[[#This Row],[Is sufficient soap available for TLS? (Yes/No)]]="yes",WWWW[[#This Row],['#_Constructed/Existing hand washing stations at TLS]],0)</f>
        <v>0</v>
      </c>
      <c r="DH155" s="667">
        <f>IF(WWWW[[#This Row],['# Functional hand washing stations during reporting period]]*100&gt;WWWW[[#This Row],[Total PoP ]],WWWW[[#This Row],[Total PoP ]],WWWW[[#This Row],['# Functional hand washing stations during reporting period]]*100)</f>
        <v>0</v>
      </c>
      <c r="DI155" s="667" t="str">
        <f>IF(WWWW[[#This Row],['#_students at TLS_CFS]]="","No","Yes")</f>
        <v>No</v>
      </c>
      <c r="DJ155" s="245" t="str">
        <f>VLOOKUP(WWWW[[#This Row],[Site Name]],SiteDB6[[Site Name]:[CCCM Management]],6,FALSE)</f>
        <v>Yes</v>
      </c>
      <c r="DK155" s="245" t="str">
        <f>VLOOKUP(WWWW[[#This Row],[Site Name]],SiteDB6[[Site Name]:[CCCM Focal Agency]],7,FALSE)</f>
        <v>KBC-MYT</v>
      </c>
      <c r="DL155" s="245" t="str">
        <f>VLOOKUP(WWWW[[#This Row],[Site Name]],SiteDB6[[Site Name]:[Location Type 1]],9,FALSE)</f>
        <v>Camp</v>
      </c>
      <c r="DM155" s="245" t="str">
        <f>VLOOKUP(WWWW[[#This Row],[Site Name]],SiteDB6[[Site Name]:[Type of Accommodation]],10,FALSE)</f>
        <v>Camp</v>
      </c>
      <c r="DN155" s="245" t="str">
        <f>VLOOKUP(WWWW[[#This Row],[Site Name]],SiteDB6[[Site Name]:[Ethnic or GCA/NGCA]],11,FALSE)</f>
        <v>GCA</v>
      </c>
      <c r="DO155" s="245">
        <f>VLOOKUP(WWWW[[#This Row],[Site Name]],SiteDB6[[Site Name]:[Lat]],12,FALSE)</f>
        <v>25.404015000000001</v>
      </c>
      <c r="DP155" s="245">
        <f>VLOOKUP(WWWW[[#This Row],[Site Name]],SiteDB6[[Site Name]:[Long]],13,FALSE)</f>
        <v>97.382192000000003</v>
      </c>
      <c r="DQ155" s="245" t="str">
        <f>VLOOKUP(WWWW[[#This Row],[Site Name]],SiteDB6[[Site Name]:[Pcode]],3,FALSE)</f>
        <v>MMR001CMP005</v>
      </c>
      <c r="DR155" s="215" t="str">
        <f t="shared" si="5"/>
        <v>Covered</v>
      </c>
      <c r="DS155" s="215"/>
      <c r="DT155" s="39"/>
      <c r="DU155" s="39"/>
      <c r="DV155" s="20"/>
      <c r="DW155" s="20"/>
      <c r="DX155" s="20"/>
      <c r="DY155" s="20"/>
      <c r="DZ155" s="20"/>
      <c r="EA155" s="20"/>
      <c r="EB155" s="20"/>
      <c r="EC155" s="20"/>
      <c r="ED155" s="20"/>
      <c r="EE155" s="20"/>
      <c r="EF155" s="20"/>
      <c r="EG155" s="20"/>
      <c r="EH155" s="20"/>
    </row>
    <row r="156" spans="1:138" ht="15.75" customHeight="1">
      <c r="A156" s="259" t="s">
        <v>2525</v>
      </c>
      <c r="B156" s="259" t="s">
        <v>317</v>
      </c>
      <c r="C156" s="259" t="s">
        <v>317</v>
      </c>
      <c r="D156" s="663"/>
      <c r="E156" s="663" t="s">
        <v>39</v>
      </c>
      <c r="F156" s="663" t="s">
        <v>1153</v>
      </c>
      <c r="G156" s="663" t="str">
        <f>VLOOKUP(WWWW[[#This Row],[Site Name]],SiteDB6[[Site Name]:[Location Type]],8,FALSE)</f>
        <v>Camp</v>
      </c>
      <c r="H156" s="77" t="s">
        <v>2201</v>
      </c>
      <c r="I156" s="700">
        <v>127</v>
      </c>
      <c r="J156" s="700">
        <v>450</v>
      </c>
      <c r="K156" s="642"/>
      <c r="L156" s="78"/>
      <c r="M156" s="700"/>
      <c r="N156" s="700"/>
      <c r="O156" s="700"/>
      <c r="P156" s="700"/>
      <c r="Q156" s="77"/>
      <c r="R156" s="377"/>
      <c r="S156" s="377"/>
      <c r="T156" s="377"/>
      <c r="U156" s="377"/>
      <c r="V156" s="377"/>
      <c r="W156" s="377"/>
      <c r="X156" s="377"/>
      <c r="Y156" s="377"/>
      <c r="Z156" s="377"/>
      <c r="AA156" s="700"/>
      <c r="AB156" s="377"/>
      <c r="AC156" s="377"/>
      <c r="AD156" s="377"/>
      <c r="AE156" s="377"/>
      <c r="AF156" s="377"/>
      <c r="AG156" s="377"/>
      <c r="AH156" s="377"/>
      <c r="AI156" s="377"/>
      <c r="AJ156" s="377"/>
      <c r="AK156" s="377"/>
      <c r="AL156" s="377"/>
      <c r="AM156" s="377"/>
      <c r="AN156" s="377"/>
      <c r="AO156" s="215"/>
      <c r="AP156" s="377"/>
      <c r="AQ156" s="377"/>
      <c r="AR156" s="77"/>
      <c r="AS156" s="377"/>
      <c r="AT156" s="377"/>
      <c r="AU156" s="377"/>
      <c r="AV156" s="377"/>
      <c r="AW156" s="377"/>
      <c r="AX156" s="245"/>
      <c r="AY156" s="245"/>
      <c r="AZ156" s="377"/>
      <c r="BA156" s="377"/>
      <c r="BB156" s="377"/>
      <c r="BC156" s="215"/>
      <c r="BD156" s="377"/>
      <c r="BE156" s="377"/>
      <c r="BF156" s="377"/>
      <c r="BG156" s="377"/>
      <c r="BH156" s="377"/>
      <c r="BI156" s="377"/>
      <c r="BJ156" s="377"/>
      <c r="BK156" s="377"/>
      <c r="BL156" s="377"/>
      <c r="BM156" s="215"/>
      <c r="BN156" s="80"/>
      <c r="BO156" s="82"/>
      <c r="BP156" s="215"/>
      <c r="BQ156" s="79" t="str">
        <f>IFERROR(WWWW[[#This Row],['#_Water sources treated]]/WWWW[[#This Row],['#_Water sources tested for contamination]],"no test")</f>
        <v>no test</v>
      </c>
      <c r="BR156" s="82" t="str">
        <f>IFERROR(WWWW[[#This Row],['#_Household received remediation action due to contamination]]/WWWW[[#This Row],['#_Household water samples tested for contamination]],"no test")</f>
        <v>no test</v>
      </c>
      <c r="BS156" s="81" t="str">
        <f>IF(AND(WWWW[[#This Row],[% of water sources treated]]="no test",WWWW[[#This Row],[% Household received corrective actions]]="no test"),"No Test","Tested")</f>
        <v>No Test</v>
      </c>
      <c r="BT156" s="81">
        <f>WWWW[[#This Row],['#_Constructed/existing protected hand dug well]]-WWWW[[#This Row],['#_Non-functional protected hand dug well]]</f>
        <v>0</v>
      </c>
      <c r="BU156" s="81">
        <f>(WWWW[[#This Row],['#_Constructed/Existing tube wells/boreholes/handpumps_WASH_agency]]+WWWW[[#This Row],['#_Non-Cluster partner water tube-wells/boreholes/handpumps]])-WWWW[[#This Row],['#_Non-functional tube wells/boreholes/handpumps]]</f>
        <v>0</v>
      </c>
      <c r="BV156" s="81">
        <f>WWWW[[#This Row],['#_Constructed/Existingwater storage tank with gravity fed reticulation system]]-WWWW[[#This Row],['#_Non-functional storage tank gravity fed reticulation system]]</f>
        <v>0</v>
      </c>
      <c r="BW156" s="81">
        <f>WWWW[[#This Row],['#_Water boating or water trucking]]</f>
        <v>0</v>
      </c>
      <c r="BX156" s="81">
        <f>WWWW[[#This Row],['#_Constructed/Existing water distribution system from river or natural spring]]</f>
        <v>0</v>
      </c>
      <c r="BY156"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56"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56" s="82">
        <f>IF(WWWW[[#This Row],[Location Type 1]]="Village",WWWW[[#This Row],[Access to safe drinking water for Village]],WWWW[[#This Row],[Access to safe drinking water for Camp]])</f>
        <v>0</v>
      </c>
      <c r="CB156" s="80">
        <f>WWWW[[#This Row],[%Equitable and continuous access to sufficient quantity of safe drinking water]]*WWWW[[#This Row],[Total PoP ]]</f>
        <v>0</v>
      </c>
      <c r="CC156" s="82">
        <f>IF((WWWW[[#This Row],['#_Constructed/Existing protected/fenced ponds]]*250)/WWWW[[#This Row],[Total PoP ]]&gt;1,1,(WWWW[[#This Row],['#_Constructed/Existing protected/fenced ponds]]*250)/WWWW[[#This Row],[Total PoP ]])</f>
        <v>0</v>
      </c>
      <c r="CD156" s="80">
        <f>WWWW[[#This Row],[% Access to unimproved water points]]*WWWW[[#This Row],[Total PoP ]]</f>
        <v>0</v>
      </c>
      <c r="CE156"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56"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56" s="80">
        <f>WWWW[[#This Row],[HRP1]]/500</f>
        <v>0</v>
      </c>
      <c r="CH156" s="79">
        <f>1-WWWW[[#This Row],[% Equitable and continuous access to sufficient quantity of domestic water]]</f>
        <v>1</v>
      </c>
      <c r="CI156" s="80">
        <f>WWWW[[#This Row],[%equitable and continuous access to sufficient quantity of safe drinking and domestic water''s GAP]]*WWWW[[#This Row],[Total PoP ]]</f>
        <v>450</v>
      </c>
      <c r="CJ156" s="81">
        <f>IF(WWWW[[#This Row],[Total required water points]]-WWWW[[#This Row],['#Water points coverage]]&lt;0,0,WWWW[[#This Row],[Total required water points]]-WWWW[[#This Row],['#Water points coverage]])</f>
        <v>1</v>
      </c>
      <c r="CK156" s="81">
        <f>ROUND(IF(WWWW[[#This Row],[Total PoP ]]&lt;500,1,WWWW[[#This Row],[Total PoP ]]/500),0)</f>
        <v>1</v>
      </c>
      <c r="CL156" s="81">
        <f>(WWWW[[#This Row],['#_Constructed latrines_by_WASHAgencies]]+WWWW[[#This Row],['#_Non Cluster partner latrines]])-WWWW[[#This Row],['#_Non-functional latrines]]</f>
        <v>0</v>
      </c>
      <c r="CM156"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56"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56"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56" s="81">
        <f>IF(WWWW[[#This Row],[Location Type 1]]="Village","NA",IF(WWWW[[#This Row],['#_Constructed/Existing latrines in TLS]]*50&gt;WWWW[[#This Row],['#_students at TLS_CFS]],WWWW[[#This Row],['#_students at TLS_CFS]],(WWWW[[#This Row],['#_Constructed/Existing latrines in TLS]]*50)))</f>
        <v>0</v>
      </c>
      <c r="CQ156" s="81">
        <f>ROUND(IF(WWWW[[#This Row],[Location Type 1]]="camp",WWWW[[#This Row],[Total PoP ]]/20,IF(WWWW[[#This Row],[Location Type 1]]="Temporary Location",WWWW[[#This Row],[Total PoP ]]/50,(WWWW[[#This Row],[Total PoP ]]/6))),0)</f>
        <v>23</v>
      </c>
      <c r="CR156" s="80">
        <f>IF(WWWW[[#This Row],[Total required Latrines]]-(WWWW[[#This Row],['#_Constructed latrines_by_WASHAgencies]]+WWWW[[#This Row],['#_Non Cluster partner latrines]])&lt;0,0,WWWW[[#This Row],[Total required Latrines]]-(WWWW[[#This Row],['#_Constructed latrines_by_WASHAgencies]]+WWWW[[#This Row],['#_Non Cluster partner latrines]]))</f>
        <v>23</v>
      </c>
      <c r="CS156" s="79">
        <f>1-WWWW[[#This Row],[% people access to functioning Latrine]]</f>
        <v>1</v>
      </c>
      <c r="CT156" s="83">
        <f>IF(OR(WWWW[[#This Row],['#_Non-functional latrines]]="",WWWW[[#This Row],['#_Non-functional latrines]]=0),0,WWWW[[#This Row],['#_Non-functional latrines]]/(WWWW[[#This Row],['#_Constructed latrines_by_WASHAgencies]]+WWWW[[#This Row],['#_Non Cluster partner latrines]]))</f>
        <v>0</v>
      </c>
      <c r="CU156" s="80">
        <f>IF(500*(WWWW[[#This Row],['#_male hygiene promoters]]+WWWW[[#This Row],['#_female hygiene promoters]])&gt;WWWW[[#This Row],[Total PoP ]],WWWW[[#This Row],[Total PoP ]],500*(WWWW[[#This Row],['#_male hygiene promoters]]+WWWW[[#This Row],['#_female hygiene promoters]]))</f>
        <v>0</v>
      </c>
      <c r="CV156"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56"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56" s="81">
        <f>IF(WWWW[[#This Row],['# People with access to soap]]&gt;WWWW[[#This Row],['# People with access to Sanity Pads]],WWWW[[#This Row],['# People with access to soap]],WWWW[[#This Row],['# People with access to Sanity Pads]])</f>
        <v>0</v>
      </c>
      <c r="CY156"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56" s="79">
        <f>IF(WWWW[[#This Row],[HRP3]]/WWWW[[#This Row],[Total PoP ]]&gt;100%,100%,WWWW[[#This Row],[HRP3]]/WWWW[[#This Row],[Total PoP ]])</f>
        <v>0</v>
      </c>
      <c r="DA156" s="83">
        <f>1-WWWW[[#This Row],[Hygiene Coverage%]]</f>
        <v>1</v>
      </c>
      <c r="DB156" s="82">
        <f>WWWW[[#This Row],['# people reached by regular dedicated hygiene promotion_5]]/WWWW[[#This Row],[Total PoP ]]</f>
        <v>0</v>
      </c>
      <c r="DC156" s="82">
        <f>IF(WWWW[[#This Row],['#_households that received standard amount of soap for this quarter]]/WWWW[[#This Row],[Total HH]]&gt;1,1,WWWW[[#This Row],['#_households that received standard amount of soap for this quarter]]/WWWW[[#This Row],[Total HH]])</f>
        <v>0</v>
      </c>
      <c r="DD156" s="82">
        <f>IF(WWWW[[#This Row],['#_households that received standard amount of sanitary pads for this quarter]]/WWWW[[#This Row],[Total HH]]&gt;1,1,WWWW[[#This Row],['#_households that received standard amount of sanitary pads for this quarter]]/WWWW[[#This Row],[Total HH]])</f>
        <v>0</v>
      </c>
      <c r="DE156" s="81">
        <f>WWWW[[#This Row],['#_Constructed/Existing hand washing stations]]-WWWW[[#This Row],['#_Non-Functional_hand_washing_stations]]</f>
        <v>0</v>
      </c>
      <c r="DF156" s="667">
        <f>IF(WWWW[[#This Row],['# Functional hand washing stations during reporting period]]*20&gt;WWWW[[#This Row],[Total HH]],WWWW[[#This Row],[Total HH]],WWWW[[#This Row],['# Functional hand washing stations during reporting period]]*20)</f>
        <v>0</v>
      </c>
      <c r="DG156" s="80">
        <f>IF(WWWW[[#This Row],[Is sufficient soap available for TLS? (Yes/No)]]="yes",WWWW[[#This Row],['#_Constructed/Existing hand washing stations at TLS]],0)</f>
        <v>0</v>
      </c>
      <c r="DH156" s="667">
        <f>IF(WWWW[[#This Row],['# Functional hand washing stations during reporting period]]*100&gt;WWWW[[#This Row],[Total PoP ]],WWWW[[#This Row],[Total PoP ]],WWWW[[#This Row],['# Functional hand washing stations during reporting period]]*100)</f>
        <v>0</v>
      </c>
      <c r="DI156" s="667" t="str">
        <f>IF(WWWW[[#This Row],['#_students at TLS_CFS]]="","No","Yes")</f>
        <v>No</v>
      </c>
      <c r="DJ156" s="245" t="str">
        <f>VLOOKUP(WWWW[[#This Row],[Site Name]],SiteDB6[[Site Name]:[CCCM Management]],6,FALSE)</f>
        <v>Yes</v>
      </c>
      <c r="DK156" s="245" t="str">
        <f>VLOOKUP(WWWW[[#This Row],[Site Name]],SiteDB6[[Site Name]:[CCCM Focal Agency]],7,FALSE)</f>
        <v>KBC-MYT</v>
      </c>
      <c r="DL156" s="245" t="str">
        <f>VLOOKUP(WWWW[[#This Row],[Site Name]],SiteDB6[[Site Name]:[Location Type 1]],9,FALSE)</f>
        <v>Camp</v>
      </c>
      <c r="DM156" s="245" t="str">
        <f>VLOOKUP(WWWW[[#This Row],[Site Name]],SiteDB6[[Site Name]:[Type of Accommodation]],10,FALSE)</f>
        <v>Camp</v>
      </c>
      <c r="DN156" s="245" t="str">
        <f>VLOOKUP(WWWW[[#This Row],[Site Name]],SiteDB6[[Site Name]:[Ethnic or GCA/NGCA]],11,FALSE)</f>
        <v>GCA</v>
      </c>
      <c r="DO156" s="245">
        <f>VLOOKUP(WWWW[[#This Row],[Site Name]],SiteDB6[[Site Name]:[Lat]],12,FALSE)</f>
        <v>0</v>
      </c>
      <c r="DP156" s="245">
        <f>VLOOKUP(WWWW[[#This Row],[Site Name]],SiteDB6[[Site Name]:[Long]],13,FALSE)</f>
        <v>0</v>
      </c>
      <c r="DQ156" s="245" t="str">
        <f>VLOOKUP(WWWW[[#This Row],[Site Name]],SiteDB6[[Site Name]:[Pcode]],3,FALSE)</f>
        <v>MMR001CMP253</v>
      </c>
      <c r="DR156" s="215" t="str">
        <f t="shared" si="5"/>
        <v>Notcovered</v>
      </c>
      <c r="DS156" s="215"/>
      <c r="DT156" s="20"/>
      <c r="DU156" s="20"/>
      <c r="DV156" s="20"/>
      <c r="DW156" s="20"/>
      <c r="DX156" s="20"/>
      <c r="DY156" s="20"/>
      <c r="DZ156" s="20"/>
      <c r="EA156" s="20"/>
      <c r="EB156" s="20"/>
      <c r="EC156" s="20"/>
      <c r="ED156" s="20"/>
      <c r="EE156" s="20"/>
      <c r="EF156" s="20"/>
      <c r="EG156" s="20"/>
      <c r="EH156" s="20"/>
    </row>
    <row r="157" spans="1:138" ht="15.75" customHeight="1">
      <c r="A157" s="259" t="s">
        <v>2525</v>
      </c>
      <c r="B157" s="663" t="s">
        <v>250</v>
      </c>
      <c r="C157" s="663" t="s">
        <v>250</v>
      </c>
      <c r="D157" s="663" t="s">
        <v>315</v>
      </c>
      <c r="E157" s="663" t="s">
        <v>39</v>
      </c>
      <c r="F157" s="663" t="s">
        <v>150</v>
      </c>
      <c r="G157" s="663" t="str">
        <f>VLOOKUP(WWWW[[#This Row],[Site Name]],SiteDB6[[Site Name]:[Location Type]],8,FALSE)</f>
        <v>Camp</v>
      </c>
      <c r="H157" s="663" t="s">
        <v>279</v>
      </c>
      <c r="I157" s="700">
        <v>115</v>
      </c>
      <c r="J157" s="700">
        <v>493</v>
      </c>
      <c r="K157" s="642">
        <v>43313</v>
      </c>
      <c r="L157" s="58">
        <v>44043</v>
      </c>
      <c r="M157" s="700">
        <v>134</v>
      </c>
      <c r="N157" s="700">
        <v>1</v>
      </c>
      <c r="O157" s="700">
        <v>0</v>
      </c>
      <c r="P157" s="700">
        <v>0</v>
      </c>
      <c r="Q157" s="663" t="s">
        <v>43</v>
      </c>
      <c r="R157" s="377">
        <v>3</v>
      </c>
      <c r="S157" s="377">
        <v>4</v>
      </c>
      <c r="T157" s="377">
        <v>1</v>
      </c>
      <c r="U157" s="377">
        <v>1</v>
      </c>
      <c r="V157" s="377">
        <v>0</v>
      </c>
      <c r="W157" s="377">
        <v>1</v>
      </c>
      <c r="X157" s="377">
        <v>4</v>
      </c>
      <c r="Y157" s="377">
        <v>1</v>
      </c>
      <c r="Z157" s="377">
        <v>4</v>
      </c>
      <c r="AA157" s="700">
        <v>0</v>
      </c>
      <c r="AB157" s="377">
        <v>0</v>
      </c>
      <c r="AC157" s="377">
        <v>0</v>
      </c>
      <c r="AD157" s="377">
        <v>0</v>
      </c>
      <c r="AE157" s="377">
        <v>0</v>
      </c>
      <c r="AF157" s="377">
        <v>0</v>
      </c>
      <c r="AG157" s="377">
        <v>0</v>
      </c>
      <c r="AH157" s="377">
        <v>0</v>
      </c>
      <c r="AI157" s="377"/>
      <c r="AJ157" s="377"/>
      <c r="AK157" s="377"/>
      <c r="AL157" s="377"/>
      <c r="AM157" s="377">
        <v>0</v>
      </c>
      <c r="AN157" s="377">
        <v>0</v>
      </c>
      <c r="AO157" s="215"/>
      <c r="AP157" s="377">
        <v>0</v>
      </c>
      <c r="AQ157" s="377">
        <v>10</v>
      </c>
      <c r="AR157" s="77" t="s">
        <v>1249</v>
      </c>
      <c r="AS157" s="377">
        <v>0</v>
      </c>
      <c r="AT157" s="377">
        <v>0</v>
      </c>
      <c r="AU157" s="377">
        <v>4</v>
      </c>
      <c r="AV157" s="377"/>
      <c r="AW157" s="700">
        <v>0</v>
      </c>
      <c r="AX157" s="694" t="s">
        <v>43</v>
      </c>
      <c r="AY157" s="245" t="s">
        <v>145</v>
      </c>
      <c r="AZ157" s="377">
        <v>0</v>
      </c>
      <c r="BA157" s="377">
        <v>0</v>
      </c>
      <c r="BB157" s="377">
        <v>0</v>
      </c>
      <c r="BC157" s="215"/>
      <c r="BD157" s="377">
        <v>5</v>
      </c>
      <c r="BE157" s="377">
        <v>0</v>
      </c>
      <c r="BF157" s="377">
        <v>0</v>
      </c>
      <c r="BG157" s="377">
        <v>2</v>
      </c>
      <c r="BH157" s="377">
        <v>0</v>
      </c>
      <c r="BI157" s="377">
        <v>0</v>
      </c>
      <c r="BJ157" s="377">
        <v>0</v>
      </c>
      <c r="BK157" s="377">
        <v>0</v>
      </c>
      <c r="BL157" s="377">
        <v>0</v>
      </c>
      <c r="BM157" s="215" t="s">
        <v>43</v>
      </c>
      <c r="BN157" s="80">
        <v>20</v>
      </c>
      <c r="BO157" s="82">
        <v>0.2</v>
      </c>
      <c r="BP157" s="215"/>
      <c r="BQ157" s="79" t="str">
        <f>IFERROR(WWWW[[#This Row],['#_Water sources treated]]/WWWW[[#This Row],['#_Water sources tested for contamination]],"no test")</f>
        <v>no test</v>
      </c>
      <c r="BR157" s="82" t="str">
        <f>IFERROR(WWWW[[#This Row],['#_Household received remediation action due to contamination]]/WWWW[[#This Row],['#_Household water samples tested for contamination]],"no test")</f>
        <v>no test</v>
      </c>
      <c r="BS157" s="81" t="str">
        <f>IF(AND(WWWW[[#This Row],[% of water sources treated]]="no test",WWWW[[#This Row],[% Household received corrective actions]]="no test"),"No Test","Tested")</f>
        <v>No Test</v>
      </c>
      <c r="BT157" s="81">
        <f>WWWW[[#This Row],['#_Constructed/existing protected hand dug well]]-WWWW[[#This Row],['#_Non-functional protected hand dug well]]</f>
        <v>0</v>
      </c>
      <c r="BU157" s="81">
        <f>(WWWW[[#This Row],['#_Constructed/Existing tube wells/boreholes/handpumps_WASH_agency]]+WWWW[[#This Row],['#_Non-Cluster partner water tube-wells/boreholes/handpumps]])-WWWW[[#This Row],['#_Non-functional tube wells/boreholes/handpumps]]</f>
        <v>4</v>
      </c>
      <c r="BV157" s="81">
        <f>WWWW[[#This Row],['#_Constructed/Existingwater storage tank with gravity fed reticulation system]]-WWWW[[#This Row],['#_Non-functional storage tank gravity fed reticulation system]]</f>
        <v>0</v>
      </c>
      <c r="BW157" s="81">
        <f>WWWW[[#This Row],['#_Water boating or water trucking]]</f>
        <v>0</v>
      </c>
      <c r="BX157" s="81">
        <f>WWWW[[#This Row],['#_Constructed/Existing water distribution system from river or natural spring]]</f>
        <v>0</v>
      </c>
      <c r="BY157"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57"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57" s="82">
        <f>IF(WWWW[[#This Row],[Location Type 1]]="Village",WWWW[[#This Row],[Access to safe drinking water for Village]],WWWW[[#This Row],[Access to safe drinking water for Camp]])</f>
        <v>1</v>
      </c>
      <c r="CB157" s="80">
        <f>WWWW[[#This Row],[%Equitable and continuous access to sufficient quantity of safe drinking water]]*WWWW[[#This Row],[Total PoP ]]</f>
        <v>493</v>
      </c>
      <c r="CC157" s="82">
        <f>IF((WWWW[[#This Row],['#_Constructed/Existing protected/fenced ponds]]*250)/WWWW[[#This Row],[Total PoP ]]&gt;1,1,(WWWW[[#This Row],['#_Constructed/Existing protected/fenced ponds]]*250)/WWWW[[#This Row],[Total PoP ]])</f>
        <v>0</v>
      </c>
      <c r="CD157" s="80">
        <f>WWWW[[#This Row],[% Access to unimproved water points]]*WWWW[[#This Row],[Total PoP ]]</f>
        <v>0</v>
      </c>
      <c r="CE157"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57"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493</v>
      </c>
      <c r="CG157" s="80">
        <f>WWWW[[#This Row],[HRP1]]/500</f>
        <v>0.98599999999999999</v>
      </c>
      <c r="CH157" s="79">
        <f>1-WWWW[[#This Row],[% Equitable and continuous access to sufficient quantity of domestic water]]</f>
        <v>0</v>
      </c>
      <c r="CI157" s="80">
        <f>WWWW[[#This Row],[%equitable and continuous access to sufficient quantity of safe drinking and domestic water''s GAP]]*WWWW[[#This Row],[Total PoP ]]</f>
        <v>0</v>
      </c>
      <c r="CJ157" s="81">
        <f>IF(WWWW[[#This Row],[Total required water points]]-WWWW[[#This Row],['#Water points coverage]]&lt;0,0,WWWW[[#This Row],[Total required water points]]-WWWW[[#This Row],['#Water points coverage]])</f>
        <v>1.4000000000000012E-2</v>
      </c>
      <c r="CK157" s="81">
        <f>ROUND(IF(WWWW[[#This Row],[Total PoP ]]&lt;500,1,WWWW[[#This Row],[Total PoP ]]/500),0)</f>
        <v>1</v>
      </c>
      <c r="CL157" s="81">
        <f>(WWWW[[#This Row],['#_Constructed latrines_by_WASHAgencies]]+WWWW[[#This Row],['#_Non Cluster partner latrines]])-WWWW[[#This Row],['#_Non-functional latrines]]</f>
        <v>10</v>
      </c>
      <c r="CM157"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0.40567951318458417</v>
      </c>
      <c r="CN157"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200</v>
      </c>
      <c r="CO157"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80</v>
      </c>
      <c r="CP157" s="81">
        <f>IF(WWWW[[#This Row],[Location Type 1]]="Village","NA",IF(WWWW[[#This Row],['#_Constructed/Existing latrines in TLS]]*50&gt;WWWW[[#This Row],['#_students at TLS_CFS]],WWWW[[#This Row],['#_students at TLS_CFS]],(WWWW[[#This Row],['#_Constructed/Existing latrines in TLS]]*50)))</f>
        <v>0</v>
      </c>
      <c r="CQ157" s="81">
        <f>ROUND(IF(WWWW[[#This Row],[Location Type 1]]="camp",WWWW[[#This Row],[Total PoP ]]/20,IF(WWWW[[#This Row],[Location Type 1]]="Temporary Location",WWWW[[#This Row],[Total PoP ]]/50,(WWWW[[#This Row],[Total PoP ]]/6))),0)</f>
        <v>25</v>
      </c>
      <c r="CR157" s="80">
        <f>IF(WWWW[[#This Row],[Total required Latrines]]-(WWWW[[#This Row],['#_Constructed latrines_by_WASHAgencies]]+WWWW[[#This Row],['#_Non Cluster partner latrines]])&lt;0,0,WWWW[[#This Row],[Total required Latrines]]-(WWWW[[#This Row],['#_Constructed latrines_by_WASHAgencies]]+WWWW[[#This Row],['#_Non Cluster partner latrines]]))</f>
        <v>15</v>
      </c>
      <c r="CS157" s="79">
        <f>1-WWWW[[#This Row],[% people access to functioning Latrine]]</f>
        <v>0.59432048681541583</v>
      </c>
      <c r="CT157" s="83">
        <f>IF(OR(WWWW[[#This Row],['#_Non-functional latrines]]="",WWWW[[#This Row],['#_Non-functional latrines]]=0),0,WWWW[[#This Row],['#_Non-functional latrines]]/(WWWW[[#This Row],['#_Constructed latrines_by_WASHAgencies]]+WWWW[[#This Row],['#_Non Cluster partner latrines]]))</f>
        <v>0</v>
      </c>
      <c r="CU157" s="80">
        <f>IF(500*(WWWW[[#This Row],['#_male hygiene promoters]]+WWWW[[#This Row],['#_female hygiene promoters]])&gt;WWWW[[#This Row],[Total PoP ]],WWWW[[#This Row],[Total PoP ]],500*(WWWW[[#This Row],['#_male hygiene promoters]]+WWWW[[#This Row],['#_female hygiene promoters]]))</f>
        <v>0</v>
      </c>
      <c r="CV157"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57"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57" s="81">
        <f>IF(WWWW[[#This Row],['# People with access to soap]]&gt;WWWW[[#This Row],['# People with access to Sanity Pads]],WWWW[[#This Row],['# People with access to soap]],WWWW[[#This Row],['# People with access to Sanity Pads]])</f>
        <v>0</v>
      </c>
      <c r="CY157"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57" s="79">
        <f>IF(WWWW[[#This Row],[HRP3]]/WWWW[[#This Row],[Total PoP ]]&gt;100%,100%,WWWW[[#This Row],[HRP3]]/WWWW[[#This Row],[Total PoP ]])</f>
        <v>0</v>
      </c>
      <c r="DA157" s="83">
        <f>1-WWWW[[#This Row],[Hygiene Coverage%]]</f>
        <v>1</v>
      </c>
      <c r="DB157" s="82">
        <f>WWWW[[#This Row],['# people reached by regular dedicated hygiene promotion_5]]/WWWW[[#This Row],[Total PoP ]]</f>
        <v>0</v>
      </c>
      <c r="DC157" s="82">
        <f>IF(WWWW[[#This Row],['#_households that received standard amount of soap for this quarter]]/WWWW[[#This Row],[Total HH]]&gt;1,1,WWWW[[#This Row],['#_households that received standard amount of soap for this quarter]]/WWWW[[#This Row],[Total HH]])</f>
        <v>0</v>
      </c>
      <c r="DD157" s="82">
        <f>IF(WWWW[[#This Row],['#_households that received standard amount of sanitary pads for this quarter]]/WWWW[[#This Row],[Total HH]]&gt;1,1,WWWW[[#This Row],['#_households that received standard amount of sanitary pads for this quarter]]/WWWW[[#This Row],[Total HH]])</f>
        <v>0</v>
      </c>
      <c r="DE157" s="81">
        <f>WWWW[[#This Row],['#_Constructed/Existing hand washing stations]]-WWWW[[#This Row],['#_Non-Functional_hand_washing_stations]]</f>
        <v>5</v>
      </c>
      <c r="DF157" s="667">
        <f>IF(WWWW[[#This Row],['# Functional hand washing stations during reporting period]]*20&gt;WWWW[[#This Row],[Total HH]],WWWW[[#This Row],[Total HH]],WWWW[[#This Row],['# Functional hand washing stations during reporting period]]*20)</f>
        <v>100</v>
      </c>
      <c r="DG157" s="80">
        <f>IF(WWWW[[#This Row],[Is sufficient soap available for TLS? (Yes/No)]]="yes",WWWW[[#This Row],['#_Constructed/Existing hand washing stations at TLS]],0)</f>
        <v>0</v>
      </c>
      <c r="DH157" s="667">
        <f>IF(WWWW[[#This Row],['# Functional hand washing stations during reporting period]]*100&gt;WWWW[[#This Row],[Total PoP ]],WWWW[[#This Row],[Total PoP ]],WWWW[[#This Row],['# Functional hand washing stations during reporting period]]*100)</f>
        <v>493</v>
      </c>
      <c r="DI157" s="667" t="str">
        <f>IF(WWWW[[#This Row],['#_students at TLS_CFS]]="","No","Yes")</f>
        <v>Yes</v>
      </c>
      <c r="DJ157" s="245" t="str">
        <f>VLOOKUP(WWWW[[#This Row],[Site Name]],SiteDB6[[Site Name]:[CCCM Management]],6,FALSE)</f>
        <v>Yes</v>
      </c>
      <c r="DK157" s="245" t="str">
        <f>VLOOKUP(WWWW[[#This Row],[Site Name]],SiteDB6[[Site Name]:[CCCM Focal Agency]],7,FALSE)</f>
        <v>Shalom</v>
      </c>
      <c r="DL157" s="245" t="str">
        <f>VLOOKUP(WWWW[[#This Row],[Site Name]],SiteDB6[[Site Name]:[Location Type 1]],9,FALSE)</f>
        <v>Camp</v>
      </c>
      <c r="DM157" s="245" t="str">
        <f>VLOOKUP(WWWW[[#This Row],[Site Name]],SiteDB6[[Site Name]:[Type of Accommodation]],10,FALSE)</f>
        <v>Camp</v>
      </c>
      <c r="DN157" s="245" t="str">
        <f>VLOOKUP(WWWW[[#This Row],[Site Name]],SiteDB6[[Site Name]:[Ethnic or GCA/NGCA]],11,FALSE)</f>
        <v>GCA</v>
      </c>
      <c r="DO157" s="245">
        <f>VLOOKUP(WWWW[[#This Row],[Site Name]],SiteDB6[[Site Name]:[Lat]],12,FALSE)</f>
        <v>25.3540362037037</v>
      </c>
      <c r="DP157" s="245">
        <f>VLOOKUP(WWWW[[#This Row],[Site Name]],SiteDB6[[Site Name]:[Long]],13,FALSE)</f>
        <v>97.441166388888902</v>
      </c>
      <c r="DQ157" s="245" t="str">
        <f>VLOOKUP(WWWW[[#This Row],[Site Name]],SiteDB6[[Site Name]:[Pcode]],3,FALSE)</f>
        <v>MMR001CMP032</v>
      </c>
      <c r="DR157" s="215" t="str">
        <f t="shared" si="5"/>
        <v>Covered</v>
      </c>
      <c r="DS157" s="215"/>
      <c r="DT157" s="20"/>
      <c r="DU157" s="20"/>
      <c r="DV157" s="20"/>
      <c r="DW157" s="20"/>
      <c r="DX157" s="20"/>
      <c r="DY157" s="20"/>
      <c r="DZ157" s="20"/>
      <c r="EA157" s="20"/>
      <c r="EB157" s="20"/>
      <c r="EC157" s="20"/>
      <c r="ED157" s="20"/>
      <c r="EE157" s="20"/>
      <c r="EF157" s="20"/>
      <c r="EG157" s="20"/>
      <c r="EH157" s="20"/>
    </row>
    <row r="158" spans="1:138" ht="15.75" customHeight="1">
      <c r="A158" s="259" t="s">
        <v>2525</v>
      </c>
      <c r="B158" s="259" t="s">
        <v>149</v>
      </c>
      <c r="C158" s="663" t="s">
        <v>149</v>
      </c>
      <c r="D158" s="663" t="s">
        <v>158</v>
      </c>
      <c r="E158" s="663" t="s">
        <v>39</v>
      </c>
      <c r="F158" s="663" t="s">
        <v>167</v>
      </c>
      <c r="G158" s="663" t="str">
        <f>VLOOKUP(WWWW[[#This Row],[Site Name]],SiteDB6[[Site Name]:[Location Type]],8,FALSE)</f>
        <v>Camp</v>
      </c>
      <c r="H158" s="663" t="s">
        <v>2019</v>
      </c>
      <c r="I158" s="700">
        <v>18</v>
      </c>
      <c r="J158" s="700">
        <v>87</v>
      </c>
      <c r="K158" s="642">
        <v>43556</v>
      </c>
      <c r="L158" s="78">
        <v>43677</v>
      </c>
      <c r="M158" s="700"/>
      <c r="N158" s="700"/>
      <c r="O158" s="700"/>
      <c r="P158" s="700"/>
      <c r="Q158" s="663" t="s">
        <v>43</v>
      </c>
      <c r="R158" s="377"/>
      <c r="S158" s="377"/>
      <c r="T158" s="700">
        <v>0</v>
      </c>
      <c r="U158" s="377"/>
      <c r="V158" s="377"/>
      <c r="W158" s="700">
        <v>0</v>
      </c>
      <c r="X158" s="377"/>
      <c r="Y158" s="377"/>
      <c r="Z158" s="377"/>
      <c r="AA158" s="700">
        <v>1</v>
      </c>
      <c r="AB158" s="377"/>
      <c r="AC158" s="377"/>
      <c r="AD158" s="377"/>
      <c r="AE158" s="377"/>
      <c r="AF158" s="377"/>
      <c r="AG158" s="377"/>
      <c r="AH158" s="700">
        <v>0</v>
      </c>
      <c r="AI158" s="377"/>
      <c r="AJ158" s="377"/>
      <c r="AK158" s="377"/>
      <c r="AL158" s="377"/>
      <c r="AM158" s="377"/>
      <c r="AN158" s="377"/>
      <c r="AO158" s="215"/>
      <c r="AP158" s="700">
        <v>10</v>
      </c>
      <c r="AQ158" s="377"/>
      <c r="AR158" s="77"/>
      <c r="AS158" s="377"/>
      <c r="AT158" s="377"/>
      <c r="AU158" s="377"/>
      <c r="AV158" s="377"/>
      <c r="AW158" s="700">
        <v>10</v>
      </c>
      <c r="AX158" s="245" t="s">
        <v>43</v>
      </c>
      <c r="AY158" s="245" t="s">
        <v>145</v>
      </c>
      <c r="AZ158" s="377"/>
      <c r="BA158" s="377"/>
      <c r="BB158" s="377"/>
      <c r="BC158" s="215"/>
      <c r="BD158" s="377"/>
      <c r="BE158" s="377"/>
      <c r="BF158" s="377"/>
      <c r="BG158" s="377">
        <v>0</v>
      </c>
      <c r="BH158" s="377"/>
      <c r="BI158" s="377"/>
      <c r="BJ158" s="377">
        <v>1</v>
      </c>
      <c r="BK158" s="377"/>
      <c r="BL158" s="377"/>
      <c r="BM158" s="215"/>
      <c r="BN158" s="80"/>
      <c r="BO158" s="82"/>
      <c r="BP158" s="215"/>
      <c r="BQ158" s="79" t="str">
        <f>IFERROR(WWWW[[#This Row],['#_Water sources treated]]/WWWW[[#This Row],['#_Water sources tested for contamination]],"no test")</f>
        <v>no test</v>
      </c>
      <c r="BR158" s="82" t="str">
        <f>IFERROR(WWWW[[#This Row],['#_Household received remediation action due to contamination]]/WWWW[[#This Row],['#_Household water samples tested for contamination]],"no test")</f>
        <v>no test</v>
      </c>
      <c r="BS158" s="81" t="str">
        <f>IF(AND(WWWW[[#This Row],[% of water sources treated]]="no test",WWWW[[#This Row],[% Household received corrective actions]]="no test"),"No Test","Tested")</f>
        <v>No Test</v>
      </c>
      <c r="BT158" s="81">
        <f>WWWW[[#This Row],['#_Constructed/existing protected hand dug well]]-WWWW[[#This Row],['#_Non-functional protected hand dug well]]</f>
        <v>0</v>
      </c>
      <c r="BU158" s="81">
        <f>(WWWW[[#This Row],['#_Constructed/Existing tube wells/boreholes/handpumps_WASH_agency]]+WWWW[[#This Row],['#_Non-Cluster partner water tube-wells/boreholes/handpumps]])-WWWW[[#This Row],['#_Non-functional tube wells/boreholes/handpumps]]</f>
        <v>0</v>
      </c>
      <c r="BV158" s="81">
        <f>WWWW[[#This Row],['#_Constructed/Existingwater storage tank with gravity fed reticulation system]]-WWWW[[#This Row],['#_Non-functional storage tank gravity fed reticulation system]]</f>
        <v>1</v>
      </c>
      <c r="BW158" s="81">
        <f>WWWW[[#This Row],['#_Water boating or water trucking]]</f>
        <v>0</v>
      </c>
      <c r="BX158" s="81">
        <f>WWWW[[#This Row],['#_Constructed/Existing water distribution system from river or natural spring]]</f>
        <v>0</v>
      </c>
      <c r="BY158"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0.76628352490421459</v>
      </c>
      <c r="BZ158"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0.76628352490421459</v>
      </c>
      <c r="CA158" s="82">
        <f>IF(WWWW[[#This Row],[Location Type 1]]="Village",WWWW[[#This Row],[Access to safe drinking water for Village]],WWWW[[#This Row],[Access to safe drinking water for Camp]])</f>
        <v>0.76628352490421459</v>
      </c>
      <c r="CB158" s="80">
        <f>WWWW[[#This Row],[%Equitable and continuous access to sufficient quantity of safe drinking water]]*WWWW[[#This Row],[Total PoP ]]</f>
        <v>66.666666666666671</v>
      </c>
      <c r="CC158" s="82">
        <f>IF((WWWW[[#This Row],['#_Constructed/Existing protected/fenced ponds]]*250)/WWWW[[#This Row],[Total PoP ]]&gt;1,1,(WWWW[[#This Row],['#_Constructed/Existing protected/fenced ponds]]*250)/WWWW[[#This Row],[Total PoP ]])</f>
        <v>0</v>
      </c>
      <c r="CD158" s="80">
        <f>WWWW[[#This Row],[% Access to unimproved water points]]*WWWW[[#This Row],[Total PoP ]]</f>
        <v>0</v>
      </c>
      <c r="CE158"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0.76628352490421459</v>
      </c>
      <c r="CF158"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66.666666666666671</v>
      </c>
      <c r="CG158" s="80">
        <f>WWWW[[#This Row],[HRP1]]/500</f>
        <v>0.13333333333333333</v>
      </c>
      <c r="CH158" s="79">
        <f>1-WWWW[[#This Row],[% Equitable and continuous access to sufficient quantity of domestic water]]</f>
        <v>0.23371647509578541</v>
      </c>
      <c r="CI158" s="80">
        <f>WWWW[[#This Row],[%equitable and continuous access to sufficient quantity of safe drinking and domestic water''s GAP]]*WWWW[[#This Row],[Total PoP ]]</f>
        <v>20.333333333333332</v>
      </c>
      <c r="CJ158" s="81">
        <f>IF(WWWW[[#This Row],[Total required water points]]-WWWW[[#This Row],['#Water points coverage]]&lt;0,0,WWWW[[#This Row],[Total required water points]]-WWWW[[#This Row],['#Water points coverage]])</f>
        <v>0.8666666666666667</v>
      </c>
      <c r="CK158" s="81">
        <f>ROUND(IF(WWWW[[#This Row],[Total PoP ]]&lt;500,1,WWWW[[#This Row],[Total PoP ]]/500),0)</f>
        <v>1</v>
      </c>
      <c r="CL158" s="81">
        <f>(WWWW[[#This Row],['#_Constructed latrines_by_WASHAgencies]]+WWWW[[#This Row],['#_Non Cluster partner latrines]])-WWWW[[#This Row],['#_Non-functional latrines]]</f>
        <v>10</v>
      </c>
      <c r="CM158"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58"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87</v>
      </c>
      <c r="CO158"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58" s="81">
        <f>IF(WWWW[[#This Row],[Location Type 1]]="Village","NA",IF(WWWW[[#This Row],['#_Constructed/Existing latrines in TLS]]*50&gt;WWWW[[#This Row],['#_students at TLS_CFS]],WWWW[[#This Row],['#_students at TLS_CFS]],(WWWW[[#This Row],['#_Constructed/Existing latrines in TLS]]*50)))</f>
        <v>0</v>
      </c>
      <c r="CQ158" s="81">
        <f>ROUND(IF(WWWW[[#This Row],[Location Type 1]]="camp",WWWW[[#This Row],[Total PoP ]]/20,IF(WWWW[[#This Row],[Location Type 1]]="Temporary Location",WWWW[[#This Row],[Total PoP ]]/50,(WWWW[[#This Row],[Total PoP ]]/6))),0)</f>
        <v>4</v>
      </c>
      <c r="CR158" s="80">
        <f>IF(WWWW[[#This Row],[Total required Latrines]]-(WWWW[[#This Row],['#_Constructed latrines_by_WASHAgencies]]+WWWW[[#This Row],['#_Non Cluster partner latrines]])&lt;0,0,WWWW[[#This Row],[Total required Latrines]]-(WWWW[[#This Row],['#_Constructed latrines_by_WASHAgencies]]+WWWW[[#This Row],['#_Non Cluster partner latrines]]))</f>
        <v>0</v>
      </c>
      <c r="CS158" s="79">
        <f>1-WWWW[[#This Row],[% people access to functioning Latrine]]</f>
        <v>0</v>
      </c>
      <c r="CT158" s="83">
        <f>IF(OR(WWWW[[#This Row],['#_Non-functional latrines]]="",WWWW[[#This Row],['#_Non-functional latrines]]=0),0,WWWW[[#This Row],['#_Non-functional latrines]]/(WWWW[[#This Row],['#_Constructed latrines_by_WASHAgencies]]+WWWW[[#This Row],['#_Non Cluster partner latrines]]))</f>
        <v>0</v>
      </c>
      <c r="CU158" s="80">
        <f>IF(500*(WWWW[[#This Row],['#_male hygiene promoters]]+WWWW[[#This Row],['#_female hygiene promoters]])&gt;WWWW[[#This Row],[Total PoP ]],WWWW[[#This Row],[Total PoP ]],500*(WWWW[[#This Row],['#_male hygiene promoters]]+WWWW[[#This Row],['#_female hygiene promoters]]))</f>
        <v>87</v>
      </c>
      <c r="CV158"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58"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58" s="81">
        <f>IF(WWWW[[#This Row],['# People with access to soap]]&gt;WWWW[[#This Row],['# People with access to Sanity Pads]],WWWW[[#This Row],['# People with access to soap]],WWWW[[#This Row],['# People with access to Sanity Pads]])</f>
        <v>0</v>
      </c>
      <c r="CY158" s="81">
        <f>IF(WWWW[[#This Row],['# people reached by regular dedicated hygiene promotion_5]]&gt;WWWW[[#This Row],['# People received regular supply of hygiene items_6]],WWWW[[#This Row],['# people reached by regular dedicated hygiene promotion_5]],WWWW[[#This Row],['# People received regular supply of hygiene items_6]])</f>
        <v>87</v>
      </c>
      <c r="CZ158" s="79">
        <f>IF(WWWW[[#This Row],[HRP3]]/WWWW[[#This Row],[Total PoP ]]&gt;100%,100%,WWWW[[#This Row],[HRP3]]/WWWW[[#This Row],[Total PoP ]])</f>
        <v>1</v>
      </c>
      <c r="DA158" s="83">
        <f>1-WWWW[[#This Row],[Hygiene Coverage%]]</f>
        <v>0</v>
      </c>
      <c r="DB158" s="82">
        <f>WWWW[[#This Row],['# people reached by regular dedicated hygiene promotion_5]]/WWWW[[#This Row],[Total PoP ]]</f>
        <v>1</v>
      </c>
      <c r="DC158" s="82">
        <f>IF(WWWW[[#This Row],['#_households that received standard amount of soap for this quarter]]/WWWW[[#This Row],[Total HH]]&gt;1,1,WWWW[[#This Row],['#_households that received standard amount of soap for this quarter]]/WWWW[[#This Row],[Total HH]])</f>
        <v>0</v>
      </c>
      <c r="DD158" s="82">
        <f>IF(WWWW[[#This Row],['#_households that received standard amount of sanitary pads for this quarter]]/WWWW[[#This Row],[Total HH]]&gt;1,1,WWWW[[#This Row],['#_households that received standard amount of sanitary pads for this quarter]]/WWWW[[#This Row],[Total HH]])</f>
        <v>0</v>
      </c>
      <c r="DE158" s="81">
        <f>WWWW[[#This Row],['#_Constructed/Existing hand washing stations]]-WWWW[[#This Row],['#_Non-Functional_hand_washing_stations]]</f>
        <v>0</v>
      </c>
      <c r="DF158" s="667">
        <f>IF(WWWW[[#This Row],['# Functional hand washing stations during reporting period]]*20&gt;WWWW[[#This Row],[Total HH]],WWWW[[#This Row],[Total HH]],WWWW[[#This Row],['# Functional hand washing stations during reporting period]]*20)</f>
        <v>0</v>
      </c>
      <c r="DG158" s="80">
        <f>IF(WWWW[[#This Row],[Is sufficient soap available for TLS? (Yes/No)]]="yes",WWWW[[#This Row],['#_Constructed/Existing hand washing stations at TLS]],0)</f>
        <v>0</v>
      </c>
      <c r="DH158" s="667">
        <f>IF(WWWW[[#This Row],['# Functional hand washing stations during reporting period]]*100&gt;WWWW[[#This Row],[Total PoP ]],WWWW[[#This Row],[Total PoP ]],WWWW[[#This Row],['# Functional hand washing stations during reporting period]]*100)</f>
        <v>0</v>
      </c>
      <c r="DI158" s="667" t="str">
        <f>IF(WWWW[[#This Row],['#_students at TLS_CFS]]="","No","Yes")</f>
        <v>No</v>
      </c>
      <c r="DJ158" s="245">
        <f>VLOOKUP(WWWW[[#This Row],[Site Name]],SiteDB6[[Site Name]:[CCCM Management]],6,FALSE)</f>
        <v>0</v>
      </c>
      <c r="DK158" s="245" t="str">
        <f>VLOOKUP(WWWW[[#This Row],[Site Name]],SiteDB6[[Site Name]:[CCCM Focal Agency]],7,FALSE)</f>
        <v>uncovered</v>
      </c>
      <c r="DL158" s="245" t="str">
        <f>VLOOKUP(WWWW[[#This Row],[Site Name]],SiteDB6[[Site Name]:[Location Type 1]],9,FALSE)</f>
        <v>Camp</v>
      </c>
      <c r="DM158" s="245" t="str">
        <f>VLOOKUP(WWWW[[#This Row],[Site Name]],SiteDB6[[Site Name]:[Type of Accommodation]],10,FALSE)</f>
        <v>Camp like setting</v>
      </c>
      <c r="DN158" s="245" t="str">
        <f>VLOOKUP(WWWW[[#This Row],[Site Name]],SiteDB6[[Site Name]:[Ethnic or GCA/NGCA]],11,FALSE)</f>
        <v>GCA</v>
      </c>
      <c r="DO158" s="245">
        <f>VLOOKUP(WWWW[[#This Row],[Site Name]],SiteDB6[[Site Name]:[Lat]],12,FALSE)</f>
        <v>0</v>
      </c>
      <c r="DP158" s="245">
        <f>VLOOKUP(WWWW[[#This Row],[Site Name]],SiteDB6[[Site Name]:[Long]],13,FALSE)</f>
        <v>0</v>
      </c>
      <c r="DQ158" s="245" t="str">
        <f>VLOOKUP(WWWW[[#This Row],[Site Name]],SiteDB6[[Site Name]:[Pcode]],3,FALSE)</f>
        <v>MMR001CMP267</v>
      </c>
      <c r="DR158" s="215" t="str">
        <f t="shared" si="5"/>
        <v>Covered</v>
      </c>
      <c r="DS158" s="215"/>
      <c r="DT158" s="20"/>
      <c r="DU158" s="20"/>
      <c r="DV158" s="20"/>
      <c r="DW158" s="20"/>
      <c r="DX158" s="20"/>
      <c r="DY158" s="20"/>
      <c r="DZ158" s="20"/>
      <c r="EA158" s="20"/>
      <c r="EB158" s="20"/>
      <c r="EC158" s="20"/>
      <c r="ED158" s="20"/>
      <c r="EE158" s="20"/>
      <c r="EF158" s="20"/>
      <c r="EG158" s="20"/>
      <c r="EH158" s="20"/>
    </row>
    <row r="159" spans="1:138" ht="15.75" customHeight="1">
      <c r="A159" s="259" t="s">
        <v>2525</v>
      </c>
      <c r="B159" s="663" t="s">
        <v>250</v>
      </c>
      <c r="C159" s="663" t="s">
        <v>250</v>
      </c>
      <c r="D159" s="663" t="s">
        <v>315</v>
      </c>
      <c r="E159" s="663" t="s">
        <v>39</v>
      </c>
      <c r="F159" s="663" t="s">
        <v>150</v>
      </c>
      <c r="G159" s="663" t="str">
        <f>VLOOKUP(WWWW[[#This Row],[Site Name]],SiteDB6[[Site Name]:[Location Type]],8,FALSE)</f>
        <v>Camp</v>
      </c>
      <c r="H159" s="663" t="s">
        <v>280</v>
      </c>
      <c r="I159" s="700">
        <v>36</v>
      </c>
      <c r="J159" s="700">
        <v>189</v>
      </c>
      <c r="K159" s="642">
        <v>43313</v>
      </c>
      <c r="L159" s="58">
        <v>44043</v>
      </c>
      <c r="M159" s="700">
        <v>0</v>
      </c>
      <c r="N159" s="700">
        <v>1</v>
      </c>
      <c r="O159" s="700">
        <v>0</v>
      </c>
      <c r="P159" s="700">
        <v>0</v>
      </c>
      <c r="Q159" s="663" t="s">
        <v>43</v>
      </c>
      <c r="R159" s="377">
        <v>2</v>
      </c>
      <c r="S159" s="377">
        <v>2</v>
      </c>
      <c r="T159" s="377">
        <v>2</v>
      </c>
      <c r="U159" s="377">
        <v>0</v>
      </c>
      <c r="V159" s="377">
        <v>0</v>
      </c>
      <c r="W159" s="377">
        <v>0</v>
      </c>
      <c r="X159" s="377">
        <v>2</v>
      </c>
      <c r="Y159" s="377">
        <v>0</v>
      </c>
      <c r="Z159" s="377">
        <v>0</v>
      </c>
      <c r="AA159" s="700">
        <v>0</v>
      </c>
      <c r="AB159" s="377">
        <v>0</v>
      </c>
      <c r="AC159" s="377">
        <v>0</v>
      </c>
      <c r="AD159" s="377">
        <v>0</v>
      </c>
      <c r="AE159" s="377">
        <v>0</v>
      </c>
      <c r="AF159" s="377">
        <v>0</v>
      </c>
      <c r="AG159" s="377">
        <v>0</v>
      </c>
      <c r="AH159" s="377">
        <v>0</v>
      </c>
      <c r="AI159" s="377"/>
      <c r="AJ159" s="377"/>
      <c r="AK159" s="377"/>
      <c r="AL159" s="377"/>
      <c r="AM159" s="377">
        <v>0</v>
      </c>
      <c r="AN159" s="377">
        <v>0</v>
      </c>
      <c r="AO159" s="215"/>
      <c r="AP159" s="377">
        <v>8</v>
      </c>
      <c r="AQ159" s="377">
        <v>0</v>
      </c>
      <c r="AR159" s="77">
        <v>0</v>
      </c>
      <c r="AS159" s="377">
        <v>0</v>
      </c>
      <c r="AT159" s="377">
        <v>0</v>
      </c>
      <c r="AU159" s="377">
        <v>8</v>
      </c>
      <c r="AV159" s="377"/>
      <c r="AW159" s="700">
        <v>0</v>
      </c>
      <c r="AX159" s="694" t="s">
        <v>43</v>
      </c>
      <c r="AY159" s="245" t="s">
        <v>145</v>
      </c>
      <c r="AZ159" s="377">
        <v>0</v>
      </c>
      <c r="BA159" s="377">
        <v>0</v>
      </c>
      <c r="BB159" s="377">
        <v>0</v>
      </c>
      <c r="BC159" s="215"/>
      <c r="BD159" s="377">
        <v>3</v>
      </c>
      <c r="BE159" s="377">
        <v>1</v>
      </c>
      <c r="BF159" s="377">
        <v>4</v>
      </c>
      <c r="BG159" s="377">
        <v>4</v>
      </c>
      <c r="BH159" s="377">
        <v>0</v>
      </c>
      <c r="BI159" s="377">
        <v>0</v>
      </c>
      <c r="BJ159" s="377">
        <v>0</v>
      </c>
      <c r="BK159" s="377">
        <v>0</v>
      </c>
      <c r="BL159" s="377">
        <v>0</v>
      </c>
      <c r="BM159" s="215" t="s">
        <v>144</v>
      </c>
      <c r="BN159" s="80">
        <v>0</v>
      </c>
      <c r="BO159" s="82">
        <v>0</v>
      </c>
      <c r="BP159" s="215"/>
      <c r="BQ159" s="79" t="str">
        <f>IFERROR(WWWW[[#This Row],['#_Water sources treated]]/WWWW[[#This Row],['#_Water sources tested for contamination]],"no test")</f>
        <v>no test</v>
      </c>
      <c r="BR159" s="82" t="str">
        <f>IFERROR(WWWW[[#This Row],['#_Household received remediation action due to contamination]]/WWWW[[#This Row],['#_Household water samples tested for contamination]],"no test")</f>
        <v>no test</v>
      </c>
      <c r="BS159" s="81" t="str">
        <f>IF(AND(WWWW[[#This Row],[% of water sources treated]]="no test",WWWW[[#This Row],[% Household received corrective actions]]="no test"),"No Test","Tested")</f>
        <v>No Test</v>
      </c>
      <c r="BT159" s="81">
        <f>WWWW[[#This Row],['#_Constructed/existing protected hand dug well]]-WWWW[[#This Row],['#_Non-functional protected hand dug well]]</f>
        <v>2</v>
      </c>
      <c r="BU159" s="81">
        <f>(WWWW[[#This Row],['#_Constructed/Existing tube wells/boreholes/handpumps_WASH_agency]]+WWWW[[#This Row],['#_Non-Cluster partner water tube-wells/boreholes/handpumps]])-WWWW[[#This Row],['#_Non-functional tube wells/boreholes/handpumps]]</f>
        <v>2</v>
      </c>
      <c r="BV159" s="81">
        <f>WWWW[[#This Row],['#_Constructed/Existingwater storage tank with gravity fed reticulation system]]-WWWW[[#This Row],['#_Non-functional storage tank gravity fed reticulation system]]</f>
        <v>0</v>
      </c>
      <c r="BW159" s="81">
        <f>WWWW[[#This Row],['#_Water boating or water trucking]]</f>
        <v>0</v>
      </c>
      <c r="BX159" s="81">
        <f>WWWW[[#This Row],['#_Constructed/Existing water distribution system from river or natural spring]]</f>
        <v>0</v>
      </c>
      <c r="BY159"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59"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59" s="82">
        <f>IF(WWWW[[#This Row],[Location Type 1]]="Village",WWWW[[#This Row],[Access to safe drinking water for Village]],WWWW[[#This Row],[Access to safe drinking water for Camp]])</f>
        <v>1</v>
      </c>
      <c r="CB159" s="80">
        <f>WWWW[[#This Row],[%Equitable and continuous access to sufficient quantity of safe drinking water]]*WWWW[[#This Row],[Total PoP ]]</f>
        <v>189</v>
      </c>
      <c r="CC159" s="82">
        <f>IF((WWWW[[#This Row],['#_Constructed/Existing protected/fenced ponds]]*250)/WWWW[[#This Row],[Total PoP ]]&gt;1,1,(WWWW[[#This Row],['#_Constructed/Existing protected/fenced ponds]]*250)/WWWW[[#This Row],[Total PoP ]])</f>
        <v>0</v>
      </c>
      <c r="CD159" s="80">
        <f>WWWW[[#This Row],[% Access to unimproved water points]]*WWWW[[#This Row],[Total PoP ]]</f>
        <v>0</v>
      </c>
      <c r="CE159"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59"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189</v>
      </c>
      <c r="CG159" s="80">
        <f>WWWW[[#This Row],[HRP1]]/500</f>
        <v>0.378</v>
      </c>
      <c r="CH159" s="79">
        <f>1-WWWW[[#This Row],[% Equitable and continuous access to sufficient quantity of domestic water]]</f>
        <v>0</v>
      </c>
      <c r="CI159" s="80">
        <f>WWWW[[#This Row],[%equitable and continuous access to sufficient quantity of safe drinking and domestic water''s GAP]]*WWWW[[#This Row],[Total PoP ]]</f>
        <v>0</v>
      </c>
      <c r="CJ159" s="81">
        <f>IF(WWWW[[#This Row],[Total required water points]]-WWWW[[#This Row],['#Water points coverage]]&lt;0,0,WWWW[[#This Row],[Total required water points]]-WWWW[[#This Row],['#Water points coverage]])</f>
        <v>0.622</v>
      </c>
      <c r="CK159" s="81">
        <f>ROUND(IF(WWWW[[#This Row],[Total PoP ]]&lt;500,1,WWWW[[#This Row],[Total PoP ]]/500),0)</f>
        <v>1</v>
      </c>
      <c r="CL159" s="81">
        <f>(WWWW[[#This Row],['#_Constructed latrines_by_WASHAgencies]]+WWWW[[#This Row],['#_Non Cluster partner latrines]])-WWWW[[#This Row],['#_Non-functional latrines]]</f>
        <v>8</v>
      </c>
      <c r="CM159"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0.84656084656084651</v>
      </c>
      <c r="CN159"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160</v>
      </c>
      <c r="CO159"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160</v>
      </c>
      <c r="CP159" s="81">
        <f>IF(WWWW[[#This Row],[Location Type 1]]="Village","NA",IF(WWWW[[#This Row],['#_Constructed/Existing latrines in TLS]]*50&gt;WWWW[[#This Row],['#_students at TLS_CFS]],WWWW[[#This Row],['#_students at TLS_CFS]],(WWWW[[#This Row],['#_Constructed/Existing latrines in TLS]]*50)))</f>
        <v>0</v>
      </c>
      <c r="CQ159" s="81">
        <f>ROUND(IF(WWWW[[#This Row],[Location Type 1]]="camp",WWWW[[#This Row],[Total PoP ]]/20,IF(WWWW[[#This Row],[Location Type 1]]="Temporary Location",WWWW[[#This Row],[Total PoP ]]/50,(WWWW[[#This Row],[Total PoP ]]/6))),0)</f>
        <v>9</v>
      </c>
      <c r="CR159" s="80">
        <f>IF(WWWW[[#This Row],[Total required Latrines]]-(WWWW[[#This Row],['#_Constructed latrines_by_WASHAgencies]]+WWWW[[#This Row],['#_Non Cluster partner latrines]])&lt;0,0,WWWW[[#This Row],[Total required Latrines]]-(WWWW[[#This Row],['#_Constructed latrines_by_WASHAgencies]]+WWWW[[#This Row],['#_Non Cluster partner latrines]]))</f>
        <v>1</v>
      </c>
      <c r="CS159" s="79">
        <f>1-WWWW[[#This Row],[% people access to functioning Latrine]]</f>
        <v>0.15343915343915349</v>
      </c>
      <c r="CT159" s="83">
        <f>IF(OR(WWWW[[#This Row],['#_Non-functional latrines]]="",WWWW[[#This Row],['#_Non-functional latrines]]=0),0,WWWW[[#This Row],['#_Non-functional latrines]]/(WWWW[[#This Row],['#_Constructed latrines_by_WASHAgencies]]+WWWW[[#This Row],['#_Non Cluster partner latrines]]))</f>
        <v>0</v>
      </c>
      <c r="CU159" s="80">
        <f>IF(500*(WWWW[[#This Row],['#_male hygiene promoters]]+WWWW[[#This Row],['#_female hygiene promoters]])&gt;WWWW[[#This Row],[Total PoP ]],WWWW[[#This Row],[Total PoP ]],500*(WWWW[[#This Row],['#_male hygiene promoters]]+WWWW[[#This Row],['#_female hygiene promoters]]))</f>
        <v>0</v>
      </c>
      <c r="CV159"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59"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59" s="81">
        <f>IF(WWWW[[#This Row],['# People with access to soap]]&gt;WWWW[[#This Row],['# People with access to Sanity Pads]],WWWW[[#This Row],['# People with access to soap]],WWWW[[#This Row],['# People with access to Sanity Pads]])</f>
        <v>0</v>
      </c>
      <c r="CY159"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59" s="79">
        <f>IF(WWWW[[#This Row],[HRP3]]/WWWW[[#This Row],[Total PoP ]]&gt;100%,100%,WWWW[[#This Row],[HRP3]]/WWWW[[#This Row],[Total PoP ]])</f>
        <v>0</v>
      </c>
      <c r="DA159" s="83">
        <f>1-WWWW[[#This Row],[Hygiene Coverage%]]</f>
        <v>1</v>
      </c>
      <c r="DB159" s="82">
        <f>WWWW[[#This Row],['# people reached by regular dedicated hygiene promotion_5]]/WWWW[[#This Row],[Total PoP ]]</f>
        <v>0</v>
      </c>
      <c r="DC159" s="82">
        <f>IF(WWWW[[#This Row],['#_households that received standard amount of soap for this quarter]]/WWWW[[#This Row],[Total HH]]&gt;1,1,WWWW[[#This Row],['#_households that received standard amount of soap for this quarter]]/WWWW[[#This Row],[Total HH]])</f>
        <v>0</v>
      </c>
      <c r="DD159" s="82">
        <f>IF(WWWW[[#This Row],['#_households that received standard amount of sanitary pads for this quarter]]/WWWW[[#This Row],[Total HH]]&gt;1,1,WWWW[[#This Row],['#_households that received standard amount of sanitary pads for this quarter]]/WWWW[[#This Row],[Total HH]])</f>
        <v>0</v>
      </c>
      <c r="DE159" s="81">
        <f>WWWW[[#This Row],['#_Constructed/Existing hand washing stations]]-WWWW[[#This Row],['#_Non-Functional_hand_washing_stations]]</f>
        <v>2</v>
      </c>
      <c r="DF159" s="667">
        <f>IF(WWWW[[#This Row],['# Functional hand washing stations during reporting period]]*20&gt;WWWW[[#This Row],[Total HH]],WWWW[[#This Row],[Total HH]],WWWW[[#This Row],['# Functional hand washing stations during reporting period]]*20)</f>
        <v>36</v>
      </c>
      <c r="DG159" s="80">
        <f>IF(WWWW[[#This Row],[Is sufficient soap available for TLS? (Yes/No)]]="yes",WWWW[[#This Row],['#_Constructed/Existing hand washing stations at TLS]],0)</f>
        <v>0</v>
      </c>
      <c r="DH159" s="667">
        <f>IF(WWWW[[#This Row],['# Functional hand washing stations during reporting period]]*100&gt;WWWW[[#This Row],[Total PoP ]],WWWW[[#This Row],[Total PoP ]],WWWW[[#This Row],['# Functional hand washing stations during reporting period]]*100)</f>
        <v>189</v>
      </c>
      <c r="DI159" s="667" t="str">
        <f>IF(WWWW[[#This Row],['#_students at TLS_CFS]]="","No","Yes")</f>
        <v>Yes</v>
      </c>
      <c r="DJ159" s="245" t="str">
        <f>VLOOKUP(WWWW[[#This Row],[Site Name]],SiteDB6[[Site Name]:[CCCM Management]],6,FALSE)</f>
        <v>Yes</v>
      </c>
      <c r="DK159" s="245" t="str">
        <f>VLOOKUP(WWWW[[#This Row],[Site Name]],SiteDB6[[Site Name]:[CCCM Focal Agency]],7,FALSE)</f>
        <v>Shalom</v>
      </c>
      <c r="DL159" s="245" t="str">
        <f>VLOOKUP(WWWW[[#This Row],[Site Name]],SiteDB6[[Site Name]:[Location Type 1]],9,FALSE)</f>
        <v>Camp</v>
      </c>
      <c r="DM159" s="245" t="str">
        <f>VLOOKUP(WWWW[[#This Row],[Site Name]],SiteDB6[[Site Name]:[Type of Accommodation]],10,FALSE)</f>
        <v>Camp</v>
      </c>
      <c r="DN159" s="245" t="str">
        <f>VLOOKUP(WWWW[[#This Row],[Site Name]],SiteDB6[[Site Name]:[Ethnic or GCA/NGCA]],11,FALSE)</f>
        <v>GCA</v>
      </c>
      <c r="DO159" s="245">
        <f>VLOOKUP(WWWW[[#This Row],[Site Name]],SiteDB6[[Site Name]:[Lat]],12,FALSE)</f>
        <v>25.345918166666699</v>
      </c>
      <c r="DP159" s="245">
        <f>VLOOKUP(WWWW[[#This Row],[Site Name]],SiteDB6[[Site Name]:[Long]],13,FALSE)</f>
        <v>97.437472666666693</v>
      </c>
      <c r="DQ159" s="245" t="str">
        <f>VLOOKUP(WWWW[[#This Row],[Site Name]],SiteDB6[[Site Name]:[Pcode]],3,FALSE)</f>
        <v>MMR001CMP030</v>
      </c>
      <c r="DR159" s="215" t="str">
        <f t="shared" si="5"/>
        <v>Covered</v>
      </c>
      <c r="DS159" s="215"/>
      <c r="DT159" s="20"/>
      <c r="DU159" s="20"/>
      <c r="DV159" s="20"/>
      <c r="DW159" s="20"/>
      <c r="DX159" s="20"/>
      <c r="DY159" s="20"/>
      <c r="DZ159" s="20"/>
      <c r="EA159" s="20"/>
      <c r="EB159" s="20"/>
      <c r="EC159" s="20"/>
      <c r="ED159" s="20"/>
      <c r="EE159" s="20"/>
      <c r="EF159" s="20"/>
      <c r="EG159" s="20"/>
      <c r="EH159" s="20"/>
    </row>
    <row r="160" spans="1:138" ht="15.75" customHeight="1">
      <c r="A160" s="259" t="s">
        <v>2525</v>
      </c>
      <c r="B160" s="663" t="s">
        <v>317</v>
      </c>
      <c r="C160" s="663" t="s">
        <v>317</v>
      </c>
      <c r="D160" s="663"/>
      <c r="E160" s="663" t="s">
        <v>39</v>
      </c>
      <c r="F160" s="663" t="s">
        <v>150</v>
      </c>
      <c r="G160" s="663" t="str">
        <f>VLOOKUP(WWWW[[#This Row],[Site Name]],SiteDB6[[Site Name]:[Location Type]],8,FALSE)</f>
        <v>Camp</v>
      </c>
      <c r="H160" s="77" t="s">
        <v>1064</v>
      </c>
      <c r="I160" s="700">
        <v>80</v>
      </c>
      <c r="J160" s="700">
        <v>449</v>
      </c>
      <c r="K160" s="642"/>
      <c r="L160" s="78"/>
      <c r="M160" s="700"/>
      <c r="N160" s="700"/>
      <c r="O160" s="700"/>
      <c r="P160" s="700"/>
      <c r="Q160" s="77"/>
      <c r="R160" s="377"/>
      <c r="S160" s="377"/>
      <c r="T160" s="377"/>
      <c r="U160" s="377"/>
      <c r="V160" s="377"/>
      <c r="W160" s="377"/>
      <c r="X160" s="377"/>
      <c r="Y160" s="377"/>
      <c r="Z160" s="377"/>
      <c r="AA160" s="700"/>
      <c r="AB160" s="377"/>
      <c r="AC160" s="377"/>
      <c r="AD160" s="377"/>
      <c r="AE160" s="377"/>
      <c r="AF160" s="377"/>
      <c r="AG160" s="377"/>
      <c r="AH160" s="377"/>
      <c r="AI160" s="377"/>
      <c r="AJ160" s="377"/>
      <c r="AK160" s="377"/>
      <c r="AL160" s="377"/>
      <c r="AM160" s="377"/>
      <c r="AN160" s="377"/>
      <c r="AO160" s="215"/>
      <c r="AP160" s="377"/>
      <c r="AQ160" s="377"/>
      <c r="AR160" s="77"/>
      <c r="AS160" s="377"/>
      <c r="AT160" s="377"/>
      <c r="AU160" s="377"/>
      <c r="AV160" s="377"/>
      <c r="AW160" s="377"/>
      <c r="AX160" s="245"/>
      <c r="AY160" s="245"/>
      <c r="AZ160" s="377"/>
      <c r="BA160" s="377"/>
      <c r="BB160" s="377"/>
      <c r="BC160" s="215"/>
      <c r="BD160" s="377"/>
      <c r="BE160" s="377"/>
      <c r="BF160" s="377"/>
      <c r="BG160" s="377"/>
      <c r="BH160" s="377"/>
      <c r="BI160" s="377"/>
      <c r="BJ160" s="377"/>
      <c r="BK160" s="377"/>
      <c r="BL160" s="377"/>
      <c r="BM160" s="215"/>
      <c r="BN160" s="80"/>
      <c r="BO160" s="82"/>
      <c r="BP160" s="215"/>
      <c r="BQ160" s="79" t="str">
        <f>IFERROR(WWWW[[#This Row],['#_Water sources treated]]/WWWW[[#This Row],['#_Water sources tested for contamination]],"no test")</f>
        <v>no test</v>
      </c>
      <c r="BR160" s="82" t="str">
        <f>IFERROR(WWWW[[#This Row],['#_Household received remediation action due to contamination]]/WWWW[[#This Row],['#_Household water samples tested for contamination]],"no test")</f>
        <v>no test</v>
      </c>
      <c r="BS160" s="81" t="str">
        <f>IF(AND(WWWW[[#This Row],[% of water sources treated]]="no test",WWWW[[#This Row],[% Household received corrective actions]]="no test"),"No Test","Tested")</f>
        <v>No Test</v>
      </c>
      <c r="BT160" s="81">
        <f>WWWW[[#This Row],['#_Constructed/existing protected hand dug well]]-WWWW[[#This Row],['#_Non-functional protected hand dug well]]</f>
        <v>0</v>
      </c>
      <c r="BU160" s="81">
        <f>(WWWW[[#This Row],['#_Constructed/Existing tube wells/boreholes/handpumps_WASH_agency]]+WWWW[[#This Row],['#_Non-Cluster partner water tube-wells/boreholes/handpumps]])-WWWW[[#This Row],['#_Non-functional tube wells/boreholes/handpumps]]</f>
        <v>0</v>
      </c>
      <c r="BV160" s="81">
        <f>WWWW[[#This Row],['#_Constructed/Existingwater storage tank with gravity fed reticulation system]]-WWWW[[#This Row],['#_Non-functional storage tank gravity fed reticulation system]]</f>
        <v>0</v>
      </c>
      <c r="BW160" s="81">
        <f>WWWW[[#This Row],['#_Water boating or water trucking]]</f>
        <v>0</v>
      </c>
      <c r="BX160" s="81">
        <f>WWWW[[#This Row],['#_Constructed/Existing water distribution system from river or natural spring]]</f>
        <v>0</v>
      </c>
      <c r="BY160"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60"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60" s="82">
        <f>IF(WWWW[[#This Row],[Location Type 1]]="Village",WWWW[[#This Row],[Access to safe drinking water for Village]],WWWW[[#This Row],[Access to safe drinking water for Camp]])</f>
        <v>0</v>
      </c>
      <c r="CB160" s="80">
        <f>WWWW[[#This Row],[%Equitable and continuous access to sufficient quantity of safe drinking water]]*WWWW[[#This Row],[Total PoP ]]</f>
        <v>0</v>
      </c>
      <c r="CC160" s="82">
        <f>IF((WWWW[[#This Row],['#_Constructed/Existing protected/fenced ponds]]*250)/WWWW[[#This Row],[Total PoP ]]&gt;1,1,(WWWW[[#This Row],['#_Constructed/Existing protected/fenced ponds]]*250)/WWWW[[#This Row],[Total PoP ]])</f>
        <v>0</v>
      </c>
      <c r="CD160" s="80">
        <f>WWWW[[#This Row],[% Access to unimproved water points]]*WWWW[[#This Row],[Total PoP ]]</f>
        <v>0</v>
      </c>
      <c r="CE160"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60"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60" s="80">
        <f>WWWW[[#This Row],[HRP1]]/500</f>
        <v>0</v>
      </c>
      <c r="CH160" s="79">
        <f>1-WWWW[[#This Row],[% Equitable and continuous access to sufficient quantity of domestic water]]</f>
        <v>1</v>
      </c>
      <c r="CI160" s="80">
        <f>WWWW[[#This Row],[%equitable and continuous access to sufficient quantity of safe drinking and domestic water''s GAP]]*WWWW[[#This Row],[Total PoP ]]</f>
        <v>449</v>
      </c>
      <c r="CJ160" s="81">
        <f>IF(WWWW[[#This Row],[Total required water points]]-WWWW[[#This Row],['#Water points coverage]]&lt;0,0,WWWW[[#This Row],[Total required water points]]-WWWW[[#This Row],['#Water points coverage]])</f>
        <v>1</v>
      </c>
      <c r="CK160" s="81">
        <f>ROUND(IF(WWWW[[#This Row],[Total PoP ]]&lt;500,1,WWWW[[#This Row],[Total PoP ]]/500),0)</f>
        <v>1</v>
      </c>
      <c r="CL160" s="81">
        <f>(WWWW[[#This Row],['#_Constructed latrines_by_WASHAgencies]]+WWWW[[#This Row],['#_Non Cluster partner latrines]])-WWWW[[#This Row],['#_Non-functional latrines]]</f>
        <v>0</v>
      </c>
      <c r="CM160"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60"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60"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60" s="81">
        <f>IF(WWWW[[#This Row],[Location Type 1]]="Village","NA",IF(WWWW[[#This Row],['#_Constructed/Existing latrines in TLS]]*50&gt;WWWW[[#This Row],['#_students at TLS_CFS]],WWWW[[#This Row],['#_students at TLS_CFS]],(WWWW[[#This Row],['#_Constructed/Existing latrines in TLS]]*50)))</f>
        <v>0</v>
      </c>
      <c r="CQ160" s="81">
        <f>ROUND(IF(WWWW[[#This Row],[Location Type 1]]="camp",WWWW[[#This Row],[Total PoP ]]/20,IF(WWWW[[#This Row],[Location Type 1]]="Temporary Location",WWWW[[#This Row],[Total PoP ]]/50,(WWWW[[#This Row],[Total PoP ]]/6))),0)</f>
        <v>22</v>
      </c>
      <c r="CR160" s="80">
        <f>IF(WWWW[[#This Row],[Total required Latrines]]-(WWWW[[#This Row],['#_Constructed latrines_by_WASHAgencies]]+WWWW[[#This Row],['#_Non Cluster partner latrines]])&lt;0,0,WWWW[[#This Row],[Total required Latrines]]-(WWWW[[#This Row],['#_Constructed latrines_by_WASHAgencies]]+WWWW[[#This Row],['#_Non Cluster partner latrines]]))</f>
        <v>22</v>
      </c>
      <c r="CS160" s="79">
        <f>1-WWWW[[#This Row],[% people access to functioning Latrine]]</f>
        <v>1</v>
      </c>
      <c r="CT160" s="83">
        <f>IF(OR(WWWW[[#This Row],['#_Non-functional latrines]]="",WWWW[[#This Row],['#_Non-functional latrines]]=0),0,WWWW[[#This Row],['#_Non-functional latrines]]/(WWWW[[#This Row],['#_Constructed latrines_by_WASHAgencies]]+WWWW[[#This Row],['#_Non Cluster partner latrines]]))</f>
        <v>0</v>
      </c>
      <c r="CU160" s="80">
        <f>IF(500*(WWWW[[#This Row],['#_male hygiene promoters]]+WWWW[[#This Row],['#_female hygiene promoters]])&gt;WWWW[[#This Row],[Total PoP ]],WWWW[[#This Row],[Total PoP ]],500*(WWWW[[#This Row],['#_male hygiene promoters]]+WWWW[[#This Row],['#_female hygiene promoters]]))</f>
        <v>0</v>
      </c>
      <c r="CV160"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60"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60" s="81">
        <f>IF(WWWW[[#This Row],['# People with access to soap]]&gt;WWWW[[#This Row],['# People with access to Sanity Pads]],WWWW[[#This Row],['# People with access to soap]],WWWW[[#This Row],['# People with access to Sanity Pads]])</f>
        <v>0</v>
      </c>
      <c r="CY160"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60" s="79">
        <f>IF(WWWW[[#This Row],[HRP3]]/WWWW[[#This Row],[Total PoP ]]&gt;100%,100%,WWWW[[#This Row],[HRP3]]/WWWW[[#This Row],[Total PoP ]])</f>
        <v>0</v>
      </c>
      <c r="DA160" s="83">
        <f>1-WWWW[[#This Row],[Hygiene Coverage%]]</f>
        <v>1</v>
      </c>
      <c r="DB160" s="82">
        <f>WWWW[[#This Row],['# people reached by regular dedicated hygiene promotion_5]]/WWWW[[#This Row],[Total PoP ]]</f>
        <v>0</v>
      </c>
      <c r="DC160" s="82">
        <f>IF(WWWW[[#This Row],['#_households that received standard amount of soap for this quarter]]/WWWW[[#This Row],[Total HH]]&gt;1,1,WWWW[[#This Row],['#_households that received standard amount of soap for this quarter]]/WWWW[[#This Row],[Total HH]])</f>
        <v>0</v>
      </c>
      <c r="DD160" s="82">
        <f>IF(WWWW[[#This Row],['#_households that received standard amount of sanitary pads for this quarter]]/WWWW[[#This Row],[Total HH]]&gt;1,1,WWWW[[#This Row],['#_households that received standard amount of sanitary pads for this quarter]]/WWWW[[#This Row],[Total HH]])</f>
        <v>0</v>
      </c>
      <c r="DE160" s="81">
        <f>WWWW[[#This Row],['#_Constructed/Existing hand washing stations]]-WWWW[[#This Row],['#_Non-Functional_hand_washing_stations]]</f>
        <v>0</v>
      </c>
      <c r="DF160" s="667">
        <f>IF(WWWW[[#This Row],['# Functional hand washing stations during reporting period]]*20&gt;WWWW[[#This Row],[Total HH]],WWWW[[#This Row],[Total HH]],WWWW[[#This Row],['# Functional hand washing stations during reporting period]]*20)</f>
        <v>0</v>
      </c>
      <c r="DG160" s="80">
        <f>IF(WWWW[[#This Row],[Is sufficient soap available for TLS? (Yes/No)]]="yes",WWWW[[#This Row],['#_Constructed/Existing hand washing stations at TLS]],0)</f>
        <v>0</v>
      </c>
      <c r="DH160" s="667">
        <f>IF(WWWW[[#This Row],['# Functional hand washing stations during reporting period]]*100&gt;WWWW[[#This Row],[Total PoP ]],WWWW[[#This Row],[Total PoP ]],WWWW[[#This Row],['# Functional hand washing stations during reporting period]]*100)</f>
        <v>0</v>
      </c>
      <c r="DI160" s="667" t="str">
        <f>IF(WWWW[[#This Row],['#_students at TLS_CFS]]="","No","Yes")</f>
        <v>No</v>
      </c>
      <c r="DJ160" s="245">
        <f>VLOOKUP(WWWW[[#This Row],[Site Name]],SiteDB6[[Site Name]:[CCCM Management]],6,FALSE)</f>
        <v>0</v>
      </c>
      <c r="DK160" s="245" t="str">
        <f>VLOOKUP(WWWW[[#This Row],[Site Name]],SiteDB6[[Site Name]:[CCCM Focal Agency]],7,FALSE)</f>
        <v>uncovered</v>
      </c>
      <c r="DL160" s="245" t="str">
        <f>VLOOKUP(WWWW[[#This Row],[Site Name]],SiteDB6[[Site Name]:[Location Type 1]],9,FALSE)</f>
        <v>Camp</v>
      </c>
      <c r="DM160" s="245" t="str">
        <f>VLOOKUP(WWWW[[#This Row],[Site Name]],SiteDB6[[Site Name]:[Type of Accommodation]],10,FALSE)</f>
        <v>Camp like setting</v>
      </c>
      <c r="DN160" s="245" t="str">
        <f>VLOOKUP(WWWW[[#This Row],[Site Name]],SiteDB6[[Site Name]:[Ethnic or GCA/NGCA]],11,FALSE)</f>
        <v>GCA</v>
      </c>
      <c r="DO160" s="245">
        <f>VLOOKUP(WWWW[[#This Row],[Site Name]],SiteDB6[[Site Name]:[Lat]],12,FALSE)</f>
        <v>0</v>
      </c>
      <c r="DP160" s="245">
        <f>VLOOKUP(WWWW[[#This Row],[Site Name]],SiteDB6[[Site Name]:[Long]],13,FALSE)</f>
        <v>0</v>
      </c>
      <c r="DQ160" s="245" t="str">
        <f>VLOOKUP(WWWW[[#This Row],[Site Name]],SiteDB6[[Site Name]:[Pcode]],3,FALSE)</f>
        <v>MMR001CMP258</v>
      </c>
      <c r="DR160" s="215" t="str">
        <f t="shared" si="5"/>
        <v>Notcovered</v>
      </c>
      <c r="DS160" s="215"/>
      <c r="DT160" s="20"/>
      <c r="DU160" s="20"/>
      <c r="DV160" s="20"/>
      <c r="DW160" s="20"/>
      <c r="DX160" s="20"/>
      <c r="DY160" s="20"/>
      <c r="DZ160" s="20"/>
      <c r="EA160" s="20"/>
      <c r="EB160" s="20"/>
      <c r="EC160" s="20"/>
      <c r="ED160" s="20"/>
      <c r="EE160" s="20"/>
      <c r="EF160" s="20"/>
      <c r="EG160" s="20"/>
      <c r="EH160" s="20"/>
    </row>
    <row r="161" spans="1:138" ht="15.75" customHeight="1">
      <c r="A161" s="259" t="s">
        <v>2525</v>
      </c>
      <c r="B161" s="259" t="s">
        <v>149</v>
      </c>
      <c r="C161" s="663" t="s">
        <v>149</v>
      </c>
      <c r="D161" s="663" t="s">
        <v>158</v>
      </c>
      <c r="E161" s="663" t="s">
        <v>39</v>
      </c>
      <c r="F161" s="663" t="s">
        <v>167</v>
      </c>
      <c r="G161" s="663" t="str">
        <f>VLOOKUP(WWWW[[#This Row],[Site Name]],SiteDB6[[Site Name]:[Location Type]],8,FALSE)</f>
        <v>Camp</v>
      </c>
      <c r="H161" s="663" t="s">
        <v>2200</v>
      </c>
      <c r="I161" s="700">
        <v>169</v>
      </c>
      <c r="J161" s="700">
        <v>724</v>
      </c>
      <c r="K161" s="642">
        <v>43556</v>
      </c>
      <c r="L161" s="78">
        <v>43677</v>
      </c>
      <c r="M161" s="700"/>
      <c r="N161" s="700"/>
      <c r="O161" s="700"/>
      <c r="P161" s="700"/>
      <c r="Q161" s="663" t="s">
        <v>43</v>
      </c>
      <c r="R161" s="377"/>
      <c r="S161" s="377"/>
      <c r="T161" s="700">
        <v>1</v>
      </c>
      <c r="U161" s="377"/>
      <c r="V161" s="377"/>
      <c r="W161" s="700">
        <v>3</v>
      </c>
      <c r="X161" s="377"/>
      <c r="Y161" s="377"/>
      <c r="Z161" s="377"/>
      <c r="AA161" s="700"/>
      <c r="AB161" s="377"/>
      <c r="AC161" s="377"/>
      <c r="AD161" s="377">
        <v>900</v>
      </c>
      <c r="AE161" s="377"/>
      <c r="AF161" s="377"/>
      <c r="AG161" s="377"/>
      <c r="AH161" s="700">
        <v>4</v>
      </c>
      <c r="AI161" s="377"/>
      <c r="AJ161" s="377"/>
      <c r="AK161" s="377"/>
      <c r="AL161" s="377"/>
      <c r="AM161" s="377"/>
      <c r="AN161" s="377"/>
      <c r="AO161" s="215"/>
      <c r="AP161" s="700">
        <v>28</v>
      </c>
      <c r="AQ161" s="377"/>
      <c r="AR161" s="77"/>
      <c r="AS161" s="377"/>
      <c r="AT161" s="377"/>
      <c r="AU161" s="377">
        <v>7</v>
      </c>
      <c r="AV161" s="377"/>
      <c r="AW161" s="700">
        <v>10</v>
      </c>
      <c r="AX161" s="245" t="s">
        <v>43</v>
      </c>
      <c r="AY161" s="245" t="s">
        <v>145</v>
      </c>
      <c r="AZ161" s="377"/>
      <c r="BA161" s="377"/>
      <c r="BB161" s="377"/>
      <c r="BC161" s="215"/>
      <c r="BD161" s="377"/>
      <c r="BE161" s="377"/>
      <c r="BF161" s="377"/>
      <c r="BG161" s="377">
        <v>0</v>
      </c>
      <c r="BH161" s="377"/>
      <c r="BI161" s="377"/>
      <c r="BJ161" s="377">
        <v>2</v>
      </c>
      <c r="BK161" s="377"/>
      <c r="BL161" s="377"/>
      <c r="BM161" s="215"/>
      <c r="BN161" s="80"/>
      <c r="BO161" s="82"/>
      <c r="BP161" s="215"/>
      <c r="BQ161" s="79" t="str">
        <f>IFERROR(WWWW[[#This Row],['#_Water sources treated]]/WWWW[[#This Row],['#_Water sources tested for contamination]],"no test")</f>
        <v>no test</v>
      </c>
      <c r="BR161" s="82" t="str">
        <f>IFERROR(WWWW[[#This Row],['#_Household received remediation action due to contamination]]/WWWW[[#This Row],['#_Household water samples tested for contamination]],"no test")</f>
        <v>no test</v>
      </c>
      <c r="BS161" s="81" t="str">
        <f>IF(AND(WWWW[[#This Row],[% of water sources treated]]="no test",WWWW[[#This Row],[% Household received corrective actions]]="no test"),"No Test","Tested")</f>
        <v>No Test</v>
      </c>
      <c r="BT161" s="81">
        <f>WWWW[[#This Row],['#_Constructed/existing protected hand dug well]]-WWWW[[#This Row],['#_Non-functional protected hand dug well]]</f>
        <v>1</v>
      </c>
      <c r="BU161" s="81">
        <f>(WWWW[[#This Row],['#_Constructed/Existing tube wells/boreholes/handpumps_WASH_agency]]+WWWW[[#This Row],['#_Non-Cluster partner water tube-wells/boreholes/handpumps]])-WWWW[[#This Row],['#_Non-functional tube wells/boreholes/handpumps]]</f>
        <v>3</v>
      </c>
      <c r="BV161" s="81">
        <f>WWWW[[#This Row],['#_Constructed/Existingwater storage tank with gravity fed reticulation system]]-WWWW[[#This Row],['#_Non-functional storage tank gravity fed reticulation system]]</f>
        <v>0</v>
      </c>
      <c r="BW161" s="81">
        <f>WWWW[[#This Row],['#_Water boating or water trucking]]</f>
        <v>900</v>
      </c>
      <c r="BX161" s="81">
        <f>WWWW[[#This Row],['#_Constructed/Existing water distribution system from river or natural spring]]</f>
        <v>0</v>
      </c>
      <c r="BY161"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61"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61" s="82">
        <f>IF(WWWW[[#This Row],[Location Type 1]]="Village",WWWW[[#This Row],[Access to safe drinking water for Village]],WWWW[[#This Row],[Access to safe drinking water for Camp]])</f>
        <v>1</v>
      </c>
      <c r="CB161" s="80">
        <f>WWWW[[#This Row],[%Equitable and continuous access to sufficient quantity of safe drinking water]]*WWWW[[#This Row],[Total PoP ]]</f>
        <v>724</v>
      </c>
      <c r="CC161" s="82">
        <f>IF((WWWW[[#This Row],['#_Constructed/Existing protected/fenced ponds]]*250)/WWWW[[#This Row],[Total PoP ]]&gt;1,1,(WWWW[[#This Row],['#_Constructed/Existing protected/fenced ponds]]*250)/WWWW[[#This Row],[Total PoP ]])</f>
        <v>0</v>
      </c>
      <c r="CD161" s="80">
        <f>WWWW[[#This Row],[% Access to unimproved water points]]*WWWW[[#This Row],[Total PoP ]]</f>
        <v>0</v>
      </c>
      <c r="CE161"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61"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724</v>
      </c>
      <c r="CG161" s="80">
        <f>WWWW[[#This Row],[HRP1]]/500</f>
        <v>1.448</v>
      </c>
      <c r="CH161" s="79">
        <f>1-WWWW[[#This Row],[% Equitable and continuous access to sufficient quantity of domestic water]]</f>
        <v>0</v>
      </c>
      <c r="CI161" s="80">
        <f>WWWW[[#This Row],[%equitable and continuous access to sufficient quantity of safe drinking and domestic water''s GAP]]*WWWW[[#This Row],[Total PoP ]]</f>
        <v>0</v>
      </c>
      <c r="CJ161" s="81">
        <f>IF(WWWW[[#This Row],[Total required water points]]-WWWW[[#This Row],['#Water points coverage]]&lt;0,0,WWWW[[#This Row],[Total required water points]]-WWWW[[#This Row],['#Water points coverage]])</f>
        <v>0</v>
      </c>
      <c r="CK161" s="81">
        <f>ROUND(IF(WWWW[[#This Row],[Total PoP ]]&lt;500,1,WWWW[[#This Row],[Total PoP ]]/500),0)</f>
        <v>1</v>
      </c>
      <c r="CL161" s="81">
        <f>(WWWW[[#This Row],['#_Constructed latrines_by_WASHAgencies]]+WWWW[[#This Row],['#_Non Cluster partner latrines]])-WWWW[[#This Row],['#_Non-functional latrines]]</f>
        <v>28</v>
      </c>
      <c r="CM161"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0.77348066298342544</v>
      </c>
      <c r="CN161"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560</v>
      </c>
      <c r="CO161"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140</v>
      </c>
      <c r="CP161" s="81">
        <f>IF(WWWW[[#This Row],[Location Type 1]]="Village","NA",IF(WWWW[[#This Row],['#_Constructed/Existing latrines in TLS]]*50&gt;WWWW[[#This Row],['#_students at TLS_CFS]],WWWW[[#This Row],['#_students at TLS_CFS]],(WWWW[[#This Row],['#_Constructed/Existing latrines in TLS]]*50)))</f>
        <v>0</v>
      </c>
      <c r="CQ161" s="81">
        <f>ROUND(IF(WWWW[[#This Row],[Location Type 1]]="camp",WWWW[[#This Row],[Total PoP ]]/20,IF(WWWW[[#This Row],[Location Type 1]]="Temporary Location",WWWW[[#This Row],[Total PoP ]]/50,(WWWW[[#This Row],[Total PoP ]]/6))),0)</f>
        <v>36</v>
      </c>
      <c r="CR161" s="80">
        <f>IF(WWWW[[#This Row],[Total required Latrines]]-(WWWW[[#This Row],['#_Constructed latrines_by_WASHAgencies]]+WWWW[[#This Row],['#_Non Cluster partner latrines]])&lt;0,0,WWWW[[#This Row],[Total required Latrines]]-(WWWW[[#This Row],['#_Constructed latrines_by_WASHAgencies]]+WWWW[[#This Row],['#_Non Cluster partner latrines]]))</f>
        <v>8</v>
      </c>
      <c r="CS161" s="79">
        <f>1-WWWW[[#This Row],[% people access to functioning Latrine]]</f>
        <v>0.22651933701657456</v>
      </c>
      <c r="CT161" s="83">
        <f>IF(OR(WWWW[[#This Row],['#_Non-functional latrines]]="",WWWW[[#This Row],['#_Non-functional latrines]]=0),0,WWWW[[#This Row],['#_Non-functional latrines]]/(WWWW[[#This Row],['#_Constructed latrines_by_WASHAgencies]]+WWWW[[#This Row],['#_Non Cluster partner latrines]]))</f>
        <v>0</v>
      </c>
      <c r="CU161" s="80">
        <f>IF(500*(WWWW[[#This Row],['#_male hygiene promoters]]+WWWW[[#This Row],['#_female hygiene promoters]])&gt;WWWW[[#This Row],[Total PoP ]],WWWW[[#This Row],[Total PoP ]],500*(WWWW[[#This Row],['#_male hygiene promoters]]+WWWW[[#This Row],['#_female hygiene promoters]]))</f>
        <v>724</v>
      </c>
      <c r="CV161"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61"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61" s="81">
        <f>IF(WWWW[[#This Row],['# People with access to soap]]&gt;WWWW[[#This Row],['# People with access to Sanity Pads]],WWWW[[#This Row],['# People with access to soap]],WWWW[[#This Row],['# People with access to Sanity Pads]])</f>
        <v>0</v>
      </c>
      <c r="CY161" s="81">
        <f>IF(WWWW[[#This Row],['# people reached by regular dedicated hygiene promotion_5]]&gt;WWWW[[#This Row],['# People received regular supply of hygiene items_6]],WWWW[[#This Row],['# people reached by regular dedicated hygiene promotion_5]],WWWW[[#This Row],['# People received regular supply of hygiene items_6]])</f>
        <v>724</v>
      </c>
      <c r="CZ161" s="79">
        <f>IF(WWWW[[#This Row],[HRP3]]/WWWW[[#This Row],[Total PoP ]]&gt;100%,100%,WWWW[[#This Row],[HRP3]]/WWWW[[#This Row],[Total PoP ]])</f>
        <v>1</v>
      </c>
      <c r="DA161" s="83">
        <f>1-WWWW[[#This Row],[Hygiene Coverage%]]</f>
        <v>0</v>
      </c>
      <c r="DB161" s="82">
        <f>WWWW[[#This Row],['# people reached by regular dedicated hygiene promotion_5]]/WWWW[[#This Row],[Total PoP ]]</f>
        <v>1</v>
      </c>
      <c r="DC161" s="82">
        <f>IF(WWWW[[#This Row],['#_households that received standard amount of soap for this quarter]]/WWWW[[#This Row],[Total HH]]&gt;1,1,WWWW[[#This Row],['#_households that received standard amount of soap for this quarter]]/WWWW[[#This Row],[Total HH]])</f>
        <v>0</v>
      </c>
      <c r="DD161" s="82">
        <f>IF(WWWW[[#This Row],['#_households that received standard amount of sanitary pads for this quarter]]/WWWW[[#This Row],[Total HH]]&gt;1,1,WWWW[[#This Row],['#_households that received standard amount of sanitary pads for this quarter]]/WWWW[[#This Row],[Total HH]])</f>
        <v>0</v>
      </c>
      <c r="DE161" s="81">
        <f>WWWW[[#This Row],['#_Constructed/Existing hand washing stations]]-WWWW[[#This Row],['#_Non-Functional_hand_washing_stations]]</f>
        <v>0</v>
      </c>
      <c r="DF161" s="667">
        <f>IF(WWWW[[#This Row],['# Functional hand washing stations during reporting period]]*20&gt;WWWW[[#This Row],[Total HH]],WWWW[[#This Row],[Total HH]],WWWW[[#This Row],['# Functional hand washing stations during reporting period]]*20)</f>
        <v>0</v>
      </c>
      <c r="DG161" s="80">
        <f>IF(WWWW[[#This Row],[Is sufficient soap available for TLS? (Yes/No)]]="yes",WWWW[[#This Row],['#_Constructed/Existing hand washing stations at TLS]],0)</f>
        <v>0</v>
      </c>
      <c r="DH161" s="667">
        <f>IF(WWWW[[#This Row],['# Functional hand washing stations during reporting period]]*100&gt;WWWW[[#This Row],[Total PoP ]],WWWW[[#This Row],[Total PoP ]],WWWW[[#This Row],['# Functional hand washing stations during reporting period]]*100)</f>
        <v>0</v>
      </c>
      <c r="DI161" s="667" t="str">
        <f>IF(WWWW[[#This Row],['#_students at TLS_CFS]]="","No","Yes")</f>
        <v>No</v>
      </c>
      <c r="DJ161" s="245" t="str">
        <f>VLOOKUP(WWWW[[#This Row],[Site Name]],SiteDB6[[Site Name]:[CCCM Management]],6,FALSE)</f>
        <v>Yes</v>
      </c>
      <c r="DK161" s="245" t="str">
        <f>VLOOKUP(WWWW[[#This Row],[Site Name]],SiteDB6[[Site Name]:[CCCM Focal Agency]],7,FALSE)</f>
        <v>KBC-MYT</v>
      </c>
      <c r="DL161" s="245" t="str">
        <f>VLOOKUP(WWWW[[#This Row],[Site Name]],SiteDB6[[Site Name]:[Location Type 1]],9,FALSE)</f>
        <v>Camp</v>
      </c>
      <c r="DM161" s="245" t="str">
        <f>VLOOKUP(WWWW[[#This Row],[Site Name]],SiteDB6[[Site Name]:[Type of Accommodation]],10,FALSE)</f>
        <v>Camp</v>
      </c>
      <c r="DN161" s="245" t="str">
        <f>VLOOKUP(WWWW[[#This Row],[Site Name]],SiteDB6[[Site Name]:[Ethnic or GCA/NGCA]],11,FALSE)</f>
        <v>GCA</v>
      </c>
      <c r="DO161" s="245">
        <f>VLOOKUP(WWWW[[#This Row],[Site Name]],SiteDB6[[Site Name]:[Lat]],12,FALSE)</f>
        <v>25.480989999999998</v>
      </c>
      <c r="DP161" s="245">
        <f>VLOOKUP(WWWW[[#This Row],[Site Name]],SiteDB6[[Site Name]:[Long]],13,FALSE)</f>
        <v>97.431079999999994</v>
      </c>
      <c r="DQ161" s="245" t="str">
        <f>VLOOKUP(WWWW[[#This Row],[Site Name]],SiteDB6[[Site Name]:[Pcode]],3,FALSE)</f>
        <v>MMR001CMP263</v>
      </c>
      <c r="DR161" s="215" t="str">
        <f t="shared" si="5"/>
        <v>Covered</v>
      </c>
      <c r="DS161" s="215"/>
      <c r="DT161" s="20"/>
      <c r="DU161" s="20"/>
      <c r="DV161" s="20"/>
      <c r="DW161" s="20"/>
      <c r="DX161" s="20"/>
      <c r="DY161" s="20"/>
      <c r="DZ161" s="20"/>
      <c r="EA161" s="20"/>
      <c r="EB161" s="20"/>
      <c r="EC161" s="20"/>
      <c r="ED161" s="20"/>
      <c r="EE161" s="20"/>
      <c r="EF161" s="20"/>
      <c r="EG161" s="20"/>
      <c r="EH161" s="20"/>
    </row>
    <row r="162" spans="1:138" ht="15.75" customHeight="1">
      <c r="A162" s="259" t="s">
        <v>2525</v>
      </c>
      <c r="B162" s="259" t="s">
        <v>149</v>
      </c>
      <c r="C162" s="663" t="s">
        <v>149</v>
      </c>
      <c r="D162" s="663" t="s">
        <v>158</v>
      </c>
      <c r="E162" s="663" t="s">
        <v>39</v>
      </c>
      <c r="F162" s="663" t="s">
        <v>150</v>
      </c>
      <c r="G162" s="663" t="str">
        <f>VLOOKUP(WWWW[[#This Row],[Site Name]],SiteDB6[[Site Name]:[Location Type]],8,FALSE)</f>
        <v>Camp</v>
      </c>
      <c r="H162" s="663" t="s">
        <v>2197</v>
      </c>
      <c r="I162" s="700">
        <v>79</v>
      </c>
      <c r="J162" s="700">
        <v>356</v>
      </c>
      <c r="K162" s="642">
        <v>43556</v>
      </c>
      <c r="L162" s="78">
        <v>43677</v>
      </c>
      <c r="M162" s="700"/>
      <c r="N162" s="700"/>
      <c r="O162" s="700"/>
      <c r="P162" s="700"/>
      <c r="Q162" s="663" t="s">
        <v>43</v>
      </c>
      <c r="R162" s="377"/>
      <c r="S162" s="377"/>
      <c r="T162" s="700">
        <v>0</v>
      </c>
      <c r="U162" s="377"/>
      <c r="V162" s="377"/>
      <c r="W162" s="700">
        <v>1</v>
      </c>
      <c r="X162" s="377"/>
      <c r="Y162" s="377"/>
      <c r="Z162" s="377"/>
      <c r="AA162" s="700"/>
      <c r="AB162" s="377"/>
      <c r="AC162" s="377"/>
      <c r="AD162" s="377"/>
      <c r="AE162" s="377"/>
      <c r="AF162" s="377"/>
      <c r="AG162" s="377"/>
      <c r="AH162" s="700">
        <v>3</v>
      </c>
      <c r="AI162" s="377"/>
      <c r="AJ162" s="377"/>
      <c r="AK162" s="377"/>
      <c r="AL162" s="377"/>
      <c r="AM162" s="377"/>
      <c r="AN162" s="377"/>
      <c r="AO162" s="215"/>
      <c r="AP162" s="700">
        <v>6</v>
      </c>
      <c r="AQ162" s="377"/>
      <c r="AR162" s="77"/>
      <c r="AS162" s="377"/>
      <c r="AT162" s="377"/>
      <c r="AU162" s="377">
        <v>2</v>
      </c>
      <c r="AV162" s="377"/>
      <c r="AW162" s="700">
        <v>6</v>
      </c>
      <c r="AX162" s="245" t="s">
        <v>43</v>
      </c>
      <c r="AY162" s="245" t="s">
        <v>145</v>
      </c>
      <c r="AZ162" s="377"/>
      <c r="BA162" s="377"/>
      <c r="BB162" s="377"/>
      <c r="BC162" s="215"/>
      <c r="BD162" s="377"/>
      <c r="BE162" s="377"/>
      <c r="BF162" s="377"/>
      <c r="BG162" s="377">
        <v>0</v>
      </c>
      <c r="BH162" s="377"/>
      <c r="BI162" s="377"/>
      <c r="BJ162" s="377">
        <v>1</v>
      </c>
      <c r="BK162" s="377"/>
      <c r="BL162" s="377"/>
      <c r="BM162" s="215"/>
      <c r="BN162" s="80"/>
      <c r="BO162" s="82"/>
      <c r="BP162" s="215"/>
      <c r="BQ162" s="79" t="str">
        <f>IFERROR(WWWW[[#This Row],['#_Water sources treated]]/WWWW[[#This Row],['#_Water sources tested for contamination]],"no test")</f>
        <v>no test</v>
      </c>
      <c r="BR162" s="82" t="str">
        <f>IFERROR(WWWW[[#This Row],['#_Household received remediation action due to contamination]]/WWWW[[#This Row],['#_Household water samples tested for contamination]],"no test")</f>
        <v>no test</v>
      </c>
      <c r="BS162" s="81" t="str">
        <f>IF(AND(WWWW[[#This Row],[% of water sources treated]]="no test",WWWW[[#This Row],[% Household received corrective actions]]="no test"),"No Test","Tested")</f>
        <v>No Test</v>
      </c>
      <c r="BT162" s="81">
        <f>WWWW[[#This Row],['#_Constructed/existing protected hand dug well]]-WWWW[[#This Row],['#_Non-functional protected hand dug well]]</f>
        <v>0</v>
      </c>
      <c r="BU162" s="81">
        <f>(WWWW[[#This Row],['#_Constructed/Existing tube wells/boreholes/handpumps_WASH_agency]]+WWWW[[#This Row],['#_Non-Cluster partner water tube-wells/boreholes/handpumps]])-WWWW[[#This Row],['#_Non-functional tube wells/boreholes/handpumps]]</f>
        <v>1</v>
      </c>
      <c r="BV162" s="81">
        <f>WWWW[[#This Row],['#_Constructed/Existingwater storage tank with gravity fed reticulation system]]-WWWW[[#This Row],['#_Non-functional storage tank gravity fed reticulation system]]</f>
        <v>0</v>
      </c>
      <c r="BW162" s="81">
        <f>WWWW[[#This Row],['#_Water boating or water trucking]]</f>
        <v>0</v>
      </c>
      <c r="BX162" s="81">
        <f>WWWW[[#This Row],['#_Constructed/Existing water distribution system from river or natural spring]]</f>
        <v>0</v>
      </c>
      <c r="BY162"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62"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0.702247191011236</v>
      </c>
      <c r="CA162" s="82">
        <f>IF(WWWW[[#This Row],[Location Type 1]]="Village",WWWW[[#This Row],[Access to safe drinking water for Village]],WWWW[[#This Row],[Access to safe drinking water for Camp]])</f>
        <v>1</v>
      </c>
      <c r="CB162" s="80">
        <f>WWWW[[#This Row],[%Equitable and continuous access to sufficient quantity of safe drinking water]]*WWWW[[#This Row],[Total PoP ]]</f>
        <v>356</v>
      </c>
      <c r="CC162" s="82">
        <f>IF((WWWW[[#This Row],['#_Constructed/Existing protected/fenced ponds]]*250)/WWWW[[#This Row],[Total PoP ]]&gt;1,1,(WWWW[[#This Row],['#_Constructed/Existing protected/fenced ponds]]*250)/WWWW[[#This Row],[Total PoP ]])</f>
        <v>0</v>
      </c>
      <c r="CD162" s="80">
        <f>WWWW[[#This Row],[% Access to unimproved water points]]*WWWW[[#This Row],[Total PoP ]]</f>
        <v>0</v>
      </c>
      <c r="CE162"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62"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356</v>
      </c>
      <c r="CG162" s="80">
        <f>WWWW[[#This Row],[HRP1]]/500</f>
        <v>0.71199999999999997</v>
      </c>
      <c r="CH162" s="79">
        <f>1-WWWW[[#This Row],[% Equitable and continuous access to sufficient quantity of domestic water]]</f>
        <v>0</v>
      </c>
      <c r="CI162" s="80">
        <f>WWWW[[#This Row],[%equitable and continuous access to sufficient quantity of safe drinking and domestic water''s GAP]]*WWWW[[#This Row],[Total PoP ]]</f>
        <v>0</v>
      </c>
      <c r="CJ162" s="81">
        <f>IF(WWWW[[#This Row],[Total required water points]]-WWWW[[#This Row],['#Water points coverage]]&lt;0,0,WWWW[[#This Row],[Total required water points]]-WWWW[[#This Row],['#Water points coverage]])</f>
        <v>0.28800000000000003</v>
      </c>
      <c r="CK162" s="81">
        <f>ROUND(IF(WWWW[[#This Row],[Total PoP ]]&lt;500,1,WWWW[[#This Row],[Total PoP ]]/500),0)</f>
        <v>1</v>
      </c>
      <c r="CL162" s="81">
        <f>(WWWW[[#This Row],['#_Constructed latrines_by_WASHAgencies]]+WWWW[[#This Row],['#_Non Cluster partner latrines]])-WWWW[[#This Row],['#_Non-functional latrines]]</f>
        <v>6</v>
      </c>
      <c r="CM162"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0.33707865168539325</v>
      </c>
      <c r="CN162"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120</v>
      </c>
      <c r="CO162"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40</v>
      </c>
      <c r="CP162" s="81">
        <f>IF(WWWW[[#This Row],[Location Type 1]]="Village","NA",IF(WWWW[[#This Row],['#_Constructed/Existing latrines in TLS]]*50&gt;WWWW[[#This Row],['#_students at TLS_CFS]],WWWW[[#This Row],['#_students at TLS_CFS]],(WWWW[[#This Row],['#_Constructed/Existing latrines in TLS]]*50)))</f>
        <v>0</v>
      </c>
      <c r="CQ162" s="81">
        <f>ROUND(IF(WWWW[[#This Row],[Location Type 1]]="camp",WWWW[[#This Row],[Total PoP ]]/20,IF(WWWW[[#This Row],[Location Type 1]]="Temporary Location",WWWW[[#This Row],[Total PoP ]]/50,(WWWW[[#This Row],[Total PoP ]]/6))),0)</f>
        <v>18</v>
      </c>
      <c r="CR162" s="80">
        <f>IF(WWWW[[#This Row],[Total required Latrines]]-(WWWW[[#This Row],['#_Constructed latrines_by_WASHAgencies]]+WWWW[[#This Row],['#_Non Cluster partner latrines]])&lt;0,0,WWWW[[#This Row],[Total required Latrines]]-(WWWW[[#This Row],['#_Constructed latrines_by_WASHAgencies]]+WWWW[[#This Row],['#_Non Cluster partner latrines]]))</f>
        <v>12</v>
      </c>
      <c r="CS162" s="79">
        <f>1-WWWW[[#This Row],[% people access to functioning Latrine]]</f>
        <v>0.66292134831460681</v>
      </c>
      <c r="CT162" s="83">
        <f>IF(OR(WWWW[[#This Row],['#_Non-functional latrines]]="",WWWW[[#This Row],['#_Non-functional latrines]]=0),0,WWWW[[#This Row],['#_Non-functional latrines]]/(WWWW[[#This Row],['#_Constructed latrines_by_WASHAgencies]]+WWWW[[#This Row],['#_Non Cluster partner latrines]]))</f>
        <v>0</v>
      </c>
      <c r="CU162" s="80">
        <f>IF(500*(WWWW[[#This Row],['#_male hygiene promoters]]+WWWW[[#This Row],['#_female hygiene promoters]])&gt;WWWW[[#This Row],[Total PoP ]],WWWW[[#This Row],[Total PoP ]],500*(WWWW[[#This Row],['#_male hygiene promoters]]+WWWW[[#This Row],['#_female hygiene promoters]]))</f>
        <v>356</v>
      </c>
      <c r="CV162"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62"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62" s="81">
        <f>IF(WWWW[[#This Row],['# People with access to soap]]&gt;WWWW[[#This Row],['# People with access to Sanity Pads]],WWWW[[#This Row],['# People with access to soap]],WWWW[[#This Row],['# People with access to Sanity Pads]])</f>
        <v>0</v>
      </c>
      <c r="CY162" s="81">
        <f>IF(WWWW[[#This Row],['# people reached by regular dedicated hygiene promotion_5]]&gt;WWWW[[#This Row],['# People received regular supply of hygiene items_6]],WWWW[[#This Row],['# people reached by regular dedicated hygiene promotion_5]],WWWW[[#This Row],['# People received regular supply of hygiene items_6]])</f>
        <v>356</v>
      </c>
      <c r="CZ162" s="79">
        <f>IF(WWWW[[#This Row],[HRP3]]/WWWW[[#This Row],[Total PoP ]]&gt;100%,100%,WWWW[[#This Row],[HRP3]]/WWWW[[#This Row],[Total PoP ]])</f>
        <v>1</v>
      </c>
      <c r="DA162" s="83">
        <f>1-WWWW[[#This Row],[Hygiene Coverage%]]</f>
        <v>0</v>
      </c>
      <c r="DB162" s="82">
        <f>WWWW[[#This Row],['# people reached by regular dedicated hygiene promotion_5]]/WWWW[[#This Row],[Total PoP ]]</f>
        <v>1</v>
      </c>
      <c r="DC162" s="82">
        <f>IF(WWWW[[#This Row],['#_households that received standard amount of soap for this quarter]]/WWWW[[#This Row],[Total HH]]&gt;1,1,WWWW[[#This Row],['#_households that received standard amount of soap for this quarter]]/WWWW[[#This Row],[Total HH]])</f>
        <v>0</v>
      </c>
      <c r="DD162" s="82">
        <f>IF(WWWW[[#This Row],['#_households that received standard amount of sanitary pads for this quarter]]/WWWW[[#This Row],[Total HH]]&gt;1,1,WWWW[[#This Row],['#_households that received standard amount of sanitary pads for this quarter]]/WWWW[[#This Row],[Total HH]])</f>
        <v>0</v>
      </c>
      <c r="DE162" s="81">
        <f>WWWW[[#This Row],['#_Constructed/Existing hand washing stations]]-WWWW[[#This Row],['#_Non-Functional_hand_washing_stations]]</f>
        <v>0</v>
      </c>
      <c r="DF162" s="667">
        <f>IF(WWWW[[#This Row],['# Functional hand washing stations during reporting period]]*20&gt;WWWW[[#This Row],[Total HH]],WWWW[[#This Row],[Total HH]],WWWW[[#This Row],['# Functional hand washing stations during reporting period]]*20)</f>
        <v>0</v>
      </c>
      <c r="DG162" s="80">
        <f>IF(WWWW[[#This Row],[Is sufficient soap available for TLS? (Yes/No)]]="yes",WWWW[[#This Row],['#_Constructed/Existing hand washing stations at TLS]],0)</f>
        <v>0</v>
      </c>
      <c r="DH162" s="667">
        <f>IF(WWWW[[#This Row],['# Functional hand washing stations during reporting period]]*100&gt;WWWW[[#This Row],[Total PoP ]],WWWW[[#This Row],[Total PoP ]],WWWW[[#This Row],['# Functional hand washing stations during reporting period]]*100)</f>
        <v>0</v>
      </c>
      <c r="DI162" s="667" t="str">
        <f>IF(WWWW[[#This Row],['#_students at TLS_CFS]]="","No","Yes")</f>
        <v>No</v>
      </c>
      <c r="DJ162" s="245" t="str">
        <f>VLOOKUP(WWWW[[#This Row],[Site Name]],SiteDB6[[Site Name]:[CCCM Management]],6,FALSE)</f>
        <v>Yes</v>
      </c>
      <c r="DK162" s="245" t="str">
        <f>VLOOKUP(WWWW[[#This Row],[Site Name]],SiteDB6[[Site Name]:[CCCM Focal Agency]],7,FALSE)</f>
        <v>KBC-MYT</v>
      </c>
      <c r="DL162" s="245" t="str">
        <f>VLOOKUP(WWWW[[#This Row],[Site Name]],SiteDB6[[Site Name]:[Location Type 1]],9,FALSE)</f>
        <v>Camp</v>
      </c>
      <c r="DM162" s="245" t="str">
        <f>VLOOKUP(WWWW[[#This Row],[Site Name]],SiteDB6[[Site Name]:[Type of Accommodation]],10,FALSE)</f>
        <v>Camp</v>
      </c>
      <c r="DN162" s="245" t="str">
        <f>VLOOKUP(WWWW[[#This Row],[Site Name]],SiteDB6[[Site Name]:[Ethnic or GCA/NGCA]],11,FALSE)</f>
        <v>GCA</v>
      </c>
      <c r="DO162" s="245">
        <f>VLOOKUP(WWWW[[#This Row],[Site Name]],SiteDB6[[Site Name]:[Lat]],12,FALSE)</f>
        <v>0</v>
      </c>
      <c r="DP162" s="245">
        <f>VLOOKUP(WWWW[[#This Row],[Site Name]],SiteDB6[[Site Name]:[Long]],13,FALSE)</f>
        <v>0</v>
      </c>
      <c r="DQ162" s="245" t="str">
        <f>VLOOKUP(WWWW[[#This Row],[Site Name]],SiteDB6[[Site Name]:[Pcode]],3,FALSE)</f>
        <v>MMR001CMP269</v>
      </c>
      <c r="DR162" s="215" t="str">
        <f t="shared" si="5"/>
        <v>Covered</v>
      </c>
      <c r="DS162" s="215"/>
      <c r="DT162" s="20"/>
      <c r="DU162" s="20"/>
      <c r="DV162" s="20"/>
      <c r="DW162" s="20"/>
      <c r="DX162" s="20"/>
      <c r="DY162" s="20"/>
      <c r="DZ162" s="20"/>
      <c r="EA162" s="20"/>
      <c r="EB162" s="20"/>
      <c r="EC162" s="20"/>
      <c r="ED162" s="20"/>
      <c r="EE162" s="20"/>
      <c r="EF162" s="20"/>
      <c r="EG162" s="20"/>
      <c r="EH162" s="20"/>
    </row>
    <row r="163" spans="1:138" ht="15.75" customHeight="1">
      <c r="A163" s="259" t="s">
        <v>2525</v>
      </c>
      <c r="B163" s="663" t="s">
        <v>250</v>
      </c>
      <c r="C163" s="663" t="s">
        <v>250</v>
      </c>
      <c r="D163" s="663" t="s">
        <v>315</v>
      </c>
      <c r="E163" s="663" t="s">
        <v>39</v>
      </c>
      <c r="F163" s="663" t="s">
        <v>150</v>
      </c>
      <c r="G163" s="663" t="str">
        <f>VLOOKUP(WWWW[[#This Row],[Site Name]],SiteDB6[[Site Name]:[Location Type]],8,FALSE)</f>
        <v>Camp</v>
      </c>
      <c r="H163" s="663" t="s">
        <v>282</v>
      </c>
      <c r="I163" s="700">
        <v>45</v>
      </c>
      <c r="J163" s="700">
        <v>186</v>
      </c>
      <c r="K163" s="642">
        <v>43313</v>
      </c>
      <c r="L163" s="58">
        <v>44043</v>
      </c>
      <c r="M163" s="700">
        <v>0</v>
      </c>
      <c r="N163" s="700">
        <v>1</v>
      </c>
      <c r="O163" s="700">
        <v>0</v>
      </c>
      <c r="P163" s="700">
        <v>0</v>
      </c>
      <c r="Q163" s="663" t="s">
        <v>43</v>
      </c>
      <c r="R163" s="377">
        <v>0</v>
      </c>
      <c r="S163" s="377">
        <v>5</v>
      </c>
      <c r="T163" s="377">
        <v>1</v>
      </c>
      <c r="U163" s="377">
        <v>1</v>
      </c>
      <c r="V163" s="377">
        <v>0</v>
      </c>
      <c r="W163" s="377">
        <v>0</v>
      </c>
      <c r="X163" s="377">
        <v>1</v>
      </c>
      <c r="Y163" s="377">
        <v>1</v>
      </c>
      <c r="Z163" s="377">
        <v>0</v>
      </c>
      <c r="AA163" s="700">
        <v>0</v>
      </c>
      <c r="AB163" s="377">
        <v>0</v>
      </c>
      <c r="AC163" s="377">
        <v>0</v>
      </c>
      <c r="AD163" s="377">
        <v>0</v>
      </c>
      <c r="AE163" s="377">
        <v>0</v>
      </c>
      <c r="AF163" s="377">
        <v>0</v>
      </c>
      <c r="AG163" s="377">
        <v>0</v>
      </c>
      <c r="AH163" s="377">
        <v>0</v>
      </c>
      <c r="AI163" s="377"/>
      <c r="AJ163" s="377"/>
      <c r="AK163" s="377"/>
      <c r="AL163" s="377"/>
      <c r="AM163" s="377">
        <v>0</v>
      </c>
      <c r="AN163" s="377">
        <v>0</v>
      </c>
      <c r="AO163" s="215"/>
      <c r="AP163" s="377">
        <v>0</v>
      </c>
      <c r="AQ163" s="377">
        <v>7</v>
      </c>
      <c r="AR163" s="77" t="s">
        <v>3133</v>
      </c>
      <c r="AS163" s="377">
        <v>0</v>
      </c>
      <c r="AT163" s="377">
        <v>0</v>
      </c>
      <c r="AU163" s="377">
        <v>0</v>
      </c>
      <c r="AV163" s="377"/>
      <c r="AW163" s="700">
        <v>0</v>
      </c>
      <c r="AX163" s="694" t="s">
        <v>43</v>
      </c>
      <c r="AY163" s="245" t="s">
        <v>145</v>
      </c>
      <c r="AZ163" s="377">
        <v>0</v>
      </c>
      <c r="BA163" s="377">
        <v>0</v>
      </c>
      <c r="BB163" s="377">
        <v>0</v>
      </c>
      <c r="BC163" s="215"/>
      <c r="BD163" s="377">
        <v>2</v>
      </c>
      <c r="BE163" s="377">
        <v>0</v>
      </c>
      <c r="BF163" s="377">
        <v>0</v>
      </c>
      <c r="BG163" s="377">
        <v>2</v>
      </c>
      <c r="BH163" s="377">
        <v>2</v>
      </c>
      <c r="BI163" s="377">
        <v>0</v>
      </c>
      <c r="BJ163" s="377">
        <v>0</v>
      </c>
      <c r="BK163" s="377">
        <v>0</v>
      </c>
      <c r="BL163" s="377">
        <v>0</v>
      </c>
      <c r="BM163" s="215" t="s">
        <v>144</v>
      </c>
      <c r="BN163" s="80">
        <v>0</v>
      </c>
      <c r="BO163" s="82">
        <v>0</v>
      </c>
      <c r="BP163" s="215"/>
      <c r="BQ163" s="79" t="str">
        <f>IFERROR(WWWW[[#This Row],['#_Water sources treated]]/WWWW[[#This Row],['#_Water sources tested for contamination]],"no test")</f>
        <v>no test</v>
      </c>
      <c r="BR163" s="82" t="str">
        <f>IFERROR(WWWW[[#This Row],['#_Household received remediation action due to contamination]]/WWWW[[#This Row],['#_Household water samples tested for contamination]],"no test")</f>
        <v>no test</v>
      </c>
      <c r="BS163" s="81" t="str">
        <f>IF(AND(WWWW[[#This Row],[% of water sources treated]]="no test",WWWW[[#This Row],[% Household received corrective actions]]="no test"),"No Test","Tested")</f>
        <v>No Test</v>
      </c>
      <c r="BT163" s="81">
        <f>WWWW[[#This Row],['#_Constructed/existing protected hand dug well]]-WWWW[[#This Row],['#_Non-functional protected hand dug well]]</f>
        <v>0</v>
      </c>
      <c r="BU163" s="81">
        <f>(WWWW[[#This Row],['#_Constructed/Existing tube wells/boreholes/handpumps_WASH_agency]]+WWWW[[#This Row],['#_Non-Cluster partner water tube-wells/boreholes/handpumps]])-WWWW[[#This Row],['#_Non-functional tube wells/boreholes/handpumps]]</f>
        <v>0</v>
      </c>
      <c r="BV163" s="81">
        <f>WWWW[[#This Row],['#_Constructed/Existingwater storage tank with gravity fed reticulation system]]-WWWW[[#This Row],['#_Non-functional storage tank gravity fed reticulation system]]</f>
        <v>0</v>
      </c>
      <c r="BW163" s="81">
        <f>WWWW[[#This Row],['#_Water boating or water trucking]]</f>
        <v>0</v>
      </c>
      <c r="BX163" s="81">
        <f>WWWW[[#This Row],['#_Constructed/Existing water distribution system from river or natural spring]]</f>
        <v>0</v>
      </c>
      <c r="BY163"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63"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63" s="82">
        <f>IF(WWWW[[#This Row],[Location Type 1]]="Village",WWWW[[#This Row],[Access to safe drinking water for Village]],WWWW[[#This Row],[Access to safe drinking water for Camp]])</f>
        <v>0</v>
      </c>
      <c r="CB163" s="80">
        <f>WWWW[[#This Row],[%Equitable and continuous access to sufficient quantity of safe drinking water]]*WWWW[[#This Row],[Total PoP ]]</f>
        <v>0</v>
      </c>
      <c r="CC163" s="82">
        <f>IF((WWWW[[#This Row],['#_Constructed/Existing protected/fenced ponds]]*250)/WWWW[[#This Row],[Total PoP ]]&gt;1,1,(WWWW[[#This Row],['#_Constructed/Existing protected/fenced ponds]]*250)/WWWW[[#This Row],[Total PoP ]])</f>
        <v>0</v>
      </c>
      <c r="CD163" s="80">
        <f>WWWW[[#This Row],[% Access to unimproved water points]]*WWWW[[#This Row],[Total PoP ]]</f>
        <v>0</v>
      </c>
      <c r="CE163"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63"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63" s="80">
        <f>WWWW[[#This Row],[HRP1]]/500</f>
        <v>0</v>
      </c>
      <c r="CH163" s="79">
        <f>1-WWWW[[#This Row],[% Equitable and continuous access to sufficient quantity of domestic water]]</f>
        <v>1</v>
      </c>
      <c r="CI163" s="80">
        <f>WWWW[[#This Row],[%equitable and continuous access to sufficient quantity of safe drinking and domestic water''s GAP]]*WWWW[[#This Row],[Total PoP ]]</f>
        <v>186</v>
      </c>
      <c r="CJ163" s="81">
        <f>IF(WWWW[[#This Row],[Total required water points]]-WWWW[[#This Row],['#Water points coverage]]&lt;0,0,WWWW[[#This Row],[Total required water points]]-WWWW[[#This Row],['#Water points coverage]])</f>
        <v>1</v>
      </c>
      <c r="CK163" s="81">
        <f>ROUND(IF(WWWW[[#This Row],[Total PoP ]]&lt;500,1,WWWW[[#This Row],[Total PoP ]]/500),0)</f>
        <v>1</v>
      </c>
      <c r="CL163" s="81">
        <f>(WWWW[[#This Row],['#_Constructed latrines_by_WASHAgencies]]+WWWW[[#This Row],['#_Non Cluster partner latrines]])-WWWW[[#This Row],['#_Non-functional latrines]]</f>
        <v>7</v>
      </c>
      <c r="CM163"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0.75268817204301075</v>
      </c>
      <c r="CN163"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140</v>
      </c>
      <c r="CO163"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63" s="81">
        <f>IF(WWWW[[#This Row],[Location Type 1]]="Village","NA",IF(WWWW[[#This Row],['#_Constructed/Existing latrines in TLS]]*50&gt;WWWW[[#This Row],['#_students at TLS_CFS]],WWWW[[#This Row],['#_students at TLS_CFS]],(WWWW[[#This Row],['#_Constructed/Existing latrines in TLS]]*50)))</f>
        <v>0</v>
      </c>
      <c r="CQ163" s="81">
        <f>ROUND(IF(WWWW[[#This Row],[Location Type 1]]="camp",WWWW[[#This Row],[Total PoP ]]/20,IF(WWWW[[#This Row],[Location Type 1]]="Temporary Location",WWWW[[#This Row],[Total PoP ]]/50,(WWWW[[#This Row],[Total PoP ]]/6))),0)</f>
        <v>9</v>
      </c>
      <c r="CR163" s="80">
        <f>IF(WWWW[[#This Row],[Total required Latrines]]-(WWWW[[#This Row],['#_Constructed latrines_by_WASHAgencies]]+WWWW[[#This Row],['#_Non Cluster partner latrines]])&lt;0,0,WWWW[[#This Row],[Total required Latrines]]-(WWWW[[#This Row],['#_Constructed latrines_by_WASHAgencies]]+WWWW[[#This Row],['#_Non Cluster partner latrines]]))</f>
        <v>2</v>
      </c>
      <c r="CS163" s="79">
        <f>1-WWWW[[#This Row],[% people access to functioning Latrine]]</f>
        <v>0.24731182795698925</v>
      </c>
      <c r="CT163" s="83">
        <f>IF(OR(WWWW[[#This Row],['#_Non-functional latrines]]="",WWWW[[#This Row],['#_Non-functional latrines]]=0),0,WWWW[[#This Row],['#_Non-functional latrines]]/(WWWW[[#This Row],['#_Constructed latrines_by_WASHAgencies]]+WWWW[[#This Row],['#_Non Cluster partner latrines]]))</f>
        <v>0</v>
      </c>
      <c r="CU163" s="80">
        <f>IF(500*(WWWW[[#This Row],['#_male hygiene promoters]]+WWWW[[#This Row],['#_female hygiene promoters]])&gt;WWWW[[#This Row],[Total PoP ]],WWWW[[#This Row],[Total PoP ]],500*(WWWW[[#This Row],['#_male hygiene promoters]]+WWWW[[#This Row],['#_female hygiene promoters]]))</f>
        <v>0</v>
      </c>
      <c r="CV163"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63"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63" s="81">
        <f>IF(WWWW[[#This Row],['# People with access to soap]]&gt;WWWW[[#This Row],['# People with access to Sanity Pads]],WWWW[[#This Row],['# People with access to soap]],WWWW[[#This Row],['# People with access to Sanity Pads]])</f>
        <v>0</v>
      </c>
      <c r="CY163"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63" s="79">
        <f>IF(WWWW[[#This Row],[HRP3]]/WWWW[[#This Row],[Total PoP ]]&gt;100%,100%,WWWW[[#This Row],[HRP3]]/WWWW[[#This Row],[Total PoP ]])</f>
        <v>0</v>
      </c>
      <c r="DA163" s="83">
        <f>1-WWWW[[#This Row],[Hygiene Coverage%]]</f>
        <v>1</v>
      </c>
      <c r="DB163" s="82">
        <f>WWWW[[#This Row],['# people reached by regular dedicated hygiene promotion_5]]/WWWW[[#This Row],[Total PoP ]]</f>
        <v>0</v>
      </c>
      <c r="DC163" s="82">
        <f>IF(WWWW[[#This Row],['#_households that received standard amount of soap for this quarter]]/WWWW[[#This Row],[Total HH]]&gt;1,1,WWWW[[#This Row],['#_households that received standard amount of soap for this quarter]]/WWWW[[#This Row],[Total HH]])</f>
        <v>0</v>
      </c>
      <c r="DD163" s="82">
        <f>IF(WWWW[[#This Row],['#_households that received standard amount of sanitary pads for this quarter]]/WWWW[[#This Row],[Total HH]]&gt;1,1,WWWW[[#This Row],['#_households that received standard amount of sanitary pads for this quarter]]/WWWW[[#This Row],[Total HH]])</f>
        <v>0</v>
      </c>
      <c r="DE163" s="81">
        <f>WWWW[[#This Row],['#_Constructed/Existing hand washing stations]]-WWWW[[#This Row],['#_Non-Functional_hand_washing_stations]]</f>
        <v>2</v>
      </c>
      <c r="DF163" s="667">
        <f>IF(WWWW[[#This Row],['# Functional hand washing stations during reporting period]]*20&gt;WWWW[[#This Row],[Total HH]],WWWW[[#This Row],[Total HH]],WWWW[[#This Row],['# Functional hand washing stations during reporting period]]*20)</f>
        <v>40</v>
      </c>
      <c r="DG163" s="80">
        <f>IF(WWWW[[#This Row],[Is sufficient soap available for TLS? (Yes/No)]]="yes",WWWW[[#This Row],['#_Constructed/Existing hand washing stations at TLS]],0)</f>
        <v>0</v>
      </c>
      <c r="DH163" s="667">
        <f>IF(WWWW[[#This Row],['# Functional hand washing stations during reporting period]]*100&gt;WWWW[[#This Row],[Total PoP ]],WWWW[[#This Row],[Total PoP ]],WWWW[[#This Row],['# Functional hand washing stations during reporting period]]*100)</f>
        <v>186</v>
      </c>
      <c r="DI163" s="667" t="str">
        <f>IF(WWWW[[#This Row],['#_students at TLS_CFS]]="","No","Yes")</f>
        <v>Yes</v>
      </c>
      <c r="DJ163" s="245" t="str">
        <f>VLOOKUP(WWWW[[#This Row],[Site Name]],SiteDB6[[Site Name]:[CCCM Management]],6,FALSE)</f>
        <v>Yes</v>
      </c>
      <c r="DK163" s="245" t="str">
        <f>VLOOKUP(WWWW[[#This Row],[Site Name]],SiteDB6[[Site Name]:[CCCM Focal Agency]],7,FALSE)</f>
        <v>Shalom</v>
      </c>
      <c r="DL163" s="245" t="str">
        <f>VLOOKUP(WWWW[[#This Row],[Site Name]],SiteDB6[[Site Name]:[Location Type 1]],9,FALSE)</f>
        <v>Camp</v>
      </c>
      <c r="DM163" s="245" t="str">
        <f>VLOOKUP(WWWW[[#This Row],[Site Name]],SiteDB6[[Site Name]:[Type of Accommodation]],10,FALSE)</f>
        <v>Camp</v>
      </c>
      <c r="DN163" s="245" t="str">
        <f>VLOOKUP(WWWW[[#This Row],[Site Name]],SiteDB6[[Site Name]:[Ethnic or GCA/NGCA]],11,FALSE)</f>
        <v>GCA</v>
      </c>
      <c r="DO163" s="245">
        <f>VLOOKUP(WWWW[[#This Row],[Site Name]],SiteDB6[[Site Name]:[Lat]],12,FALSE)</f>
        <v>25.333683333333301</v>
      </c>
      <c r="DP163" s="245">
        <f>VLOOKUP(WWWW[[#This Row],[Site Name]],SiteDB6[[Site Name]:[Long]],13,FALSE)</f>
        <v>97.428251153846105</v>
      </c>
      <c r="DQ163" s="245" t="str">
        <f>VLOOKUP(WWWW[[#This Row],[Site Name]],SiteDB6[[Site Name]:[Pcode]],3,FALSE)</f>
        <v>MMR001CMP037</v>
      </c>
      <c r="DR163" s="215" t="str">
        <f t="shared" si="5"/>
        <v>Covered</v>
      </c>
      <c r="DS163" s="215"/>
      <c r="DT163" s="20"/>
      <c r="DU163" s="20"/>
      <c r="DV163" s="20"/>
      <c r="DW163" s="20"/>
      <c r="DX163" s="20"/>
      <c r="DY163" s="20"/>
      <c r="DZ163" s="20"/>
      <c r="EA163" s="20"/>
      <c r="EB163" s="20"/>
      <c r="EC163" s="20"/>
      <c r="ED163" s="20"/>
      <c r="EE163" s="20"/>
      <c r="EF163" s="20"/>
      <c r="EG163" s="20"/>
      <c r="EH163" s="20"/>
    </row>
    <row r="164" spans="1:138" ht="15.75" customHeight="1">
      <c r="A164" s="259" t="s">
        <v>2525</v>
      </c>
      <c r="B164" s="663" t="s">
        <v>149</v>
      </c>
      <c r="C164" s="663" t="s">
        <v>149</v>
      </c>
      <c r="D164" s="663"/>
      <c r="E164" s="663" t="s">
        <v>39</v>
      </c>
      <c r="F164" s="663" t="s">
        <v>222</v>
      </c>
      <c r="G164" s="663" t="str">
        <f>VLOOKUP(WWWW[[#This Row],[Site Name]],SiteDB6[[Site Name]:[Location Type]],8,FALSE)</f>
        <v>Camp_not registered</v>
      </c>
      <c r="H164" s="663" t="s">
        <v>2092</v>
      </c>
      <c r="I164" s="700">
        <v>78</v>
      </c>
      <c r="J164" s="700">
        <v>324</v>
      </c>
      <c r="K164" s="642"/>
      <c r="L164" s="78"/>
      <c r="M164" s="700"/>
      <c r="N164" s="700"/>
      <c r="O164" s="700"/>
      <c r="P164" s="700"/>
      <c r="Q164" s="77"/>
      <c r="R164" s="377"/>
      <c r="S164" s="377"/>
      <c r="T164" s="700">
        <v>0</v>
      </c>
      <c r="U164" s="377"/>
      <c r="V164" s="377"/>
      <c r="W164" s="700">
        <v>0</v>
      </c>
      <c r="X164" s="377"/>
      <c r="Y164" s="377"/>
      <c r="Z164" s="377"/>
      <c r="AA164" s="700"/>
      <c r="AB164" s="377"/>
      <c r="AC164" s="377"/>
      <c r="AD164" s="377"/>
      <c r="AE164" s="377"/>
      <c r="AF164" s="377"/>
      <c r="AG164" s="377"/>
      <c r="AH164" s="700">
        <v>0</v>
      </c>
      <c r="AI164" s="377"/>
      <c r="AJ164" s="377"/>
      <c r="AK164" s="377"/>
      <c r="AL164" s="377"/>
      <c r="AM164" s="377"/>
      <c r="AN164" s="377"/>
      <c r="AO164" s="215"/>
      <c r="AP164" s="700">
        <v>0</v>
      </c>
      <c r="AQ164" s="377"/>
      <c r="AR164" s="77"/>
      <c r="AS164" s="377"/>
      <c r="AT164" s="377"/>
      <c r="AU164" s="377"/>
      <c r="AV164" s="377"/>
      <c r="AW164" s="700">
        <v>0</v>
      </c>
      <c r="AX164" s="245" t="s">
        <v>144</v>
      </c>
      <c r="AY164" s="694" t="s">
        <v>148</v>
      </c>
      <c r="AZ164" s="377"/>
      <c r="BA164" s="377"/>
      <c r="BB164" s="377"/>
      <c r="BC164" s="215"/>
      <c r="BD164" s="377"/>
      <c r="BE164" s="377"/>
      <c r="BF164" s="377"/>
      <c r="BG164" s="377"/>
      <c r="BH164" s="377"/>
      <c r="BI164" s="377"/>
      <c r="BJ164" s="377"/>
      <c r="BK164" s="377"/>
      <c r="BL164" s="377"/>
      <c r="BM164" s="215"/>
      <c r="BN164" s="80"/>
      <c r="BO164" s="82"/>
      <c r="BP164" s="215"/>
      <c r="BQ164" s="79" t="str">
        <f>IFERROR(WWWW[[#This Row],['#_Water sources treated]]/WWWW[[#This Row],['#_Water sources tested for contamination]],"no test")</f>
        <v>no test</v>
      </c>
      <c r="BR164" s="82" t="str">
        <f>IFERROR(WWWW[[#This Row],['#_Household received remediation action due to contamination]]/WWWW[[#This Row],['#_Household water samples tested for contamination]],"no test")</f>
        <v>no test</v>
      </c>
      <c r="BS164" s="81" t="str">
        <f>IF(AND(WWWW[[#This Row],[% of water sources treated]]="no test",WWWW[[#This Row],[% Household received corrective actions]]="no test"),"No Test","Tested")</f>
        <v>No Test</v>
      </c>
      <c r="BT164" s="81">
        <f>WWWW[[#This Row],['#_Constructed/existing protected hand dug well]]-WWWW[[#This Row],['#_Non-functional protected hand dug well]]</f>
        <v>0</v>
      </c>
      <c r="BU164" s="81">
        <f>(WWWW[[#This Row],['#_Constructed/Existing tube wells/boreholes/handpumps_WASH_agency]]+WWWW[[#This Row],['#_Non-Cluster partner water tube-wells/boreholes/handpumps]])-WWWW[[#This Row],['#_Non-functional tube wells/boreholes/handpumps]]</f>
        <v>0</v>
      </c>
      <c r="BV164" s="81">
        <f>WWWW[[#This Row],['#_Constructed/Existingwater storage tank with gravity fed reticulation system]]-WWWW[[#This Row],['#_Non-functional storage tank gravity fed reticulation system]]</f>
        <v>0</v>
      </c>
      <c r="BW164" s="81">
        <f>WWWW[[#This Row],['#_Water boating or water trucking]]</f>
        <v>0</v>
      </c>
      <c r="BX164" s="81">
        <f>WWWW[[#This Row],['#_Constructed/Existing water distribution system from river or natural spring]]</f>
        <v>0</v>
      </c>
      <c r="BY164"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64"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64" s="82">
        <f>IF(WWWW[[#This Row],[Location Type 1]]="Village",WWWW[[#This Row],[Access to safe drinking water for Village]],WWWW[[#This Row],[Access to safe drinking water for Camp]])</f>
        <v>0</v>
      </c>
      <c r="CB164" s="80">
        <f>WWWW[[#This Row],[%Equitable and continuous access to sufficient quantity of safe drinking water]]*WWWW[[#This Row],[Total PoP ]]</f>
        <v>0</v>
      </c>
      <c r="CC164" s="82">
        <f>IF((WWWW[[#This Row],['#_Constructed/Existing protected/fenced ponds]]*250)/WWWW[[#This Row],[Total PoP ]]&gt;1,1,(WWWW[[#This Row],['#_Constructed/Existing protected/fenced ponds]]*250)/WWWW[[#This Row],[Total PoP ]])</f>
        <v>0</v>
      </c>
      <c r="CD164" s="80">
        <f>WWWW[[#This Row],[% Access to unimproved water points]]*WWWW[[#This Row],[Total PoP ]]</f>
        <v>0</v>
      </c>
      <c r="CE164"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64"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64" s="80">
        <f>WWWW[[#This Row],[HRP1]]/500</f>
        <v>0</v>
      </c>
      <c r="CH164" s="79">
        <f>1-WWWW[[#This Row],[% Equitable and continuous access to sufficient quantity of domestic water]]</f>
        <v>1</v>
      </c>
      <c r="CI164" s="80">
        <f>WWWW[[#This Row],[%equitable and continuous access to sufficient quantity of safe drinking and domestic water''s GAP]]*WWWW[[#This Row],[Total PoP ]]</f>
        <v>324</v>
      </c>
      <c r="CJ164" s="81">
        <f>IF(WWWW[[#This Row],[Total required water points]]-WWWW[[#This Row],['#Water points coverage]]&lt;0,0,WWWW[[#This Row],[Total required water points]]-WWWW[[#This Row],['#Water points coverage]])</f>
        <v>1</v>
      </c>
      <c r="CK164" s="81">
        <f>ROUND(IF(WWWW[[#This Row],[Total PoP ]]&lt;500,1,WWWW[[#This Row],[Total PoP ]]/500),0)</f>
        <v>1</v>
      </c>
      <c r="CL164" s="81">
        <f>(WWWW[[#This Row],['#_Constructed latrines_by_WASHAgencies]]+WWWW[[#This Row],['#_Non Cluster partner latrines]])-WWWW[[#This Row],['#_Non-functional latrines]]</f>
        <v>0</v>
      </c>
      <c r="CM164"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64"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64"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64" s="81">
        <f>IF(WWWW[[#This Row],[Location Type 1]]="Village","NA",IF(WWWW[[#This Row],['#_Constructed/Existing latrines in TLS]]*50&gt;WWWW[[#This Row],['#_students at TLS_CFS]],WWWW[[#This Row],['#_students at TLS_CFS]],(WWWW[[#This Row],['#_Constructed/Existing latrines in TLS]]*50)))</f>
        <v>0</v>
      </c>
      <c r="CQ164" s="81">
        <f>ROUND(IF(WWWW[[#This Row],[Location Type 1]]="camp",WWWW[[#This Row],[Total PoP ]]/20,IF(WWWW[[#This Row],[Location Type 1]]="Temporary Location",WWWW[[#This Row],[Total PoP ]]/50,(WWWW[[#This Row],[Total PoP ]]/6))),0)</f>
        <v>16</v>
      </c>
      <c r="CR164" s="80">
        <f>IF(WWWW[[#This Row],[Total required Latrines]]-(WWWW[[#This Row],['#_Constructed latrines_by_WASHAgencies]]+WWWW[[#This Row],['#_Non Cluster partner latrines]])&lt;0,0,WWWW[[#This Row],[Total required Latrines]]-(WWWW[[#This Row],['#_Constructed latrines_by_WASHAgencies]]+WWWW[[#This Row],['#_Non Cluster partner latrines]]))</f>
        <v>16</v>
      </c>
      <c r="CS164" s="79">
        <f>1-WWWW[[#This Row],[% people access to functioning Latrine]]</f>
        <v>1</v>
      </c>
      <c r="CT164" s="83">
        <f>IF(OR(WWWW[[#This Row],['#_Non-functional latrines]]="",WWWW[[#This Row],['#_Non-functional latrines]]=0),0,WWWW[[#This Row],['#_Non-functional latrines]]/(WWWW[[#This Row],['#_Constructed latrines_by_WASHAgencies]]+WWWW[[#This Row],['#_Non Cluster partner latrines]]))</f>
        <v>0</v>
      </c>
      <c r="CU164" s="80">
        <f>IF(500*(WWWW[[#This Row],['#_male hygiene promoters]]+WWWW[[#This Row],['#_female hygiene promoters]])&gt;WWWW[[#This Row],[Total PoP ]],WWWW[[#This Row],[Total PoP ]],500*(WWWW[[#This Row],['#_male hygiene promoters]]+WWWW[[#This Row],['#_female hygiene promoters]]))</f>
        <v>0</v>
      </c>
      <c r="CV164"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64"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64" s="81">
        <f>IF(WWWW[[#This Row],['# People with access to soap]]&gt;WWWW[[#This Row],['# People with access to Sanity Pads]],WWWW[[#This Row],['# People with access to soap]],WWWW[[#This Row],['# People with access to Sanity Pads]])</f>
        <v>0</v>
      </c>
      <c r="CY164"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64" s="79">
        <f>IF(WWWW[[#This Row],[HRP3]]/WWWW[[#This Row],[Total PoP ]]&gt;100%,100%,WWWW[[#This Row],[HRP3]]/WWWW[[#This Row],[Total PoP ]])</f>
        <v>0</v>
      </c>
      <c r="DA164" s="83">
        <f>1-WWWW[[#This Row],[Hygiene Coverage%]]</f>
        <v>1</v>
      </c>
      <c r="DB164" s="82">
        <f>WWWW[[#This Row],['# people reached by regular dedicated hygiene promotion_5]]/WWWW[[#This Row],[Total PoP ]]</f>
        <v>0</v>
      </c>
      <c r="DC164" s="82">
        <f>IF(WWWW[[#This Row],['#_households that received standard amount of soap for this quarter]]/WWWW[[#This Row],[Total HH]]&gt;1,1,WWWW[[#This Row],['#_households that received standard amount of soap for this quarter]]/WWWW[[#This Row],[Total HH]])</f>
        <v>0</v>
      </c>
      <c r="DD164" s="82">
        <f>IF(WWWW[[#This Row],['#_households that received standard amount of sanitary pads for this quarter]]/WWWW[[#This Row],[Total HH]]&gt;1,1,WWWW[[#This Row],['#_households that received standard amount of sanitary pads for this quarter]]/WWWW[[#This Row],[Total HH]])</f>
        <v>0</v>
      </c>
      <c r="DE164" s="81">
        <f>WWWW[[#This Row],['#_Constructed/Existing hand washing stations]]-WWWW[[#This Row],['#_Non-Functional_hand_washing_stations]]</f>
        <v>0</v>
      </c>
      <c r="DF164" s="667">
        <f>IF(WWWW[[#This Row],['# Functional hand washing stations during reporting period]]*20&gt;WWWW[[#This Row],[Total HH]],WWWW[[#This Row],[Total HH]],WWWW[[#This Row],['# Functional hand washing stations during reporting period]]*20)</f>
        <v>0</v>
      </c>
      <c r="DG164" s="80">
        <f>IF(WWWW[[#This Row],[Is sufficient soap available for TLS? (Yes/No)]]="yes",WWWW[[#This Row],['#_Constructed/Existing hand washing stations at TLS]],0)</f>
        <v>0</v>
      </c>
      <c r="DH164" s="667">
        <f>IF(WWWW[[#This Row],['# Functional hand washing stations during reporting period]]*100&gt;WWWW[[#This Row],[Total PoP ]],WWWW[[#This Row],[Total PoP ]],WWWW[[#This Row],['# Functional hand washing stations during reporting period]]*100)</f>
        <v>0</v>
      </c>
      <c r="DI164" s="667" t="str">
        <f>IF(WWWW[[#This Row],['#_students at TLS_CFS]]="","No","Yes")</f>
        <v>No</v>
      </c>
      <c r="DJ164" s="245">
        <f>VLOOKUP(WWWW[[#This Row],[Site Name]],SiteDB6[[Site Name]:[CCCM Management]],6,FALSE)</f>
        <v>0</v>
      </c>
      <c r="DK164" s="245">
        <f>VLOOKUP(WWWW[[#This Row],[Site Name]],SiteDB6[[Site Name]:[CCCM Focal Agency]],7,FALSE)</f>
        <v>0</v>
      </c>
      <c r="DL164" s="245" t="str">
        <f>VLOOKUP(WWWW[[#This Row],[Site Name]],SiteDB6[[Site Name]:[Location Type 1]],9,FALSE)</f>
        <v>Camp</v>
      </c>
      <c r="DM164" s="245" t="str">
        <f>VLOOKUP(WWWW[[#This Row],[Site Name]],SiteDB6[[Site Name]:[Type of Accommodation]],10,FALSE)</f>
        <v>Camp like setting</v>
      </c>
      <c r="DN164" s="245" t="str">
        <f>VLOOKUP(WWWW[[#This Row],[Site Name]],SiteDB6[[Site Name]:[Ethnic or GCA/NGCA]],11,FALSE)</f>
        <v>NGCA</v>
      </c>
      <c r="DO164" s="245">
        <f>VLOOKUP(WWWW[[#This Row],[Site Name]],SiteDB6[[Site Name]:[Lat]],12,FALSE)</f>
        <v>0</v>
      </c>
      <c r="DP164" s="245">
        <f>VLOOKUP(WWWW[[#This Row],[Site Name]],SiteDB6[[Site Name]:[Long]],13,FALSE)</f>
        <v>0</v>
      </c>
      <c r="DQ164" s="245">
        <f>VLOOKUP(WWWW[[#This Row],[Site Name]],SiteDB6[[Site Name]:[Pcode]],3,FALSE)</f>
        <v>0</v>
      </c>
      <c r="DR164" s="215" t="str">
        <f t="shared" si="5"/>
        <v>Covered</v>
      </c>
      <c r="DS164" s="215"/>
      <c r="DT164" s="20"/>
      <c r="DU164" s="20"/>
      <c r="DV164" s="20"/>
      <c r="DW164" s="20"/>
      <c r="DX164" s="20"/>
      <c r="DY164" s="20"/>
      <c r="DZ164" s="20"/>
      <c r="EA164" s="20"/>
      <c r="EB164" s="20"/>
      <c r="EC164" s="20"/>
      <c r="ED164" s="20"/>
      <c r="EE164" s="20"/>
      <c r="EF164" s="20"/>
      <c r="EG164" s="20"/>
      <c r="EH164" s="20"/>
    </row>
    <row r="165" spans="1:138" ht="15.75" customHeight="1">
      <c r="A165" s="259" t="s">
        <v>2525</v>
      </c>
      <c r="B165" s="663" t="s">
        <v>250</v>
      </c>
      <c r="C165" s="663" t="s">
        <v>250</v>
      </c>
      <c r="D165" s="663" t="s">
        <v>315</v>
      </c>
      <c r="E165" s="663" t="s">
        <v>39</v>
      </c>
      <c r="F165" s="663" t="s">
        <v>150</v>
      </c>
      <c r="G165" s="663" t="str">
        <f>VLOOKUP(WWWW[[#This Row],[Site Name]],SiteDB6[[Site Name]:[Location Type]],8,FALSE)</f>
        <v>Camp</v>
      </c>
      <c r="H165" s="663" t="s">
        <v>283</v>
      </c>
      <c r="I165" s="700">
        <v>66</v>
      </c>
      <c r="J165" s="700">
        <v>263</v>
      </c>
      <c r="K165" s="642">
        <v>43313</v>
      </c>
      <c r="L165" s="58">
        <v>44043</v>
      </c>
      <c r="M165" s="700">
        <v>0</v>
      </c>
      <c r="N165" s="700">
        <v>1</v>
      </c>
      <c r="O165" s="700">
        <v>0</v>
      </c>
      <c r="P165" s="700">
        <v>0</v>
      </c>
      <c r="Q165" s="663" t="s">
        <v>43</v>
      </c>
      <c r="R165" s="377">
        <v>3</v>
      </c>
      <c r="S165" s="377">
        <v>2</v>
      </c>
      <c r="T165" s="377">
        <v>3</v>
      </c>
      <c r="U165" s="377">
        <v>0</v>
      </c>
      <c r="V165" s="377">
        <v>2</v>
      </c>
      <c r="W165" s="377">
        <v>1</v>
      </c>
      <c r="X165" s="377">
        <v>3</v>
      </c>
      <c r="Y165" s="377">
        <v>0</v>
      </c>
      <c r="Z165" s="377">
        <v>2</v>
      </c>
      <c r="AA165" s="700">
        <v>0</v>
      </c>
      <c r="AB165" s="377">
        <v>0</v>
      </c>
      <c r="AC165" s="377">
        <v>0</v>
      </c>
      <c r="AD165" s="377">
        <v>0</v>
      </c>
      <c r="AE165" s="377">
        <v>0</v>
      </c>
      <c r="AF165" s="377">
        <v>0</v>
      </c>
      <c r="AG165" s="377">
        <v>0</v>
      </c>
      <c r="AH165" s="377">
        <v>0</v>
      </c>
      <c r="AI165" s="377"/>
      <c r="AJ165" s="377"/>
      <c r="AK165" s="377"/>
      <c r="AL165" s="377"/>
      <c r="AM165" s="377">
        <v>0</v>
      </c>
      <c r="AN165" s="377">
        <v>0</v>
      </c>
      <c r="AO165" s="215"/>
      <c r="AP165" s="377">
        <v>0</v>
      </c>
      <c r="AQ165" s="377">
        <v>7</v>
      </c>
      <c r="AR165" s="77">
        <v>0</v>
      </c>
      <c r="AS165" s="377">
        <v>2</v>
      </c>
      <c r="AT165" s="377">
        <v>0</v>
      </c>
      <c r="AU165" s="377">
        <v>2</v>
      </c>
      <c r="AV165" s="377"/>
      <c r="AW165" s="700">
        <v>0</v>
      </c>
      <c r="AX165" s="694" t="s">
        <v>43</v>
      </c>
      <c r="AY165" s="245" t="s">
        <v>145</v>
      </c>
      <c r="AZ165" s="377">
        <v>0</v>
      </c>
      <c r="BA165" s="377">
        <v>0</v>
      </c>
      <c r="BB165" s="377">
        <v>0</v>
      </c>
      <c r="BC165" s="215"/>
      <c r="BD165" s="377">
        <v>2</v>
      </c>
      <c r="BE165" s="377">
        <v>0</v>
      </c>
      <c r="BF165" s="377">
        <v>0</v>
      </c>
      <c r="BG165" s="377">
        <v>4</v>
      </c>
      <c r="BH165" s="377">
        <v>0</v>
      </c>
      <c r="BI165" s="377">
        <v>0</v>
      </c>
      <c r="BJ165" s="377">
        <v>0</v>
      </c>
      <c r="BK165" s="377">
        <v>0</v>
      </c>
      <c r="BL165" s="377">
        <v>0</v>
      </c>
      <c r="BM165" s="215" t="s">
        <v>144</v>
      </c>
      <c r="BN165" s="80">
        <v>0</v>
      </c>
      <c r="BO165" s="82">
        <v>0</v>
      </c>
      <c r="BP165" s="215"/>
      <c r="BQ165" s="79" t="str">
        <f>IFERROR(WWWW[[#This Row],['#_Water sources treated]]/WWWW[[#This Row],['#_Water sources tested for contamination]],"no test")</f>
        <v>no test</v>
      </c>
      <c r="BR165" s="82" t="str">
        <f>IFERROR(WWWW[[#This Row],['#_Household received remediation action due to contamination]]/WWWW[[#This Row],['#_Household water samples tested for contamination]],"no test")</f>
        <v>no test</v>
      </c>
      <c r="BS165" s="81" t="str">
        <f>IF(AND(WWWW[[#This Row],[% of water sources treated]]="no test",WWWW[[#This Row],[% Household received corrective actions]]="no test"),"No Test","Tested")</f>
        <v>No Test</v>
      </c>
      <c r="BT165" s="81">
        <f>WWWW[[#This Row],['#_Constructed/existing protected hand dug well]]-WWWW[[#This Row],['#_Non-functional protected hand dug well]]</f>
        <v>3</v>
      </c>
      <c r="BU165" s="81">
        <f>(WWWW[[#This Row],['#_Constructed/Existing tube wells/boreholes/handpumps_WASH_agency]]+WWWW[[#This Row],['#_Non-Cluster partner water tube-wells/boreholes/handpumps]])-WWWW[[#This Row],['#_Non-functional tube wells/boreholes/handpumps]]</f>
        <v>4</v>
      </c>
      <c r="BV165" s="81">
        <f>WWWW[[#This Row],['#_Constructed/Existingwater storage tank with gravity fed reticulation system]]-WWWW[[#This Row],['#_Non-functional storage tank gravity fed reticulation system]]</f>
        <v>0</v>
      </c>
      <c r="BW165" s="81">
        <f>WWWW[[#This Row],['#_Water boating or water trucking]]</f>
        <v>0</v>
      </c>
      <c r="BX165" s="81">
        <f>WWWW[[#This Row],['#_Constructed/Existing water distribution system from river or natural spring]]</f>
        <v>0</v>
      </c>
      <c r="BY165"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65"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65" s="82">
        <f>IF(WWWW[[#This Row],[Location Type 1]]="Village",WWWW[[#This Row],[Access to safe drinking water for Village]],WWWW[[#This Row],[Access to safe drinking water for Camp]])</f>
        <v>1</v>
      </c>
      <c r="CB165" s="80">
        <f>WWWW[[#This Row],[%Equitable and continuous access to sufficient quantity of safe drinking water]]*WWWW[[#This Row],[Total PoP ]]</f>
        <v>263</v>
      </c>
      <c r="CC165" s="82">
        <f>IF((WWWW[[#This Row],['#_Constructed/Existing protected/fenced ponds]]*250)/WWWW[[#This Row],[Total PoP ]]&gt;1,1,(WWWW[[#This Row],['#_Constructed/Existing protected/fenced ponds]]*250)/WWWW[[#This Row],[Total PoP ]])</f>
        <v>0</v>
      </c>
      <c r="CD165" s="80">
        <f>WWWW[[#This Row],[% Access to unimproved water points]]*WWWW[[#This Row],[Total PoP ]]</f>
        <v>0</v>
      </c>
      <c r="CE165"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65"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263</v>
      </c>
      <c r="CG165" s="80">
        <f>WWWW[[#This Row],[HRP1]]/500</f>
        <v>0.52600000000000002</v>
      </c>
      <c r="CH165" s="79">
        <f>1-WWWW[[#This Row],[% Equitable and continuous access to sufficient quantity of domestic water]]</f>
        <v>0</v>
      </c>
      <c r="CI165" s="80">
        <f>WWWW[[#This Row],[%equitable and continuous access to sufficient quantity of safe drinking and domestic water''s GAP]]*WWWW[[#This Row],[Total PoP ]]</f>
        <v>0</v>
      </c>
      <c r="CJ165" s="81">
        <f>IF(WWWW[[#This Row],[Total required water points]]-WWWW[[#This Row],['#Water points coverage]]&lt;0,0,WWWW[[#This Row],[Total required water points]]-WWWW[[#This Row],['#Water points coverage]])</f>
        <v>0.47399999999999998</v>
      </c>
      <c r="CK165" s="81">
        <f>ROUND(IF(WWWW[[#This Row],[Total PoP ]]&lt;500,1,WWWW[[#This Row],[Total PoP ]]/500),0)</f>
        <v>1</v>
      </c>
      <c r="CL165" s="81">
        <f>(WWWW[[#This Row],['#_Constructed latrines_by_WASHAgencies]]+WWWW[[#This Row],['#_Non Cluster partner latrines]])-WWWW[[#This Row],['#_Non-functional latrines]]</f>
        <v>5</v>
      </c>
      <c r="CM165"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0.38022813688212925</v>
      </c>
      <c r="CN165"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100</v>
      </c>
      <c r="CO165"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40</v>
      </c>
      <c r="CP165" s="81">
        <f>IF(WWWW[[#This Row],[Location Type 1]]="Village","NA",IF(WWWW[[#This Row],['#_Constructed/Existing latrines in TLS]]*50&gt;WWWW[[#This Row],['#_students at TLS_CFS]],WWWW[[#This Row],['#_students at TLS_CFS]],(WWWW[[#This Row],['#_Constructed/Existing latrines in TLS]]*50)))</f>
        <v>0</v>
      </c>
      <c r="CQ165" s="81">
        <f>ROUND(IF(WWWW[[#This Row],[Location Type 1]]="camp",WWWW[[#This Row],[Total PoP ]]/20,IF(WWWW[[#This Row],[Location Type 1]]="Temporary Location",WWWW[[#This Row],[Total PoP ]]/50,(WWWW[[#This Row],[Total PoP ]]/6))),0)</f>
        <v>13</v>
      </c>
      <c r="CR165" s="80">
        <f>IF(WWWW[[#This Row],[Total required Latrines]]-(WWWW[[#This Row],['#_Constructed latrines_by_WASHAgencies]]+WWWW[[#This Row],['#_Non Cluster partner latrines]])&lt;0,0,WWWW[[#This Row],[Total required Latrines]]-(WWWW[[#This Row],['#_Constructed latrines_by_WASHAgencies]]+WWWW[[#This Row],['#_Non Cluster partner latrines]]))</f>
        <v>6</v>
      </c>
      <c r="CS165" s="79">
        <f>1-WWWW[[#This Row],[% people access to functioning Latrine]]</f>
        <v>0.6197718631178708</v>
      </c>
      <c r="CT165" s="83">
        <f>IF(OR(WWWW[[#This Row],['#_Non-functional latrines]]="",WWWW[[#This Row],['#_Non-functional latrines]]=0),0,WWWW[[#This Row],['#_Non-functional latrines]]/(WWWW[[#This Row],['#_Constructed latrines_by_WASHAgencies]]+WWWW[[#This Row],['#_Non Cluster partner latrines]]))</f>
        <v>0.2857142857142857</v>
      </c>
      <c r="CU165" s="80">
        <f>IF(500*(WWWW[[#This Row],['#_male hygiene promoters]]+WWWW[[#This Row],['#_female hygiene promoters]])&gt;WWWW[[#This Row],[Total PoP ]],WWWW[[#This Row],[Total PoP ]],500*(WWWW[[#This Row],['#_male hygiene promoters]]+WWWW[[#This Row],['#_female hygiene promoters]]))</f>
        <v>0</v>
      </c>
      <c r="CV165"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65"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65" s="81">
        <f>IF(WWWW[[#This Row],['# People with access to soap]]&gt;WWWW[[#This Row],['# People with access to Sanity Pads]],WWWW[[#This Row],['# People with access to soap]],WWWW[[#This Row],['# People with access to Sanity Pads]])</f>
        <v>0</v>
      </c>
      <c r="CY165"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65" s="79">
        <f>IF(WWWW[[#This Row],[HRP3]]/WWWW[[#This Row],[Total PoP ]]&gt;100%,100%,WWWW[[#This Row],[HRP3]]/WWWW[[#This Row],[Total PoP ]])</f>
        <v>0</v>
      </c>
      <c r="DA165" s="83">
        <f>1-WWWW[[#This Row],[Hygiene Coverage%]]</f>
        <v>1</v>
      </c>
      <c r="DB165" s="82">
        <f>WWWW[[#This Row],['# people reached by regular dedicated hygiene promotion_5]]/WWWW[[#This Row],[Total PoP ]]</f>
        <v>0</v>
      </c>
      <c r="DC165" s="82">
        <f>IF(WWWW[[#This Row],['#_households that received standard amount of soap for this quarter]]/WWWW[[#This Row],[Total HH]]&gt;1,1,WWWW[[#This Row],['#_households that received standard amount of soap for this quarter]]/WWWW[[#This Row],[Total HH]])</f>
        <v>0</v>
      </c>
      <c r="DD165" s="82">
        <f>IF(WWWW[[#This Row],['#_households that received standard amount of sanitary pads for this quarter]]/WWWW[[#This Row],[Total HH]]&gt;1,1,WWWW[[#This Row],['#_households that received standard amount of sanitary pads for this quarter]]/WWWW[[#This Row],[Total HH]])</f>
        <v>0</v>
      </c>
      <c r="DE165" s="81">
        <f>WWWW[[#This Row],['#_Constructed/Existing hand washing stations]]-WWWW[[#This Row],['#_Non-Functional_hand_washing_stations]]</f>
        <v>2</v>
      </c>
      <c r="DF165" s="667">
        <f>IF(WWWW[[#This Row],['# Functional hand washing stations during reporting period]]*20&gt;WWWW[[#This Row],[Total HH]],WWWW[[#This Row],[Total HH]],WWWW[[#This Row],['# Functional hand washing stations during reporting period]]*20)</f>
        <v>40</v>
      </c>
      <c r="DG165" s="80">
        <f>IF(WWWW[[#This Row],[Is sufficient soap available for TLS? (Yes/No)]]="yes",WWWW[[#This Row],['#_Constructed/Existing hand washing stations at TLS]],0)</f>
        <v>0</v>
      </c>
      <c r="DH165" s="667">
        <f>IF(WWWW[[#This Row],['# Functional hand washing stations during reporting period]]*100&gt;WWWW[[#This Row],[Total PoP ]],WWWW[[#This Row],[Total PoP ]],WWWW[[#This Row],['# Functional hand washing stations during reporting period]]*100)</f>
        <v>200</v>
      </c>
      <c r="DI165" s="667" t="str">
        <f>IF(WWWW[[#This Row],['#_students at TLS_CFS]]="","No","Yes")</f>
        <v>Yes</v>
      </c>
      <c r="DJ165" s="245" t="str">
        <f>VLOOKUP(WWWW[[#This Row],[Site Name]],SiteDB6[[Site Name]:[CCCM Management]],6,FALSE)</f>
        <v>Yes</v>
      </c>
      <c r="DK165" s="245" t="str">
        <f>VLOOKUP(WWWW[[#This Row],[Site Name]],SiteDB6[[Site Name]:[CCCM Focal Agency]],7,FALSE)</f>
        <v>Shalom</v>
      </c>
      <c r="DL165" s="245" t="str">
        <f>VLOOKUP(WWWW[[#This Row],[Site Name]],SiteDB6[[Site Name]:[Location Type 1]],9,FALSE)</f>
        <v>Camp</v>
      </c>
      <c r="DM165" s="245" t="str">
        <f>VLOOKUP(WWWW[[#This Row],[Site Name]],SiteDB6[[Site Name]:[Type of Accommodation]],10,FALSE)</f>
        <v>Camp</v>
      </c>
      <c r="DN165" s="245" t="str">
        <f>VLOOKUP(WWWW[[#This Row],[Site Name]],SiteDB6[[Site Name]:[Ethnic or GCA/NGCA]],11,FALSE)</f>
        <v>GCA</v>
      </c>
      <c r="DO165" s="245">
        <f>VLOOKUP(WWWW[[#This Row],[Site Name]],SiteDB6[[Site Name]:[Lat]],12,FALSE)</f>
        <v>25.351250396825399</v>
      </c>
      <c r="DP165" s="245">
        <f>VLOOKUP(WWWW[[#This Row],[Site Name]],SiteDB6[[Site Name]:[Long]],13,FALSE)</f>
        <v>97.444283730158702</v>
      </c>
      <c r="DQ165" s="245" t="str">
        <f>VLOOKUP(WWWW[[#This Row],[Site Name]],SiteDB6[[Site Name]:[Pcode]],3,FALSE)</f>
        <v>MMR001CMP038</v>
      </c>
      <c r="DR165" s="215" t="str">
        <f t="shared" ref="DR165:DR196" si="6">IF(C165="none","Notcovered","Covered")</f>
        <v>Covered</v>
      </c>
      <c r="DS165" s="215"/>
      <c r="DT165" s="20"/>
      <c r="DU165" s="20"/>
      <c r="DV165" s="20"/>
      <c r="DW165" s="20"/>
      <c r="DX165" s="20"/>
      <c r="DY165" s="20"/>
      <c r="DZ165" s="20"/>
      <c r="EA165" s="20"/>
      <c r="EB165" s="20"/>
      <c r="EC165" s="20"/>
      <c r="ED165" s="20"/>
      <c r="EE165" s="20"/>
      <c r="EF165" s="20"/>
      <c r="EG165" s="20"/>
      <c r="EH165" s="20"/>
    </row>
    <row r="166" spans="1:138" ht="15.75" customHeight="1">
      <c r="A166" s="259" t="s">
        <v>2525</v>
      </c>
      <c r="B166" s="663" t="s">
        <v>200</v>
      </c>
      <c r="C166" s="663" t="s">
        <v>200</v>
      </c>
      <c r="D166" s="663" t="s">
        <v>226</v>
      </c>
      <c r="E166" s="663" t="s">
        <v>39</v>
      </c>
      <c r="F166" s="663" t="s">
        <v>150</v>
      </c>
      <c r="G166" s="663" t="str">
        <f>VLOOKUP(WWWW[[#This Row],[Site Name]],SiteDB6[[Site Name]:[Location Type]],8,FALSE)</f>
        <v>Camp_not registered</v>
      </c>
      <c r="H166" s="706" t="s">
        <v>231</v>
      </c>
      <c r="I166" s="700">
        <v>134</v>
      </c>
      <c r="J166" s="700">
        <v>709</v>
      </c>
      <c r="K166" s="642"/>
      <c r="L166" s="78">
        <v>43281</v>
      </c>
      <c r="M166" s="700"/>
      <c r="N166" s="700"/>
      <c r="O166" s="700"/>
      <c r="P166" s="700"/>
      <c r="Q166" s="77"/>
      <c r="R166" s="377"/>
      <c r="S166" s="377"/>
      <c r="T166" s="377"/>
      <c r="U166" s="377"/>
      <c r="V166" s="377"/>
      <c r="W166" s="377"/>
      <c r="X166" s="377"/>
      <c r="Y166" s="377"/>
      <c r="Z166" s="377"/>
      <c r="AA166" s="700"/>
      <c r="AB166" s="377"/>
      <c r="AC166" s="377"/>
      <c r="AD166" s="377"/>
      <c r="AE166" s="377"/>
      <c r="AF166" s="377"/>
      <c r="AG166" s="377"/>
      <c r="AH166" s="377"/>
      <c r="AI166" s="377"/>
      <c r="AJ166" s="377"/>
      <c r="AK166" s="377"/>
      <c r="AL166" s="377"/>
      <c r="AM166" s="377"/>
      <c r="AN166" s="377"/>
      <c r="AO166" s="215"/>
      <c r="AP166" s="377"/>
      <c r="AQ166" s="377"/>
      <c r="AR166" s="77"/>
      <c r="AS166" s="377"/>
      <c r="AT166" s="377"/>
      <c r="AU166" s="377"/>
      <c r="AV166" s="377"/>
      <c r="AW166" s="377"/>
      <c r="AX166" s="245" t="s">
        <v>43</v>
      </c>
      <c r="AY166" s="245" t="s">
        <v>1200</v>
      </c>
      <c r="AZ166" s="377"/>
      <c r="BA166" s="377"/>
      <c r="BB166" s="377"/>
      <c r="BC166" s="215"/>
      <c r="BD166" s="377"/>
      <c r="BE166" s="377"/>
      <c r="BF166" s="377"/>
      <c r="BG166" s="377"/>
      <c r="BH166" s="377"/>
      <c r="BI166" s="377"/>
      <c r="BJ166" s="377"/>
      <c r="BK166" s="377"/>
      <c r="BL166" s="377"/>
      <c r="BM166" s="215"/>
      <c r="BN166" s="80"/>
      <c r="BO166" s="82"/>
      <c r="BP166" s="215"/>
      <c r="BQ166" s="79" t="str">
        <f>IFERROR(WWWW[[#This Row],['#_Water sources treated]]/WWWW[[#This Row],['#_Water sources tested for contamination]],"no test")</f>
        <v>no test</v>
      </c>
      <c r="BR166" s="82" t="str">
        <f>IFERROR(WWWW[[#This Row],['#_Household received remediation action due to contamination]]/WWWW[[#This Row],['#_Household water samples tested for contamination]],"no test")</f>
        <v>no test</v>
      </c>
      <c r="BS166" s="81" t="str">
        <f>IF(AND(WWWW[[#This Row],[% of water sources treated]]="no test",WWWW[[#This Row],[% Household received corrective actions]]="no test"),"No Test","Tested")</f>
        <v>No Test</v>
      </c>
      <c r="BT166" s="81">
        <f>WWWW[[#This Row],['#_Constructed/existing protected hand dug well]]-WWWW[[#This Row],['#_Non-functional protected hand dug well]]</f>
        <v>0</v>
      </c>
      <c r="BU166" s="81">
        <f>(WWWW[[#This Row],['#_Constructed/Existing tube wells/boreholes/handpumps_WASH_agency]]+WWWW[[#This Row],['#_Non-Cluster partner water tube-wells/boreholes/handpumps]])-WWWW[[#This Row],['#_Non-functional tube wells/boreholes/handpumps]]</f>
        <v>0</v>
      </c>
      <c r="BV166" s="81">
        <f>WWWW[[#This Row],['#_Constructed/Existingwater storage tank with gravity fed reticulation system]]-WWWW[[#This Row],['#_Non-functional storage tank gravity fed reticulation system]]</f>
        <v>0</v>
      </c>
      <c r="BW166" s="81">
        <f>WWWW[[#This Row],['#_Water boating or water trucking]]</f>
        <v>0</v>
      </c>
      <c r="BX166" s="81">
        <f>WWWW[[#This Row],['#_Constructed/Existing water distribution system from river or natural spring]]</f>
        <v>0</v>
      </c>
      <c r="BY166"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66"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66" s="82">
        <f>IF(WWWW[[#This Row],[Location Type 1]]="Village",WWWW[[#This Row],[Access to safe drinking water for Village]],WWWW[[#This Row],[Access to safe drinking water for Camp]])</f>
        <v>0</v>
      </c>
      <c r="CB166" s="80">
        <f>WWWW[[#This Row],[%Equitable and continuous access to sufficient quantity of safe drinking water]]*WWWW[[#This Row],[Total PoP ]]</f>
        <v>0</v>
      </c>
      <c r="CC166" s="82">
        <f>IF((WWWW[[#This Row],['#_Constructed/Existing protected/fenced ponds]]*250)/WWWW[[#This Row],[Total PoP ]]&gt;1,1,(WWWW[[#This Row],['#_Constructed/Existing protected/fenced ponds]]*250)/WWWW[[#This Row],[Total PoP ]])</f>
        <v>0</v>
      </c>
      <c r="CD166" s="80">
        <f>WWWW[[#This Row],[% Access to unimproved water points]]*WWWW[[#This Row],[Total PoP ]]</f>
        <v>0</v>
      </c>
      <c r="CE166"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66"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66" s="80">
        <f>WWWW[[#This Row],[HRP1]]/500</f>
        <v>0</v>
      </c>
      <c r="CH166" s="79">
        <f>1-WWWW[[#This Row],[% Equitable and continuous access to sufficient quantity of domestic water]]</f>
        <v>1</v>
      </c>
      <c r="CI166" s="80">
        <f>WWWW[[#This Row],[%equitable and continuous access to sufficient quantity of safe drinking and domestic water''s GAP]]*WWWW[[#This Row],[Total PoP ]]</f>
        <v>709</v>
      </c>
      <c r="CJ166" s="81">
        <f>IF(WWWW[[#This Row],[Total required water points]]-WWWW[[#This Row],['#Water points coverage]]&lt;0,0,WWWW[[#This Row],[Total required water points]]-WWWW[[#This Row],['#Water points coverage]])</f>
        <v>1</v>
      </c>
      <c r="CK166" s="81">
        <f>ROUND(IF(WWWW[[#This Row],[Total PoP ]]&lt;500,1,WWWW[[#This Row],[Total PoP ]]/500),0)</f>
        <v>1</v>
      </c>
      <c r="CL166" s="81">
        <f>(WWWW[[#This Row],['#_Constructed latrines_by_WASHAgencies]]+WWWW[[#This Row],['#_Non Cluster partner latrines]])-WWWW[[#This Row],['#_Non-functional latrines]]</f>
        <v>0</v>
      </c>
      <c r="CM166"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66"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66"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66" s="81">
        <f>IF(WWWW[[#This Row],[Location Type 1]]="Village","NA",IF(WWWW[[#This Row],['#_Constructed/Existing latrines in TLS]]*50&gt;WWWW[[#This Row],['#_students at TLS_CFS]],WWWW[[#This Row],['#_students at TLS_CFS]],(WWWW[[#This Row],['#_Constructed/Existing latrines in TLS]]*50)))</f>
        <v>0</v>
      </c>
      <c r="CQ166" s="81">
        <f>ROUND(IF(WWWW[[#This Row],[Location Type 1]]="camp",WWWW[[#This Row],[Total PoP ]]/20,IF(WWWW[[#This Row],[Location Type 1]]="Temporary Location",WWWW[[#This Row],[Total PoP ]]/50,(WWWW[[#This Row],[Total PoP ]]/6))),0)</f>
        <v>35</v>
      </c>
      <c r="CR166" s="80">
        <f>IF(WWWW[[#This Row],[Total required Latrines]]-(WWWW[[#This Row],['#_Constructed latrines_by_WASHAgencies]]+WWWW[[#This Row],['#_Non Cluster partner latrines]])&lt;0,0,WWWW[[#This Row],[Total required Latrines]]-(WWWW[[#This Row],['#_Constructed latrines_by_WASHAgencies]]+WWWW[[#This Row],['#_Non Cluster partner latrines]]))</f>
        <v>35</v>
      </c>
      <c r="CS166" s="79">
        <f>1-WWWW[[#This Row],[% people access to functioning Latrine]]</f>
        <v>1</v>
      </c>
      <c r="CT166" s="83">
        <f>IF(OR(WWWW[[#This Row],['#_Non-functional latrines]]="",WWWW[[#This Row],['#_Non-functional latrines]]=0),0,WWWW[[#This Row],['#_Non-functional latrines]]/(WWWW[[#This Row],['#_Constructed latrines_by_WASHAgencies]]+WWWW[[#This Row],['#_Non Cluster partner latrines]]))</f>
        <v>0</v>
      </c>
      <c r="CU166" s="80">
        <f>IF(500*(WWWW[[#This Row],['#_male hygiene promoters]]+WWWW[[#This Row],['#_female hygiene promoters]])&gt;WWWW[[#This Row],[Total PoP ]],WWWW[[#This Row],[Total PoP ]],500*(WWWW[[#This Row],['#_male hygiene promoters]]+WWWW[[#This Row],['#_female hygiene promoters]]))</f>
        <v>0</v>
      </c>
      <c r="CV166"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66"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66" s="81">
        <f>IF(WWWW[[#This Row],['# People with access to soap]]&gt;WWWW[[#This Row],['# People with access to Sanity Pads]],WWWW[[#This Row],['# People with access to soap]],WWWW[[#This Row],['# People with access to Sanity Pads]])</f>
        <v>0</v>
      </c>
      <c r="CY166"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66" s="79">
        <f>IF(WWWW[[#This Row],[HRP3]]/WWWW[[#This Row],[Total PoP ]]&gt;100%,100%,WWWW[[#This Row],[HRP3]]/WWWW[[#This Row],[Total PoP ]])</f>
        <v>0</v>
      </c>
      <c r="DA166" s="83">
        <f>1-WWWW[[#This Row],[Hygiene Coverage%]]</f>
        <v>1</v>
      </c>
      <c r="DB166" s="82">
        <f>WWWW[[#This Row],['# people reached by regular dedicated hygiene promotion_5]]/WWWW[[#This Row],[Total PoP ]]</f>
        <v>0</v>
      </c>
      <c r="DC166" s="82">
        <f>IF(WWWW[[#This Row],['#_households that received standard amount of soap for this quarter]]/WWWW[[#This Row],[Total HH]]&gt;1,1,WWWW[[#This Row],['#_households that received standard amount of soap for this quarter]]/WWWW[[#This Row],[Total HH]])</f>
        <v>0</v>
      </c>
      <c r="DD166" s="82">
        <f>IF(WWWW[[#This Row],['#_households that received standard amount of sanitary pads for this quarter]]/WWWW[[#This Row],[Total HH]]&gt;1,1,WWWW[[#This Row],['#_households that received standard amount of sanitary pads for this quarter]]/WWWW[[#This Row],[Total HH]])</f>
        <v>0</v>
      </c>
      <c r="DE166" s="81">
        <f>WWWW[[#This Row],['#_Constructed/Existing hand washing stations]]-WWWW[[#This Row],['#_Non-Functional_hand_washing_stations]]</f>
        <v>0</v>
      </c>
      <c r="DF166" s="667">
        <f>IF(WWWW[[#This Row],['# Functional hand washing stations during reporting period]]*20&gt;WWWW[[#This Row],[Total HH]],WWWW[[#This Row],[Total HH]],WWWW[[#This Row],['# Functional hand washing stations during reporting period]]*20)</f>
        <v>0</v>
      </c>
      <c r="DG166" s="80">
        <f>IF(WWWW[[#This Row],[Is sufficient soap available for TLS? (Yes/No)]]="yes",WWWW[[#This Row],['#_Constructed/Existing hand washing stations at TLS]],0)</f>
        <v>0</v>
      </c>
      <c r="DH166" s="667">
        <f>IF(WWWW[[#This Row],['# Functional hand washing stations during reporting period]]*100&gt;WWWW[[#This Row],[Total PoP ]],WWWW[[#This Row],[Total PoP ]],WWWW[[#This Row],['# Functional hand washing stations during reporting period]]*100)</f>
        <v>0</v>
      </c>
      <c r="DI166" s="667" t="str">
        <f>IF(WWWW[[#This Row],['#_students at TLS_CFS]]="","No","Yes")</f>
        <v>No</v>
      </c>
      <c r="DJ166" s="245">
        <f>VLOOKUP(WWWW[[#This Row],[Site Name]],SiteDB6[[Site Name]:[CCCM Management]],6,FALSE)</f>
        <v>0</v>
      </c>
      <c r="DK166" s="245">
        <f>VLOOKUP(WWWW[[#This Row],[Site Name]],SiteDB6[[Site Name]:[CCCM Focal Agency]],7,FALSE)</f>
        <v>0</v>
      </c>
      <c r="DL166" s="245" t="str">
        <f>VLOOKUP(WWWW[[#This Row],[Site Name]],SiteDB6[[Site Name]:[Location Type 1]],9,FALSE)</f>
        <v>Camp</v>
      </c>
      <c r="DM166" s="245" t="str">
        <f>VLOOKUP(WWWW[[#This Row],[Site Name]],SiteDB6[[Site Name]:[Type of Accommodation]],10,FALSE)</f>
        <v>CAMP</v>
      </c>
      <c r="DN166" s="245" t="str">
        <f>VLOOKUP(WWWW[[#This Row],[Site Name]],SiteDB6[[Site Name]:[Ethnic or GCA/NGCA]],11,FALSE)</f>
        <v>NGCA</v>
      </c>
      <c r="DO166" s="245">
        <f>VLOOKUP(WWWW[[#This Row],[Site Name]],SiteDB6[[Site Name]:[Lat]],12,FALSE)</f>
        <v>0</v>
      </c>
      <c r="DP166" s="245">
        <f>VLOOKUP(WWWW[[#This Row],[Site Name]],SiteDB6[[Site Name]:[Long]],13,FALSE)</f>
        <v>0</v>
      </c>
      <c r="DQ166" s="245">
        <f>VLOOKUP(WWWW[[#This Row],[Site Name]],SiteDB6[[Site Name]:[Pcode]],3,FALSE)</f>
        <v>0</v>
      </c>
      <c r="DR166" s="215" t="str">
        <f t="shared" si="6"/>
        <v>Covered</v>
      </c>
      <c r="DS166" s="215"/>
      <c r="DT166" s="20"/>
      <c r="DU166" s="20"/>
      <c r="DV166" s="20"/>
      <c r="DW166" s="20"/>
      <c r="DX166" s="20"/>
      <c r="DY166" s="20"/>
      <c r="DZ166" s="20"/>
      <c r="EA166" s="20"/>
      <c r="EB166" s="20"/>
      <c r="EC166" s="20"/>
      <c r="ED166" s="20"/>
      <c r="EE166" s="20"/>
      <c r="EF166" s="20"/>
      <c r="EG166" s="20"/>
      <c r="EH166" s="20"/>
    </row>
    <row r="167" spans="1:138" ht="15.75" customHeight="1">
      <c r="A167" s="259" t="s">
        <v>2525</v>
      </c>
      <c r="B167" s="663" t="s">
        <v>200</v>
      </c>
      <c r="C167" s="663" t="s">
        <v>200</v>
      </c>
      <c r="D167" s="663" t="s">
        <v>226</v>
      </c>
      <c r="E167" s="663" t="s">
        <v>39</v>
      </c>
      <c r="F167" s="663" t="s">
        <v>150</v>
      </c>
      <c r="G167" s="663" t="str">
        <f>VLOOKUP(WWWW[[#This Row],[Site Name]],SiteDB6[[Site Name]:[Location Type]],8,FALSE)</f>
        <v>Camp_not registered</v>
      </c>
      <c r="H167" s="706" t="s">
        <v>230</v>
      </c>
      <c r="I167" s="700">
        <v>546</v>
      </c>
      <c r="J167" s="700">
        <v>2550</v>
      </c>
      <c r="K167" s="642"/>
      <c r="L167" s="78">
        <v>43281</v>
      </c>
      <c r="M167" s="700"/>
      <c r="N167" s="700"/>
      <c r="O167" s="700"/>
      <c r="P167" s="700"/>
      <c r="Q167" s="77"/>
      <c r="R167" s="377"/>
      <c r="S167" s="377"/>
      <c r="T167" s="377"/>
      <c r="U167" s="377"/>
      <c r="V167" s="377"/>
      <c r="W167" s="377"/>
      <c r="X167" s="377"/>
      <c r="Y167" s="377"/>
      <c r="Z167" s="377"/>
      <c r="AA167" s="377"/>
      <c r="AB167" s="377"/>
      <c r="AC167" s="377"/>
      <c r="AD167" s="377"/>
      <c r="AE167" s="377"/>
      <c r="AF167" s="377"/>
      <c r="AG167" s="377"/>
      <c r="AH167" s="377"/>
      <c r="AI167" s="377"/>
      <c r="AJ167" s="377"/>
      <c r="AK167" s="377"/>
      <c r="AL167" s="377"/>
      <c r="AM167" s="377"/>
      <c r="AN167" s="377"/>
      <c r="AO167" s="215"/>
      <c r="AP167" s="377"/>
      <c r="AQ167" s="377"/>
      <c r="AR167" s="77"/>
      <c r="AS167" s="377"/>
      <c r="AT167" s="377"/>
      <c r="AU167" s="377"/>
      <c r="AV167" s="377"/>
      <c r="AW167" s="377"/>
      <c r="AX167" s="245" t="s">
        <v>144</v>
      </c>
      <c r="AY167" s="245" t="s">
        <v>144</v>
      </c>
      <c r="AZ167" s="377"/>
      <c r="BA167" s="377"/>
      <c r="BB167" s="377"/>
      <c r="BC167" s="215"/>
      <c r="BD167" s="377"/>
      <c r="BE167" s="377"/>
      <c r="BF167" s="377"/>
      <c r="BG167" s="377"/>
      <c r="BH167" s="377"/>
      <c r="BI167" s="377"/>
      <c r="BJ167" s="377"/>
      <c r="BK167" s="377"/>
      <c r="BL167" s="377"/>
      <c r="BM167" s="215"/>
      <c r="BN167" s="80"/>
      <c r="BO167" s="82"/>
      <c r="BP167" s="215"/>
      <c r="BQ167" s="79" t="str">
        <f>IFERROR(WWWW[[#This Row],['#_Water sources treated]]/WWWW[[#This Row],['#_Water sources tested for contamination]],"no test")</f>
        <v>no test</v>
      </c>
      <c r="BR167" s="82" t="str">
        <f>IFERROR(WWWW[[#This Row],['#_Household received remediation action due to contamination]]/WWWW[[#This Row],['#_Household water samples tested for contamination]],"no test")</f>
        <v>no test</v>
      </c>
      <c r="BS167" s="81" t="str">
        <f>IF(AND(WWWW[[#This Row],[% of water sources treated]]="no test",WWWW[[#This Row],[% Household received corrective actions]]="no test"),"No Test","Tested")</f>
        <v>No Test</v>
      </c>
      <c r="BT167" s="81">
        <f>WWWW[[#This Row],['#_Constructed/existing protected hand dug well]]-WWWW[[#This Row],['#_Non-functional protected hand dug well]]</f>
        <v>0</v>
      </c>
      <c r="BU167" s="81">
        <f>(WWWW[[#This Row],['#_Constructed/Existing tube wells/boreholes/handpumps_WASH_agency]]+WWWW[[#This Row],['#_Non-Cluster partner water tube-wells/boreholes/handpumps]])-WWWW[[#This Row],['#_Non-functional tube wells/boreholes/handpumps]]</f>
        <v>0</v>
      </c>
      <c r="BV167" s="81">
        <f>WWWW[[#This Row],['#_Constructed/Existingwater storage tank with gravity fed reticulation system]]-WWWW[[#This Row],['#_Non-functional storage tank gravity fed reticulation system]]</f>
        <v>0</v>
      </c>
      <c r="BW167" s="81">
        <f>WWWW[[#This Row],['#_Water boating or water trucking]]</f>
        <v>0</v>
      </c>
      <c r="BX167" s="81">
        <f>WWWW[[#This Row],['#_Constructed/Existing water distribution system from river or natural spring]]</f>
        <v>0</v>
      </c>
      <c r="BY167"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67"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67" s="82">
        <f>IF(WWWW[[#This Row],[Location Type 1]]="Village",WWWW[[#This Row],[Access to safe drinking water for Village]],WWWW[[#This Row],[Access to safe drinking water for Camp]])</f>
        <v>0</v>
      </c>
      <c r="CB167" s="80">
        <f>WWWW[[#This Row],[%Equitable and continuous access to sufficient quantity of safe drinking water]]*WWWW[[#This Row],[Total PoP ]]</f>
        <v>0</v>
      </c>
      <c r="CC167" s="82">
        <f>IF((WWWW[[#This Row],['#_Constructed/Existing protected/fenced ponds]]*250)/WWWW[[#This Row],[Total PoP ]]&gt;1,1,(WWWW[[#This Row],['#_Constructed/Existing protected/fenced ponds]]*250)/WWWW[[#This Row],[Total PoP ]])</f>
        <v>0</v>
      </c>
      <c r="CD167" s="80">
        <f>WWWW[[#This Row],[% Access to unimproved water points]]*WWWW[[#This Row],[Total PoP ]]</f>
        <v>0</v>
      </c>
      <c r="CE167"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67"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67" s="80">
        <f>WWWW[[#This Row],[HRP1]]/500</f>
        <v>0</v>
      </c>
      <c r="CH167" s="79">
        <f>1-WWWW[[#This Row],[% Equitable and continuous access to sufficient quantity of domestic water]]</f>
        <v>1</v>
      </c>
      <c r="CI167" s="80">
        <f>WWWW[[#This Row],[%equitable and continuous access to sufficient quantity of safe drinking and domestic water''s GAP]]*WWWW[[#This Row],[Total PoP ]]</f>
        <v>2550</v>
      </c>
      <c r="CJ167" s="81">
        <f>IF(WWWW[[#This Row],[Total required water points]]-WWWW[[#This Row],['#Water points coverage]]&lt;0,0,WWWW[[#This Row],[Total required water points]]-WWWW[[#This Row],['#Water points coverage]])</f>
        <v>5</v>
      </c>
      <c r="CK167" s="81">
        <f>ROUND(IF(WWWW[[#This Row],[Total PoP ]]&lt;500,1,WWWW[[#This Row],[Total PoP ]]/500),0)</f>
        <v>5</v>
      </c>
      <c r="CL167" s="81">
        <f>(WWWW[[#This Row],['#_Constructed latrines_by_WASHAgencies]]+WWWW[[#This Row],['#_Non Cluster partner latrines]])-WWWW[[#This Row],['#_Non-functional latrines]]</f>
        <v>0</v>
      </c>
      <c r="CM167"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67"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67"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67" s="81">
        <f>IF(WWWW[[#This Row],[Location Type 1]]="Village","NA",IF(WWWW[[#This Row],['#_Constructed/Existing latrines in TLS]]*50&gt;WWWW[[#This Row],['#_students at TLS_CFS]],WWWW[[#This Row],['#_students at TLS_CFS]],(WWWW[[#This Row],['#_Constructed/Existing latrines in TLS]]*50)))</f>
        <v>0</v>
      </c>
      <c r="CQ167" s="81">
        <f>ROUND(IF(WWWW[[#This Row],[Location Type 1]]="camp",WWWW[[#This Row],[Total PoP ]]/20,IF(WWWW[[#This Row],[Location Type 1]]="Temporary Location",WWWW[[#This Row],[Total PoP ]]/50,(WWWW[[#This Row],[Total PoP ]]/6))),0)</f>
        <v>128</v>
      </c>
      <c r="CR167" s="80">
        <f>IF(WWWW[[#This Row],[Total required Latrines]]-(WWWW[[#This Row],['#_Constructed latrines_by_WASHAgencies]]+WWWW[[#This Row],['#_Non Cluster partner latrines]])&lt;0,0,WWWW[[#This Row],[Total required Latrines]]-(WWWW[[#This Row],['#_Constructed latrines_by_WASHAgencies]]+WWWW[[#This Row],['#_Non Cluster partner latrines]]))</f>
        <v>128</v>
      </c>
      <c r="CS167" s="79">
        <f>1-WWWW[[#This Row],[% people access to functioning Latrine]]</f>
        <v>1</v>
      </c>
      <c r="CT167" s="83">
        <f>IF(OR(WWWW[[#This Row],['#_Non-functional latrines]]="",WWWW[[#This Row],['#_Non-functional latrines]]=0),0,WWWW[[#This Row],['#_Non-functional latrines]]/(WWWW[[#This Row],['#_Constructed latrines_by_WASHAgencies]]+WWWW[[#This Row],['#_Non Cluster partner latrines]]))</f>
        <v>0</v>
      </c>
      <c r="CU167" s="80">
        <f>IF(500*(WWWW[[#This Row],['#_male hygiene promoters]]+WWWW[[#This Row],['#_female hygiene promoters]])&gt;WWWW[[#This Row],[Total PoP ]],WWWW[[#This Row],[Total PoP ]],500*(WWWW[[#This Row],['#_male hygiene promoters]]+WWWW[[#This Row],['#_female hygiene promoters]]))</f>
        <v>0</v>
      </c>
      <c r="CV167"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67"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67" s="81">
        <f>IF(WWWW[[#This Row],['# People with access to soap]]&gt;WWWW[[#This Row],['# People with access to Sanity Pads]],WWWW[[#This Row],['# People with access to soap]],WWWW[[#This Row],['# People with access to Sanity Pads]])</f>
        <v>0</v>
      </c>
      <c r="CY167" s="81">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67" s="79">
        <f>IF(WWWW[[#This Row],[HRP3]]/WWWW[[#This Row],[Total PoP ]]&gt;100%,100%,WWWW[[#This Row],[HRP3]]/WWWW[[#This Row],[Total PoP ]])</f>
        <v>0</v>
      </c>
      <c r="DA167" s="83">
        <f>1-WWWW[[#This Row],[Hygiene Coverage%]]</f>
        <v>1</v>
      </c>
      <c r="DB167" s="82">
        <f>WWWW[[#This Row],['# people reached by regular dedicated hygiene promotion_5]]/WWWW[[#This Row],[Total PoP ]]</f>
        <v>0</v>
      </c>
      <c r="DC167" s="82">
        <f>IF(WWWW[[#This Row],['#_households that received standard amount of soap for this quarter]]/WWWW[[#This Row],[Total HH]]&gt;1,1,WWWW[[#This Row],['#_households that received standard amount of soap for this quarter]]/WWWW[[#This Row],[Total HH]])</f>
        <v>0</v>
      </c>
      <c r="DD167" s="82">
        <f>IF(WWWW[[#This Row],['#_households that received standard amount of sanitary pads for this quarter]]/WWWW[[#This Row],[Total HH]]&gt;1,1,WWWW[[#This Row],['#_households that received standard amount of sanitary pads for this quarter]]/WWWW[[#This Row],[Total HH]])</f>
        <v>0</v>
      </c>
      <c r="DE167" s="81">
        <f>WWWW[[#This Row],['#_Constructed/Existing hand washing stations]]-WWWW[[#This Row],['#_Non-Functional_hand_washing_stations]]</f>
        <v>0</v>
      </c>
      <c r="DF167" s="667">
        <f>IF(WWWW[[#This Row],['# Functional hand washing stations during reporting period]]*20&gt;WWWW[[#This Row],[Total HH]],WWWW[[#This Row],[Total HH]],WWWW[[#This Row],['# Functional hand washing stations during reporting period]]*20)</f>
        <v>0</v>
      </c>
      <c r="DG167" s="80">
        <f>IF(WWWW[[#This Row],[Is sufficient soap available for TLS? (Yes/No)]]="yes",WWWW[[#This Row],['#_Constructed/Existing hand washing stations at TLS]],0)</f>
        <v>0</v>
      </c>
      <c r="DH167" s="667">
        <f>IF(WWWW[[#This Row],['# Functional hand washing stations during reporting period]]*100&gt;WWWW[[#This Row],[Total PoP ]],WWWW[[#This Row],[Total PoP ]],WWWW[[#This Row],['# Functional hand washing stations during reporting period]]*100)</f>
        <v>0</v>
      </c>
      <c r="DI167" s="667" t="str">
        <f>IF(WWWW[[#This Row],['#_students at TLS_CFS]]="","No","Yes")</f>
        <v>No</v>
      </c>
      <c r="DJ167" s="245">
        <f>VLOOKUP(WWWW[[#This Row],[Site Name]],SiteDB6[[Site Name]:[CCCM Management]],6,FALSE)</f>
        <v>0</v>
      </c>
      <c r="DK167" s="245">
        <f>VLOOKUP(WWWW[[#This Row],[Site Name]],SiteDB6[[Site Name]:[CCCM Focal Agency]],7,FALSE)</f>
        <v>0</v>
      </c>
      <c r="DL167" s="245" t="str">
        <f>VLOOKUP(WWWW[[#This Row],[Site Name]],SiteDB6[[Site Name]:[Location Type 1]],9,FALSE)</f>
        <v>Camp</v>
      </c>
      <c r="DM167" s="245" t="str">
        <f>VLOOKUP(WWWW[[#This Row],[Site Name]],SiteDB6[[Site Name]:[Type of Accommodation]],10,FALSE)</f>
        <v>Host Families</v>
      </c>
      <c r="DN167" s="245" t="str">
        <f>VLOOKUP(WWWW[[#This Row],[Site Name]],SiteDB6[[Site Name]:[Ethnic or GCA/NGCA]],11,FALSE)</f>
        <v>NGCA</v>
      </c>
      <c r="DO167" s="245">
        <f>VLOOKUP(WWWW[[#This Row],[Site Name]],SiteDB6[[Site Name]:[Lat]],12,FALSE)</f>
        <v>0</v>
      </c>
      <c r="DP167" s="245">
        <f>VLOOKUP(WWWW[[#This Row],[Site Name]],SiteDB6[[Site Name]:[Long]],13,FALSE)</f>
        <v>0</v>
      </c>
      <c r="DQ167" s="245">
        <f>VLOOKUP(WWWW[[#This Row],[Site Name]],SiteDB6[[Site Name]:[Pcode]],3,FALSE)</f>
        <v>0</v>
      </c>
      <c r="DR167" s="215" t="str">
        <f t="shared" si="6"/>
        <v>Covered</v>
      </c>
      <c r="DS167" s="215"/>
      <c r="DT167" s="20"/>
      <c r="DU167" s="20"/>
      <c r="DV167" s="20"/>
      <c r="DW167" s="20"/>
      <c r="DX167" s="20"/>
      <c r="DY167" s="20"/>
      <c r="DZ167" s="20"/>
      <c r="EA167" s="20"/>
      <c r="EB167" s="20"/>
      <c r="EC167" s="20"/>
      <c r="ED167" s="20"/>
      <c r="EE167" s="20"/>
      <c r="EF167" s="20"/>
      <c r="EG167" s="20"/>
      <c r="EH167" s="20"/>
    </row>
    <row r="168" spans="1:138" ht="15.75" customHeight="1">
      <c r="A168" s="259" t="s">
        <v>2525</v>
      </c>
      <c r="B168" s="663" t="s">
        <v>200</v>
      </c>
      <c r="C168" s="663" t="s">
        <v>200</v>
      </c>
      <c r="D168" s="663" t="s">
        <v>2967</v>
      </c>
      <c r="E168" s="663" t="s">
        <v>39</v>
      </c>
      <c r="F168" s="663" t="s">
        <v>203</v>
      </c>
      <c r="G168" s="663" t="str">
        <f>VLOOKUP(WWWW[[#This Row],[Site Name]],SiteDB6[[Site Name]:[Location Type]],8,FALSE)</f>
        <v>Camp</v>
      </c>
      <c r="H168" s="663" t="s">
        <v>212</v>
      </c>
      <c r="I168" s="700">
        <v>10</v>
      </c>
      <c r="J168" s="700">
        <v>59</v>
      </c>
      <c r="K168" s="642">
        <v>43466</v>
      </c>
      <c r="L168" s="78">
        <v>43830</v>
      </c>
      <c r="M168" s="700"/>
      <c r="N168" s="700"/>
      <c r="O168" s="700"/>
      <c r="P168" s="700"/>
      <c r="Q168" s="77" t="s">
        <v>144</v>
      </c>
      <c r="R168" s="377"/>
      <c r="S168" s="377"/>
      <c r="T168" s="377"/>
      <c r="U168" s="377"/>
      <c r="V168" s="377"/>
      <c r="W168" s="377"/>
      <c r="X168" s="377">
        <v>1</v>
      </c>
      <c r="Y168" s="377"/>
      <c r="Z168" s="377"/>
      <c r="AA168" s="377"/>
      <c r="AB168" s="377"/>
      <c r="AC168" s="377"/>
      <c r="AD168" s="377"/>
      <c r="AE168" s="377"/>
      <c r="AF168" s="377"/>
      <c r="AG168" s="377"/>
      <c r="AH168" s="377"/>
      <c r="AI168" s="377"/>
      <c r="AJ168" s="377"/>
      <c r="AK168" s="377"/>
      <c r="AL168" s="377"/>
      <c r="AM168" s="377"/>
      <c r="AN168" s="377"/>
      <c r="AO168" s="215"/>
      <c r="AP168" s="377">
        <v>10</v>
      </c>
      <c r="AQ168" s="377"/>
      <c r="AR168" s="77"/>
      <c r="AS168" s="377"/>
      <c r="AT168" s="377"/>
      <c r="AU168" s="377"/>
      <c r="AV168" s="377"/>
      <c r="AW168" s="377"/>
      <c r="AX168" s="694" t="s">
        <v>43</v>
      </c>
      <c r="AY168" s="694" t="s">
        <v>145</v>
      </c>
      <c r="AZ168" s="377"/>
      <c r="BA168" s="377"/>
      <c r="BB168" s="377"/>
      <c r="BC168" s="215"/>
      <c r="BD168" s="377">
        <v>1</v>
      </c>
      <c r="BE168" s="377"/>
      <c r="BF168" s="377"/>
      <c r="BG168" s="377">
        <v>2</v>
      </c>
      <c r="BH168" s="377"/>
      <c r="BI168" s="377"/>
      <c r="BJ168" s="377"/>
      <c r="BK168" s="377">
        <v>10</v>
      </c>
      <c r="BL168" s="377">
        <v>2</v>
      </c>
      <c r="BM168" s="215"/>
      <c r="BN168" s="80"/>
      <c r="BO168" s="82"/>
      <c r="BP168" s="215"/>
      <c r="BQ168" s="79" t="str">
        <f>IFERROR(WWWW[[#This Row],['#_Water sources treated]]/WWWW[[#This Row],['#_Water sources tested for contamination]],"no test")</f>
        <v>no test</v>
      </c>
      <c r="BR168" s="82" t="str">
        <f>IFERROR(WWWW[[#This Row],['#_Household received remediation action due to contamination]]/WWWW[[#This Row],['#_Household water samples tested for contamination]],"no test")</f>
        <v>no test</v>
      </c>
      <c r="BS168" s="81" t="str">
        <f>IF(AND(WWWW[[#This Row],[% of water sources treated]]="no test",WWWW[[#This Row],[% Household received corrective actions]]="no test"),"No Test","Tested")</f>
        <v>No Test</v>
      </c>
      <c r="BT168" s="81">
        <f>WWWW[[#This Row],['#_Constructed/existing protected hand dug well]]-WWWW[[#This Row],['#_Non-functional protected hand dug well]]</f>
        <v>0</v>
      </c>
      <c r="BU168" s="81">
        <f>(WWWW[[#This Row],['#_Constructed/Existing tube wells/boreholes/handpumps_WASH_agency]]+WWWW[[#This Row],['#_Non-Cluster partner water tube-wells/boreholes/handpumps]])-WWWW[[#This Row],['#_Non-functional tube wells/boreholes/handpumps]]</f>
        <v>1</v>
      </c>
      <c r="BV168" s="81">
        <f>WWWW[[#This Row],['#_Constructed/Existingwater storage tank with gravity fed reticulation system]]-WWWW[[#This Row],['#_Non-functional storage tank gravity fed reticulation system]]</f>
        <v>0</v>
      </c>
      <c r="BW168" s="81">
        <f>WWWW[[#This Row],['#_Water boating or water trucking]]</f>
        <v>0</v>
      </c>
      <c r="BX168" s="81">
        <f>WWWW[[#This Row],['#_Constructed/Existing water distribution system from river or natural spring]]</f>
        <v>0</v>
      </c>
      <c r="BY168" s="8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68" s="8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68" s="82">
        <f>IF(WWWW[[#This Row],[Location Type 1]]="Village",WWWW[[#This Row],[Access to safe drinking water for Village]],WWWW[[#This Row],[Access to safe drinking water for Camp]])</f>
        <v>1</v>
      </c>
      <c r="CB168" s="80">
        <f>WWWW[[#This Row],[%Equitable and continuous access to sufficient quantity of safe drinking water]]*WWWW[[#This Row],[Total PoP ]]</f>
        <v>59</v>
      </c>
      <c r="CC168" s="82">
        <f>IF((WWWW[[#This Row],['#_Constructed/Existing protected/fenced ponds]]*250)/WWWW[[#This Row],[Total PoP ]]&gt;1,1,(WWWW[[#This Row],['#_Constructed/Existing protected/fenced ponds]]*250)/WWWW[[#This Row],[Total PoP ]])</f>
        <v>0</v>
      </c>
      <c r="CD168" s="80">
        <f>WWWW[[#This Row],[% Access to unimproved water points]]*WWWW[[#This Row],[Total PoP ]]</f>
        <v>0</v>
      </c>
      <c r="CE168" s="8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68" s="8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59</v>
      </c>
      <c r="CG168" s="80">
        <f>WWWW[[#This Row],[HRP1]]/500</f>
        <v>0.11799999999999999</v>
      </c>
      <c r="CH168" s="79">
        <f>1-WWWW[[#This Row],[% Equitable and continuous access to sufficient quantity of domestic water]]</f>
        <v>0</v>
      </c>
      <c r="CI168" s="80">
        <f>WWWW[[#This Row],[%equitable and continuous access to sufficient quantity of safe drinking and domestic water''s GAP]]*WWWW[[#This Row],[Total PoP ]]</f>
        <v>0</v>
      </c>
      <c r="CJ168" s="81">
        <f>IF(WWWW[[#This Row],[Total required water points]]-WWWW[[#This Row],['#Water points coverage]]&lt;0,0,WWWW[[#This Row],[Total required water points]]-WWWW[[#This Row],['#Water points coverage]])</f>
        <v>0.88200000000000001</v>
      </c>
      <c r="CK168" s="81">
        <f>ROUND(IF(WWWW[[#This Row],[Total PoP ]]&lt;500,1,WWWW[[#This Row],[Total PoP ]]/500),0)</f>
        <v>1</v>
      </c>
      <c r="CL168" s="81">
        <f>(WWWW[[#This Row],['#_Constructed latrines_by_WASHAgencies]]+WWWW[[#This Row],['#_Non Cluster partner latrines]])-WWWW[[#This Row],['#_Non-functional latrines]]</f>
        <v>10</v>
      </c>
      <c r="CM168" s="82">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168" s="8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59</v>
      </c>
      <c r="CO168" s="88">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68" s="81">
        <f>IF(WWWW[[#This Row],[Location Type 1]]="Village","NA",IF(WWWW[[#This Row],['#_Constructed/Existing latrines in TLS]]*50&gt;WWWW[[#This Row],['#_students at TLS_CFS]],WWWW[[#This Row],['#_students at TLS_CFS]],(WWWW[[#This Row],['#_Constructed/Existing latrines in TLS]]*50)))</f>
        <v>0</v>
      </c>
      <c r="CQ168" s="81">
        <f>ROUND(IF(WWWW[[#This Row],[Location Type 1]]="camp",WWWW[[#This Row],[Total PoP ]]/20,IF(WWWW[[#This Row],[Location Type 1]]="Temporary Location",WWWW[[#This Row],[Total PoP ]]/50,(WWWW[[#This Row],[Total PoP ]]/6))),0)</f>
        <v>3</v>
      </c>
      <c r="CR168" s="80">
        <f>IF(WWWW[[#This Row],[Total required Latrines]]-(WWWW[[#This Row],['#_Constructed latrines_by_WASHAgencies]]+WWWW[[#This Row],['#_Non Cluster partner latrines]])&lt;0,0,WWWW[[#This Row],[Total required Latrines]]-(WWWW[[#This Row],['#_Constructed latrines_by_WASHAgencies]]+WWWW[[#This Row],['#_Non Cluster partner latrines]]))</f>
        <v>0</v>
      </c>
      <c r="CS168" s="79">
        <f>1-WWWW[[#This Row],[% people access to functioning Latrine]]</f>
        <v>0</v>
      </c>
      <c r="CT168" s="83">
        <f>IF(OR(WWWW[[#This Row],['#_Non-functional latrines]]="",WWWW[[#This Row],['#_Non-functional latrines]]=0),0,WWWW[[#This Row],['#_Non-functional latrines]]/(WWWW[[#This Row],['#_Constructed latrines_by_WASHAgencies]]+WWWW[[#This Row],['#_Non Cluster partner latrines]]))</f>
        <v>0</v>
      </c>
      <c r="CU168" s="80">
        <f>IF(500*(WWWW[[#This Row],['#_male hygiene promoters]]+WWWW[[#This Row],['#_female hygiene promoters]])&gt;WWWW[[#This Row],[Total PoP ]],WWWW[[#This Row],[Total PoP ]],500*(WWWW[[#This Row],['#_male hygiene promoters]]+WWWW[[#This Row],['#_female hygiene promoters]]))</f>
        <v>0</v>
      </c>
      <c r="CV168" s="8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59</v>
      </c>
      <c r="CW168" s="8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10</v>
      </c>
      <c r="CX168" s="81">
        <f>IF(WWWW[[#This Row],['# People with access to soap]]&gt;WWWW[[#This Row],['# People with access to Sanity Pads]],WWWW[[#This Row],['# People with access to soap]],WWWW[[#This Row],['# People with access to Sanity Pads]])</f>
        <v>59</v>
      </c>
      <c r="CY168" s="81">
        <f>IF(WWWW[[#This Row],['# people reached by regular dedicated hygiene promotion_5]]&gt;WWWW[[#This Row],['# People received regular supply of hygiene items_6]],WWWW[[#This Row],['# people reached by regular dedicated hygiene promotion_5]],WWWW[[#This Row],['# People received regular supply of hygiene items_6]])</f>
        <v>59</v>
      </c>
      <c r="CZ168" s="79">
        <f>IF(WWWW[[#This Row],[HRP3]]/WWWW[[#This Row],[Total PoP ]]&gt;100%,100%,WWWW[[#This Row],[HRP3]]/WWWW[[#This Row],[Total PoP ]])</f>
        <v>1</v>
      </c>
      <c r="DA168" s="83">
        <f>1-WWWW[[#This Row],[Hygiene Coverage%]]</f>
        <v>0</v>
      </c>
      <c r="DB168" s="82">
        <f>WWWW[[#This Row],['# people reached by regular dedicated hygiene promotion_5]]/WWWW[[#This Row],[Total PoP ]]</f>
        <v>0</v>
      </c>
      <c r="DC168" s="82">
        <f>IF(WWWW[[#This Row],['#_households that received standard amount of soap for this quarter]]/WWWW[[#This Row],[Total HH]]&gt;1,1,WWWW[[#This Row],['#_households that received standard amount of soap for this quarter]]/WWWW[[#This Row],[Total HH]])</f>
        <v>1</v>
      </c>
      <c r="DD168" s="82">
        <f>IF(WWWW[[#This Row],['#_households that received standard amount of sanitary pads for this quarter]]/WWWW[[#This Row],[Total HH]]&gt;1,1,WWWW[[#This Row],['#_households that received standard amount of sanitary pads for this quarter]]/WWWW[[#This Row],[Total HH]])</f>
        <v>0.2</v>
      </c>
      <c r="DE168" s="81">
        <f>WWWW[[#This Row],['#_Constructed/Existing hand washing stations]]-WWWW[[#This Row],['#_Non-Functional_hand_washing_stations]]</f>
        <v>1</v>
      </c>
      <c r="DF168" s="667">
        <f>IF(WWWW[[#This Row],['# Functional hand washing stations during reporting period]]*20&gt;WWWW[[#This Row],[Total HH]],WWWW[[#This Row],[Total HH]],WWWW[[#This Row],['# Functional hand washing stations during reporting period]]*20)</f>
        <v>10</v>
      </c>
      <c r="DG168" s="80">
        <f>IF(WWWW[[#This Row],[Is sufficient soap available for TLS? (Yes/No)]]="yes",WWWW[[#This Row],['#_Constructed/Existing hand washing stations at TLS]],0)</f>
        <v>0</v>
      </c>
      <c r="DH168" s="667">
        <f>IF(WWWW[[#This Row],['# Functional hand washing stations during reporting period]]*100&gt;WWWW[[#This Row],[Total PoP ]],WWWW[[#This Row],[Total PoP ]],WWWW[[#This Row],['# Functional hand washing stations during reporting period]]*100)</f>
        <v>59</v>
      </c>
      <c r="DI168" s="667" t="str">
        <f>IF(WWWW[[#This Row],['#_students at TLS_CFS]]="","No","Yes")</f>
        <v>No</v>
      </c>
      <c r="DJ168" s="245" t="str">
        <f>VLOOKUP(WWWW[[#This Row],[Site Name]],SiteDB6[[Site Name]:[CCCM Management]],6,FALSE)</f>
        <v>Yes</v>
      </c>
      <c r="DK168" s="245" t="str">
        <f>VLOOKUP(WWWW[[#This Row],[Site Name]],SiteDB6[[Site Name]:[CCCM Focal Agency]],7,FALSE)</f>
        <v>Shalom</v>
      </c>
      <c r="DL168" s="245" t="str">
        <f>VLOOKUP(WWWW[[#This Row],[Site Name]],SiteDB6[[Site Name]:[Location Type 1]],9,FALSE)</f>
        <v>Camp</v>
      </c>
      <c r="DM168" s="245" t="str">
        <f>VLOOKUP(WWWW[[#This Row],[Site Name]],SiteDB6[[Site Name]:[Type of Accommodation]],10,FALSE)</f>
        <v>Closed Camp</v>
      </c>
      <c r="DN168" s="245" t="str">
        <f>VLOOKUP(WWWW[[#This Row],[Site Name]],SiteDB6[[Site Name]:[Ethnic or GCA/NGCA]],11,FALSE)</f>
        <v>GCA</v>
      </c>
      <c r="DO168" s="245">
        <f>VLOOKUP(WWWW[[#This Row],[Site Name]],SiteDB6[[Site Name]:[Lat]],12,FALSE)</f>
        <v>24.24953</v>
      </c>
      <c r="DP168" s="245">
        <f>VLOOKUP(WWWW[[#This Row],[Site Name]],SiteDB6[[Site Name]:[Long]],13,FALSE)</f>
        <v>97.240639999999999</v>
      </c>
      <c r="DQ168" s="245" t="str">
        <f>VLOOKUP(WWWW[[#This Row],[Site Name]],SiteDB6[[Site Name]:[Pcode]],3,FALSE)</f>
        <v>MMR001CMP053</v>
      </c>
      <c r="DR168" s="215" t="str">
        <f t="shared" si="6"/>
        <v>Covered</v>
      </c>
      <c r="DS168" s="215"/>
      <c r="DT168" s="20"/>
      <c r="DU168" s="20"/>
      <c r="DV168" s="20"/>
      <c r="DW168" s="20"/>
      <c r="DX168" s="20"/>
      <c r="DY168" s="20"/>
      <c r="DZ168" s="20"/>
      <c r="EA168" s="20"/>
      <c r="EB168" s="20"/>
      <c r="EC168" s="20"/>
      <c r="ED168" s="20"/>
      <c r="EE168" s="20"/>
      <c r="EF168" s="20"/>
      <c r="EG168" s="20"/>
      <c r="EH168" s="20"/>
    </row>
    <row r="169" spans="1:138">
      <c r="A169" s="637" t="s">
        <v>2525</v>
      </c>
      <c r="B169" s="637" t="s">
        <v>305</v>
      </c>
      <c r="C169" s="644" t="s">
        <v>305</v>
      </c>
      <c r="D169" s="644" t="s">
        <v>345</v>
      </c>
      <c r="E169" s="663" t="s">
        <v>3014</v>
      </c>
      <c r="F169" s="644" t="s">
        <v>420</v>
      </c>
      <c r="G169" s="663" t="str">
        <f>VLOOKUP(WWWW[[#This Row],[Site Name]],SiteDB6[[Site Name]:[Location Type]],8,FALSE)</f>
        <v>Village</v>
      </c>
      <c r="H169" s="644" t="s">
        <v>2826</v>
      </c>
      <c r="I169" s="646">
        <v>217</v>
      </c>
      <c r="J169" s="646">
        <v>663</v>
      </c>
      <c r="K169" s="653">
        <v>43359</v>
      </c>
      <c r="L169" s="654">
        <v>43830</v>
      </c>
      <c r="M169" s="646"/>
      <c r="N169" s="646"/>
      <c r="O169" s="646"/>
      <c r="P169" s="646"/>
      <c r="Q169" s="645"/>
      <c r="R169" s="646"/>
      <c r="S169" s="646"/>
      <c r="T169" s="646"/>
      <c r="U169" s="646"/>
      <c r="V169" s="646"/>
      <c r="W169" s="646"/>
      <c r="X169" s="646"/>
      <c r="Y169" s="646"/>
      <c r="Z169" s="646"/>
      <c r="AA169" s="646"/>
      <c r="AB169" s="646"/>
      <c r="AC169" s="646"/>
      <c r="AD169" s="646"/>
      <c r="AE169" s="646"/>
      <c r="AF169" s="646"/>
      <c r="AG169" s="646"/>
      <c r="AH169" s="646"/>
      <c r="AI169" s="646"/>
      <c r="AJ169" s="646"/>
      <c r="AK169" s="646"/>
      <c r="AL169" s="646"/>
      <c r="AM169" s="646"/>
      <c r="AN169" s="646"/>
      <c r="AO169" s="652"/>
      <c r="AP169" s="646"/>
      <c r="AQ169" s="646"/>
      <c r="AR169" s="648"/>
      <c r="AS169" s="646"/>
      <c r="AT169" s="646"/>
      <c r="AU169" s="646"/>
      <c r="AV169" s="646"/>
      <c r="AW169" s="646"/>
      <c r="AX169" s="643"/>
      <c r="AY169" s="652"/>
      <c r="AZ169" s="646"/>
      <c r="BA169" s="646"/>
      <c r="BB169" s="646"/>
      <c r="BC169" s="643"/>
      <c r="BD169" s="646"/>
      <c r="BE169" s="646"/>
      <c r="BF169" s="646"/>
      <c r="BG169" s="646"/>
      <c r="BH169" s="646"/>
      <c r="BI169" s="646"/>
      <c r="BJ169" s="646"/>
      <c r="BK169" s="646"/>
      <c r="BL169" s="646"/>
      <c r="BM169" s="643"/>
      <c r="BN169" s="647"/>
      <c r="BO169" s="648"/>
      <c r="BP169" s="643"/>
      <c r="BQ169" s="649" t="str">
        <f>IFERROR(WWWW[[#This Row],['#_Water sources treated]]/WWWW[[#This Row],['#_Water sources tested for contamination]],"no test")</f>
        <v>no test</v>
      </c>
      <c r="BR169" s="648" t="str">
        <f>IFERROR(WWWW[[#This Row],['#_Household received remediation action due to contamination]]/WWWW[[#This Row],['#_Household water samples tested for contamination]],"no test")</f>
        <v>no test</v>
      </c>
      <c r="BS169" s="647" t="str">
        <f>IF(AND(WWWW[[#This Row],[% of water sources treated]]="no test",WWWW[[#This Row],[% Household received corrective actions]]="no test"),"No Test","Tested")</f>
        <v>No Test</v>
      </c>
      <c r="BT169" s="647">
        <f>WWWW[[#This Row],['#_Constructed/existing protected hand dug well]]-WWWW[[#This Row],['#_Non-functional protected hand dug well]]</f>
        <v>0</v>
      </c>
      <c r="BU169" s="647">
        <f>(WWWW[[#This Row],['#_Constructed/Existing tube wells/boreholes/handpumps_WASH_agency]]+WWWW[[#This Row],['#_Non-Cluster partner water tube-wells/boreholes/handpumps]])-WWWW[[#This Row],['#_Non-functional tube wells/boreholes/handpumps]]</f>
        <v>0</v>
      </c>
      <c r="BV169" s="647">
        <f>WWWW[[#This Row],['#_Constructed/Existingwater storage tank with gravity fed reticulation system]]-WWWW[[#This Row],['#_Non-functional storage tank gravity fed reticulation system]]</f>
        <v>0</v>
      </c>
      <c r="BW169" s="647">
        <f>WWWW[[#This Row],['#_Water boating or water trucking]]</f>
        <v>0</v>
      </c>
      <c r="BX169" s="647">
        <f>WWWW[[#This Row],['#_Constructed/Existing water distribution system from river or natural spring]]</f>
        <v>0</v>
      </c>
      <c r="BY169"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69"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69" s="648">
        <f>IF(WWWW[[#This Row],[Location Type 1]]="Village",WWWW[[#This Row],[Access to safe drinking water for Village]],WWWW[[#This Row],[Access to safe drinking water for Camp]])</f>
        <v>0</v>
      </c>
      <c r="CB169" s="645">
        <f>WWWW[[#This Row],[%Equitable and continuous access to sufficient quantity of safe drinking water]]*WWWW[[#This Row],[Total PoP ]]</f>
        <v>0</v>
      </c>
      <c r="CC169" s="648">
        <f>IF((WWWW[[#This Row],['#_Constructed/Existing protected/fenced ponds]]*250)/WWWW[[#This Row],[Total PoP ]]&gt;1,1,(WWWW[[#This Row],['#_Constructed/Existing protected/fenced ponds]]*250)/WWWW[[#This Row],[Total PoP ]])</f>
        <v>0</v>
      </c>
      <c r="CD169" s="645">
        <f>WWWW[[#This Row],[% Access to unimproved water points]]*WWWW[[#This Row],[Total PoP ]]</f>
        <v>0</v>
      </c>
      <c r="CE169"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69"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69" s="645">
        <f>WWWW[[#This Row],[HRP1]]/500</f>
        <v>0</v>
      </c>
      <c r="CH169" s="650">
        <f>1-WWWW[[#This Row],[% Equitable and continuous access to sufficient quantity of domestic water]]</f>
        <v>1</v>
      </c>
      <c r="CI169" s="645">
        <f>WWWW[[#This Row],[%equitable and continuous access to sufficient quantity of safe drinking and domestic water''s GAP]]*WWWW[[#This Row],[Total PoP ]]</f>
        <v>663</v>
      </c>
      <c r="CJ169" s="647">
        <f>IF(WWWW[[#This Row],[Total required water points]]-WWWW[[#This Row],['#Water points coverage]]&lt;0,0,WWWW[[#This Row],[Total required water points]]-WWWW[[#This Row],['#Water points coverage]])</f>
        <v>1</v>
      </c>
      <c r="CK169" s="647">
        <f>ROUND(IF(WWWW[[#This Row],[Total PoP ]]&lt;500,1,WWWW[[#This Row],[Total PoP ]]/500),0)</f>
        <v>1</v>
      </c>
      <c r="CL169" s="647">
        <f>(WWWW[[#This Row],['#_Constructed latrines_by_WASHAgencies]]+WWWW[[#This Row],['#_Non Cluster partner latrines]])-WWWW[[#This Row],['#_Non-functional latrines]]</f>
        <v>0</v>
      </c>
      <c r="CM169"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69"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69"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69" s="647" t="str">
        <f>IF(WWWW[[#This Row],[Location Type 1]]="Village","NA",IF(WWWW[[#This Row],['#_Constructed/Existing latrines in TLS]]*50&gt;WWWW[[#This Row],['#_students at TLS_CFS]],WWWW[[#This Row],['#_students at TLS_CFS]],(WWWW[[#This Row],['#_Constructed/Existing latrines in TLS]]*50)))</f>
        <v>NA</v>
      </c>
      <c r="CQ169" s="647">
        <f>ROUND(IF(WWWW[[#This Row],[Location Type 1]]="camp",WWWW[[#This Row],[Total PoP ]]/20,IF(WWWW[[#This Row],[Location Type 1]]="Temporary Location",WWWW[[#This Row],[Total PoP ]]/50,(WWWW[[#This Row],[Total PoP ]]/6))),0)</f>
        <v>111</v>
      </c>
      <c r="CR169" s="647">
        <f>IF(WWWW[[#This Row],[Total required Latrines]]-(WWWW[[#This Row],['#_Constructed latrines_by_WASHAgencies]]+WWWW[[#This Row],['#_Non Cluster partner latrines]])&lt;0,0,WWWW[[#This Row],[Total required Latrines]]-(WWWW[[#This Row],['#_Constructed latrines_by_WASHAgencies]]+WWWW[[#This Row],['#_Non Cluster partner latrines]]))</f>
        <v>111</v>
      </c>
      <c r="CS169" s="79">
        <f>1-WWWW[[#This Row],[% people access to functioning Latrine]]</f>
        <v>1</v>
      </c>
      <c r="CT169" s="649">
        <f>IF(OR(WWWW[[#This Row],['#_Non-functional latrines]]="",WWWW[[#This Row],['#_Non-functional latrines]]=0),0,WWWW[[#This Row],['#_Non-functional latrines]]/(WWWW[[#This Row],['#_Constructed latrines_by_WASHAgencies]]+WWWW[[#This Row],['#_Non Cluster partner latrines]]))</f>
        <v>0</v>
      </c>
      <c r="CU169" s="645">
        <f>IF(500*(WWWW[[#This Row],['#_male hygiene promoters]]+WWWW[[#This Row],['#_female hygiene promoters]])&gt;WWWW[[#This Row],[Total PoP ]],WWWW[[#This Row],[Total PoP ]],500*(WWWW[[#This Row],['#_male hygiene promoters]]+WWWW[[#This Row],['#_female hygiene promoters]]))</f>
        <v>0</v>
      </c>
      <c r="CV169"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69"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69" s="647">
        <f>IF(WWWW[[#This Row],['# People with access to soap]]&gt;WWWW[[#This Row],['# People with access to Sanity Pads]],WWWW[[#This Row],['# People with access to soap]],WWWW[[#This Row],['# People with access to Sanity Pads]])</f>
        <v>0</v>
      </c>
      <c r="CY169"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69" s="650">
        <f>IF(WWWW[[#This Row],[HRP3]]/WWWW[[#This Row],[Total PoP ]]&gt;100%,100%,WWWW[[#This Row],[HRP3]]/WWWW[[#This Row],[Total PoP ]])</f>
        <v>0</v>
      </c>
      <c r="DA169" s="649">
        <f>1-WWWW[[#This Row],[Hygiene Coverage%]]</f>
        <v>1</v>
      </c>
      <c r="DB169" s="648">
        <f>WWWW[[#This Row],['# people reached by regular dedicated hygiene promotion_5]]/WWWW[[#This Row],[Total PoP ]]</f>
        <v>0</v>
      </c>
      <c r="DC169" s="648">
        <f>IF(WWWW[[#This Row],['#_households that received standard amount of soap for this quarter]]/WWWW[[#This Row],[Total HH]]&gt;1,1,WWWW[[#This Row],['#_households that received standard amount of soap for this quarter]]/WWWW[[#This Row],[Total HH]])</f>
        <v>0</v>
      </c>
      <c r="DD169" s="648">
        <f>IF(WWWW[[#This Row],['#_households that received standard amount of sanitary pads for this quarter]]/WWWW[[#This Row],[Total HH]]&gt;1,1,WWWW[[#This Row],['#_households that received standard amount of sanitary pads for this quarter]]/WWWW[[#This Row],[Total HH]])</f>
        <v>0</v>
      </c>
      <c r="DE169" s="647">
        <f>WWWW[[#This Row],['#_Constructed/Existing hand washing stations]]-WWWW[[#This Row],['#_Non-Functional_hand_washing_stations]]</f>
        <v>0</v>
      </c>
      <c r="DF169" s="667">
        <f>IF(WWWW[[#This Row],['# Functional hand washing stations during reporting period]]*20&gt;WWWW[[#This Row],[Total HH]],WWWW[[#This Row],[Total HH]],WWWW[[#This Row],['# Functional hand washing stations during reporting period]]*20)</f>
        <v>0</v>
      </c>
      <c r="DG169" s="645">
        <f>IF(WWWW[[#This Row],[Is sufficient soap available for TLS? (Yes/No)]]="yes",WWWW[[#This Row],['#_Constructed/Existing hand washing stations at TLS]],0)</f>
        <v>0</v>
      </c>
      <c r="DH169" s="645">
        <f>IF(WWWW[[#This Row],['# Functional hand washing stations during reporting period]]*100&gt;WWWW[[#This Row],[Total PoP ]],WWWW[[#This Row],[Total PoP ]],WWWW[[#This Row],['# Functional hand washing stations during reporting period]]*100)</f>
        <v>0</v>
      </c>
      <c r="DI169" s="645" t="str">
        <f>IF(WWWW[[#This Row],['#_students at TLS_CFS]]="","No","Yes")</f>
        <v>No</v>
      </c>
      <c r="DJ169" s="643">
        <f>VLOOKUP(WWWW[[#This Row],[Site Name]],SiteDB6[[Site Name]:[CCCM Management]],6,FALSE)</f>
        <v>0</v>
      </c>
      <c r="DK169" s="643">
        <f>VLOOKUP(WWWW[[#This Row],[Site Name]],SiteDB6[[Site Name]:[CCCM Focal Agency]],7,FALSE)</f>
        <v>0</v>
      </c>
      <c r="DL169" s="643" t="str">
        <f>VLOOKUP(WWWW[[#This Row],[Site Name]],SiteDB6[[Site Name]:[Location Type 1]],9,FALSE)</f>
        <v>Village</v>
      </c>
      <c r="DM169" s="643" t="str">
        <f>VLOOKUP(WWWW[[#This Row],[Site Name]],SiteDB6[[Site Name]:[Type of Accommodation]],10,FALSE)</f>
        <v>Village</v>
      </c>
      <c r="DN169" s="643">
        <f>VLOOKUP(WWWW[[#This Row],[Site Name]],SiteDB6[[Site Name]:[Ethnic or GCA/NGCA]],11,FALSE)</f>
        <v>0</v>
      </c>
      <c r="DO169" s="643">
        <f>VLOOKUP(WWWW[[#This Row],[Site Name]],SiteDB6[[Site Name]:[Lat]],12,FALSE)</f>
        <v>20.072999954223601</v>
      </c>
      <c r="DP169" s="643">
        <f>VLOOKUP(WWWW[[#This Row],[Site Name]],SiteDB6[[Site Name]:[Long]],13,FALSE)</f>
        <v>92.924957275390597</v>
      </c>
      <c r="DQ169" s="643">
        <f>VLOOKUP(WWWW[[#This Row],[Site Name]],SiteDB6[[Site Name]:[Pcode]],3,FALSE)</f>
        <v>197561</v>
      </c>
      <c r="DR169" s="652" t="str">
        <f t="shared" si="6"/>
        <v>Covered</v>
      </c>
      <c r="DS169" s="652"/>
    </row>
    <row r="170" spans="1:138">
      <c r="A170" s="637" t="s">
        <v>2525</v>
      </c>
      <c r="B170" s="637" t="s">
        <v>284</v>
      </c>
      <c r="C170" s="644" t="s">
        <v>284</v>
      </c>
      <c r="D170" s="644" t="s">
        <v>2360</v>
      </c>
      <c r="E170" s="663" t="s">
        <v>3014</v>
      </c>
      <c r="F170" s="644" t="s">
        <v>420</v>
      </c>
      <c r="G170" s="663" t="str">
        <f>VLOOKUP(WWWW[[#This Row],[Site Name]],SiteDB6[[Site Name]:[Location Type]],8,FALSE)</f>
        <v>Camp</v>
      </c>
      <c r="H170" s="644" t="s">
        <v>430</v>
      </c>
      <c r="I170" s="646">
        <v>1249</v>
      </c>
      <c r="J170" s="646">
        <v>4717</v>
      </c>
      <c r="K170" s="653" t="s">
        <v>2934</v>
      </c>
      <c r="L170" s="654" t="s">
        <v>2935</v>
      </c>
      <c r="M170" s="646"/>
      <c r="N170" s="646"/>
      <c r="O170" s="646"/>
      <c r="P170" s="646" t="s">
        <v>2941</v>
      </c>
      <c r="Q170" s="645" t="s">
        <v>43</v>
      </c>
      <c r="R170" s="646">
        <v>13</v>
      </c>
      <c r="S170" s="646">
        <v>2</v>
      </c>
      <c r="T170" s="646">
        <v>0</v>
      </c>
      <c r="U170" s="646">
        <v>0</v>
      </c>
      <c r="V170" s="646">
        <v>0</v>
      </c>
      <c r="W170" s="646">
        <v>0</v>
      </c>
      <c r="X170" s="646">
        <v>0</v>
      </c>
      <c r="Y170" s="646">
        <v>0</v>
      </c>
      <c r="Z170" s="646">
        <v>0</v>
      </c>
      <c r="AA170" s="646">
        <v>73</v>
      </c>
      <c r="AB170" s="646"/>
      <c r="AC170" s="646">
        <v>73</v>
      </c>
      <c r="AD170" s="646"/>
      <c r="AE170" s="646">
        <v>5</v>
      </c>
      <c r="AF170" s="646">
        <v>0</v>
      </c>
      <c r="AG170" s="646"/>
      <c r="AH170" s="646">
        <v>0</v>
      </c>
      <c r="AI170" s="646">
        <v>1</v>
      </c>
      <c r="AJ170" s="646">
        <v>1</v>
      </c>
      <c r="AK170" s="646">
        <v>27</v>
      </c>
      <c r="AL170" s="646">
        <v>9</v>
      </c>
      <c r="AM170" s="646" t="s">
        <v>2941</v>
      </c>
      <c r="AN170" s="646" t="s">
        <v>2941</v>
      </c>
      <c r="AO170" s="652"/>
      <c r="AP170" s="646">
        <v>178</v>
      </c>
      <c r="AQ170" s="646">
        <v>0</v>
      </c>
      <c r="AR170" s="648"/>
      <c r="AS170" s="646">
        <v>10</v>
      </c>
      <c r="AT170" s="646">
        <v>178</v>
      </c>
      <c r="AU170" s="646"/>
      <c r="AV170" s="646"/>
      <c r="AW170" s="646"/>
      <c r="AX170" s="643" t="s">
        <v>43</v>
      </c>
      <c r="AY170" s="652" t="s">
        <v>145</v>
      </c>
      <c r="AZ170" s="646">
        <v>45</v>
      </c>
      <c r="BA170" s="646">
        <v>0</v>
      </c>
      <c r="BB170" s="646"/>
      <c r="BC170" s="643"/>
      <c r="BD170" s="646">
        <v>0</v>
      </c>
      <c r="BE170" s="646">
        <v>0</v>
      </c>
      <c r="BF170" s="646">
        <v>0</v>
      </c>
      <c r="BG170" s="646">
        <v>0</v>
      </c>
      <c r="BH170" s="646">
        <v>0</v>
      </c>
      <c r="BI170" s="646">
        <v>8</v>
      </c>
      <c r="BJ170" s="646">
        <v>3</v>
      </c>
      <c r="BK170" s="646">
        <v>1245</v>
      </c>
      <c r="BL170" s="646">
        <v>1245</v>
      </c>
      <c r="BM170" s="643" t="s">
        <v>144</v>
      </c>
      <c r="BN170" s="647">
        <v>28</v>
      </c>
      <c r="BO170" s="648"/>
      <c r="BP170" s="643" t="s">
        <v>2933</v>
      </c>
      <c r="BQ170" s="649">
        <f>IFERROR(WWWW[[#This Row],['#_Water sources treated]]/WWWW[[#This Row],['#_Water sources tested for contamination]],"no test")</f>
        <v>1</v>
      </c>
      <c r="BR170" s="648">
        <f>IFERROR(WWWW[[#This Row],['#_Household received remediation action due to contamination]]/WWWW[[#This Row],['#_Household water samples tested for contamination]],"no test")</f>
        <v>0.33333333333333331</v>
      </c>
      <c r="BS170" s="647" t="str">
        <f>IF(AND(WWWW[[#This Row],[% of water sources treated]]="no test",WWWW[[#This Row],[% Household received corrective actions]]="no test"),"No Test","Tested")</f>
        <v>Tested</v>
      </c>
      <c r="BT170" s="647">
        <f>WWWW[[#This Row],['#_Constructed/existing protected hand dug well]]-WWWW[[#This Row],['#_Non-functional protected hand dug well]]</f>
        <v>0</v>
      </c>
      <c r="BU170" s="647">
        <f>(WWWW[[#This Row],['#_Constructed/Existing tube wells/boreholes/handpumps_WASH_agency]]+WWWW[[#This Row],['#_Non-Cluster partner water tube-wells/boreholes/handpumps]])-WWWW[[#This Row],['#_Non-functional tube wells/boreholes/handpumps]]</f>
        <v>0</v>
      </c>
      <c r="BV170" s="647">
        <f>WWWW[[#This Row],['#_Constructed/Existingwater storage tank with gravity fed reticulation system]]-WWWW[[#This Row],['#_Non-functional storage tank gravity fed reticulation system]]</f>
        <v>73</v>
      </c>
      <c r="BW170" s="647">
        <f>WWWW[[#This Row],['#_Water boating or water trucking]]</f>
        <v>0</v>
      </c>
      <c r="BX170" s="647">
        <f>WWWW[[#This Row],['#_Constructed/Existing water distribution system from river or natural spring]]</f>
        <v>0</v>
      </c>
      <c r="BY170"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170"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170" s="648">
        <f>IF(WWWW[[#This Row],[Location Type 1]]="Village",WWWW[[#This Row],[Access to safe drinking water for Village]],WWWW[[#This Row],[Access to safe drinking water for Camp]])</f>
        <v>1</v>
      </c>
      <c r="CB170" s="645">
        <f>WWWW[[#This Row],[%Equitable and continuous access to sufficient quantity of safe drinking water]]*WWWW[[#This Row],[Total PoP ]]</f>
        <v>4717</v>
      </c>
      <c r="CC170" s="648">
        <f>IF((WWWW[[#This Row],['#_Constructed/Existing protected/fenced ponds]]*250)/WWWW[[#This Row],[Total PoP ]]&gt;1,1,(WWWW[[#This Row],['#_Constructed/Existing protected/fenced ponds]]*250)/WWWW[[#This Row],[Total PoP ]])</f>
        <v>0.26499894000423996</v>
      </c>
      <c r="CD170" s="645">
        <f>WWWW[[#This Row],[% Access to unimproved water points]]*WWWW[[#This Row],[Total PoP ]]</f>
        <v>1249.9999999999998</v>
      </c>
      <c r="CE170"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170"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4717</v>
      </c>
      <c r="CG170" s="645">
        <f>WWWW[[#This Row],[HRP1]]/500</f>
        <v>9.4339999999999993</v>
      </c>
      <c r="CH170" s="650">
        <f>1-WWWW[[#This Row],[% Equitable and continuous access to sufficient quantity of domestic water]]</f>
        <v>0</v>
      </c>
      <c r="CI170" s="645">
        <f>WWWW[[#This Row],[%equitable and continuous access to sufficient quantity of safe drinking and domestic water''s GAP]]*WWWW[[#This Row],[Total PoP ]]</f>
        <v>0</v>
      </c>
      <c r="CJ170" s="647">
        <f>IF(WWWW[[#This Row],[Total required water points]]-WWWW[[#This Row],['#Water points coverage]]&lt;0,0,WWWW[[#This Row],[Total required water points]]-WWWW[[#This Row],['#Water points coverage]])</f>
        <v>0</v>
      </c>
      <c r="CK170" s="647">
        <f>ROUND(IF(WWWW[[#This Row],[Total PoP ]]&lt;500,1,WWWW[[#This Row],[Total PoP ]]/500),0)</f>
        <v>9</v>
      </c>
      <c r="CL170" s="647">
        <f>(WWWW[[#This Row],['#_Constructed latrines_by_WASHAgencies]]+WWWW[[#This Row],['#_Non Cluster partner latrines]])-WWWW[[#This Row],['#_Non-functional latrines]]</f>
        <v>168</v>
      </c>
      <c r="CM170"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0.71231715073139712</v>
      </c>
      <c r="CN170"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3360</v>
      </c>
      <c r="CO170"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70" s="647">
        <f>IF(WWWW[[#This Row],[Location Type 1]]="Village","NA",IF(WWWW[[#This Row],['#_Constructed/Existing latrines in TLS]]*50&gt;WWWW[[#This Row],['#_students at TLS_CFS]],WWWW[[#This Row],['#_students at TLS_CFS]],(WWWW[[#This Row],['#_Constructed/Existing latrines in TLS]]*50)))</f>
        <v>0</v>
      </c>
      <c r="CQ170" s="647">
        <f>ROUND(IF(WWWW[[#This Row],[Location Type 1]]="camp",WWWW[[#This Row],[Total PoP ]]/20,IF(WWWW[[#This Row],[Location Type 1]]="Temporary Location",WWWW[[#This Row],[Total PoP ]]/50,(WWWW[[#This Row],[Total PoP ]]/6))),0)</f>
        <v>236</v>
      </c>
      <c r="CR170" s="647">
        <f>IF(WWWW[[#This Row],[Total required Latrines]]-(WWWW[[#This Row],['#_Constructed latrines_by_WASHAgencies]]+WWWW[[#This Row],['#_Non Cluster partner latrines]])&lt;0,0,WWWW[[#This Row],[Total required Latrines]]-(WWWW[[#This Row],['#_Constructed latrines_by_WASHAgencies]]+WWWW[[#This Row],['#_Non Cluster partner latrines]]))</f>
        <v>58</v>
      </c>
      <c r="CS170" s="79">
        <f>1-WWWW[[#This Row],[% people access to functioning Latrine]]</f>
        <v>0.28768284926860288</v>
      </c>
      <c r="CT170" s="649">
        <f>IF(OR(WWWW[[#This Row],['#_Non-functional latrines]]="",WWWW[[#This Row],['#_Non-functional latrines]]=0),0,WWWW[[#This Row],['#_Non-functional latrines]]/(WWWW[[#This Row],['#_Constructed latrines_by_WASHAgencies]]+WWWW[[#This Row],['#_Non Cluster partner latrines]]))</f>
        <v>5.6179775280898875E-2</v>
      </c>
      <c r="CU170" s="645">
        <f>IF(500*(WWWW[[#This Row],['#_male hygiene promoters]]+WWWW[[#This Row],['#_female hygiene promoters]])&gt;WWWW[[#This Row],[Total PoP ]],WWWW[[#This Row],[Total PoP ]],500*(WWWW[[#This Row],['#_male hygiene promoters]]+WWWW[[#This Row],['#_female hygiene promoters]]))</f>
        <v>4717</v>
      </c>
      <c r="CV170"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4717</v>
      </c>
      <c r="CW170"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4717</v>
      </c>
      <c r="CX170" s="647">
        <f>IF(WWWW[[#This Row],['# People with access to soap]]&gt;WWWW[[#This Row],['# People with access to Sanity Pads]],WWWW[[#This Row],['# People with access to soap]],WWWW[[#This Row],['# People with access to Sanity Pads]])</f>
        <v>4717</v>
      </c>
      <c r="CY170" s="647">
        <f>IF(WWWW[[#This Row],['# people reached by regular dedicated hygiene promotion_5]]&gt;WWWW[[#This Row],['# People received regular supply of hygiene items_6]],WWWW[[#This Row],['# people reached by regular dedicated hygiene promotion_5]],WWWW[[#This Row],['# People received regular supply of hygiene items_6]])</f>
        <v>4717</v>
      </c>
      <c r="CZ170" s="650">
        <f>IF(WWWW[[#This Row],[HRP3]]/WWWW[[#This Row],[Total PoP ]]&gt;100%,100%,WWWW[[#This Row],[HRP3]]/WWWW[[#This Row],[Total PoP ]])</f>
        <v>1</v>
      </c>
      <c r="DA170" s="649">
        <f>1-WWWW[[#This Row],[Hygiene Coverage%]]</f>
        <v>0</v>
      </c>
      <c r="DB170" s="648">
        <f>WWWW[[#This Row],['# people reached by regular dedicated hygiene promotion_5]]/WWWW[[#This Row],[Total PoP ]]</f>
        <v>1</v>
      </c>
      <c r="DC170" s="648">
        <f>IF(WWWW[[#This Row],['#_households that received standard amount of soap for this quarter]]/WWWW[[#This Row],[Total HH]]&gt;1,1,WWWW[[#This Row],['#_households that received standard amount of soap for this quarter]]/WWWW[[#This Row],[Total HH]])</f>
        <v>0.99679743795036024</v>
      </c>
      <c r="DD170" s="648">
        <f>IF(WWWW[[#This Row],['#_households that received standard amount of sanitary pads for this quarter]]/WWWW[[#This Row],[Total HH]]&gt;1,1,WWWW[[#This Row],['#_households that received standard amount of sanitary pads for this quarter]]/WWWW[[#This Row],[Total HH]])</f>
        <v>0.99679743795036024</v>
      </c>
      <c r="DE170" s="647">
        <f>WWWW[[#This Row],['#_Constructed/Existing hand washing stations]]-WWWW[[#This Row],['#_Non-Functional_hand_washing_stations]]</f>
        <v>0</v>
      </c>
      <c r="DF170" s="667">
        <f>IF(WWWW[[#This Row],['# Functional hand washing stations during reporting period]]*20&gt;WWWW[[#This Row],[Total HH]],WWWW[[#This Row],[Total HH]],WWWW[[#This Row],['# Functional hand washing stations during reporting period]]*20)</f>
        <v>0</v>
      </c>
      <c r="DG170" s="645">
        <f>IF(WWWW[[#This Row],[Is sufficient soap available for TLS? (Yes/No)]]="yes",WWWW[[#This Row],['#_Constructed/Existing hand washing stations at TLS]],0)</f>
        <v>0</v>
      </c>
      <c r="DH170" s="645">
        <f>IF(WWWW[[#This Row],['# Functional hand washing stations during reporting period]]*100&gt;WWWW[[#This Row],[Total PoP ]],WWWW[[#This Row],[Total PoP ]],WWWW[[#This Row],['# Functional hand washing stations during reporting period]]*100)</f>
        <v>0</v>
      </c>
      <c r="DI170" s="645" t="str">
        <f>IF(WWWW[[#This Row],['#_students at TLS_CFS]]="","No","Yes")</f>
        <v>No</v>
      </c>
      <c r="DJ170" s="643" t="str">
        <f>VLOOKUP(WWWW[[#This Row],[Site Name]],SiteDB6[[Site Name]:[CCCM Management]],6,FALSE)</f>
        <v>Yes</v>
      </c>
      <c r="DK170" s="643">
        <f>VLOOKUP(WWWW[[#This Row],[Site Name]],SiteDB6[[Site Name]:[CCCM Focal Agency]],7,FALSE)</f>
        <v>0</v>
      </c>
      <c r="DL170" s="643" t="str">
        <f>VLOOKUP(WWWW[[#This Row],[Site Name]],SiteDB6[[Site Name]:[Location Type 1]],9,FALSE)</f>
        <v>Camp</v>
      </c>
      <c r="DM170" s="643" t="str">
        <f>VLOOKUP(WWWW[[#This Row],[Site Name]],SiteDB6[[Site Name]:[Type of Accommodation]],10,FALSE)</f>
        <v>Planned Camp</v>
      </c>
      <c r="DN170" s="643" t="str">
        <f>VLOOKUP(WWWW[[#This Row],[Site Name]],SiteDB6[[Site Name]:[Ethnic or GCA/NGCA]],11,FALSE)</f>
        <v>Muslim</v>
      </c>
      <c r="DO170" s="643">
        <f>VLOOKUP(WWWW[[#This Row],[Site Name]],SiteDB6[[Site Name]:[Lat]],12,FALSE)</f>
        <v>20.108101999999999</v>
      </c>
      <c r="DP170" s="643">
        <f>VLOOKUP(WWWW[[#This Row],[Site Name]],SiteDB6[[Site Name]:[Long]],13,FALSE)</f>
        <v>92.985095000000001</v>
      </c>
      <c r="DQ170" s="643" t="str">
        <f>VLOOKUP(WWWW[[#This Row],[Site Name]],SiteDB6[[Site Name]:[Pcode]],3,FALSE)</f>
        <v>MMR012CMP016</v>
      </c>
      <c r="DR170" s="652" t="str">
        <f t="shared" si="6"/>
        <v>Covered</v>
      </c>
      <c r="DS170" s="652"/>
    </row>
    <row r="171" spans="1:138">
      <c r="A171" s="637" t="s">
        <v>2525</v>
      </c>
      <c r="B171" s="637" t="s">
        <v>305</v>
      </c>
      <c r="C171" s="644" t="s">
        <v>305</v>
      </c>
      <c r="D171" s="644" t="s">
        <v>345</v>
      </c>
      <c r="E171" s="663" t="s">
        <v>3014</v>
      </c>
      <c r="F171" s="644" t="s">
        <v>420</v>
      </c>
      <c r="G171" s="663" t="str">
        <f>VLOOKUP(WWWW[[#This Row],[Site Name]],SiteDB6[[Site Name]:[Location Type]],8,FALSE)</f>
        <v>Village</v>
      </c>
      <c r="H171" s="644" t="s">
        <v>2834</v>
      </c>
      <c r="I171" s="646">
        <v>90</v>
      </c>
      <c r="J171" s="646">
        <v>393</v>
      </c>
      <c r="K171" s="653">
        <v>43359</v>
      </c>
      <c r="L171" s="654">
        <v>43830</v>
      </c>
      <c r="M171" s="646"/>
      <c r="N171" s="646"/>
      <c r="O171" s="646"/>
      <c r="P171" s="646"/>
      <c r="Q171" s="645"/>
      <c r="R171" s="646"/>
      <c r="S171" s="646"/>
      <c r="T171" s="646"/>
      <c r="U171" s="646"/>
      <c r="V171" s="646"/>
      <c r="W171" s="646"/>
      <c r="X171" s="646"/>
      <c r="Y171" s="646"/>
      <c r="Z171" s="646"/>
      <c r="AA171" s="646"/>
      <c r="AB171" s="646"/>
      <c r="AC171" s="646"/>
      <c r="AD171" s="646"/>
      <c r="AE171" s="646"/>
      <c r="AF171" s="646"/>
      <c r="AG171" s="646"/>
      <c r="AH171" s="646"/>
      <c r="AI171" s="646"/>
      <c r="AJ171" s="646"/>
      <c r="AK171" s="646"/>
      <c r="AL171" s="646"/>
      <c r="AM171" s="646"/>
      <c r="AN171" s="646"/>
      <c r="AO171" s="652"/>
      <c r="AP171" s="646"/>
      <c r="AQ171" s="646"/>
      <c r="AR171" s="648"/>
      <c r="AS171" s="646"/>
      <c r="AT171" s="646"/>
      <c r="AU171" s="646"/>
      <c r="AV171" s="646"/>
      <c r="AW171" s="646"/>
      <c r="AX171" s="643"/>
      <c r="AY171" s="652"/>
      <c r="AZ171" s="646"/>
      <c r="BA171" s="646"/>
      <c r="BB171" s="646"/>
      <c r="BC171" s="643"/>
      <c r="BD171" s="646"/>
      <c r="BE171" s="646"/>
      <c r="BF171" s="646"/>
      <c r="BG171" s="646"/>
      <c r="BH171" s="646"/>
      <c r="BI171" s="646"/>
      <c r="BJ171" s="646"/>
      <c r="BK171" s="646"/>
      <c r="BL171" s="646"/>
      <c r="BM171" s="643"/>
      <c r="BN171" s="647"/>
      <c r="BO171" s="648"/>
      <c r="BP171" s="643"/>
      <c r="BQ171" s="649" t="str">
        <f>IFERROR(WWWW[[#This Row],['#_Water sources treated]]/WWWW[[#This Row],['#_Water sources tested for contamination]],"no test")</f>
        <v>no test</v>
      </c>
      <c r="BR171" s="648" t="str">
        <f>IFERROR(WWWW[[#This Row],['#_Household received remediation action due to contamination]]/WWWW[[#This Row],['#_Household water samples tested for contamination]],"no test")</f>
        <v>no test</v>
      </c>
      <c r="BS171" s="647" t="str">
        <f>IF(AND(WWWW[[#This Row],[% of water sources treated]]="no test",WWWW[[#This Row],[% Household received corrective actions]]="no test"),"No Test","Tested")</f>
        <v>No Test</v>
      </c>
      <c r="BT171" s="647">
        <f>WWWW[[#This Row],['#_Constructed/existing protected hand dug well]]-WWWW[[#This Row],['#_Non-functional protected hand dug well]]</f>
        <v>0</v>
      </c>
      <c r="BU171" s="647">
        <f>(WWWW[[#This Row],['#_Constructed/Existing tube wells/boreholes/handpumps_WASH_agency]]+WWWW[[#This Row],['#_Non-Cluster partner water tube-wells/boreholes/handpumps]])-WWWW[[#This Row],['#_Non-functional tube wells/boreholes/handpumps]]</f>
        <v>0</v>
      </c>
      <c r="BV171" s="647">
        <f>WWWW[[#This Row],['#_Constructed/Existingwater storage tank with gravity fed reticulation system]]-WWWW[[#This Row],['#_Non-functional storage tank gravity fed reticulation system]]</f>
        <v>0</v>
      </c>
      <c r="BW171" s="647">
        <f>WWWW[[#This Row],['#_Water boating or water trucking]]</f>
        <v>0</v>
      </c>
      <c r="BX171" s="647">
        <f>WWWW[[#This Row],['#_Constructed/Existing water distribution system from river or natural spring]]</f>
        <v>0</v>
      </c>
      <c r="BY171"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71"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71" s="648">
        <f>IF(WWWW[[#This Row],[Location Type 1]]="Village",WWWW[[#This Row],[Access to safe drinking water for Village]],WWWW[[#This Row],[Access to safe drinking water for Camp]])</f>
        <v>0</v>
      </c>
      <c r="CB171" s="645">
        <f>WWWW[[#This Row],[%Equitable and continuous access to sufficient quantity of safe drinking water]]*WWWW[[#This Row],[Total PoP ]]</f>
        <v>0</v>
      </c>
      <c r="CC171" s="648">
        <f>IF((WWWW[[#This Row],['#_Constructed/Existing protected/fenced ponds]]*250)/WWWW[[#This Row],[Total PoP ]]&gt;1,1,(WWWW[[#This Row],['#_Constructed/Existing protected/fenced ponds]]*250)/WWWW[[#This Row],[Total PoP ]])</f>
        <v>0</v>
      </c>
      <c r="CD171" s="645">
        <f>WWWW[[#This Row],[% Access to unimproved water points]]*WWWW[[#This Row],[Total PoP ]]</f>
        <v>0</v>
      </c>
      <c r="CE171"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71"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71" s="645">
        <f>WWWW[[#This Row],[HRP1]]/500</f>
        <v>0</v>
      </c>
      <c r="CH171" s="650">
        <f>1-WWWW[[#This Row],[% Equitable and continuous access to sufficient quantity of domestic water]]</f>
        <v>1</v>
      </c>
      <c r="CI171" s="645">
        <f>WWWW[[#This Row],[%equitable and continuous access to sufficient quantity of safe drinking and domestic water''s GAP]]*WWWW[[#This Row],[Total PoP ]]</f>
        <v>393</v>
      </c>
      <c r="CJ171" s="647">
        <f>IF(WWWW[[#This Row],[Total required water points]]-WWWW[[#This Row],['#Water points coverage]]&lt;0,0,WWWW[[#This Row],[Total required water points]]-WWWW[[#This Row],['#Water points coverage]])</f>
        <v>1</v>
      </c>
      <c r="CK171" s="647">
        <f>ROUND(IF(WWWW[[#This Row],[Total PoP ]]&lt;500,1,WWWW[[#This Row],[Total PoP ]]/500),0)</f>
        <v>1</v>
      </c>
      <c r="CL171" s="647">
        <f>(WWWW[[#This Row],['#_Constructed latrines_by_WASHAgencies]]+WWWW[[#This Row],['#_Non Cluster partner latrines]])-WWWW[[#This Row],['#_Non-functional latrines]]</f>
        <v>0</v>
      </c>
      <c r="CM171"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71"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71"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71" s="647" t="str">
        <f>IF(WWWW[[#This Row],[Location Type 1]]="Village","NA",IF(WWWW[[#This Row],['#_Constructed/Existing latrines in TLS]]*50&gt;WWWW[[#This Row],['#_students at TLS_CFS]],WWWW[[#This Row],['#_students at TLS_CFS]],(WWWW[[#This Row],['#_Constructed/Existing latrines in TLS]]*50)))</f>
        <v>NA</v>
      </c>
      <c r="CQ171" s="647">
        <f>ROUND(IF(WWWW[[#This Row],[Location Type 1]]="camp",WWWW[[#This Row],[Total PoP ]]/20,IF(WWWW[[#This Row],[Location Type 1]]="Temporary Location",WWWW[[#This Row],[Total PoP ]]/50,(WWWW[[#This Row],[Total PoP ]]/6))),0)</f>
        <v>66</v>
      </c>
      <c r="CR171" s="647">
        <f>IF(WWWW[[#This Row],[Total required Latrines]]-(WWWW[[#This Row],['#_Constructed latrines_by_WASHAgencies]]+WWWW[[#This Row],['#_Non Cluster partner latrines]])&lt;0,0,WWWW[[#This Row],[Total required Latrines]]-(WWWW[[#This Row],['#_Constructed latrines_by_WASHAgencies]]+WWWW[[#This Row],['#_Non Cluster partner latrines]]))</f>
        <v>66</v>
      </c>
      <c r="CS171" s="79">
        <f>1-WWWW[[#This Row],[% people access to functioning Latrine]]</f>
        <v>1</v>
      </c>
      <c r="CT171" s="649">
        <f>IF(OR(WWWW[[#This Row],['#_Non-functional latrines]]="",WWWW[[#This Row],['#_Non-functional latrines]]=0),0,WWWW[[#This Row],['#_Non-functional latrines]]/(WWWW[[#This Row],['#_Constructed latrines_by_WASHAgencies]]+WWWW[[#This Row],['#_Non Cluster partner latrines]]))</f>
        <v>0</v>
      </c>
      <c r="CU171" s="645">
        <f>IF(500*(WWWW[[#This Row],['#_male hygiene promoters]]+WWWW[[#This Row],['#_female hygiene promoters]])&gt;WWWW[[#This Row],[Total PoP ]],WWWW[[#This Row],[Total PoP ]],500*(WWWW[[#This Row],['#_male hygiene promoters]]+WWWW[[#This Row],['#_female hygiene promoters]]))</f>
        <v>0</v>
      </c>
      <c r="CV171"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71"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71" s="647">
        <f>IF(WWWW[[#This Row],['# People with access to soap]]&gt;WWWW[[#This Row],['# People with access to Sanity Pads]],WWWW[[#This Row],['# People with access to soap]],WWWW[[#This Row],['# People with access to Sanity Pads]])</f>
        <v>0</v>
      </c>
      <c r="CY171"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71" s="650">
        <f>IF(WWWW[[#This Row],[HRP3]]/WWWW[[#This Row],[Total PoP ]]&gt;100%,100%,WWWW[[#This Row],[HRP3]]/WWWW[[#This Row],[Total PoP ]])</f>
        <v>0</v>
      </c>
      <c r="DA171" s="649">
        <f>1-WWWW[[#This Row],[Hygiene Coverage%]]</f>
        <v>1</v>
      </c>
      <c r="DB171" s="648">
        <f>WWWW[[#This Row],['# people reached by regular dedicated hygiene promotion_5]]/WWWW[[#This Row],[Total PoP ]]</f>
        <v>0</v>
      </c>
      <c r="DC171" s="648">
        <f>IF(WWWW[[#This Row],['#_households that received standard amount of soap for this quarter]]/WWWW[[#This Row],[Total HH]]&gt;1,1,WWWW[[#This Row],['#_households that received standard amount of soap for this quarter]]/WWWW[[#This Row],[Total HH]])</f>
        <v>0</v>
      </c>
      <c r="DD171" s="648">
        <f>IF(WWWW[[#This Row],['#_households that received standard amount of sanitary pads for this quarter]]/WWWW[[#This Row],[Total HH]]&gt;1,1,WWWW[[#This Row],['#_households that received standard amount of sanitary pads for this quarter]]/WWWW[[#This Row],[Total HH]])</f>
        <v>0</v>
      </c>
      <c r="DE171" s="647">
        <f>WWWW[[#This Row],['#_Constructed/Existing hand washing stations]]-WWWW[[#This Row],['#_Non-Functional_hand_washing_stations]]</f>
        <v>0</v>
      </c>
      <c r="DF171" s="667">
        <f>IF(WWWW[[#This Row],['# Functional hand washing stations during reporting period]]*20&gt;WWWW[[#This Row],[Total HH]],WWWW[[#This Row],[Total HH]],WWWW[[#This Row],['# Functional hand washing stations during reporting period]]*20)</f>
        <v>0</v>
      </c>
      <c r="DG171" s="645">
        <f>IF(WWWW[[#This Row],[Is sufficient soap available for TLS? (Yes/No)]]="yes",WWWW[[#This Row],['#_Constructed/Existing hand washing stations at TLS]],0)</f>
        <v>0</v>
      </c>
      <c r="DH171" s="645">
        <f>IF(WWWW[[#This Row],['# Functional hand washing stations during reporting period]]*100&gt;WWWW[[#This Row],[Total PoP ]],WWWW[[#This Row],[Total PoP ]],WWWW[[#This Row],['# Functional hand washing stations during reporting period]]*100)</f>
        <v>0</v>
      </c>
      <c r="DI171" s="645" t="str">
        <f>IF(WWWW[[#This Row],['#_students at TLS_CFS]]="","No","Yes")</f>
        <v>No</v>
      </c>
      <c r="DJ171" s="643">
        <f>VLOOKUP(WWWW[[#This Row],[Site Name]],SiteDB6[[Site Name]:[CCCM Management]],6,FALSE)</f>
        <v>0</v>
      </c>
      <c r="DK171" s="643">
        <f>VLOOKUP(WWWW[[#This Row],[Site Name]],SiteDB6[[Site Name]:[CCCM Focal Agency]],7,FALSE)</f>
        <v>0</v>
      </c>
      <c r="DL171" s="643" t="str">
        <f>VLOOKUP(WWWW[[#This Row],[Site Name]],SiteDB6[[Site Name]:[Location Type 1]],9,FALSE)</f>
        <v>Village</v>
      </c>
      <c r="DM171" s="643" t="str">
        <f>VLOOKUP(WWWW[[#This Row],[Site Name]],SiteDB6[[Site Name]:[Type of Accommodation]],10,FALSE)</f>
        <v>Village</v>
      </c>
      <c r="DN171" s="643">
        <f>VLOOKUP(WWWW[[#This Row],[Site Name]],SiteDB6[[Site Name]:[Ethnic or GCA/NGCA]],11,FALSE)</f>
        <v>0</v>
      </c>
      <c r="DO171" s="643">
        <f>VLOOKUP(WWWW[[#This Row],[Site Name]],SiteDB6[[Site Name]:[Lat]],12,FALSE)</f>
        <v>19.986650466918899</v>
      </c>
      <c r="DP171" s="643">
        <f>VLOOKUP(WWWW[[#This Row],[Site Name]],SiteDB6[[Site Name]:[Long]],13,FALSE)</f>
        <v>92.986160278320298</v>
      </c>
      <c r="DQ171" s="643">
        <f>VLOOKUP(WWWW[[#This Row],[Site Name]],SiteDB6[[Site Name]:[Pcode]],3,FALSE)</f>
        <v>197546</v>
      </c>
      <c r="DR171" s="652" t="str">
        <f t="shared" si="6"/>
        <v>Covered</v>
      </c>
      <c r="DS171" s="652"/>
    </row>
    <row r="172" spans="1:138">
      <c r="A172" s="637" t="s">
        <v>2525</v>
      </c>
      <c r="B172" s="637" t="s">
        <v>305</v>
      </c>
      <c r="C172" s="644" t="s">
        <v>305</v>
      </c>
      <c r="D172" s="644" t="s">
        <v>345</v>
      </c>
      <c r="E172" s="663" t="s">
        <v>3014</v>
      </c>
      <c r="F172" s="644" t="s">
        <v>420</v>
      </c>
      <c r="G172" s="663" t="str">
        <f>VLOOKUP(WWWW[[#This Row],[Site Name]],SiteDB6[[Site Name]:[Location Type]],8,FALSE)</f>
        <v>Village</v>
      </c>
      <c r="H172" s="644" t="s">
        <v>2831</v>
      </c>
      <c r="I172" s="646">
        <v>53</v>
      </c>
      <c r="J172" s="646">
        <v>248</v>
      </c>
      <c r="K172" s="653">
        <v>43359</v>
      </c>
      <c r="L172" s="654">
        <v>43830</v>
      </c>
      <c r="M172" s="646"/>
      <c r="N172" s="646"/>
      <c r="O172" s="646"/>
      <c r="P172" s="646"/>
      <c r="Q172" s="645"/>
      <c r="R172" s="646"/>
      <c r="S172" s="646"/>
      <c r="T172" s="646"/>
      <c r="U172" s="646"/>
      <c r="V172" s="646"/>
      <c r="W172" s="646"/>
      <c r="X172" s="646"/>
      <c r="Y172" s="646"/>
      <c r="Z172" s="646"/>
      <c r="AA172" s="646"/>
      <c r="AB172" s="646"/>
      <c r="AC172" s="646"/>
      <c r="AD172" s="646"/>
      <c r="AE172" s="646"/>
      <c r="AF172" s="646"/>
      <c r="AG172" s="646"/>
      <c r="AH172" s="646"/>
      <c r="AI172" s="646"/>
      <c r="AJ172" s="646"/>
      <c r="AK172" s="646"/>
      <c r="AL172" s="646"/>
      <c r="AM172" s="646"/>
      <c r="AN172" s="646"/>
      <c r="AO172" s="652"/>
      <c r="AP172" s="646"/>
      <c r="AQ172" s="646"/>
      <c r="AR172" s="648"/>
      <c r="AS172" s="646"/>
      <c r="AT172" s="646"/>
      <c r="AU172" s="646"/>
      <c r="AV172" s="646"/>
      <c r="AW172" s="646"/>
      <c r="AX172" s="643"/>
      <c r="AY172" s="652"/>
      <c r="AZ172" s="646"/>
      <c r="BA172" s="646"/>
      <c r="BB172" s="646"/>
      <c r="BC172" s="643"/>
      <c r="BD172" s="646"/>
      <c r="BE172" s="646"/>
      <c r="BF172" s="646"/>
      <c r="BG172" s="646"/>
      <c r="BH172" s="646"/>
      <c r="BI172" s="646"/>
      <c r="BJ172" s="646"/>
      <c r="BK172" s="646"/>
      <c r="BL172" s="646"/>
      <c r="BM172" s="643"/>
      <c r="BN172" s="647"/>
      <c r="BO172" s="648"/>
      <c r="BP172" s="643"/>
      <c r="BQ172" s="649" t="str">
        <f>IFERROR(WWWW[[#This Row],['#_Water sources treated]]/WWWW[[#This Row],['#_Water sources tested for contamination]],"no test")</f>
        <v>no test</v>
      </c>
      <c r="BR172" s="648" t="str">
        <f>IFERROR(WWWW[[#This Row],['#_Household received remediation action due to contamination]]/WWWW[[#This Row],['#_Household water samples tested for contamination]],"no test")</f>
        <v>no test</v>
      </c>
      <c r="BS172" s="647" t="str">
        <f>IF(AND(WWWW[[#This Row],[% of water sources treated]]="no test",WWWW[[#This Row],[% Household received corrective actions]]="no test"),"No Test","Tested")</f>
        <v>No Test</v>
      </c>
      <c r="BT172" s="647">
        <f>WWWW[[#This Row],['#_Constructed/existing protected hand dug well]]-WWWW[[#This Row],['#_Non-functional protected hand dug well]]</f>
        <v>0</v>
      </c>
      <c r="BU172" s="647">
        <f>(WWWW[[#This Row],['#_Constructed/Existing tube wells/boreholes/handpumps_WASH_agency]]+WWWW[[#This Row],['#_Non-Cluster partner water tube-wells/boreholes/handpumps]])-WWWW[[#This Row],['#_Non-functional tube wells/boreholes/handpumps]]</f>
        <v>0</v>
      </c>
      <c r="BV172" s="647">
        <f>WWWW[[#This Row],['#_Constructed/Existingwater storage tank with gravity fed reticulation system]]-WWWW[[#This Row],['#_Non-functional storage tank gravity fed reticulation system]]</f>
        <v>0</v>
      </c>
      <c r="BW172" s="647">
        <f>WWWW[[#This Row],['#_Water boating or water trucking]]</f>
        <v>0</v>
      </c>
      <c r="BX172" s="647">
        <f>WWWW[[#This Row],['#_Constructed/Existing water distribution system from river or natural spring]]</f>
        <v>0</v>
      </c>
      <c r="BY172"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72"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72" s="648">
        <f>IF(WWWW[[#This Row],[Location Type 1]]="Village",WWWW[[#This Row],[Access to safe drinking water for Village]],WWWW[[#This Row],[Access to safe drinking water for Camp]])</f>
        <v>0</v>
      </c>
      <c r="CB172" s="645">
        <f>WWWW[[#This Row],[%Equitable and continuous access to sufficient quantity of safe drinking water]]*WWWW[[#This Row],[Total PoP ]]</f>
        <v>0</v>
      </c>
      <c r="CC172" s="648">
        <f>IF((WWWW[[#This Row],['#_Constructed/Existing protected/fenced ponds]]*250)/WWWW[[#This Row],[Total PoP ]]&gt;1,1,(WWWW[[#This Row],['#_Constructed/Existing protected/fenced ponds]]*250)/WWWW[[#This Row],[Total PoP ]])</f>
        <v>0</v>
      </c>
      <c r="CD172" s="645">
        <f>WWWW[[#This Row],[% Access to unimproved water points]]*WWWW[[#This Row],[Total PoP ]]</f>
        <v>0</v>
      </c>
      <c r="CE172"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72"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72" s="645">
        <f>WWWW[[#This Row],[HRP1]]/500</f>
        <v>0</v>
      </c>
      <c r="CH172" s="650">
        <f>1-WWWW[[#This Row],[% Equitable and continuous access to sufficient quantity of domestic water]]</f>
        <v>1</v>
      </c>
      <c r="CI172" s="645">
        <f>WWWW[[#This Row],[%equitable and continuous access to sufficient quantity of safe drinking and domestic water''s GAP]]*WWWW[[#This Row],[Total PoP ]]</f>
        <v>248</v>
      </c>
      <c r="CJ172" s="647">
        <f>IF(WWWW[[#This Row],[Total required water points]]-WWWW[[#This Row],['#Water points coverage]]&lt;0,0,WWWW[[#This Row],[Total required water points]]-WWWW[[#This Row],['#Water points coverage]])</f>
        <v>1</v>
      </c>
      <c r="CK172" s="647">
        <f>ROUND(IF(WWWW[[#This Row],[Total PoP ]]&lt;500,1,WWWW[[#This Row],[Total PoP ]]/500),0)</f>
        <v>1</v>
      </c>
      <c r="CL172" s="647">
        <f>(WWWW[[#This Row],['#_Constructed latrines_by_WASHAgencies]]+WWWW[[#This Row],['#_Non Cluster partner latrines]])-WWWW[[#This Row],['#_Non-functional latrines]]</f>
        <v>0</v>
      </c>
      <c r="CM172"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72"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72"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72" s="647" t="str">
        <f>IF(WWWW[[#This Row],[Location Type 1]]="Village","NA",IF(WWWW[[#This Row],['#_Constructed/Existing latrines in TLS]]*50&gt;WWWW[[#This Row],['#_students at TLS_CFS]],WWWW[[#This Row],['#_students at TLS_CFS]],(WWWW[[#This Row],['#_Constructed/Existing latrines in TLS]]*50)))</f>
        <v>NA</v>
      </c>
      <c r="CQ172" s="647">
        <f>ROUND(IF(WWWW[[#This Row],[Location Type 1]]="camp",WWWW[[#This Row],[Total PoP ]]/20,IF(WWWW[[#This Row],[Location Type 1]]="Temporary Location",WWWW[[#This Row],[Total PoP ]]/50,(WWWW[[#This Row],[Total PoP ]]/6))),0)</f>
        <v>41</v>
      </c>
      <c r="CR172" s="647">
        <f>IF(WWWW[[#This Row],[Total required Latrines]]-(WWWW[[#This Row],['#_Constructed latrines_by_WASHAgencies]]+WWWW[[#This Row],['#_Non Cluster partner latrines]])&lt;0,0,WWWW[[#This Row],[Total required Latrines]]-(WWWW[[#This Row],['#_Constructed latrines_by_WASHAgencies]]+WWWW[[#This Row],['#_Non Cluster partner latrines]]))</f>
        <v>41</v>
      </c>
      <c r="CS172" s="79">
        <f>1-WWWW[[#This Row],[% people access to functioning Latrine]]</f>
        <v>1</v>
      </c>
      <c r="CT172" s="649">
        <f>IF(OR(WWWW[[#This Row],['#_Non-functional latrines]]="",WWWW[[#This Row],['#_Non-functional latrines]]=0),0,WWWW[[#This Row],['#_Non-functional latrines]]/(WWWW[[#This Row],['#_Constructed latrines_by_WASHAgencies]]+WWWW[[#This Row],['#_Non Cluster partner latrines]]))</f>
        <v>0</v>
      </c>
      <c r="CU172" s="645">
        <f>IF(500*(WWWW[[#This Row],['#_male hygiene promoters]]+WWWW[[#This Row],['#_female hygiene promoters]])&gt;WWWW[[#This Row],[Total PoP ]],WWWW[[#This Row],[Total PoP ]],500*(WWWW[[#This Row],['#_male hygiene promoters]]+WWWW[[#This Row],['#_female hygiene promoters]]))</f>
        <v>0</v>
      </c>
      <c r="CV172"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72"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72" s="647">
        <f>IF(WWWW[[#This Row],['# People with access to soap]]&gt;WWWW[[#This Row],['# People with access to Sanity Pads]],WWWW[[#This Row],['# People with access to soap]],WWWW[[#This Row],['# People with access to Sanity Pads]])</f>
        <v>0</v>
      </c>
      <c r="CY172"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172" s="650">
        <f>IF(WWWW[[#This Row],[HRP3]]/WWWW[[#This Row],[Total PoP ]]&gt;100%,100%,WWWW[[#This Row],[HRP3]]/WWWW[[#This Row],[Total PoP ]])</f>
        <v>0</v>
      </c>
      <c r="DA172" s="649">
        <f>1-WWWW[[#This Row],[Hygiene Coverage%]]</f>
        <v>1</v>
      </c>
      <c r="DB172" s="648">
        <f>WWWW[[#This Row],['# people reached by regular dedicated hygiene promotion_5]]/WWWW[[#This Row],[Total PoP ]]</f>
        <v>0</v>
      </c>
      <c r="DC172" s="648">
        <f>IF(WWWW[[#This Row],['#_households that received standard amount of soap for this quarter]]/WWWW[[#This Row],[Total HH]]&gt;1,1,WWWW[[#This Row],['#_households that received standard amount of soap for this quarter]]/WWWW[[#This Row],[Total HH]])</f>
        <v>0</v>
      </c>
      <c r="DD172" s="648">
        <f>IF(WWWW[[#This Row],['#_households that received standard amount of sanitary pads for this quarter]]/WWWW[[#This Row],[Total HH]]&gt;1,1,WWWW[[#This Row],['#_households that received standard amount of sanitary pads for this quarter]]/WWWW[[#This Row],[Total HH]])</f>
        <v>0</v>
      </c>
      <c r="DE172" s="647">
        <f>WWWW[[#This Row],['#_Constructed/Existing hand washing stations]]-WWWW[[#This Row],['#_Non-Functional_hand_washing_stations]]</f>
        <v>0</v>
      </c>
      <c r="DF172" s="667">
        <f>IF(WWWW[[#This Row],['# Functional hand washing stations during reporting period]]*20&gt;WWWW[[#This Row],[Total HH]],WWWW[[#This Row],[Total HH]],WWWW[[#This Row],['# Functional hand washing stations during reporting period]]*20)</f>
        <v>0</v>
      </c>
      <c r="DG172" s="645">
        <f>IF(WWWW[[#This Row],[Is sufficient soap available for TLS? (Yes/No)]]="yes",WWWW[[#This Row],['#_Constructed/Existing hand washing stations at TLS]],0)</f>
        <v>0</v>
      </c>
      <c r="DH172" s="645">
        <f>IF(WWWW[[#This Row],['# Functional hand washing stations during reporting period]]*100&gt;WWWW[[#This Row],[Total PoP ]],WWWW[[#This Row],[Total PoP ]],WWWW[[#This Row],['# Functional hand washing stations during reporting period]]*100)</f>
        <v>0</v>
      </c>
      <c r="DI172" s="645" t="str">
        <f>IF(WWWW[[#This Row],['#_students at TLS_CFS]]="","No","Yes")</f>
        <v>No</v>
      </c>
      <c r="DJ172" s="643">
        <f>VLOOKUP(WWWW[[#This Row],[Site Name]],SiteDB6[[Site Name]:[CCCM Management]],6,FALSE)</f>
        <v>0</v>
      </c>
      <c r="DK172" s="643">
        <f>VLOOKUP(WWWW[[#This Row],[Site Name]],SiteDB6[[Site Name]:[CCCM Focal Agency]],7,FALSE)</f>
        <v>0</v>
      </c>
      <c r="DL172" s="643" t="str">
        <f>VLOOKUP(WWWW[[#This Row],[Site Name]],SiteDB6[[Site Name]:[Location Type 1]],9,FALSE)</f>
        <v>Village</v>
      </c>
      <c r="DM172" s="643" t="str">
        <f>VLOOKUP(WWWW[[#This Row],[Site Name]],SiteDB6[[Site Name]:[Type of Accommodation]],10,FALSE)</f>
        <v>Village</v>
      </c>
      <c r="DN172" s="643">
        <f>VLOOKUP(WWWW[[#This Row],[Site Name]],SiteDB6[[Site Name]:[Ethnic or GCA/NGCA]],11,FALSE)</f>
        <v>0</v>
      </c>
      <c r="DO172" s="643">
        <f>VLOOKUP(WWWW[[#This Row],[Site Name]],SiteDB6[[Site Name]:[Lat]],12,FALSE)</f>
        <v>0</v>
      </c>
      <c r="DP172" s="643">
        <f>VLOOKUP(WWWW[[#This Row],[Site Name]],SiteDB6[[Site Name]:[Long]],13,FALSE)</f>
        <v>0</v>
      </c>
      <c r="DQ172" s="643">
        <f>VLOOKUP(WWWW[[#This Row],[Site Name]],SiteDB6[[Site Name]:[Pcode]],3,FALSE)</f>
        <v>0</v>
      </c>
      <c r="DR172" s="652" t="str">
        <f t="shared" si="6"/>
        <v>Covered</v>
      </c>
      <c r="DS172" s="652"/>
    </row>
    <row r="173" spans="1:138">
      <c r="A173" s="637" t="s">
        <v>2525</v>
      </c>
      <c r="B173" s="637" t="s">
        <v>2802</v>
      </c>
      <c r="C173" s="644" t="s">
        <v>387</v>
      </c>
      <c r="D173" s="644" t="s">
        <v>2803</v>
      </c>
      <c r="E173" s="663" t="s">
        <v>3013</v>
      </c>
      <c r="F173" s="644" t="s">
        <v>337</v>
      </c>
      <c r="G173" s="663" t="str">
        <f>VLOOKUP(WWWW[[#This Row],[Site Name]],SiteDB6[[Site Name]:[Location Type]],8,FALSE)</f>
        <v>Village</v>
      </c>
      <c r="H173" s="701" t="s">
        <v>2805</v>
      </c>
      <c r="I173" s="646">
        <v>153</v>
      </c>
      <c r="J173" s="646">
        <v>838</v>
      </c>
      <c r="K173" s="653">
        <v>43480</v>
      </c>
      <c r="L173" s="654">
        <v>43723</v>
      </c>
      <c r="M173" s="646"/>
      <c r="N173" s="646"/>
      <c r="O173" s="646"/>
      <c r="P173" s="646"/>
      <c r="Q173" s="645"/>
      <c r="R173" s="646"/>
      <c r="S173" s="646"/>
      <c r="T173" s="646"/>
      <c r="U173" s="646"/>
      <c r="V173" s="646"/>
      <c r="W173" s="646"/>
      <c r="X173" s="646"/>
      <c r="Y173" s="646"/>
      <c r="Z173" s="646"/>
      <c r="AA173" s="646"/>
      <c r="AB173" s="646"/>
      <c r="AC173" s="646"/>
      <c r="AD173" s="646"/>
      <c r="AE173" s="646"/>
      <c r="AF173" s="646"/>
      <c r="AG173" s="646"/>
      <c r="AH173" s="646"/>
      <c r="AI173" s="646"/>
      <c r="AJ173" s="646"/>
      <c r="AK173" s="646"/>
      <c r="AL173" s="646"/>
      <c r="AM173" s="646"/>
      <c r="AN173" s="646"/>
      <c r="AO173" s="652"/>
      <c r="AP173" s="646"/>
      <c r="AQ173" s="646"/>
      <c r="AR173" s="648"/>
      <c r="AS173" s="646"/>
      <c r="AT173" s="646"/>
      <c r="AU173" s="646"/>
      <c r="AV173" s="646"/>
      <c r="AW173" s="646"/>
      <c r="AX173" s="643"/>
      <c r="AY173" s="652"/>
      <c r="AZ173" s="646"/>
      <c r="BA173" s="646"/>
      <c r="BB173" s="646"/>
      <c r="BC173" s="643"/>
      <c r="BD173" s="646"/>
      <c r="BE173" s="646"/>
      <c r="BF173" s="646"/>
      <c r="BG173" s="646"/>
      <c r="BH173" s="646"/>
      <c r="BI173" s="646">
        <v>153</v>
      </c>
      <c r="BJ173" s="646">
        <v>153</v>
      </c>
      <c r="BK173" s="646"/>
      <c r="BL173" s="646"/>
      <c r="BM173" s="643"/>
      <c r="BN173" s="647"/>
      <c r="BO173" s="648"/>
      <c r="BP173" s="643"/>
      <c r="BQ173" s="649" t="str">
        <f>IFERROR(WWWW[[#This Row],['#_Water sources treated]]/WWWW[[#This Row],['#_Water sources tested for contamination]],"no test")</f>
        <v>no test</v>
      </c>
      <c r="BR173" s="648" t="str">
        <f>IFERROR(WWWW[[#This Row],['#_Household received remediation action due to contamination]]/WWWW[[#This Row],['#_Household water samples tested for contamination]],"no test")</f>
        <v>no test</v>
      </c>
      <c r="BS173" s="647" t="str">
        <f>IF(AND(WWWW[[#This Row],[% of water sources treated]]="no test",WWWW[[#This Row],[% Household received corrective actions]]="no test"),"No Test","Tested")</f>
        <v>No Test</v>
      </c>
      <c r="BT173" s="647">
        <f>WWWW[[#This Row],['#_Constructed/existing protected hand dug well]]-WWWW[[#This Row],['#_Non-functional protected hand dug well]]</f>
        <v>0</v>
      </c>
      <c r="BU173" s="647">
        <f>(WWWW[[#This Row],['#_Constructed/Existing tube wells/boreholes/handpumps_WASH_agency]]+WWWW[[#This Row],['#_Non-Cluster partner water tube-wells/boreholes/handpumps]])-WWWW[[#This Row],['#_Non-functional tube wells/boreholes/handpumps]]</f>
        <v>0</v>
      </c>
      <c r="BV173" s="647">
        <f>WWWW[[#This Row],['#_Constructed/Existingwater storage tank with gravity fed reticulation system]]-WWWW[[#This Row],['#_Non-functional storage tank gravity fed reticulation system]]</f>
        <v>0</v>
      </c>
      <c r="BW173" s="647">
        <f>WWWW[[#This Row],['#_Water boating or water trucking]]</f>
        <v>0</v>
      </c>
      <c r="BX173" s="647">
        <f>WWWW[[#This Row],['#_Constructed/Existing water distribution system from river or natural spring]]</f>
        <v>0</v>
      </c>
      <c r="BY173"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73"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73" s="648">
        <f>IF(WWWW[[#This Row],[Location Type 1]]="Village",WWWW[[#This Row],[Access to safe drinking water for Village]],WWWW[[#This Row],[Access to safe drinking water for Camp]])</f>
        <v>0</v>
      </c>
      <c r="CB173" s="645">
        <f>WWWW[[#This Row],[%Equitable and continuous access to sufficient quantity of safe drinking water]]*WWWW[[#This Row],[Total PoP ]]</f>
        <v>0</v>
      </c>
      <c r="CC173" s="648">
        <f>IF((WWWW[[#This Row],['#_Constructed/Existing protected/fenced ponds]]*250)/WWWW[[#This Row],[Total PoP ]]&gt;1,1,(WWWW[[#This Row],['#_Constructed/Existing protected/fenced ponds]]*250)/WWWW[[#This Row],[Total PoP ]])</f>
        <v>0</v>
      </c>
      <c r="CD173" s="645">
        <f>WWWW[[#This Row],[% Access to unimproved water points]]*WWWW[[#This Row],[Total PoP ]]</f>
        <v>0</v>
      </c>
      <c r="CE173"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73"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73" s="645">
        <f>WWWW[[#This Row],[HRP1]]/500</f>
        <v>0</v>
      </c>
      <c r="CH173" s="650">
        <f>1-WWWW[[#This Row],[% Equitable and continuous access to sufficient quantity of domestic water]]</f>
        <v>1</v>
      </c>
      <c r="CI173" s="645">
        <f>WWWW[[#This Row],[%equitable and continuous access to sufficient quantity of safe drinking and domestic water''s GAP]]*WWWW[[#This Row],[Total PoP ]]</f>
        <v>838</v>
      </c>
      <c r="CJ173" s="647">
        <f>IF(WWWW[[#This Row],[Total required water points]]-WWWW[[#This Row],['#Water points coverage]]&lt;0,0,WWWW[[#This Row],[Total required water points]]-WWWW[[#This Row],['#Water points coverage]])</f>
        <v>2</v>
      </c>
      <c r="CK173" s="647">
        <f>ROUND(IF(WWWW[[#This Row],[Total PoP ]]&lt;500,1,WWWW[[#This Row],[Total PoP ]]/500),0)</f>
        <v>2</v>
      </c>
      <c r="CL173" s="647">
        <f>(WWWW[[#This Row],['#_Constructed latrines_by_WASHAgencies]]+WWWW[[#This Row],['#_Non Cluster partner latrines]])-WWWW[[#This Row],['#_Non-functional latrines]]</f>
        <v>0</v>
      </c>
      <c r="CM173"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73"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73"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73" s="647" t="str">
        <f>IF(WWWW[[#This Row],[Location Type 1]]="Village","NA",IF(WWWW[[#This Row],['#_Constructed/Existing latrines in TLS]]*50&gt;WWWW[[#This Row],['#_students at TLS_CFS]],WWWW[[#This Row],['#_students at TLS_CFS]],(WWWW[[#This Row],['#_Constructed/Existing latrines in TLS]]*50)))</f>
        <v>NA</v>
      </c>
      <c r="CQ173" s="647">
        <f>ROUND(IF(WWWW[[#This Row],[Location Type 1]]="camp",WWWW[[#This Row],[Total PoP ]]/20,IF(WWWW[[#This Row],[Location Type 1]]="Temporary Location",WWWW[[#This Row],[Total PoP ]]/50,(WWWW[[#This Row],[Total PoP ]]/6))),0)</f>
        <v>140</v>
      </c>
      <c r="CR173" s="647">
        <f>IF(WWWW[[#This Row],[Total required Latrines]]-(WWWW[[#This Row],['#_Constructed latrines_by_WASHAgencies]]+WWWW[[#This Row],['#_Non Cluster partner latrines]])&lt;0,0,WWWW[[#This Row],[Total required Latrines]]-(WWWW[[#This Row],['#_Constructed latrines_by_WASHAgencies]]+WWWW[[#This Row],['#_Non Cluster partner latrines]]))</f>
        <v>140</v>
      </c>
      <c r="CS173" s="79">
        <f>1-WWWW[[#This Row],[% people access to functioning Latrine]]</f>
        <v>1</v>
      </c>
      <c r="CT173" s="649">
        <f>IF(OR(WWWW[[#This Row],['#_Non-functional latrines]]="",WWWW[[#This Row],['#_Non-functional latrines]]=0),0,WWWW[[#This Row],['#_Non-functional latrines]]/(WWWW[[#This Row],['#_Constructed latrines_by_WASHAgencies]]+WWWW[[#This Row],['#_Non Cluster partner latrines]]))</f>
        <v>0</v>
      </c>
      <c r="CU173" s="645">
        <f>IF(500*(WWWW[[#This Row],['#_male hygiene promoters]]+WWWW[[#This Row],['#_female hygiene promoters]])&gt;WWWW[[#This Row],[Total PoP ]],WWWW[[#This Row],[Total PoP ]],500*(WWWW[[#This Row],['#_male hygiene promoters]]+WWWW[[#This Row],['#_female hygiene promoters]]))</f>
        <v>838</v>
      </c>
      <c r="CV173"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73"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73" s="647">
        <f>IF(WWWW[[#This Row],['# People with access to soap]]&gt;WWWW[[#This Row],['# People with access to Sanity Pads]],WWWW[[#This Row],['# People with access to soap]],WWWW[[#This Row],['# People with access to Sanity Pads]])</f>
        <v>0</v>
      </c>
      <c r="CY173" s="647">
        <f>IF(WWWW[[#This Row],['# people reached by regular dedicated hygiene promotion_5]]&gt;WWWW[[#This Row],['# People received regular supply of hygiene items_6]],WWWW[[#This Row],['# people reached by regular dedicated hygiene promotion_5]],WWWW[[#This Row],['# People received regular supply of hygiene items_6]])</f>
        <v>838</v>
      </c>
      <c r="CZ173" s="650">
        <f>IF(WWWW[[#This Row],[HRP3]]/WWWW[[#This Row],[Total PoP ]]&gt;100%,100%,WWWW[[#This Row],[HRP3]]/WWWW[[#This Row],[Total PoP ]])</f>
        <v>1</v>
      </c>
      <c r="DA173" s="649">
        <f>1-WWWW[[#This Row],[Hygiene Coverage%]]</f>
        <v>0</v>
      </c>
      <c r="DB173" s="648">
        <f>WWWW[[#This Row],['# people reached by regular dedicated hygiene promotion_5]]/WWWW[[#This Row],[Total PoP ]]</f>
        <v>1</v>
      </c>
      <c r="DC173" s="648">
        <f>IF(WWWW[[#This Row],['#_households that received standard amount of soap for this quarter]]/WWWW[[#This Row],[Total HH]]&gt;1,1,WWWW[[#This Row],['#_households that received standard amount of soap for this quarter]]/WWWW[[#This Row],[Total HH]])</f>
        <v>0</v>
      </c>
      <c r="DD173" s="648">
        <f>IF(WWWW[[#This Row],['#_households that received standard amount of sanitary pads for this quarter]]/WWWW[[#This Row],[Total HH]]&gt;1,1,WWWW[[#This Row],['#_households that received standard amount of sanitary pads for this quarter]]/WWWW[[#This Row],[Total HH]])</f>
        <v>0</v>
      </c>
      <c r="DE173" s="647">
        <f>WWWW[[#This Row],['#_Constructed/Existing hand washing stations]]-WWWW[[#This Row],['#_Non-Functional_hand_washing_stations]]</f>
        <v>0</v>
      </c>
      <c r="DF173" s="667">
        <f>IF(WWWW[[#This Row],['# Functional hand washing stations during reporting period]]*20&gt;WWWW[[#This Row],[Total HH]],WWWW[[#This Row],[Total HH]],WWWW[[#This Row],['# Functional hand washing stations during reporting period]]*20)</f>
        <v>0</v>
      </c>
      <c r="DG173" s="645">
        <f>IF(WWWW[[#This Row],[Is sufficient soap available for TLS? (Yes/No)]]="yes",WWWW[[#This Row],['#_Constructed/Existing hand washing stations at TLS]],0)</f>
        <v>0</v>
      </c>
      <c r="DH173" s="645">
        <f>IF(WWWW[[#This Row],['# Functional hand washing stations during reporting period]]*100&gt;WWWW[[#This Row],[Total PoP ]],WWWW[[#This Row],[Total PoP ]],WWWW[[#This Row],['# Functional hand washing stations during reporting period]]*100)</f>
        <v>0</v>
      </c>
      <c r="DI173" s="645" t="str">
        <f>IF(WWWW[[#This Row],['#_students at TLS_CFS]]="","No","Yes")</f>
        <v>No</v>
      </c>
      <c r="DJ173" s="643">
        <f>VLOOKUP(WWWW[[#This Row],[Site Name]],SiteDB6[[Site Name]:[CCCM Management]],6,FALSE)</f>
        <v>0</v>
      </c>
      <c r="DK173" s="643">
        <f>VLOOKUP(WWWW[[#This Row],[Site Name]],SiteDB6[[Site Name]:[CCCM Focal Agency]],7,FALSE)</f>
        <v>0</v>
      </c>
      <c r="DL173" s="643" t="str">
        <f>VLOOKUP(WWWW[[#This Row],[Site Name]],SiteDB6[[Site Name]:[Location Type 1]],9,FALSE)</f>
        <v>Village</v>
      </c>
      <c r="DM173" s="643" t="str">
        <f>VLOOKUP(WWWW[[#This Row],[Site Name]],SiteDB6[[Site Name]:[Type of Accommodation]],10,FALSE)</f>
        <v>Village</v>
      </c>
      <c r="DN173" s="643" t="str">
        <f>VLOOKUP(WWWW[[#This Row],[Site Name]],SiteDB6[[Site Name]:[Ethnic or GCA/NGCA]],11,FALSE)</f>
        <v>Muslim</v>
      </c>
      <c r="DO173" s="643">
        <f>VLOOKUP(WWWW[[#This Row],[Site Name]],SiteDB6[[Site Name]:[Lat]],12,FALSE)</f>
        <v>20.819919586181602</v>
      </c>
      <c r="DP173" s="643">
        <f>VLOOKUP(WWWW[[#This Row],[Site Name]],SiteDB6[[Site Name]:[Long]],13,FALSE)</f>
        <v>92.589729309082003</v>
      </c>
      <c r="DQ173" s="643">
        <f>VLOOKUP(WWWW[[#This Row],[Site Name]],SiteDB6[[Site Name]:[Pcode]],3,FALSE)</f>
        <v>198349</v>
      </c>
      <c r="DR173" s="652" t="str">
        <f t="shared" si="6"/>
        <v>Covered</v>
      </c>
      <c r="DS173" s="652"/>
    </row>
    <row r="174" spans="1:138">
      <c r="A174" s="637" t="s">
        <v>2525</v>
      </c>
      <c r="B174" s="637" t="s">
        <v>2802</v>
      </c>
      <c r="C174" s="644" t="s">
        <v>387</v>
      </c>
      <c r="D174" s="644" t="s">
        <v>2803</v>
      </c>
      <c r="E174" s="663" t="s">
        <v>3013</v>
      </c>
      <c r="F174" s="644" t="s">
        <v>337</v>
      </c>
      <c r="G174" s="663" t="str">
        <f>VLOOKUP(WWWW[[#This Row],[Site Name]],SiteDB6[[Site Name]:[Location Type]],8,FALSE)</f>
        <v>Village</v>
      </c>
      <c r="H174" s="644" t="s">
        <v>2812</v>
      </c>
      <c r="I174" s="646">
        <v>95</v>
      </c>
      <c r="J174" s="646">
        <v>570</v>
      </c>
      <c r="K174" s="653">
        <v>43480</v>
      </c>
      <c r="L174" s="654">
        <v>43723</v>
      </c>
      <c r="M174" s="646"/>
      <c r="N174" s="646"/>
      <c r="O174" s="646"/>
      <c r="P174" s="646"/>
      <c r="Q174" s="645"/>
      <c r="R174" s="646"/>
      <c r="S174" s="646"/>
      <c r="T174" s="646"/>
      <c r="U174" s="646"/>
      <c r="V174" s="646"/>
      <c r="W174" s="646"/>
      <c r="X174" s="646"/>
      <c r="Y174" s="646"/>
      <c r="Z174" s="646"/>
      <c r="AA174" s="646"/>
      <c r="AB174" s="646"/>
      <c r="AC174" s="646"/>
      <c r="AD174" s="646"/>
      <c r="AE174" s="646"/>
      <c r="AF174" s="646"/>
      <c r="AG174" s="646"/>
      <c r="AH174" s="646"/>
      <c r="AI174" s="646"/>
      <c r="AJ174" s="646"/>
      <c r="AK174" s="646"/>
      <c r="AL174" s="646"/>
      <c r="AM174" s="646"/>
      <c r="AN174" s="646"/>
      <c r="AO174" s="652"/>
      <c r="AP174" s="646"/>
      <c r="AQ174" s="646"/>
      <c r="AR174" s="648"/>
      <c r="AS174" s="646"/>
      <c r="AT174" s="646"/>
      <c r="AU174" s="646"/>
      <c r="AV174" s="646"/>
      <c r="AW174" s="646"/>
      <c r="AX174" s="643"/>
      <c r="AY174" s="652"/>
      <c r="AZ174" s="646"/>
      <c r="BA174" s="646"/>
      <c r="BB174" s="646"/>
      <c r="BC174" s="643"/>
      <c r="BD174" s="646"/>
      <c r="BE174" s="646"/>
      <c r="BF174" s="646"/>
      <c r="BG174" s="646"/>
      <c r="BH174" s="646"/>
      <c r="BI174" s="646">
        <v>95</v>
      </c>
      <c r="BJ174" s="646">
        <v>95</v>
      </c>
      <c r="BK174" s="646"/>
      <c r="BL174" s="646"/>
      <c r="BM174" s="643"/>
      <c r="BN174" s="647"/>
      <c r="BO174" s="648"/>
      <c r="BP174" s="643"/>
      <c r="BQ174" s="649" t="str">
        <f>IFERROR(WWWW[[#This Row],['#_Water sources treated]]/WWWW[[#This Row],['#_Water sources tested for contamination]],"no test")</f>
        <v>no test</v>
      </c>
      <c r="BR174" s="648" t="str">
        <f>IFERROR(WWWW[[#This Row],['#_Household received remediation action due to contamination]]/WWWW[[#This Row],['#_Household water samples tested for contamination]],"no test")</f>
        <v>no test</v>
      </c>
      <c r="BS174" s="647" t="str">
        <f>IF(AND(WWWW[[#This Row],[% of water sources treated]]="no test",WWWW[[#This Row],[% Household received corrective actions]]="no test"),"No Test","Tested")</f>
        <v>No Test</v>
      </c>
      <c r="BT174" s="647">
        <f>WWWW[[#This Row],['#_Constructed/existing protected hand dug well]]-WWWW[[#This Row],['#_Non-functional protected hand dug well]]</f>
        <v>0</v>
      </c>
      <c r="BU174" s="647">
        <f>(WWWW[[#This Row],['#_Constructed/Existing tube wells/boreholes/handpumps_WASH_agency]]+WWWW[[#This Row],['#_Non-Cluster partner water tube-wells/boreholes/handpumps]])-WWWW[[#This Row],['#_Non-functional tube wells/boreholes/handpumps]]</f>
        <v>0</v>
      </c>
      <c r="BV174" s="647">
        <f>WWWW[[#This Row],['#_Constructed/Existingwater storage tank with gravity fed reticulation system]]-WWWW[[#This Row],['#_Non-functional storage tank gravity fed reticulation system]]</f>
        <v>0</v>
      </c>
      <c r="BW174" s="647">
        <f>WWWW[[#This Row],['#_Water boating or water trucking]]</f>
        <v>0</v>
      </c>
      <c r="BX174" s="647">
        <f>WWWW[[#This Row],['#_Constructed/Existing water distribution system from river or natural spring]]</f>
        <v>0</v>
      </c>
      <c r="BY174"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74"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74" s="648">
        <f>IF(WWWW[[#This Row],[Location Type 1]]="Village",WWWW[[#This Row],[Access to safe drinking water for Village]],WWWW[[#This Row],[Access to safe drinking water for Camp]])</f>
        <v>0</v>
      </c>
      <c r="CB174" s="645">
        <f>WWWW[[#This Row],[%Equitable and continuous access to sufficient quantity of safe drinking water]]*WWWW[[#This Row],[Total PoP ]]</f>
        <v>0</v>
      </c>
      <c r="CC174" s="648">
        <f>IF((WWWW[[#This Row],['#_Constructed/Existing protected/fenced ponds]]*250)/WWWW[[#This Row],[Total PoP ]]&gt;1,1,(WWWW[[#This Row],['#_Constructed/Existing protected/fenced ponds]]*250)/WWWW[[#This Row],[Total PoP ]])</f>
        <v>0</v>
      </c>
      <c r="CD174" s="645">
        <f>WWWW[[#This Row],[% Access to unimproved water points]]*WWWW[[#This Row],[Total PoP ]]</f>
        <v>0</v>
      </c>
      <c r="CE174"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74"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74" s="645">
        <f>WWWW[[#This Row],[HRP1]]/500</f>
        <v>0</v>
      </c>
      <c r="CH174" s="650">
        <f>1-WWWW[[#This Row],[% Equitable and continuous access to sufficient quantity of domestic water]]</f>
        <v>1</v>
      </c>
      <c r="CI174" s="645">
        <f>WWWW[[#This Row],[%equitable and continuous access to sufficient quantity of safe drinking and domestic water''s GAP]]*WWWW[[#This Row],[Total PoP ]]</f>
        <v>570</v>
      </c>
      <c r="CJ174" s="647">
        <f>IF(WWWW[[#This Row],[Total required water points]]-WWWW[[#This Row],['#Water points coverage]]&lt;0,0,WWWW[[#This Row],[Total required water points]]-WWWW[[#This Row],['#Water points coverage]])</f>
        <v>1</v>
      </c>
      <c r="CK174" s="647">
        <f>ROUND(IF(WWWW[[#This Row],[Total PoP ]]&lt;500,1,WWWW[[#This Row],[Total PoP ]]/500),0)</f>
        <v>1</v>
      </c>
      <c r="CL174" s="647">
        <f>(WWWW[[#This Row],['#_Constructed latrines_by_WASHAgencies]]+WWWW[[#This Row],['#_Non Cluster partner latrines]])-WWWW[[#This Row],['#_Non-functional latrines]]</f>
        <v>0</v>
      </c>
      <c r="CM174"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74"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74"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74" s="647" t="str">
        <f>IF(WWWW[[#This Row],[Location Type 1]]="Village","NA",IF(WWWW[[#This Row],['#_Constructed/Existing latrines in TLS]]*50&gt;WWWW[[#This Row],['#_students at TLS_CFS]],WWWW[[#This Row],['#_students at TLS_CFS]],(WWWW[[#This Row],['#_Constructed/Existing latrines in TLS]]*50)))</f>
        <v>NA</v>
      </c>
      <c r="CQ174" s="647">
        <f>ROUND(IF(WWWW[[#This Row],[Location Type 1]]="camp",WWWW[[#This Row],[Total PoP ]]/20,IF(WWWW[[#This Row],[Location Type 1]]="Temporary Location",WWWW[[#This Row],[Total PoP ]]/50,(WWWW[[#This Row],[Total PoP ]]/6))),0)</f>
        <v>95</v>
      </c>
      <c r="CR174" s="647">
        <f>IF(WWWW[[#This Row],[Total required Latrines]]-(WWWW[[#This Row],['#_Constructed latrines_by_WASHAgencies]]+WWWW[[#This Row],['#_Non Cluster partner latrines]])&lt;0,0,WWWW[[#This Row],[Total required Latrines]]-(WWWW[[#This Row],['#_Constructed latrines_by_WASHAgencies]]+WWWW[[#This Row],['#_Non Cluster partner latrines]]))</f>
        <v>95</v>
      </c>
      <c r="CS174" s="79">
        <f>1-WWWW[[#This Row],[% people access to functioning Latrine]]</f>
        <v>1</v>
      </c>
      <c r="CT174" s="649">
        <f>IF(OR(WWWW[[#This Row],['#_Non-functional latrines]]="",WWWW[[#This Row],['#_Non-functional latrines]]=0),0,WWWW[[#This Row],['#_Non-functional latrines]]/(WWWW[[#This Row],['#_Constructed latrines_by_WASHAgencies]]+WWWW[[#This Row],['#_Non Cluster partner latrines]]))</f>
        <v>0</v>
      </c>
      <c r="CU174" s="645">
        <f>IF(500*(WWWW[[#This Row],['#_male hygiene promoters]]+WWWW[[#This Row],['#_female hygiene promoters]])&gt;WWWW[[#This Row],[Total PoP ]],WWWW[[#This Row],[Total PoP ]],500*(WWWW[[#This Row],['#_male hygiene promoters]]+WWWW[[#This Row],['#_female hygiene promoters]]))</f>
        <v>570</v>
      </c>
      <c r="CV174"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74"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74" s="647">
        <f>IF(WWWW[[#This Row],['# People with access to soap]]&gt;WWWW[[#This Row],['# People with access to Sanity Pads]],WWWW[[#This Row],['# People with access to soap]],WWWW[[#This Row],['# People with access to Sanity Pads]])</f>
        <v>0</v>
      </c>
      <c r="CY174" s="647">
        <f>IF(WWWW[[#This Row],['# people reached by regular dedicated hygiene promotion_5]]&gt;WWWW[[#This Row],['# People received regular supply of hygiene items_6]],WWWW[[#This Row],['# people reached by regular dedicated hygiene promotion_5]],WWWW[[#This Row],['# People received regular supply of hygiene items_6]])</f>
        <v>570</v>
      </c>
      <c r="CZ174" s="650">
        <f>IF(WWWW[[#This Row],[HRP3]]/WWWW[[#This Row],[Total PoP ]]&gt;100%,100%,WWWW[[#This Row],[HRP3]]/WWWW[[#This Row],[Total PoP ]])</f>
        <v>1</v>
      </c>
      <c r="DA174" s="649">
        <f>1-WWWW[[#This Row],[Hygiene Coverage%]]</f>
        <v>0</v>
      </c>
      <c r="DB174" s="648">
        <f>WWWW[[#This Row],['# people reached by regular dedicated hygiene promotion_5]]/WWWW[[#This Row],[Total PoP ]]</f>
        <v>1</v>
      </c>
      <c r="DC174" s="648">
        <f>IF(WWWW[[#This Row],['#_households that received standard amount of soap for this quarter]]/WWWW[[#This Row],[Total HH]]&gt;1,1,WWWW[[#This Row],['#_households that received standard amount of soap for this quarter]]/WWWW[[#This Row],[Total HH]])</f>
        <v>0</v>
      </c>
      <c r="DD174" s="648">
        <f>IF(WWWW[[#This Row],['#_households that received standard amount of sanitary pads for this quarter]]/WWWW[[#This Row],[Total HH]]&gt;1,1,WWWW[[#This Row],['#_households that received standard amount of sanitary pads for this quarter]]/WWWW[[#This Row],[Total HH]])</f>
        <v>0</v>
      </c>
      <c r="DE174" s="647">
        <f>WWWW[[#This Row],['#_Constructed/Existing hand washing stations]]-WWWW[[#This Row],['#_Non-Functional_hand_washing_stations]]</f>
        <v>0</v>
      </c>
      <c r="DF174" s="667">
        <f>IF(WWWW[[#This Row],['# Functional hand washing stations during reporting period]]*20&gt;WWWW[[#This Row],[Total HH]],WWWW[[#This Row],[Total HH]],WWWW[[#This Row],['# Functional hand washing stations during reporting period]]*20)</f>
        <v>0</v>
      </c>
      <c r="DG174" s="645">
        <f>IF(WWWW[[#This Row],[Is sufficient soap available for TLS? (Yes/No)]]="yes",WWWW[[#This Row],['#_Constructed/Existing hand washing stations at TLS]],0)</f>
        <v>0</v>
      </c>
      <c r="DH174" s="645">
        <f>IF(WWWW[[#This Row],['# Functional hand washing stations during reporting period]]*100&gt;WWWW[[#This Row],[Total PoP ]],WWWW[[#This Row],[Total PoP ]],WWWW[[#This Row],['# Functional hand washing stations during reporting period]]*100)</f>
        <v>0</v>
      </c>
      <c r="DI174" s="645" t="str">
        <f>IF(WWWW[[#This Row],['#_students at TLS_CFS]]="","No","Yes")</f>
        <v>No</v>
      </c>
      <c r="DJ174" s="643">
        <f>VLOOKUP(WWWW[[#This Row],[Site Name]],SiteDB6[[Site Name]:[CCCM Management]],6,FALSE)</f>
        <v>0</v>
      </c>
      <c r="DK174" s="643">
        <f>VLOOKUP(WWWW[[#This Row],[Site Name]],SiteDB6[[Site Name]:[CCCM Focal Agency]],7,FALSE)</f>
        <v>0</v>
      </c>
      <c r="DL174" s="643" t="str">
        <f>VLOOKUP(WWWW[[#This Row],[Site Name]],SiteDB6[[Site Name]:[Location Type 1]],9,FALSE)</f>
        <v>Village</v>
      </c>
      <c r="DM174" s="643" t="str">
        <f>VLOOKUP(WWWW[[#This Row],[Site Name]],SiteDB6[[Site Name]:[Type of Accommodation]],10,FALSE)</f>
        <v>Village</v>
      </c>
      <c r="DN174" s="643" t="str">
        <f>VLOOKUP(WWWW[[#This Row],[Site Name]],SiteDB6[[Site Name]:[Ethnic or GCA/NGCA]],11,FALSE)</f>
        <v>Muslim</v>
      </c>
      <c r="DO174" s="643">
        <f>VLOOKUP(WWWW[[#This Row],[Site Name]],SiteDB6[[Site Name]:[Lat]],12,FALSE)</f>
        <v>0</v>
      </c>
      <c r="DP174" s="643">
        <f>VLOOKUP(WWWW[[#This Row],[Site Name]],SiteDB6[[Site Name]:[Long]],13,FALSE)</f>
        <v>0</v>
      </c>
      <c r="DQ174" s="643">
        <f>VLOOKUP(WWWW[[#This Row],[Site Name]],SiteDB6[[Site Name]:[Pcode]],3,FALSE)</f>
        <v>198427</v>
      </c>
      <c r="DR174" s="652" t="str">
        <f t="shared" si="6"/>
        <v>Covered</v>
      </c>
      <c r="DS174" s="652"/>
    </row>
    <row r="175" spans="1:138">
      <c r="A175" s="637" t="s">
        <v>2525</v>
      </c>
      <c r="B175" s="637" t="s">
        <v>2802</v>
      </c>
      <c r="C175" s="644" t="s">
        <v>387</v>
      </c>
      <c r="D175" s="644" t="s">
        <v>2803</v>
      </c>
      <c r="E175" s="663" t="s">
        <v>3013</v>
      </c>
      <c r="F175" s="644" t="s">
        <v>337</v>
      </c>
      <c r="G175" s="663" t="str">
        <f>VLOOKUP(WWWW[[#This Row],[Site Name]],SiteDB6[[Site Name]:[Location Type]],8,FALSE)</f>
        <v>Village</v>
      </c>
      <c r="H175" s="644" t="s">
        <v>2811</v>
      </c>
      <c r="I175" s="646">
        <v>8</v>
      </c>
      <c r="J175" s="646">
        <v>42</v>
      </c>
      <c r="K175" s="653">
        <v>43480</v>
      </c>
      <c r="L175" s="654">
        <v>43723</v>
      </c>
      <c r="M175" s="646"/>
      <c r="N175" s="646"/>
      <c r="O175" s="646"/>
      <c r="P175" s="646"/>
      <c r="Q175" s="645"/>
      <c r="R175" s="646"/>
      <c r="S175" s="646"/>
      <c r="T175" s="646"/>
      <c r="U175" s="646"/>
      <c r="V175" s="646"/>
      <c r="W175" s="646"/>
      <c r="X175" s="646"/>
      <c r="Y175" s="646"/>
      <c r="Z175" s="646"/>
      <c r="AA175" s="646"/>
      <c r="AB175" s="646"/>
      <c r="AC175" s="646"/>
      <c r="AD175" s="646"/>
      <c r="AE175" s="646"/>
      <c r="AF175" s="646"/>
      <c r="AG175" s="646"/>
      <c r="AH175" s="646"/>
      <c r="AI175" s="646"/>
      <c r="AJ175" s="646"/>
      <c r="AK175" s="646"/>
      <c r="AL175" s="646"/>
      <c r="AM175" s="646"/>
      <c r="AN175" s="646"/>
      <c r="AO175" s="652"/>
      <c r="AP175" s="646"/>
      <c r="AQ175" s="646"/>
      <c r="AR175" s="648"/>
      <c r="AS175" s="646"/>
      <c r="AT175" s="646"/>
      <c r="AU175" s="646"/>
      <c r="AV175" s="646"/>
      <c r="AW175" s="646"/>
      <c r="AX175" s="643"/>
      <c r="AY175" s="652"/>
      <c r="AZ175" s="646"/>
      <c r="BA175" s="646"/>
      <c r="BB175" s="646"/>
      <c r="BC175" s="643"/>
      <c r="BD175" s="646"/>
      <c r="BE175" s="646"/>
      <c r="BF175" s="646"/>
      <c r="BG175" s="646"/>
      <c r="BH175" s="646"/>
      <c r="BI175" s="646">
        <v>8</v>
      </c>
      <c r="BJ175" s="646">
        <v>8</v>
      </c>
      <c r="BK175" s="646"/>
      <c r="BL175" s="646"/>
      <c r="BM175" s="643"/>
      <c r="BN175" s="647"/>
      <c r="BO175" s="648"/>
      <c r="BP175" s="643"/>
      <c r="BQ175" s="649" t="str">
        <f>IFERROR(WWWW[[#This Row],['#_Water sources treated]]/WWWW[[#This Row],['#_Water sources tested for contamination]],"no test")</f>
        <v>no test</v>
      </c>
      <c r="BR175" s="648" t="str">
        <f>IFERROR(WWWW[[#This Row],['#_Household received remediation action due to contamination]]/WWWW[[#This Row],['#_Household water samples tested for contamination]],"no test")</f>
        <v>no test</v>
      </c>
      <c r="BS175" s="647" t="str">
        <f>IF(AND(WWWW[[#This Row],[% of water sources treated]]="no test",WWWW[[#This Row],[% Household received corrective actions]]="no test"),"No Test","Tested")</f>
        <v>No Test</v>
      </c>
      <c r="BT175" s="647">
        <f>WWWW[[#This Row],['#_Constructed/existing protected hand dug well]]-WWWW[[#This Row],['#_Non-functional protected hand dug well]]</f>
        <v>0</v>
      </c>
      <c r="BU175" s="647">
        <f>(WWWW[[#This Row],['#_Constructed/Existing tube wells/boreholes/handpumps_WASH_agency]]+WWWW[[#This Row],['#_Non-Cluster partner water tube-wells/boreholes/handpumps]])-WWWW[[#This Row],['#_Non-functional tube wells/boreholes/handpumps]]</f>
        <v>0</v>
      </c>
      <c r="BV175" s="647">
        <f>WWWW[[#This Row],['#_Constructed/Existingwater storage tank with gravity fed reticulation system]]-WWWW[[#This Row],['#_Non-functional storage tank gravity fed reticulation system]]</f>
        <v>0</v>
      </c>
      <c r="BW175" s="647">
        <f>WWWW[[#This Row],['#_Water boating or water trucking]]</f>
        <v>0</v>
      </c>
      <c r="BX175" s="647">
        <f>WWWW[[#This Row],['#_Constructed/Existing water distribution system from river or natural spring]]</f>
        <v>0</v>
      </c>
      <c r="BY175"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75"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75" s="648">
        <f>IF(WWWW[[#This Row],[Location Type 1]]="Village",WWWW[[#This Row],[Access to safe drinking water for Village]],WWWW[[#This Row],[Access to safe drinking water for Camp]])</f>
        <v>0</v>
      </c>
      <c r="CB175" s="645">
        <f>WWWW[[#This Row],[%Equitable and continuous access to sufficient quantity of safe drinking water]]*WWWW[[#This Row],[Total PoP ]]</f>
        <v>0</v>
      </c>
      <c r="CC175" s="648">
        <f>IF((WWWW[[#This Row],['#_Constructed/Existing protected/fenced ponds]]*250)/WWWW[[#This Row],[Total PoP ]]&gt;1,1,(WWWW[[#This Row],['#_Constructed/Existing protected/fenced ponds]]*250)/WWWW[[#This Row],[Total PoP ]])</f>
        <v>0</v>
      </c>
      <c r="CD175" s="645">
        <f>WWWW[[#This Row],[% Access to unimproved water points]]*WWWW[[#This Row],[Total PoP ]]</f>
        <v>0</v>
      </c>
      <c r="CE175"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75"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75" s="645">
        <f>WWWW[[#This Row],[HRP1]]/500</f>
        <v>0</v>
      </c>
      <c r="CH175" s="650">
        <f>1-WWWW[[#This Row],[% Equitable and continuous access to sufficient quantity of domestic water]]</f>
        <v>1</v>
      </c>
      <c r="CI175" s="645">
        <f>WWWW[[#This Row],[%equitable and continuous access to sufficient quantity of safe drinking and domestic water''s GAP]]*WWWW[[#This Row],[Total PoP ]]</f>
        <v>42</v>
      </c>
      <c r="CJ175" s="647">
        <f>IF(WWWW[[#This Row],[Total required water points]]-WWWW[[#This Row],['#Water points coverage]]&lt;0,0,WWWW[[#This Row],[Total required water points]]-WWWW[[#This Row],['#Water points coverage]])</f>
        <v>1</v>
      </c>
      <c r="CK175" s="647">
        <f>ROUND(IF(WWWW[[#This Row],[Total PoP ]]&lt;500,1,WWWW[[#This Row],[Total PoP ]]/500),0)</f>
        <v>1</v>
      </c>
      <c r="CL175" s="647">
        <f>(WWWW[[#This Row],['#_Constructed latrines_by_WASHAgencies]]+WWWW[[#This Row],['#_Non Cluster partner latrines]])-WWWW[[#This Row],['#_Non-functional latrines]]</f>
        <v>0</v>
      </c>
      <c r="CM175"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75"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75"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75" s="647" t="str">
        <f>IF(WWWW[[#This Row],[Location Type 1]]="Village","NA",IF(WWWW[[#This Row],['#_Constructed/Existing latrines in TLS]]*50&gt;WWWW[[#This Row],['#_students at TLS_CFS]],WWWW[[#This Row],['#_students at TLS_CFS]],(WWWW[[#This Row],['#_Constructed/Existing latrines in TLS]]*50)))</f>
        <v>NA</v>
      </c>
      <c r="CQ175" s="647">
        <f>ROUND(IF(WWWW[[#This Row],[Location Type 1]]="camp",WWWW[[#This Row],[Total PoP ]]/20,IF(WWWW[[#This Row],[Location Type 1]]="Temporary Location",WWWW[[#This Row],[Total PoP ]]/50,(WWWW[[#This Row],[Total PoP ]]/6))),0)</f>
        <v>7</v>
      </c>
      <c r="CR175" s="647">
        <f>IF(WWWW[[#This Row],[Total required Latrines]]-(WWWW[[#This Row],['#_Constructed latrines_by_WASHAgencies]]+WWWW[[#This Row],['#_Non Cluster partner latrines]])&lt;0,0,WWWW[[#This Row],[Total required Latrines]]-(WWWW[[#This Row],['#_Constructed latrines_by_WASHAgencies]]+WWWW[[#This Row],['#_Non Cluster partner latrines]]))</f>
        <v>7</v>
      </c>
      <c r="CS175" s="79">
        <f>1-WWWW[[#This Row],[% people access to functioning Latrine]]</f>
        <v>1</v>
      </c>
      <c r="CT175" s="649">
        <f>IF(OR(WWWW[[#This Row],['#_Non-functional latrines]]="",WWWW[[#This Row],['#_Non-functional latrines]]=0),0,WWWW[[#This Row],['#_Non-functional latrines]]/(WWWW[[#This Row],['#_Constructed latrines_by_WASHAgencies]]+WWWW[[#This Row],['#_Non Cluster partner latrines]]))</f>
        <v>0</v>
      </c>
      <c r="CU175" s="645">
        <f>IF(500*(WWWW[[#This Row],['#_male hygiene promoters]]+WWWW[[#This Row],['#_female hygiene promoters]])&gt;WWWW[[#This Row],[Total PoP ]],WWWW[[#This Row],[Total PoP ]],500*(WWWW[[#This Row],['#_male hygiene promoters]]+WWWW[[#This Row],['#_female hygiene promoters]]))</f>
        <v>42</v>
      </c>
      <c r="CV175"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75"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75" s="647">
        <f>IF(WWWW[[#This Row],['# People with access to soap]]&gt;WWWW[[#This Row],['# People with access to Sanity Pads]],WWWW[[#This Row],['# People with access to soap]],WWWW[[#This Row],['# People with access to Sanity Pads]])</f>
        <v>0</v>
      </c>
      <c r="CY175" s="647">
        <f>IF(WWWW[[#This Row],['# people reached by regular dedicated hygiene promotion_5]]&gt;WWWW[[#This Row],['# People received regular supply of hygiene items_6]],WWWW[[#This Row],['# people reached by regular dedicated hygiene promotion_5]],WWWW[[#This Row],['# People received regular supply of hygiene items_6]])</f>
        <v>42</v>
      </c>
      <c r="CZ175" s="650">
        <f>IF(WWWW[[#This Row],[HRP3]]/WWWW[[#This Row],[Total PoP ]]&gt;100%,100%,WWWW[[#This Row],[HRP3]]/WWWW[[#This Row],[Total PoP ]])</f>
        <v>1</v>
      </c>
      <c r="DA175" s="649">
        <f>1-WWWW[[#This Row],[Hygiene Coverage%]]</f>
        <v>0</v>
      </c>
      <c r="DB175" s="648">
        <f>WWWW[[#This Row],['# people reached by regular dedicated hygiene promotion_5]]/WWWW[[#This Row],[Total PoP ]]</f>
        <v>1</v>
      </c>
      <c r="DC175" s="648">
        <f>IF(WWWW[[#This Row],['#_households that received standard amount of soap for this quarter]]/WWWW[[#This Row],[Total HH]]&gt;1,1,WWWW[[#This Row],['#_households that received standard amount of soap for this quarter]]/WWWW[[#This Row],[Total HH]])</f>
        <v>0</v>
      </c>
      <c r="DD175" s="648">
        <f>IF(WWWW[[#This Row],['#_households that received standard amount of sanitary pads for this quarter]]/WWWW[[#This Row],[Total HH]]&gt;1,1,WWWW[[#This Row],['#_households that received standard amount of sanitary pads for this quarter]]/WWWW[[#This Row],[Total HH]])</f>
        <v>0</v>
      </c>
      <c r="DE175" s="647">
        <f>WWWW[[#This Row],['#_Constructed/Existing hand washing stations]]-WWWW[[#This Row],['#_Non-Functional_hand_washing_stations]]</f>
        <v>0</v>
      </c>
      <c r="DF175" s="667">
        <f>IF(WWWW[[#This Row],['# Functional hand washing stations during reporting period]]*20&gt;WWWW[[#This Row],[Total HH]],WWWW[[#This Row],[Total HH]],WWWW[[#This Row],['# Functional hand washing stations during reporting period]]*20)</f>
        <v>0</v>
      </c>
      <c r="DG175" s="645">
        <f>IF(WWWW[[#This Row],[Is sufficient soap available for TLS? (Yes/No)]]="yes",WWWW[[#This Row],['#_Constructed/Existing hand washing stations at TLS]],0)</f>
        <v>0</v>
      </c>
      <c r="DH175" s="645">
        <f>IF(WWWW[[#This Row],['# Functional hand washing stations during reporting period]]*100&gt;WWWW[[#This Row],[Total PoP ]],WWWW[[#This Row],[Total PoP ]],WWWW[[#This Row],['# Functional hand washing stations during reporting period]]*100)</f>
        <v>0</v>
      </c>
      <c r="DI175" s="645" t="str">
        <f>IF(WWWW[[#This Row],['#_students at TLS_CFS]]="","No","Yes")</f>
        <v>No</v>
      </c>
      <c r="DJ175" s="643">
        <f>VLOOKUP(WWWW[[#This Row],[Site Name]],SiteDB6[[Site Name]:[CCCM Management]],6,FALSE)</f>
        <v>0</v>
      </c>
      <c r="DK175" s="643">
        <f>VLOOKUP(WWWW[[#This Row],[Site Name]],SiteDB6[[Site Name]:[CCCM Focal Agency]],7,FALSE)</f>
        <v>0</v>
      </c>
      <c r="DL175" s="643" t="str">
        <f>VLOOKUP(WWWW[[#This Row],[Site Name]],SiteDB6[[Site Name]:[Location Type 1]],9,FALSE)</f>
        <v>Village</v>
      </c>
      <c r="DM175" s="643" t="str">
        <f>VLOOKUP(WWWW[[#This Row],[Site Name]],SiteDB6[[Site Name]:[Type of Accommodation]],10,FALSE)</f>
        <v>Village</v>
      </c>
      <c r="DN175" s="643" t="str">
        <f>VLOOKUP(WWWW[[#This Row],[Site Name]],SiteDB6[[Site Name]:[Ethnic or GCA/NGCA]],11,FALSE)</f>
        <v>Rakhine</v>
      </c>
      <c r="DO175" s="643">
        <f>VLOOKUP(WWWW[[#This Row],[Site Name]],SiteDB6[[Site Name]:[Lat]],12,FALSE)</f>
        <v>0</v>
      </c>
      <c r="DP175" s="643">
        <f>VLOOKUP(WWWW[[#This Row],[Site Name]],SiteDB6[[Site Name]:[Long]],13,FALSE)</f>
        <v>0</v>
      </c>
      <c r="DQ175" s="643">
        <f>VLOOKUP(WWWW[[#This Row],[Site Name]],SiteDB6[[Site Name]:[Pcode]],3,FALSE)</f>
        <v>198426</v>
      </c>
      <c r="DR175" s="652" t="str">
        <f t="shared" si="6"/>
        <v>Covered</v>
      </c>
      <c r="DS175" s="652"/>
    </row>
    <row r="176" spans="1:138">
      <c r="A176" s="637" t="s">
        <v>2525</v>
      </c>
      <c r="B176" s="637" t="s">
        <v>2802</v>
      </c>
      <c r="C176" s="644" t="s">
        <v>387</v>
      </c>
      <c r="D176" s="644" t="s">
        <v>2803</v>
      </c>
      <c r="E176" s="663" t="s">
        <v>3013</v>
      </c>
      <c r="F176" s="644" t="s">
        <v>337</v>
      </c>
      <c r="G176" s="663" t="str">
        <f>VLOOKUP(WWWW[[#This Row],[Site Name]],SiteDB6[[Site Name]:[Location Type]],8,FALSE)</f>
        <v>Village</v>
      </c>
      <c r="H176" s="644" t="s">
        <v>665</v>
      </c>
      <c r="I176" s="646">
        <v>96</v>
      </c>
      <c r="J176" s="646">
        <v>533</v>
      </c>
      <c r="K176" s="653">
        <v>43480</v>
      </c>
      <c r="L176" s="654">
        <v>43723</v>
      </c>
      <c r="M176" s="646"/>
      <c r="N176" s="646"/>
      <c r="O176" s="646"/>
      <c r="P176" s="646"/>
      <c r="Q176" s="645"/>
      <c r="R176" s="646"/>
      <c r="S176" s="646"/>
      <c r="T176" s="646"/>
      <c r="U176" s="646"/>
      <c r="V176" s="646"/>
      <c r="W176" s="646"/>
      <c r="X176" s="646"/>
      <c r="Y176" s="646"/>
      <c r="Z176" s="646"/>
      <c r="AA176" s="646"/>
      <c r="AB176" s="646"/>
      <c r="AC176" s="646"/>
      <c r="AD176" s="646"/>
      <c r="AE176" s="646"/>
      <c r="AF176" s="646"/>
      <c r="AG176" s="646"/>
      <c r="AH176" s="646"/>
      <c r="AI176" s="646"/>
      <c r="AJ176" s="646"/>
      <c r="AK176" s="646"/>
      <c r="AL176" s="646"/>
      <c r="AM176" s="646"/>
      <c r="AN176" s="646"/>
      <c r="AO176" s="652"/>
      <c r="AP176" s="646"/>
      <c r="AQ176" s="646"/>
      <c r="AR176" s="648"/>
      <c r="AS176" s="646"/>
      <c r="AT176" s="646"/>
      <c r="AU176" s="646"/>
      <c r="AV176" s="646"/>
      <c r="AW176" s="646"/>
      <c r="AX176" s="643"/>
      <c r="AY176" s="652"/>
      <c r="AZ176" s="646"/>
      <c r="BA176" s="646"/>
      <c r="BB176" s="646"/>
      <c r="BC176" s="643"/>
      <c r="BD176" s="646"/>
      <c r="BE176" s="646"/>
      <c r="BF176" s="646"/>
      <c r="BG176" s="646"/>
      <c r="BH176" s="646"/>
      <c r="BI176" s="646">
        <v>96</v>
      </c>
      <c r="BJ176" s="646">
        <v>96</v>
      </c>
      <c r="BK176" s="646"/>
      <c r="BL176" s="646"/>
      <c r="BM176" s="643"/>
      <c r="BN176" s="647"/>
      <c r="BO176" s="648"/>
      <c r="BP176" s="643"/>
      <c r="BQ176" s="649" t="str">
        <f>IFERROR(WWWW[[#This Row],['#_Water sources treated]]/WWWW[[#This Row],['#_Water sources tested for contamination]],"no test")</f>
        <v>no test</v>
      </c>
      <c r="BR176" s="648" t="str">
        <f>IFERROR(WWWW[[#This Row],['#_Household received remediation action due to contamination]]/WWWW[[#This Row],['#_Household water samples tested for contamination]],"no test")</f>
        <v>no test</v>
      </c>
      <c r="BS176" s="647" t="str">
        <f>IF(AND(WWWW[[#This Row],[% of water sources treated]]="no test",WWWW[[#This Row],[% Household received corrective actions]]="no test"),"No Test","Tested")</f>
        <v>No Test</v>
      </c>
      <c r="BT176" s="647">
        <f>WWWW[[#This Row],['#_Constructed/existing protected hand dug well]]-WWWW[[#This Row],['#_Non-functional protected hand dug well]]</f>
        <v>0</v>
      </c>
      <c r="BU176" s="647">
        <f>(WWWW[[#This Row],['#_Constructed/Existing tube wells/boreholes/handpumps_WASH_agency]]+WWWW[[#This Row],['#_Non-Cluster partner water tube-wells/boreholes/handpumps]])-WWWW[[#This Row],['#_Non-functional tube wells/boreholes/handpumps]]</f>
        <v>0</v>
      </c>
      <c r="BV176" s="647">
        <f>WWWW[[#This Row],['#_Constructed/Existingwater storage tank with gravity fed reticulation system]]-WWWW[[#This Row],['#_Non-functional storage tank gravity fed reticulation system]]</f>
        <v>0</v>
      </c>
      <c r="BW176" s="647">
        <f>WWWW[[#This Row],['#_Water boating or water trucking]]</f>
        <v>0</v>
      </c>
      <c r="BX176" s="647">
        <f>WWWW[[#This Row],['#_Constructed/Existing water distribution system from river or natural spring]]</f>
        <v>0</v>
      </c>
      <c r="BY176"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76"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76" s="648">
        <f>IF(WWWW[[#This Row],[Location Type 1]]="Village",WWWW[[#This Row],[Access to safe drinking water for Village]],WWWW[[#This Row],[Access to safe drinking water for Camp]])</f>
        <v>0</v>
      </c>
      <c r="CB176" s="645">
        <f>WWWW[[#This Row],[%Equitable and continuous access to sufficient quantity of safe drinking water]]*WWWW[[#This Row],[Total PoP ]]</f>
        <v>0</v>
      </c>
      <c r="CC176" s="648">
        <f>IF((WWWW[[#This Row],['#_Constructed/Existing protected/fenced ponds]]*250)/WWWW[[#This Row],[Total PoP ]]&gt;1,1,(WWWW[[#This Row],['#_Constructed/Existing protected/fenced ponds]]*250)/WWWW[[#This Row],[Total PoP ]])</f>
        <v>0</v>
      </c>
      <c r="CD176" s="645">
        <f>WWWW[[#This Row],[% Access to unimproved water points]]*WWWW[[#This Row],[Total PoP ]]</f>
        <v>0</v>
      </c>
      <c r="CE176"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76"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76" s="645">
        <f>WWWW[[#This Row],[HRP1]]/500</f>
        <v>0</v>
      </c>
      <c r="CH176" s="650">
        <f>1-WWWW[[#This Row],[% Equitable and continuous access to sufficient quantity of domestic water]]</f>
        <v>1</v>
      </c>
      <c r="CI176" s="645">
        <f>WWWW[[#This Row],[%equitable and continuous access to sufficient quantity of safe drinking and domestic water''s GAP]]*WWWW[[#This Row],[Total PoP ]]</f>
        <v>533</v>
      </c>
      <c r="CJ176" s="647">
        <f>IF(WWWW[[#This Row],[Total required water points]]-WWWW[[#This Row],['#Water points coverage]]&lt;0,0,WWWW[[#This Row],[Total required water points]]-WWWW[[#This Row],['#Water points coverage]])</f>
        <v>1</v>
      </c>
      <c r="CK176" s="647">
        <f>ROUND(IF(WWWW[[#This Row],[Total PoP ]]&lt;500,1,WWWW[[#This Row],[Total PoP ]]/500),0)</f>
        <v>1</v>
      </c>
      <c r="CL176" s="647">
        <f>(WWWW[[#This Row],['#_Constructed latrines_by_WASHAgencies]]+WWWW[[#This Row],['#_Non Cluster partner latrines]])-WWWW[[#This Row],['#_Non-functional latrines]]</f>
        <v>0</v>
      </c>
      <c r="CM176"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76"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76"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76" s="647" t="str">
        <f>IF(WWWW[[#This Row],[Location Type 1]]="Village","NA",IF(WWWW[[#This Row],['#_Constructed/Existing latrines in TLS]]*50&gt;WWWW[[#This Row],['#_students at TLS_CFS]],WWWW[[#This Row],['#_students at TLS_CFS]],(WWWW[[#This Row],['#_Constructed/Existing latrines in TLS]]*50)))</f>
        <v>NA</v>
      </c>
      <c r="CQ176" s="647">
        <f>ROUND(IF(WWWW[[#This Row],[Location Type 1]]="camp",WWWW[[#This Row],[Total PoP ]]/20,IF(WWWW[[#This Row],[Location Type 1]]="Temporary Location",WWWW[[#This Row],[Total PoP ]]/50,(WWWW[[#This Row],[Total PoP ]]/6))),0)</f>
        <v>89</v>
      </c>
      <c r="CR176" s="647">
        <f>IF(WWWW[[#This Row],[Total required Latrines]]-(WWWW[[#This Row],['#_Constructed latrines_by_WASHAgencies]]+WWWW[[#This Row],['#_Non Cluster partner latrines]])&lt;0,0,WWWW[[#This Row],[Total required Latrines]]-(WWWW[[#This Row],['#_Constructed latrines_by_WASHAgencies]]+WWWW[[#This Row],['#_Non Cluster partner latrines]]))</f>
        <v>89</v>
      </c>
      <c r="CS176" s="79">
        <f>1-WWWW[[#This Row],[% people access to functioning Latrine]]</f>
        <v>1</v>
      </c>
      <c r="CT176" s="649">
        <f>IF(OR(WWWW[[#This Row],['#_Non-functional latrines]]="",WWWW[[#This Row],['#_Non-functional latrines]]=0),0,WWWW[[#This Row],['#_Non-functional latrines]]/(WWWW[[#This Row],['#_Constructed latrines_by_WASHAgencies]]+WWWW[[#This Row],['#_Non Cluster partner latrines]]))</f>
        <v>0</v>
      </c>
      <c r="CU176" s="645">
        <f>IF(500*(WWWW[[#This Row],['#_male hygiene promoters]]+WWWW[[#This Row],['#_female hygiene promoters]])&gt;WWWW[[#This Row],[Total PoP ]],WWWW[[#This Row],[Total PoP ]],500*(WWWW[[#This Row],['#_male hygiene promoters]]+WWWW[[#This Row],['#_female hygiene promoters]]))</f>
        <v>533</v>
      </c>
      <c r="CV176"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76"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76" s="647">
        <f>IF(WWWW[[#This Row],['# People with access to soap]]&gt;WWWW[[#This Row],['# People with access to Sanity Pads]],WWWW[[#This Row],['# People with access to soap]],WWWW[[#This Row],['# People with access to Sanity Pads]])</f>
        <v>0</v>
      </c>
      <c r="CY176" s="647">
        <f>IF(WWWW[[#This Row],['# people reached by regular dedicated hygiene promotion_5]]&gt;WWWW[[#This Row],['# People received regular supply of hygiene items_6]],WWWW[[#This Row],['# people reached by regular dedicated hygiene promotion_5]],WWWW[[#This Row],['# People received regular supply of hygiene items_6]])</f>
        <v>533</v>
      </c>
      <c r="CZ176" s="650">
        <f>IF(WWWW[[#This Row],[HRP3]]/WWWW[[#This Row],[Total PoP ]]&gt;100%,100%,WWWW[[#This Row],[HRP3]]/WWWW[[#This Row],[Total PoP ]])</f>
        <v>1</v>
      </c>
      <c r="DA176" s="649">
        <f>1-WWWW[[#This Row],[Hygiene Coverage%]]</f>
        <v>0</v>
      </c>
      <c r="DB176" s="648">
        <f>WWWW[[#This Row],['# people reached by regular dedicated hygiene promotion_5]]/WWWW[[#This Row],[Total PoP ]]</f>
        <v>1</v>
      </c>
      <c r="DC176" s="648">
        <f>IF(WWWW[[#This Row],['#_households that received standard amount of soap for this quarter]]/WWWW[[#This Row],[Total HH]]&gt;1,1,WWWW[[#This Row],['#_households that received standard amount of soap for this quarter]]/WWWW[[#This Row],[Total HH]])</f>
        <v>0</v>
      </c>
      <c r="DD176" s="648">
        <f>IF(WWWW[[#This Row],['#_households that received standard amount of sanitary pads for this quarter]]/WWWW[[#This Row],[Total HH]]&gt;1,1,WWWW[[#This Row],['#_households that received standard amount of sanitary pads for this quarter]]/WWWW[[#This Row],[Total HH]])</f>
        <v>0</v>
      </c>
      <c r="DE176" s="647">
        <f>WWWW[[#This Row],['#_Constructed/Existing hand washing stations]]-WWWW[[#This Row],['#_Non-Functional_hand_washing_stations]]</f>
        <v>0</v>
      </c>
      <c r="DF176" s="667">
        <f>IF(WWWW[[#This Row],['# Functional hand washing stations during reporting period]]*20&gt;WWWW[[#This Row],[Total HH]],WWWW[[#This Row],[Total HH]],WWWW[[#This Row],['# Functional hand washing stations during reporting period]]*20)</f>
        <v>0</v>
      </c>
      <c r="DG176" s="645">
        <f>IF(WWWW[[#This Row],[Is sufficient soap available for TLS? (Yes/No)]]="yes",WWWW[[#This Row],['#_Constructed/Existing hand washing stations at TLS]],0)</f>
        <v>0</v>
      </c>
      <c r="DH176" s="645">
        <f>IF(WWWW[[#This Row],['# Functional hand washing stations during reporting period]]*100&gt;WWWW[[#This Row],[Total PoP ]],WWWW[[#This Row],[Total PoP ]],WWWW[[#This Row],['# Functional hand washing stations during reporting period]]*100)</f>
        <v>0</v>
      </c>
      <c r="DI176" s="645" t="str">
        <f>IF(WWWW[[#This Row],['#_students at TLS_CFS]]="","No","Yes")</f>
        <v>No</v>
      </c>
      <c r="DJ176" s="643">
        <f>VLOOKUP(WWWW[[#This Row],[Site Name]],SiteDB6[[Site Name]:[CCCM Management]],6,FALSE)</f>
        <v>0</v>
      </c>
      <c r="DK176" s="643">
        <f>VLOOKUP(WWWW[[#This Row],[Site Name]],SiteDB6[[Site Name]:[CCCM Focal Agency]],7,FALSE)</f>
        <v>0</v>
      </c>
      <c r="DL176" s="643" t="str">
        <f>VLOOKUP(WWWW[[#This Row],[Site Name]],SiteDB6[[Site Name]:[Location Type 1]],9,FALSE)</f>
        <v>Village</v>
      </c>
      <c r="DM176" s="643" t="str">
        <f>VLOOKUP(WWWW[[#This Row],[Site Name]],SiteDB6[[Site Name]:[Type of Accommodation]],10,FALSE)</f>
        <v>Village</v>
      </c>
      <c r="DN176" s="643" t="str">
        <f>VLOOKUP(WWWW[[#This Row],[Site Name]],SiteDB6[[Site Name]:[Ethnic or GCA/NGCA]],11,FALSE)</f>
        <v>Muslim</v>
      </c>
      <c r="DO176" s="643">
        <f>VLOOKUP(WWWW[[#This Row],[Site Name]],SiteDB6[[Site Name]:[Lat]],12,FALSE)</f>
        <v>0</v>
      </c>
      <c r="DP176" s="643">
        <f>VLOOKUP(WWWW[[#This Row],[Site Name]],SiteDB6[[Site Name]:[Long]],13,FALSE)</f>
        <v>0</v>
      </c>
      <c r="DQ176" s="643">
        <f>VLOOKUP(WWWW[[#This Row],[Site Name]],SiteDB6[[Site Name]:[Pcode]],3,FALSE)</f>
        <v>198435</v>
      </c>
      <c r="DR176" s="652" t="str">
        <f t="shared" si="6"/>
        <v>Covered</v>
      </c>
      <c r="DS176" s="652"/>
    </row>
    <row r="177" spans="1:123">
      <c r="A177" s="637" t="s">
        <v>2525</v>
      </c>
      <c r="B177" s="637" t="s">
        <v>2802</v>
      </c>
      <c r="C177" s="644" t="s">
        <v>387</v>
      </c>
      <c r="D177" s="644" t="s">
        <v>2803</v>
      </c>
      <c r="E177" s="663" t="s">
        <v>3013</v>
      </c>
      <c r="F177" s="644" t="s">
        <v>337</v>
      </c>
      <c r="G177" s="663" t="str">
        <f>VLOOKUP(WWWW[[#This Row],[Site Name]],SiteDB6[[Site Name]:[Location Type]],8,FALSE)</f>
        <v>Village</v>
      </c>
      <c r="H177" s="644" t="s">
        <v>2813</v>
      </c>
      <c r="I177" s="646">
        <v>217</v>
      </c>
      <c r="J177" s="646">
        <v>1155</v>
      </c>
      <c r="K177" s="653">
        <v>43480</v>
      </c>
      <c r="L177" s="654">
        <v>43723</v>
      </c>
      <c r="M177" s="646"/>
      <c r="N177" s="646"/>
      <c r="O177" s="646"/>
      <c r="P177" s="646"/>
      <c r="Q177" s="645"/>
      <c r="R177" s="646"/>
      <c r="S177" s="646"/>
      <c r="T177" s="646"/>
      <c r="U177" s="646"/>
      <c r="V177" s="646"/>
      <c r="W177" s="646"/>
      <c r="X177" s="646"/>
      <c r="Y177" s="646"/>
      <c r="Z177" s="646"/>
      <c r="AA177" s="646"/>
      <c r="AB177" s="646"/>
      <c r="AC177" s="646"/>
      <c r="AD177" s="646"/>
      <c r="AE177" s="646"/>
      <c r="AF177" s="646"/>
      <c r="AG177" s="646"/>
      <c r="AH177" s="646"/>
      <c r="AI177" s="646"/>
      <c r="AJ177" s="646"/>
      <c r="AK177" s="646"/>
      <c r="AL177" s="646"/>
      <c r="AM177" s="646"/>
      <c r="AN177" s="646"/>
      <c r="AO177" s="652"/>
      <c r="AP177" s="646"/>
      <c r="AQ177" s="646"/>
      <c r="AR177" s="648"/>
      <c r="AS177" s="646"/>
      <c r="AT177" s="646"/>
      <c r="AU177" s="646"/>
      <c r="AV177" s="646"/>
      <c r="AW177" s="646"/>
      <c r="AX177" s="643"/>
      <c r="AY177" s="652"/>
      <c r="AZ177" s="646"/>
      <c r="BA177" s="646"/>
      <c r="BB177" s="646"/>
      <c r="BC177" s="643"/>
      <c r="BD177" s="646"/>
      <c r="BE177" s="646"/>
      <c r="BF177" s="646"/>
      <c r="BG177" s="646"/>
      <c r="BH177" s="646"/>
      <c r="BI177" s="646">
        <v>217</v>
      </c>
      <c r="BJ177" s="646">
        <v>217</v>
      </c>
      <c r="BK177" s="646"/>
      <c r="BL177" s="646"/>
      <c r="BM177" s="643"/>
      <c r="BN177" s="647"/>
      <c r="BO177" s="648"/>
      <c r="BP177" s="643"/>
      <c r="BQ177" s="649" t="str">
        <f>IFERROR(WWWW[[#This Row],['#_Water sources treated]]/WWWW[[#This Row],['#_Water sources tested for contamination]],"no test")</f>
        <v>no test</v>
      </c>
      <c r="BR177" s="648" t="str">
        <f>IFERROR(WWWW[[#This Row],['#_Household received remediation action due to contamination]]/WWWW[[#This Row],['#_Household water samples tested for contamination]],"no test")</f>
        <v>no test</v>
      </c>
      <c r="BS177" s="647" t="str">
        <f>IF(AND(WWWW[[#This Row],[% of water sources treated]]="no test",WWWW[[#This Row],[% Household received corrective actions]]="no test"),"No Test","Tested")</f>
        <v>No Test</v>
      </c>
      <c r="BT177" s="647">
        <f>WWWW[[#This Row],['#_Constructed/existing protected hand dug well]]-WWWW[[#This Row],['#_Non-functional protected hand dug well]]</f>
        <v>0</v>
      </c>
      <c r="BU177" s="647">
        <f>(WWWW[[#This Row],['#_Constructed/Existing tube wells/boreholes/handpumps_WASH_agency]]+WWWW[[#This Row],['#_Non-Cluster partner water tube-wells/boreholes/handpumps]])-WWWW[[#This Row],['#_Non-functional tube wells/boreholes/handpumps]]</f>
        <v>0</v>
      </c>
      <c r="BV177" s="647">
        <f>WWWW[[#This Row],['#_Constructed/Existingwater storage tank with gravity fed reticulation system]]-WWWW[[#This Row],['#_Non-functional storage tank gravity fed reticulation system]]</f>
        <v>0</v>
      </c>
      <c r="BW177" s="647">
        <f>WWWW[[#This Row],['#_Water boating or water trucking]]</f>
        <v>0</v>
      </c>
      <c r="BX177" s="647">
        <f>WWWW[[#This Row],['#_Constructed/Existing water distribution system from river or natural spring]]</f>
        <v>0</v>
      </c>
      <c r="BY177"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77"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77" s="648">
        <f>IF(WWWW[[#This Row],[Location Type 1]]="Village",WWWW[[#This Row],[Access to safe drinking water for Village]],WWWW[[#This Row],[Access to safe drinking water for Camp]])</f>
        <v>0</v>
      </c>
      <c r="CB177" s="645">
        <f>WWWW[[#This Row],[%Equitable and continuous access to sufficient quantity of safe drinking water]]*WWWW[[#This Row],[Total PoP ]]</f>
        <v>0</v>
      </c>
      <c r="CC177" s="648">
        <f>IF((WWWW[[#This Row],['#_Constructed/Existing protected/fenced ponds]]*250)/WWWW[[#This Row],[Total PoP ]]&gt;1,1,(WWWW[[#This Row],['#_Constructed/Existing protected/fenced ponds]]*250)/WWWW[[#This Row],[Total PoP ]])</f>
        <v>0</v>
      </c>
      <c r="CD177" s="645">
        <f>WWWW[[#This Row],[% Access to unimproved water points]]*WWWW[[#This Row],[Total PoP ]]</f>
        <v>0</v>
      </c>
      <c r="CE177"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77"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77" s="645">
        <f>WWWW[[#This Row],[HRP1]]/500</f>
        <v>0</v>
      </c>
      <c r="CH177" s="650">
        <f>1-WWWW[[#This Row],[% Equitable and continuous access to sufficient quantity of domestic water]]</f>
        <v>1</v>
      </c>
      <c r="CI177" s="645">
        <f>WWWW[[#This Row],[%equitable and continuous access to sufficient quantity of safe drinking and domestic water''s GAP]]*WWWW[[#This Row],[Total PoP ]]</f>
        <v>1155</v>
      </c>
      <c r="CJ177" s="647">
        <f>IF(WWWW[[#This Row],[Total required water points]]-WWWW[[#This Row],['#Water points coverage]]&lt;0,0,WWWW[[#This Row],[Total required water points]]-WWWW[[#This Row],['#Water points coverage]])</f>
        <v>2</v>
      </c>
      <c r="CK177" s="647">
        <f>ROUND(IF(WWWW[[#This Row],[Total PoP ]]&lt;500,1,WWWW[[#This Row],[Total PoP ]]/500),0)</f>
        <v>2</v>
      </c>
      <c r="CL177" s="647">
        <f>(WWWW[[#This Row],['#_Constructed latrines_by_WASHAgencies]]+WWWW[[#This Row],['#_Non Cluster partner latrines]])-WWWW[[#This Row],['#_Non-functional latrines]]</f>
        <v>0</v>
      </c>
      <c r="CM177"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77"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77"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77" s="647" t="str">
        <f>IF(WWWW[[#This Row],[Location Type 1]]="Village","NA",IF(WWWW[[#This Row],['#_Constructed/Existing latrines in TLS]]*50&gt;WWWW[[#This Row],['#_students at TLS_CFS]],WWWW[[#This Row],['#_students at TLS_CFS]],(WWWW[[#This Row],['#_Constructed/Existing latrines in TLS]]*50)))</f>
        <v>NA</v>
      </c>
      <c r="CQ177" s="647">
        <f>ROUND(IF(WWWW[[#This Row],[Location Type 1]]="camp",WWWW[[#This Row],[Total PoP ]]/20,IF(WWWW[[#This Row],[Location Type 1]]="Temporary Location",WWWW[[#This Row],[Total PoP ]]/50,(WWWW[[#This Row],[Total PoP ]]/6))),0)</f>
        <v>193</v>
      </c>
      <c r="CR177" s="647">
        <f>IF(WWWW[[#This Row],[Total required Latrines]]-(WWWW[[#This Row],['#_Constructed latrines_by_WASHAgencies]]+WWWW[[#This Row],['#_Non Cluster partner latrines]])&lt;0,0,WWWW[[#This Row],[Total required Latrines]]-(WWWW[[#This Row],['#_Constructed latrines_by_WASHAgencies]]+WWWW[[#This Row],['#_Non Cluster partner latrines]]))</f>
        <v>193</v>
      </c>
      <c r="CS177" s="79">
        <f>1-WWWW[[#This Row],[% people access to functioning Latrine]]</f>
        <v>1</v>
      </c>
      <c r="CT177" s="649">
        <f>IF(OR(WWWW[[#This Row],['#_Non-functional latrines]]="",WWWW[[#This Row],['#_Non-functional latrines]]=0),0,WWWW[[#This Row],['#_Non-functional latrines]]/(WWWW[[#This Row],['#_Constructed latrines_by_WASHAgencies]]+WWWW[[#This Row],['#_Non Cluster partner latrines]]))</f>
        <v>0</v>
      </c>
      <c r="CU177" s="645">
        <f>IF(500*(WWWW[[#This Row],['#_male hygiene promoters]]+WWWW[[#This Row],['#_female hygiene promoters]])&gt;WWWW[[#This Row],[Total PoP ]],WWWW[[#This Row],[Total PoP ]],500*(WWWW[[#This Row],['#_male hygiene promoters]]+WWWW[[#This Row],['#_female hygiene promoters]]))</f>
        <v>1155</v>
      </c>
      <c r="CV177"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77"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77" s="647">
        <f>IF(WWWW[[#This Row],['# People with access to soap]]&gt;WWWW[[#This Row],['# People with access to Sanity Pads]],WWWW[[#This Row],['# People with access to soap]],WWWW[[#This Row],['# People with access to Sanity Pads]])</f>
        <v>0</v>
      </c>
      <c r="CY177" s="647">
        <f>IF(WWWW[[#This Row],['# people reached by regular dedicated hygiene promotion_5]]&gt;WWWW[[#This Row],['# People received regular supply of hygiene items_6]],WWWW[[#This Row],['# people reached by regular dedicated hygiene promotion_5]],WWWW[[#This Row],['# People received regular supply of hygiene items_6]])</f>
        <v>1155</v>
      </c>
      <c r="CZ177" s="650">
        <f>IF(WWWW[[#This Row],[HRP3]]/WWWW[[#This Row],[Total PoP ]]&gt;100%,100%,WWWW[[#This Row],[HRP3]]/WWWW[[#This Row],[Total PoP ]])</f>
        <v>1</v>
      </c>
      <c r="DA177" s="649">
        <f>1-WWWW[[#This Row],[Hygiene Coverage%]]</f>
        <v>0</v>
      </c>
      <c r="DB177" s="648">
        <f>WWWW[[#This Row],['# people reached by regular dedicated hygiene promotion_5]]/WWWW[[#This Row],[Total PoP ]]</f>
        <v>1</v>
      </c>
      <c r="DC177" s="648">
        <f>IF(WWWW[[#This Row],['#_households that received standard amount of soap for this quarter]]/WWWW[[#This Row],[Total HH]]&gt;1,1,WWWW[[#This Row],['#_households that received standard amount of soap for this quarter]]/WWWW[[#This Row],[Total HH]])</f>
        <v>0</v>
      </c>
      <c r="DD177" s="648">
        <f>IF(WWWW[[#This Row],['#_households that received standard amount of sanitary pads for this quarter]]/WWWW[[#This Row],[Total HH]]&gt;1,1,WWWW[[#This Row],['#_households that received standard amount of sanitary pads for this quarter]]/WWWW[[#This Row],[Total HH]])</f>
        <v>0</v>
      </c>
      <c r="DE177" s="647">
        <f>WWWW[[#This Row],['#_Constructed/Existing hand washing stations]]-WWWW[[#This Row],['#_Non-Functional_hand_washing_stations]]</f>
        <v>0</v>
      </c>
      <c r="DF177" s="667">
        <f>IF(WWWW[[#This Row],['# Functional hand washing stations during reporting period]]*20&gt;WWWW[[#This Row],[Total HH]],WWWW[[#This Row],[Total HH]],WWWW[[#This Row],['# Functional hand washing stations during reporting period]]*20)</f>
        <v>0</v>
      </c>
      <c r="DG177" s="645">
        <f>IF(WWWW[[#This Row],[Is sufficient soap available for TLS? (Yes/No)]]="yes",WWWW[[#This Row],['#_Constructed/Existing hand washing stations at TLS]],0)</f>
        <v>0</v>
      </c>
      <c r="DH177" s="645">
        <f>IF(WWWW[[#This Row],['# Functional hand washing stations during reporting period]]*100&gt;WWWW[[#This Row],[Total PoP ]],WWWW[[#This Row],[Total PoP ]],WWWW[[#This Row],['# Functional hand washing stations during reporting period]]*100)</f>
        <v>0</v>
      </c>
      <c r="DI177" s="645" t="str">
        <f>IF(WWWW[[#This Row],['#_students at TLS_CFS]]="","No","Yes")</f>
        <v>No</v>
      </c>
      <c r="DJ177" s="643">
        <f>VLOOKUP(WWWW[[#This Row],[Site Name]],SiteDB6[[Site Name]:[CCCM Management]],6,FALSE)</f>
        <v>0</v>
      </c>
      <c r="DK177" s="643">
        <f>VLOOKUP(WWWW[[#This Row],[Site Name]],SiteDB6[[Site Name]:[CCCM Focal Agency]],7,FALSE)</f>
        <v>0</v>
      </c>
      <c r="DL177" s="643" t="str">
        <f>VLOOKUP(WWWW[[#This Row],[Site Name]],SiteDB6[[Site Name]:[Location Type 1]],9,FALSE)</f>
        <v>Village</v>
      </c>
      <c r="DM177" s="643" t="str">
        <f>VLOOKUP(WWWW[[#This Row],[Site Name]],SiteDB6[[Site Name]:[Type of Accommodation]],10,FALSE)</f>
        <v>Village</v>
      </c>
      <c r="DN177" s="643" t="str">
        <f>VLOOKUP(WWWW[[#This Row],[Site Name]],SiteDB6[[Site Name]:[Ethnic or GCA/NGCA]],11,FALSE)</f>
        <v>Muslim</v>
      </c>
      <c r="DO177" s="643">
        <f>VLOOKUP(WWWW[[#This Row],[Site Name]],SiteDB6[[Site Name]:[Lat]],12,FALSE)</f>
        <v>20.703790659999999</v>
      </c>
      <c r="DP177" s="643">
        <f>VLOOKUP(WWWW[[#This Row],[Site Name]],SiteDB6[[Site Name]:[Long]],13,FALSE)</f>
        <v>92.628463749999995</v>
      </c>
      <c r="DQ177" s="643">
        <f>VLOOKUP(WWWW[[#This Row],[Site Name]],SiteDB6[[Site Name]:[Pcode]],3,FALSE)</f>
        <v>198431</v>
      </c>
      <c r="DR177" s="652" t="str">
        <f t="shared" si="6"/>
        <v>Covered</v>
      </c>
      <c r="DS177" s="652"/>
    </row>
    <row r="178" spans="1:123">
      <c r="A178" s="637" t="s">
        <v>2525</v>
      </c>
      <c r="B178" s="637" t="s">
        <v>2802</v>
      </c>
      <c r="C178" s="644" t="s">
        <v>387</v>
      </c>
      <c r="D178" s="644" t="s">
        <v>2803</v>
      </c>
      <c r="E178" s="663" t="s">
        <v>3013</v>
      </c>
      <c r="F178" s="644" t="s">
        <v>337</v>
      </c>
      <c r="G178" s="663" t="str">
        <f>VLOOKUP(WWWW[[#This Row],[Site Name]],SiteDB6[[Site Name]:[Location Type]],8,FALSE)</f>
        <v>Village</v>
      </c>
      <c r="H178" s="644" t="s">
        <v>2814</v>
      </c>
      <c r="I178" s="646">
        <v>129</v>
      </c>
      <c r="J178" s="646">
        <v>664</v>
      </c>
      <c r="K178" s="653">
        <v>43480</v>
      </c>
      <c r="L178" s="654">
        <v>43723</v>
      </c>
      <c r="M178" s="646"/>
      <c r="N178" s="646"/>
      <c r="O178" s="646"/>
      <c r="P178" s="646"/>
      <c r="Q178" s="645"/>
      <c r="R178" s="646"/>
      <c r="S178" s="646"/>
      <c r="T178" s="646"/>
      <c r="U178" s="646"/>
      <c r="V178" s="646"/>
      <c r="W178" s="646"/>
      <c r="X178" s="646"/>
      <c r="Y178" s="646"/>
      <c r="Z178" s="646"/>
      <c r="AA178" s="646"/>
      <c r="AB178" s="646"/>
      <c r="AC178" s="646"/>
      <c r="AD178" s="646"/>
      <c r="AE178" s="646"/>
      <c r="AF178" s="646"/>
      <c r="AG178" s="646"/>
      <c r="AH178" s="646"/>
      <c r="AI178" s="646"/>
      <c r="AJ178" s="646"/>
      <c r="AK178" s="646"/>
      <c r="AL178" s="646"/>
      <c r="AM178" s="646"/>
      <c r="AN178" s="646"/>
      <c r="AO178" s="652"/>
      <c r="AP178" s="646"/>
      <c r="AQ178" s="646"/>
      <c r="AR178" s="648"/>
      <c r="AS178" s="646"/>
      <c r="AT178" s="646"/>
      <c r="AU178" s="646"/>
      <c r="AV178" s="646"/>
      <c r="AW178" s="646"/>
      <c r="AX178" s="643"/>
      <c r="AY178" s="652"/>
      <c r="AZ178" s="646"/>
      <c r="BA178" s="646"/>
      <c r="BB178" s="646"/>
      <c r="BC178" s="643"/>
      <c r="BD178" s="646"/>
      <c r="BE178" s="646"/>
      <c r="BF178" s="646"/>
      <c r="BG178" s="646"/>
      <c r="BH178" s="646"/>
      <c r="BI178" s="646">
        <v>129</v>
      </c>
      <c r="BJ178" s="646">
        <v>129</v>
      </c>
      <c r="BK178" s="646"/>
      <c r="BL178" s="646"/>
      <c r="BM178" s="643"/>
      <c r="BN178" s="647"/>
      <c r="BO178" s="648"/>
      <c r="BP178" s="643"/>
      <c r="BQ178" s="649" t="str">
        <f>IFERROR(WWWW[[#This Row],['#_Water sources treated]]/WWWW[[#This Row],['#_Water sources tested for contamination]],"no test")</f>
        <v>no test</v>
      </c>
      <c r="BR178" s="648" t="str">
        <f>IFERROR(WWWW[[#This Row],['#_Household received remediation action due to contamination]]/WWWW[[#This Row],['#_Household water samples tested for contamination]],"no test")</f>
        <v>no test</v>
      </c>
      <c r="BS178" s="647" t="str">
        <f>IF(AND(WWWW[[#This Row],[% of water sources treated]]="no test",WWWW[[#This Row],[% Household received corrective actions]]="no test"),"No Test","Tested")</f>
        <v>No Test</v>
      </c>
      <c r="BT178" s="647">
        <f>WWWW[[#This Row],['#_Constructed/existing protected hand dug well]]-WWWW[[#This Row],['#_Non-functional protected hand dug well]]</f>
        <v>0</v>
      </c>
      <c r="BU178" s="647">
        <f>(WWWW[[#This Row],['#_Constructed/Existing tube wells/boreholes/handpumps_WASH_agency]]+WWWW[[#This Row],['#_Non-Cluster partner water tube-wells/boreholes/handpumps]])-WWWW[[#This Row],['#_Non-functional tube wells/boreholes/handpumps]]</f>
        <v>0</v>
      </c>
      <c r="BV178" s="647">
        <f>WWWW[[#This Row],['#_Constructed/Existingwater storage tank with gravity fed reticulation system]]-WWWW[[#This Row],['#_Non-functional storage tank gravity fed reticulation system]]</f>
        <v>0</v>
      </c>
      <c r="BW178" s="647">
        <f>WWWW[[#This Row],['#_Water boating or water trucking]]</f>
        <v>0</v>
      </c>
      <c r="BX178" s="647">
        <f>WWWW[[#This Row],['#_Constructed/Existing water distribution system from river or natural spring]]</f>
        <v>0</v>
      </c>
      <c r="BY178"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78"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78" s="648">
        <f>IF(WWWW[[#This Row],[Location Type 1]]="Village",WWWW[[#This Row],[Access to safe drinking water for Village]],WWWW[[#This Row],[Access to safe drinking water for Camp]])</f>
        <v>0</v>
      </c>
      <c r="CB178" s="645">
        <f>WWWW[[#This Row],[%Equitable and continuous access to sufficient quantity of safe drinking water]]*WWWW[[#This Row],[Total PoP ]]</f>
        <v>0</v>
      </c>
      <c r="CC178" s="648">
        <f>IF((WWWW[[#This Row],['#_Constructed/Existing protected/fenced ponds]]*250)/WWWW[[#This Row],[Total PoP ]]&gt;1,1,(WWWW[[#This Row],['#_Constructed/Existing protected/fenced ponds]]*250)/WWWW[[#This Row],[Total PoP ]])</f>
        <v>0</v>
      </c>
      <c r="CD178" s="645">
        <f>WWWW[[#This Row],[% Access to unimproved water points]]*WWWW[[#This Row],[Total PoP ]]</f>
        <v>0</v>
      </c>
      <c r="CE178"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78"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78" s="645">
        <f>WWWW[[#This Row],[HRP1]]/500</f>
        <v>0</v>
      </c>
      <c r="CH178" s="650">
        <f>1-WWWW[[#This Row],[% Equitable and continuous access to sufficient quantity of domestic water]]</f>
        <v>1</v>
      </c>
      <c r="CI178" s="645">
        <f>WWWW[[#This Row],[%equitable and continuous access to sufficient quantity of safe drinking and domestic water''s GAP]]*WWWW[[#This Row],[Total PoP ]]</f>
        <v>664</v>
      </c>
      <c r="CJ178" s="647">
        <f>IF(WWWW[[#This Row],[Total required water points]]-WWWW[[#This Row],['#Water points coverage]]&lt;0,0,WWWW[[#This Row],[Total required water points]]-WWWW[[#This Row],['#Water points coverage]])</f>
        <v>1</v>
      </c>
      <c r="CK178" s="647">
        <f>ROUND(IF(WWWW[[#This Row],[Total PoP ]]&lt;500,1,WWWW[[#This Row],[Total PoP ]]/500),0)</f>
        <v>1</v>
      </c>
      <c r="CL178" s="647">
        <f>(WWWW[[#This Row],['#_Constructed latrines_by_WASHAgencies]]+WWWW[[#This Row],['#_Non Cluster partner latrines]])-WWWW[[#This Row],['#_Non-functional latrines]]</f>
        <v>0</v>
      </c>
      <c r="CM178"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78"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78"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78" s="647" t="str">
        <f>IF(WWWW[[#This Row],[Location Type 1]]="Village","NA",IF(WWWW[[#This Row],['#_Constructed/Existing latrines in TLS]]*50&gt;WWWW[[#This Row],['#_students at TLS_CFS]],WWWW[[#This Row],['#_students at TLS_CFS]],(WWWW[[#This Row],['#_Constructed/Existing latrines in TLS]]*50)))</f>
        <v>NA</v>
      </c>
      <c r="CQ178" s="647">
        <f>ROUND(IF(WWWW[[#This Row],[Location Type 1]]="camp",WWWW[[#This Row],[Total PoP ]]/20,IF(WWWW[[#This Row],[Location Type 1]]="Temporary Location",WWWW[[#This Row],[Total PoP ]]/50,(WWWW[[#This Row],[Total PoP ]]/6))),0)</f>
        <v>111</v>
      </c>
      <c r="CR178" s="647">
        <f>IF(WWWW[[#This Row],[Total required Latrines]]-(WWWW[[#This Row],['#_Constructed latrines_by_WASHAgencies]]+WWWW[[#This Row],['#_Non Cluster partner latrines]])&lt;0,0,WWWW[[#This Row],[Total required Latrines]]-(WWWW[[#This Row],['#_Constructed latrines_by_WASHAgencies]]+WWWW[[#This Row],['#_Non Cluster partner latrines]]))</f>
        <v>111</v>
      </c>
      <c r="CS178" s="79">
        <f>1-WWWW[[#This Row],[% people access to functioning Latrine]]</f>
        <v>1</v>
      </c>
      <c r="CT178" s="649">
        <f>IF(OR(WWWW[[#This Row],['#_Non-functional latrines]]="",WWWW[[#This Row],['#_Non-functional latrines]]=0),0,WWWW[[#This Row],['#_Non-functional latrines]]/(WWWW[[#This Row],['#_Constructed latrines_by_WASHAgencies]]+WWWW[[#This Row],['#_Non Cluster partner latrines]]))</f>
        <v>0</v>
      </c>
      <c r="CU178" s="645">
        <f>IF(500*(WWWW[[#This Row],['#_male hygiene promoters]]+WWWW[[#This Row],['#_female hygiene promoters]])&gt;WWWW[[#This Row],[Total PoP ]],WWWW[[#This Row],[Total PoP ]],500*(WWWW[[#This Row],['#_male hygiene promoters]]+WWWW[[#This Row],['#_female hygiene promoters]]))</f>
        <v>664</v>
      </c>
      <c r="CV178"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78"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78" s="647">
        <f>IF(WWWW[[#This Row],['# People with access to soap]]&gt;WWWW[[#This Row],['# People with access to Sanity Pads]],WWWW[[#This Row],['# People with access to soap]],WWWW[[#This Row],['# People with access to Sanity Pads]])</f>
        <v>0</v>
      </c>
      <c r="CY178" s="647">
        <f>IF(WWWW[[#This Row],['# people reached by regular dedicated hygiene promotion_5]]&gt;WWWW[[#This Row],['# People received regular supply of hygiene items_6]],WWWW[[#This Row],['# people reached by regular dedicated hygiene promotion_5]],WWWW[[#This Row],['# People received regular supply of hygiene items_6]])</f>
        <v>664</v>
      </c>
      <c r="CZ178" s="650">
        <f>IF(WWWW[[#This Row],[HRP3]]/WWWW[[#This Row],[Total PoP ]]&gt;100%,100%,WWWW[[#This Row],[HRP3]]/WWWW[[#This Row],[Total PoP ]])</f>
        <v>1</v>
      </c>
      <c r="DA178" s="649">
        <f>1-WWWW[[#This Row],[Hygiene Coverage%]]</f>
        <v>0</v>
      </c>
      <c r="DB178" s="648">
        <f>WWWW[[#This Row],['# people reached by regular dedicated hygiene promotion_5]]/WWWW[[#This Row],[Total PoP ]]</f>
        <v>1</v>
      </c>
      <c r="DC178" s="648">
        <f>IF(WWWW[[#This Row],['#_households that received standard amount of soap for this quarter]]/WWWW[[#This Row],[Total HH]]&gt;1,1,WWWW[[#This Row],['#_households that received standard amount of soap for this quarter]]/WWWW[[#This Row],[Total HH]])</f>
        <v>0</v>
      </c>
      <c r="DD178" s="648">
        <f>IF(WWWW[[#This Row],['#_households that received standard amount of sanitary pads for this quarter]]/WWWW[[#This Row],[Total HH]]&gt;1,1,WWWW[[#This Row],['#_households that received standard amount of sanitary pads for this quarter]]/WWWW[[#This Row],[Total HH]])</f>
        <v>0</v>
      </c>
      <c r="DE178" s="647">
        <f>WWWW[[#This Row],['#_Constructed/Existing hand washing stations]]-WWWW[[#This Row],['#_Non-Functional_hand_washing_stations]]</f>
        <v>0</v>
      </c>
      <c r="DF178" s="667">
        <f>IF(WWWW[[#This Row],['# Functional hand washing stations during reporting period]]*20&gt;WWWW[[#This Row],[Total HH]],WWWW[[#This Row],[Total HH]],WWWW[[#This Row],['# Functional hand washing stations during reporting period]]*20)</f>
        <v>0</v>
      </c>
      <c r="DG178" s="645">
        <f>IF(WWWW[[#This Row],[Is sufficient soap available for TLS? (Yes/No)]]="yes",WWWW[[#This Row],['#_Constructed/Existing hand washing stations at TLS]],0)</f>
        <v>0</v>
      </c>
      <c r="DH178" s="645">
        <f>IF(WWWW[[#This Row],['# Functional hand washing stations during reporting period]]*100&gt;WWWW[[#This Row],[Total PoP ]],WWWW[[#This Row],[Total PoP ]],WWWW[[#This Row],['# Functional hand washing stations during reporting period]]*100)</f>
        <v>0</v>
      </c>
      <c r="DI178" s="645" t="str">
        <f>IF(WWWW[[#This Row],['#_students at TLS_CFS]]="","No","Yes")</f>
        <v>No</v>
      </c>
      <c r="DJ178" s="643">
        <f>VLOOKUP(WWWW[[#This Row],[Site Name]],SiteDB6[[Site Name]:[CCCM Management]],6,FALSE)</f>
        <v>0</v>
      </c>
      <c r="DK178" s="643">
        <f>VLOOKUP(WWWW[[#This Row],[Site Name]],SiteDB6[[Site Name]:[CCCM Focal Agency]],7,FALSE)</f>
        <v>0</v>
      </c>
      <c r="DL178" s="643" t="str">
        <f>VLOOKUP(WWWW[[#This Row],[Site Name]],SiteDB6[[Site Name]:[Location Type 1]],9,FALSE)</f>
        <v>Village</v>
      </c>
      <c r="DM178" s="643" t="str">
        <f>VLOOKUP(WWWW[[#This Row],[Site Name]],SiteDB6[[Site Name]:[Type of Accommodation]],10,FALSE)</f>
        <v>Village</v>
      </c>
      <c r="DN178" s="643" t="str">
        <f>VLOOKUP(WWWW[[#This Row],[Site Name]],SiteDB6[[Site Name]:[Ethnic or GCA/NGCA]],11,FALSE)</f>
        <v>Rakhine</v>
      </c>
      <c r="DO178" s="643">
        <f>VLOOKUP(WWWW[[#This Row],[Site Name]],SiteDB6[[Site Name]:[Lat]],12,FALSE)</f>
        <v>20.703920360000001</v>
      </c>
      <c r="DP178" s="643">
        <f>VLOOKUP(WWWW[[#This Row],[Site Name]],SiteDB6[[Site Name]:[Long]],13,FALSE)</f>
        <v>92.631500239999994</v>
      </c>
      <c r="DQ178" s="643">
        <f>VLOOKUP(WWWW[[#This Row],[Site Name]],SiteDB6[[Site Name]:[Pcode]],3,FALSE)</f>
        <v>198428</v>
      </c>
      <c r="DR178" s="652" t="str">
        <f t="shared" si="6"/>
        <v>Covered</v>
      </c>
      <c r="DS178" s="652"/>
    </row>
    <row r="179" spans="1:123">
      <c r="A179" s="637" t="s">
        <v>2525</v>
      </c>
      <c r="B179" s="637" t="s">
        <v>2802</v>
      </c>
      <c r="C179" s="644" t="s">
        <v>387</v>
      </c>
      <c r="D179" s="644" t="s">
        <v>2803</v>
      </c>
      <c r="E179" s="663" t="s">
        <v>3013</v>
      </c>
      <c r="F179" s="644" t="s">
        <v>337</v>
      </c>
      <c r="G179" s="663" t="str">
        <f>VLOOKUP(WWWW[[#This Row],[Site Name]],SiteDB6[[Site Name]:[Location Type]],8,FALSE)</f>
        <v>Village</v>
      </c>
      <c r="H179" s="644" t="s">
        <v>2804</v>
      </c>
      <c r="I179" s="646">
        <v>171</v>
      </c>
      <c r="J179" s="646">
        <v>908</v>
      </c>
      <c r="K179" s="653">
        <v>43480</v>
      </c>
      <c r="L179" s="654">
        <v>43723</v>
      </c>
      <c r="M179" s="646"/>
      <c r="N179" s="646"/>
      <c r="O179" s="646"/>
      <c r="P179" s="646"/>
      <c r="Q179" s="645"/>
      <c r="R179" s="646"/>
      <c r="S179" s="646"/>
      <c r="T179" s="646"/>
      <c r="U179" s="646"/>
      <c r="V179" s="646"/>
      <c r="W179" s="646"/>
      <c r="X179" s="646"/>
      <c r="Y179" s="646"/>
      <c r="Z179" s="646"/>
      <c r="AA179" s="646"/>
      <c r="AB179" s="646"/>
      <c r="AC179" s="646"/>
      <c r="AD179" s="646"/>
      <c r="AE179" s="646"/>
      <c r="AF179" s="646"/>
      <c r="AG179" s="646"/>
      <c r="AH179" s="646"/>
      <c r="AI179" s="646"/>
      <c r="AJ179" s="646"/>
      <c r="AK179" s="646"/>
      <c r="AL179" s="646"/>
      <c r="AM179" s="646"/>
      <c r="AN179" s="646"/>
      <c r="AO179" s="652"/>
      <c r="AP179" s="646"/>
      <c r="AQ179" s="646"/>
      <c r="AR179" s="648"/>
      <c r="AS179" s="646"/>
      <c r="AT179" s="646"/>
      <c r="AU179" s="646"/>
      <c r="AV179" s="646"/>
      <c r="AW179" s="646"/>
      <c r="AX179" s="643"/>
      <c r="AY179" s="652"/>
      <c r="AZ179" s="646"/>
      <c r="BA179" s="646"/>
      <c r="BB179" s="646"/>
      <c r="BC179" s="643"/>
      <c r="BD179" s="646"/>
      <c r="BE179" s="646"/>
      <c r="BF179" s="646"/>
      <c r="BG179" s="646"/>
      <c r="BH179" s="646"/>
      <c r="BI179" s="646">
        <v>171</v>
      </c>
      <c r="BJ179" s="646">
        <v>171</v>
      </c>
      <c r="BK179" s="646"/>
      <c r="BL179" s="646"/>
      <c r="BM179" s="643"/>
      <c r="BN179" s="647"/>
      <c r="BO179" s="648"/>
      <c r="BP179" s="643"/>
      <c r="BQ179" s="649" t="str">
        <f>IFERROR(WWWW[[#This Row],['#_Water sources treated]]/WWWW[[#This Row],['#_Water sources tested for contamination]],"no test")</f>
        <v>no test</v>
      </c>
      <c r="BR179" s="648" t="str">
        <f>IFERROR(WWWW[[#This Row],['#_Household received remediation action due to contamination]]/WWWW[[#This Row],['#_Household water samples tested for contamination]],"no test")</f>
        <v>no test</v>
      </c>
      <c r="BS179" s="647" t="str">
        <f>IF(AND(WWWW[[#This Row],[% of water sources treated]]="no test",WWWW[[#This Row],[% Household received corrective actions]]="no test"),"No Test","Tested")</f>
        <v>No Test</v>
      </c>
      <c r="BT179" s="647">
        <f>WWWW[[#This Row],['#_Constructed/existing protected hand dug well]]-WWWW[[#This Row],['#_Non-functional protected hand dug well]]</f>
        <v>0</v>
      </c>
      <c r="BU179" s="647">
        <f>(WWWW[[#This Row],['#_Constructed/Existing tube wells/boreholes/handpumps_WASH_agency]]+WWWW[[#This Row],['#_Non-Cluster partner water tube-wells/boreholes/handpumps]])-WWWW[[#This Row],['#_Non-functional tube wells/boreholes/handpumps]]</f>
        <v>0</v>
      </c>
      <c r="BV179" s="647">
        <f>WWWW[[#This Row],['#_Constructed/Existingwater storage tank with gravity fed reticulation system]]-WWWW[[#This Row],['#_Non-functional storage tank gravity fed reticulation system]]</f>
        <v>0</v>
      </c>
      <c r="BW179" s="647">
        <f>WWWW[[#This Row],['#_Water boating or water trucking]]</f>
        <v>0</v>
      </c>
      <c r="BX179" s="647">
        <f>WWWW[[#This Row],['#_Constructed/Existing water distribution system from river or natural spring]]</f>
        <v>0</v>
      </c>
      <c r="BY179"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79"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79" s="648">
        <f>IF(WWWW[[#This Row],[Location Type 1]]="Village",WWWW[[#This Row],[Access to safe drinking water for Village]],WWWW[[#This Row],[Access to safe drinking water for Camp]])</f>
        <v>0</v>
      </c>
      <c r="CB179" s="645">
        <f>WWWW[[#This Row],[%Equitable and continuous access to sufficient quantity of safe drinking water]]*WWWW[[#This Row],[Total PoP ]]</f>
        <v>0</v>
      </c>
      <c r="CC179" s="648">
        <f>IF((WWWW[[#This Row],['#_Constructed/Existing protected/fenced ponds]]*250)/WWWW[[#This Row],[Total PoP ]]&gt;1,1,(WWWW[[#This Row],['#_Constructed/Existing protected/fenced ponds]]*250)/WWWW[[#This Row],[Total PoP ]])</f>
        <v>0</v>
      </c>
      <c r="CD179" s="645">
        <f>WWWW[[#This Row],[% Access to unimproved water points]]*WWWW[[#This Row],[Total PoP ]]</f>
        <v>0</v>
      </c>
      <c r="CE179"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79"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79" s="645">
        <f>WWWW[[#This Row],[HRP1]]/500</f>
        <v>0</v>
      </c>
      <c r="CH179" s="650">
        <f>1-WWWW[[#This Row],[% Equitable and continuous access to sufficient quantity of domestic water]]</f>
        <v>1</v>
      </c>
      <c r="CI179" s="645">
        <f>WWWW[[#This Row],[%equitable and continuous access to sufficient quantity of safe drinking and domestic water''s GAP]]*WWWW[[#This Row],[Total PoP ]]</f>
        <v>908</v>
      </c>
      <c r="CJ179" s="647">
        <f>IF(WWWW[[#This Row],[Total required water points]]-WWWW[[#This Row],['#Water points coverage]]&lt;0,0,WWWW[[#This Row],[Total required water points]]-WWWW[[#This Row],['#Water points coverage]])</f>
        <v>2</v>
      </c>
      <c r="CK179" s="647">
        <f>ROUND(IF(WWWW[[#This Row],[Total PoP ]]&lt;500,1,WWWW[[#This Row],[Total PoP ]]/500),0)</f>
        <v>2</v>
      </c>
      <c r="CL179" s="647">
        <f>(WWWW[[#This Row],['#_Constructed latrines_by_WASHAgencies]]+WWWW[[#This Row],['#_Non Cluster partner latrines]])-WWWW[[#This Row],['#_Non-functional latrines]]</f>
        <v>0</v>
      </c>
      <c r="CM179"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79"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79"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79" s="647" t="str">
        <f>IF(WWWW[[#This Row],[Location Type 1]]="Village","NA",IF(WWWW[[#This Row],['#_Constructed/Existing latrines in TLS]]*50&gt;WWWW[[#This Row],['#_students at TLS_CFS]],WWWW[[#This Row],['#_students at TLS_CFS]],(WWWW[[#This Row],['#_Constructed/Existing latrines in TLS]]*50)))</f>
        <v>NA</v>
      </c>
      <c r="CQ179" s="647">
        <f>ROUND(IF(WWWW[[#This Row],[Location Type 1]]="camp",WWWW[[#This Row],[Total PoP ]]/20,IF(WWWW[[#This Row],[Location Type 1]]="Temporary Location",WWWW[[#This Row],[Total PoP ]]/50,(WWWW[[#This Row],[Total PoP ]]/6))),0)</f>
        <v>151</v>
      </c>
      <c r="CR179" s="647">
        <f>IF(WWWW[[#This Row],[Total required Latrines]]-(WWWW[[#This Row],['#_Constructed latrines_by_WASHAgencies]]+WWWW[[#This Row],['#_Non Cluster partner latrines]])&lt;0,0,WWWW[[#This Row],[Total required Latrines]]-(WWWW[[#This Row],['#_Constructed latrines_by_WASHAgencies]]+WWWW[[#This Row],['#_Non Cluster partner latrines]]))</f>
        <v>151</v>
      </c>
      <c r="CS179" s="79">
        <f>1-WWWW[[#This Row],[% people access to functioning Latrine]]</f>
        <v>1</v>
      </c>
      <c r="CT179" s="649">
        <f>IF(OR(WWWW[[#This Row],['#_Non-functional latrines]]="",WWWW[[#This Row],['#_Non-functional latrines]]=0),0,WWWW[[#This Row],['#_Non-functional latrines]]/(WWWW[[#This Row],['#_Constructed latrines_by_WASHAgencies]]+WWWW[[#This Row],['#_Non Cluster partner latrines]]))</f>
        <v>0</v>
      </c>
      <c r="CU179" s="645">
        <f>IF(500*(WWWW[[#This Row],['#_male hygiene promoters]]+WWWW[[#This Row],['#_female hygiene promoters]])&gt;WWWW[[#This Row],[Total PoP ]],WWWW[[#This Row],[Total PoP ]],500*(WWWW[[#This Row],['#_male hygiene promoters]]+WWWW[[#This Row],['#_female hygiene promoters]]))</f>
        <v>908</v>
      </c>
      <c r="CV179"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79"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79" s="647">
        <f>IF(WWWW[[#This Row],['# People with access to soap]]&gt;WWWW[[#This Row],['# People with access to Sanity Pads]],WWWW[[#This Row],['# People with access to soap]],WWWW[[#This Row],['# People with access to Sanity Pads]])</f>
        <v>0</v>
      </c>
      <c r="CY179" s="647">
        <f>IF(WWWW[[#This Row],['# people reached by regular dedicated hygiene promotion_5]]&gt;WWWW[[#This Row],['# People received regular supply of hygiene items_6]],WWWW[[#This Row],['# people reached by regular dedicated hygiene promotion_5]],WWWW[[#This Row],['# People received regular supply of hygiene items_6]])</f>
        <v>908</v>
      </c>
      <c r="CZ179" s="650">
        <f>IF(WWWW[[#This Row],[HRP3]]/WWWW[[#This Row],[Total PoP ]]&gt;100%,100%,WWWW[[#This Row],[HRP3]]/WWWW[[#This Row],[Total PoP ]])</f>
        <v>1</v>
      </c>
      <c r="DA179" s="649">
        <f>1-WWWW[[#This Row],[Hygiene Coverage%]]</f>
        <v>0</v>
      </c>
      <c r="DB179" s="648">
        <f>WWWW[[#This Row],['# people reached by regular dedicated hygiene promotion_5]]/WWWW[[#This Row],[Total PoP ]]</f>
        <v>1</v>
      </c>
      <c r="DC179" s="648">
        <f>IF(WWWW[[#This Row],['#_households that received standard amount of soap for this quarter]]/WWWW[[#This Row],[Total HH]]&gt;1,1,WWWW[[#This Row],['#_households that received standard amount of soap for this quarter]]/WWWW[[#This Row],[Total HH]])</f>
        <v>0</v>
      </c>
      <c r="DD179" s="648">
        <f>IF(WWWW[[#This Row],['#_households that received standard amount of sanitary pads for this quarter]]/WWWW[[#This Row],[Total HH]]&gt;1,1,WWWW[[#This Row],['#_households that received standard amount of sanitary pads for this quarter]]/WWWW[[#This Row],[Total HH]])</f>
        <v>0</v>
      </c>
      <c r="DE179" s="647">
        <f>WWWW[[#This Row],['#_Constructed/Existing hand washing stations]]-WWWW[[#This Row],['#_Non-Functional_hand_washing_stations]]</f>
        <v>0</v>
      </c>
      <c r="DF179" s="667">
        <f>IF(WWWW[[#This Row],['# Functional hand washing stations during reporting period]]*20&gt;WWWW[[#This Row],[Total HH]],WWWW[[#This Row],[Total HH]],WWWW[[#This Row],['# Functional hand washing stations during reporting period]]*20)</f>
        <v>0</v>
      </c>
      <c r="DG179" s="645">
        <f>IF(WWWW[[#This Row],[Is sufficient soap available for TLS? (Yes/No)]]="yes",WWWW[[#This Row],['#_Constructed/Existing hand washing stations at TLS]],0)</f>
        <v>0</v>
      </c>
      <c r="DH179" s="645">
        <f>IF(WWWW[[#This Row],['# Functional hand washing stations during reporting period]]*100&gt;WWWW[[#This Row],[Total PoP ]],WWWW[[#This Row],[Total PoP ]],WWWW[[#This Row],['# Functional hand washing stations during reporting period]]*100)</f>
        <v>0</v>
      </c>
      <c r="DI179" s="645" t="str">
        <f>IF(WWWW[[#This Row],['#_students at TLS_CFS]]="","No","Yes")</f>
        <v>No</v>
      </c>
      <c r="DJ179" s="643">
        <f>VLOOKUP(WWWW[[#This Row],[Site Name]],SiteDB6[[Site Name]:[CCCM Management]],6,FALSE)</f>
        <v>0</v>
      </c>
      <c r="DK179" s="643">
        <f>VLOOKUP(WWWW[[#This Row],[Site Name]],SiteDB6[[Site Name]:[CCCM Focal Agency]],7,FALSE)</f>
        <v>0</v>
      </c>
      <c r="DL179" s="643" t="str">
        <f>VLOOKUP(WWWW[[#This Row],[Site Name]],SiteDB6[[Site Name]:[Location Type 1]],9,FALSE)</f>
        <v>Village</v>
      </c>
      <c r="DM179" s="643" t="str">
        <f>VLOOKUP(WWWW[[#This Row],[Site Name]],SiteDB6[[Site Name]:[Type of Accommodation]],10,FALSE)</f>
        <v>Village</v>
      </c>
      <c r="DN179" s="643" t="str">
        <f>VLOOKUP(WWWW[[#This Row],[Site Name]],SiteDB6[[Site Name]:[Ethnic or GCA/NGCA]],11,FALSE)</f>
        <v>Muslim</v>
      </c>
      <c r="DO179" s="643">
        <f>VLOOKUP(WWWW[[#This Row],[Site Name]],SiteDB6[[Site Name]:[Lat]],12,FALSE)</f>
        <v>0</v>
      </c>
      <c r="DP179" s="643">
        <f>VLOOKUP(WWWW[[#This Row],[Site Name]],SiteDB6[[Site Name]:[Long]],13,FALSE)</f>
        <v>0</v>
      </c>
      <c r="DQ179" s="643">
        <f>VLOOKUP(WWWW[[#This Row],[Site Name]],SiteDB6[[Site Name]:[Pcode]],3,FALSE)</f>
        <v>198350</v>
      </c>
      <c r="DR179" s="652" t="str">
        <f t="shared" si="6"/>
        <v>Covered</v>
      </c>
      <c r="DS179" s="652"/>
    </row>
    <row r="180" spans="1:123">
      <c r="A180" s="637" t="s">
        <v>2525</v>
      </c>
      <c r="B180" s="637" t="s">
        <v>2802</v>
      </c>
      <c r="C180" s="644" t="s">
        <v>387</v>
      </c>
      <c r="D180" s="644" t="s">
        <v>2803</v>
      </c>
      <c r="E180" s="663" t="s">
        <v>3013</v>
      </c>
      <c r="F180" s="644" t="s">
        <v>337</v>
      </c>
      <c r="G180" s="663" t="str">
        <f>VLOOKUP(WWWW[[#This Row],[Site Name]],SiteDB6[[Site Name]:[Location Type]],8,FALSE)</f>
        <v>Village</v>
      </c>
      <c r="H180" s="644" t="s">
        <v>627</v>
      </c>
      <c r="I180" s="646">
        <v>22</v>
      </c>
      <c r="J180" s="646">
        <v>100</v>
      </c>
      <c r="K180" s="653">
        <v>43480</v>
      </c>
      <c r="L180" s="654">
        <v>43723</v>
      </c>
      <c r="M180" s="646"/>
      <c r="N180" s="646"/>
      <c r="O180" s="646"/>
      <c r="P180" s="646"/>
      <c r="Q180" s="645"/>
      <c r="R180" s="646"/>
      <c r="S180" s="646"/>
      <c r="T180" s="646"/>
      <c r="U180" s="646"/>
      <c r="V180" s="646"/>
      <c r="W180" s="646"/>
      <c r="X180" s="646"/>
      <c r="Y180" s="646"/>
      <c r="Z180" s="646"/>
      <c r="AA180" s="646"/>
      <c r="AB180" s="646"/>
      <c r="AC180" s="646"/>
      <c r="AD180" s="646"/>
      <c r="AE180" s="646"/>
      <c r="AF180" s="646"/>
      <c r="AG180" s="646"/>
      <c r="AH180" s="646"/>
      <c r="AI180" s="646"/>
      <c r="AJ180" s="646"/>
      <c r="AK180" s="646"/>
      <c r="AL180" s="646"/>
      <c r="AM180" s="646"/>
      <c r="AN180" s="646"/>
      <c r="AO180" s="652"/>
      <c r="AP180" s="646"/>
      <c r="AQ180" s="646"/>
      <c r="AR180" s="648"/>
      <c r="AS180" s="646"/>
      <c r="AT180" s="646"/>
      <c r="AU180" s="646"/>
      <c r="AV180" s="646"/>
      <c r="AW180" s="646"/>
      <c r="AX180" s="643"/>
      <c r="AY180" s="652"/>
      <c r="AZ180" s="646"/>
      <c r="BA180" s="646"/>
      <c r="BB180" s="646"/>
      <c r="BC180" s="643"/>
      <c r="BD180" s="646"/>
      <c r="BE180" s="646"/>
      <c r="BF180" s="646"/>
      <c r="BG180" s="646"/>
      <c r="BH180" s="646"/>
      <c r="BI180" s="646">
        <v>22</v>
      </c>
      <c r="BJ180" s="646">
        <v>22</v>
      </c>
      <c r="BK180" s="646"/>
      <c r="BL180" s="646"/>
      <c r="BM180" s="643"/>
      <c r="BN180" s="647"/>
      <c r="BO180" s="648"/>
      <c r="BP180" s="643"/>
      <c r="BQ180" s="649" t="str">
        <f>IFERROR(WWWW[[#This Row],['#_Water sources treated]]/WWWW[[#This Row],['#_Water sources tested for contamination]],"no test")</f>
        <v>no test</v>
      </c>
      <c r="BR180" s="648" t="str">
        <f>IFERROR(WWWW[[#This Row],['#_Household received remediation action due to contamination]]/WWWW[[#This Row],['#_Household water samples tested for contamination]],"no test")</f>
        <v>no test</v>
      </c>
      <c r="BS180" s="647" t="str">
        <f>IF(AND(WWWW[[#This Row],[% of water sources treated]]="no test",WWWW[[#This Row],[% Household received corrective actions]]="no test"),"No Test","Tested")</f>
        <v>No Test</v>
      </c>
      <c r="BT180" s="647">
        <f>WWWW[[#This Row],['#_Constructed/existing protected hand dug well]]-WWWW[[#This Row],['#_Non-functional protected hand dug well]]</f>
        <v>0</v>
      </c>
      <c r="BU180" s="647">
        <f>(WWWW[[#This Row],['#_Constructed/Existing tube wells/boreholes/handpumps_WASH_agency]]+WWWW[[#This Row],['#_Non-Cluster partner water tube-wells/boreholes/handpumps]])-WWWW[[#This Row],['#_Non-functional tube wells/boreholes/handpumps]]</f>
        <v>0</v>
      </c>
      <c r="BV180" s="647">
        <f>WWWW[[#This Row],['#_Constructed/Existingwater storage tank with gravity fed reticulation system]]-WWWW[[#This Row],['#_Non-functional storage tank gravity fed reticulation system]]</f>
        <v>0</v>
      </c>
      <c r="BW180" s="647">
        <f>WWWW[[#This Row],['#_Water boating or water trucking]]</f>
        <v>0</v>
      </c>
      <c r="BX180" s="647">
        <f>WWWW[[#This Row],['#_Constructed/Existing water distribution system from river or natural spring]]</f>
        <v>0</v>
      </c>
      <c r="BY180"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80"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80" s="648">
        <f>IF(WWWW[[#This Row],[Location Type 1]]="Village",WWWW[[#This Row],[Access to safe drinking water for Village]],WWWW[[#This Row],[Access to safe drinking water for Camp]])</f>
        <v>0</v>
      </c>
      <c r="CB180" s="645">
        <f>WWWW[[#This Row],[%Equitable and continuous access to sufficient quantity of safe drinking water]]*WWWW[[#This Row],[Total PoP ]]</f>
        <v>0</v>
      </c>
      <c r="CC180" s="648">
        <f>IF((WWWW[[#This Row],['#_Constructed/Existing protected/fenced ponds]]*250)/WWWW[[#This Row],[Total PoP ]]&gt;1,1,(WWWW[[#This Row],['#_Constructed/Existing protected/fenced ponds]]*250)/WWWW[[#This Row],[Total PoP ]])</f>
        <v>0</v>
      </c>
      <c r="CD180" s="645">
        <f>WWWW[[#This Row],[% Access to unimproved water points]]*WWWW[[#This Row],[Total PoP ]]</f>
        <v>0</v>
      </c>
      <c r="CE180"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80"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80" s="645">
        <f>WWWW[[#This Row],[HRP1]]/500</f>
        <v>0</v>
      </c>
      <c r="CH180" s="650">
        <f>1-WWWW[[#This Row],[% Equitable and continuous access to sufficient quantity of domestic water]]</f>
        <v>1</v>
      </c>
      <c r="CI180" s="645">
        <f>WWWW[[#This Row],[%equitable and continuous access to sufficient quantity of safe drinking and domestic water''s GAP]]*WWWW[[#This Row],[Total PoP ]]</f>
        <v>100</v>
      </c>
      <c r="CJ180" s="647">
        <f>IF(WWWW[[#This Row],[Total required water points]]-WWWW[[#This Row],['#Water points coverage]]&lt;0,0,WWWW[[#This Row],[Total required water points]]-WWWW[[#This Row],['#Water points coverage]])</f>
        <v>1</v>
      </c>
      <c r="CK180" s="647">
        <f>ROUND(IF(WWWW[[#This Row],[Total PoP ]]&lt;500,1,WWWW[[#This Row],[Total PoP ]]/500),0)</f>
        <v>1</v>
      </c>
      <c r="CL180" s="647">
        <f>(WWWW[[#This Row],['#_Constructed latrines_by_WASHAgencies]]+WWWW[[#This Row],['#_Non Cluster partner latrines]])-WWWW[[#This Row],['#_Non-functional latrines]]</f>
        <v>0</v>
      </c>
      <c r="CM180"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80"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80"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80" s="647" t="str">
        <f>IF(WWWW[[#This Row],[Location Type 1]]="Village","NA",IF(WWWW[[#This Row],['#_Constructed/Existing latrines in TLS]]*50&gt;WWWW[[#This Row],['#_students at TLS_CFS]],WWWW[[#This Row],['#_students at TLS_CFS]],(WWWW[[#This Row],['#_Constructed/Existing latrines in TLS]]*50)))</f>
        <v>NA</v>
      </c>
      <c r="CQ180" s="647">
        <f>ROUND(IF(WWWW[[#This Row],[Location Type 1]]="camp",WWWW[[#This Row],[Total PoP ]]/20,IF(WWWW[[#This Row],[Location Type 1]]="Temporary Location",WWWW[[#This Row],[Total PoP ]]/50,(WWWW[[#This Row],[Total PoP ]]/6))),0)</f>
        <v>17</v>
      </c>
      <c r="CR180" s="647">
        <f>IF(WWWW[[#This Row],[Total required Latrines]]-(WWWW[[#This Row],['#_Constructed latrines_by_WASHAgencies]]+WWWW[[#This Row],['#_Non Cluster partner latrines]])&lt;0,0,WWWW[[#This Row],[Total required Latrines]]-(WWWW[[#This Row],['#_Constructed latrines_by_WASHAgencies]]+WWWW[[#This Row],['#_Non Cluster partner latrines]]))</f>
        <v>17</v>
      </c>
      <c r="CS180" s="79">
        <f>1-WWWW[[#This Row],[% people access to functioning Latrine]]</f>
        <v>1</v>
      </c>
      <c r="CT180" s="649">
        <f>IF(OR(WWWW[[#This Row],['#_Non-functional latrines]]="",WWWW[[#This Row],['#_Non-functional latrines]]=0),0,WWWW[[#This Row],['#_Non-functional latrines]]/(WWWW[[#This Row],['#_Constructed latrines_by_WASHAgencies]]+WWWW[[#This Row],['#_Non Cluster partner latrines]]))</f>
        <v>0</v>
      </c>
      <c r="CU180" s="645">
        <f>IF(500*(WWWW[[#This Row],['#_male hygiene promoters]]+WWWW[[#This Row],['#_female hygiene promoters]])&gt;WWWW[[#This Row],[Total PoP ]],WWWW[[#This Row],[Total PoP ]],500*(WWWW[[#This Row],['#_male hygiene promoters]]+WWWW[[#This Row],['#_female hygiene promoters]]))</f>
        <v>100</v>
      </c>
      <c r="CV180"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80"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80" s="647">
        <f>IF(WWWW[[#This Row],['# People with access to soap]]&gt;WWWW[[#This Row],['# People with access to Sanity Pads]],WWWW[[#This Row],['# People with access to soap]],WWWW[[#This Row],['# People with access to Sanity Pads]])</f>
        <v>0</v>
      </c>
      <c r="CY180" s="647">
        <f>IF(WWWW[[#This Row],['# people reached by regular dedicated hygiene promotion_5]]&gt;WWWW[[#This Row],['# People received regular supply of hygiene items_6]],WWWW[[#This Row],['# people reached by regular dedicated hygiene promotion_5]],WWWW[[#This Row],['# People received regular supply of hygiene items_6]])</f>
        <v>100</v>
      </c>
      <c r="CZ180" s="650">
        <f>IF(WWWW[[#This Row],[HRP3]]/WWWW[[#This Row],[Total PoP ]]&gt;100%,100%,WWWW[[#This Row],[HRP3]]/WWWW[[#This Row],[Total PoP ]])</f>
        <v>1</v>
      </c>
      <c r="DA180" s="649">
        <f>1-WWWW[[#This Row],[Hygiene Coverage%]]</f>
        <v>0</v>
      </c>
      <c r="DB180" s="648">
        <f>WWWW[[#This Row],['# people reached by regular dedicated hygiene promotion_5]]/WWWW[[#This Row],[Total PoP ]]</f>
        <v>1</v>
      </c>
      <c r="DC180" s="648">
        <f>IF(WWWW[[#This Row],['#_households that received standard amount of soap for this quarter]]/WWWW[[#This Row],[Total HH]]&gt;1,1,WWWW[[#This Row],['#_households that received standard amount of soap for this quarter]]/WWWW[[#This Row],[Total HH]])</f>
        <v>0</v>
      </c>
      <c r="DD180" s="648">
        <f>IF(WWWW[[#This Row],['#_households that received standard amount of sanitary pads for this quarter]]/WWWW[[#This Row],[Total HH]]&gt;1,1,WWWW[[#This Row],['#_households that received standard amount of sanitary pads for this quarter]]/WWWW[[#This Row],[Total HH]])</f>
        <v>0</v>
      </c>
      <c r="DE180" s="647">
        <f>WWWW[[#This Row],['#_Constructed/Existing hand washing stations]]-WWWW[[#This Row],['#_Non-Functional_hand_washing_stations]]</f>
        <v>0</v>
      </c>
      <c r="DF180" s="667">
        <f>IF(WWWW[[#This Row],['# Functional hand washing stations during reporting period]]*20&gt;WWWW[[#This Row],[Total HH]],WWWW[[#This Row],[Total HH]],WWWW[[#This Row],['# Functional hand washing stations during reporting period]]*20)</f>
        <v>0</v>
      </c>
      <c r="DG180" s="645">
        <f>IF(WWWW[[#This Row],[Is sufficient soap available for TLS? (Yes/No)]]="yes",WWWW[[#This Row],['#_Constructed/Existing hand washing stations at TLS]],0)</f>
        <v>0</v>
      </c>
      <c r="DH180" s="645">
        <f>IF(WWWW[[#This Row],['# Functional hand washing stations during reporting period]]*100&gt;WWWW[[#This Row],[Total PoP ]],WWWW[[#This Row],[Total PoP ]],WWWW[[#This Row],['# Functional hand washing stations during reporting period]]*100)</f>
        <v>0</v>
      </c>
      <c r="DI180" s="645" t="str">
        <f>IF(WWWW[[#This Row],['#_students at TLS_CFS]]="","No","Yes")</f>
        <v>No</v>
      </c>
      <c r="DJ180" s="643">
        <f>VLOOKUP(WWWW[[#This Row],[Site Name]],SiteDB6[[Site Name]:[CCCM Management]],6,FALSE)</f>
        <v>0</v>
      </c>
      <c r="DK180" s="643">
        <f>VLOOKUP(WWWW[[#This Row],[Site Name]],SiteDB6[[Site Name]:[CCCM Focal Agency]],7,FALSE)</f>
        <v>0</v>
      </c>
      <c r="DL180" s="643" t="str">
        <f>VLOOKUP(WWWW[[#This Row],[Site Name]],SiteDB6[[Site Name]:[Location Type 1]],9,FALSE)</f>
        <v>Village</v>
      </c>
      <c r="DM180" s="643" t="str">
        <f>VLOOKUP(WWWW[[#This Row],[Site Name]],SiteDB6[[Site Name]:[Type of Accommodation]],10,FALSE)</f>
        <v>Village</v>
      </c>
      <c r="DN180" s="643" t="str">
        <f>VLOOKUP(WWWW[[#This Row],[Site Name]],SiteDB6[[Site Name]:[Ethnic or GCA/NGCA]],11,FALSE)</f>
        <v>Rakhine</v>
      </c>
      <c r="DO180" s="643">
        <f>VLOOKUP(WWWW[[#This Row],[Site Name]],SiteDB6[[Site Name]:[Lat]],12,FALSE)</f>
        <v>20.80558014</v>
      </c>
      <c r="DP180" s="643">
        <f>VLOOKUP(WWWW[[#This Row],[Site Name]],SiteDB6[[Site Name]:[Long]],13,FALSE)</f>
        <v>92.549842830000003</v>
      </c>
      <c r="DQ180" s="643">
        <f>VLOOKUP(WWWW[[#This Row],[Site Name]],SiteDB6[[Site Name]:[Pcode]],3,FALSE)</f>
        <v>198336</v>
      </c>
      <c r="DR180" s="652" t="str">
        <f t="shared" si="6"/>
        <v>Covered</v>
      </c>
      <c r="DS180" s="652"/>
    </row>
    <row r="181" spans="1:123">
      <c r="A181" s="637" t="s">
        <v>2525</v>
      </c>
      <c r="B181" s="863" t="s">
        <v>249</v>
      </c>
      <c r="C181" s="863" t="s">
        <v>249</v>
      </c>
      <c r="D181" s="864"/>
      <c r="E181" s="865" t="s">
        <v>3013</v>
      </c>
      <c r="F181" s="864" t="s">
        <v>337</v>
      </c>
      <c r="G181" s="866" t="str">
        <f>VLOOKUP(WWWW[[#This Row],[Site Name]],SiteDB6[[Site Name]:[Location Type]],8,FALSE)</f>
        <v>New Temporary Site</v>
      </c>
      <c r="H181" s="864" t="s">
        <v>2838</v>
      </c>
      <c r="I181" s="867">
        <v>30</v>
      </c>
      <c r="J181" s="867">
        <v>118</v>
      </c>
      <c r="K181" s="868"/>
      <c r="L181" s="869"/>
      <c r="M181" s="867"/>
      <c r="N181" s="867"/>
      <c r="O181" s="867"/>
      <c r="P181" s="867"/>
      <c r="Q181" s="870"/>
      <c r="R181" s="867"/>
      <c r="S181" s="867"/>
      <c r="T181" s="907"/>
      <c r="U181" s="867"/>
      <c r="V181" s="867"/>
      <c r="W181" s="867"/>
      <c r="X181" s="867"/>
      <c r="Y181" s="867"/>
      <c r="Z181" s="867"/>
      <c r="AA181" s="867"/>
      <c r="AB181" s="867"/>
      <c r="AC181" s="867"/>
      <c r="AD181" s="867"/>
      <c r="AE181" s="867"/>
      <c r="AF181" s="867"/>
      <c r="AG181" s="867"/>
      <c r="AH181" s="867"/>
      <c r="AI181" s="867"/>
      <c r="AJ181" s="867"/>
      <c r="AK181" s="867"/>
      <c r="AL181" s="867"/>
      <c r="AM181" s="867"/>
      <c r="AN181" s="867"/>
      <c r="AO181" s="871"/>
      <c r="AP181" s="867"/>
      <c r="AQ181" s="867"/>
      <c r="AR181" s="872"/>
      <c r="AS181" s="867"/>
      <c r="AT181" s="867"/>
      <c r="AU181" s="867"/>
      <c r="AV181" s="867"/>
      <c r="AW181" s="867"/>
      <c r="AX181" s="873"/>
      <c r="AY181" s="871"/>
      <c r="AZ181" s="867"/>
      <c r="BA181" s="867"/>
      <c r="BB181" s="867"/>
      <c r="BC181" s="873"/>
      <c r="BD181" s="867"/>
      <c r="BE181" s="867"/>
      <c r="BF181" s="867"/>
      <c r="BG181" s="867"/>
      <c r="BH181" s="867"/>
      <c r="BI181" s="867"/>
      <c r="BJ181" s="867"/>
      <c r="BK181" s="867">
        <v>30</v>
      </c>
      <c r="BL181" s="867">
        <v>30</v>
      </c>
      <c r="BM181" s="873"/>
      <c r="BN181" s="874"/>
      <c r="BO181" s="872"/>
      <c r="BP181" s="873"/>
      <c r="BQ181" s="875" t="str">
        <f>IFERROR(WWWW[[#This Row],['#_Water sources treated]]/WWWW[[#This Row],['#_Water sources tested for contamination]],"no test")</f>
        <v>no test</v>
      </c>
      <c r="BR181" s="872" t="str">
        <f>IFERROR(WWWW[[#This Row],['#_Household received remediation action due to contamination]]/WWWW[[#This Row],['#_Household water samples tested for contamination]],"no test")</f>
        <v>no test</v>
      </c>
      <c r="BS181" s="874" t="str">
        <f>IF(AND(WWWW[[#This Row],[% of water sources treated]]="no test",WWWW[[#This Row],[% Household received corrective actions]]="no test"),"No Test","Tested")</f>
        <v>No Test</v>
      </c>
      <c r="BT181" s="874">
        <f>WWWW[[#This Row],['#_Constructed/existing protected hand dug well]]-WWWW[[#This Row],['#_Non-functional protected hand dug well]]</f>
        <v>0</v>
      </c>
      <c r="BU181" s="874">
        <f>(WWWW[[#This Row],['#_Constructed/Existing tube wells/boreholes/handpumps_WASH_agency]]+WWWW[[#This Row],['#_Non-Cluster partner water tube-wells/boreholes/handpumps]])-WWWW[[#This Row],['#_Non-functional tube wells/boreholes/handpumps]]</f>
        <v>0</v>
      </c>
      <c r="BV181" s="874">
        <f>WWWW[[#This Row],['#_Constructed/Existingwater storage tank with gravity fed reticulation system]]-WWWW[[#This Row],['#_Non-functional storage tank gravity fed reticulation system]]</f>
        <v>0</v>
      </c>
      <c r="BW181" s="874">
        <f>WWWW[[#This Row],['#_Water boating or water trucking]]</f>
        <v>0</v>
      </c>
      <c r="BX181" s="874">
        <f>WWWW[[#This Row],['#_Constructed/Existing water distribution system from river or natural spring]]</f>
        <v>0</v>
      </c>
      <c r="BY181"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81"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81" s="872">
        <f>IF(WWWW[[#This Row],[Location Type 1]]="Village",WWWW[[#This Row],[Access to safe drinking water for Village]],WWWW[[#This Row],[Access to safe drinking water for Camp]])</f>
        <v>0</v>
      </c>
      <c r="CB181" s="870">
        <f>WWWW[[#This Row],[%Equitable and continuous access to sufficient quantity of safe drinking water]]*WWWW[[#This Row],[Total PoP ]]</f>
        <v>0</v>
      </c>
      <c r="CC181" s="872">
        <f>IF((WWWW[[#This Row],['#_Constructed/Existing protected/fenced ponds]]*250)/WWWW[[#This Row],[Total PoP ]]&gt;1,1,(WWWW[[#This Row],['#_Constructed/Existing protected/fenced ponds]]*250)/WWWW[[#This Row],[Total PoP ]])</f>
        <v>0</v>
      </c>
      <c r="CD181" s="870">
        <f>WWWW[[#This Row],[% Access to unimproved water points]]*WWWW[[#This Row],[Total PoP ]]</f>
        <v>0</v>
      </c>
      <c r="CE181"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81"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81" s="870">
        <f>WWWW[[#This Row],[HRP1]]/500</f>
        <v>0</v>
      </c>
      <c r="CH181" s="876">
        <f>1-WWWW[[#This Row],[% Equitable and continuous access to sufficient quantity of domestic water]]</f>
        <v>1</v>
      </c>
      <c r="CI181" s="870">
        <f>WWWW[[#This Row],[%equitable and continuous access to sufficient quantity of safe drinking and domestic water''s GAP]]*WWWW[[#This Row],[Total PoP ]]</f>
        <v>118</v>
      </c>
      <c r="CJ181" s="874">
        <f>IF(WWWW[[#This Row],[Total required water points]]-WWWW[[#This Row],['#Water points coverage]]&lt;0,0,WWWW[[#This Row],[Total required water points]]-WWWW[[#This Row],['#Water points coverage]])</f>
        <v>1</v>
      </c>
      <c r="CK181" s="874">
        <f>ROUND(IF(WWWW[[#This Row],[Total PoP ]]&lt;500,1,WWWW[[#This Row],[Total PoP ]]/500),0)</f>
        <v>1</v>
      </c>
      <c r="CL181" s="874">
        <f>(WWWW[[#This Row],['#_Constructed latrines_by_WASHAgencies]]+WWWW[[#This Row],['#_Non Cluster partner latrines]])-WWWW[[#This Row],['#_Non-functional latrines]]</f>
        <v>0</v>
      </c>
      <c r="CM181" s="905">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81"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81"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181" s="874">
        <f>IF(WWWW[[#This Row],[Location Type 1]]="Village","NA",IF(WWWW[[#This Row],['#_Constructed/Existing latrines in TLS]]*50&gt;WWWW[[#This Row],['#_students at TLS_CFS]],WWWW[[#This Row],['#_students at TLS_CFS]],(WWWW[[#This Row],['#_Constructed/Existing latrines in TLS]]*50)))</f>
        <v>0</v>
      </c>
      <c r="CQ181" s="874">
        <f>ROUND(IF(WWWW[[#This Row],[Location Type 1]]="camp",WWWW[[#This Row],[Total PoP ]]/20,IF(WWWW[[#This Row],[Location Type 1]]="Temporary Location",WWWW[[#This Row],[Total PoP ]]/50,(WWWW[[#This Row],[Total PoP ]]/6))),0)</f>
        <v>2</v>
      </c>
      <c r="CR181" s="874">
        <f>IF(WWWW[[#This Row],[Total required Latrines]]-(WWWW[[#This Row],['#_Constructed latrines_by_WASHAgencies]]+WWWW[[#This Row],['#_Non Cluster partner latrines]])&lt;0,0,WWWW[[#This Row],[Total required Latrines]]-(WWWW[[#This Row],['#_Constructed latrines_by_WASHAgencies]]+WWWW[[#This Row],['#_Non Cluster partner latrines]]))</f>
        <v>2</v>
      </c>
      <c r="CS181" s="878">
        <f>1-WWWW[[#This Row],[% people access to functioning Latrine]]</f>
        <v>1</v>
      </c>
      <c r="CT181" s="875">
        <f>IF(OR(WWWW[[#This Row],['#_Non-functional latrines]]="",WWWW[[#This Row],['#_Non-functional latrines]]=0),0,WWWW[[#This Row],['#_Non-functional latrines]]/(WWWW[[#This Row],['#_Constructed latrines_by_WASHAgencies]]+WWWW[[#This Row],['#_Non Cluster partner latrines]]))</f>
        <v>0</v>
      </c>
      <c r="CU181" s="870">
        <f>IF(500*(WWWW[[#This Row],['#_male hygiene promoters]]+WWWW[[#This Row],['#_female hygiene promoters]])&gt;WWWW[[#This Row],[Total PoP ]],WWWW[[#This Row],[Total PoP ]],500*(WWWW[[#This Row],['#_male hygiene promoters]]+WWWW[[#This Row],['#_female hygiene promoters]]))</f>
        <v>0</v>
      </c>
      <c r="CV181"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118</v>
      </c>
      <c r="CW181"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118</v>
      </c>
      <c r="CX181" s="874">
        <f>IF(WWWW[[#This Row],['# People with access to soap]]&gt;WWWW[[#This Row],['# People with access to Sanity Pads]],WWWW[[#This Row],['# People with access to soap]],WWWW[[#This Row],['# People with access to Sanity Pads]])</f>
        <v>118</v>
      </c>
      <c r="CY181" s="874">
        <f>IF(WWWW[[#This Row],['# people reached by regular dedicated hygiene promotion_5]]&gt;WWWW[[#This Row],['# People received regular supply of hygiene items_6]],WWWW[[#This Row],['# people reached by regular dedicated hygiene promotion_5]],WWWW[[#This Row],['# People received regular supply of hygiene items_6]])</f>
        <v>118</v>
      </c>
      <c r="CZ181" s="876">
        <f>IF(WWWW[[#This Row],[HRP3]]/WWWW[[#This Row],[Total PoP ]]&gt;100%,100%,WWWW[[#This Row],[HRP3]]/WWWW[[#This Row],[Total PoP ]])</f>
        <v>1</v>
      </c>
      <c r="DA181" s="875">
        <f>1-WWWW[[#This Row],[Hygiene Coverage%]]</f>
        <v>0</v>
      </c>
      <c r="DB181" s="872">
        <f>WWWW[[#This Row],['# people reached by regular dedicated hygiene promotion_5]]/WWWW[[#This Row],[Total PoP ]]</f>
        <v>0</v>
      </c>
      <c r="DC181" s="872">
        <f>IF(WWWW[[#This Row],['#_households that received standard amount of soap for this quarter]]/WWWW[[#This Row],[Total HH]]&gt;1,1,WWWW[[#This Row],['#_households that received standard amount of soap for this quarter]]/WWWW[[#This Row],[Total HH]])</f>
        <v>1</v>
      </c>
      <c r="DD181" s="872">
        <f>IF(WWWW[[#This Row],['#_households that received standard amount of sanitary pads for this quarter]]/WWWW[[#This Row],[Total HH]]&gt;1,1,WWWW[[#This Row],['#_households that received standard amount of sanitary pads for this quarter]]/WWWW[[#This Row],[Total HH]])</f>
        <v>1</v>
      </c>
      <c r="DE181" s="874">
        <f>WWWW[[#This Row],['#_Constructed/Existing hand washing stations]]-WWWW[[#This Row],['#_Non-Functional_hand_washing_stations]]</f>
        <v>0</v>
      </c>
      <c r="DF181" s="879" t="e">
        <f>WWWW[[#This Row],[Total HH]]*#REF!</f>
        <v>#REF!</v>
      </c>
      <c r="DG181" s="870">
        <f>IF(WWWW[[#This Row],[Is sufficient soap available for TLS? (Yes/No)]]="yes",WWWW[[#This Row],['#_Constructed/Existing hand washing stations at TLS]],0)</f>
        <v>0</v>
      </c>
      <c r="DH181" s="903">
        <f>IF(WWWW[[#This Row],['# Functional hand washing stations during reporting period]]*100&gt;WWWW[[#This Row],[Total PoP ]],WWWW[[#This Row],[Total PoP ]],WWWW[[#This Row],['# Functional hand washing stations during reporting period]]*100)</f>
        <v>0</v>
      </c>
      <c r="DI181" s="903" t="str">
        <f>IF(WWWW[[#This Row],['#_students at TLS_CFS]]="","No","Yes")</f>
        <v>No</v>
      </c>
      <c r="DJ181" s="873">
        <f>VLOOKUP(WWWW[[#This Row],[Site Name]],SiteDB6[[Site Name]:[CCCM Management]],6,FALSE)</f>
        <v>0</v>
      </c>
      <c r="DK181" s="873">
        <f>VLOOKUP(WWWW[[#This Row],[Site Name]],SiteDB6[[Site Name]:[CCCM Focal Agency]],7,FALSE)</f>
        <v>0</v>
      </c>
      <c r="DL181" s="873" t="str">
        <f>VLOOKUP(WWWW[[#This Row],[Site Name]],SiteDB6[[Site Name]:[Location Type 1]],9,FALSE)</f>
        <v>Temporary location</v>
      </c>
      <c r="DM181" s="873" t="str">
        <f>VLOOKUP(WWWW[[#This Row],[Site Name]],SiteDB6[[Site Name]:[Type of Accommodation]],10,FALSE)</f>
        <v>Temporary location</v>
      </c>
      <c r="DN181" s="873">
        <f>VLOOKUP(WWWW[[#This Row],[Site Name]],SiteDB6[[Site Name]:[Ethnic or GCA/NGCA]],11,FALSE)</f>
        <v>0</v>
      </c>
      <c r="DO181" s="873">
        <f>VLOOKUP(WWWW[[#This Row],[Site Name]],SiteDB6[[Site Name]:[Lat]],12,FALSE)</f>
        <v>0</v>
      </c>
      <c r="DP181" s="873">
        <f>VLOOKUP(WWWW[[#This Row],[Site Name]],SiteDB6[[Site Name]:[Long]],13,FALSE)</f>
        <v>0</v>
      </c>
      <c r="DQ181" s="873">
        <f>VLOOKUP(WWWW[[#This Row],[Site Name]],SiteDB6[[Site Name]:[Pcode]],3,FALSE)</f>
        <v>0</v>
      </c>
      <c r="DR181" s="871" t="str">
        <f t="shared" si="6"/>
        <v>Covered</v>
      </c>
      <c r="DS181" s="871"/>
    </row>
    <row r="182" spans="1:123">
      <c r="A182" s="637" t="s">
        <v>2525</v>
      </c>
      <c r="B182" s="637" t="s">
        <v>2802</v>
      </c>
      <c r="C182" s="644" t="s">
        <v>387</v>
      </c>
      <c r="D182" s="644" t="s">
        <v>2803</v>
      </c>
      <c r="E182" s="663" t="s">
        <v>3013</v>
      </c>
      <c r="F182" s="644" t="s">
        <v>337</v>
      </c>
      <c r="G182" s="663" t="str">
        <f>VLOOKUP(WWWW[[#This Row],[Site Name]],SiteDB6[[Site Name]:[Location Type]],8,FALSE)</f>
        <v>Village</v>
      </c>
      <c r="H182" s="644" t="s">
        <v>2820</v>
      </c>
      <c r="I182" s="646">
        <v>18</v>
      </c>
      <c r="J182" s="646">
        <v>85</v>
      </c>
      <c r="K182" s="653">
        <v>43480</v>
      </c>
      <c r="L182" s="654">
        <v>43723</v>
      </c>
      <c r="M182" s="646"/>
      <c r="N182" s="646"/>
      <c r="O182" s="646"/>
      <c r="P182" s="646"/>
      <c r="Q182" s="645"/>
      <c r="R182" s="646"/>
      <c r="S182" s="646"/>
      <c r="T182" s="646"/>
      <c r="U182" s="646"/>
      <c r="V182" s="646"/>
      <c r="W182" s="646"/>
      <c r="X182" s="646"/>
      <c r="Y182" s="646"/>
      <c r="Z182" s="646"/>
      <c r="AA182" s="646"/>
      <c r="AB182" s="646"/>
      <c r="AC182" s="646"/>
      <c r="AD182" s="646"/>
      <c r="AE182" s="646"/>
      <c r="AF182" s="646"/>
      <c r="AG182" s="646"/>
      <c r="AH182" s="646"/>
      <c r="AI182" s="646"/>
      <c r="AJ182" s="646"/>
      <c r="AK182" s="646"/>
      <c r="AL182" s="646"/>
      <c r="AM182" s="646"/>
      <c r="AN182" s="646"/>
      <c r="AO182" s="652"/>
      <c r="AP182" s="646"/>
      <c r="AQ182" s="646"/>
      <c r="AR182" s="648"/>
      <c r="AS182" s="646"/>
      <c r="AT182" s="646"/>
      <c r="AU182" s="646"/>
      <c r="AV182" s="646"/>
      <c r="AW182" s="646"/>
      <c r="AX182" s="643"/>
      <c r="AY182" s="652"/>
      <c r="AZ182" s="646"/>
      <c r="BA182" s="646"/>
      <c r="BB182" s="646"/>
      <c r="BC182" s="643"/>
      <c r="BD182" s="646"/>
      <c r="BE182" s="646"/>
      <c r="BF182" s="646"/>
      <c r="BG182" s="646"/>
      <c r="BH182" s="646"/>
      <c r="BI182" s="646">
        <v>18</v>
      </c>
      <c r="BJ182" s="646">
        <v>18</v>
      </c>
      <c r="BK182" s="646"/>
      <c r="BL182" s="646"/>
      <c r="BM182" s="643"/>
      <c r="BN182" s="647"/>
      <c r="BO182" s="648"/>
      <c r="BP182" s="643"/>
      <c r="BQ182" s="649" t="str">
        <f>IFERROR(WWWW[[#This Row],['#_Water sources treated]]/WWWW[[#This Row],['#_Water sources tested for contamination]],"no test")</f>
        <v>no test</v>
      </c>
      <c r="BR182" s="648" t="str">
        <f>IFERROR(WWWW[[#This Row],['#_Household received remediation action due to contamination]]/WWWW[[#This Row],['#_Household water samples tested for contamination]],"no test")</f>
        <v>no test</v>
      </c>
      <c r="BS182" s="647" t="str">
        <f>IF(AND(WWWW[[#This Row],[% of water sources treated]]="no test",WWWW[[#This Row],[% Household received corrective actions]]="no test"),"No Test","Tested")</f>
        <v>No Test</v>
      </c>
      <c r="BT182" s="647">
        <f>WWWW[[#This Row],['#_Constructed/existing protected hand dug well]]-WWWW[[#This Row],['#_Non-functional protected hand dug well]]</f>
        <v>0</v>
      </c>
      <c r="BU182" s="647">
        <f>(WWWW[[#This Row],['#_Constructed/Existing tube wells/boreholes/handpumps_WASH_agency]]+WWWW[[#This Row],['#_Non-Cluster partner water tube-wells/boreholes/handpumps]])-WWWW[[#This Row],['#_Non-functional tube wells/boreholes/handpumps]]</f>
        <v>0</v>
      </c>
      <c r="BV182" s="647">
        <f>WWWW[[#This Row],['#_Constructed/Existingwater storage tank with gravity fed reticulation system]]-WWWW[[#This Row],['#_Non-functional storage tank gravity fed reticulation system]]</f>
        <v>0</v>
      </c>
      <c r="BW182" s="647">
        <f>WWWW[[#This Row],['#_Water boating or water trucking]]</f>
        <v>0</v>
      </c>
      <c r="BX182" s="647">
        <f>WWWW[[#This Row],['#_Constructed/Existing water distribution system from river or natural spring]]</f>
        <v>0</v>
      </c>
      <c r="BY182"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82"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82" s="648">
        <f>IF(WWWW[[#This Row],[Location Type 1]]="Village",WWWW[[#This Row],[Access to safe drinking water for Village]],WWWW[[#This Row],[Access to safe drinking water for Camp]])</f>
        <v>0</v>
      </c>
      <c r="CB182" s="645">
        <f>WWWW[[#This Row],[%Equitable and continuous access to sufficient quantity of safe drinking water]]*WWWW[[#This Row],[Total PoP ]]</f>
        <v>0</v>
      </c>
      <c r="CC182" s="648">
        <f>IF((WWWW[[#This Row],['#_Constructed/Existing protected/fenced ponds]]*250)/WWWW[[#This Row],[Total PoP ]]&gt;1,1,(WWWW[[#This Row],['#_Constructed/Existing protected/fenced ponds]]*250)/WWWW[[#This Row],[Total PoP ]])</f>
        <v>0</v>
      </c>
      <c r="CD182" s="645">
        <f>WWWW[[#This Row],[% Access to unimproved water points]]*WWWW[[#This Row],[Total PoP ]]</f>
        <v>0</v>
      </c>
      <c r="CE182"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82"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82" s="645">
        <f>WWWW[[#This Row],[HRP1]]/500</f>
        <v>0</v>
      </c>
      <c r="CH182" s="650">
        <f>1-WWWW[[#This Row],[% Equitable and continuous access to sufficient quantity of domestic water]]</f>
        <v>1</v>
      </c>
      <c r="CI182" s="645">
        <f>WWWW[[#This Row],[%equitable and continuous access to sufficient quantity of safe drinking and domestic water''s GAP]]*WWWW[[#This Row],[Total PoP ]]</f>
        <v>85</v>
      </c>
      <c r="CJ182" s="647">
        <f>IF(WWWW[[#This Row],[Total required water points]]-WWWW[[#This Row],['#Water points coverage]]&lt;0,0,WWWW[[#This Row],[Total required water points]]-WWWW[[#This Row],['#Water points coverage]])</f>
        <v>1</v>
      </c>
      <c r="CK182" s="647">
        <f>ROUND(IF(WWWW[[#This Row],[Total PoP ]]&lt;500,1,WWWW[[#This Row],[Total PoP ]]/500),0)</f>
        <v>1</v>
      </c>
      <c r="CL182" s="647">
        <f>(WWWW[[#This Row],['#_Constructed latrines_by_WASHAgencies]]+WWWW[[#This Row],['#_Non Cluster partner latrines]])-WWWW[[#This Row],['#_Non-functional latrines]]</f>
        <v>0</v>
      </c>
      <c r="CM182"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82"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82"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82" s="647" t="str">
        <f>IF(WWWW[[#This Row],[Location Type 1]]="Village","NA",IF(WWWW[[#This Row],['#_Constructed/Existing latrines in TLS]]*50&gt;WWWW[[#This Row],['#_students at TLS_CFS]],WWWW[[#This Row],['#_students at TLS_CFS]],(WWWW[[#This Row],['#_Constructed/Existing latrines in TLS]]*50)))</f>
        <v>NA</v>
      </c>
      <c r="CQ182" s="647">
        <f>ROUND(IF(WWWW[[#This Row],[Location Type 1]]="camp",WWWW[[#This Row],[Total PoP ]]/20,IF(WWWW[[#This Row],[Location Type 1]]="Temporary Location",WWWW[[#This Row],[Total PoP ]]/50,(WWWW[[#This Row],[Total PoP ]]/6))),0)</f>
        <v>14</v>
      </c>
      <c r="CR182" s="647">
        <f>IF(WWWW[[#This Row],[Total required Latrines]]-(WWWW[[#This Row],['#_Constructed latrines_by_WASHAgencies]]+WWWW[[#This Row],['#_Non Cluster partner latrines]])&lt;0,0,WWWW[[#This Row],[Total required Latrines]]-(WWWW[[#This Row],['#_Constructed latrines_by_WASHAgencies]]+WWWW[[#This Row],['#_Non Cluster partner latrines]]))</f>
        <v>14</v>
      </c>
      <c r="CS182" s="79">
        <f>1-WWWW[[#This Row],[% people access to functioning Latrine]]</f>
        <v>1</v>
      </c>
      <c r="CT182" s="649">
        <f>IF(OR(WWWW[[#This Row],['#_Non-functional latrines]]="",WWWW[[#This Row],['#_Non-functional latrines]]=0),0,WWWW[[#This Row],['#_Non-functional latrines]]/(WWWW[[#This Row],['#_Constructed latrines_by_WASHAgencies]]+WWWW[[#This Row],['#_Non Cluster partner latrines]]))</f>
        <v>0</v>
      </c>
      <c r="CU182" s="645">
        <f>IF(500*(WWWW[[#This Row],['#_male hygiene promoters]]+WWWW[[#This Row],['#_female hygiene promoters]])&gt;WWWW[[#This Row],[Total PoP ]],WWWW[[#This Row],[Total PoP ]],500*(WWWW[[#This Row],['#_male hygiene promoters]]+WWWW[[#This Row],['#_female hygiene promoters]]))</f>
        <v>85</v>
      </c>
      <c r="CV182"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82"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82" s="647">
        <f>IF(WWWW[[#This Row],['# People with access to soap]]&gt;WWWW[[#This Row],['# People with access to Sanity Pads]],WWWW[[#This Row],['# People with access to soap]],WWWW[[#This Row],['# People with access to Sanity Pads]])</f>
        <v>0</v>
      </c>
      <c r="CY182" s="647">
        <f>IF(WWWW[[#This Row],['# people reached by regular dedicated hygiene promotion_5]]&gt;WWWW[[#This Row],['# People received regular supply of hygiene items_6]],WWWW[[#This Row],['# people reached by regular dedicated hygiene promotion_5]],WWWW[[#This Row],['# People received regular supply of hygiene items_6]])</f>
        <v>85</v>
      </c>
      <c r="CZ182" s="650">
        <f>IF(WWWW[[#This Row],[HRP3]]/WWWW[[#This Row],[Total PoP ]]&gt;100%,100%,WWWW[[#This Row],[HRP3]]/WWWW[[#This Row],[Total PoP ]])</f>
        <v>1</v>
      </c>
      <c r="DA182" s="649">
        <f>1-WWWW[[#This Row],[Hygiene Coverage%]]</f>
        <v>0</v>
      </c>
      <c r="DB182" s="648">
        <f>WWWW[[#This Row],['# people reached by regular dedicated hygiene promotion_5]]/WWWW[[#This Row],[Total PoP ]]</f>
        <v>1</v>
      </c>
      <c r="DC182" s="648">
        <f>IF(WWWW[[#This Row],['#_households that received standard amount of soap for this quarter]]/WWWW[[#This Row],[Total HH]]&gt;1,1,WWWW[[#This Row],['#_households that received standard amount of soap for this quarter]]/WWWW[[#This Row],[Total HH]])</f>
        <v>0</v>
      </c>
      <c r="DD182" s="648">
        <f>IF(WWWW[[#This Row],['#_households that received standard amount of sanitary pads for this quarter]]/WWWW[[#This Row],[Total HH]]&gt;1,1,WWWW[[#This Row],['#_households that received standard amount of sanitary pads for this quarter]]/WWWW[[#This Row],[Total HH]])</f>
        <v>0</v>
      </c>
      <c r="DE182" s="647">
        <f>WWWW[[#This Row],['#_Constructed/Existing hand washing stations]]-WWWW[[#This Row],['#_Non-Functional_hand_washing_stations]]</f>
        <v>0</v>
      </c>
      <c r="DF182" s="667">
        <f>IF(WWWW[[#This Row],['# Functional hand washing stations during reporting period]]*20&gt;WWWW[[#This Row],[Total HH]],WWWW[[#This Row],[Total HH]],WWWW[[#This Row],['# Functional hand washing stations during reporting period]]*20)</f>
        <v>0</v>
      </c>
      <c r="DG182" s="645">
        <f>IF(WWWW[[#This Row],[Is sufficient soap available for TLS? (Yes/No)]]="yes",WWWW[[#This Row],['#_Constructed/Existing hand washing stations at TLS]],0)</f>
        <v>0</v>
      </c>
      <c r="DH182" s="645">
        <f>IF(WWWW[[#This Row],['# Functional hand washing stations during reporting period]]*100&gt;WWWW[[#This Row],[Total PoP ]],WWWW[[#This Row],[Total PoP ]],WWWW[[#This Row],['# Functional hand washing stations during reporting period]]*100)</f>
        <v>0</v>
      </c>
      <c r="DI182" s="645" t="str">
        <f>IF(WWWW[[#This Row],['#_students at TLS_CFS]]="","No","Yes")</f>
        <v>No</v>
      </c>
      <c r="DJ182" s="643">
        <f>VLOOKUP(WWWW[[#This Row],[Site Name]],SiteDB6[[Site Name]:[CCCM Management]],6,FALSE)</f>
        <v>0</v>
      </c>
      <c r="DK182" s="643">
        <f>VLOOKUP(WWWW[[#This Row],[Site Name]],SiteDB6[[Site Name]:[CCCM Focal Agency]],7,FALSE)</f>
        <v>0</v>
      </c>
      <c r="DL182" s="643" t="str">
        <f>VLOOKUP(WWWW[[#This Row],[Site Name]],SiteDB6[[Site Name]:[Location Type 1]],9,FALSE)</f>
        <v>Village</v>
      </c>
      <c r="DM182" s="643" t="str">
        <f>VLOOKUP(WWWW[[#This Row],[Site Name]],SiteDB6[[Site Name]:[Type of Accommodation]],10,FALSE)</f>
        <v>Village</v>
      </c>
      <c r="DN182" s="643" t="str">
        <f>VLOOKUP(WWWW[[#This Row],[Site Name]],SiteDB6[[Site Name]:[Ethnic or GCA/NGCA]],11,FALSE)</f>
        <v>Rakhine</v>
      </c>
      <c r="DO182" s="643">
        <f>VLOOKUP(WWWW[[#This Row],[Site Name]],SiteDB6[[Site Name]:[Lat]],12,FALSE)</f>
        <v>20.892290119999998</v>
      </c>
      <c r="DP182" s="643">
        <f>VLOOKUP(WWWW[[#This Row],[Site Name]],SiteDB6[[Site Name]:[Long]],13,FALSE)</f>
        <v>92.550079350000004</v>
      </c>
      <c r="DQ182" s="643">
        <f>VLOOKUP(WWWW[[#This Row],[Site Name]],SiteDB6[[Site Name]:[Pcode]],3,FALSE)</f>
        <v>198303</v>
      </c>
      <c r="DR182" s="652" t="str">
        <f t="shared" si="6"/>
        <v>Covered</v>
      </c>
      <c r="DS182" s="652"/>
    </row>
    <row r="183" spans="1:123">
      <c r="A183" s="637" t="s">
        <v>2525</v>
      </c>
      <c r="B183" s="637" t="s">
        <v>2802</v>
      </c>
      <c r="C183" s="644" t="s">
        <v>387</v>
      </c>
      <c r="D183" s="644" t="s">
        <v>2803</v>
      </c>
      <c r="E183" s="663" t="s">
        <v>3013</v>
      </c>
      <c r="F183" s="644" t="s">
        <v>337</v>
      </c>
      <c r="G183" s="663" t="str">
        <f>VLOOKUP(WWWW[[#This Row],[Site Name]],SiteDB6[[Site Name]:[Location Type]],8,FALSE)</f>
        <v>Village</v>
      </c>
      <c r="H183" s="644" t="s">
        <v>2817</v>
      </c>
      <c r="I183" s="646">
        <v>162</v>
      </c>
      <c r="J183" s="646">
        <v>927</v>
      </c>
      <c r="K183" s="653">
        <v>43480</v>
      </c>
      <c r="L183" s="654">
        <v>43723</v>
      </c>
      <c r="M183" s="646"/>
      <c r="N183" s="646"/>
      <c r="O183" s="646"/>
      <c r="P183" s="646"/>
      <c r="Q183" s="645"/>
      <c r="R183" s="646"/>
      <c r="S183" s="646"/>
      <c r="T183" s="646"/>
      <c r="U183" s="646"/>
      <c r="V183" s="646"/>
      <c r="W183" s="646"/>
      <c r="X183" s="646"/>
      <c r="Y183" s="646"/>
      <c r="Z183" s="646"/>
      <c r="AA183" s="646"/>
      <c r="AB183" s="646"/>
      <c r="AC183" s="646"/>
      <c r="AD183" s="646"/>
      <c r="AE183" s="646"/>
      <c r="AF183" s="646"/>
      <c r="AG183" s="646"/>
      <c r="AH183" s="646"/>
      <c r="AI183" s="646"/>
      <c r="AJ183" s="646"/>
      <c r="AK183" s="646"/>
      <c r="AL183" s="646"/>
      <c r="AM183" s="646"/>
      <c r="AN183" s="646"/>
      <c r="AO183" s="652"/>
      <c r="AP183" s="646"/>
      <c r="AQ183" s="646"/>
      <c r="AR183" s="648"/>
      <c r="AS183" s="646"/>
      <c r="AT183" s="646"/>
      <c r="AU183" s="646"/>
      <c r="AV183" s="646"/>
      <c r="AW183" s="646"/>
      <c r="AX183" s="643"/>
      <c r="AY183" s="652"/>
      <c r="AZ183" s="646"/>
      <c r="BA183" s="646"/>
      <c r="BB183" s="646"/>
      <c r="BC183" s="643"/>
      <c r="BD183" s="646"/>
      <c r="BE183" s="646"/>
      <c r="BF183" s="646"/>
      <c r="BG183" s="646"/>
      <c r="BH183" s="646"/>
      <c r="BI183" s="646">
        <v>162</v>
      </c>
      <c r="BJ183" s="646">
        <v>162</v>
      </c>
      <c r="BK183" s="646"/>
      <c r="BL183" s="646"/>
      <c r="BM183" s="643"/>
      <c r="BN183" s="647"/>
      <c r="BO183" s="648"/>
      <c r="BP183" s="643"/>
      <c r="BQ183" s="649" t="str">
        <f>IFERROR(WWWW[[#This Row],['#_Water sources treated]]/WWWW[[#This Row],['#_Water sources tested for contamination]],"no test")</f>
        <v>no test</v>
      </c>
      <c r="BR183" s="648" t="str">
        <f>IFERROR(WWWW[[#This Row],['#_Household received remediation action due to contamination]]/WWWW[[#This Row],['#_Household water samples tested for contamination]],"no test")</f>
        <v>no test</v>
      </c>
      <c r="BS183" s="647" t="str">
        <f>IF(AND(WWWW[[#This Row],[% of water sources treated]]="no test",WWWW[[#This Row],[% Household received corrective actions]]="no test"),"No Test","Tested")</f>
        <v>No Test</v>
      </c>
      <c r="BT183" s="647">
        <f>WWWW[[#This Row],['#_Constructed/existing protected hand dug well]]-WWWW[[#This Row],['#_Non-functional protected hand dug well]]</f>
        <v>0</v>
      </c>
      <c r="BU183" s="647">
        <f>(WWWW[[#This Row],['#_Constructed/Existing tube wells/boreholes/handpumps_WASH_agency]]+WWWW[[#This Row],['#_Non-Cluster partner water tube-wells/boreholes/handpumps]])-WWWW[[#This Row],['#_Non-functional tube wells/boreholes/handpumps]]</f>
        <v>0</v>
      </c>
      <c r="BV183" s="647">
        <f>WWWW[[#This Row],['#_Constructed/Existingwater storage tank with gravity fed reticulation system]]-WWWW[[#This Row],['#_Non-functional storage tank gravity fed reticulation system]]</f>
        <v>0</v>
      </c>
      <c r="BW183" s="647">
        <f>WWWW[[#This Row],['#_Water boating or water trucking]]</f>
        <v>0</v>
      </c>
      <c r="BX183" s="647">
        <f>WWWW[[#This Row],['#_Constructed/Existing water distribution system from river or natural spring]]</f>
        <v>0</v>
      </c>
      <c r="BY183"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83"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83" s="648">
        <f>IF(WWWW[[#This Row],[Location Type 1]]="Village",WWWW[[#This Row],[Access to safe drinking water for Village]],WWWW[[#This Row],[Access to safe drinking water for Camp]])</f>
        <v>0</v>
      </c>
      <c r="CB183" s="645">
        <f>WWWW[[#This Row],[%Equitable and continuous access to sufficient quantity of safe drinking water]]*WWWW[[#This Row],[Total PoP ]]</f>
        <v>0</v>
      </c>
      <c r="CC183" s="648">
        <f>IF((WWWW[[#This Row],['#_Constructed/Existing protected/fenced ponds]]*250)/WWWW[[#This Row],[Total PoP ]]&gt;1,1,(WWWW[[#This Row],['#_Constructed/Existing protected/fenced ponds]]*250)/WWWW[[#This Row],[Total PoP ]])</f>
        <v>0</v>
      </c>
      <c r="CD183" s="645">
        <f>WWWW[[#This Row],[% Access to unimproved water points]]*WWWW[[#This Row],[Total PoP ]]</f>
        <v>0</v>
      </c>
      <c r="CE183"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83"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83" s="645">
        <f>WWWW[[#This Row],[HRP1]]/500</f>
        <v>0</v>
      </c>
      <c r="CH183" s="650">
        <f>1-WWWW[[#This Row],[% Equitable and continuous access to sufficient quantity of domestic water]]</f>
        <v>1</v>
      </c>
      <c r="CI183" s="645">
        <f>WWWW[[#This Row],[%equitable and continuous access to sufficient quantity of safe drinking and domestic water''s GAP]]*WWWW[[#This Row],[Total PoP ]]</f>
        <v>927</v>
      </c>
      <c r="CJ183" s="647">
        <f>IF(WWWW[[#This Row],[Total required water points]]-WWWW[[#This Row],['#Water points coverage]]&lt;0,0,WWWW[[#This Row],[Total required water points]]-WWWW[[#This Row],['#Water points coverage]])</f>
        <v>2</v>
      </c>
      <c r="CK183" s="647">
        <f>ROUND(IF(WWWW[[#This Row],[Total PoP ]]&lt;500,1,WWWW[[#This Row],[Total PoP ]]/500),0)</f>
        <v>2</v>
      </c>
      <c r="CL183" s="647">
        <f>(WWWW[[#This Row],['#_Constructed latrines_by_WASHAgencies]]+WWWW[[#This Row],['#_Non Cluster partner latrines]])-WWWW[[#This Row],['#_Non-functional latrines]]</f>
        <v>0</v>
      </c>
      <c r="CM183"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83"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83"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83" s="647" t="str">
        <f>IF(WWWW[[#This Row],[Location Type 1]]="Village","NA",IF(WWWW[[#This Row],['#_Constructed/Existing latrines in TLS]]*50&gt;WWWW[[#This Row],['#_students at TLS_CFS]],WWWW[[#This Row],['#_students at TLS_CFS]],(WWWW[[#This Row],['#_Constructed/Existing latrines in TLS]]*50)))</f>
        <v>NA</v>
      </c>
      <c r="CQ183" s="647">
        <f>ROUND(IF(WWWW[[#This Row],[Location Type 1]]="camp",WWWW[[#This Row],[Total PoP ]]/20,IF(WWWW[[#This Row],[Location Type 1]]="Temporary Location",WWWW[[#This Row],[Total PoP ]]/50,(WWWW[[#This Row],[Total PoP ]]/6))),0)</f>
        <v>155</v>
      </c>
      <c r="CR183" s="647">
        <f>IF(WWWW[[#This Row],[Total required Latrines]]-(WWWW[[#This Row],['#_Constructed latrines_by_WASHAgencies]]+WWWW[[#This Row],['#_Non Cluster partner latrines]])&lt;0,0,WWWW[[#This Row],[Total required Latrines]]-(WWWW[[#This Row],['#_Constructed latrines_by_WASHAgencies]]+WWWW[[#This Row],['#_Non Cluster partner latrines]]))</f>
        <v>155</v>
      </c>
      <c r="CS183" s="79">
        <f>1-WWWW[[#This Row],[% people access to functioning Latrine]]</f>
        <v>1</v>
      </c>
      <c r="CT183" s="649">
        <f>IF(OR(WWWW[[#This Row],['#_Non-functional latrines]]="",WWWW[[#This Row],['#_Non-functional latrines]]=0),0,WWWW[[#This Row],['#_Non-functional latrines]]/(WWWW[[#This Row],['#_Constructed latrines_by_WASHAgencies]]+WWWW[[#This Row],['#_Non Cluster partner latrines]]))</f>
        <v>0</v>
      </c>
      <c r="CU183" s="645">
        <f>IF(500*(WWWW[[#This Row],['#_male hygiene promoters]]+WWWW[[#This Row],['#_female hygiene promoters]])&gt;WWWW[[#This Row],[Total PoP ]],WWWW[[#This Row],[Total PoP ]],500*(WWWW[[#This Row],['#_male hygiene promoters]]+WWWW[[#This Row],['#_female hygiene promoters]]))</f>
        <v>927</v>
      </c>
      <c r="CV183"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83"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83" s="647">
        <f>IF(WWWW[[#This Row],['# People with access to soap]]&gt;WWWW[[#This Row],['# People with access to Sanity Pads]],WWWW[[#This Row],['# People with access to soap]],WWWW[[#This Row],['# People with access to Sanity Pads]])</f>
        <v>0</v>
      </c>
      <c r="CY183" s="647">
        <f>IF(WWWW[[#This Row],['# people reached by regular dedicated hygiene promotion_5]]&gt;WWWW[[#This Row],['# People received regular supply of hygiene items_6]],WWWW[[#This Row],['# people reached by regular dedicated hygiene promotion_5]],WWWW[[#This Row],['# People received regular supply of hygiene items_6]])</f>
        <v>927</v>
      </c>
      <c r="CZ183" s="650">
        <f>IF(WWWW[[#This Row],[HRP3]]/WWWW[[#This Row],[Total PoP ]]&gt;100%,100%,WWWW[[#This Row],[HRP3]]/WWWW[[#This Row],[Total PoP ]])</f>
        <v>1</v>
      </c>
      <c r="DA183" s="649">
        <f>1-WWWW[[#This Row],[Hygiene Coverage%]]</f>
        <v>0</v>
      </c>
      <c r="DB183" s="648">
        <f>WWWW[[#This Row],['# people reached by regular dedicated hygiene promotion_5]]/WWWW[[#This Row],[Total PoP ]]</f>
        <v>1</v>
      </c>
      <c r="DC183" s="648">
        <f>IF(WWWW[[#This Row],['#_households that received standard amount of soap for this quarter]]/WWWW[[#This Row],[Total HH]]&gt;1,1,WWWW[[#This Row],['#_households that received standard amount of soap for this quarter]]/WWWW[[#This Row],[Total HH]])</f>
        <v>0</v>
      </c>
      <c r="DD183" s="648">
        <f>IF(WWWW[[#This Row],['#_households that received standard amount of sanitary pads for this quarter]]/WWWW[[#This Row],[Total HH]]&gt;1,1,WWWW[[#This Row],['#_households that received standard amount of sanitary pads for this quarter]]/WWWW[[#This Row],[Total HH]])</f>
        <v>0</v>
      </c>
      <c r="DE183" s="647">
        <f>WWWW[[#This Row],['#_Constructed/Existing hand washing stations]]-WWWW[[#This Row],['#_Non-Functional_hand_washing_stations]]</f>
        <v>0</v>
      </c>
      <c r="DF183" s="667">
        <f>IF(WWWW[[#This Row],['# Functional hand washing stations during reporting period]]*20&gt;WWWW[[#This Row],[Total HH]],WWWW[[#This Row],[Total HH]],WWWW[[#This Row],['# Functional hand washing stations during reporting period]]*20)</f>
        <v>0</v>
      </c>
      <c r="DG183" s="645">
        <f>IF(WWWW[[#This Row],[Is sufficient soap available for TLS? (Yes/No)]]="yes",WWWW[[#This Row],['#_Constructed/Existing hand washing stations at TLS]],0)</f>
        <v>0</v>
      </c>
      <c r="DH183" s="645">
        <f>IF(WWWW[[#This Row],['# Functional hand washing stations during reporting period]]*100&gt;WWWW[[#This Row],[Total PoP ]],WWWW[[#This Row],[Total PoP ]],WWWW[[#This Row],['# Functional hand washing stations during reporting period]]*100)</f>
        <v>0</v>
      </c>
      <c r="DI183" s="645" t="str">
        <f>IF(WWWW[[#This Row],['#_students at TLS_CFS]]="","No","Yes")</f>
        <v>No</v>
      </c>
      <c r="DJ183" s="643">
        <f>VLOOKUP(WWWW[[#This Row],[Site Name]],SiteDB6[[Site Name]:[CCCM Management]],6,FALSE)</f>
        <v>0</v>
      </c>
      <c r="DK183" s="643">
        <f>VLOOKUP(WWWW[[#This Row],[Site Name]],SiteDB6[[Site Name]:[CCCM Focal Agency]],7,FALSE)</f>
        <v>0</v>
      </c>
      <c r="DL183" s="643" t="str">
        <f>VLOOKUP(WWWW[[#This Row],[Site Name]],SiteDB6[[Site Name]:[Location Type 1]],9,FALSE)</f>
        <v>Village</v>
      </c>
      <c r="DM183" s="643" t="str">
        <f>VLOOKUP(WWWW[[#This Row],[Site Name]],SiteDB6[[Site Name]:[Type of Accommodation]],10,FALSE)</f>
        <v>Village</v>
      </c>
      <c r="DN183" s="643" t="str">
        <f>VLOOKUP(WWWW[[#This Row],[Site Name]],SiteDB6[[Site Name]:[Ethnic or GCA/NGCA]],11,FALSE)</f>
        <v>Muslim</v>
      </c>
      <c r="DO183" s="643">
        <f>VLOOKUP(WWWW[[#This Row],[Site Name]],SiteDB6[[Site Name]:[Lat]],12,FALSE)</f>
        <v>0</v>
      </c>
      <c r="DP183" s="643">
        <f>VLOOKUP(WWWW[[#This Row],[Site Name]],SiteDB6[[Site Name]:[Long]],13,FALSE)</f>
        <v>0</v>
      </c>
      <c r="DQ183" s="643">
        <f>VLOOKUP(WWWW[[#This Row],[Site Name]],SiteDB6[[Site Name]:[Pcode]],3,FALSE)</f>
        <v>198405</v>
      </c>
      <c r="DR183" s="652" t="str">
        <f t="shared" si="6"/>
        <v>Covered</v>
      </c>
      <c r="DS183" s="652"/>
    </row>
    <row r="184" spans="1:123">
      <c r="A184" s="637" t="s">
        <v>2525</v>
      </c>
      <c r="B184" s="637" t="s">
        <v>2802</v>
      </c>
      <c r="C184" s="644" t="s">
        <v>387</v>
      </c>
      <c r="D184" s="644" t="s">
        <v>2803</v>
      </c>
      <c r="E184" s="663" t="s">
        <v>3013</v>
      </c>
      <c r="F184" s="644" t="s">
        <v>337</v>
      </c>
      <c r="G184" s="663" t="str">
        <f>VLOOKUP(WWWW[[#This Row],[Site Name]],SiteDB6[[Site Name]:[Location Type]],8,FALSE)</f>
        <v>Village</v>
      </c>
      <c r="H184" s="644" t="s">
        <v>2806</v>
      </c>
      <c r="I184" s="646">
        <v>152</v>
      </c>
      <c r="J184" s="646">
        <v>798</v>
      </c>
      <c r="K184" s="653">
        <v>43480</v>
      </c>
      <c r="L184" s="654">
        <v>43723</v>
      </c>
      <c r="M184" s="646"/>
      <c r="N184" s="646"/>
      <c r="O184" s="646"/>
      <c r="P184" s="646"/>
      <c r="Q184" s="645"/>
      <c r="R184" s="646"/>
      <c r="S184" s="646"/>
      <c r="T184" s="646"/>
      <c r="U184" s="646"/>
      <c r="V184" s="646"/>
      <c r="W184" s="646"/>
      <c r="X184" s="646"/>
      <c r="Y184" s="646"/>
      <c r="Z184" s="646"/>
      <c r="AA184" s="646"/>
      <c r="AB184" s="646"/>
      <c r="AC184" s="646"/>
      <c r="AD184" s="646"/>
      <c r="AE184" s="646"/>
      <c r="AF184" s="646"/>
      <c r="AG184" s="646"/>
      <c r="AH184" s="646"/>
      <c r="AI184" s="646"/>
      <c r="AJ184" s="646"/>
      <c r="AK184" s="646"/>
      <c r="AL184" s="646"/>
      <c r="AM184" s="646"/>
      <c r="AN184" s="646"/>
      <c r="AO184" s="652"/>
      <c r="AP184" s="646"/>
      <c r="AQ184" s="646"/>
      <c r="AR184" s="648"/>
      <c r="AS184" s="646"/>
      <c r="AT184" s="646"/>
      <c r="AU184" s="646"/>
      <c r="AV184" s="646"/>
      <c r="AW184" s="646"/>
      <c r="AX184" s="643"/>
      <c r="AY184" s="652"/>
      <c r="AZ184" s="646"/>
      <c r="BA184" s="646"/>
      <c r="BB184" s="646"/>
      <c r="BC184" s="643"/>
      <c r="BD184" s="646"/>
      <c r="BE184" s="646"/>
      <c r="BF184" s="646"/>
      <c r="BG184" s="646"/>
      <c r="BH184" s="646"/>
      <c r="BI184" s="646">
        <v>152</v>
      </c>
      <c r="BJ184" s="646">
        <v>152</v>
      </c>
      <c r="BK184" s="646"/>
      <c r="BL184" s="646"/>
      <c r="BM184" s="643"/>
      <c r="BN184" s="647"/>
      <c r="BO184" s="648"/>
      <c r="BP184" s="643"/>
      <c r="BQ184" s="649" t="str">
        <f>IFERROR(WWWW[[#This Row],['#_Water sources treated]]/WWWW[[#This Row],['#_Water sources tested for contamination]],"no test")</f>
        <v>no test</v>
      </c>
      <c r="BR184" s="648" t="str">
        <f>IFERROR(WWWW[[#This Row],['#_Household received remediation action due to contamination]]/WWWW[[#This Row],['#_Household water samples tested for contamination]],"no test")</f>
        <v>no test</v>
      </c>
      <c r="BS184" s="647" t="str">
        <f>IF(AND(WWWW[[#This Row],[% of water sources treated]]="no test",WWWW[[#This Row],[% Household received corrective actions]]="no test"),"No Test","Tested")</f>
        <v>No Test</v>
      </c>
      <c r="BT184" s="647">
        <f>WWWW[[#This Row],['#_Constructed/existing protected hand dug well]]-WWWW[[#This Row],['#_Non-functional protected hand dug well]]</f>
        <v>0</v>
      </c>
      <c r="BU184" s="647">
        <f>(WWWW[[#This Row],['#_Constructed/Existing tube wells/boreholes/handpumps_WASH_agency]]+WWWW[[#This Row],['#_Non-Cluster partner water tube-wells/boreholes/handpumps]])-WWWW[[#This Row],['#_Non-functional tube wells/boreholes/handpumps]]</f>
        <v>0</v>
      </c>
      <c r="BV184" s="647">
        <f>WWWW[[#This Row],['#_Constructed/Existingwater storage tank with gravity fed reticulation system]]-WWWW[[#This Row],['#_Non-functional storage tank gravity fed reticulation system]]</f>
        <v>0</v>
      </c>
      <c r="BW184" s="647">
        <f>WWWW[[#This Row],['#_Water boating or water trucking]]</f>
        <v>0</v>
      </c>
      <c r="BX184" s="647">
        <f>WWWW[[#This Row],['#_Constructed/Existing water distribution system from river or natural spring]]</f>
        <v>0</v>
      </c>
      <c r="BY184"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84"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84" s="648">
        <f>IF(WWWW[[#This Row],[Location Type 1]]="Village",WWWW[[#This Row],[Access to safe drinking water for Village]],WWWW[[#This Row],[Access to safe drinking water for Camp]])</f>
        <v>0</v>
      </c>
      <c r="CB184" s="645">
        <f>WWWW[[#This Row],[%Equitable and continuous access to sufficient quantity of safe drinking water]]*WWWW[[#This Row],[Total PoP ]]</f>
        <v>0</v>
      </c>
      <c r="CC184" s="648">
        <f>IF((WWWW[[#This Row],['#_Constructed/Existing protected/fenced ponds]]*250)/WWWW[[#This Row],[Total PoP ]]&gt;1,1,(WWWW[[#This Row],['#_Constructed/Existing protected/fenced ponds]]*250)/WWWW[[#This Row],[Total PoP ]])</f>
        <v>0</v>
      </c>
      <c r="CD184" s="645">
        <f>WWWW[[#This Row],[% Access to unimproved water points]]*WWWW[[#This Row],[Total PoP ]]</f>
        <v>0</v>
      </c>
      <c r="CE184"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84"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84" s="645">
        <f>WWWW[[#This Row],[HRP1]]/500</f>
        <v>0</v>
      </c>
      <c r="CH184" s="650">
        <f>1-WWWW[[#This Row],[% Equitable and continuous access to sufficient quantity of domestic water]]</f>
        <v>1</v>
      </c>
      <c r="CI184" s="645">
        <f>WWWW[[#This Row],[%equitable and continuous access to sufficient quantity of safe drinking and domestic water''s GAP]]*WWWW[[#This Row],[Total PoP ]]</f>
        <v>798</v>
      </c>
      <c r="CJ184" s="647">
        <f>IF(WWWW[[#This Row],[Total required water points]]-WWWW[[#This Row],['#Water points coverage]]&lt;0,0,WWWW[[#This Row],[Total required water points]]-WWWW[[#This Row],['#Water points coverage]])</f>
        <v>2</v>
      </c>
      <c r="CK184" s="647">
        <f>ROUND(IF(WWWW[[#This Row],[Total PoP ]]&lt;500,1,WWWW[[#This Row],[Total PoP ]]/500),0)</f>
        <v>2</v>
      </c>
      <c r="CL184" s="647">
        <f>(WWWW[[#This Row],['#_Constructed latrines_by_WASHAgencies]]+WWWW[[#This Row],['#_Non Cluster partner latrines]])-WWWW[[#This Row],['#_Non-functional latrines]]</f>
        <v>0</v>
      </c>
      <c r="CM184"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84"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84"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84" s="647" t="str">
        <f>IF(WWWW[[#This Row],[Location Type 1]]="Village","NA",IF(WWWW[[#This Row],['#_Constructed/Existing latrines in TLS]]*50&gt;WWWW[[#This Row],['#_students at TLS_CFS]],WWWW[[#This Row],['#_students at TLS_CFS]],(WWWW[[#This Row],['#_Constructed/Existing latrines in TLS]]*50)))</f>
        <v>NA</v>
      </c>
      <c r="CQ184" s="647">
        <f>ROUND(IF(WWWW[[#This Row],[Location Type 1]]="camp",WWWW[[#This Row],[Total PoP ]]/20,IF(WWWW[[#This Row],[Location Type 1]]="Temporary Location",WWWW[[#This Row],[Total PoP ]]/50,(WWWW[[#This Row],[Total PoP ]]/6))),0)</f>
        <v>133</v>
      </c>
      <c r="CR184" s="647">
        <f>IF(WWWW[[#This Row],[Total required Latrines]]-(WWWW[[#This Row],['#_Constructed latrines_by_WASHAgencies]]+WWWW[[#This Row],['#_Non Cluster partner latrines]])&lt;0,0,WWWW[[#This Row],[Total required Latrines]]-(WWWW[[#This Row],['#_Constructed latrines_by_WASHAgencies]]+WWWW[[#This Row],['#_Non Cluster partner latrines]]))</f>
        <v>133</v>
      </c>
      <c r="CS184" s="79">
        <f>1-WWWW[[#This Row],[% people access to functioning Latrine]]</f>
        <v>1</v>
      </c>
      <c r="CT184" s="649">
        <f>IF(OR(WWWW[[#This Row],['#_Non-functional latrines]]="",WWWW[[#This Row],['#_Non-functional latrines]]=0),0,WWWW[[#This Row],['#_Non-functional latrines]]/(WWWW[[#This Row],['#_Constructed latrines_by_WASHAgencies]]+WWWW[[#This Row],['#_Non Cluster partner latrines]]))</f>
        <v>0</v>
      </c>
      <c r="CU184" s="645">
        <f>IF(500*(WWWW[[#This Row],['#_male hygiene promoters]]+WWWW[[#This Row],['#_female hygiene promoters]])&gt;WWWW[[#This Row],[Total PoP ]],WWWW[[#This Row],[Total PoP ]],500*(WWWW[[#This Row],['#_male hygiene promoters]]+WWWW[[#This Row],['#_female hygiene promoters]]))</f>
        <v>798</v>
      </c>
      <c r="CV184"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84"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84" s="647">
        <f>IF(WWWW[[#This Row],['# People with access to soap]]&gt;WWWW[[#This Row],['# People with access to Sanity Pads]],WWWW[[#This Row],['# People with access to soap]],WWWW[[#This Row],['# People with access to Sanity Pads]])</f>
        <v>0</v>
      </c>
      <c r="CY184" s="647">
        <f>IF(WWWW[[#This Row],['# people reached by regular dedicated hygiene promotion_5]]&gt;WWWW[[#This Row],['# People received regular supply of hygiene items_6]],WWWW[[#This Row],['# people reached by regular dedicated hygiene promotion_5]],WWWW[[#This Row],['# People received regular supply of hygiene items_6]])</f>
        <v>798</v>
      </c>
      <c r="CZ184" s="650">
        <f>IF(WWWW[[#This Row],[HRP3]]/WWWW[[#This Row],[Total PoP ]]&gt;100%,100%,WWWW[[#This Row],[HRP3]]/WWWW[[#This Row],[Total PoP ]])</f>
        <v>1</v>
      </c>
      <c r="DA184" s="649">
        <f>1-WWWW[[#This Row],[Hygiene Coverage%]]</f>
        <v>0</v>
      </c>
      <c r="DB184" s="648">
        <f>WWWW[[#This Row],['# people reached by regular dedicated hygiene promotion_5]]/WWWW[[#This Row],[Total PoP ]]</f>
        <v>1</v>
      </c>
      <c r="DC184" s="648">
        <f>IF(WWWW[[#This Row],['#_households that received standard amount of soap for this quarter]]/WWWW[[#This Row],[Total HH]]&gt;1,1,WWWW[[#This Row],['#_households that received standard amount of soap for this quarter]]/WWWW[[#This Row],[Total HH]])</f>
        <v>0</v>
      </c>
      <c r="DD184" s="648">
        <f>IF(WWWW[[#This Row],['#_households that received standard amount of sanitary pads for this quarter]]/WWWW[[#This Row],[Total HH]]&gt;1,1,WWWW[[#This Row],['#_households that received standard amount of sanitary pads for this quarter]]/WWWW[[#This Row],[Total HH]])</f>
        <v>0</v>
      </c>
      <c r="DE184" s="647">
        <f>WWWW[[#This Row],['#_Constructed/Existing hand washing stations]]-WWWW[[#This Row],['#_Non-Functional_hand_washing_stations]]</f>
        <v>0</v>
      </c>
      <c r="DF184" s="667">
        <f>IF(WWWW[[#This Row],['# Functional hand washing stations during reporting period]]*20&gt;WWWW[[#This Row],[Total HH]],WWWW[[#This Row],[Total HH]],WWWW[[#This Row],['# Functional hand washing stations during reporting period]]*20)</f>
        <v>0</v>
      </c>
      <c r="DG184" s="645">
        <f>IF(WWWW[[#This Row],[Is sufficient soap available for TLS? (Yes/No)]]="yes",WWWW[[#This Row],['#_Constructed/Existing hand washing stations at TLS]],0)</f>
        <v>0</v>
      </c>
      <c r="DH184" s="645">
        <f>IF(WWWW[[#This Row],['# Functional hand washing stations during reporting period]]*100&gt;WWWW[[#This Row],[Total PoP ]],WWWW[[#This Row],[Total PoP ]],WWWW[[#This Row],['# Functional hand washing stations during reporting period]]*100)</f>
        <v>0</v>
      </c>
      <c r="DI184" s="645" t="str">
        <f>IF(WWWW[[#This Row],['#_students at TLS_CFS]]="","No","Yes")</f>
        <v>No</v>
      </c>
      <c r="DJ184" s="643">
        <f>VLOOKUP(WWWW[[#This Row],[Site Name]],SiteDB6[[Site Name]:[CCCM Management]],6,FALSE)</f>
        <v>0</v>
      </c>
      <c r="DK184" s="643">
        <f>VLOOKUP(WWWW[[#This Row],[Site Name]],SiteDB6[[Site Name]:[CCCM Focal Agency]],7,FALSE)</f>
        <v>0</v>
      </c>
      <c r="DL184" s="643" t="str">
        <f>VLOOKUP(WWWW[[#This Row],[Site Name]],SiteDB6[[Site Name]:[Location Type 1]],9,FALSE)</f>
        <v>Village</v>
      </c>
      <c r="DM184" s="643" t="str">
        <f>VLOOKUP(WWWW[[#This Row],[Site Name]],SiteDB6[[Site Name]:[Type of Accommodation]],10,FALSE)</f>
        <v>Village</v>
      </c>
      <c r="DN184" s="643" t="str">
        <f>VLOOKUP(WWWW[[#This Row],[Site Name]],SiteDB6[[Site Name]:[Ethnic or GCA/NGCA]],11,FALSE)</f>
        <v>Muslim</v>
      </c>
      <c r="DO184" s="643">
        <f>VLOOKUP(WWWW[[#This Row],[Site Name]],SiteDB6[[Site Name]:[Lat]],12,FALSE)</f>
        <v>0</v>
      </c>
      <c r="DP184" s="643">
        <f>VLOOKUP(WWWW[[#This Row],[Site Name]],SiteDB6[[Site Name]:[Long]],13,FALSE)</f>
        <v>0</v>
      </c>
      <c r="DQ184" s="643">
        <f>VLOOKUP(WWWW[[#This Row],[Site Name]],SiteDB6[[Site Name]:[Pcode]],3,FALSE)</f>
        <v>198351</v>
      </c>
      <c r="DR184" s="652" t="str">
        <f t="shared" si="6"/>
        <v>Covered</v>
      </c>
      <c r="DS184" s="652"/>
    </row>
    <row r="185" spans="1:123">
      <c r="A185" s="637" t="s">
        <v>2525</v>
      </c>
      <c r="B185" s="637" t="s">
        <v>2802</v>
      </c>
      <c r="C185" s="644" t="s">
        <v>387</v>
      </c>
      <c r="D185" s="644" t="s">
        <v>2803</v>
      </c>
      <c r="E185" s="663" t="s">
        <v>3013</v>
      </c>
      <c r="F185" s="644" t="s">
        <v>337</v>
      </c>
      <c r="G185" s="663" t="str">
        <f>VLOOKUP(WWWW[[#This Row],[Site Name]],SiteDB6[[Site Name]:[Location Type]],8,FALSE)</f>
        <v>Village</v>
      </c>
      <c r="H185" s="644" t="s">
        <v>2808</v>
      </c>
      <c r="I185" s="646">
        <v>136</v>
      </c>
      <c r="J185" s="646">
        <v>847</v>
      </c>
      <c r="K185" s="653">
        <v>43480</v>
      </c>
      <c r="L185" s="654">
        <v>43723</v>
      </c>
      <c r="M185" s="646"/>
      <c r="N185" s="646"/>
      <c r="O185" s="646"/>
      <c r="P185" s="646"/>
      <c r="Q185" s="645"/>
      <c r="R185" s="646"/>
      <c r="S185" s="646"/>
      <c r="T185" s="646"/>
      <c r="U185" s="646"/>
      <c r="V185" s="646"/>
      <c r="W185" s="646"/>
      <c r="X185" s="646"/>
      <c r="Y185" s="646"/>
      <c r="Z185" s="646"/>
      <c r="AA185" s="646"/>
      <c r="AB185" s="646"/>
      <c r="AC185" s="646"/>
      <c r="AD185" s="646"/>
      <c r="AE185" s="646"/>
      <c r="AF185" s="646"/>
      <c r="AG185" s="646"/>
      <c r="AH185" s="646"/>
      <c r="AI185" s="646"/>
      <c r="AJ185" s="646"/>
      <c r="AK185" s="646"/>
      <c r="AL185" s="646"/>
      <c r="AM185" s="646"/>
      <c r="AN185" s="646"/>
      <c r="AO185" s="652"/>
      <c r="AP185" s="646"/>
      <c r="AQ185" s="646"/>
      <c r="AR185" s="648"/>
      <c r="AS185" s="646"/>
      <c r="AT185" s="646"/>
      <c r="AU185" s="646"/>
      <c r="AV185" s="646"/>
      <c r="AW185" s="646"/>
      <c r="AX185" s="643"/>
      <c r="AY185" s="652"/>
      <c r="AZ185" s="646"/>
      <c r="BA185" s="646"/>
      <c r="BB185" s="646"/>
      <c r="BC185" s="643"/>
      <c r="BD185" s="646"/>
      <c r="BE185" s="646"/>
      <c r="BF185" s="646"/>
      <c r="BG185" s="646"/>
      <c r="BH185" s="646"/>
      <c r="BI185" s="646">
        <v>136</v>
      </c>
      <c r="BJ185" s="646">
        <v>136</v>
      </c>
      <c r="BK185" s="646"/>
      <c r="BL185" s="646"/>
      <c r="BM185" s="643"/>
      <c r="BN185" s="647"/>
      <c r="BO185" s="648"/>
      <c r="BP185" s="643"/>
      <c r="BQ185" s="649" t="str">
        <f>IFERROR(WWWW[[#This Row],['#_Water sources treated]]/WWWW[[#This Row],['#_Water sources tested for contamination]],"no test")</f>
        <v>no test</v>
      </c>
      <c r="BR185" s="648" t="str">
        <f>IFERROR(WWWW[[#This Row],['#_Household received remediation action due to contamination]]/WWWW[[#This Row],['#_Household water samples tested for contamination]],"no test")</f>
        <v>no test</v>
      </c>
      <c r="BS185" s="647" t="str">
        <f>IF(AND(WWWW[[#This Row],[% of water sources treated]]="no test",WWWW[[#This Row],[% Household received corrective actions]]="no test"),"No Test","Tested")</f>
        <v>No Test</v>
      </c>
      <c r="BT185" s="647">
        <f>WWWW[[#This Row],['#_Constructed/existing protected hand dug well]]-WWWW[[#This Row],['#_Non-functional protected hand dug well]]</f>
        <v>0</v>
      </c>
      <c r="BU185" s="647">
        <f>(WWWW[[#This Row],['#_Constructed/Existing tube wells/boreholes/handpumps_WASH_agency]]+WWWW[[#This Row],['#_Non-Cluster partner water tube-wells/boreholes/handpumps]])-WWWW[[#This Row],['#_Non-functional tube wells/boreholes/handpumps]]</f>
        <v>0</v>
      </c>
      <c r="BV185" s="647">
        <f>WWWW[[#This Row],['#_Constructed/Existingwater storage tank with gravity fed reticulation system]]-WWWW[[#This Row],['#_Non-functional storage tank gravity fed reticulation system]]</f>
        <v>0</v>
      </c>
      <c r="BW185" s="647">
        <f>WWWW[[#This Row],['#_Water boating or water trucking]]</f>
        <v>0</v>
      </c>
      <c r="BX185" s="647">
        <f>WWWW[[#This Row],['#_Constructed/Existing water distribution system from river or natural spring]]</f>
        <v>0</v>
      </c>
      <c r="BY185"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85"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85" s="648">
        <f>IF(WWWW[[#This Row],[Location Type 1]]="Village",WWWW[[#This Row],[Access to safe drinking water for Village]],WWWW[[#This Row],[Access to safe drinking water for Camp]])</f>
        <v>0</v>
      </c>
      <c r="CB185" s="645">
        <f>WWWW[[#This Row],[%Equitable and continuous access to sufficient quantity of safe drinking water]]*WWWW[[#This Row],[Total PoP ]]</f>
        <v>0</v>
      </c>
      <c r="CC185" s="648">
        <f>IF((WWWW[[#This Row],['#_Constructed/Existing protected/fenced ponds]]*250)/WWWW[[#This Row],[Total PoP ]]&gt;1,1,(WWWW[[#This Row],['#_Constructed/Existing protected/fenced ponds]]*250)/WWWW[[#This Row],[Total PoP ]])</f>
        <v>0</v>
      </c>
      <c r="CD185" s="645">
        <f>WWWW[[#This Row],[% Access to unimproved water points]]*WWWW[[#This Row],[Total PoP ]]</f>
        <v>0</v>
      </c>
      <c r="CE185"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85"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85" s="645">
        <f>WWWW[[#This Row],[HRP1]]/500</f>
        <v>0</v>
      </c>
      <c r="CH185" s="650">
        <f>1-WWWW[[#This Row],[% Equitable and continuous access to sufficient quantity of domestic water]]</f>
        <v>1</v>
      </c>
      <c r="CI185" s="645">
        <f>WWWW[[#This Row],[%equitable and continuous access to sufficient quantity of safe drinking and domestic water''s GAP]]*WWWW[[#This Row],[Total PoP ]]</f>
        <v>847</v>
      </c>
      <c r="CJ185" s="647">
        <f>IF(WWWW[[#This Row],[Total required water points]]-WWWW[[#This Row],['#Water points coverage]]&lt;0,0,WWWW[[#This Row],[Total required water points]]-WWWW[[#This Row],['#Water points coverage]])</f>
        <v>2</v>
      </c>
      <c r="CK185" s="647">
        <f>ROUND(IF(WWWW[[#This Row],[Total PoP ]]&lt;500,1,WWWW[[#This Row],[Total PoP ]]/500),0)</f>
        <v>2</v>
      </c>
      <c r="CL185" s="647">
        <f>(WWWW[[#This Row],['#_Constructed latrines_by_WASHAgencies]]+WWWW[[#This Row],['#_Non Cluster partner latrines]])-WWWW[[#This Row],['#_Non-functional latrines]]</f>
        <v>0</v>
      </c>
      <c r="CM185"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85"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85"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85" s="647" t="str">
        <f>IF(WWWW[[#This Row],[Location Type 1]]="Village","NA",IF(WWWW[[#This Row],['#_Constructed/Existing latrines in TLS]]*50&gt;WWWW[[#This Row],['#_students at TLS_CFS]],WWWW[[#This Row],['#_students at TLS_CFS]],(WWWW[[#This Row],['#_Constructed/Existing latrines in TLS]]*50)))</f>
        <v>NA</v>
      </c>
      <c r="CQ185" s="647">
        <f>ROUND(IF(WWWW[[#This Row],[Location Type 1]]="camp",WWWW[[#This Row],[Total PoP ]]/20,IF(WWWW[[#This Row],[Location Type 1]]="Temporary Location",WWWW[[#This Row],[Total PoP ]]/50,(WWWW[[#This Row],[Total PoP ]]/6))),0)</f>
        <v>141</v>
      </c>
      <c r="CR185" s="647">
        <f>IF(WWWW[[#This Row],[Total required Latrines]]-(WWWW[[#This Row],['#_Constructed latrines_by_WASHAgencies]]+WWWW[[#This Row],['#_Non Cluster partner latrines]])&lt;0,0,WWWW[[#This Row],[Total required Latrines]]-(WWWW[[#This Row],['#_Constructed latrines_by_WASHAgencies]]+WWWW[[#This Row],['#_Non Cluster partner latrines]]))</f>
        <v>141</v>
      </c>
      <c r="CS185" s="79">
        <f>1-WWWW[[#This Row],[% people access to functioning Latrine]]</f>
        <v>1</v>
      </c>
      <c r="CT185" s="649">
        <f>IF(OR(WWWW[[#This Row],['#_Non-functional latrines]]="",WWWW[[#This Row],['#_Non-functional latrines]]=0),0,WWWW[[#This Row],['#_Non-functional latrines]]/(WWWW[[#This Row],['#_Constructed latrines_by_WASHAgencies]]+WWWW[[#This Row],['#_Non Cluster partner latrines]]))</f>
        <v>0</v>
      </c>
      <c r="CU185" s="645">
        <f>IF(500*(WWWW[[#This Row],['#_male hygiene promoters]]+WWWW[[#This Row],['#_female hygiene promoters]])&gt;WWWW[[#This Row],[Total PoP ]],WWWW[[#This Row],[Total PoP ]],500*(WWWW[[#This Row],['#_male hygiene promoters]]+WWWW[[#This Row],['#_female hygiene promoters]]))</f>
        <v>847</v>
      </c>
      <c r="CV185"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85"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85" s="647">
        <f>IF(WWWW[[#This Row],['# People with access to soap]]&gt;WWWW[[#This Row],['# People with access to Sanity Pads]],WWWW[[#This Row],['# People with access to soap]],WWWW[[#This Row],['# People with access to Sanity Pads]])</f>
        <v>0</v>
      </c>
      <c r="CY185" s="647">
        <f>IF(WWWW[[#This Row],['# people reached by regular dedicated hygiene promotion_5]]&gt;WWWW[[#This Row],['# People received regular supply of hygiene items_6]],WWWW[[#This Row],['# people reached by regular dedicated hygiene promotion_5]],WWWW[[#This Row],['# People received regular supply of hygiene items_6]])</f>
        <v>847</v>
      </c>
      <c r="CZ185" s="650">
        <f>IF(WWWW[[#This Row],[HRP3]]/WWWW[[#This Row],[Total PoP ]]&gt;100%,100%,WWWW[[#This Row],[HRP3]]/WWWW[[#This Row],[Total PoP ]])</f>
        <v>1</v>
      </c>
      <c r="DA185" s="649">
        <f>1-WWWW[[#This Row],[Hygiene Coverage%]]</f>
        <v>0</v>
      </c>
      <c r="DB185" s="648">
        <f>WWWW[[#This Row],['# people reached by regular dedicated hygiene promotion_5]]/WWWW[[#This Row],[Total PoP ]]</f>
        <v>1</v>
      </c>
      <c r="DC185" s="648">
        <f>IF(WWWW[[#This Row],['#_households that received standard amount of soap for this quarter]]/WWWW[[#This Row],[Total HH]]&gt;1,1,WWWW[[#This Row],['#_households that received standard amount of soap for this quarter]]/WWWW[[#This Row],[Total HH]])</f>
        <v>0</v>
      </c>
      <c r="DD185" s="648">
        <f>IF(WWWW[[#This Row],['#_households that received standard amount of sanitary pads for this quarter]]/WWWW[[#This Row],[Total HH]]&gt;1,1,WWWW[[#This Row],['#_households that received standard amount of sanitary pads for this quarter]]/WWWW[[#This Row],[Total HH]])</f>
        <v>0</v>
      </c>
      <c r="DE185" s="647">
        <f>WWWW[[#This Row],['#_Constructed/Existing hand washing stations]]-WWWW[[#This Row],['#_Non-Functional_hand_washing_stations]]</f>
        <v>0</v>
      </c>
      <c r="DF185" s="667">
        <f>IF(WWWW[[#This Row],['# Functional hand washing stations during reporting period]]*20&gt;WWWW[[#This Row],[Total HH]],WWWW[[#This Row],[Total HH]],WWWW[[#This Row],['# Functional hand washing stations during reporting period]]*20)</f>
        <v>0</v>
      </c>
      <c r="DG185" s="645">
        <f>IF(WWWW[[#This Row],[Is sufficient soap available for TLS? (Yes/No)]]="yes",WWWW[[#This Row],['#_Constructed/Existing hand washing stations at TLS]],0)</f>
        <v>0</v>
      </c>
      <c r="DH185" s="645">
        <f>IF(WWWW[[#This Row],['# Functional hand washing stations during reporting period]]*100&gt;WWWW[[#This Row],[Total PoP ]],WWWW[[#This Row],[Total PoP ]],WWWW[[#This Row],['# Functional hand washing stations during reporting period]]*100)</f>
        <v>0</v>
      </c>
      <c r="DI185" s="645" t="str">
        <f>IF(WWWW[[#This Row],['#_students at TLS_CFS]]="","No","Yes")</f>
        <v>No</v>
      </c>
      <c r="DJ185" s="643">
        <f>VLOOKUP(WWWW[[#This Row],[Site Name]],SiteDB6[[Site Name]:[CCCM Management]],6,FALSE)</f>
        <v>0</v>
      </c>
      <c r="DK185" s="643">
        <f>VLOOKUP(WWWW[[#This Row],[Site Name]],SiteDB6[[Site Name]:[CCCM Focal Agency]],7,FALSE)</f>
        <v>0</v>
      </c>
      <c r="DL185" s="643" t="str">
        <f>VLOOKUP(WWWW[[#This Row],[Site Name]],SiteDB6[[Site Name]:[Location Type 1]],9,FALSE)</f>
        <v>Village</v>
      </c>
      <c r="DM185" s="643" t="str">
        <f>VLOOKUP(WWWW[[#This Row],[Site Name]],SiteDB6[[Site Name]:[Type of Accommodation]],10,FALSE)</f>
        <v>Village</v>
      </c>
      <c r="DN185" s="643" t="str">
        <f>VLOOKUP(WWWW[[#This Row],[Site Name]],SiteDB6[[Site Name]:[Ethnic or GCA/NGCA]],11,FALSE)</f>
        <v>Muslim</v>
      </c>
      <c r="DO185" s="643">
        <f>VLOOKUP(WWWW[[#This Row],[Site Name]],SiteDB6[[Site Name]:[Lat]],12,FALSE)</f>
        <v>0</v>
      </c>
      <c r="DP185" s="643">
        <f>VLOOKUP(WWWW[[#This Row],[Site Name]],SiteDB6[[Site Name]:[Long]],13,FALSE)</f>
        <v>0</v>
      </c>
      <c r="DQ185" s="643">
        <f>VLOOKUP(WWWW[[#This Row],[Site Name]],SiteDB6[[Site Name]:[Pcode]],3,FALSE)</f>
        <v>0</v>
      </c>
      <c r="DR185" s="652" t="str">
        <f t="shared" si="6"/>
        <v>Covered</v>
      </c>
      <c r="DS185" s="652"/>
    </row>
    <row r="186" spans="1:123">
      <c r="A186" s="637" t="s">
        <v>2525</v>
      </c>
      <c r="B186" s="637" t="s">
        <v>2802</v>
      </c>
      <c r="C186" s="644" t="s">
        <v>387</v>
      </c>
      <c r="D186" s="644" t="s">
        <v>2803</v>
      </c>
      <c r="E186" s="663" t="s">
        <v>3013</v>
      </c>
      <c r="F186" s="644" t="s">
        <v>337</v>
      </c>
      <c r="G186" s="663" t="str">
        <f>VLOOKUP(WWWW[[#This Row],[Site Name]],SiteDB6[[Site Name]:[Location Type]],8,FALSE)</f>
        <v>Village</v>
      </c>
      <c r="H186" s="644" t="s">
        <v>604</v>
      </c>
      <c r="I186" s="646">
        <v>20</v>
      </c>
      <c r="J186" s="646">
        <v>91</v>
      </c>
      <c r="K186" s="653">
        <v>43480</v>
      </c>
      <c r="L186" s="654">
        <v>43723</v>
      </c>
      <c r="M186" s="646"/>
      <c r="N186" s="646"/>
      <c r="O186" s="646"/>
      <c r="P186" s="646"/>
      <c r="Q186" s="645"/>
      <c r="R186" s="646"/>
      <c r="S186" s="646"/>
      <c r="T186" s="646"/>
      <c r="U186" s="646"/>
      <c r="V186" s="646"/>
      <c r="W186" s="646"/>
      <c r="X186" s="646"/>
      <c r="Y186" s="646"/>
      <c r="Z186" s="646"/>
      <c r="AA186" s="646"/>
      <c r="AB186" s="646"/>
      <c r="AC186" s="646"/>
      <c r="AD186" s="646"/>
      <c r="AE186" s="646"/>
      <c r="AF186" s="646"/>
      <c r="AG186" s="646"/>
      <c r="AH186" s="646"/>
      <c r="AI186" s="646"/>
      <c r="AJ186" s="646"/>
      <c r="AK186" s="646"/>
      <c r="AL186" s="646"/>
      <c r="AM186" s="646"/>
      <c r="AN186" s="646"/>
      <c r="AO186" s="652"/>
      <c r="AP186" s="646"/>
      <c r="AQ186" s="646"/>
      <c r="AR186" s="648"/>
      <c r="AS186" s="646"/>
      <c r="AT186" s="646"/>
      <c r="AU186" s="646"/>
      <c r="AV186" s="646"/>
      <c r="AW186" s="646"/>
      <c r="AX186" s="643"/>
      <c r="AY186" s="652"/>
      <c r="AZ186" s="646"/>
      <c r="BA186" s="646"/>
      <c r="BB186" s="646"/>
      <c r="BC186" s="643"/>
      <c r="BD186" s="646"/>
      <c r="BE186" s="646"/>
      <c r="BF186" s="646"/>
      <c r="BG186" s="646"/>
      <c r="BH186" s="646"/>
      <c r="BI186" s="646">
        <v>20</v>
      </c>
      <c r="BJ186" s="646">
        <v>20</v>
      </c>
      <c r="BK186" s="646"/>
      <c r="BL186" s="646"/>
      <c r="BM186" s="643"/>
      <c r="BN186" s="647"/>
      <c r="BO186" s="648"/>
      <c r="BP186" s="643"/>
      <c r="BQ186" s="649" t="str">
        <f>IFERROR(WWWW[[#This Row],['#_Water sources treated]]/WWWW[[#This Row],['#_Water sources tested for contamination]],"no test")</f>
        <v>no test</v>
      </c>
      <c r="BR186" s="648" t="str">
        <f>IFERROR(WWWW[[#This Row],['#_Household received remediation action due to contamination]]/WWWW[[#This Row],['#_Household water samples tested for contamination]],"no test")</f>
        <v>no test</v>
      </c>
      <c r="BS186" s="647" t="str">
        <f>IF(AND(WWWW[[#This Row],[% of water sources treated]]="no test",WWWW[[#This Row],[% Household received corrective actions]]="no test"),"No Test","Tested")</f>
        <v>No Test</v>
      </c>
      <c r="BT186" s="647">
        <f>WWWW[[#This Row],['#_Constructed/existing protected hand dug well]]-WWWW[[#This Row],['#_Non-functional protected hand dug well]]</f>
        <v>0</v>
      </c>
      <c r="BU186" s="647">
        <f>(WWWW[[#This Row],['#_Constructed/Existing tube wells/boreholes/handpumps_WASH_agency]]+WWWW[[#This Row],['#_Non-Cluster partner water tube-wells/boreholes/handpumps]])-WWWW[[#This Row],['#_Non-functional tube wells/boreholes/handpumps]]</f>
        <v>0</v>
      </c>
      <c r="BV186" s="647">
        <f>WWWW[[#This Row],['#_Constructed/Existingwater storage tank with gravity fed reticulation system]]-WWWW[[#This Row],['#_Non-functional storage tank gravity fed reticulation system]]</f>
        <v>0</v>
      </c>
      <c r="BW186" s="647">
        <f>WWWW[[#This Row],['#_Water boating or water trucking]]</f>
        <v>0</v>
      </c>
      <c r="BX186" s="647">
        <f>WWWW[[#This Row],['#_Constructed/Existing water distribution system from river or natural spring]]</f>
        <v>0</v>
      </c>
      <c r="BY186"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86"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86" s="648">
        <f>IF(WWWW[[#This Row],[Location Type 1]]="Village",WWWW[[#This Row],[Access to safe drinking water for Village]],WWWW[[#This Row],[Access to safe drinking water for Camp]])</f>
        <v>0</v>
      </c>
      <c r="CB186" s="645">
        <f>WWWW[[#This Row],[%Equitable and continuous access to sufficient quantity of safe drinking water]]*WWWW[[#This Row],[Total PoP ]]</f>
        <v>0</v>
      </c>
      <c r="CC186" s="648">
        <f>IF((WWWW[[#This Row],['#_Constructed/Existing protected/fenced ponds]]*250)/WWWW[[#This Row],[Total PoP ]]&gt;1,1,(WWWW[[#This Row],['#_Constructed/Existing protected/fenced ponds]]*250)/WWWW[[#This Row],[Total PoP ]])</f>
        <v>0</v>
      </c>
      <c r="CD186" s="645">
        <f>WWWW[[#This Row],[% Access to unimproved water points]]*WWWW[[#This Row],[Total PoP ]]</f>
        <v>0</v>
      </c>
      <c r="CE186"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86"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86" s="645">
        <f>WWWW[[#This Row],[HRP1]]/500</f>
        <v>0</v>
      </c>
      <c r="CH186" s="650">
        <f>1-WWWW[[#This Row],[% Equitable and continuous access to sufficient quantity of domestic water]]</f>
        <v>1</v>
      </c>
      <c r="CI186" s="645">
        <f>WWWW[[#This Row],[%equitable and continuous access to sufficient quantity of safe drinking and domestic water''s GAP]]*WWWW[[#This Row],[Total PoP ]]</f>
        <v>91</v>
      </c>
      <c r="CJ186" s="647">
        <f>IF(WWWW[[#This Row],[Total required water points]]-WWWW[[#This Row],['#Water points coverage]]&lt;0,0,WWWW[[#This Row],[Total required water points]]-WWWW[[#This Row],['#Water points coverage]])</f>
        <v>1</v>
      </c>
      <c r="CK186" s="647">
        <f>ROUND(IF(WWWW[[#This Row],[Total PoP ]]&lt;500,1,WWWW[[#This Row],[Total PoP ]]/500),0)</f>
        <v>1</v>
      </c>
      <c r="CL186" s="647">
        <f>(WWWW[[#This Row],['#_Constructed latrines_by_WASHAgencies]]+WWWW[[#This Row],['#_Non Cluster partner latrines]])-WWWW[[#This Row],['#_Non-functional latrines]]</f>
        <v>0</v>
      </c>
      <c r="CM186"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86"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86"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86" s="647" t="str">
        <f>IF(WWWW[[#This Row],[Location Type 1]]="Village","NA",IF(WWWW[[#This Row],['#_Constructed/Existing latrines in TLS]]*50&gt;WWWW[[#This Row],['#_students at TLS_CFS]],WWWW[[#This Row],['#_students at TLS_CFS]],(WWWW[[#This Row],['#_Constructed/Existing latrines in TLS]]*50)))</f>
        <v>NA</v>
      </c>
      <c r="CQ186" s="647">
        <f>ROUND(IF(WWWW[[#This Row],[Location Type 1]]="camp",WWWW[[#This Row],[Total PoP ]]/20,IF(WWWW[[#This Row],[Location Type 1]]="Temporary Location",WWWW[[#This Row],[Total PoP ]]/50,(WWWW[[#This Row],[Total PoP ]]/6))),0)</f>
        <v>15</v>
      </c>
      <c r="CR186" s="647">
        <f>IF(WWWW[[#This Row],[Total required Latrines]]-(WWWW[[#This Row],['#_Constructed latrines_by_WASHAgencies]]+WWWW[[#This Row],['#_Non Cluster partner latrines]])&lt;0,0,WWWW[[#This Row],[Total required Latrines]]-(WWWW[[#This Row],['#_Constructed latrines_by_WASHAgencies]]+WWWW[[#This Row],['#_Non Cluster partner latrines]]))</f>
        <v>15</v>
      </c>
      <c r="CS186" s="79">
        <f>1-WWWW[[#This Row],[% people access to functioning Latrine]]</f>
        <v>1</v>
      </c>
      <c r="CT186" s="649">
        <f>IF(OR(WWWW[[#This Row],['#_Non-functional latrines]]="",WWWW[[#This Row],['#_Non-functional latrines]]=0),0,WWWW[[#This Row],['#_Non-functional latrines]]/(WWWW[[#This Row],['#_Constructed latrines_by_WASHAgencies]]+WWWW[[#This Row],['#_Non Cluster partner latrines]]))</f>
        <v>0</v>
      </c>
      <c r="CU186" s="645">
        <f>IF(500*(WWWW[[#This Row],['#_male hygiene promoters]]+WWWW[[#This Row],['#_female hygiene promoters]])&gt;WWWW[[#This Row],[Total PoP ]],WWWW[[#This Row],[Total PoP ]],500*(WWWW[[#This Row],['#_male hygiene promoters]]+WWWW[[#This Row],['#_female hygiene promoters]]))</f>
        <v>91</v>
      </c>
      <c r="CV186"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86"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86" s="647">
        <f>IF(WWWW[[#This Row],['# People with access to soap]]&gt;WWWW[[#This Row],['# People with access to Sanity Pads]],WWWW[[#This Row],['# People with access to soap]],WWWW[[#This Row],['# People with access to Sanity Pads]])</f>
        <v>0</v>
      </c>
      <c r="CY186" s="647">
        <f>IF(WWWW[[#This Row],['# people reached by regular dedicated hygiene promotion_5]]&gt;WWWW[[#This Row],['# People received regular supply of hygiene items_6]],WWWW[[#This Row],['# people reached by regular dedicated hygiene promotion_5]],WWWW[[#This Row],['# People received regular supply of hygiene items_6]])</f>
        <v>91</v>
      </c>
      <c r="CZ186" s="650">
        <f>IF(WWWW[[#This Row],[HRP3]]/WWWW[[#This Row],[Total PoP ]]&gt;100%,100%,WWWW[[#This Row],[HRP3]]/WWWW[[#This Row],[Total PoP ]])</f>
        <v>1</v>
      </c>
      <c r="DA186" s="649">
        <f>1-WWWW[[#This Row],[Hygiene Coverage%]]</f>
        <v>0</v>
      </c>
      <c r="DB186" s="648">
        <f>WWWW[[#This Row],['# people reached by regular dedicated hygiene promotion_5]]/WWWW[[#This Row],[Total PoP ]]</f>
        <v>1</v>
      </c>
      <c r="DC186" s="648">
        <f>IF(WWWW[[#This Row],['#_households that received standard amount of soap for this quarter]]/WWWW[[#This Row],[Total HH]]&gt;1,1,WWWW[[#This Row],['#_households that received standard amount of soap for this quarter]]/WWWW[[#This Row],[Total HH]])</f>
        <v>0</v>
      </c>
      <c r="DD186" s="648">
        <f>IF(WWWW[[#This Row],['#_households that received standard amount of sanitary pads for this quarter]]/WWWW[[#This Row],[Total HH]]&gt;1,1,WWWW[[#This Row],['#_households that received standard amount of sanitary pads for this quarter]]/WWWW[[#This Row],[Total HH]])</f>
        <v>0</v>
      </c>
      <c r="DE186" s="647">
        <f>WWWW[[#This Row],['#_Constructed/Existing hand washing stations]]-WWWW[[#This Row],['#_Non-Functional_hand_washing_stations]]</f>
        <v>0</v>
      </c>
      <c r="DF186" s="667">
        <f>IF(WWWW[[#This Row],['# Functional hand washing stations during reporting period]]*20&gt;WWWW[[#This Row],[Total HH]],WWWW[[#This Row],[Total HH]],WWWW[[#This Row],['# Functional hand washing stations during reporting period]]*20)</f>
        <v>0</v>
      </c>
      <c r="DG186" s="645">
        <f>IF(WWWW[[#This Row],[Is sufficient soap available for TLS? (Yes/No)]]="yes",WWWW[[#This Row],['#_Constructed/Existing hand washing stations at TLS]],0)</f>
        <v>0</v>
      </c>
      <c r="DH186" s="645">
        <f>IF(WWWW[[#This Row],['# Functional hand washing stations during reporting period]]*100&gt;WWWW[[#This Row],[Total PoP ]],WWWW[[#This Row],[Total PoP ]],WWWW[[#This Row],['# Functional hand washing stations during reporting period]]*100)</f>
        <v>0</v>
      </c>
      <c r="DI186" s="645" t="str">
        <f>IF(WWWW[[#This Row],['#_students at TLS_CFS]]="","No","Yes")</f>
        <v>No</v>
      </c>
      <c r="DJ186" s="643">
        <f>VLOOKUP(WWWW[[#This Row],[Site Name]],SiteDB6[[Site Name]:[CCCM Management]],6,FALSE)</f>
        <v>0</v>
      </c>
      <c r="DK186" s="643">
        <f>VLOOKUP(WWWW[[#This Row],[Site Name]],SiteDB6[[Site Name]:[CCCM Focal Agency]],7,FALSE)</f>
        <v>0</v>
      </c>
      <c r="DL186" s="643" t="str">
        <f>VLOOKUP(WWWW[[#This Row],[Site Name]],SiteDB6[[Site Name]:[Location Type 1]],9,FALSE)</f>
        <v>Village</v>
      </c>
      <c r="DM186" s="643" t="str">
        <f>VLOOKUP(WWWW[[#This Row],[Site Name]],SiteDB6[[Site Name]:[Type of Accommodation]],10,FALSE)</f>
        <v>Village</v>
      </c>
      <c r="DN186" s="643" t="str">
        <f>VLOOKUP(WWWW[[#This Row],[Site Name]],SiteDB6[[Site Name]:[Ethnic or GCA/NGCA]],11,FALSE)</f>
        <v>Rakhine</v>
      </c>
      <c r="DO186" s="643">
        <f>VLOOKUP(WWWW[[#This Row],[Site Name]],SiteDB6[[Site Name]:[Lat]],12,FALSE)</f>
        <v>20.767719270000001</v>
      </c>
      <c r="DP186" s="643">
        <f>VLOOKUP(WWWW[[#This Row],[Site Name]],SiteDB6[[Site Name]:[Long]],13,FALSE)</f>
        <v>92.631736759999995</v>
      </c>
      <c r="DQ186" s="643">
        <f>VLOOKUP(WWWW[[#This Row],[Site Name]],SiteDB6[[Site Name]:[Pcode]],3,FALSE)</f>
        <v>198409</v>
      </c>
      <c r="DR186" s="652" t="str">
        <f t="shared" si="6"/>
        <v>Covered</v>
      </c>
      <c r="DS186" s="652"/>
    </row>
    <row r="187" spans="1:123">
      <c r="A187" s="637" t="s">
        <v>2525</v>
      </c>
      <c r="B187" s="637" t="s">
        <v>2802</v>
      </c>
      <c r="C187" s="644" t="s">
        <v>387</v>
      </c>
      <c r="D187" s="644" t="s">
        <v>2803</v>
      </c>
      <c r="E187" s="663" t="s">
        <v>3013</v>
      </c>
      <c r="F187" s="644" t="s">
        <v>337</v>
      </c>
      <c r="G187" s="663" t="str">
        <f>VLOOKUP(WWWW[[#This Row],[Site Name]],SiteDB6[[Site Name]:[Location Type]],8,FALSE)</f>
        <v>Village</v>
      </c>
      <c r="H187" s="644" t="s">
        <v>2810</v>
      </c>
      <c r="I187" s="646">
        <v>23</v>
      </c>
      <c r="J187" s="646">
        <v>86</v>
      </c>
      <c r="K187" s="653">
        <v>43480</v>
      </c>
      <c r="L187" s="654">
        <v>43723</v>
      </c>
      <c r="M187" s="646"/>
      <c r="N187" s="646"/>
      <c r="O187" s="646"/>
      <c r="P187" s="646"/>
      <c r="Q187" s="645"/>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52"/>
      <c r="AP187" s="646"/>
      <c r="AQ187" s="646"/>
      <c r="AR187" s="648"/>
      <c r="AS187" s="646"/>
      <c r="AT187" s="646"/>
      <c r="AU187" s="646"/>
      <c r="AV187" s="646"/>
      <c r="AW187" s="646"/>
      <c r="AX187" s="643"/>
      <c r="AY187" s="652"/>
      <c r="AZ187" s="646"/>
      <c r="BA187" s="646"/>
      <c r="BB187" s="646"/>
      <c r="BC187" s="643"/>
      <c r="BD187" s="646"/>
      <c r="BE187" s="646"/>
      <c r="BF187" s="646"/>
      <c r="BG187" s="646"/>
      <c r="BH187" s="646"/>
      <c r="BI187" s="646">
        <v>23</v>
      </c>
      <c r="BJ187" s="646">
        <v>23</v>
      </c>
      <c r="BK187" s="646"/>
      <c r="BL187" s="646"/>
      <c r="BM187" s="643"/>
      <c r="BN187" s="647"/>
      <c r="BO187" s="648"/>
      <c r="BP187" s="643"/>
      <c r="BQ187" s="649" t="str">
        <f>IFERROR(WWWW[[#This Row],['#_Water sources treated]]/WWWW[[#This Row],['#_Water sources tested for contamination]],"no test")</f>
        <v>no test</v>
      </c>
      <c r="BR187" s="648" t="str">
        <f>IFERROR(WWWW[[#This Row],['#_Household received remediation action due to contamination]]/WWWW[[#This Row],['#_Household water samples tested for contamination]],"no test")</f>
        <v>no test</v>
      </c>
      <c r="BS187" s="647" t="str">
        <f>IF(AND(WWWW[[#This Row],[% of water sources treated]]="no test",WWWW[[#This Row],[% Household received corrective actions]]="no test"),"No Test","Tested")</f>
        <v>No Test</v>
      </c>
      <c r="BT187" s="647">
        <f>WWWW[[#This Row],['#_Constructed/existing protected hand dug well]]-WWWW[[#This Row],['#_Non-functional protected hand dug well]]</f>
        <v>0</v>
      </c>
      <c r="BU187" s="647">
        <f>(WWWW[[#This Row],['#_Constructed/Existing tube wells/boreholes/handpumps_WASH_agency]]+WWWW[[#This Row],['#_Non-Cluster partner water tube-wells/boreholes/handpumps]])-WWWW[[#This Row],['#_Non-functional tube wells/boreholes/handpumps]]</f>
        <v>0</v>
      </c>
      <c r="BV187" s="647">
        <f>WWWW[[#This Row],['#_Constructed/Existingwater storage tank with gravity fed reticulation system]]-WWWW[[#This Row],['#_Non-functional storage tank gravity fed reticulation system]]</f>
        <v>0</v>
      </c>
      <c r="BW187" s="647">
        <f>WWWW[[#This Row],['#_Water boating or water trucking]]</f>
        <v>0</v>
      </c>
      <c r="BX187" s="647">
        <f>WWWW[[#This Row],['#_Constructed/Existing water distribution system from river or natural spring]]</f>
        <v>0</v>
      </c>
      <c r="BY187"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87"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87" s="648">
        <f>IF(WWWW[[#This Row],[Location Type 1]]="Village",WWWW[[#This Row],[Access to safe drinking water for Village]],WWWW[[#This Row],[Access to safe drinking water for Camp]])</f>
        <v>0</v>
      </c>
      <c r="CB187" s="645">
        <f>WWWW[[#This Row],[%Equitable and continuous access to sufficient quantity of safe drinking water]]*WWWW[[#This Row],[Total PoP ]]</f>
        <v>0</v>
      </c>
      <c r="CC187" s="648">
        <f>IF((WWWW[[#This Row],['#_Constructed/Existing protected/fenced ponds]]*250)/WWWW[[#This Row],[Total PoP ]]&gt;1,1,(WWWW[[#This Row],['#_Constructed/Existing protected/fenced ponds]]*250)/WWWW[[#This Row],[Total PoP ]])</f>
        <v>0</v>
      </c>
      <c r="CD187" s="645">
        <f>WWWW[[#This Row],[% Access to unimproved water points]]*WWWW[[#This Row],[Total PoP ]]</f>
        <v>0</v>
      </c>
      <c r="CE187"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87"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87" s="645">
        <f>WWWW[[#This Row],[HRP1]]/500</f>
        <v>0</v>
      </c>
      <c r="CH187" s="650">
        <f>1-WWWW[[#This Row],[% Equitable and continuous access to sufficient quantity of domestic water]]</f>
        <v>1</v>
      </c>
      <c r="CI187" s="645">
        <f>WWWW[[#This Row],[%equitable and continuous access to sufficient quantity of safe drinking and domestic water''s GAP]]*WWWW[[#This Row],[Total PoP ]]</f>
        <v>86</v>
      </c>
      <c r="CJ187" s="647">
        <f>IF(WWWW[[#This Row],[Total required water points]]-WWWW[[#This Row],['#Water points coverage]]&lt;0,0,WWWW[[#This Row],[Total required water points]]-WWWW[[#This Row],['#Water points coverage]])</f>
        <v>1</v>
      </c>
      <c r="CK187" s="647">
        <f>ROUND(IF(WWWW[[#This Row],[Total PoP ]]&lt;500,1,WWWW[[#This Row],[Total PoP ]]/500),0)</f>
        <v>1</v>
      </c>
      <c r="CL187" s="647">
        <f>(WWWW[[#This Row],['#_Constructed latrines_by_WASHAgencies]]+WWWW[[#This Row],['#_Non Cluster partner latrines]])-WWWW[[#This Row],['#_Non-functional latrines]]</f>
        <v>0</v>
      </c>
      <c r="CM187"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87"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87"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87" s="647" t="str">
        <f>IF(WWWW[[#This Row],[Location Type 1]]="Village","NA",IF(WWWW[[#This Row],['#_Constructed/Existing latrines in TLS]]*50&gt;WWWW[[#This Row],['#_students at TLS_CFS]],WWWW[[#This Row],['#_students at TLS_CFS]],(WWWW[[#This Row],['#_Constructed/Existing latrines in TLS]]*50)))</f>
        <v>NA</v>
      </c>
      <c r="CQ187" s="647">
        <f>ROUND(IF(WWWW[[#This Row],[Location Type 1]]="camp",WWWW[[#This Row],[Total PoP ]]/20,IF(WWWW[[#This Row],[Location Type 1]]="Temporary Location",WWWW[[#This Row],[Total PoP ]]/50,(WWWW[[#This Row],[Total PoP ]]/6))),0)</f>
        <v>14</v>
      </c>
      <c r="CR187" s="647">
        <f>IF(WWWW[[#This Row],[Total required Latrines]]-(WWWW[[#This Row],['#_Constructed latrines_by_WASHAgencies]]+WWWW[[#This Row],['#_Non Cluster partner latrines]])&lt;0,0,WWWW[[#This Row],[Total required Latrines]]-(WWWW[[#This Row],['#_Constructed latrines_by_WASHAgencies]]+WWWW[[#This Row],['#_Non Cluster partner latrines]]))</f>
        <v>14</v>
      </c>
      <c r="CS187" s="79">
        <f>1-WWWW[[#This Row],[% people access to functioning Latrine]]</f>
        <v>1</v>
      </c>
      <c r="CT187" s="649">
        <f>IF(OR(WWWW[[#This Row],['#_Non-functional latrines]]="",WWWW[[#This Row],['#_Non-functional latrines]]=0),0,WWWW[[#This Row],['#_Non-functional latrines]]/(WWWW[[#This Row],['#_Constructed latrines_by_WASHAgencies]]+WWWW[[#This Row],['#_Non Cluster partner latrines]]))</f>
        <v>0</v>
      </c>
      <c r="CU187" s="645">
        <f>IF(500*(WWWW[[#This Row],['#_male hygiene promoters]]+WWWW[[#This Row],['#_female hygiene promoters]])&gt;WWWW[[#This Row],[Total PoP ]],WWWW[[#This Row],[Total PoP ]],500*(WWWW[[#This Row],['#_male hygiene promoters]]+WWWW[[#This Row],['#_female hygiene promoters]]))</f>
        <v>86</v>
      </c>
      <c r="CV187"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87"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87" s="647">
        <f>IF(WWWW[[#This Row],['# People with access to soap]]&gt;WWWW[[#This Row],['# People with access to Sanity Pads]],WWWW[[#This Row],['# People with access to soap]],WWWW[[#This Row],['# People with access to Sanity Pads]])</f>
        <v>0</v>
      </c>
      <c r="CY187" s="647">
        <f>IF(WWWW[[#This Row],['# people reached by regular dedicated hygiene promotion_5]]&gt;WWWW[[#This Row],['# People received regular supply of hygiene items_6]],WWWW[[#This Row],['# people reached by regular dedicated hygiene promotion_5]],WWWW[[#This Row],['# People received regular supply of hygiene items_6]])</f>
        <v>86</v>
      </c>
      <c r="CZ187" s="650">
        <f>IF(WWWW[[#This Row],[HRP3]]/WWWW[[#This Row],[Total PoP ]]&gt;100%,100%,WWWW[[#This Row],[HRP3]]/WWWW[[#This Row],[Total PoP ]])</f>
        <v>1</v>
      </c>
      <c r="DA187" s="649">
        <f>1-WWWW[[#This Row],[Hygiene Coverage%]]</f>
        <v>0</v>
      </c>
      <c r="DB187" s="648">
        <f>WWWW[[#This Row],['# people reached by regular dedicated hygiene promotion_5]]/WWWW[[#This Row],[Total PoP ]]</f>
        <v>1</v>
      </c>
      <c r="DC187" s="648">
        <f>IF(WWWW[[#This Row],['#_households that received standard amount of soap for this quarter]]/WWWW[[#This Row],[Total HH]]&gt;1,1,WWWW[[#This Row],['#_households that received standard amount of soap for this quarter]]/WWWW[[#This Row],[Total HH]])</f>
        <v>0</v>
      </c>
      <c r="DD187" s="648">
        <f>IF(WWWW[[#This Row],['#_households that received standard amount of sanitary pads for this quarter]]/WWWW[[#This Row],[Total HH]]&gt;1,1,WWWW[[#This Row],['#_households that received standard amount of sanitary pads for this quarter]]/WWWW[[#This Row],[Total HH]])</f>
        <v>0</v>
      </c>
      <c r="DE187" s="647">
        <f>WWWW[[#This Row],['#_Constructed/Existing hand washing stations]]-WWWW[[#This Row],['#_Non-Functional_hand_washing_stations]]</f>
        <v>0</v>
      </c>
      <c r="DF187" s="667">
        <f>IF(WWWW[[#This Row],['# Functional hand washing stations during reporting period]]*20&gt;WWWW[[#This Row],[Total HH]],WWWW[[#This Row],[Total HH]],WWWW[[#This Row],['# Functional hand washing stations during reporting period]]*20)</f>
        <v>0</v>
      </c>
      <c r="DG187" s="645">
        <f>IF(WWWW[[#This Row],[Is sufficient soap available for TLS? (Yes/No)]]="yes",WWWW[[#This Row],['#_Constructed/Existing hand washing stations at TLS]],0)</f>
        <v>0</v>
      </c>
      <c r="DH187" s="645">
        <f>IF(WWWW[[#This Row],['# Functional hand washing stations during reporting period]]*100&gt;WWWW[[#This Row],[Total PoP ]],WWWW[[#This Row],[Total PoP ]],WWWW[[#This Row],['# Functional hand washing stations during reporting period]]*100)</f>
        <v>0</v>
      </c>
      <c r="DI187" s="645" t="str">
        <f>IF(WWWW[[#This Row],['#_students at TLS_CFS]]="","No","Yes")</f>
        <v>No</v>
      </c>
      <c r="DJ187" s="643">
        <f>VLOOKUP(WWWW[[#This Row],[Site Name]],SiteDB6[[Site Name]:[CCCM Management]],6,FALSE)</f>
        <v>0</v>
      </c>
      <c r="DK187" s="643">
        <f>VLOOKUP(WWWW[[#This Row],[Site Name]],SiteDB6[[Site Name]:[CCCM Focal Agency]],7,FALSE)</f>
        <v>0</v>
      </c>
      <c r="DL187" s="643" t="str">
        <f>VLOOKUP(WWWW[[#This Row],[Site Name]],SiteDB6[[Site Name]:[Location Type 1]],9,FALSE)</f>
        <v>Village</v>
      </c>
      <c r="DM187" s="643" t="str">
        <f>VLOOKUP(WWWW[[#This Row],[Site Name]],SiteDB6[[Site Name]:[Type of Accommodation]],10,FALSE)</f>
        <v>Village</v>
      </c>
      <c r="DN187" s="643" t="str">
        <f>VLOOKUP(WWWW[[#This Row],[Site Name]],SiteDB6[[Site Name]:[Ethnic or GCA/NGCA]],11,FALSE)</f>
        <v>Rakhine</v>
      </c>
      <c r="DO187" s="643">
        <f>VLOOKUP(WWWW[[#This Row],[Site Name]],SiteDB6[[Site Name]:[Lat]],12,FALSE)</f>
        <v>0</v>
      </c>
      <c r="DP187" s="643">
        <f>VLOOKUP(WWWW[[#This Row],[Site Name]],SiteDB6[[Site Name]:[Long]],13,FALSE)</f>
        <v>0</v>
      </c>
      <c r="DQ187" s="643">
        <f>VLOOKUP(WWWW[[#This Row],[Site Name]],SiteDB6[[Site Name]:[Pcode]],3,FALSE)</f>
        <v>198337</v>
      </c>
      <c r="DR187" s="652" t="str">
        <f t="shared" si="6"/>
        <v>Covered</v>
      </c>
      <c r="DS187" s="652"/>
    </row>
    <row r="188" spans="1:123">
      <c r="A188" s="637" t="s">
        <v>2525</v>
      </c>
      <c r="B188" s="637" t="s">
        <v>2802</v>
      </c>
      <c r="C188" s="644" t="s">
        <v>387</v>
      </c>
      <c r="D188" s="644" t="s">
        <v>2803</v>
      </c>
      <c r="E188" s="663" t="s">
        <v>3013</v>
      </c>
      <c r="F188" s="644" t="s">
        <v>337</v>
      </c>
      <c r="G188" s="663" t="str">
        <f>VLOOKUP(WWWW[[#This Row],[Site Name]],SiteDB6[[Site Name]:[Location Type]],8,FALSE)</f>
        <v>Village</v>
      </c>
      <c r="H188" s="644" t="s">
        <v>2809</v>
      </c>
      <c r="I188" s="646">
        <v>74</v>
      </c>
      <c r="J188" s="646">
        <v>343</v>
      </c>
      <c r="K188" s="653">
        <v>43480</v>
      </c>
      <c r="L188" s="654">
        <v>43723</v>
      </c>
      <c r="M188" s="646"/>
      <c r="N188" s="646"/>
      <c r="O188" s="646"/>
      <c r="P188" s="646"/>
      <c r="Q188" s="645"/>
      <c r="R188" s="646"/>
      <c r="S188" s="646"/>
      <c r="T188" s="646"/>
      <c r="U188" s="646"/>
      <c r="V188" s="646"/>
      <c r="W188" s="646"/>
      <c r="X188" s="646"/>
      <c r="Y188" s="646"/>
      <c r="Z188" s="646"/>
      <c r="AA188" s="646"/>
      <c r="AB188" s="646"/>
      <c r="AC188" s="646"/>
      <c r="AD188" s="646"/>
      <c r="AE188" s="646"/>
      <c r="AF188" s="646"/>
      <c r="AG188" s="646"/>
      <c r="AH188" s="646"/>
      <c r="AI188" s="646"/>
      <c r="AJ188" s="646"/>
      <c r="AK188" s="646"/>
      <c r="AL188" s="646"/>
      <c r="AM188" s="646"/>
      <c r="AN188" s="646"/>
      <c r="AO188" s="652"/>
      <c r="AP188" s="646"/>
      <c r="AQ188" s="646"/>
      <c r="AR188" s="648"/>
      <c r="AS188" s="646"/>
      <c r="AT188" s="646"/>
      <c r="AU188" s="646"/>
      <c r="AV188" s="646"/>
      <c r="AW188" s="646"/>
      <c r="AX188" s="643"/>
      <c r="AY188" s="652"/>
      <c r="AZ188" s="646"/>
      <c r="BA188" s="646"/>
      <c r="BB188" s="646"/>
      <c r="BC188" s="643"/>
      <c r="BD188" s="646"/>
      <c r="BE188" s="646"/>
      <c r="BF188" s="646"/>
      <c r="BG188" s="646"/>
      <c r="BH188" s="646"/>
      <c r="BI188" s="646">
        <v>74</v>
      </c>
      <c r="BJ188" s="646">
        <v>74</v>
      </c>
      <c r="BK188" s="646"/>
      <c r="BL188" s="646"/>
      <c r="BM188" s="643"/>
      <c r="BN188" s="647"/>
      <c r="BO188" s="648"/>
      <c r="BP188" s="643"/>
      <c r="BQ188" s="649" t="str">
        <f>IFERROR(WWWW[[#This Row],['#_Water sources treated]]/WWWW[[#This Row],['#_Water sources tested for contamination]],"no test")</f>
        <v>no test</v>
      </c>
      <c r="BR188" s="648" t="str">
        <f>IFERROR(WWWW[[#This Row],['#_Household received remediation action due to contamination]]/WWWW[[#This Row],['#_Household water samples tested for contamination]],"no test")</f>
        <v>no test</v>
      </c>
      <c r="BS188" s="647" t="str">
        <f>IF(AND(WWWW[[#This Row],[% of water sources treated]]="no test",WWWW[[#This Row],[% Household received corrective actions]]="no test"),"No Test","Tested")</f>
        <v>No Test</v>
      </c>
      <c r="BT188" s="647">
        <f>WWWW[[#This Row],['#_Constructed/existing protected hand dug well]]-WWWW[[#This Row],['#_Non-functional protected hand dug well]]</f>
        <v>0</v>
      </c>
      <c r="BU188" s="647">
        <f>(WWWW[[#This Row],['#_Constructed/Existing tube wells/boreholes/handpumps_WASH_agency]]+WWWW[[#This Row],['#_Non-Cluster partner water tube-wells/boreholes/handpumps]])-WWWW[[#This Row],['#_Non-functional tube wells/boreholes/handpumps]]</f>
        <v>0</v>
      </c>
      <c r="BV188" s="647">
        <f>WWWW[[#This Row],['#_Constructed/Existingwater storage tank with gravity fed reticulation system]]-WWWW[[#This Row],['#_Non-functional storage tank gravity fed reticulation system]]</f>
        <v>0</v>
      </c>
      <c r="BW188" s="647">
        <f>WWWW[[#This Row],['#_Water boating or water trucking]]</f>
        <v>0</v>
      </c>
      <c r="BX188" s="647">
        <f>WWWW[[#This Row],['#_Constructed/Existing water distribution system from river or natural spring]]</f>
        <v>0</v>
      </c>
      <c r="BY188"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88"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88" s="648">
        <f>IF(WWWW[[#This Row],[Location Type 1]]="Village",WWWW[[#This Row],[Access to safe drinking water for Village]],WWWW[[#This Row],[Access to safe drinking water for Camp]])</f>
        <v>0</v>
      </c>
      <c r="CB188" s="645">
        <f>WWWW[[#This Row],[%Equitable and continuous access to sufficient quantity of safe drinking water]]*WWWW[[#This Row],[Total PoP ]]</f>
        <v>0</v>
      </c>
      <c r="CC188" s="648">
        <f>IF((WWWW[[#This Row],['#_Constructed/Existing protected/fenced ponds]]*250)/WWWW[[#This Row],[Total PoP ]]&gt;1,1,(WWWW[[#This Row],['#_Constructed/Existing protected/fenced ponds]]*250)/WWWW[[#This Row],[Total PoP ]])</f>
        <v>0</v>
      </c>
      <c r="CD188" s="645">
        <f>WWWW[[#This Row],[% Access to unimproved water points]]*WWWW[[#This Row],[Total PoP ]]</f>
        <v>0</v>
      </c>
      <c r="CE188"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88"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88" s="645">
        <f>WWWW[[#This Row],[HRP1]]/500</f>
        <v>0</v>
      </c>
      <c r="CH188" s="650">
        <f>1-WWWW[[#This Row],[% Equitable and continuous access to sufficient quantity of domestic water]]</f>
        <v>1</v>
      </c>
      <c r="CI188" s="645">
        <f>WWWW[[#This Row],[%equitable and continuous access to sufficient quantity of safe drinking and domestic water''s GAP]]*WWWW[[#This Row],[Total PoP ]]</f>
        <v>343</v>
      </c>
      <c r="CJ188" s="647">
        <f>IF(WWWW[[#This Row],[Total required water points]]-WWWW[[#This Row],['#Water points coverage]]&lt;0,0,WWWW[[#This Row],[Total required water points]]-WWWW[[#This Row],['#Water points coverage]])</f>
        <v>1</v>
      </c>
      <c r="CK188" s="647">
        <f>ROUND(IF(WWWW[[#This Row],[Total PoP ]]&lt;500,1,WWWW[[#This Row],[Total PoP ]]/500),0)</f>
        <v>1</v>
      </c>
      <c r="CL188" s="647">
        <f>(WWWW[[#This Row],['#_Constructed latrines_by_WASHAgencies]]+WWWW[[#This Row],['#_Non Cluster partner latrines]])-WWWW[[#This Row],['#_Non-functional latrines]]</f>
        <v>0</v>
      </c>
      <c r="CM188"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88"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88"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88" s="647" t="str">
        <f>IF(WWWW[[#This Row],[Location Type 1]]="Village","NA",IF(WWWW[[#This Row],['#_Constructed/Existing latrines in TLS]]*50&gt;WWWW[[#This Row],['#_students at TLS_CFS]],WWWW[[#This Row],['#_students at TLS_CFS]],(WWWW[[#This Row],['#_Constructed/Existing latrines in TLS]]*50)))</f>
        <v>NA</v>
      </c>
      <c r="CQ188" s="647">
        <f>ROUND(IF(WWWW[[#This Row],[Location Type 1]]="camp",WWWW[[#This Row],[Total PoP ]]/20,IF(WWWW[[#This Row],[Location Type 1]]="Temporary Location",WWWW[[#This Row],[Total PoP ]]/50,(WWWW[[#This Row],[Total PoP ]]/6))),0)</f>
        <v>57</v>
      </c>
      <c r="CR188" s="647">
        <f>IF(WWWW[[#This Row],[Total required Latrines]]-(WWWW[[#This Row],['#_Constructed latrines_by_WASHAgencies]]+WWWW[[#This Row],['#_Non Cluster partner latrines]])&lt;0,0,WWWW[[#This Row],[Total required Latrines]]-(WWWW[[#This Row],['#_Constructed latrines_by_WASHAgencies]]+WWWW[[#This Row],['#_Non Cluster partner latrines]]))</f>
        <v>57</v>
      </c>
      <c r="CS188" s="79">
        <f>1-WWWW[[#This Row],[% people access to functioning Latrine]]</f>
        <v>1</v>
      </c>
      <c r="CT188" s="649">
        <f>IF(OR(WWWW[[#This Row],['#_Non-functional latrines]]="",WWWW[[#This Row],['#_Non-functional latrines]]=0),0,WWWW[[#This Row],['#_Non-functional latrines]]/(WWWW[[#This Row],['#_Constructed latrines_by_WASHAgencies]]+WWWW[[#This Row],['#_Non Cluster partner latrines]]))</f>
        <v>0</v>
      </c>
      <c r="CU188" s="645">
        <f>IF(500*(WWWW[[#This Row],['#_male hygiene promoters]]+WWWW[[#This Row],['#_female hygiene promoters]])&gt;WWWW[[#This Row],[Total PoP ]],WWWW[[#This Row],[Total PoP ]],500*(WWWW[[#This Row],['#_male hygiene promoters]]+WWWW[[#This Row],['#_female hygiene promoters]]))</f>
        <v>343</v>
      </c>
      <c r="CV188"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88"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88" s="647">
        <f>IF(WWWW[[#This Row],['# People with access to soap]]&gt;WWWW[[#This Row],['# People with access to Sanity Pads]],WWWW[[#This Row],['# People with access to soap]],WWWW[[#This Row],['# People with access to Sanity Pads]])</f>
        <v>0</v>
      </c>
      <c r="CY188" s="647">
        <f>IF(WWWW[[#This Row],['# people reached by regular dedicated hygiene promotion_5]]&gt;WWWW[[#This Row],['# People received regular supply of hygiene items_6]],WWWW[[#This Row],['# people reached by regular dedicated hygiene promotion_5]],WWWW[[#This Row],['# People received regular supply of hygiene items_6]])</f>
        <v>343</v>
      </c>
      <c r="CZ188" s="650">
        <f>IF(WWWW[[#This Row],[HRP3]]/WWWW[[#This Row],[Total PoP ]]&gt;100%,100%,WWWW[[#This Row],[HRP3]]/WWWW[[#This Row],[Total PoP ]])</f>
        <v>1</v>
      </c>
      <c r="DA188" s="649">
        <f>1-WWWW[[#This Row],[Hygiene Coverage%]]</f>
        <v>0</v>
      </c>
      <c r="DB188" s="648">
        <f>WWWW[[#This Row],['# people reached by regular dedicated hygiene promotion_5]]/WWWW[[#This Row],[Total PoP ]]</f>
        <v>1</v>
      </c>
      <c r="DC188" s="648">
        <f>IF(WWWW[[#This Row],['#_households that received standard amount of soap for this quarter]]/WWWW[[#This Row],[Total HH]]&gt;1,1,WWWW[[#This Row],['#_households that received standard amount of soap for this quarter]]/WWWW[[#This Row],[Total HH]])</f>
        <v>0</v>
      </c>
      <c r="DD188" s="648">
        <f>IF(WWWW[[#This Row],['#_households that received standard amount of sanitary pads for this quarter]]/WWWW[[#This Row],[Total HH]]&gt;1,1,WWWW[[#This Row],['#_households that received standard amount of sanitary pads for this quarter]]/WWWW[[#This Row],[Total HH]])</f>
        <v>0</v>
      </c>
      <c r="DE188" s="647">
        <f>WWWW[[#This Row],['#_Constructed/Existing hand washing stations]]-WWWW[[#This Row],['#_Non-Functional_hand_washing_stations]]</f>
        <v>0</v>
      </c>
      <c r="DF188" s="667">
        <f>IF(WWWW[[#This Row],['# Functional hand washing stations during reporting period]]*20&gt;WWWW[[#This Row],[Total HH]],WWWW[[#This Row],[Total HH]],WWWW[[#This Row],['# Functional hand washing stations during reporting period]]*20)</f>
        <v>0</v>
      </c>
      <c r="DG188" s="645">
        <f>IF(WWWW[[#This Row],[Is sufficient soap available for TLS? (Yes/No)]]="yes",WWWW[[#This Row],['#_Constructed/Existing hand washing stations at TLS]],0)</f>
        <v>0</v>
      </c>
      <c r="DH188" s="645">
        <f>IF(WWWW[[#This Row],['# Functional hand washing stations during reporting period]]*100&gt;WWWW[[#This Row],[Total PoP ]],WWWW[[#This Row],[Total PoP ]],WWWW[[#This Row],['# Functional hand washing stations during reporting period]]*100)</f>
        <v>0</v>
      </c>
      <c r="DI188" s="645" t="str">
        <f>IF(WWWW[[#This Row],['#_students at TLS_CFS]]="","No","Yes")</f>
        <v>No</v>
      </c>
      <c r="DJ188" s="643">
        <f>VLOOKUP(WWWW[[#This Row],[Site Name]],SiteDB6[[Site Name]:[CCCM Management]],6,FALSE)</f>
        <v>0</v>
      </c>
      <c r="DK188" s="643">
        <f>VLOOKUP(WWWW[[#This Row],[Site Name]],SiteDB6[[Site Name]:[CCCM Focal Agency]],7,FALSE)</f>
        <v>0</v>
      </c>
      <c r="DL188" s="643" t="str">
        <f>VLOOKUP(WWWW[[#This Row],[Site Name]],SiteDB6[[Site Name]:[Location Type 1]],9,FALSE)</f>
        <v>Village</v>
      </c>
      <c r="DM188" s="643" t="str">
        <f>VLOOKUP(WWWW[[#This Row],[Site Name]],SiteDB6[[Site Name]:[Type of Accommodation]],10,FALSE)</f>
        <v>Village</v>
      </c>
      <c r="DN188" s="643" t="str">
        <f>VLOOKUP(WWWW[[#This Row],[Site Name]],SiteDB6[[Site Name]:[Ethnic or GCA/NGCA]],11,FALSE)</f>
        <v>Rakhine</v>
      </c>
      <c r="DO188" s="643">
        <f>VLOOKUP(WWWW[[#This Row],[Site Name]],SiteDB6[[Site Name]:[Lat]],12,FALSE)</f>
        <v>0</v>
      </c>
      <c r="DP188" s="643">
        <f>VLOOKUP(WWWW[[#This Row],[Site Name]],SiteDB6[[Site Name]:[Long]],13,FALSE)</f>
        <v>0</v>
      </c>
      <c r="DQ188" s="643">
        <f>VLOOKUP(WWWW[[#This Row],[Site Name]],SiteDB6[[Site Name]:[Pcode]],3,FALSE)</f>
        <v>198363</v>
      </c>
      <c r="DR188" s="652" t="str">
        <f t="shared" si="6"/>
        <v>Covered</v>
      </c>
      <c r="DS188" s="652"/>
    </row>
    <row r="189" spans="1:123">
      <c r="A189" s="637" t="s">
        <v>2525</v>
      </c>
      <c r="B189" s="637" t="s">
        <v>2802</v>
      </c>
      <c r="C189" s="644" t="s">
        <v>387</v>
      </c>
      <c r="D189" s="644" t="s">
        <v>2803</v>
      </c>
      <c r="E189" s="663" t="s">
        <v>3013</v>
      </c>
      <c r="F189" s="644" t="s">
        <v>337</v>
      </c>
      <c r="G189" s="663" t="str">
        <f>VLOOKUP(WWWW[[#This Row],[Site Name]],SiteDB6[[Site Name]:[Location Type]],8,FALSE)</f>
        <v>Village</v>
      </c>
      <c r="H189" s="644" t="s">
        <v>2819</v>
      </c>
      <c r="I189" s="646">
        <v>18</v>
      </c>
      <c r="J189" s="646">
        <v>73</v>
      </c>
      <c r="K189" s="653">
        <v>43480</v>
      </c>
      <c r="L189" s="654">
        <v>43723</v>
      </c>
      <c r="M189" s="646"/>
      <c r="N189" s="646"/>
      <c r="O189" s="646"/>
      <c r="P189" s="646"/>
      <c r="Q189" s="645"/>
      <c r="R189" s="646"/>
      <c r="S189" s="646"/>
      <c r="T189" s="646"/>
      <c r="U189" s="646"/>
      <c r="V189" s="646"/>
      <c r="W189" s="646"/>
      <c r="X189" s="646"/>
      <c r="Y189" s="646"/>
      <c r="Z189" s="646"/>
      <c r="AA189" s="646"/>
      <c r="AB189" s="646"/>
      <c r="AC189" s="646"/>
      <c r="AD189" s="646"/>
      <c r="AE189" s="646"/>
      <c r="AF189" s="646"/>
      <c r="AG189" s="646"/>
      <c r="AH189" s="646"/>
      <c r="AI189" s="646"/>
      <c r="AJ189" s="646"/>
      <c r="AK189" s="646"/>
      <c r="AL189" s="646"/>
      <c r="AM189" s="646"/>
      <c r="AN189" s="646"/>
      <c r="AO189" s="652"/>
      <c r="AP189" s="646"/>
      <c r="AQ189" s="646"/>
      <c r="AR189" s="648"/>
      <c r="AS189" s="646"/>
      <c r="AT189" s="646"/>
      <c r="AU189" s="646"/>
      <c r="AV189" s="646"/>
      <c r="AW189" s="646"/>
      <c r="AX189" s="643"/>
      <c r="AY189" s="652"/>
      <c r="AZ189" s="646"/>
      <c r="BA189" s="646"/>
      <c r="BB189" s="646"/>
      <c r="BC189" s="643"/>
      <c r="BD189" s="646"/>
      <c r="BE189" s="646"/>
      <c r="BF189" s="646"/>
      <c r="BG189" s="646"/>
      <c r="BH189" s="646"/>
      <c r="BI189" s="646">
        <v>18</v>
      </c>
      <c r="BJ189" s="646">
        <v>18</v>
      </c>
      <c r="BK189" s="646"/>
      <c r="BL189" s="646"/>
      <c r="BM189" s="643"/>
      <c r="BN189" s="647"/>
      <c r="BO189" s="648"/>
      <c r="BP189" s="643"/>
      <c r="BQ189" s="649" t="str">
        <f>IFERROR(WWWW[[#This Row],['#_Water sources treated]]/WWWW[[#This Row],['#_Water sources tested for contamination]],"no test")</f>
        <v>no test</v>
      </c>
      <c r="BR189" s="648" t="str">
        <f>IFERROR(WWWW[[#This Row],['#_Household received remediation action due to contamination]]/WWWW[[#This Row],['#_Household water samples tested for contamination]],"no test")</f>
        <v>no test</v>
      </c>
      <c r="BS189" s="647" t="str">
        <f>IF(AND(WWWW[[#This Row],[% of water sources treated]]="no test",WWWW[[#This Row],[% Household received corrective actions]]="no test"),"No Test","Tested")</f>
        <v>No Test</v>
      </c>
      <c r="BT189" s="647">
        <f>WWWW[[#This Row],['#_Constructed/existing protected hand dug well]]-WWWW[[#This Row],['#_Non-functional protected hand dug well]]</f>
        <v>0</v>
      </c>
      <c r="BU189" s="647">
        <f>(WWWW[[#This Row],['#_Constructed/Existing tube wells/boreholes/handpumps_WASH_agency]]+WWWW[[#This Row],['#_Non-Cluster partner water tube-wells/boreholes/handpumps]])-WWWW[[#This Row],['#_Non-functional tube wells/boreholes/handpumps]]</f>
        <v>0</v>
      </c>
      <c r="BV189" s="647">
        <f>WWWW[[#This Row],['#_Constructed/Existingwater storage tank with gravity fed reticulation system]]-WWWW[[#This Row],['#_Non-functional storage tank gravity fed reticulation system]]</f>
        <v>0</v>
      </c>
      <c r="BW189" s="647">
        <f>WWWW[[#This Row],['#_Water boating or water trucking]]</f>
        <v>0</v>
      </c>
      <c r="BX189" s="647">
        <f>WWWW[[#This Row],['#_Constructed/Existing water distribution system from river or natural spring]]</f>
        <v>0</v>
      </c>
      <c r="BY189"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89"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89" s="648">
        <f>IF(WWWW[[#This Row],[Location Type 1]]="Village",WWWW[[#This Row],[Access to safe drinking water for Village]],WWWW[[#This Row],[Access to safe drinking water for Camp]])</f>
        <v>0</v>
      </c>
      <c r="CB189" s="645">
        <f>WWWW[[#This Row],[%Equitable and continuous access to sufficient quantity of safe drinking water]]*WWWW[[#This Row],[Total PoP ]]</f>
        <v>0</v>
      </c>
      <c r="CC189" s="648">
        <f>IF((WWWW[[#This Row],['#_Constructed/Existing protected/fenced ponds]]*250)/WWWW[[#This Row],[Total PoP ]]&gt;1,1,(WWWW[[#This Row],['#_Constructed/Existing protected/fenced ponds]]*250)/WWWW[[#This Row],[Total PoP ]])</f>
        <v>0</v>
      </c>
      <c r="CD189" s="645">
        <f>WWWW[[#This Row],[% Access to unimproved water points]]*WWWW[[#This Row],[Total PoP ]]</f>
        <v>0</v>
      </c>
      <c r="CE189"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89"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89" s="645">
        <f>WWWW[[#This Row],[HRP1]]/500</f>
        <v>0</v>
      </c>
      <c r="CH189" s="650">
        <f>1-WWWW[[#This Row],[% Equitable and continuous access to sufficient quantity of domestic water]]</f>
        <v>1</v>
      </c>
      <c r="CI189" s="645">
        <f>WWWW[[#This Row],[%equitable and continuous access to sufficient quantity of safe drinking and domestic water''s GAP]]*WWWW[[#This Row],[Total PoP ]]</f>
        <v>73</v>
      </c>
      <c r="CJ189" s="647">
        <f>IF(WWWW[[#This Row],[Total required water points]]-WWWW[[#This Row],['#Water points coverage]]&lt;0,0,WWWW[[#This Row],[Total required water points]]-WWWW[[#This Row],['#Water points coverage]])</f>
        <v>1</v>
      </c>
      <c r="CK189" s="647">
        <f>ROUND(IF(WWWW[[#This Row],[Total PoP ]]&lt;500,1,WWWW[[#This Row],[Total PoP ]]/500),0)</f>
        <v>1</v>
      </c>
      <c r="CL189" s="647">
        <f>(WWWW[[#This Row],['#_Constructed latrines_by_WASHAgencies]]+WWWW[[#This Row],['#_Non Cluster partner latrines]])-WWWW[[#This Row],['#_Non-functional latrines]]</f>
        <v>0</v>
      </c>
      <c r="CM189"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89"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89"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89" s="647" t="str">
        <f>IF(WWWW[[#This Row],[Location Type 1]]="Village","NA",IF(WWWW[[#This Row],['#_Constructed/Existing latrines in TLS]]*50&gt;WWWW[[#This Row],['#_students at TLS_CFS]],WWWW[[#This Row],['#_students at TLS_CFS]],(WWWW[[#This Row],['#_Constructed/Existing latrines in TLS]]*50)))</f>
        <v>NA</v>
      </c>
      <c r="CQ189" s="647">
        <f>ROUND(IF(WWWW[[#This Row],[Location Type 1]]="camp",WWWW[[#This Row],[Total PoP ]]/20,IF(WWWW[[#This Row],[Location Type 1]]="Temporary Location",WWWW[[#This Row],[Total PoP ]]/50,(WWWW[[#This Row],[Total PoP ]]/6))),0)</f>
        <v>12</v>
      </c>
      <c r="CR189" s="647">
        <f>IF(WWWW[[#This Row],[Total required Latrines]]-(WWWW[[#This Row],['#_Constructed latrines_by_WASHAgencies]]+WWWW[[#This Row],['#_Non Cluster partner latrines]])&lt;0,0,WWWW[[#This Row],[Total required Latrines]]-(WWWW[[#This Row],['#_Constructed latrines_by_WASHAgencies]]+WWWW[[#This Row],['#_Non Cluster partner latrines]]))</f>
        <v>12</v>
      </c>
      <c r="CS189" s="79">
        <f>1-WWWW[[#This Row],[% people access to functioning Latrine]]</f>
        <v>1</v>
      </c>
      <c r="CT189" s="649">
        <f>IF(OR(WWWW[[#This Row],['#_Non-functional latrines]]="",WWWW[[#This Row],['#_Non-functional latrines]]=0),0,WWWW[[#This Row],['#_Non-functional latrines]]/(WWWW[[#This Row],['#_Constructed latrines_by_WASHAgencies]]+WWWW[[#This Row],['#_Non Cluster partner latrines]]))</f>
        <v>0</v>
      </c>
      <c r="CU189" s="645">
        <f>IF(500*(WWWW[[#This Row],['#_male hygiene promoters]]+WWWW[[#This Row],['#_female hygiene promoters]])&gt;WWWW[[#This Row],[Total PoP ]],WWWW[[#This Row],[Total PoP ]],500*(WWWW[[#This Row],['#_male hygiene promoters]]+WWWW[[#This Row],['#_female hygiene promoters]]))</f>
        <v>73</v>
      </c>
      <c r="CV189"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89"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89" s="647">
        <f>IF(WWWW[[#This Row],['# People with access to soap]]&gt;WWWW[[#This Row],['# People with access to Sanity Pads]],WWWW[[#This Row],['# People with access to soap]],WWWW[[#This Row],['# People with access to Sanity Pads]])</f>
        <v>0</v>
      </c>
      <c r="CY189" s="647">
        <f>IF(WWWW[[#This Row],['# people reached by regular dedicated hygiene promotion_5]]&gt;WWWW[[#This Row],['# People received regular supply of hygiene items_6]],WWWW[[#This Row],['# people reached by regular dedicated hygiene promotion_5]],WWWW[[#This Row],['# People received regular supply of hygiene items_6]])</f>
        <v>73</v>
      </c>
      <c r="CZ189" s="650">
        <f>IF(WWWW[[#This Row],[HRP3]]/WWWW[[#This Row],[Total PoP ]]&gt;100%,100%,WWWW[[#This Row],[HRP3]]/WWWW[[#This Row],[Total PoP ]])</f>
        <v>1</v>
      </c>
      <c r="DA189" s="649">
        <f>1-WWWW[[#This Row],[Hygiene Coverage%]]</f>
        <v>0</v>
      </c>
      <c r="DB189" s="648">
        <f>WWWW[[#This Row],['# people reached by regular dedicated hygiene promotion_5]]/WWWW[[#This Row],[Total PoP ]]</f>
        <v>1</v>
      </c>
      <c r="DC189" s="648">
        <f>IF(WWWW[[#This Row],['#_households that received standard amount of soap for this quarter]]/WWWW[[#This Row],[Total HH]]&gt;1,1,WWWW[[#This Row],['#_households that received standard amount of soap for this quarter]]/WWWW[[#This Row],[Total HH]])</f>
        <v>0</v>
      </c>
      <c r="DD189" s="648">
        <f>IF(WWWW[[#This Row],['#_households that received standard amount of sanitary pads for this quarter]]/WWWW[[#This Row],[Total HH]]&gt;1,1,WWWW[[#This Row],['#_households that received standard amount of sanitary pads for this quarter]]/WWWW[[#This Row],[Total HH]])</f>
        <v>0</v>
      </c>
      <c r="DE189" s="647">
        <f>WWWW[[#This Row],['#_Constructed/Existing hand washing stations]]-WWWW[[#This Row],['#_Non-Functional_hand_washing_stations]]</f>
        <v>0</v>
      </c>
      <c r="DF189" s="667">
        <f>IF(WWWW[[#This Row],['# Functional hand washing stations during reporting period]]*20&gt;WWWW[[#This Row],[Total HH]],WWWW[[#This Row],[Total HH]],WWWW[[#This Row],['# Functional hand washing stations during reporting period]]*20)</f>
        <v>0</v>
      </c>
      <c r="DG189" s="645">
        <f>IF(WWWW[[#This Row],[Is sufficient soap available for TLS? (Yes/No)]]="yes",WWWW[[#This Row],['#_Constructed/Existing hand washing stations at TLS]],0)</f>
        <v>0</v>
      </c>
      <c r="DH189" s="645">
        <f>IF(WWWW[[#This Row],['# Functional hand washing stations during reporting period]]*100&gt;WWWW[[#This Row],[Total PoP ]],WWWW[[#This Row],[Total PoP ]],WWWW[[#This Row],['# Functional hand washing stations during reporting period]]*100)</f>
        <v>0</v>
      </c>
      <c r="DI189" s="645" t="str">
        <f>IF(WWWW[[#This Row],['#_students at TLS_CFS]]="","No","Yes")</f>
        <v>No</v>
      </c>
      <c r="DJ189" s="643">
        <f>VLOOKUP(WWWW[[#This Row],[Site Name]],SiteDB6[[Site Name]:[CCCM Management]],6,FALSE)</f>
        <v>0</v>
      </c>
      <c r="DK189" s="643">
        <f>VLOOKUP(WWWW[[#This Row],[Site Name]],SiteDB6[[Site Name]:[CCCM Focal Agency]],7,FALSE)</f>
        <v>0</v>
      </c>
      <c r="DL189" s="643" t="str">
        <f>VLOOKUP(WWWW[[#This Row],[Site Name]],SiteDB6[[Site Name]:[Location Type 1]],9,FALSE)</f>
        <v>Village</v>
      </c>
      <c r="DM189" s="643" t="str">
        <f>VLOOKUP(WWWW[[#This Row],[Site Name]],SiteDB6[[Site Name]:[Type of Accommodation]],10,FALSE)</f>
        <v>Village</v>
      </c>
      <c r="DN189" s="643" t="str">
        <f>VLOOKUP(WWWW[[#This Row],[Site Name]],SiteDB6[[Site Name]:[Ethnic or GCA/NGCA]],11,FALSE)</f>
        <v>Rakhine</v>
      </c>
      <c r="DO189" s="643">
        <f>VLOOKUP(WWWW[[#This Row],[Site Name]],SiteDB6[[Site Name]:[Lat]],12,FALSE)</f>
        <v>20.887420649999999</v>
      </c>
      <c r="DP189" s="643">
        <f>VLOOKUP(WWWW[[#This Row],[Site Name]],SiteDB6[[Site Name]:[Long]],13,FALSE)</f>
        <v>92.545410160000003</v>
      </c>
      <c r="DQ189" s="643">
        <f>VLOOKUP(WWWW[[#This Row],[Site Name]],SiteDB6[[Site Name]:[Pcode]],3,FALSE)</f>
        <v>198300</v>
      </c>
      <c r="DR189" s="652" t="str">
        <f t="shared" si="6"/>
        <v>Covered</v>
      </c>
      <c r="DS189" s="652"/>
    </row>
    <row r="190" spans="1:123">
      <c r="A190" s="637" t="s">
        <v>2525</v>
      </c>
      <c r="B190" s="637" t="s">
        <v>2802</v>
      </c>
      <c r="C190" s="644" t="s">
        <v>387</v>
      </c>
      <c r="D190" s="644" t="s">
        <v>2803</v>
      </c>
      <c r="E190" s="663" t="s">
        <v>3013</v>
      </c>
      <c r="F190" s="644" t="s">
        <v>337</v>
      </c>
      <c r="G190" s="663" t="str">
        <f>VLOOKUP(WWWW[[#This Row],[Site Name]],SiteDB6[[Site Name]:[Location Type]],8,FALSE)</f>
        <v>Village</v>
      </c>
      <c r="H190" s="644" t="s">
        <v>2815</v>
      </c>
      <c r="I190" s="646">
        <v>218</v>
      </c>
      <c r="J190" s="646">
        <v>1207</v>
      </c>
      <c r="K190" s="653">
        <v>43480</v>
      </c>
      <c r="L190" s="654">
        <v>43723</v>
      </c>
      <c r="M190" s="646"/>
      <c r="N190" s="646"/>
      <c r="O190" s="646"/>
      <c r="P190" s="646"/>
      <c r="Q190" s="645"/>
      <c r="R190" s="646"/>
      <c r="S190" s="646"/>
      <c r="T190" s="646"/>
      <c r="U190" s="646"/>
      <c r="V190" s="646"/>
      <c r="W190" s="646"/>
      <c r="X190" s="646"/>
      <c r="Y190" s="646"/>
      <c r="Z190" s="646"/>
      <c r="AA190" s="646"/>
      <c r="AB190" s="646"/>
      <c r="AC190" s="646"/>
      <c r="AD190" s="646"/>
      <c r="AE190" s="646"/>
      <c r="AF190" s="646"/>
      <c r="AG190" s="646"/>
      <c r="AH190" s="646"/>
      <c r="AI190" s="646"/>
      <c r="AJ190" s="646"/>
      <c r="AK190" s="646"/>
      <c r="AL190" s="646"/>
      <c r="AM190" s="646"/>
      <c r="AN190" s="646"/>
      <c r="AO190" s="652"/>
      <c r="AP190" s="646"/>
      <c r="AQ190" s="646"/>
      <c r="AR190" s="648"/>
      <c r="AS190" s="646"/>
      <c r="AT190" s="646"/>
      <c r="AU190" s="646"/>
      <c r="AV190" s="646"/>
      <c r="AW190" s="646"/>
      <c r="AX190" s="643"/>
      <c r="AY190" s="652"/>
      <c r="AZ190" s="646"/>
      <c r="BA190" s="646"/>
      <c r="BB190" s="646"/>
      <c r="BC190" s="643"/>
      <c r="BD190" s="646"/>
      <c r="BE190" s="646"/>
      <c r="BF190" s="646"/>
      <c r="BG190" s="646"/>
      <c r="BH190" s="646"/>
      <c r="BI190" s="646">
        <v>218</v>
      </c>
      <c r="BJ190" s="646">
        <v>218</v>
      </c>
      <c r="BK190" s="646"/>
      <c r="BL190" s="646"/>
      <c r="BM190" s="643"/>
      <c r="BN190" s="647"/>
      <c r="BO190" s="648"/>
      <c r="BP190" s="643"/>
      <c r="BQ190" s="649" t="str">
        <f>IFERROR(WWWW[[#This Row],['#_Water sources treated]]/WWWW[[#This Row],['#_Water sources tested for contamination]],"no test")</f>
        <v>no test</v>
      </c>
      <c r="BR190" s="648" t="str">
        <f>IFERROR(WWWW[[#This Row],['#_Household received remediation action due to contamination]]/WWWW[[#This Row],['#_Household water samples tested for contamination]],"no test")</f>
        <v>no test</v>
      </c>
      <c r="BS190" s="647" t="str">
        <f>IF(AND(WWWW[[#This Row],[% of water sources treated]]="no test",WWWW[[#This Row],[% Household received corrective actions]]="no test"),"No Test","Tested")</f>
        <v>No Test</v>
      </c>
      <c r="BT190" s="647">
        <f>WWWW[[#This Row],['#_Constructed/existing protected hand dug well]]-WWWW[[#This Row],['#_Non-functional protected hand dug well]]</f>
        <v>0</v>
      </c>
      <c r="BU190" s="647">
        <f>(WWWW[[#This Row],['#_Constructed/Existing tube wells/boreholes/handpumps_WASH_agency]]+WWWW[[#This Row],['#_Non-Cluster partner water tube-wells/boreholes/handpumps]])-WWWW[[#This Row],['#_Non-functional tube wells/boreholes/handpumps]]</f>
        <v>0</v>
      </c>
      <c r="BV190" s="647">
        <f>WWWW[[#This Row],['#_Constructed/Existingwater storage tank with gravity fed reticulation system]]-WWWW[[#This Row],['#_Non-functional storage tank gravity fed reticulation system]]</f>
        <v>0</v>
      </c>
      <c r="BW190" s="647">
        <f>WWWW[[#This Row],['#_Water boating or water trucking]]</f>
        <v>0</v>
      </c>
      <c r="BX190" s="647">
        <f>WWWW[[#This Row],['#_Constructed/Existing water distribution system from river or natural spring]]</f>
        <v>0</v>
      </c>
      <c r="BY190"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90"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90" s="648">
        <f>IF(WWWW[[#This Row],[Location Type 1]]="Village",WWWW[[#This Row],[Access to safe drinking water for Village]],WWWW[[#This Row],[Access to safe drinking water for Camp]])</f>
        <v>0</v>
      </c>
      <c r="CB190" s="645">
        <f>WWWW[[#This Row],[%Equitable and continuous access to sufficient quantity of safe drinking water]]*WWWW[[#This Row],[Total PoP ]]</f>
        <v>0</v>
      </c>
      <c r="CC190" s="648">
        <f>IF((WWWW[[#This Row],['#_Constructed/Existing protected/fenced ponds]]*250)/WWWW[[#This Row],[Total PoP ]]&gt;1,1,(WWWW[[#This Row],['#_Constructed/Existing protected/fenced ponds]]*250)/WWWW[[#This Row],[Total PoP ]])</f>
        <v>0</v>
      </c>
      <c r="CD190" s="645">
        <f>WWWW[[#This Row],[% Access to unimproved water points]]*WWWW[[#This Row],[Total PoP ]]</f>
        <v>0</v>
      </c>
      <c r="CE190"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90"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90" s="645">
        <f>WWWW[[#This Row],[HRP1]]/500</f>
        <v>0</v>
      </c>
      <c r="CH190" s="650">
        <f>1-WWWW[[#This Row],[% Equitable and continuous access to sufficient quantity of domestic water]]</f>
        <v>1</v>
      </c>
      <c r="CI190" s="645">
        <f>WWWW[[#This Row],[%equitable and continuous access to sufficient quantity of safe drinking and domestic water''s GAP]]*WWWW[[#This Row],[Total PoP ]]</f>
        <v>1207</v>
      </c>
      <c r="CJ190" s="647">
        <f>IF(WWWW[[#This Row],[Total required water points]]-WWWW[[#This Row],['#Water points coverage]]&lt;0,0,WWWW[[#This Row],[Total required water points]]-WWWW[[#This Row],['#Water points coverage]])</f>
        <v>2</v>
      </c>
      <c r="CK190" s="647">
        <f>ROUND(IF(WWWW[[#This Row],[Total PoP ]]&lt;500,1,WWWW[[#This Row],[Total PoP ]]/500),0)</f>
        <v>2</v>
      </c>
      <c r="CL190" s="647">
        <f>(WWWW[[#This Row],['#_Constructed latrines_by_WASHAgencies]]+WWWW[[#This Row],['#_Non Cluster partner latrines]])-WWWW[[#This Row],['#_Non-functional latrines]]</f>
        <v>0</v>
      </c>
      <c r="CM190"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90"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90"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90" s="647" t="str">
        <f>IF(WWWW[[#This Row],[Location Type 1]]="Village","NA",IF(WWWW[[#This Row],['#_Constructed/Existing latrines in TLS]]*50&gt;WWWW[[#This Row],['#_students at TLS_CFS]],WWWW[[#This Row],['#_students at TLS_CFS]],(WWWW[[#This Row],['#_Constructed/Existing latrines in TLS]]*50)))</f>
        <v>NA</v>
      </c>
      <c r="CQ190" s="647">
        <f>ROUND(IF(WWWW[[#This Row],[Location Type 1]]="camp",WWWW[[#This Row],[Total PoP ]]/20,IF(WWWW[[#This Row],[Location Type 1]]="Temporary Location",WWWW[[#This Row],[Total PoP ]]/50,(WWWW[[#This Row],[Total PoP ]]/6))),0)</f>
        <v>201</v>
      </c>
      <c r="CR190" s="647">
        <f>IF(WWWW[[#This Row],[Total required Latrines]]-(WWWW[[#This Row],['#_Constructed latrines_by_WASHAgencies]]+WWWW[[#This Row],['#_Non Cluster partner latrines]])&lt;0,0,WWWW[[#This Row],[Total required Latrines]]-(WWWW[[#This Row],['#_Constructed latrines_by_WASHAgencies]]+WWWW[[#This Row],['#_Non Cluster partner latrines]]))</f>
        <v>201</v>
      </c>
      <c r="CS190" s="79">
        <f>1-WWWW[[#This Row],[% people access to functioning Latrine]]</f>
        <v>1</v>
      </c>
      <c r="CT190" s="649">
        <f>IF(OR(WWWW[[#This Row],['#_Non-functional latrines]]="",WWWW[[#This Row],['#_Non-functional latrines]]=0),0,WWWW[[#This Row],['#_Non-functional latrines]]/(WWWW[[#This Row],['#_Constructed latrines_by_WASHAgencies]]+WWWW[[#This Row],['#_Non Cluster partner latrines]]))</f>
        <v>0</v>
      </c>
      <c r="CU190" s="645">
        <f>IF(500*(WWWW[[#This Row],['#_male hygiene promoters]]+WWWW[[#This Row],['#_female hygiene promoters]])&gt;WWWW[[#This Row],[Total PoP ]],WWWW[[#This Row],[Total PoP ]],500*(WWWW[[#This Row],['#_male hygiene promoters]]+WWWW[[#This Row],['#_female hygiene promoters]]))</f>
        <v>1207</v>
      </c>
      <c r="CV190"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90"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90" s="647">
        <f>IF(WWWW[[#This Row],['# People with access to soap]]&gt;WWWW[[#This Row],['# People with access to Sanity Pads]],WWWW[[#This Row],['# People with access to soap]],WWWW[[#This Row],['# People with access to Sanity Pads]])</f>
        <v>0</v>
      </c>
      <c r="CY190" s="647">
        <f>IF(WWWW[[#This Row],['# people reached by regular dedicated hygiene promotion_5]]&gt;WWWW[[#This Row],['# People received regular supply of hygiene items_6]],WWWW[[#This Row],['# people reached by regular dedicated hygiene promotion_5]],WWWW[[#This Row],['# People received regular supply of hygiene items_6]])</f>
        <v>1207</v>
      </c>
      <c r="CZ190" s="650">
        <f>IF(WWWW[[#This Row],[HRP3]]/WWWW[[#This Row],[Total PoP ]]&gt;100%,100%,WWWW[[#This Row],[HRP3]]/WWWW[[#This Row],[Total PoP ]])</f>
        <v>1</v>
      </c>
      <c r="DA190" s="649">
        <f>1-WWWW[[#This Row],[Hygiene Coverage%]]</f>
        <v>0</v>
      </c>
      <c r="DB190" s="648">
        <f>WWWW[[#This Row],['# people reached by regular dedicated hygiene promotion_5]]/WWWW[[#This Row],[Total PoP ]]</f>
        <v>1</v>
      </c>
      <c r="DC190" s="648">
        <f>IF(WWWW[[#This Row],['#_households that received standard amount of soap for this quarter]]/WWWW[[#This Row],[Total HH]]&gt;1,1,WWWW[[#This Row],['#_households that received standard amount of soap for this quarter]]/WWWW[[#This Row],[Total HH]])</f>
        <v>0</v>
      </c>
      <c r="DD190" s="648">
        <f>IF(WWWW[[#This Row],['#_households that received standard amount of sanitary pads for this quarter]]/WWWW[[#This Row],[Total HH]]&gt;1,1,WWWW[[#This Row],['#_households that received standard amount of sanitary pads for this quarter]]/WWWW[[#This Row],[Total HH]])</f>
        <v>0</v>
      </c>
      <c r="DE190" s="647">
        <f>WWWW[[#This Row],['#_Constructed/Existing hand washing stations]]-WWWW[[#This Row],['#_Non-Functional_hand_washing_stations]]</f>
        <v>0</v>
      </c>
      <c r="DF190" s="667">
        <f>IF(WWWW[[#This Row],['# Functional hand washing stations during reporting period]]*20&gt;WWWW[[#This Row],[Total HH]],WWWW[[#This Row],[Total HH]],WWWW[[#This Row],['# Functional hand washing stations during reporting period]]*20)</f>
        <v>0</v>
      </c>
      <c r="DG190" s="645">
        <f>IF(WWWW[[#This Row],[Is sufficient soap available for TLS? (Yes/No)]]="yes",WWWW[[#This Row],['#_Constructed/Existing hand washing stations at TLS]],0)</f>
        <v>0</v>
      </c>
      <c r="DH190" s="645">
        <f>IF(WWWW[[#This Row],['# Functional hand washing stations during reporting period]]*100&gt;WWWW[[#This Row],[Total PoP ]],WWWW[[#This Row],[Total PoP ]],WWWW[[#This Row],['# Functional hand washing stations during reporting period]]*100)</f>
        <v>0</v>
      </c>
      <c r="DI190" s="645" t="str">
        <f>IF(WWWW[[#This Row],['#_students at TLS_CFS]]="","No","Yes")</f>
        <v>No</v>
      </c>
      <c r="DJ190" s="643">
        <f>VLOOKUP(WWWW[[#This Row],[Site Name]],SiteDB6[[Site Name]:[CCCM Management]],6,FALSE)</f>
        <v>0</v>
      </c>
      <c r="DK190" s="643">
        <f>VLOOKUP(WWWW[[#This Row],[Site Name]],SiteDB6[[Site Name]:[CCCM Focal Agency]],7,FALSE)</f>
        <v>0</v>
      </c>
      <c r="DL190" s="643" t="str">
        <f>VLOOKUP(WWWW[[#This Row],[Site Name]],SiteDB6[[Site Name]:[Location Type 1]],9,FALSE)</f>
        <v>Village</v>
      </c>
      <c r="DM190" s="643" t="str">
        <f>VLOOKUP(WWWW[[#This Row],[Site Name]],SiteDB6[[Site Name]:[Type of Accommodation]],10,FALSE)</f>
        <v>Village</v>
      </c>
      <c r="DN190" s="643" t="str">
        <f>VLOOKUP(WWWW[[#This Row],[Site Name]],SiteDB6[[Site Name]:[Ethnic or GCA/NGCA]],11,FALSE)</f>
        <v>Muslim</v>
      </c>
      <c r="DO190" s="643">
        <f>VLOOKUP(WWWW[[#This Row],[Site Name]],SiteDB6[[Site Name]:[Lat]],12,FALSE)</f>
        <v>0</v>
      </c>
      <c r="DP190" s="643">
        <f>VLOOKUP(WWWW[[#This Row],[Site Name]],SiteDB6[[Site Name]:[Long]],13,FALSE)</f>
        <v>0</v>
      </c>
      <c r="DQ190" s="643">
        <f>VLOOKUP(WWWW[[#This Row],[Site Name]],SiteDB6[[Site Name]:[Pcode]],3,FALSE)</f>
        <v>198434</v>
      </c>
      <c r="DR190" s="652" t="str">
        <f t="shared" si="6"/>
        <v>Covered</v>
      </c>
      <c r="DS190" s="652"/>
    </row>
    <row r="191" spans="1:123">
      <c r="A191" s="637" t="s">
        <v>2525</v>
      </c>
      <c r="B191" s="637" t="s">
        <v>2802</v>
      </c>
      <c r="C191" s="644" t="s">
        <v>387</v>
      </c>
      <c r="D191" s="644" t="s">
        <v>2803</v>
      </c>
      <c r="E191" s="663" t="s">
        <v>3013</v>
      </c>
      <c r="F191" s="644" t="s">
        <v>337</v>
      </c>
      <c r="G191" s="663" t="str">
        <f>VLOOKUP(WWWW[[#This Row],[Site Name]],SiteDB6[[Site Name]:[Location Type]],8,FALSE)</f>
        <v>Village</v>
      </c>
      <c r="H191" s="644" t="s">
        <v>2816</v>
      </c>
      <c r="I191" s="646">
        <v>11</v>
      </c>
      <c r="J191" s="646">
        <v>39</v>
      </c>
      <c r="K191" s="653">
        <v>43480</v>
      </c>
      <c r="L191" s="654">
        <v>43723</v>
      </c>
      <c r="M191" s="646"/>
      <c r="N191" s="646"/>
      <c r="O191" s="646"/>
      <c r="P191" s="646"/>
      <c r="Q191" s="645"/>
      <c r="R191" s="646"/>
      <c r="S191" s="646"/>
      <c r="T191" s="646"/>
      <c r="U191" s="646"/>
      <c r="V191" s="646"/>
      <c r="W191" s="646"/>
      <c r="X191" s="646"/>
      <c r="Y191" s="646"/>
      <c r="Z191" s="646"/>
      <c r="AA191" s="646"/>
      <c r="AB191" s="646"/>
      <c r="AC191" s="646"/>
      <c r="AD191" s="646"/>
      <c r="AE191" s="646"/>
      <c r="AF191" s="646"/>
      <c r="AG191" s="646"/>
      <c r="AH191" s="646"/>
      <c r="AI191" s="646"/>
      <c r="AJ191" s="646"/>
      <c r="AK191" s="646"/>
      <c r="AL191" s="646"/>
      <c r="AM191" s="646"/>
      <c r="AN191" s="646"/>
      <c r="AO191" s="652"/>
      <c r="AP191" s="646"/>
      <c r="AQ191" s="646"/>
      <c r="AR191" s="648"/>
      <c r="AS191" s="646"/>
      <c r="AT191" s="646"/>
      <c r="AU191" s="646"/>
      <c r="AV191" s="646"/>
      <c r="AW191" s="646"/>
      <c r="AX191" s="643"/>
      <c r="AY191" s="652"/>
      <c r="AZ191" s="646"/>
      <c r="BA191" s="646"/>
      <c r="BB191" s="646"/>
      <c r="BC191" s="643"/>
      <c r="BD191" s="646"/>
      <c r="BE191" s="646"/>
      <c r="BF191" s="646"/>
      <c r="BG191" s="646"/>
      <c r="BH191" s="646"/>
      <c r="BI191" s="646">
        <v>11</v>
      </c>
      <c r="BJ191" s="646">
        <v>11</v>
      </c>
      <c r="BK191" s="646"/>
      <c r="BL191" s="646"/>
      <c r="BM191" s="643"/>
      <c r="BN191" s="647"/>
      <c r="BO191" s="648"/>
      <c r="BP191" s="643"/>
      <c r="BQ191" s="649" t="str">
        <f>IFERROR(WWWW[[#This Row],['#_Water sources treated]]/WWWW[[#This Row],['#_Water sources tested for contamination]],"no test")</f>
        <v>no test</v>
      </c>
      <c r="BR191" s="648" t="str">
        <f>IFERROR(WWWW[[#This Row],['#_Household received remediation action due to contamination]]/WWWW[[#This Row],['#_Household water samples tested for contamination]],"no test")</f>
        <v>no test</v>
      </c>
      <c r="BS191" s="647" t="str">
        <f>IF(AND(WWWW[[#This Row],[% of water sources treated]]="no test",WWWW[[#This Row],[% Household received corrective actions]]="no test"),"No Test","Tested")</f>
        <v>No Test</v>
      </c>
      <c r="BT191" s="647">
        <f>WWWW[[#This Row],['#_Constructed/existing protected hand dug well]]-WWWW[[#This Row],['#_Non-functional protected hand dug well]]</f>
        <v>0</v>
      </c>
      <c r="BU191" s="647">
        <f>(WWWW[[#This Row],['#_Constructed/Existing tube wells/boreholes/handpumps_WASH_agency]]+WWWW[[#This Row],['#_Non-Cluster partner water tube-wells/boreholes/handpumps]])-WWWW[[#This Row],['#_Non-functional tube wells/boreholes/handpumps]]</f>
        <v>0</v>
      </c>
      <c r="BV191" s="647">
        <f>WWWW[[#This Row],['#_Constructed/Existingwater storage tank with gravity fed reticulation system]]-WWWW[[#This Row],['#_Non-functional storage tank gravity fed reticulation system]]</f>
        <v>0</v>
      </c>
      <c r="BW191" s="647">
        <f>WWWW[[#This Row],['#_Water boating or water trucking]]</f>
        <v>0</v>
      </c>
      <c r="BX191" s="647">
        <f>WWWW[[#This Row],['#_Constructed/Existing water distribution system from river or natural spring]]</f>
        <v>0</v>
      </c>
      <c r="BY191"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91"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91" s="648">
        <f>IF(WWWW[[#This Row],[Location Type 1]]="Village",WWWW[[#This Row],[Access to safe drinking water for Village]],WWWW[[#This Row],[Access to safe drinking water for Camp]])</f>
        <v>0</v>
      </c>
      <c r="CB191" s="645">
        <f>WWWW[[#This Row],[%Equitable and continuous access to sufficient quantity of safe drinking water]]*WWWW[[#This Row],[Total PoP ]]</f>
        <v>0</v>
      </c>
      <c r="CC191" s="648">
        <f>IF((WWWW[[#This Row],['#_Constructed/Existing protected/fenced ponds]]*250)/WWWW[[#This Row],[Total PoP ]]&gt;1,1,(WWWW[[#This Row],['#_Constructed/Existing protected/fenced ponds]]*250)/WWWW[[#This Row],[Total PoP ]])</f>
        <v>0</v>
      </c>
      <c r="CD191" s="645">
        <f>WWWW[[#This Row],[% Access to unimproved water points]]*WWWW[[#This Row],[Total PoP ]]</f>
        <v>0</v>
      </c>
      <c r="CE191"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91"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91" s="645">
        <f>WWWW[[#This Row],[HRP1]]/500</f>
        <v>0</v>
      </c>
      <c r="CH191" s="650">
        <f>1-WWWW[[#This Row],[% Equitable and continuous access to sufficient quantity of domestic water]]</f>
        <v>1</v>
      </c>
      <c r="CI191" s="645">
        <f>WWWW[[#This Row],[%equitable and continuous access to sufficient quantity of safe drinking and domestic water''s GAP]]*WWWW[[#This Row],[Total PoP ]]</f>
        <v>39</v>
      </c>
      <c r="CJ191" s="647">
        <f>IF(WWWW[[#This Row],[Total required water points]]-WWWW[[#This Row],['#Water points coverage]]&lt;0,0,WWWW[[#This Row],[Total required water points]]-WWWW[[#This Row],['#Water points coverage]])</f>
        <v>1</v>
      </c>
      <c r="CK191" s="647">
        <f>ROUND(IF(WWWW[[#This Row],[Total PoP ]]&lt;500,1,WWWW[[#This Row],[Total PoP ]]/500),0)</f>
        <v>1</v>
      </c>
      <c r="CL191" s="647">
        <f>(WWWW[[#This Row],['#_Constructed latrines_by_WASHAgencies]]+WWWW[[#This Row],['#_Non Cluster partner latrines]])-WWWW[[#This Row],['#_Non-functional latrines]]</f>
        <v>0</v>
      </c>
      <c r="CM191"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91"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91"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91" s="647" t="str">
        <f>IF(WWWW[[#This Row],[Location Type 1]]="Village","NA",IF(WWWW[[#This Row],['#_Constructed/Existing latrines in TLS]]*50&gt;WWWW[[#This Row],['#_students at TLS_CFS]],WWWW[[#This Row],['#_students at TLS_CFS]],(WWWW[[#This Row],['#_Constructed/Existing latrines in TLS]]*50)))</f>
        <v>NA</v>
      </c>
      <c r="CQ191" s="647">
        <f>ROUND(IF(WWWW[[#This Row],[Location Type 1]]="camp",WWWW[[#This Row],[Total PoP ]]/20,IF(WWWW[[#This Row],[Location Type 1]]="Temporary Location",WWWW[[#This Row],[Total PoP ]]/50,(WWWW[[#This Row],[Total PoP ]]/6))),0)</f>
        <v>7</v>
      </c>
      <c r="CR191" s="647">
        <f>IF(WWWW[[#This Row],[Total required Latrines]]-(WWWW[[#This Row],['#_Constructed latrines_by_WASHAgencies]]+WWWW[[#This Row],['#_Non Cluster partner latrines]])&lt;0,0,WWWW[[#This Row],[Total required Latrines]]-(WWWW[[#This Row],['#_Constructed latrines_by_WASHAgencies]]+WWWW[[#This Row],['#_Non Cluster partner latrines]]))</f>
        <v>7</v>
      </c>
      <c r="CS191" s="79">
        <f>1-WWWW[[#This Row],[% people access to functioning Latrine]]</f>
        <v>1</v>
      </c>
      <c r="CT191" s="649">
        <f>IF(OR(WWWW[[#This Row],['#_Non-functional latrines]]="",WWWW[[#This Row],['#_Non-functional latrines]]=0),0,WWWW[[#This Row],['#_Non-functional latrines]]/(WWWW[[#This Row],['#_Constructed latrines_by_WASHAgencies]]+WWWW[[#This Row],['#_Non Cluster partner latrines]]))</f>
        <v>0</v>
      </c>
      <c r="CU191" s="645">
        <f>IF(500*(WWWW[[#This Row],['#_male hygiene promoters]]+WWWW[[#This Row],['#_female hygiene promoters]])&gt;WWWW[[#This Row],[Total PoP ]],WWWW[[#This Row],[Total PoP ]],500*(WWWW[[#This Row],['#_male hygiene promoters]]+WWWW[[#This Row],['#_female hygiene promoters]]))</f>
        <v>39</v>
      </c>
      <c r="CV191"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91"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91" s="647">
        <f>IF(WWWW[[#This Row],['# People with access to soap]]&gt;WWWW[[#This Row],['# People with access to Sanity Pads]],WWWW[[#This Row],['# People with access to soap]],WWWW[[#This Row],['# People with access to Sanity Pads]])</f>
        <v>0</v>
      </c>
      <c r="CY191" s="647">
        <f>IF(WWWW[[#This Row],['# people reached by regular dedicated hygiene promotion_5]]&gt;WWWW[[#This Row],['# People received regular supply of hygiene items_6]],WWWW[[#This Row],['# people reached by regular dedicated hygiene promotion_5]],WWWW[[#This Row],['# People received regular supply of hygiene items_6]])</f>
        <v>39</v>
      </c>
      <c r="CZ191" s="650">
        <f>IF(WWWW[[#This Row],[HRP3]]/WWWW[[#This Row],[Total PoP ]]&gt;100%,100%,WWWW[[#This Row],[HRP3]]/WWWW[[#This Row],[Total PoP ]])</f>
        <v>1</v>
      </c>
      <c r="DA191" s="649">
        <f>1-WWWW[[#This Row],[Hygiene Coverage%]]</f>
        <v>0</v>
      </c>
      <c r="DB191" s="648">
        <f>WWWW[[#This Row],['# people reached by regular dedicated hygiene promotion_5]]/WWWW[[#This Row],[Total PoP ]]</f>
        <v>1</v>
      </c>
      <c r="DC191" s="648">
        <f>IF(WWWW[[#This Row],['#_households that received standard amount of soap for this quarter]]/WWWW[[#This Row],[Total HH]]&gt;1,1,WWWW[[#This Row],['#_households that received standard amount of soap for this quarter]]/WWWW[[#This Row],[Total HH]])</f>
        <v>0</v>
      </c>
      <c r="DD191" s="648">
        <f>IF(WWWW[[#This Row],['#_households that received standard amount of sanitary pads for this quarter]]/WWWW[[#This Row],[Total HH]]&gt;1,1,WWWW[[#This Row],['#_households that received standard amount of sanitary pads for this quarter]]/WWWW[[#This Row],[Total HH]])</f>
        <v>0</v>
      </c>
      <c r="DE191" s="647">
        <f>WWWW[[#This Row],['#_Constructed/Existing hand washing stations]]-WWWW[[#This Row],['#_Non-Functional_hand_washing_stations]]</f>
        <v>0</v>
      </c>
      <c r="DF191" s="667">
        <f>IF(WWWW[[#This Row],['# Functional hand washing stations during reporting period]]*20&gt;WWWW[[#This Row],[Total HH]],WWWW[[#This Row],[Total HH]],WWWW[[#This Row],['# Functional hand washing stations during reporting period]]*20)</f>
        <v>0</v>
      </c>
      <c r="DG191" s="645">
        <f>IF(WWWW[[#This Row],[Is sufficient soap available for TLS? (Yes/No)]]="yes",WWWW[[#This Row],['#_Constructed/Existing hand washing stations at TLS]],0)</f>
        <v>0</v>
      </c>
      <c r="DH191" s="645">
        <f>IF(WWWW[[#This Row],['# Functional hand washing stations during reporting period]]*100&gt;WWWW[[#This Row],[Total PoP ]],WWWW[[#This Row],[Total PoP ]],WWWW[[#This Row],['# Functional hand washing stations during reporting period]]*100)</f>
        <v>0</v>
      </c>
      <c r="DI191" s="645" t="str">
        <f>IF(WWWW[[#This Row],['#_students at TLS_CFS]]="","No","Yes")</f>
        <v>No</v>
      </c>
      <c r="DJ191" s="643">
        <f>VLOOKUP(WWWW[[#This Row],[Site Name]],SiteDB6[[Site Name]:[CCCM Management]],6,FALSE)</f>
        <v>0</v>
      </c>
      <c r="DK191" s="643">
        <f>VLOOKUP(WWWW[[#This Row],[Site Name]],SiteDB6[[Site Name]:[CCCM Focal Agency]],7,FALSE)</f>
        <v>0</v>
      </c>
      <c r="DL191" s="643" t="str">
        <f>VLOOKUP(WWWW[[#This Row],[Site Name]],SiteDB6[[Site Name]:[Location Type 1]],9,FALSE)</f>
        <v>Village</v>
      </c>
      <c r="DM191" s="643" t="str">
        <f>VLOOKUP(WWWW[[#This Row],[Site Name]],SiteDB6[[Site Name]:[Type of Accommodation]],10,FALSE)</f>
        <v>Village</v>
      </c>
      <c r="DN191" s="643" t="str">
        <f>VLOOKUP(WWWW[[#This Row],[Site Name]],SiteDB6[[Site Name]:[Ethnic or GCA/NGCA]],11,FALSE)</f>
        <v>Rakhine</v>
      </c>
      <c r="DO191" s="643">
        <f>VLOOKUP(WWWW[[#This Row],[Site Name]],SiteDB6[[Site Name]:[Lat]],12,FALSE)</f>
        <v>0</v>
      </c>
      <c r="DP191" s="643">
        <f>VLOOKUP(WWWW[[#This Row],[Site Name]],SiteDB6[[Site Name]:[Long]],13,FALSE)</f>
        <v>0</v>
      </c>
      <c r="DQ191" s="643">
        <f>VLOOKUP(WWWW[[#This Row],[Site Name]],SiteDB6[[Site Name]:[Pcode]],3,FALSE)</f>
        <v>198433</v>
      </c>
      <c r="DR191" s="652" t="str">
        <f t="shared" si="6"/>
        <v>Covered</v>
      </c>
      <c r="DS191" s="652"/>
    </row>
    <row r="192" spans="1:123">
      <c r="A192" s="637" t="s">
        <v>2525</v>
      </c>
      <c r="B192" s="637" t="s">
        <v>2802</v>
      </c>
      <c r="C192" s="644" t="s">
        <v>387</v>
      </c>
      <c r="D192" s="644" t="s">
        <v>2803</v>
      </c>
      <c r="E192" s="663" t="s">
        <v>3013</v>
      </c>
      <c r="F192" s="644" t="s">
        <v>337</v>
      </c>
      <c r="G192" s="663" t="str">
        <f>VLOOKUP(WWWW[[#This Row],[Site Name]],SiteDB6[[Site Name]:[Location Type]],8,FALSE)</f>
        <v>Village</v>
      </c>
      <c r="H192" s="644" t="s">
        <v>2807</v>
      </c>
      <c r="I192" s="646">
        <v>125</v>
      </c>
      <c r="J192" s="646">
        <v>580</v>
      </c>
      <c r="K192" s="653">
        <v>43480</v>
      </c>
      <c r="L192" s="654">
        <v>43723</v>
      </c>
      <c r="M192" s="646"/>
      <c r="N192" s="646"/>
      <c r="O192" s="646"/>
      <c r="P192" s="646"/>
      <c r="Q192" s="645"/>
      <c r="R192" s="646"/>
      <c r="S192" s="646"/>
      <c r="T192" s="646"/>
      <c r="U192" s="646"/>
      <c r="V192" s="646"/>
      <c r="W192" s="646"/>
      <c r="X192" s="646"/>
      <c r="Y192" s="646"/>
      <c r="Z192" s="646"/>
      <c r="AA192" s="646"/>
      <c r="AB192" s="646"/>
      <c r="AC192" s="646"/>
      <c r="AD192" s="646"/>
      <c r="AE192" s="646"/>
      <c r="AF192" s="646"/>
      <c r="AG192" s="646"/>
      <c r="AH192" s="646"/>
      <c r="AI192" s="646"/>
      <c r="AJ192" s="646"/>
      <c r="AK192" s="646"/>
      <c r="AL192" s="646"/>
      <c r="AM192" s="646"/>
      <c r="AN192" s="646"/>
      <c r="AO192" s="652"/>
      <c r="AP192" s="646"/>
      <c r="AQ192" s="646"/>
      <c r="AR192" s="648"/>
      <c r="AS192" s="646"/>
      <c r="AT192" s="646"/>
      <c r="AU192" s="646"/>
      <c r="AV192" s="646"/>
      <c r="AW192" s="646"/>
      <c r="AX192" s="643"/>
      <c r="AY192" s="652"/>
      <c r="AZ192" s="646"/>
      <c r="BA192" s="646"/>
      <c r="BB192" s="646"/>
      <c r="BC192" s="643"/>
      <c r="BD192" s="646"/>
      <c r="BE192" s="646"/>
      <c r="BF192" s="646"/>
      <c r="BG192" s="646"/>
      <c r="BH192" s="646"/>
      <c r="BI192" s="646">
        <v>125</v>
      </c>
      <c r="BJ192" s="646">
        <v>125</v>
      </c>
      <c r="BK192" s="646"/>
      <c r="BL192" s="646"/>
      <c r="BM192" s="643"/>
      <c r="BN192" s="647"/>
      <c r="BO192" s="648"/>
      <c r="BP192" s="643"/>
      <c r="BQ192" s="649" t="str">
        <f>IFERROR(WWWW[[#This Row],['#_Water sources treated]]/WWWW[[#This Row],['#_Water sources tested for contamination]],"no test")</f>
        <v>no test</v>
      </c>
      <c r="BR192" s="648" t="str">
        <f>IFERROR(WWWW[[#This Row],['#_Household received remediation action due to contamination]]/WWWW[[#This Row],['#_Household water samples tested for contamination]],"no test")</f>
        <v>no test</v>
      </c>
      <c r="BS192" s="647" t="str">
        <f>IF(AND(WWWW[[#This Row],[% of water sources treated]]="no test",WWWW[[#This Row],[% Household received corrective actions]]="no test"),"No Test","Tested")</f>
        <v>No Test</v>
      </c>
      <c r="BT192" s="647">
        <f>WWWW[[#This Row],['#_Constructed/existing protected hand dug well]]-WWWW[[#This Row],['#_Non-functional protected hand dug well]]</f>
        <v>0</v>
      </c>
      <c r="BU192" s="647">
        <f>(WWWW[[#This Row],['#_Constructed/Existing tube wells/boreholes/handpumps_WASH_agency]]+WWWW[[#This Row],['#_Non-Cluster partner water tube-wells/boreholes/handpumps]])-WWWW[[#This Row],['#_Non-functional tube wells/boreholes/handpumps]]</f>
        <v>0</v>
      </c>
      <c r="BV192" s="647">
        <f>WWWW[[#This Row],['#_Constructed/Existingwater storage tank with gravity fed reticulation system]]-WWWW[[#This Row],['#_Non-functional storage tank gravity fed reticulation system]]</f>
        <v>0</v>
      </c>
      <c r="BW192" s="647">
        <f>WWWW[[#This Row],['#_Water boating or water trucking]]</f>
        <v>0</v>
      </c>
      <c r="BX192" s="647">
        <f>WWWW[[#This Row],['#_Constructed/Existing water distribution system from river or natural spring]]</f>
        <v>0</v>
      </c>
      <c r="BY192"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92"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92" s="648">
        <f>IF(WWWW[[#This Row],[Location Type 1]]="Village",WWWW[[#This Row],[Access to safe drinking water for Village]],WWWW[[#This Row],[Access to safe drinking water for Camp]])</f>
        <v>0</v>
      </c>
      <c r="CB192" s="645">
        <f>WWWW[[#This Row],[%Equitable and continuous access to sufficient quantity of safe drinking water]]*WWWW[[#This Row],[Total PoP ]]</f>
        <v>0</v>
      </c>
      <c r="CC192" s="648">
        <f>IF((WWWW[[#This Row],['#_Constructed/Existing protected/fenced ponds]]*250)/WWWW[[#This Row],[Total PoP ]]&gt;1,1,(WWWW[[#This Row],['#_Constructed/Existing protected/fenced ponds]]*250)/WWWW[[#This Row],[Total PoP ]])</f>
        <v>0</v>
      </c>
      <c r="CD192" s="645">
        <f>WWWW[[#This Row],[% Access to unimproved water points]]*WWWW[[#This Row],[Total PoP ]]</f>
        <v>0</v>
      </c>
      <c r="CE192"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92"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92" s="645">
        <f>WWWW[[#This Row],[HRP1]]/500</f>
        <v>0</v>
      </c>
      <c r="CH192" s="650">
        <f>1-WWWW[[#This Row],[% Equitable and continuous access to sufficient quantity of domestic water]]</f>
        <v>1</v>
      </c>
      <c r="CI192" s="645">
        <f>WWWW[[#This Row],[%equitable and continuous access to sufficient quantity of safe drinking and domestic water''s GAP]]*WWWW[[#This Row],[Total PoP ]]</f>
        <v>580</v>
      </c>
      <c r="CJ192" s="647">
        <f>IF(WWWW[[#This Row],[Total required water points]]-WWWW[[#This Row],['#Water points coverage]]&lt;0,0,WWWW[[#This Row],[Total required water points]]-WWWW[[#This Row],['#Water points coverage]])</f>
        <v>1</v>
      </c>
      <c r="CK192" s="647">
        <f>ROUND(IF(WWWW[[#This Row],[Total PoP ]]&lt;500,1,WWWW[[#This Row],[Total PoP ]]/500),0)</f>
        <v>1</v>
      </c>
      <c r="CL192" s="647">
        <f>(WWWW[[#This Row],['#_Constructed latrines_by_WASHAgencies]]+WWWW[[#This Row],['#_Non Cluster partner latrines]])-WWWW[[#This Row],['#_Non-functional latrines]]</f>
        <v>0</v>
      </c>
      <c r="CM192"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92"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92"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92" s="647" t="str">
        <f>IF(WWWW[[#This Row],[Location Type 1]]="Village","NA",IF(WWWW[[#This Row],['#_Constructed/Existing latrines in TLS]]*50&gt;WWWW[[#This Row],['#_students at TLS_CFS]],WWWW[[#This Row],['#_students at TLS_CFS]],(WWWW[[#This Row],['#_Constructed/Existing latrines in TLS]]*50)))</f>
        <v>NA</v>
      </c>
      <c r="CQ192" s="647">
        <f>ROUND(IF(WWWW[[#This Row],[Location Type 1]]="camp",WWWW[[#This Row],[Total PoP ]]/20,IF(WWWW[[#This Row],[Location Type 1]]="Temporary Location",WWWW[[#This Row],[Total PoP ]]/50,(WWWW[[#This Row],[Total PoP ]]/6))),0)</f>
        <v>97</v>
      </c>
      <c r="CR192" s="647">
        <f>IF(WWWW[[#This Row],[Total required Latrines]]-(WWWW[[#This Row],['#_Constructed latrines_by_WASHAgencies]]+WWWW[[#This Row],['#_Non Cluster partner latrines]])&lt;0,0,WWWW[[#This Row],[Total required Latrines]]-(WWWW[[#This Row],['#_Constructed latrines_by_WASHAgencies]]+WWWW[[#This Row],['#_Non Cluster partner latrines]]))</f>
        <v>97</v>
      </c>
      <c r="CS192" s="79">
        <f>1-WWWW[[#This Row],[% people access to functioning Latrine]]</f>
        <v>1</v>
      </c>
      <c r="CT192" s="649">
        <f>IF(OR(WWWW[[#This Row],['#_Non-functional latrines]]="",WWWW[[#This Row],['#_Non-functional latrines]]=0),0,WWWW[[#This Row],['#_Non-functional latrines]]/(WWWW[[#This Row],['#_Constructed latrines_by_WASHAgencies]]+WWWW[[#This Row],['#_Non Cluster partner latrines]]))</f>
        <v>0</v>
      </c>
      <c r="CU192" s="645">
        <f>IF(500*(WWWW[[#This Row],['#_male hygiene promoters]]+WWWW[[#This Row],['#_female hygiene promoters]])&gt;WWWW[[#This Row],[Total PoP ]],WWWW[[#This Row],[Total PoP ]],500*(WWWW[[#This Row],['#_male hygiene promoters]]+WWWW[[#This Row],['#_female hygiene promoters]]))</f>
        <v>580</v>
      </c>
      <c r="CV192"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92"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92" s="647">
        <f>IF(WWWW[[#This Row],['# People with access to soap]]&gt;WWWW[[#This Row],['# People with access to Sanity Pads]],WWWW[[#This Row],['# People with access to soap]],WWWW[[#This Row],['# People with access to Sanity Pads]])</f>
        <v>0</v>
      </c>
      <c r="CY192" s="647">
        <f>IF(WWWW[[#This Row],['# people reached by regular dedicated hygiene promotion_5]]&gt;WWWW[[#This Row],['# People received regular supply of hygiene items_6]],WWWW[[#This Row],['# people reached by regular dedicated hygiene promotion_5]],WWWW[[#This Row],['# People received regular supply of hygiene items_6]])</f>
        <v>580</v>
      </c>
      <c r="CZ192" s="650">
        <f>IF(WWWW[[#This Row],[HRP3]]/WWWW[[#This Row],[Total PoP ]]&gt;100%,100%,WWWW[[#This Row],[HRP3]]/WWWW[[#This Row],[Total PoP ]])</f>
        <v>1</v>
      </c>
      <c r="DA192" s="649">
        <f>1-WWWW[[#This Row],[Hygiene Coverage%]]</f>
        <v>0</v>
      </c>
      <c r="DB192" s="648">
        <f>WWWW[[#This Row],['# people reached by regular dedicated hygiene promotion_5]]/WWWW[[#This Row],[Total PoP ]]</f>
        <v>1</v>
      </c>
      <c r="DC192" s="648">
        <f>IF(WWWW[[#This Row],['#_households that received standard amount of soap for this quarter]]/WWWW[[#This Row],[Total HH]]&gt;1,1,WWWW[[#This Row],['#_households that received standard amount of soap for this quarter]]/WWWW[[#This Row],[Total HH]])</f>
        <v>0</v>
      </c>
      <c r="DD192" s="648">
        <f>IF(WWWW[[#This Row],['#_households that received standard amount of sanitary pads for this quarter]]/WWWW[[#This Row],[Total HH]]&gt;1,1,WWWW[[#This Row],['#_households that received standard amount of sanitary pads for this quarter]]/WWWW[[#This Row],[Total HH]])</f>
        <v>0</v>
      </c>
      <c r="DE192" s="647">
        <f>WWWW[[#This Row],['#_Constructed/Existing hand washing stations]]-WWWW[[#This Row],['#_Non-Functional_hand_washing_stations]]</f>
        <v>0</v>
      </c>
      <c r="DF192" s="667">
        <f>IF(WWWW[[#This Row],['# Functional hand washing stations during reporting period]]*20&gt;WWWW[[#This Row],[Total HH]],WWWW[[#This Row],[Total HH]],WWWW[[#This Row],['# Functional hand washing stations during reporting period]]*20)</f>
        <v>0</v>
      </c>
      <c r="DG192" s="645">
        <f>IF(WWWW[[#This Row],[Is sufficient soap available for TLS? (Yes/No)]]="yes",WWWW[[#This Row],['#_Constructed/Existing hand washing stations at TLS]],0)</f>
        <v>0</v>
      </c>
      <c r="DH192" s="645">
        <f>IF(WWWW[[#This Row],['# Functional hand washing stations during reporting period]]*100&gt;WWWW[[#This Row],[Total PoP ]],WWWW[[#This Row],[Total PoP ]],WWWW[[#This Row],['# Functional hand washing stations during reporting period]]*100)</f>
        <v>0</v>
      </c>
      <c r="DI192" s="645" t="str">
        <f>IF(WWWW[[#This Row],['#_students at TLS_CFS]]="","No","Yes")</f>
        <v>No</v>
      </c>
      <c r="DJ192" s="643">
        <f>VLOOKUP(WWWW[[#This Row],[Site Name]],SiteDB6[[Site Name]:[CCCM Management]],6,FALSE)</f>
        <v>0</v>
      </c>
      <c r="DK192" s="643">
        <f>VLOOKUP(WWWW[[#This Row],[Site Name]],SiteDB6[[Site Name]:[CCCM Focal Agency]],7,FALSE)</f>
        <v>0</v>
      </c>
      <c r="DL192" s="643" t="str">
        <f>VLOOKUP(WWWW[[#This Row],[Site Name]],SiteDB6[[Site Name]:[Location Type 1]],9,FALSE)</f>
        <v>Village</v>
      </c>
      <c r="DM192" s="643" t="str">
        <f>VLOOKUP(WWWW[[#This Row],[Site Name]],SiteDB6[[Site Name]:[Type of Accommodation]],10,FALSE)</f>
        <v>Village</v>
      </c>
      <c r="DN192" s="643" t="str">
        <f>VLOOKUP(WWWW[[#This Row],[Site Name]],SiteDB6[[Site Name]:[Ethnic or GCA/NGCA]],11,FALSE)</f>
        <v>Muslim</v>
      </c>
      <c r="DO192" s="643">
        <f>VLOOKUP(WWWW[[#This Row],[Site Name]],SiteDB6[[Site Name]:[Lat]],12,FALSE)</f>
        <v>0</v>
      </c>
      <c r="DP192" s="643">
        <f>VLOOKUP(WWWW[[#This Row],[Site Name]],SiteDB6[[Site Name]:[Long]],13,FALSE)</f>
        <v>0</v>
      </c>
      <c r="DQ192" s="643">
        <f>VLOOKUP(WWWW[[#This Row],[Site Name]],SiteDB6[[Site Name]:[Pcode]],3,FALSE)</f>
        <v>198370</v>
      </c>
      <c r="DR192" s="652" t="str">
        <f t="shared" si="6"/>
        <v>Covered</v>
      </c>
      <c r="DS192" s="652"/>
    </row>
    <row r="193" spans="1:123">
      <c r="A193" s="637" t="s">
        <v>2525</v>
      </c>
      <c r="B193" s="637" t="s">
        <v>2802</v>
      </c>
      <c r="C193" s="644" t="s">
        <v>387</v>
      </c>
      <c r="D193" s="644" t="s">
        <v>2803</v>
      </c>
      <c r="E193" s="663" t="s">
        <v>3013</v>
      </c>
      <c r="F193" s="644" t="s">
        <v>323</v>
      </c>
      <c r="G193" s="663" t="str">
        <f>VLOOKUP(WWWW[[#This Row],[Site Name]],SiteDB6[[Site Name]:[Location Type]],8,FALSE)</f>
        <v>Village</v>
      </c>
      <c r="H193" s="644" t="s">
        <v>388</v>
      </c>
      <c r="I193" s="646">
        <v>119</v>
      </c>
      <c r="J193" s="646">
        <v>428</v>
      </c>
      <c r="K193" s="653">
        <v>43480</v>
      </c>
      <c r="L193" s="654">
        <v>43723</v>
      </c>
      <c r="M193" s="646"/>
      <c r="N193" s="646"/>
      <c r="O193" s="646"/>
      <c r="P193" s="646"/>
      <c r="Q193" s="645"/>
      <c r="R193" s="646"/>
      <c r="S193" s="646"/>
      <c r="T193" s="646"/>
      <c r="U193" s="646"/>
      <c r="V193" s="646"/>
      <c r="W193" s="646"/>
      <c r="X193" s="646"/>
      <c r="Y193" s="646"/>
      <c r="Z193" s="646"/>
      <c r="AA193" s="646"/>
      <c r="AB193" s="646"/>
      <c r="AC193" s="646"/>
      <c r="AD193" s="646"/>
      <c r="AE193" s="646"/>
      <c r="AF193" s="646"/>
      <c r="AG193" s="646"/>
      <c r="AH193" s="646"/>
      <c r="AI193" s="646"/>
      <c r="AJ193" s="646"/>
      <c r="AK193" s="646"/>
      <c r="AL193" s="646"/>
      <c r="AM193" s="646"/>
      <c r="AN193" s="646"/>
      <c r="AO193" s="652"/>
      <c r="AP193" s="646"/>
      <c r="AQ193" s="646"/>
      <c r="AR193" s="648"/>
      <c r="AS193" s="646"/>
      <c r="AT193" s="646"/>
      <c r="AU193" s="646"/>
      <c r="AV193" s="646"/>
      <c r="AW193" s="646"/>
      <c r="AX193" s="643"/>
      <c r="AY193" s="652"/>
      <c r="AZ193" s="646"/>
      <c r="BA193" s="646"/>
      <c r="BB193" s="646"/>
      <c r="BC193" s="643"/>
      <c r="BD193" s="646"/>
      <c r="BE193" s="646"/>
      <c r="BF193" s="646"/>
      <c r="BG193" s="646"/>
      <c r="BH193" s="646"/>
      <c r="BI193" s="646">
        <v>119</v>
      </c>
      <c r="BJ193" s="646">
        <v>119</v>
      </c>
      <c r="BK193" s="646"/>
      <c r="BL193" s="646"/>
      <c r="BM193" s="643"/>
      <c r="BN193" s="647"/>
      <c r="BO193" s="648"/>
      <c r="BP193" s="643"/>
      <c r="BQ193" s="649" t="str">
        <f>IFERROR(WWWW[[#This Row],['#_Water sources treated]]/WWWW[[#This Row],['#_Water sources tested for contamination]],"no test")</f>
        <v>no test</v>
      </c>
      <c r="BR193" s="648" t="str">
        <f>IFERROR(WWWW[[#This Row],['#_Household received remediation action due to contamination]]/WWWW[[#This Row],['#_Household water samples tested for contamination]],"no test")</f>
        <v>no test</v>
      </c>
      <c r="BS193" s="647" t="str">
        <f>IF(AND(WWWW[[#This Row],[% of water sources treated]]="no test",WWWW[[#This Row],[% Household received corrective actions]]="no test"),"No Test","Tested")</f>
        <v>No Test</v>
      </c>
      <c r="BT193" s="647">
        <f>WWWW[[#This Row],['#_Constructed/existing protected hand dug well]]-WWWW[[#This Row],['#_Non-functional protected hand dug well]]</f>
        <v>0</v>
      </c>
      <c r="BU193" s="647">
        <f>(WWWW[[#This Row],['#_Constructed/Existing tube wells/boreholes/handpumps_WASH_agency]]+WWWW[[#This Row],['#_Non-Cluster partner water tube-wells/boreholes/handpumps]])-WWWW[[#This Row],['#_Non-functional tube wells/boreholes/handpumps]]</f>
        <v>0</v>
      </c>
      <c r="BV193" s="647">
        <f>WWWW[[#This Row],['#_Constructed/Existingwater storage tank with gravity fed reticulation system]]-WWWW[[#This Row],['#_Non-functional storage tank gravity fed reticulation system]]</f>
        <v>0</v>
      </c>
      <c r="BW193" s="647">
        <f>WWWW[[#This Row],['#_Water boating or water trucking]]</f>
        <v>0</v>
      </c>
      <c r="BX193" s="647">
        <f>WWWW[[#This Row],['#_Constructed/Existing water distribution system from river or natural spring]]</f>
        <v>0</v>
      </c>
      <c r="BY193"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93"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93" s="648">
        <f>IF(WWWW[[#This Row],[Location Type 1]]="Village",WWWW[[#This Row],[Access to safe drinking water for Village]],WWWW[[#This Row],[Access to safe drinking water for Camp]])</f>
        <v>0</v>
      </c>
      <c r="CB193" s="645">
        <f>WWWW[[#This Row],[%Equitable and continuous access to sufficient quantity of safe drinking water]]*WWWW[[#This Row],[Total PoP ]]</f>
        <v>0</v>
      </c>
      <c r="CC193" s="648">
        <f>IF((WWWW[[#This Row],['#_Constructed/Existing protected/fenced ponds]]*250)/WWWW[[#This Row],[Total PoP ]]&gt;1,1,(WWWW[[#This Row],['#_Constructed/Existing protected/fenced ponds]]*250)/WWWW[[#This Row],[Total PoP ]])</f>
        <v>0</v>
      </c>
      <c r="CD193" s="645">
        <f>WWWW[[#This Row],[% Access to unimproved water points]]*WWWW[[#This Row],[Total PoP ]]</f>
        <v>0</v>
      </c>
      <c r="CE193"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93"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93" s="645">
        <f>WWWW[[#This Row],[HRP1]]/500</f>
        <v>0</v>
      </c>
      <c r="CH193" s="650">
        <f>1-WWWW[[#This Row],[% Equitable and continuous access to sufficient quantity of domestic water]]</f>
        <v>1</v>
      </c>
      <c r="CI193" s="645">
        <f>WWWW[[#This Row],[%equitable and continuous access to sufficient quantity of safe drinking and domestic water''s GAP]]*WWWW[[#This Row],[Total PoP ]]</f>
        <v>428</v>
      </c>
      <c r="CJ193" s="647">
        <f>IF(WWWW[[#This Row],[Total required water points]]-WWWW[[#This Row],['#Water points coverage]]&lt;0,0,WWWW[[#This Row],[Total required water points]]-WWWW[[#This Row],['#Water points coverage]])</f>
        <v>1</v>
      </c>
      <c r="CK193" s="647">
        <f>ROUND(IF(WWWW[[#This Row],[Total PoP ]]&lt;500,1,WWWW[[#This Row],[Total PoP ]]/500),0)</f>
        <v>1</v>
      </c>
      <c r="CL193" s="647">
        <f>(WWWW[[#This Row],['#_Constructed latrines_by_WASHAgencies]]+WWWW[[#This Row],['#_Non Cluster partner latrines]])-WWWW[[#This Row],['#_Non-functional latrines]]</f>
        <v>0</v>
      </c>
      <c r="CM193"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93"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93"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93" s="647" t="str">
        <f>IF(WWWW[[#This Row],[Location Type 1]]="Village","NA",IF(WWWW[[#This Row],['#_Constructed/Existing latrines in TLS]]*50&gt;WWWW[[#This Row],['#_students at TLS_CFS]],WWWW[[#This Row],['#_students at TLS_CFS]],(WWWW[[#This Row],['#_Constructed/Existing latrines in TLS]]*50)))</f>
        <v>NA</v>
      </c>
      <c r="CQ193" s="647">
        <f>ROUND(IF(WWWW[[#This Row],[Location Type 1]]="camp",WWWW[[#This Row],[Total PoP ]]/20,IF(WWWW[[#This Row],[Location Type 1]]="Temporary Location",WWWW[[#This Row],[Total PoP ]]/50,(WWWW[[#This Row],[Total PoP ]]/6))),0)</f>
        <v>71</v>
      </c>
      <c r="CR193" s="647">
        <f>IF(WWWW[[#This Row],[Total required Latrines]]-(WWWW[[#This Row],['#_Constructed latrines_by_WASHAgencies]]+WWWW[[#This Row],['#_Non Cluster partner latrines]])&lt;0,0,WWWW[[#This Row],[Total required Latrines]]-(WWWW[[#This Row],['#_Constructed latrines_by_WASHAgencies]]+WWWW[[#This Row],['#_Non Cluster partner latrines]]))</f>
        <v>71</v>
      </c>
      <c r="CS193" s="79">
        <f>1-WWWW[[#This Row],[% people access to functioning Latrine]]</f>
        <v>1</v>
      </c>
      <c r="CT193" s="649">
        <f>IF(OR(WWWW[[#This Row],['#_Non-functional latrines]]="",WWWW[[#This Row],['#_Non-functional latrines]]=0),0,WWWW[[#This Row],['#_Non-functional latrines]]/(WWWW[[#This Row],['#_Constructed latrines_by_WASHAgencies]]+WWWW[[#This Row],['#_Non Cluster partner latrines]]))</f>
        <v>0</v>
      </c>
      <c r="CU193" s="645">
        <f>IF(500*(WWWW[[#This Row],['#_male hygiene promoters]]+WWWW[[#This Row],['#_female hygiene promoters]])&gt;WWWW[[#This Row],[Total PoP ]],WWWW[[#This Row],[Total PoP ]],500*(WWWW[[#This Row],['#_male hygiene promoters]]+WWWW[[#This Row],['#_female hygiene promoters]]))</f>
        <v>428</v>
      </c>
      <c r="CV193"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93"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93" s="647">
        <f>IF(WWWW[[#This Row],['# People with access to soap]]&gt;WWWW[[#This Row],['# People with access to Sanity Pads]],WWWW[[#This Row],['# People with access to soap]],WWWW[[#This Row],['# People with access to Sanity Pads]])</f>
        <v>0</v>
      </c>
      <c r="CY193" s="647">
        <f>IF(WWWW[[#This Row],['# people reached by regular dedicated hygiene promotion_5]]&gt;WWWW[[#This Row],['# People received regular supply of hygiene items_6]],WWWW[[#This Row],['# people reached by regular dedicated hygiene promotion_5]],WWWW[[#This Row],['# People received regular supply of hygiene items_6]])</f>
        <v>428</v>
      </c>
      <c r="CZ193" s="650">
        <f>IF(WWWW[[#This Row],[HRP3]]/WWWW[[#This Row],[Total PoP ]]&gt;100%,100%,WWWW[[#This Row],[HRP3]]/WWWW[[#This Row],[Total PoP ]])</f>
        <v>1</v>
      </c>
      <c r="DA193" s="649">
        <f>1-WWWW[[#This Row],[Hygiene Coverage%]]</f>
        <v>0</v>
      </c>
      <c r="DB193" s="648">
        <f>WWWW[[#This Row],['# people reached by regular dedicated hygiene promotion_5]]/WWWW[[#This Row],[Total PoP ]]</f>
        <v>1</v>
      </c>
      <c r="DC193" s="648">
        <f>IF(WWWW[[#This Row],['#_households that received standard amount of soap for this quarter]]/WWWW[[#This Row],[Total HH]]&gt;1,1,WWWW[[#This Row],['#_households that received standard amount of soap for this quarter]]/WWWW[[#This Row],[Total HH]])</f>
        <v>0</v>
      </c>
      <c r="DD193" s="648">
        <f>IF(WWWW[[#This Row],['#_households that received standard amount of sanitary pads for this quarter]]/WWWW[[#This Row],[Total HH]]&gt;1,1,WWWW[[#This Row],['#_households that received standard amount of sanitary pads for this quarter]]/WWWW[[#This Row],[Total HH]])</f>
        <v>0</v>
      </c>
      <c r="DE193" s="647">
        <f>WWWW[[#This Row],['#_Constructed/Existing hand washing stations]]-WWWW[[#This Row],['#_Non-Functional_hand_washing_stations]]</f>
        <v>0</v>
      </c>
      <c r="DF193" s="667">
        <f>IF(WWWW[[#This Row],['# Functional hand washing stations during reporting period]]*20&gt;WWWW[[#This Row],[Total HH]],WWWW[[#This Row],[Total HH]],WWWW[[#This Row],['# Functional hand washing stations during reporting period]]*20)</f>
        <v>0</v>
      </c>
      <c r="DG193" s="645">
        <f>IF(WWWW[[#This Row],[Is sufficient soap available for TLS? (Yes/No)]]="yes",WWWW[[#This Row],['#_Constructed/Existing hand washing stations at TLS]],0)</f>
        <v>0</v>
      </c>
      <c r="DH193" s="645">
        <f>IF(WWWW[[#This Row],['# Functional hand washing stations during reporting period]]*100&gt;WWWW[[#This Row],[Total PoP ]],WWWW[[#This Row],[Total PoP ]],WWWW[[#This Row],['# Functional hand washing stations during reporting period]]*100)</f>
        <v>0</v>
      </c>
      <c r="DI193" s="645" t="str">
        <f>IF(WWWW[[#This Row],['#_students at TLS_CFS]]="","No","Yes")</f>
        <v>No</v>
      </c>
      <c r="DJ193" s="643">
        <f>VLOOKUP(WWWW[[#This Row],[Site Name]],SiteDB6[[Site Name]:[CCCM Management]],6,FALSE)</f>
        <v>0</v>
      </c>
      <c r="DK193" s="643">
        <f>VLOOKUP(WWWW[[#This Row],[Site Name]],SiteDB6[[Site Name]:[CCCM Focal Agency]],7,FALSE)</f>
        <v>0</v>
      </c>
      <c r="DL193" s="643" t="str">
        <f>VLOOKUP(WWWW[[#This Row],[Site Name]],SiteDB6[[Site Name]:[Location Type 1]],9,FALSE)</f>
        <v>Village</v>
      </c>
      <c r="DM193" s="643" t="str">
        <f>VLOOKUP(WWWW[[#This Row],[Site Name]],SiteDB6[[Site Name]:[Type of Accommodation]],10,FALSE)</f>
        <v>Village</v>
      </c>
      <c r="DN193" s="643" t="str">
        <f>VLOOKUP(WWWW[[#This Row],[Site Name]],SiteDB6[[Site Name]:[Ethnic or GCA/NGCA]],11,FALSE)</f>
        <v>Rakhine</v>
      </c>
      <c r="DO193" s="643">
        <f>VLOOKUP(WWWW[[#This Row],[Site Name]],SiteDB6[[Site Name]:[Lat]],12,FALSE)</f>
        <v>0</v>
      </c>
      <c r="DP193" s="643">
        <f>VLOOKUP(WWWW[[#This Row],[Site Name]],SiteDB6[[Site Name]:[Long]],13,FALSE)</f>
        <v>0</v>
      </c>
      <c r="DQ193" s="643">
        <f>VLOOKUP(WWWW[[#This Row],[Site Name]],SiteDB6[[Site Name]:[Pcode]],3,FALSE)</f>
        <v>220977</v>
      </c>
      <c r="DR193" s="652" t="str">
        <f t="shared" si="6"/>
        <v>Covered</v>
      </c>
      <c r="DS193" s="652"/>
    </row>
    <row r="194" spans="1:123">
      <c r="A194" s="637" t="s">
        <v>2525</v>
      </c>
      <c r="B194" s="637" t="s">
        <v>2802</v>
      </c>
      <c r="C194" s="644" t="s">
        <v>387</v>
      </c>
      <c r="D194" s="644" t="s">
        <v>2803</v>
      </c>
      <c r="E194" s="663" t="s">
        <v>3013</v>
      </c>
      <c r="F194" s="644" t="s">
        <v>323</v>
      </c>
      <c r="G194" s="663" t="str">
        <f>VLOOKUP(WWWW[[#This Row],[Site Name]],SiteDB6[[Site Name]:[Location Type]],8,FALSE)</f>
        <v>Village</v>
      </c>
      <c r="H194" s="644" t="s">
        <v>2368</v>
      </c>
      <c r="I194" s="646">
        <v>60</v>
      </c>
      <c r="J194" s="646">
        <v>314</v>
      </c>
      <c r="K194" s="653">
        <v>43480</v>
      </c>
      <c r="L194" s="654">
        <v>43723</v>
      </c>
      <c r="M194" s="646"/>
      <c r="N194" s="646"/>
      <c r="O194" s="646"/>
      <c r="P194" s="646"/>
      <c r="Q194" s="645"/>
      <c r="R194" s="646"/>
      <c r="S194" s="646"/>
      <c r="T194" s="646"/>
      <c r="U194" s="646"/>
      <c r="V194" s="646"/>
      <c r="W194" s="646"/>
      <c r="X194" s="646"/>
      <c r="Y194" s="646"/>
      <c r="Z194" s="646"/>
      <c r="AA194" s="646"/>
      <c r="AB194" s="646"/>
      <c r="AC194" s="646"/>
      <c r="AD194" s="646"/>
      <c r="AE194" s="646"/>
      <c r="AF194" s="646"/>
      <c r="AG194" s="646"/>
      <c r="AH194" s="646"/>
      <c r="AI194" s="646"/>
      <c r="AJ194" s="646"/>
      <c r="AK194" s="646"/>
      <c r="AL194" s="646"/>
      <c r="AM194" s="646"/>
      <c r="AN194" s="646"/>
      <c r="AO194" s="652"/>
      <c r="AP194" s="646"/>
      <c r="AQ194" s="646"/>
      <c r="AR194" s="648"/>
      <c r="AS194" s="646"/>
      <c r="AT194" s="646"/>
      <c r="AU194" s="646"/>
      <c r="AV194" s="646"/>
      <c r="AW194" s="646"/>
      <c r="AX194" s="643"/>
      <c r="AY194" s="652"/>
      <c r="AZ194" s="646"/>
      <c r="BA194" s="646"/>
      <c r="BB194" s="646"/>
      <c r="BC194" s="643"/>
      <c r="BD194" s="646"/>
      <c r="BE194" s="646"/>
      <c r="BF194" s="646"/>
      <c r="BG194" s="646"/>
      <c r="BH194" s="646"/>
      <c r="BI194" s="646">
        <v>60</v>
      </c>
      <c r="BJ194" s="646">
        <v>60</v>
      </c>
      <c r="BK194" s="646"/>
      <c r="BL194" s="646"/>
      <c r="BM194" s="643"/>
      <c r="BN194" s="647"/>
      <c r="BO194" s="648"/>
      <c r="BP194" s="643"/>
      <c r="BQ194" s="649" t="str">
        <f>IFERROR(WWWW[[#This Row],['#_Water sources treated]]/WWWW[[#This Row],['#_Water sources tested for contamination]],"no test")</f>
        <v>no test</v>
      </c>
      <c r="BR194" s="648" t="str">
        <f>IFERROR(WWWW[[#This Row],['#_Household received remediation action due to contamination]]/WWWW[[#This Row],['#_Household water samples tested for contamination]],"no test")</f>
        <v>no test</v>
      </c>
      <c r="BS194" s="647" t="str">
        <f>IF(AND(WWWW[[#This Row],[% of water sources treated]]="no test",WWWW[[#This Row],[% Household received corrective actions]]="no test"),"No Test","Tested")</f>
        <v>No Test</v>
      </c>
      <c r="BT194" s="647">
        <f>WWWW[[#This Row],['#_Constructed/existing protected hand dug well]]-WWWW[[#This Row],['#_Non-functional protected hand dug well]]</f>
        <v>0</v>
      </c>
      <c r="BU194" s="647">
        <f>(WWWW[[#This Row],['#_Constructed/Existing tube wells/boreholes/handpumps_WASH_agency]]+WWWW[[#This Row],['#_Non-Cluster partner water tube-wells/boreholes/handpumps]])-WWWW[[#This Row],['#_Non-functional tube wells/boreholes/handpumps]]</f>
        <v>0</v>
      </c>
      <c r="BV194" s="647">
        <f>WWWW[[#This Row],['#_Constructed/Existingwater storage tank with gravity fed reticulation system]]-WWWW[[#This Row],['#_Non-functional storage tank gravity fed reticulation system]]</f>
        <v>0</v>
      </c>
      <c r="BW194" s="647">
        <f>WWWW[[#This Row],['#_Water boating or water trucking]]</f>
        <v>0</v>
      </c>
      <c r="BX194" s="647">
        <f>WWWW[[#This Row],['#_Constructed/Existing water distribution system from river or natural spring]]</f>
        <v>0</v>
      </c>
      <c r="BY194"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94"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94" s="648">
        <f>IF(WWWW[[#This Row],[Location Type 1]]="Village",WWWW[[#This Row],[Access to safe drinking water for Village]],WWWW[[#This Row],[Access to safe drinking water for Camp]])</f>
        <v>0</v>
      </c>
      <c r="CB194" s="645">
        <f>WWWW[[#This Row],[%Equitable and continuous access to sufficient quantity of safe drinking water]]*WWWW[[#This Row],[Total PoP ]]</f>
        <v>0</v>
      </c>
      <c r="CC194" s="648">
        <f>IF((WWWW[[#This Row],['#_Constructed/Existing protected/fenced ponds]]*250)/WWWW[[#This Row],[Total PoP ]]&gt;1,1,(WWWW[[#This Row],['#_Constructed/Existing protected/fenced ponds]]*250)/WWWW[[#This Row],[Total PoP ]])</f>
        <v>0</v>
      </c>
      <c r="CD194" s="645">
        <f>WWWW[[#This Row],[% Access to unimproved water points]]*WWWW[[#This Row],[Total PoP ]]</f>
        <v>0</v>
      </c>
      <c r="CE194"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94"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94" s="645">
        <f>WWWW[[#This Row],[HRP1]]/500</f>
        <v>0</v>
      </c>
      <c r="CH194" s="650">
        <f>1-WWWW[[#This Row],[% Equitable and continuous access to sufficient quantity of domestic water]]</f>
        <v>1</v>
      </c>
      <c r="CI194" s="645">
        <f>WWWW[[#This Row],[%equitable and continuous access to sufficient quantity of safe drinking and domestic water''s GAP]]*WWWW[[#This Row],[Total PoP ]]</f>
        <v>314</v>
      </c>
      <c r="CJ194" s="647">
        <f>IF(WWWW[[#This Row],[Total required water points]]-WWWW[[#This Row],['#Water points coverage]]&lt;0,0,WWWW[[#This Row],[Total required water points]]-WWWW[[#This Row],['#Water points coverage]])</f>
        <v>1</v>
      </c>
      <c r="CK194" s="647">
        <f>ROUND(IF(WWWW[[#This Row],[Total PoP ]]&lt;500,1,WWWW[[#This Row],[Total PoP ]]/500),0)</f>
        <v>1</v>
      </c>
      <c r="CL194" s="647">
        <f>(WWWW[[#This Row],['#_Constructed latrines_by_WASHAgencies]]+WWWW[[#This Row],['#_Non Cluster partner latrines]])-WWWW[[#This Row],['#_Non-functional latrines]]</f>
        <v>0</v>
      </c>
      <c r="CM194"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94"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94"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94" s="647" t="str">
        <f>IF(WWWW[[#This Row],[Location Type 1]]="Village","NA",IF(WWWW[[#This Row],['#_Constructed/Existing latrines in TLS]]*50&gt;WWWW[[#This Row],['#_students at TLS_CFS]],WWWW[[#This Row],['#_students at TLS_CFS]],(WWWW[[#This Row],['#_Constructed/Existing latrines in TLS]]*50)))</f>
        <v>NA</v>
      </c>
      <c r="CQ194" s="647">
        <f>ROUND(IF(WWWW[[#This Row],[Location Type 1]]="camp",WWWW[[#This Row],[Total PoP ]]/20,IF(WWWW[[#This Row],[Location Type 1]]="Temporary Location",WWWW[[#This Row],[Total PoP ]]/50,(WWWW[[#This Row],[Total PoP ]]/6))),0)</f>
        <v>52</v>
      </c>
      <c r="CR194" s="647">
        <f>IF(WWWW[[#This Row],[Total required Latrines]]-(WWWW[[#This Row],['#_Constructed latrines_by_WASHAgencies]]+WWWW[[#This Row],['#_Non Cluster partner latrines]])&lt;0,0,WWWW[[#This Row],[Total required Latrines]]-(WWWW[[#This Row],['#_Constructed latrines_by_WASHAgencies]]+WWWW[[#This Row],['#_Non Cluster partner latrines]]))</f>
        <v>52</v>
      </c>
      <c r="CS194" s="79">
        <f>1-WWWW[[#This Row],[% people access to functioning Latrine]]</f>
        <v>1</v>
      </c>
      <c r="CT194" s="649">
        <f>IF(OR(WWWW[[#This Row],['#_Non-functional latrines]]="",WWWW[[#This Row],['#_Non-functional latrines]]=0),0,WWWW[[#This Row],['#_Non-functional latrines]]/(WWWW[[#This Row],['#_Constructed latrines_by_WASHAgencies]]+WWWW[[#This Row],['#_Non Cluster partner latrines]]))</f>
        <v>0</v>
      </c>
      <c r="CU194" s="645">
        <f>IF(500*(WWWW[[#This Row],['#_male hygiene promoters]]+WWWW[[#This Row],['#_female hygiene promoters]])&gt;WWWW[[#This Row],[Total PoP ]],WWWW[[#This Row],[Total PoP ]],500*(WWWW[[#This Row],['#_male hygiene promoters]]+WWWW[[#This Row],['#_female hygiene promoters]]))</f>
        <v>314</v>
      </c>
      <c r="CV194"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94"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94" s="647">
        <f>IF(WWWW[[#This Row],['# People with access to soap]]&gt;WWWW[[#This Row],['# People with access to Sanity Pads]],WWWW[[#This Row],['# People with access to soap]],WWWW[[#This Row],['# People with access to Sanity Pads]])</f>
        <v>0</v>
      </c>
      <c r="CY194" s="647">
        <f>IF(WWWW[[#This Row],['# people reached by regular dedicated hygiene promotion_5]]&gt;WWWW[[#This Row],['# People received regular supply of hygiene items_6]],WWWW[[#This Row],['# people reached by regular dedicated hygiene promotion_5]],WWWW[[#This Row],['# People received regular supply of hygiene items_6]])</f>
        <v>314</v>
      </c>
      <c r="CZ194" s="650">
        <f>IF(WWWW[[#This Row],[HRP3]]/WWWW[[#This Row],[Total PoP ]]&gt;100%,100%,WWWW[[#This Row],[HRP3]]/WWWW[[#This Row],[Total PoP ]])</f>
        <v>1</v>
      </c>
      <c r="DA194" s="649">
        <f>1-WWWW[[#This Row],[Hygiene Coverage%]]</f>
        <v>0</v>
      </c>
      <c r="DB194" s="648">
        <f>WWWW[[#This Row],['# people reached by regular dedicated hygiene promotion_5]]/WWWW[[#This Row],[Total PoP ]]</f>
        <v>1</v>
      </c>
      <c r="DC194" s="648">
        <f>IF(WWWW[[#This Row],['#_households that received standard amount of soap for this quarter]]/WWWW[[#This Row],[Total HH]]&gt;1,1,WWWW[[#This Row],['#_households that received standard amount of soap for this quarter]]/WWWW[[#This Row],[Total HH]])</f>
        <v>0</v>
      </c>
      <c r="DD194" s="648">
        <f>IF(WWWW[[#This Row],['#_households that received standard amount of sanitary pads for this quarter]]/WWWW[[#This Row],[Total HH]]&gt;1,1,WWWW[[#This Row],['#_households that received standard amount of sanitary pads for this quarter]]/WWWW[[#This Row],[Total HH]])</f>
        <v>0</v>
      </c>
      <c r="DE194" s="647">
        <f>WWWW[[#This Row],['#_Constructed/Existing hand washing stations]]-WWWW[[#This Row],['#_Non-Functional_hand_washing_stations]]</f>
        <v>0</v>
      </c>
      <c r="DF194" s="667">
        <f>IF(WWWW[[#This Row],['# Functional hand washing stations during reporting period]]*20&gt;WWWW[[#This Row],[Total HH]],WWWW[[#This Row],[Total HH]],WWWW[[#This Row],['# Functional hand washing stations during reporting period]]*20)</f>
        <v>0</v>
      </c>
      <c r="DG194" s="645">
        <f>IF(WWWW[[#This Row],[Is sufficient soap available for TLS? (Yes/No)]]="yes",WWWW[[#This Row],['#_Constructed/Existing hand washing stations at TLS]],0)</f>
        <v>0</v>
      </c>
      <c r="DH194" s="645">
        <f>IF(WWWW[[#This Row],['# Functional hand washing stations during reporting period]]*100&gt;WWWW[[#This Row],[Total PoP ]],WWWW[[#This Row],[Total PoP ]],WWWW[[#This Row],['# Functional hand washing stations during reporting period]]*100)</f>
        <v>0</v>
      </c>
      <c r="DI194" s="645" t="str">
        <f>IF(WWWW[[#This Row],['#_students at TLS_CFS]]="","No","Yes")</f>
        <v>No</v>
      </c>
      <c r="DJ194" s="643">
        <f>VLOOKUP(WWWW[[#This Row],[Site Name]],SiteDB6[[Site Name]:[CCCM Management]],6,FALSE)</f>
        <v>0</v>
      </c>
      <c r="DK194" s="643">
        <f>VLOOKUP(WWWW[[#This Row],[Site Name]],SiteDB6[[Site Name]:[CCCM Focal Agency]],7,FALSE)</f>
        <v>0</v>
      </c>
      <c r="DL194" s="643" t="str">
        <f>VLOOKUP(WWWW[[#This Row],[Site Name]],SiteDB6[[Site Name]:[Location Type 1]],9,FALSE)</f>
        <v>Village</v>
      </c>
      <c r="DM194" s="643" t="str">
        <f>VLOOKUP(WWWW[[#This Row],[Site Name]],SiteDB6[[Site Name]:[Type of Accommodation]],10,FALSE)</f>
        <v>Village</v>
      </c>
      <c r="DN194" s="643" t="str">
        <f>VLOOKUP(WWWW[[#This Row],[Site Name]],SiteDB6[[Site Name]:[Ethnic or GCA/NGCA]],11,FALSE)</f>
        <v>Rakhine</v>
      </c>
      <c r="DO194" s="643">
        <f>VLOOKUP(WWWW[[#This Row],[Site Name]],SiteDB6[[Site Name]:[Lat]],12,FALSE)</f>
        <v>20.646560668945298</v>
      </c>
      <c r="DP194" s="643">
        <f>VLOOKUP(WWWW[[#This Row],[Site Name]],SiteDB6[[Site Name]:[Long]],13,FALSE)</f>
        <v>92.976043701171903</v>
      </c>
      <c r="DQ194" s="643">
        <f>VLOOKUP(WWWW[[#This Row],[Site Name]],SiteDB6[[Site Name]:[Pcode]],3,FALSE)</f>
        <v>196937</v>
      </c>
      <c r="DR194" s="652" t="str">
        <f t="shared" si="6"/>
        <v>Covered</v>
      </c>
      <c r="DS194" s="652"/>
    </row>
    <row r="195" spans="1:123">
      <c r="A195" s="637" t="s">
        <v>2525</v>
      </c>
      <c r="B195" s="637" t="s">
        <v>2802</v>
      </c>
      <c r="C195" s="644" t="s">
        <v>387</v>
      </c>
      <c r="D195" s="644" t="s">
        <v>2803</v>
      </c>
      <c r="E195" s="663" t="s">
        <v>3013</v>
      </c>
      <c r="F195" s="644" t="s">
        <v>323</v>
      </c>
      <c r="G195" s="663" t="str">
        <f>VLOOKUP(WWWW[[#This Row],[Site Name]],SiteDB6[[Site Name]:[Location Type]],8,FALSE)</f>
        <v>Village</v>
      </c>
      <c r="H195" s="644" t="s">
        <v>2821</v>
      </c>
      <c r="I195" s="646">
        <v>31</v>
      </c>
      <c r="J195" s="646">
        <v>256</v>
      </c>
      <c r="K195" s="653">
        <v>43480</v>
      </c>
      <c r="L195" s="654">
        <v>43723</v>
      </c>
      <c r="M195" s="646"/>
      <c r="N195" s="646"/>
      <c r="O195" s="646"/>
      <c r="P195" s="646"/>
      <c r="Q195" s="645"/>
      <c r="R195" s="646"/>
      <c r="S195" s="646"/>
      <c r="T195" s="646"/>
      <c r="U195" s="646"/>
      <c r="V195" s="646"/>
      <c r="W195" s="646"/>
      <c r="X195" s="646"/>
      <c r="Y195" s="646"/>
      <c r="Z195" s="646"/>
      <c r="AA195" s="646"/>
      <c r="AB195" s="646"/>
      <c r="AC195" s="646"/>
      <c r="AD195" s="646"/>
      <c r="AE195" s="646"/>
      <c r="AF195" s="646"/>
      <c r="AG195" s="646"/>
      <c r="AH195" s="646"/>
      <c r="AI195" s="646"/>
      <c r="AJ195" s="646"/>
      <c r="AK195" s="646"/>
      <c r="AL195" s="646"/>
      <c r="AM195" s="646"/>
      <c r="AN195" s="646"/>
      <c r="AO195" s="652"/>
      <c r="AP195" s="646"/>
      <c r="AQ195" s="646"/>
      <c r="AR195" s="648"/>
      <c r="AS195" s="646"/>
      <c r="AT195" s="646"/>
      <c r="AU195" s="646"/>
      <c r="AV195" s="646"/>
      <c r="AW195" s="646"/>
      <c r="AX195" s="643"/>
      <c r="AY195" s="652"/>
      <c r="AZ195" s="646"/>
      <c r="BA195" s="646"/>
      <c r="BB195" s="646"/>
      <c r="BC195" s="643"/>
      <c r="BD195" s="646"/>
      <c r="BE195" s="646"/>
      <c r="BF195" s="646"/>
      <c r="BG195" s="646"/>
      <c r="BH195" s="646"/>
      <c r="BI195" s="646">
        <v>31</v>
      </c>
      <c r="BJ195" s="646">
        <v>31</v>
      </c>
      <c r="BK195" s="646"/>
      <c r="BL195" s="646"/>
      <c r="BM195" s="643"/>
      <c r="BN195" s="647"/>
      <c r="BO195" s="648"/>
      <c r="BP195" s="643"/>
      <c r="BQ195" s="649" t="str">
        <f>IFERROR(WWWW[[#This Row],['#_Water sources treated]]/WWWW[[#This Row],['#_Water sources tested for contamination]],"no test")</f>
        <v>no test</v>
      </c>
      <c r="BR195" s="648" t="str">
        <f>IFERROR(WWWW[[#This Row],['#_Household received remediation action due to contamination]]/WWWW[[#This Row],['#_Household water samples tested for contamination]],"no test")</f>
        <v>no test</v>
      </c>
      <c r="BS195" s="647" t="str">
        <f>IF(AND(WWWW[[#This Row],[% of water sources treated]]="no test",WWWW[[#This Row],[% Household received corrective actions]]="no test"),"No Test","Tested")</f>
        <v>No Test</v>
      </c>
      <c r="BT195" s="647">
        <f>WWWW[[#This Row],['#_Constructed/existing protected hand dug well]]-WWWW[[#This Row],['#_Non-functional protected hand dug well]]</f>
        <v>0</v>
      </c>
      <c r="BU195" s="647">
        <f>(WWWW[[#This Row],['#_Constructed/Existing tube wells/boreholes/handpumps_WASH_agency]]+WWWW[[#This Row],['#_Non-Cluster partner water tube-wells/boreholes/handpumps]])-WWWW[[#This Row],['#_Non-functional tube wells/boreholes/handpumps]]</f>
        <v>0</v>
      </c>
      <c r="BV195" s="647">
        <f>WWWW[[#This Row],['#_Constructed/Existingwater storage tank with gravity fed reticulation system]]-WWWW[[#This Row],['#_Non-functional storage tank gravity fed reticulation system]]</f>
        <v>0</v>
      </c>
      <c r="BW195" s="647">
        <f>WWWW[[#This Row],['#_Water boating or water trucking]]</f>
        <v>0</v>
      </c>
      <c r="BX195" s="647">
        <f>WWWW[[#This Row],['#_Constructed/Existing water distribution system from river or natural spring]]</f>
        <v>0</v>
      </c>
      <c r="BY195"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95"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95" s="648">
        <f>IF(WWWW[[#This Row],[Location Type 1]]="Village",WWWW[[#This Row],[Access to safe drinking water for Village]],WWWW[[#This Row],[Access to safe drinking water for Camp]])</f>
        <v>0</v>
      </c>
      <c r="CB195" s="645">
        <f>WWWW[[#This Row],[%Equitable and continuous access to sufficient quantity of safe drinking water]]*WWWW[[#This Row],[Total PoP ]]</f>
        <v>0</v>
      </c>
      <c r="CC195" s="648">
        <f>IF((WWWW[[#This Row],['#_Constructed/Existing protected/fenced ponds]]*250)/WWWW[[#This Row],[Total PoP ]]&gt;1,1,(WWWW[[#This Row],['#_Constructed/Existing protected/fenced ponds]]*250)/WWWW[[#This Row],[Total PoP ]])</f>
        <v>0</v>
      </c>
      <c r="CD195" s="645">
        <f>WWWW[[#This Row],[% Access to unimproved water points]]*WWWW[[#This Row],[Total PoP ]]</f>
        <v>0</v>
      </c>
      <c r="CE195"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95"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95" s="645">
        <f>WWWW[[#This Row],[HRP1]]/500</f>
        <v>0</v>
      </c>
      <c r="CH195" s="650">
        <f>1-WWWW[[#This Row],[% Equitable and continuous access to sufficient quantity of domestic water]]</f>
        <v>1</v>
      </c>
      <c r="CI195" s="645">
        <f>WWWW[[#This Row],[%equitable and continuous access to sufficient quantity of safe drinking and domestic water''s GAP]]*WWWW[[#This Row],[Total PoP ]]</f>
        <v>256</v>
      </c>
      <c r="CJ195" s="647">
        <f>IF(WWWW[[#This Row],[Total required water points]]-WWWW[[#This Row],['#Water points coverage]]&lt;0,0,WWWW[[#This Row],[Total required water points]]-WWWW[[#This Row],['#Water points coverage]])</f>
        <v>1</v>
      </c>
      <c r="CK195" s="647">
        <f>ROUND(IF(WWWW[[#This Row],[Total PoP ]]&lt;500,1,WWWW[[#This Row],[Total PoP ]]/500),0)</f>
        <v>1</v>
      </c>
      <c r="CL195" s="647">
        <f>(WWWW[[#This Row],['#_Constructed latrines_by_WASHAgencies]]+WWWW[[#This Row],['#_Non Cluster partner latrines]])-WWWW[[#This Row],['#_Non-functional latrines]]</f>
        <v>0</v>
      </c>
      <c r="CM195"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95"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95"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95" s="647" t="str">
        <f>IF(WWWW[[#This Row],[Location Type 1]]="Village","NA",IF(WWWW[[#This Row],['#_Constructed/Existing latrines in TLS]]*50&gt;WWWW[[#This Row],['#_students at TLS_CFS]],WWWW[[#This Row],['#_students at TLS_CFS]],(WWWW[[#This Row],['#_Constructed/Existing latrines in TLS]]*50)))</f>
        <v>NA</v>
      </c>
      <c r="CQ195" s="647">
        <f>ROUND(IF(WWWW[[#This Row],[Location Type 1]]="camp",WWWW[[#This Row],[Total PoP ]]/20,IF(WWWW[[#This Row],[Location Type 1]]="Temporary Location",WWWW[[#This Row],[Total PoP ]]/50,(WWWW[[#This Row],[Total PoP ]]/6))),0)</f>
        <v>43</v>
      </c>
      <c r="CR195" s="647">
        <f>IF(WWWW[[#This Row],[Total required Latrines]]-(WWWW[[#This Row],['#_Constructed latrines_by_WASHAgencies]]+WWWW[[#This Row],['#_Non Cluster partner latrines]])&lt;0,0,WWWW[[#This Row],[Total required Latrines]]-(WWWW[[#This Row],['#_Constructed latrines_by_WASHAgencies]]+WWWW[[#This Row],['#_Non Cluster partner latrines]]))</f>
        <v>43</v>
      </c>
      <c r="CS195" s="79">
        <f>1-WWWW[[#This Row],[% people access to functioning Latrine]]</f>
        <v>1</v>
      </c>
      <c r="CT195" s="649">
        <f>IF(OR(WWWW[[#This Row],['#_Non-functional latrines]]="",WWWW[[#This Row],['#_Non-functional latrines]]=0),0,WWWW[[#This Row],['#_Non-functional latrines]]/(WWWW[[#This Row],['#_Constructed latrines_by_WASHAgencies]]+WWWW[[#This Row],['#_Non Cluster partner latrines]]))</f>
        <v>0</v>
      </c>
      <c r="CU195" s="645">
        <f>IF(500*(WWWW[[#This Row],['#_male hygiene promoters]]+WWWW[[#This Row],['#_female hygiene promoters]])&gt;WWWW[[#This Row],[Total PoP ]],WWWW[[#This Row],[Total PoP ]],500*(WWWW[[#This Row],['#_male hygiene promoters]]+WWWW[[#This Row],['#_female hygiene promoters]]))</f>
        <v>256</v>
      </c>
      <c r="CV195"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95"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95" s="647">
        <f>IF(WWWW[[#This Row],['# People with access to soap]]&gt;WWWW[[#This Row],['# People with access to Sanity Pads]],WWWW[[#This Row],['# People with access to soap]],WWWW[[#This Row],['# People with access to Sanity Pads]])</f>
        <v>0</v>
      </c>
      <c r="CY195" s="647">
        <f>IF(WWWW[[#This Row],['# people reached by regular dedicated hygiene promotion_5]]&gt;WWWW[[#This Row],['# People received regular supply of hygiene items_6]],WWWW[[#This Row],['# people reached by regular dedicated hygiene promotion_5]],WWWW[[#This Row],['# People received regular supply of hygiene items_6]])</f>
        <v>256</v>
      </c>
      <c r="CZ195" s="650">
        <f>IF(WWWW[[#This Row],[HRP3]]/WWWW[[#This Row],[Total PoP ]]&gt;100%,100%,WWWW[[#This Row],[HRP3]]/WWWW[[#This Row],[Total PoP ]])</f>
        <v>1</v>
      </c>
      <c r="DA195" s="649">
        <f>1-WWWW[[#This Row],[Hygiene Coverage%]]</f>
        <v>0</v>
      </c>
      <c r="DB195" s="648">
        <f>WWWW[[#This Row],['# people reached by regular dedicated hygiene promotion_5]]/WWWW[[#This Row],[Total PoP ]]</f>
        <v>1</v>
      </c>
      <c r="DC195" s="648">
        <f>IF(WWWW[[#This Row],['#_households that received standard amount of soap for this quarter]]/WWWW[[#This Row],[Total HH]]&gt;1,1,WWWW[[#This Row],['#_households that received standard amount of soap for this quarter]]/WWWW[[#This Row],[Total HH]])</f>
        <v>0</v>
      </c>
      <c r="DD195" s="648">
        <f>IF(WWWW[[#This Row],['#_households that received standard amount of sanitary pads for this quarter]]/WWWW[[#This Row],[Total HH]]&gt;1,1,WWWW[[#This Row],['#_households that received standard amount of sanitary pads for this quarter]]/WWWW[[#This Row],[Total HH]])</f>
        <v>0</v>
      </c>
      <c r="DE195" s="647">
        <f>WWWW[[#This Row],['#_Constructed/Existing hand washing stations]]-WWWW[[#This Row],['#_Non-Functional_hand_washing_stations]]</f>
        <v>0</v>
      </c>
      <c r="DF195" s="667">
        <f>IF(WWWW[[#This Row],['# Functional hand washing stations during reporting period]]*20&gt;WWWW[[#This Row],[Total HH]],WWWW[[#This Row],[Total HH]],WWWW[[#This Row],['# Functional hand washing stations during reporting period]]*20)</f>
        <v>0</v>
      </c>
      <c r="DG195" s="645">
        <f>IF(WWWW[[#This Row],[Is sufficient soap available for TLS? (Yes/No)]]="yes",WWWW[[#This Row],['#_Constructed/Existing hand washing stations at TLS]],0)</f>
        <v>0</v>
      </c>
      <c r="DH195" s="645">
        <f>IF(WWWW[[#This Row],['# Functional hand washing stations during reporting period]]*100&gt;WWWW[[#This Row],[Total PoP ]],WWWW[[#This Row],[Total PoP ]],WWWW[[#This Row],['# Functional hand washing stations during reporting period]]*100)</f>
        <v>0</v>
      </c>
      <c r="DI195" s="645" t="str">
        <f>IF(WWWW[[#This Row],['#_students at TLS_CFS]]="","No","Yes")</f>
        <v>No</v>
      </c>
      <c r="DJ195" s="643">
        <f>VLOOKUP(WWWW[[#This Row],[Site Name]],SiteDB6[[Site Name]:[CCCM Management]],6,FALSE)</f>
        <v>0</v>
      </c>
      <c r="DK195" s="643">
        <f>VLOOKUP(WWWW[[#This Row],[Site Name]],SiteDB6[[Site Name]:[CCCM Focal Agency]],7,FALSE)</f>
        <v>0</v>
      </c>
      <c r="DL195" s="643" t="str">
        <f>VLOOKUP(WWWW[[#This Row],[Site Name]],SiteDB6[[Site Name]:[Location Type 1]],9,FALSE)</f>
        <v>Village</v>
      </c>
      <c r="DM195" s="643" t="str">
        <f>VLOOKUP(WWWW[[#This Row],[Site Name]],SiteDB6[[Site Name]:[Type of Accommodation]],10,FALSE)</f>
        <v>Village</v>
      </c>
      <c r="DN195" s="643" t="str">
        <f>VLOOKUP(WWWW[[#This Row],[Site Name]],SiteDB6[[Site Name]:[Ethnic or GCA/NGCA]],11,FALSE)</f>
        <v>Rakhine</v>
      </c>
      <c r="DO195" s="643">
        <f>VLOOKUP(WWWW[[#This Row],[Site Name]],SiteDB6[[Site Name]:[Lat]],12,FALSE)</f>
        <v>0</v>
      </c>
      <c r="DP195" s="643">
        <f>VLOOKUP(WWWW[[#This Row],[Site Name]],SiteDB6[[Site Name]:[Long]],13,FALSE)</f>
        <v>0</v>
      </c>
      <c r="DQ195" s="643">
        <f>VLOOKUP(WWWW[[#This Row],[Site Name]],SiteDB6[[Site Name]:[Pcode]],3,FALSE)</f>
        <v>0</v>
      </c>
      <c r="DR195" s="652" t="str">
        <f t="shared" si="6"/>
        <v>Covered</v>
      </c>
      <c r="DS195" s="652"/>
    </row>
    <row r="196" spans="1:123">
      <c r="A196" s="637" t="s">
        <v>2525</v>
      </c>
      <c r="B196" s="637" t="s">
        <v>2802</v>
      </c>
      <c r="C196" s="644" t="s">
        <v>387</v>
      </c>
      <c r="D196" s="644" t="s">
        <v>2803</v>
      </c>
      <c r="E196" s="663" t="s">
        <v>3013</v>
      </c>
      <c r="F196" s="644" t="s">
        <v>323</v>
      </c>
      <c r="G196" s="663" t="str">
        <f>VLOOKUP(WWWW[[#This Row],[Site Name]],SiteDB6[[Site Name]:[Location Type]],8,FALSE)</f>
        <v>Village</v>
      </c>
      <c r="H196" s="644" t="s">
        <v>2822</v>
      </c>
      <c r="I196" s="646">
        <v>53</v>
      </c>
      <c r="J196" s="646">
        <v>263</v>
      </c>
      <c r="K196" s="653">
        <v>43480</v>
      </c>
      <c r="L196" s="654">
        <v>43723</v>
      </c>
      <c r="M196" s="646"/>
      <c r="N196" s="646"/>
      <c r="O196" s="646"/>
      <c r="P196" s="646"/>
      <c r="Q196" s="645"/>
      <c r="R196" s="646"/>
      <c r="S196" s="646"/>
      <c r="T196" s="646"/>
      <c r="U196" s="646"/>
      <c r="V196" s="646"/>
      <c r="W196" s="646"/>
      <c r="X196" s="646"/>
      <c r="Y196" s="646"/>
      <c r="Z196" s="646"/>
      <c r="AA196" s="646"/>
      <c r="AB196" s="646"/>
      <c r="AC196" s="646"/>
      <c r="AD196" s="646"/>
      <c r="AE196" s="646"/>
      <c r="AF196" s="646"/>
      <c r="AG196" s="646"/>
      <c r="AH196" s="646"/>
      <c r="AI196" s="646"/>
      <c r="AJ196" s="646"/>
      <c r="AK196" s="646"/>
      <c r="AL196" s="646"/>
      <c r="AM196" s="646"/>
      <c r="AN196" s="646"/>
      <c r="AO196" s="652"/>
      <c r="AP196" s="646"/>
      <c r="AQ196" s="646"/>
      <c r="AR196" s="648"/>
      <c r="AS196" s="646"/>
      <c r="AT196" s="646"/>
      <c r="AU196" s="646"/>
      <c r="AV196" s="646"/>
      <c r="AW196" s="646"/>
      <c r="AX196" s="643"/>
      <c r="AY196" s="652"/>
      <c r="AZ196" s="646"/>
      <c r="BA196" s="646"/>
      <c r="BB196" s="646"/>
      <c r="BC196" s="643"/>
      <c r="BD196" s="646"/>
      <c r="BE196" s="646"/>
      <c r="BF196" s="646"/>
      <c r="BG196" s="646"/>
      <c r="BH196" s="646"/>
      <c r="BI196" s="646">
        <v>53</v>
      </c>
      <c r="BJ196" s="646">
        <v>53</v>
      </c>
      <c r="BK196" s="646"/>
      <c r="BL196" s="646"/>
      <c r="BM196" s="643"/>
      <c r="BN196" s="647"/>
      <c r="BO196" s="648"/>
      <c r="BP196" s="643"/>
      <c r="BQ196" s="649" t="str">
        <f>IFERROR(WWWW[[#This Row],['#_Water sources treated]]/WWWW[[#This Row],['#_Water sources tested for contamination]],"no test")</f>
        <v>no test</v>
      </c>
      <c r="BR196" s="648" t="str">
        <f>IFERROR(WWWW[[#This Row],['#_Household received remediation action due to contamination]]/WWWW[[#This Row],['#_Household water samples tested for contamination]],"no test")</f>
        <v>no test</v>
      </c>
      <c r="BS196" s="647" t="str">
        <f>IF(AND(WWWW[[#This Row],[% of water sources treated]]="no test",WWWW[[#This Row],[% Household received corrective actions]]="no test"),"No Test","Tested")</f>
        <v>No Test</v>
      </c>
      <c r="BT196" s="647">
        <f>WWWW[[#This Row],['#_Constructed/existing protected hand dug well]]-WWWW[[#This Row],['#_Non-functional protected hand dug well]]</f>
        <v>0</v>
      </c>
      <c r="BU196" s="647">
        <f>(WWWW[[#This Row],['#_Constructed/Existing tube wells/boreholes/handpumps_WASH_agency]]+WWWW[[#This Row],['#_Non-Cluster partner water tube-wells/boreholes/handpumps]])-WWWW[[#This Row],['#_Non-functional tube wells/boreholes/handpumps]]</f>
        <v>0</v>
      </c>
      <c r="BV196" s="647">
        <f>WWWW[[#This Row],['#_Constructed/Existingwater storage tank with gravity fed reticulation system]]-WWWW[[#This Row],['#_Non-functional storage tank gravity fed reticulation system]]</f>
        <v>0</v>
      </c>
      <c r="BW196" s="647">
        <f>WWWW[[#This Row],['#_Water boating or water trucking]]</f>
        <v>0</v>
      </c>
      <c r="BX196" s="647">
        <f>WWWW[[#This Row],['#_Constructed/Existing water distribution system from river or natural spring]]</f>
        <v>0</v>
      </c>
      <c r="BY196"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96"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96" s="648">
        <f>IF(WWWW[[#This Row],[Location Type 1]]="Village",WWWW[[#This Row],[Access to safe drinking water for Village]],WWWW[[#This Row],[Access to safe drinking water for Camp]])</f>
        <v>0</v>
      </c>
      <c r="CB196" s="645">
        <f>WWWW[[#This Row],[%Equitable and continuous access to sufficient quantity of safe drinking water]]*WWWW[[#This Row],[Total PoP ]]</f>
        <v>0</v>
      </c>
      <c r="CC196" s="648">
        <f>IF((WWWW[[#This Row],['#_Constructed/Existing protected/fenced ponds]]*250)/WWWW[[#This Row],[Total PoP ]]&gt;1,1,(WWWW[[#This Row],['#_Constructed/Existing protected/fenced ponds]]*250)/WWWW[[#This Row],[Total PoP ]])</f>
        <v>0</v>
      </c>
      <c r="CD196" s="645">
        <f>WWWW[[#This Row],[% Access to unimproved water points]]*WWWW[[#This Row],[Total PoP ]]</f>
        <v>0</v>
      </c>
      <c r="CE196"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96"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96" s="645">
        <f>WWWW[[#This Row],[HRP1]]/500</f>
        <v>0</v>
      </c>
      <c r="CH196" s="650">
        <f>1-WWWW[[#This Row],[% Equitable and continuous access to sufficient quantity of domestic water]]</f>
        <v>1</v>
      </c>
      <c r="CI196" s="645">
        <f>WWWW[[#This Row],[%equitable and continuous access to sufficient quantity of safe drinking and domestic water''s GAP]]*WWWW[[#This Row],[Total PoP ]]</f>
        <v>263</v>
      </c>
      <c r="CJ196" s="647">
        <f>IF(WWWW[[#This Row],[Total required water points]]-WWWW[[#This Row],['#Water points coverage]]&lt;0,0,WWWW[[#This Row],[Total required water points]]-WWWW[[#This Row],['#Water points coverage]])</f>
        <v>1</v>
      </c>
      <c r="CK196" s="647">
        <f>ROUND(IF(WWWW[[#This Row],[Total PoP ]]&lt;500,1,WWWW[[#This Row],[Total PoP ]]/500),0)</f>
        <v>1</v>
      </c>
      <c r="CL196" s="647">
        <f>(WWWW[[#This Row],['#_Constructed latrines_by_WASHAgencies]]+WWWW[[#This Row],['#_Non Cluster partner latrines]])-WWWW[[#This Row],['#_Non-functional latrines]]</f>
        <v>0</v>
      </c>
      <c r="CM196"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96"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96"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96" s="647" t="str">
        <f>IF(WWWW[[#This Row],[Location Type 1]]="Village","NA",IF(WWWW[[#This Row],['#_Constructed/Existing latrines in TLS]]*50&gt;WWWW[[#This Row],['#_students at TLS_CFS]],WWWW[[#This Row],['#_students at TLS_CFS]],(WWWW[[#This Row],['#_Constructed/Existing latrines in TLS]]*50)))</f>
        <v>NA</v>
      </c>
      <c r="CQ196" s="647">
        <f>ROUND(IF(WWWW[[#This Row],[Location Type 1]]="camp",WWWW[[#This Row],[Total PoP ]]/20,IF(WWWW[[#This Row],[Location Type 1]]="Temporary Location",WWWW[[#This Row],[Total PoP ]]/50,(WWWW[[#This Row],[Total PoP ]]/6))),0)</f>
        <v>44</v>
      </c>
      <c r="CR196" s="647">
        <f>IF(WWWW[[#This Row],[Total required Latrines]]-(WWWW[[#This Row],['#_Constructed latrines_by_WASHAgencies]]+WWWW[[#This Row],['#_Non Cluster partner latrines]])&lt;0,0,WWWW[[#This Row],[Total required Latrines]]-(WWWW[[#This Row],['#_Constructed latrines_by_WASHAgencies]]+WWWW[[#This Row],['#_Non Cluster partner latrines]]))</f>
        <v>44</v>
      </c>
      <c r="CS196" s="79">
        <f>1-WWWW[[#This Row],[% people access to functioning Latrine]]</f>
        <v>1</v>
      </c>
      <c r="CT196" s="649">
        <f>IF(OR(WWWW[[#This Row],['#_Non-functional latrines]]="",WWWW[[#This Row],['#_Non-functional latrines]]=0),0,WWWW[[#This Row],['#_Non-functional latrines]]/(WWWW[[#This Row],['#_Constructed latrines_by_WASHAgencies]]+WWWW[[#This Row],['#_Non Cluster partner latrines]]))</f>
        <v>0</v>
      </c>
      <c r="CU196" s="645">
        <f>IF(500*(WWWW[[#This Row],['#_male hygiene promoters]]+WWWW[[#This Row],['#_female hygiene promoters]])&gt;WWWW[[#This Row],[Total PoP ]],WWWW[[#This Row],[Total PoP ]],500*(WWWW[[#This Row],['#_male hygiene promoters]]+WWWW[[#This Row],['#_female hygiene promoters]]))</f>
        <v>263</v>
      </c>
      <c r="CV196"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96"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96" s="647">
        <f>IF(WWWW[[#This Row],['# People with access to soap]]&gt;WWWW[[#This Row],['# People with access to Sanity Pads]],WWWW[[#This Row],['# People with access to soap]],WWWW[[#This Row],['# People with access to Sanity Pads]])</f>
        <v>0</v>
      </c>
      <c r="CY196" s="647">
        <f>IF(WWWW[[#This Row],['# people reached by regular dedicated hygiene promotion_5]]&gt;WWWW[[#This Row],['# People received regular supply of hygiene items_6]],WWWW[[#This Row],['# people reached by regular dedicated hygiene promotion_5]],WWWW[[#This Row],['# People received regular supply of hygiene items_6]])</f>
        <v>263</v>
      </c>
      <c r="CZ196" s="650">
        <f>IF(WWWW[[#This Row],[HRP3]]/WWWW[[#This Row],[Total PoP ]]&gt;100%,100%,WWWW[[#This Row],[HRP3]]/WWWW[[#This Row],[Total PoP ]])</f>
        <v>1</v>
      </c>
      <c r="DA196" s="649">
        <f>1-WWWW[[#This Row],[Hygiene Coverage%]]</f>
        <v>0</v>
      </c>
      <c r="DB196" s="648">
        <f>WWWW[[#This Row],['# people reached by regular dedicated hygiene promotion_5]]/WWWW[[#This Row],[Total PoP ]]</f>
        <v>1</v>
      </c>
      <c r="DC196" s="648">
        <f>IF(WWWW[[#This Row],['#_households that received standard amount of soap for this quarter]]/WWWW[[#This Row],[Total HH]]&gt;1,1,WWWW[[#This Row],['#_households that received standard amount of soap for this quarter]]/WWWW[[#This Row],[Total HH]])</f>
        <v>0</v>
      </c>
      <c r="DD196" s="648">
        <f>IF(WWWW[[#This Row],['#_households that received standard amount of sanitary pads for this quarter]]/WWWW[[#This Row],[Total HH]]&gt;1,1,WWWW[[#This Row],['#_households that received standard amount of sanitary pads for this quarter]]/WWWW[[#This Row],[Total HH]])</f>
        <v>0</v>
      </c>
      <c r="DE196" s="647">
        <f>WWWW[[#This Row],['#_Constructed/Existing hand washing stations]]-WWWW[[#This Row],['#_Non-Functional_hand_washing_stations]]</f>
        <v>0</v>
      </c>
      <c r="DF196" s="667">
        <f>IF(WWWW[[#This Row],['# Functional hand washing stations during reporting period]]*20&gt;WWWW[[#This Row],[Total HH]],WWWW[[#This Row],[Total HH]],WWWW[[#This Row],['# Functional hand washing stations during reporting period]]*20)</f>
        <v>0</v>
      </c>
      <c r="DG196" s="645">
        <f>IF(WWWW[[#This Row],[Is sufficient soap available for TLS? (Yes/No)]]="yes",WWWW[[#This Row],['#_Constructed/Existing hand washing stations at TLS]],0)</f>
        <v>0</v>
      </c>
      <c r="DH196" s="645">
        <f>IF(WWWW[[#This Row],['# Functional hand washing stations during reporting period]]*100&gt;WWWW[[#This Row],[Total PoP ]],WWWW[[#This Row],[Total PoP ]],WWWW[[#This Row],['# Functional hand washing stations during reporting period]]*100)</f>
        <v>0</v>
      </c>
      <c r="DI196" s="645" t="str">
        <f>IF(WWWW[[#This Row],['#_students at TLS_CFS]]="","No","Yes")</f>
        <v>No</v>
      </c>
      <c r="DJ196" s="643">
        <f>VLOOKUP(WWWW[[#This Row],[Site Name]],SiteDB6[[Site Name]:[CCCM Management]],6,FALSE)</f>
        <v>0</v>
      </c>
      <c r="DK196" s="643">
        <f>VLOOKUP(WWWW[[#This Row],[Site Name]],SiteDB6[[Site Name]:[CCCM Focal Agency]],7,FALSE)</f>
        <v>0</v>
      </c>
      <c r="DL196" s="643" t="str">
        <f>VLOOKUP(WWWW[[#This Row],[Site Name]],SiteDB6[[Site Name]:[Location Type 1]],9,FALSE)</f>
        <v>Village</v>
      </c>
      <c r="DM196" s="643" t="str">
        <f>VLOOKUP(WWWW[[#This Row],[Site Name]],SiteDB6[[Site Name]:[Type of Accommodation]],10,FALSE)</f>
        <v>Village</v>
      </c>
      <c r="DN196" s="643" t="str">
        <f>VLOOKUP(WWWW[[#This Row],[Site Name]],SiteDB6[[Site Name]:[Ethnic or GCA/NGCA]],11,FALSE)</f>
        <v>Rakhine</v>
      </c>
      <c r="DO196" s="643">
        <f>VLOOKUP(WWWW[[#This Row],[Site Name]],SiteDB6[[Site Name]:[Lat]],12,FALSE)</f>
        <v>0</v>
      </c>
      <c r="DP196" s="643">
        <f>VLOOKUP(WWWW[[#This Row],[Site Name]],SiteDB6[[Site Name]:[Long]],13,FALSE)</f>
        <v>0</v>
      </c>
      <c r="DQ196" s="643">
        <f>VLOOKUP(WWWW[[#This Row],[Site Name]],SiteDB6[[Site Name]:[Pcode]],3,FALSE)</f>
        <v>220736</v>
      </c>
      <c r="DR196" s="652" t="str">
        <f t="shared" si="6"/>
        <v>Covered</v>
      </c>
      <c r="DS196" s="652"/>
    </row>
    <row r="197" spans="1:123">
      <c r="A197" s="637" t="s">
        <v>2525</v>
      </c>
      <c r="B197" s="637" t="s">
        <v>2802</v>
      </c>
      <c r="C197" s="644" t="s">
        <v>387</v>
      </c>
      <c r="D197" s="644" t="s">
        <v>2803</v>
      </c>
      <c r="E197" s="663" t="s">
        <v>3013</v>
      </c>
      <c r="F197" s="644" t="s">
        <v>323</v>
      </c>
      <c r="G197" s="663" t="str">
        <f>VLOOKUP(WWWW[[#This Row],[Site Name]],SiteDB6[[Site Name]:[Location Type]],8,FALSE)</f>
        <v>Village</v>
      </c>
      <c r="H197" s="644" t="s">
        <v>2124</v>
      </c>
      <c r="I197" s="646">
        <v>86</v>
      </c>
      <c r="J197" s="646">
        <v>401</v>
      </c>
      <c r="K197" s="653">
        <v>43480</v>
      </c>
      <c r="L197" s="654">
        <v>43723</v>
      </c>
      <c r="M197" s="646"/>
      <c r="N197" s="646"/>
      <c r="O197" s="646"/>
      <c r="P197" s="646"/>
      <c r="Q197" s="645"/>
      <c r="R197" s="646"/>
      <c r="S197" s="646"/>
      <c r="T197" s="646"/>
      <c r="U197" s="646"/>
      <c r="V197" s="646"/>
      <c r="W197" s="646"/>
      <c r="X197" s="646"/>
      <c r="Y197" s="646"/>
      <c r="Z197" s="646"/>
      <c r="AA197" s="646"/>
      <c r="AB197" s="646"/>
      <c r="AC197" s="646"/>
      <c r="AD197" s="646"/>
      <c r="AE197" s="646"/>
      <c r="AF197" s="646"/>
      <c r="AG197" s="646"/>
      <c r="AH197" s="646"/>
      <c r="AI197" s="646"/>
      <c r="AJ197" s="646"/>
      <c r="AK197" s="646"/>
      <c r="AL197" s="646"/>
      <c r="AM197" s="646"/>
      <c r="AN197" s="646"/>
      <c r="AO197" s="652"/>
      <c r="AP197" s="646"/>
      <c r="AQ197" s="646"/>
      <c r="AR197" s="648"/>
      <c r="AS197" s="646"/>
      <c r="AT197" s="646"/>
      <c r="AU197" s="646"/>
      <c r="AV197" s="646"/>
      <c r="AW197" s="646"/>
      <c r="AX197" s="643"/>
      <c r="AY197" s="652"/>
      <c r="AZ197" s="646"/>
      <c r="BA197" s="646"/>
      <c r="BB197" s="646"/>
      <c r="BC197" s="643"/>
      <c r="BD197" s="646"/>
      <c r="BE197" s="646"/>
      <c r="BF197" s="646"/>
      <c r="BG197" s="646"/>
      <c r="BH197" s="646"/>
      <c r="BI197" s="646">
        <v>86</v>
      </c>
      <c r="BJ197" s="646">
        <v>86</v>
      </c>
      <c r="BK197" s="646"/>
      <c r="BL197" s="646"/>
      <c r="BM197" s="643"/>
      <c r="BN197" s="647"/>
      <c r="BO197" s="648"/>
      <c r="BP197" s="643"/>
      <c r="BQ197" s="649" t="str">
        <f>IFERROR(WWWW[[#This Row],['#_Water sources treated]]/WWWW[[#This Row],['#_Water sources tested for contamination]],"no test")</f>
        <v>no test</v>
      </c>
      <c r="BR197" s="648" t="str">
        <f>IFERROR(WWWW[[#This Row],['#_Household received remediation action due to contamination]]/WWWW[[#This Row],['#_Household water samples tested for contamination]],"no test")</f>
        <v>no test</v>
      </c>
      <c r="BS197" s="647" t="str">
        <f>IF(AND(WWWW[[#This Row],[% of water sources treated]]="no test",WWWW[[#This Row],[% Household received corrective actions]]="no test"),"No Test","Tested")</f>
        <v>No Test</v>
      </c>
      <c r="BT197" s="647">
        <f>WWWW[[#This Row],['#_Constructed/existing protected hand dug well]]-WWWW[[#This Row],['#_Non-functional protected hand dug well]]</f>
        <v>0</v>
      </c>
      <c r="BU197" s="647">
        <f>(WWWW[[#This Row],['#_Constructed/Existing tube wells/boreholes/handpumps_WASH_agency]]+WWWW[[#This Row],['#_Non-Cluster partner water tube-wells/boreholes/handpumps]])-WWWW[[#This Row],['#_Non-functional tube wells/boreholes/handpumps]]</f>
        <v>0</v>
      </c>
      <c r="BV197" s="647">
        <f>WWWW[[#This Row],['#_Constructed/Existingwater storage tank with gravity fed reticulation system]]-WWWW[[#This Row],['#_Non-functional storage tank gravity fed reticulation system]]</f>
        <v>0</v>
      </c>
      <c r="BW197" s="647">
        <f>WWWW[[#This Row],['#_Water boating or water trucking]]</f>
        <v>0</v>
      </c>
      <c r="BX197" s="647">
        <f>WWWW[[#This Row],['#_Constructed/Existing water distribution system from river or natural spring]]</f>
        <v>0</v>
      </c>
      <c r="BY197"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97"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97" s="648">
        <f>IF(WWWW[[#This Row],[Location Type 1]]="Village",WWWW[[#This Row],[Access to safe drinking water for Village]],WWWW[[#This Row],[Access to safe drinking water for Camp]])</f>
        <v>0</v>
      </c>
      <c r="CB197" s="645">
        <f>WWWW[[#This Row],[%Equitable and continuous access to sufficient quantity of safe drinking water]]*WWWW[[#This Row],[Total PoP ]]</f>
        <v>0</v>
      </c>
      <c r="CC197" s="648">
        <f>IF((WWWW[[#This Row],['#_Constructed/Existing protected/fenced ponds]]*250)/WWWW[[#This Row],[Total PoP ]]&gt;1,1,(WWWW[[#This Row],['#_Constructed/Existing protected/fenced ponds]]*250)/WWWW[[#This Row],[Total PoP ]])</f>
        <v>0</v>
      </c>
      <c r="CD197" s="645">
        <f>WWWW[[#This Row],[% Access to unimproved water points]]*WWWW[[#This Row],[Total PoP ]]</f>
        <v>0</v>
      </c>
      <c r="CE197"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97"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97" s="645">
        <f>WWWW[[#This Row],[HRP1]]/500</f>
        <v>0</v>
      </c>
      <c r="CH197" s="650">
        <f>1-WWWW[[#This Row],[% Equitable and continuous access to sufficient quantity of domestic water]]</f>
        <v>1</v>
      </c>
      <c r="CI197" s="645">
        <f>WWWW[[#This Row],[%equitable and continuous access to sufficient quantity of safe drinking and domestic water''s GAP]]*WWWW[[#This Row],[Total PoP ]]</f>
        <v>401</v>
      </c>
      <c r="CJ197" s="647">
        <f>IF(WWWW[[#This Row],[Total required water points]]-WWWW[[#This Row],['#Water points coverage]]&lt;0,0,WWWW[[#This Row],[Total required water points]]-WWWW[[#This Row],['#Water points coverage]])</f>
        <v>1</v>
      </c>
      <c r="CK197" s="647">
        <f>ROUND(IF(WWWW[[#This Row],[Total PoP ]]&lt;500,1,WWWW[[#This Row],[Total PoP ]]/500),0)</f>
        <v>1</v>
      </c>
      <c r="CL197" s="647">
        <f>(WWWW[[#This Row],['#_Constructed latrines_by_WASHAgencies]]+WWWW[[#This Row],['#_Non Cluster partner latrines]])-WWWW[[#This Row],['#_Non-functional latrines]]</f>
        <v>0</v>
      </c>
      <c r="CM197"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97"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97"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97" s="647" t="str">
        <f>IF(WWWW[[#This Row],[Location Type 1]]="Village","NA",IF(WWWW[[#This Row],['#_Constructed/Existing latrines in TLS]]*50&gt;WWWW[[#This Row],['#_students at TLS_CFS]],WWWW[[#This Row],['#_students at TLS_CFS]],(WWWW[[#This Row],['#_Constructed/Existing latrines in TLS]]*50)))</f>
        <v>NA</v>
      </c>
      <c r="CQ197" s="647">
        <f>ROUND(IF(WWWW[[#This Row],[Location Type 1]]="camp",WWWW[[#This Row],[Total PoP ]]/20,IF(WWWW[[#This Row],[Location Type 1]]="Temporary Location",WWWW[[#This Row],[Total PoP ]]/50,(WWWW[[#This Row],[Total PoP ]]/6))),0)</f>
        <v>67</v>
      </c>
      <c r="CR197" s="647">
        <f>IF(WWWW[[#This Row],[Total required Latrines]]-(WWWW[[#This Row],['#_Constructed latrines_by_WASHAgencies]]+WWWW[[#This Row],['#_Non Cluster partner latrines]])&lt;0,0,WWWW[[#This Row],[Total required Latrines]]-(WWWW[[#This Row],['#_Constructed latrines_by_WASHAgencies]]+WWWW[[#This Row],['#_Non Cluster partner latrines]]))</f>
        <v>67</v>
      </c>
      <c r="CS197" s="79">
        <f>1-WWWW[[#This Row],[% people access to functioning Latrine]]</f>
        <v>1</v>
      </c>
      <c r="CT197" s="649">
        <f>IF(OR(WWWW[[#This Row],['#_Non-functional latrines]]="",WWWW[[#This Row],['#_Non-functional latrines]]=0),0,WWWW[[#This Row],['#_Non-functional latrines]]/(WWWW[[#This Row],['#_Constructed latrines_by_WASHAgencies]]+WWWW[[#This Row],['#_Non Cluster partner latrines]]))</f>
        <v>0</v>
      </c>
      <c r="CU197" s="645">
        <f>IF(500*(WWWW[[#This Row],['#_male hygiene promoters]]+WWWW[[#This Row],['#_female hygiene promoters]])&gt;WWWW[[#This Row],[Total PoP ]],WWWW[[#This Row],[Total PoP ]],500*(WWWW[[#This Row],['#_male hygiene promoters]]+WWWW[[#This Row],['#_female hygiene promoters]]))</f>
        <v>401</v>
      </c>
      <c r="CV197"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97"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97" s="647">
        <f>IF(WWWW[[#This Row],['# People with access to soap]]&gt;WWWW[[#This Row],['# People with access to Sanity Pads]],WWWW[[#This Row],['# People with access to soap]],WWWW[[#This Row],['# People with access to Sanity Pads]])</f>
        <v>0</v>
      </c>
      <c r="CY197" s="647">
        <f>IF(WWWW[[#This Row],['# people reached by regular dedicated hygiene promotion_5]]&gt;WWWW[[#This Row],['# People received regular supply of hygiene items_6]],WWWW[[#This Row],['# people reached by regular dedicated hygiene promotion_5]],WWWW[[#This Row],['# People received regular supply of hygiene items_6]])</f>
        <v>401</v>
      </c>
      <c r="CZ197" s="650">
        <f>IF(WWWW[[#This Row],[HRP3]]/WWWW[[#This Row],[Total PoP ]]&gt;100%,100%,WWWW[[#This Row],[HRP3]]/WWWW[[#This Row],[Total PoP ]])</f>
        <v>1</v>
      </c>
      <c r="DA197" s="649">
        <f>1-WWWW[[#This Row],[Hygiene Coverage%]]</f>
        <v>0</v>
      </c>
      <c r="DB197" s="648">
        <f>WWWW[[#This Row],['# people reached by regular dedicated hygiene promotion_5]]/WWWW[[#This Row],[Total PoP ]]</f>
        <v>1</v>
      </c>
      <c r="DC197" s="648">
        <f>IF(WWWW[[#This Row],['#_households that received standard amount of soap for this quarter]]/WWWW[[#This Row],[Total HH]]&gt;1,1,WWWW[[#This Row],['#_households that received standard amount of soap for this quarter]]/WWWW[[#This Row],[Total HH]])</f>
        <v>0</v>
      </c>
      <c r="DD197" s="648">
        <f>IF(WWWW[[#This Row],['#_households that received standard amount of sanitary pads for this quarter]]/WWWW[[#This Row],[Total HH]]&gt;1,1,WWWW[[#This Row],['#_households that received standard amount of sanitary pads for this quarter]]/WWWW[[#This Row],[Total HH]])</f>
        <v>0</v>
      </c>
      <c r="DE197" s="647">
        <f>WWWW[[#This Row],['#_Constructed/Existing hand washing stations]]-WWWW[[#This Row],['#_Non-Functional_hand_washing_stations]]</f>
        <v>0</v>
      </c>
      <c r="DF197" s="667">
        <f>IF(WWWW[[#This Row],['# Functional hand washing stations during reporting period]]*20&gt;WWWW[[#This Row],[Total HH]],WWWW[[#This Row],[Total HH]],WWWW[[#This Row],['# Functional hand washing stations during reporting period]]*20)</f>
        <v>0</v>
      </c>
      <c r="DG197" s="645">
        <f>IF(WWWW[[#This Row],[Is sufficient soap available for TLS? (Yes/No)]]="yes",WWWW[[#This Row],['#_Constructed/Existing hand washing stations at TLS]],0)</f>
        <v>0</v>
      </c>
      <c r="DH197" s="645">
        <f>IF(WWWW[[#This Row],['# Functional hand washing stations during reporting period]]*100&gt;WWWW[[#This Row],[Total PoP ]],WWWW[[#This Row],[Total PoP ]],WWWW[[#This Row],['# Functional hand washing stations during reporting period]]*100)</f>
        <v>0</v>
      </c>
      <c r="DI197" s="645" t="str">
        <f>IF(WWWW[[#This Row],['#_students at TLS_CFS]]="","No","Yes")</f>
        <v>No</v>
      </c>
      <c r="DJ197" s="643">
        <f>VLOOKUP(WWWW[[#This Row],[Site Name]],SiteDB6[[Site Name]:[CCCM Management]],6,FALSE)</f>
        <v>0</v>
      </c>
      <c r="DK197" s="643">
        <f>VLOOKUP(WWWW[[#This Row],[Site Name]],SiteDB6[[Site Name]:[CCCM Focal Agency]],7,FALSE)</f>
        <v>0</v>
      </c>
      <c r="DL197" s="643" t="str">
        <f>VLOOKUP(WWWW[[#This Row],[Site Name]],SiteDB6[[Site Name]:[Location Type 1]],9,FALSE)</f>
        <v>Village</v>
      </c>
      <c r="DM197" s="643" t="str">
        <f>VLOOKUP(WWWW[[#This Row],[Site Name]],SiteDB6[[Site Name]:[Type of Accommodation]],10,FALSE)</f>
        <v>Village</v>
      </c>
      <c r="DN197" s="643" t="str">
        <f>VLOOKUP(WWWW[[#This Row],[Site Name]],SiteDB6[[Site Name]:[Ethnic or GCA/NGCA]],11,FALSE)</f>
        <v>Rakhine</v>
      </c>
      <c r="DO197" s="643">
        <f>VLOOKUP(WWWW[[#This Row],[Site Name]],SiteDB6[[Site Name]:[Lat]],12,FALSE)</f>
        <v>20.806211470000001</v>
      </c>
      <c r="DP197" s="643">
        <f>VLOOKUP(WWWW[[#This Row],[Site Name]],SiteDB6[[Site Name]:[Long]],13,FALSE)</f>
        <v>92.404357910000002</v>
      </c>
      <c r="DQ197" s="643">
        <f>VLOOKUP(WWWW[[#This Row],[Site Name]],SiteDB6[[Site Name]:[Pcode]],3,FALSE)</f>
        <v>220737</v>
      </c>
      <c r="DR197" s="652" t="str">
        <f t="shared" ref="DR197:DR228" si="7">IF(C197="none","Notcovered","Covered")</f>
        <v>Covered</v>
      </c>
      <c r="DS197" s="652"/>
    </row>
    <row r="198" spans="1:123">
      <c r="A198" s="637" t="s">
        <v>2525</v>
      </c>
      <c r="B198" s="637" t="s">
        <v>2802</v>
      </c>
      <c r="C198" s="644" t="s">
        <v>387</v>
      </c>
      <c r="D198" s="644" t="s">
        <v>2803</v>
      </c>
      <c r="E198" s="663" t="s">
        <v>3013</v>
      </c>
      <c r="F198" s="644" t="s">
        <v>323</v>
      </c>
      <c r="G198" s="663" t="str">
        <f>VLOOKUP(WWWW[[#This Row],[Site Name]],SiteDB6[[Site Name]:[Location Type]],8,FALSE)</f>
        <v>Village</v>
      </c>
      <c r="H198" s="644" t="s">
        <v>2823</v>
      </c>
      <c r="I198" s="646">
        <v>275</v>
      </c>
      <c r="J198" s="646">
        <v>1698</v>
      </c>
      <c r="K198" s="653">
        <v>43480</v>
      </c>
      <c r="L198" s="654">
        <v>43723</v>
      </c>
      <c r="M198" s="646"/>
      <c r="N198" s="646"/>
      <c r="O198" s="646"/>
      <c r="P198" s="646"/>
      <c r="Q198" s="645"/>
      <c r="R198" s="646"/>
      <c r="S198" s="646"/>
      <c r="T198" s="646"/>
      <c r="U198" s="646"/>
      <c r="V198" s="646"/>
      <c r="W198" s="646"/>
      <c r="X198" s="646"/>
      <c r="Y198" s="646"/>
      <c r="Z198" s="646"/>
      <c r="AA198" s="646"/>
      <c r="AB198" s="646"/>
      <c r="AC198" s="646"/>
      <c r="AD198" s="646"/>
      <c r="AE198" s="646"/>
      <c r="AF198" s="646"/>
      <c r="AG198" s="646"/>
      <c r="AH198" s="646"/>
      <c r="AI198" s="646"/>
      <c r="AJ198" s="646"/>
      <c r="AK198" s="646"/>
      <c r="AL198" s="646"/>
      <c r="AM198" s="646"/>
      <c r="AN198" s="646"/>
      <c r="AO198" s="652"/>
      <c r="AP198" s="646"/>
      <c r="AQ198" s="646"/>
      <c r="AR198" s="648"/>
      <c r="AS198" s="646"/>
      <c r="AT198" s="646"/>
      <c r="AU198" s="646"/>
      <c r="AV198" s="646"/>
      <c r="AW198" s="646"/>
      <c r="AX198" s="643"/>
      <c r="AY198" s="652"/>
      <c r="AZ198" s="646"/>
      <c r="BA198" s="646"/>
      <c r="BB198" s="646"/>
      <c r="BC198" s="643"/>
      <c r="BD198" s="646"/>
      <c r="BE198" s="646"/>
      <c r="BF198" s="646"/>
      <c r="BG198" s="646"/>
      <c r="BH198" s="646"/>
      <c r="BI198" s="646">
        <v>275</v>
      </c>
      <c r="BJ198" s="646">
        <v>275</v>
      </c>
      <c r="BK198" s="646"/>
      <c r="BL198" s="646"/>
      <c r="BM198" s="643"/>
      <c r="BN198" s="647"/>
      <c r="BO198" s="648"/>
      <c r="BP198" s="643"/>
      <c r="BQ198" s="649" t="str">
        <f>IFERROR(WWWW[[#This Row],['#_Water sources treated]]/WWWW[[#This Row],['#_Water sources tested for contamination]],"no test")</f>
        <v>no test</v>
      </c>
      <c r="BR198" s="648" t="str">
        <f>IFERROR(WWWW[[#This Row],['#_Household received remediation action due to contamination]]/WWWW[[#This Row],['#_Household water samples tested for contamination]],"no test")</f>
        <v>no test</v>
      </c>
      <c r="BS198" s="647" t="str">
        <f>IF(AND(WWWW[[#This Row],[% of water sources treated]]="no test",WWWW[[#This Row],[% Household received corrective actions]]="no test"),"No Test","Tested")</f>
        <v>No Test</v>
      </c>
      <c r="BT198" s="647">
        <f>WWWW[[#This Row],['#_Constructed/existing protected hand dug well]]-WWWW[[#This Row],['#_Non-functional protected hand dug well]]</f>
        <v>0</v>
      </c>
      <c r="BU198" s="647">
        <f>(WWWW[[#This Row],['#_Constructed/Existing tube wells/boreholes/handpumps_WASH_agency]]+WWWW[[#This Row],['#_Non-Cluster partner water tube-wells/boreholes/handpumps]])-WWWW[[#This Row],['#_Non-functional tube wells/boreholes/handpumps]]</f>
        <v>0</v>
      </c>
      <c r="BV198" s="647">
        <f>WWWW[[#This Row],['#_Constructed/Existingwater storage tank with gravity fed reticulation system]]-WWWW[[#This Row],['#_Non-functional storage tank gravity fed reticulation system]]</f>
        <v>0</v>
      </c>
      <c r="BW198" s="647">
        <f>WWWW[[#This Row],['#_Water boating or water trucking]]</f>
        <v>0</v>
      </c>
      <c r="BX198" s="647">
        <f>WWWW[[#This Row],['#_Constructed/Existing water distribution system from river or natural spring]]</f>
        <v>0</v>
      </c>
      <c r="BY198"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98"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98" s="648">
        <f>IF(WWWW[[#This Row],[Location Type 1]]="Village",WWWW[[#This Row],[Access to safe drinking water for Village]],WWWW[[#This Row],[Access to safe drinking water for Camp]])</f>
        <v>0</v>
      </c>
      <c r="CB198" s="645">
        <f>WWWW[[#This Row],[%Equitable and continuous access to sufficient quantity of safe drinking water]]*WWWW[[#This Row],[Total PoP ]]</f>
        <v>0</v>
      </c>
      <c r="CC198" s="648">
        <f>IF((WWWW[[#This Row],['#_Constructed/Existing protected/fenced ponds]]*250)/WWWW[[#This Row],[Total PoP ]]&gt;1,1,(WWWW[[#This Row],['#_Constructed/Existing protected/fenced ponds]]*250)/WWWW[[#This Row],[Total PoP ]])</f>
        <v>0</v>
      </c>
      <c r="CD198" s="645">
        <f>WWWW[[#This Row],[% Access to unimproved water points]]*WWWW[[#This Row],[Total PoP ]]</f>
        <v>0</v>
      </c>
      <c r="CE198"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98"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98" s="645">
        <f>WWWW[[#This Row],[HRP1]]/500</f>
        <v>0</v>
      </c>
      <c r="CH198" s="650">
        <f>1-WWWW[[#This Row],[% Equitable and continuous access to sufficient quantity of domestic water]]</f>
        <v>1</v>
      </c>
      <c r="CI198" s="645">
        <f>WWWW[[#This Row],[%equitable and continuous access to sufficient quantity of safe drinking and domestic water''s GAP]]*WWWW[[#This Row],[Total PoP ]]</f>
        <v>1698</v>
      </c>
      <c r="CJ198" s="647">
        <f>IF(WWWW[[#This Row],[Total required water points]]-WWWW[[#This Row],['#Water points coverage]]&lt;0,0,WWWW[[#This Row],[Total required water points]]-WWWW[[#This Row],['#Water points coverage]])</f>
        <v>3</v>
      </c>
      <c r="CK198" s="647">
        <f>ROUND(IF(WWWW[[#This Row],[Total PoP ]]&lt;500,1,WWWW[[#This Row],[Total PoP ]]/500),0)</f>
        <v>3</v>
      </c>
      <c r="CL198" s="647">
        <f>(WWWW[[#This Row],['#_Constructed latrines_by_WASHAgencies]]+WWWW[[#This Row],['#_Non Cluster partner latrines]])-WWWW[[#This Row],['#_Non-functional latrines]]</f>
        <v>0</v>
      </c>
      <c r="CM198"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98"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98"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98" s="647" t="str">
        <f>IF(WWWW[[#This Row],[Location Type 1]]="Village","NA",IF(WWWW[[#This Row],['#_Constructed/Existing latrines in TLS]]*50&gt;WWWW[[#This Row],['#_students at TLS_CFS]],WWWW[[#This Row],['#_students at TLS_CFS]],(WWWW[[#This Row],['#_Constructed/Existing latrines in TLS]]*50)))</f>
        <v>NA</v>
      </c>
      <c r="CQ198" s="647">
        <f>ROUND(IF(WWWW[[#This Row],[Location Type 1]]="camp",WWWW[[#This Row],[Total PoP ]]/20,IF(WWWW[[#This Row],[Location Type 1]]="Temporary Location",WWWW[[#This Row],[Total PoP ]]/50,(WWWW[[#This Row],[Total PoP ]]/6))),0)</f>
        <v>283</v>
      </c>
      <c r="CR198" s="647">
        <f>IF(WWWW[[#This Row],[Total required Latrines]]-(WWWW[[#This Row],['#_Constructed latrines_by_WASHAgencies]]+WWWW[[#This Row],['#_Non Cluster partner latrines]])&lt;0,0,WWWW[[#This Row],[Total required Latrines]]-(WWWW[[#This Row],['#_Constructed latrines_by_WASHAgencies]]+WWWW[[#This Row],['#_Non Cluster partner latrines]]))</f>
        <v>283</v>
      </c>
      <c r="CS198" s="79">
        <f>1-WWWW[[#This Row],[% people access to functioning Latrine]]</f>
        <v>1</v>
      </c>
      <c r="CT198" s="649">
        <f>IF(OR(WWWW[[#This Row],['#_Non-functional latrines]]="",WWWW[[#This Row],['#_Non-functional latrines]]=0),0,WWWW[[#This Row],['#_Non-functional latrines]]/(WWWW[[#This Row],['#_Constructed latrines_by_WASHAgencies]]+WWWW[[#This Row],['#_Non Cluster partner latrines]]))</f>
        <v>0</v>
      </c>
      <c r="CU198" s="645">
        <f>IF(500*(WWWW[[#This Row],['#_male hygiene promoters]]+WWWW[[#This Row],['#_female hygiene promoters]])&gt;WWWW[[#This Row],[Total PoP ]],WWWW[[#This Row],[Total PoP ]],500*(WWWW[[#This Row],['#_male hygiene promoters]]+WWWW[[#This Row],['#_female hygiene promoters]]))</f>
        <v>1698</v>
      </c>
      <c r="CV198"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98"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98" s="647">
        <f>IF(WWWW[[#This Row],['# People with access to soap]]&gt;WWWW[[#This Row],['# People with access to Sanity Pads]],WWWW[[#This Row],['# People with access to soap]],WWWW[[#This Row],['# People with access to Sanity Pads]])</f>
        <v>0</v>
      </c>
      <c r="CY198" s="647">
        <f>IF(WWWW[[#This Row],['# people reached by regular dedicated hygiene promotion_5]]&gt;WWWW[[#This Row],['# People received regular supply of hygiene items_6]],WWWW[[#This Row],['# people reached by regular dedicated hygiene promotion_5]],WWWW[[#This Row],['# People received regular supply of hygiene items_6]])</f>
        <v>1698</v>
      </c>
      <c r="CZ198" s="650">
        <f>IF(WWWW[[#This Row],[HRP3]]/WWWW[[#This Row],[Total PoP ]]&gt;100%,100%,WWWW[[#This Row],[HRP3]]/WWWW[[#This Row],[Total PoP ]])</f>
        <v>1</v>
      </c>
      <c r="DA198" s="649">
        <f>1-WWWW[[#This Row],[Hygiene Coverage%]]</f>
        <v>0</v>
      </c>
      <c r="DB198" s="648">
        <f>WWWW[[#This Row],['# people reached by regular dedicated hygiene promotion_5]]/WWWW[[#This Row],[Total PoP ]]</f>
        <v>1</v>
      </c>
      <c r="DC198" s="648">
        <f>IF(WWWW[[#This Row],['#_households that received standard amount of soap for this quarter]]/WWWW[[#This Row],[Total HH]]&gt;1,1,WWWW[[#This Row],['#_households that received standard amount of soap for this quarter]]/WWWW[[#This Row],[Total HH]])</f>
        <v>0</v>
      </c>
      <c r="DD198" s="648">
        <f>IF(WWWW[[#This Row],['#_households that received standard amount of sanitary pads for this quarter]]/WWWW[[#This Row],[Total HH]]&gt;1,1,WWWW[[#This Row],['#_households that received standard amount of sanitary pads for this quarter]]/WWWW[[#This Row],[Total HH]])</f>
        <v>0</v>
      </c>
      <c r="DE198" s="647">
        <f>WWWW[[#This Row],['#_Constructed/Existing hand washing stations]]-WWWW[[#This Row],['#_Non-Functional_hand_washing_stations]]</f>
        <v>0</v>
      </c>
      <c r="DF198" s="667">
        <f>IF(WWWW[[#This Row],['# Functional hand washing stations during reporting period]]*20&gt;WWWW[[#This Row],[Total HH]],WWWW[[#This Row],[Total HH]],WWWW[[#This Row],['# Functional hand washing stations during reporting period]]*20)</f>
        <v>0</v>
      </c>
      <c r="DG198" s="645">
        <f>IF(WWWW[[#This Row],[Is sufficient soap available for TLS? (Yes/No)]]="yes",WWWW[[#This Row],['#_Constructed/Existing hand washing stations at TLS]],0)</f>
        <v>0</v>
      </c>
      <c r="DH198" s="645">
        <f>IF(WWWW[[#This Row],['# Functional hand washing stations during reporting period]]*100&gt;WWWW[[#This Row],[Total PoP ]],WWWW[[#This Row],[Total PoP ]],WWWW[[#This Row],['# Functional hand washing stations during reporting period]]*100)</f>
        <v>0</v>
      </c>
      <c r="DI198" s="645" t="str">
        <f>IF(WWWW[[#This Row],['#_students at TLS_CFS]]="","No","Yes")</f>
        <v>No</v>
      </c>
      <c r="DJ198" s="643">
        <f>VLOOKUP(WWWW[[#This Row],[Site Name]],SiteDB6[[Site Name]:[CCCM Management]],6,FALSE)</f>
        <v>0</v>
      </c>
      <c r="DK198" s="643">
        <f>VLOOKUP(WWWW[[#This Row],[Site Name]],SiteDB6[[Site Name]:[CCCM Focal Agency]],7,FALSE)</f>
        <v>0</v>
      </c>
      <c r="DL198" s="643" t="str">
        <f>VLOOKUP(WWWW[[#This Row],[Site Name]],SiteDB6[[Site Name]:[Location Type 1]],9,FALSE)</f>
        <v>Village</v>
      </c>
      <c r="DM198" s="643" t="str">
        <f>VLOOKUP(WWWW[[#This Row],[Site Name]],SiteDB6[[Site Name]:[Type of Accommodation]],10,FALSE)</f>
        <v>Village</v>
      </c>
      <c r="DN198" s="643" t="str">
        <f>VLOOKUP(WWWW[[#This Row],[Site Name]],SiteDB6[[Site Name]:[Ethnic or GCA/NGCA]],11,FALSE)</f>
        <v>Muslim</v>
      </c>
      <c r="DO198" s="643">
        <f>VLOOKUP(WWWW[[#This Row],[Site Name]],SiteDB6[[Site Name]:[Lat]],12,FALSE)</f>
        <v>0</v>
      </c>
      <c r="DP198" s="643">
        <f>VLOOKUP(WWWW[[#This Row],[Site Name]],SiteDB6[[Site Name]:[Long]],13,FALSE)</f>
        <v>0</v>
      </c>
      <c r="DQ198" s="643">
        <f>VLOOKUP(WWWW[[#This Row],[Site Name]],SiteDB6[[Site Name]:[Pcode]],3,FALSE)</f>
        <v>197968</v>
      </c>
      <c r="DR198" s="652" t="str">
        <f t="shared" si="7"/>
        <v>Covered</v>
      </c>
      <c r="DS198" s="652"/>
    </row>
    <row r="199" spans="1:123">
      <c r="A199" s="637" t="s">
        <v>2525</v>
      </c>
      <c r="B199" s="637" t="s">
        <v>2802</v>
      </c>
      <c r="C199" s="644" t="s">
        <v>387</v>
      </c>
      <c r="D199" s="644" t="s">
        <v>2803</v>
      </c>
      <c r="E199" s="663" t="s">
        <v>3013</v>
      </c>
      <c r="F199" s="644" t="s">
        <v>323</v>
      </c>
      <c r="G199" s="663" t="str">
        <f>VLOOKUP(WWWW[[#This Row],[Site Name]],SiteDB6[[Site Name]:[Location Type]],8,FALSE)</f>
        <v>Village</v>
      </c>
      <c r="H199" s="644" t="s">
        <v>2824</v>
      </c>
      <c r="I199" s="646">
        <v>145</v>
      </c>
      <c r="J199" s="646">
        <v>702</v>
      </c>
      <c r="K199" s="653">
        <v>43480</v>
      </c>
      <c r="L199" s="654">
        <v>43723</v>
      </c>
      <c r="M199" s="646"/>
      <c r="N199" s="646"/>
      <c r="O199" s="646"/>
      <c r="P199" s="646"/>
      <c r="Q199" s="645"/>
      <c r="R199" s="646"/>
      <c r="S199" s="646"/>
      <c r="T199" s="646"/>
      <c r="U199" s="646"/>
      <c r="V199" s="646"/>
      <c r="W199" s="646"/>
      <c r="X199" s="646"/>
      <c r="Y199" s="646"/>
      <c r="Z199" s="646"/>
      <c r="AA199" s="646"/>
      <c r="AB199" s="646"/>
      <c r="AC199" s="646"/>
      <c r="AD199" s="646"/>
      <c r="AE199" s="646"/>
      <c r="AF199" s="646"/>
      <c r="AG199" s="646"/>
      <c r="AH199" s="646"/>
      <c r="AI199" s="646"/>
      <c r="AJ199" s="646"/>
      <c r="AK199" s="646"/>
      <c r="AL199" s="646"/>
      <c r="AM199" s="646"/>
      <c r="AN199" s="646"/>
      <c r="AO199" s="652"/>
      <c r="AP199" s="646"/>
      <c r="AQ199" s="646"/>
      <c r="AR199" s="648"/>
      <c r="AS199" s="646"/>
      <c r="AT199" s="646"/>
      <c r="AU199" s="646"/>
      <c r="AV199" s="646"/>
      <c r="AW199" s="646"/>
      <c r="AX199" s="643"/>
      <c r="AY199" s="652"/>
      <c r="AZ199" s="646"/>
      <c r="BA199" s="646"/>
      <c r="BB199" s="646"/>
      <c r="BC199" s="643"/>
      <c r="BD199" s="646"/>
      <c r="BE199" s="646"/>
      <c r="BF199" s="646"/>
      <c r="BG199" s="646"/>
      <c r="BH199" s="646"/>
      <c r="BI199" s="646">
        <v>145</v>
      </c>
      <c r="BJ199" s="646">
        <v>145</v>
      </c>
      <c r="BK199" s="646"/>
      <c r="BL199" s="646"/>
      <c r="BM199" s="643"/>
      <c r="BN199" s="647"/>
      <c r="BO199" s="648"/>
      <c r="BP199" s="643"/>
      <c r="BQ199" s="649" t="str">
        <f>IFERROR(WWWW[[#This Row],['#_Water sources treated]]/WWWW[[#This Row],['#_Water sources tested for contamination]],"no test")</f>
        <v>no test</v>
      </c>
      <c r="BR199" s="648" t="str">
        <f>IFERROR(WWWW[[#This Row],['#_Household received remediation action due to contamination]]/WWWW[[#This Row],['#_Household water samples tested for contamination]],"no test")</f>
        <v>no test</v>
      </c>
      <c r="BS199" s="647" t="str">
        <f>IF(AND(WWWW[[#This Row],[% of water sources treated]]="no test",WWWW[[#This Row],[% Household received corrective actions]]="no test"),"No Test","Tested")</f>
        <v>No Test</v>
      </c>
      <c r="BT199" s="647">
        <f>WWWW[[#This Row],['#_Constructed/existing protected hand dug well]]-WWWW[[#This Row],['#_Non-functional protected hand dug well]]</f>
        <v>0</v>
      </c>
      <c r="BU199" s="647">
        <f>(WWWW[[#This Row],['#_Constructed/Existing tube wells/boreholes/handpumps_WASH_agency]]+WWWW[[#This Row],['#_Non-Cluster partner water tube-wells/boreholes/handpumps]])-WWWW[[#This Row],['#_Non-functional tube wells/boreholes/handpumps]]</f>
        <v>0</v>
      </c>
      <c r="BV199" s="647">
        <f>WWWW[[#This Row],['#_Constructed/Existingwater storage tank with gravity fed reticulation system]]-WWWW[[#This Row],['#_Non-functional storage tank gravity fed reticulation system]]</f>
        <v>0</v>
      </c>
      <c r="BW199" s="647">
        <f>WWWW[[#This Row],['#_Water boating or water trucking]]</f>
        <v>0</v>
      </c>
      <c r="BX199" s="647">
        <f>WWWW[[#This Row],['#_Constructed/Existing water distribution system from river or natural spring]]</f>
        <v>0</v>
      </c>
      <c r="BY199"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199"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199" s="648">
        <f>IF(WWWW[[#This Row],[Location Type 1]]="Village",WWWW[[#This Row],[Access to safe drinking water for Village]],WWWW[[#This Row],[Access to safe drinking water for Camp]])</f>
        <v>0</v>
      </c>
      <c r="CB199" s="645">
        <f>WWWW[[#This Row],[%Equitable and continuous access to sufficient quantity of safe drinking water]]*WWWW[[#This Row],[Total PoP ]]</f>
        <v>0</v>
      </c>
      <c r="CC199" s="648">
        <f>IF((WWWW[[#This Row],['#_Constructed/Existing protected/fenced ponds]]*250)/WWWW[[#This Row],[Total PoP ]]&gt;1,1,(WWWW[[#This Row],['#_Constructed/Existing protected/fenced ponds]]*250)/WWWW[[#This Row],[Total PoP ]])</f>
        <v>0</v>
      </c>
      <c r="CD199" s="645">
        <f>WWWW[[#This Row],[% Access to unimproved water points]]*WWWW[[#This Row],[Total PoP ]]</f>
        <v>0</v>
      </c>
      <c r="CE199"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199"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199" s="645">
        <f>WWWW[[#This Row],[HRP1]]/500</f>
        <v>0</v>
      </c>
      <c r="CH199" s="650">
        <f>1-WWWW[[#This Row],[% Equitable and continuous access to sufficient quantity of domestic water]]</f>
        <v>1</v>
      </c>
      <c r="CI199" s="645">
        <f>WWWW[[#This Row],[%equitable and continuous access to sufficient quantity of safe drinking and domestic water''s GAP]]*WWWW[[#This Row],[Total PoP ]]</f>
        <v>702</v>
      </c>
      <c r="CJ199" s="647">
        <f>IF(WWWW[[#This Row],[Total required water points]]-WWWW[[#This Row],['#Water points coverage]]&lt;0,0,WWWW[[#This Row],[Total required water points]]-WWWW[[#This Row],['#Water points coverage]])</f>
        <v>1</v>
      </c>
      <c r="CK199" s="647">
        <f>ROUND(IF(WWWW[[#This Row],[Total PoP ]]&lt;500,1,WWWW[[#This Row],[Total PoP ]]/500),0)</f>
        <v>1</v>
      </c>
      <c r="CL199" s="647">
        <f>(WWWW[[#This Row],['#_Constructed latrines_by_WASHAgencies]]+WWWW[[#This Row],['#_Non Cluster partner latrines]])-WWWW[[#This Row],['#_Non-functional latrines]]</f>
        <v>0</v>
      </c>
      <c r="CM199"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199"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199"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199" s="647" t="str">
        <f>IF(WWWW[[#This Row],[Location Type 1]]="Village","NA",IF(WWWW[[#This Row],['#_Constructed/Existing latrines in TLS]]*50&gt;WWWW[[#This Row],['#_students at TLS_CFS]],WWWW[[#This Row],['#_students at TLS_CFS]],(WWWW[[#This Row],['#_Constructed/Existing latrines in TLS]]*50)))</f>
        <v>NA</v>
      </c>
      <c r="CQ199" s="647">
        <f>ROUND(IF(WWWW[[#This Row],[Location Type 1]]="camp",WWWW[[#This Row],[Total PoP ]]/20,IF(WWWW[[#This Row],[Location Type 1]]="Temporary Location",WWWW[[#This Row],[Total PoP ]]/50,(WWWW[[#This Row],[Total PoP ]]/6))),0)</f>
        <v>117</v>
      </c>
      <c r="CR199" s="647">
        <f>IF(WWWW[[#This Row],[Total required Latrines]]-(WWWW[[#This Row],['#_Constructed latrines_by_WASHAgencies]]+WWWW[[#This Row],['#_Non Cluster partner latrines]])&lt;0,0,WWWW[[#This Row],[Total required Latrines]]-(WWWW[[#This Row],['#_Constructed latrines_by_WASHAgencies]]+WWWW[[#This Row],['#_Non Cluster partner latrines]]))</f>
        <v>117</v>
      </c>
      <c r="CS199" s="79">
        <f>1-WWWW[[#This Row],[% people access to functioning Latrine]]</f>
        <v>1</v>
      </c>
      <c r="CT199" s="649">
        <f>IF(OR(WWWW[[#This Row],['#_Non-functional latrines]]="",WWWW[[#This Row],['#_Non-functional latrines]]=0),0,WWWW[[#This Row],['#_Non-functional latrines]]/(WWWW[[#This Row],['#_Constructed latrines_by_WASHAgencies]]+WWWW[[#This Row],['#_Non Cluster partner latrines]]))</f>
        <v>0</v>
      </c>
      <c r="CU199" s="645">
        <f>IF(500*(WWWW[[#This Row],['#_male hygiene promoters]]+WWWW[[#This Row],['#_female hygiene promoters]])&gt;WWWW[[#This Row],[Total PoP ]],WWWW[[#This Row],[Total PoP ]],500*(WWWW[[#This Row],['#_male hygiene promoters]]+WWWW[[#This Row],['#_female hygiene promoters]]))</f>
        <v>702</v>
      </c>
      <c r="CV199"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199"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199" s="647">
        <f>IF(WWWW[[#This Row],['# People with access to soap]]&gt;WWWW[[#This Row],['# People with access to Sanity Pads]],WWWW[[#This Row],['# People with access to soap]],WWWW[[#This Row],['# People with access to Sanity Pads]])</f>
        <v>0</v>
      </c>
      <c r="CY199" s="647">
        <f>IF(WWWW[[#This Row],['# people reached by regular dedicated hygiene promotion_5]]&gt;WWWW[[#This Row],['# People received regular supply of hygiene items_6]],WWWW[[#This Row],['# people reached by regular dedicated hygiene promotion_5]],WWWW[[#This Row],['# People received regular supply of hygiene items_6]])</f>
        <v>702</v>
      </c>
      <c r="CZ199" s="650">
        <f>IF(WWWW[[#This Row],[HRP3]]/WWWW[[#This Row],[Total PoP ]]&gt;100%,100%,WWWW[[#This Row],[HRP3]]/WWWW[[#This Row],[Total PoP ]])</f>
        <v>1</v>
      </c>
      <c r="DA199" s="649">
        <f>1-WWWW[[#This Row],[Hygiene Coverage%]]</f>
        <v>0</v>
      </c>
      <c r="DB199" s="648">
        <f>WWWW[[#This Row],['# people reached by regular dedicated hygiene promotion_5]]/WWWW[[#This Row],[Total PoP ]]</f>
        <v>1</v>
      </c>
      <c r="DC199" s="648">
        <f>IF(WWWW[[#This Row],['#_households that received standard amount of soap for this quarter]]/WWWW[[#This Row],[Total HH]]&gt;1,1,WWWW[[#This Row],['#_households that received standard amount of soap for this quarter]]/WWWW[[#This Row],[Total HH]])</f>
        <v>0</v>
      </c>
      <c r="DD199" s="648">
        <f>IF(WWWW[[#This Row],['#_households that received standard amount of sanitary pads for this quarter]]/WWWW[[#This Row],[Total HH]]&gt;1,1,WWWW[[#This Row],['#_households that received standard amount of sanitary pads for this quarter]]/WWWW[[#This Row],[Total HH]])</f>
        <v>0</v>
      </c>
      <c r="DE199" s="647">
        <f>WWWW[[#This Row],['#_Constructed/Existing hand washing stations]]-WWWW[[#This Row],['#_Non-Functional_hand_washing_stations]]</f>
        <v>0</v>
      </c>
      <c r="DF199" s="667">
        <f>IF(WWWW[[#This Row],['# Functional hand washing stations during reporting period]]*20&gt;WWWW[[#This Row],[Total HH]],WWWW[[#This Row],[Total HH]],WWWW[[#This Row],['# Functional hand washing stations during reporting period]]*20)</f>
        <v>0</v>
      </c>
      <c r="DG199" s="645">
        <f>IF(WWWW[[#This Row],[Is sufficient soap available for TLS? (Yes/No)]]="yes",WWWW[[#This Row],['#_Constructed/Existing hand washing stations at TLS]],0)</f>
        <v>0</v>
      </c>
      <c r="DH199" s="645">
        <f>IF(WWWW[[#This Row],['# Functional hand washing stations during reporting period]]*100&gt;WWWW[[#This Row],[Total PoP ]],WWWW[[#This Row],[Total PoP ]],WWWW[[#This Row],['# Functional hand washing stations during reporting period]]*100)</f>
        <v>0</v>
      </c>
      <c r="DI199" s="645" t="str">
        <f>IF(WWWW[[#This Row],['#_students at TLS_CFS]]="","No","Yes")</f>
        <v>No</v>
      </c>
      <c r="DJ199" s="643">
        <f>VLOOKUP(WWWW[[#This Row],[Site Name]],SiteDB6[[Site Name]:[CCCM Management]],6,FALSE)</f>
        <v>0</v>
      </c>
      <c r="DK199" s="643">
        <f>VLOOKUP(WWWW[[#This Row],[Site Name]],SiteDB6[[Site Name]:[CCCM Focal Agency]],7,FALSE)</f>
        <v>0</v>
      </c>
      <c r="DL199" s="643" t="str">
        <f>VLOOKUP(WWWW[[#This Row],[Site Name]],SiteDB6[[Site Name]:[Location Type 1]],9,FALSE)</f>
        <v>Village</v>
      </c>
      <c r="DM199" s="643" t="str">
        <f>VLOOKUP(WWWW[[#This Row],[Site Name]],SiteDB6[[Site Name]:[Type of Accommodation]],10,FALSE)</f>
        <v>Village</v>
      </c>
      <c r="DN199" s="643" t="str">
        <f>VLOOKUP(WWWW[[#This Row],[Site Name]],SiteDB6[[Site Name]:[Ethnic or GCA/NGCA]],11,FALSE)</f>
        <v>Muslim</v>
      </c>
      <c r="DO199" s="643">
        <f>VLOOKUP(WWWW[[#This Row],[Site Name]],SiteDB6[[Site Name]:[Lat]],12,FALSE)</f>
        <v>0</v>
      </c>
      <c r="DP199" s="643">
        <f>VLOOKUP(WWWW[[#This Row],[Site Name]],SiteDB6[[Site Name]:[Long]],13,FALSE)</f>
        <v>0</v>
      </c>
      <c r="DQ199" s="643">
        <f>VLOOKUP(WWWW[[#This Row],[Site Name]],SiteDB6[[Site Name]:[Pcode]],3,FALSE)</f>
        <v>0</v>
      </c>
      <c r="DR199" s="652" t="str">
        <f t="shared" si="7"/>
        <v>Covered</v>
      </c>
      <c r="DS199" s="652"/>
    </row>
    <row r="200" spans="1:123">
      <c r="A200" s="637" t="s">
        <v>2525</v>
      </c>
      <c r="B200" s="637" t="s">
        <v>2802</v>
      </c>
      <c r="C200" s="644" t="s">
        <v>387</v>
      </c>
      <c r="D200" s="644" t="s">
        <v>2803</v>
      </c>
      <c r="E200" s="663" t="s">
        <v>3013</v>
      </c>
      <c r="F200" s="644" t="s">
        <v>323</v>
      </c>
      <c r="G200" s="663" t="str">
        <f>VLOOKUP(WWWW[[#This Row],[Site Name]],SiteDB6[[Site Name]:[Location Type]],8,FALSE)</f>
        <v>Village</v>
      </c>
      <c r="H200" s="644" t="s">
        <v>385</v>
      </c>
      <c r="I200" s="646">
        <v>376</v>
      </c>
      <c r="J200" s="646">
        <v>2392</v>
      </c>
      <c r="K200" s="653">
        <v>43480</v>
      </c>
      <c r="L200" s="654">
        <v>43723</v>
      </c>
      <c r="M200" s="646"/>
      <c r="N200" s="646"/>
      <c r="O200" s="646"/>
      <c r="P200" s="646"/>
      <c r="Q200" s="645"/>
      <c r="R200" s="646"/>
      <c r="S200" s="646"/>
      <c r="T200" s="646"/>
      <c r="U200" s="646"/>
      <c r="V200" s="646"/>
      <c r="W200" s="646"/>
      <c r="X200" s="646"/>
      <c r="Y200" s="646"/>
      <c r="Z200" s="646"/>
      <c r="AA200" s="646"/>
      <c r="AB200" s="646"/>
      <c r="AC200" s="646"/>
      <c r="AD200" s="646"/>
      <c r="AE200" s="646"/>
      <c r="AF200" s="646"/>
      <c r="AG200" s="646"/>
      <c r="AH200" s="646"/>
      <c r="AI200" s="646"/>
      <c r="AJ200" s="646"/>
      <c r="AK200" s="646"/>
      <c r="AL200" s="646"/>
      <c r="AM200" s="646"/>
      <c r="AN200" s="646"/>
      <c r="AO200" s="652"/>
      <c r="AP200" s="646"/>
      <c r="AQ200" s="646"/>
      <c r="AR200" s="648"/>
      <c r="AS200" s="646"/>
      <c r="AT200" s="646"/>
      <c r="AU200" s="646"/>
      <c r="AV200" s="646"/>
      <c r="AW200" s="646"/>
      <c r="AX200" s="643"/>
      <c r="AY200" s="652"/>
      <c r="AZ200" s="646"/>
      <c r="BA200" s="646"/>
      <c r="BB200" s="646"/>
      <c r="BC200" s="643"/>
      <c r="BD200" s="646"/>
      <c r="BE200" s="646"/>
      <c r="BF200" s="646"/>
      <c r="BG200" s="646"/>
      <c r="BH200" s="646"/>
      <c r="BI200" s="646">
        <v>376</v>
      </c>
      <c r="BJ200" s="646">
        <v>376</v>
      </c>
      <c r="BK200" s="646"/>
      <c r="BL200" s="646"/>
      <c r="BM200" s="643"/>
      <c r="BN200" s="647"/>
      <c r="BO200" s="648"/>
      <c r="BP200" s="643"/>
      <c r="BQ200" s="649" t="str">
        <f>IFERROR(WWWW[[#This Row],['#_Water sources treated]]/WWWW[[#This Row],['#_Water sources tested for contamination]],"no test")</f>
        <v>no test</v>
      </c>
      <c r="BR200" s="648" t="str">
        <f>IFERROR(WWWW[[#This Row],['#_Household received remediation action due to contamination]]/WWWW[[#This Row],['#_Household water samples tested for contamination]],"no test")</f>
        <v>no test</v>
      </c>
      <c r="BS200" s="647" t="str">
        <f>IF(AND(WWWW[[#This Row],[% of water sources treated]]="no test",WWWW[[#This Row],[% Household received corrective actions]]="no test"),"No Test","Tested")</f>
        <v>No Test</v>
      </c>
      <c r="BT200" s="647">
        <f>WWWW[[#This Row],['#_Constructed/existing protected hand dug well]]-WWWW[[#This Row],['#_Non-functional protected hand dug well]]</f>
        <v>0</v>
      </c>
      <c r="BU200" s="647">
        <f>(WWWW[[#This Row],['#_Constructed/Existing tube wells/boreholes/handpumps_WASH_agency]]+WWWW[[#This Row],['#_Non-Cluster partner water tube-wells/boreholes/handpumps]])-WWWW[[#This Row],['#_Non-functional tube wells/boreholes/handpumps]]</f>
        <v>0</v>
      </c>
      <c r="BV200" s="647">
        <f>WWWW[[#This Row],['#_Constructed/Existingwater storage tank with gravity fed reticulation system]]-WWWW[[#This Row],['#_Non-functional storage tank gravity fed reticulation system]]</f>
        <v>0</v>
      </c>
      <c r="BW200" s="647">
        <f>WWWW[[#This Row],['#_Water boating or water trucking]]</f>
        <v>0</v>
      </c>
      <c r="BX200" s="647">
        <f>WWWW[[#This Row],['#_Constructed/Existing water distribution system from river or natural spring]]</f>
        <v>0</v>
      </c>
      <c r="BY200"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00"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00" s="648">
        <f>IF(WWWW[[#This Row],[Location Type 1]]="Village",WWWW[[#This Row],[Access to safe drinking water for Village]],WWWW[[#This Row],[Access to safe drinking water for Camp]])</f>
        <v>0</v>
      </c>
      <c r="CB200" s="645">
        <f>WWWW[[#This Row],[%Equitable and continuous access to sufficient quantity of safe drinking water]]*WWWW[[#This Row],[Total PoP ]]</f>
        <v>0</v>
      </c>
      <c r="CC200" s="648">
        <f>IF((WWWW[[#This Row],['#_Constructed/Existing protected/fenced ponds]]*250)/WWWW[[#This Row],[Total PoP ]]&gt;1,1,(WWWW[[#This Row],['#_Constructed/Existing protected/fenced ponds]]*250)/WWWW[[#This Row],[Total PoP ]])</f>
        <v>0</v>
      </c>
      <c r="CD200" s="645">
        <f>WWWW[[#This Row],[% Access to unimproved water points]]*WWWW[[#This Row],[Total PoP ]]</f>
        <v>0</v>
      </c>
      <c r="CE200"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00"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00" s="645">
        <f>WWWW[[#This Row],[HRP1]]/500</f>
        <v>0</v>
      </c>
      <c r="CH200" s="650">
        <f>1-WWWW[[#This Row],[% Equitable and continuous access to sufficient quantity of domestic water]]</f>
        <v>1</v>
      </c>
      <c r="CI200" s="645">
        <f>WWWW[[#This Row],[%equitable and continuous access to sufficient quantity of safe drinking and domestic water''s GAP]]*WWWW[[#This Row],[Total PoP ]]</f>
        <v>2392</v>
      </c>
      <c r="CJ200" s="647">
        <f>IF(WWWW[[#This Row],[Total required water points]]-WWWW[[#This Row],['#Water points coverage]]&lt;0,0,WWWW[[#This Row],[Total required water points]]-WWWW[[#This Row],['#Water points coverage]])</f>
        <v>5</v>
      </c>
      <c r="CK200" s="647">
        <f>ROUND(IF(WWWW[[#This Row],[Total PoP ]]&lt;500,1,WWWW[[#This Row],[Total PoP ]]/500),0)</f>
        <v>5</v>
      </c>
      <c r="CL200" s="647">
        <f>(WWWW[[#This Row],['#_Constructed latrines_by_WASHAgencies]]+WWWW[[#This Row],['#_Non Cluster partner latrines]])-WWWW[[#This Row],['#_Non-functional latrines]]</f>
        <v>0</v>
      </c>
      <c r="CM200"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00"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00"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00" s="647" t="str">
        <f>IF(WWWW[[#This Row],[Location Type 1]]="Village","NA",IF(WWWW[[#This Row],['#_Constructed/Existing latrines in TLS]]*50&gt;WWWW[[#This Row],['#_students at TLS_CFS]],WWWW[[#This Row],['#_students at TLS_CFS]],(WWWW[[#This Row],['#_Constructed/Existing latrines in TLS]]*50)))</f>
        <v>NA</v>
      </c>
      <c r="CQ200" s="647">
        <f>ROUND(IF(WWWW[[#This Row],[Location Type 1]]="camp",WWWW[[#This Row],[Total PoP ]]/20,IF(WWWW[[#This Row],[Location Type 1]]="Temporary Location",WWWW[[#This Row],[Total PoP ]]/50,(WWWW[[#This Row],[Total PoP ]]/6))),0)</f>
        <v>399</v>
      </c>
      <c r="CR200" s="647">
        <f>IF(WWWW[[#This Row],[Total required Latrines]]-(WWWW[[#This Row],['#_Constructed latrines_by_WASHAgencies]]+WWWW[[#This Row],['#_Non Cluster partner latrines]])&lt;0,0,WWWW[[#This Row],[Total required Latrines]]-(WWWW[[#This Row],['#_Constructed latrines_by_WASHAgencies]]+WWWW[[#This Row],['#_Non Cluster partner latrines]]))</f>
        <v>399</v>
      </c>
      <c r="CS200" s="79">
        <f>1-WWWW[[#This Row],[% people access to functioning Latrine]]</f>
        <v>1</v>
      </c>
      <c r="CT200" s="649">
        <f>IF(OR(WWWW[[#This Row],['#_Non-functional latrines]]="",WWWW[[#This Row],['#_Non-functional latrines]]=0),0,WWWW[[#This Row],['#_Non-functional latrines]]/(WWWW[[#This Row],['#_Constructed latrines_by_WASHAgencies]]+WWWW[[#This Row],['#_Non Cluster partner latrines]]))</f>
        <v>0</v>
      </c>
      <c r="CU200" s="645">
        <f>IF(500*(WWWW[[#This Row],['#_male hygiene promoters]]+WWWW[[#This Row],['#_female hygiene promoters]])&gt;WWWW[[#This Row],[Total PoP ]],WWWW[[#This Row],[Total PoP ]],500*(WWWW[[#This Row],['#_male hygiene promoters]]+WWWW[[#This Row],['#_female hygiene promoters]]))</f>
        <v>2392</v>
      </c>
      <c r="CV200"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00"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00" s="647">
        <f>IF(WWWW[[#This Row],['# People with access to soap]]&gt;WWWW[[#This Row],['# People with access to Sanity Pads]],WWWW[[#This Row],['# People with access to soap]],WWWW[[#This Row],['# People with access to Sanity Pads]])</f>
        <v>0</v>
      </c>
      <c r="CY200" s="647">
        <f>IF(WWWW[[#This Row],['# people reached by regular dedicated hygiene promotion_5]]&gt;WWWW[[#This Row],['# People received regular supply of hygiene items_6]],WWWW[[#This Row],['# people reached by regular dedicated hygiene promotion_5]],WWWW[[#This Row],['# People received regular supply of hygiene items_6]])</f>
        <v>2392</v>
      </c>
      <c r="CZ200" s="650">
        <f>IF(WWWW[[#This Row],[HRP3]]/WWWW[[#This Row],[Total PoP ]]&gt;100%,100%,WWWW[[#This Row],[HRP3]]/WWWW[[#This Row],[Total PoP ]])</f>
        <v>1</v>
      </c>
      <c r="DA200" s="649">
        <f>1-WWWW[[#This Row],[Hygiene Coverage%]]</f>
        <v>0</v>
      </c>
      <c r="DB200" s="648">
        <f>WWWW[[#This Row],['# people reached by regular dedicated hygiene promotion_5]]/WWWW[[#This Row],[Total PoP ]]</f>
        <v>1</v>
      </c>
      <c r="DC200" s="648">
        <f>IF(WWWW[[#This Row],['#_households that received standard amount of soap for this quarter]]/WWWW[[#This Row],[Total HH]]&gt;1,1,WWWW[[#This Row],['#_households that received standard amount of soap for this quarter]]/WWWW[[#This Row],[Total HH]])</f>
        <v>0</v>
      </c>
      <c r="DD200" s="648">
        <f>IF(WWWW[[#This Row],['#_households that received standard amount of sanitary pads for this quarter]]/WWWW[[#This Row],[Total HH]]&gt;1,1,WWWW[[#This Row],['#_households that received standard amount of sanitary pads for this quarter]]/WWWW[[#This Row],[Total HH]])</f>
        <v>0</v>
      </c>
      <c r="DE200" s="647">
        <f>WWWW[[#This Row],['#_Constructed/Existing hand washing stations]]-WWWW[[#This Row],['#_Non-Functional_hand_washing_stations]]</f>
        <v>0</v>
      </c>
      <c r="DF200" s="667">
        <f>IF(WWWW[[#This Row],['# Functional hand washing stations during reporting period]]*20&gt;WWWW[[#This Row],[Total HH]],WWWW[[#This Row],[Total HH]],WWWW[[#This Row],['# Functional hand washing stations during reporting period]]*20)</f>
        <v>0</v>
      </c>
      <c r="DG200" s="645">
        <f>IF(WWWW[[#This Row],[Is sufficient soap available for TLS? (Yes/No)]]="yes",WWWW[[#This Row],['#_Constructed/Existing hand washing stations at TLS]],0)</f>
        <v>0</v>
      </c>
      <c r="DH200" s="645">
        <f>IF(WWWW[[#This Row],['# Functional hand washing stations during reporting period]]*100&gt;WWWW[[#This Row],[Total PoP ]],WWWW[[#This Row],[Total PoP ]],WWWW[[#This Row],['# Functional hand washing stations during reporting period]]*100)</f>
        <v>0</v>
      </c>
      <c r="DI200" s="645" t="str">
        <f>IF(WWWW[[#This Row],['#_students at TLS_CFS]]="","No","Yes")</f>
        <v>No</v>
      </c>
      <c r="DJ200" s="643" t="str">
        <f>VLOOKUP(WWWW[[#This Row],[Site Name]],SiteDB6[[Site Name]:[CCCM Management]],6,FALSE)</f>
        <v>Yes</v>
      </c>
      <c r="DK200" s="643">
        <f>VLOOKUP(WWWW[[#This Row],[Site Name]],SiteDB6[[Site Name]:[CCCM Focal Agency]],7,FALSE)</f>
        <v>0</v>
      </c>
      <c r="DL200" s="643" t="str">
        <f>VLOOKUP(WWWW[[#This Row],[Site Name]],SiteDB6[[Site Name]:[Location Type 1]],9,FALSE)</f>
        <v>Village</v>
      </c>
      <c r="DM200" s="643" t="str">
        <f>VLOOKUP(WWWW[[#This Row],[Site Name]],SiteDB6[[Site Name]:[Type of Accommodation]],10,FALSE)</f>
        <v>Relocated</v>
      </c>
      <c r="DN200" s="643" t="str">
        <f>VLOOKUP(WWWW[[#This Row],[Site Name]],SiteDB6[[Site Name]:[Ethnic or GCA/NGCA]],11,FALSE)</f>
        <v>Rakhine</v>
      </c>
      <c r="DO200" s="643">
        <f>VLOOKUP(WWWW[[#This Row],[Site Name]],SiteDB6[[Site Name]:[Lat]],12,FALSE)</f>
        <v>19.421102000000001</v>
      </c>
      <c r="DP200" s="643">
        <f>VLOOKUP(WWWW[[#This Row],[Site Name]],SiteDB6[[Site Name]:[Long]],13,FALSE)</f>
        <v>93.552452000000002</v>
      </c>
      <c r="DQ200" s="643" t="str">
        <f>VLOOKUP(WWWW[[#This Row],[Site Name]],SiteDB6[[Site Name]:[Pcode]],3,FALSE)</f>
        <v>MMR012CMP036</v>
      </c>
      <c r="DR200" s="652" t="str">
        <f t="shared" si="7"/>
        <v>Covered</v>
      </c>
      <c r="DS200" s="652"/>
    </row>
    <row r="201" spans="1:123">
      <c r="A201" s="637" t="s">
        <v>2525</v>
      </c>
      <c r="B201" s="637" t="s">
        <v>2802</v>
      </c>
      <c r="C201" s="644" t="s">
        <v>387</v>
      </c>
      <c r="D201" s="644" t="s">
        <v>2803</v>
      </c>
      <c r="E201" s="663" t="s">
        <v>3013</v>
      </c>
      <c r="F201" s="644" t="s">
        <v>323</v>
      </c>
      <c r="G201" s="663" t="str">
        <f>VLOOKUP(WWWW[[#This Row],[Site Name]],SiteDB6[[Site Name]:[Location Type]],8,FALSE)</f>
        <v>Village</v>
      </c>
      <c r="H201" s="644" t="s">
        <v>562</v>
      </c>
      <c r="I201" s="646">
        <v>181</v>
      </c>
      <c r="J201" s="646">
        <v>1089</v>
      </c>
      <c r="K201" s="653">
        <v>43480</v>
      </c>
      <c r="L201" s="654">
        <v>43723</v>
      </c>
      <c r="M201" s="646"/>
      <c r="N201" s="646"/>
      <c r="O201" s="646"/>
      <c r="P201" s="646"/>
      <c r="Q201" s="645"/>
      <c r="R201" s="646"/>
      <c r="S201" s="646"/>
      <c r="T201" s="646"/>
      <c r="U201" s="646"/>
      <c r="V201" s="646"/>
      <c r="W201" s="646"/>
      <c r="X201" s="646"/>
      <c r="Y201" s="646"/>
      <c r="Z201" s="646"/>
      <c r="AA201" s="646"/>
      <c r="AB201" s="646"/>
      <c r="AC201" s="646"/>
      <c r="AD201" s="646"/>
      <c r="AE201" s="646"/>
      <c r="AF201" s="646"/>
      <c r="AG201" s="646"/>
      <c r="AH201" s="646"/>
      <c r="AI201" s="646"/>
      <c r="AJ201" s="646"/>
      <c r="AK201" s="646"/>
      <c r="AL201" s="646"/>
      <c r="AM201" s="646"/>
      <c r="AN201" s="646"/>
      <c r="AO201" s="652"/>
      <c r="AP201" s="646"/>
      <c r="AQ201" s="646"/>
      <c r="AR201" s="648"/>
      <c r="AS201" s="646"/>
      <c r="AT201" s="646"/>
      <c r="AU201" s="646"/>
      <c r="AV201" s="646"/>
      <c r="AW201" s="646"/>
      <c r="AX201" s="643"/>
      <c r="AY201" s="652"/>
      <c r="AZ201" s="646"/>
      <c r="BA201" s="646"/>
      <c r="BB201" s="646"/>
      <c r="BC201" s="643"/>
      <c r="BD201" s="646"/>
      <c r="BE201" s="646"/>
      <c r="BF201" s="646"/>
      <c r="BG201" s="646"/>
      <c r="BH201" s="646"/>
      <c r="BI201" s="646">
        <v>181</v>
      </c>
      <c r="BJ201" s="646">
        <v>181</v>
      </c>
      <c r="BK201" s="646"/>
      <c r="BL201" s="646"/>
      <c r="BM201" s="643"/>
      <c r="BN201" s="647"/>
      <c r="BO201" s="648"/>
      <c r="BP201" s="643"/>
      <c r="BQ201" s="649" t="str">
        <f>IFERROR(WWWW[[#This Row],['#_Water sources treated]]/WWWW[[#This Row],['#_Water sources tested for contamination]],"no test")</f>
        <v>no test</v>
      </c>
      <c r="BR201" s="648" t="str">
        <f>IFERROR(WWWW[[#This Row],['#_Household received remediation action due to contamination]]/WWWW[[#This Row],['#_Household water samples tested for contamination]],"no test")</f>
        <v>no test</v>
      </c>
      <c r="BS201" s="647" t="str">
        <f>IF(AND(WWWW[[#This Row],[% of water sources treated]]="no test",WWWW[[#This Row],[% Household received corrective actions]]="no test"),"No Test","Tested")</f>
        <v>No Test</v>
      </c>
      <c r="BT201" s="647">
        <f>WWWW[[#This Row],['#_Constructed/existing protected hand dug well]]-WWWW[[#This Row],['#_Non-functional protected hand dug well]]</f>
        <v>0</v>
      </c>
      <c r="BU201" s="647">
        <f>(WWWW[[#This Row],['#_Constructed/Existing tube wells/boreholes/handpumps_WASH_agency]]+WWWW[[#This Row],['#_Non-Cluster partner water tube-wells/boreholes/handpumps]])-WWWW[[#This Row],['#_Non-functional tube wells/boreholes/handpumps]]</f>
        <v>0</v>
      </c>
      <c r="BV201" s="647">
        <f>WWWW[[#This Row],['#_Constructed/Existingwater storage tank with gravity fed reticulation system]]-WWWW[[#This Row],['#_Non-functional storage tank gravity fed reticulation system]]</f>
        <v>0</v>
      </c>
      <c r="BW201" s="647">
        <f>WWWW[[#This Row],['#_Water boating or water trucking]]</f>
        <v>0</v>
      </c>
      <c r="BX201" s="647">
        <f>WWWW[[#This Row],['#_Constructed/Existing water distribution system from river or natural spring]]</f>
        <v>0</v>
      </c>
      <c r="BY201"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01"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01" s="648">
        <f>IF(WWWW[[#This Row],[Location Type 1]]="Village",WWWW[[#This Row],[Access to safe drinking water for Village]],WWWW[[#This Row],[Access to safe drinking water for Camp]])</f>
        <v>0</v>
      </c>
      <c r="CB201" s="645">
        <f>WWWW[[#This Row],[%Equitable and continuous access to sufficient quantity of safe drinking water]]*WWWW[[#This Row],[Total PoP ]]</f>
        <v>0</v>
      </c>
      <c r="CC201" s="648">
        <f>IF((WWWW[[#This Row],['#_Constructed/Existing protected/fenced ponds]]*250)/WWWW[[#This Row],[Total PoP ]]&gt;1,1,(WWWW[[#This Row],['#_Constructed/Existing protected/fenced ponds]]*250)/WWWW[[#This Row],[Total PoP ]])</f>
        <v>0</v>
      </c>
      <c r="CD201" s="645">
        <f>WWWW[[#This Row],[% Access to unimproved water points]]*WWWW[[#This Row],[Total PoP ]]</f>
        <v>0</v>
      </c>
      <c r="CE201"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01"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01" s="645">
        <f>WWWW[[#This Row],[HRP1]]/500</f>
        <v>0</v>
      </c>
      <c r="CH201" s="650">
        <f>1-WWWW[[#This Row],[% Equitable and continuous access to sufficient quantity of domestic water]]</f>
        <v>1</v>
      </c>
      <c r="CI201" s="645">
        <f>WWWW[[#This Row],[%equitable and continuous access to sufficient quantity of safe drinking and domestic water''s GAP]]*WWWW[[#This Row],[Total PoP ]]</f>
        <v>1089</v>
      </c>
      <c r="CJ201" s="647">
        <f>IF(WWWW[[#This Row],[Total required water points]]-WWWW[[#This Row],['#Water points coverage]]&lt;0,0,WWWW[[#This Row],[Total required water points]]-WWWW[[#This Row],['#Water points coverage]])</f>
        <v>2</v>
      </c>
      <c r="CK201" s="647">
        <f>ROUND(IF(WWWW[[#This Row],[Total PoP ]]&lt;500,1,WWWW[[#This Row],[Total PoP ]]/500),0)</f>
        <v>2</v>
      </c>
      <c r="CL201" s="647">
        <f>(WWWW[[#This Row],['#_Constructed latrines_by_WASHAgencies]]+WWWW[[#This Row],['#_Non Cluster partner latrines]])-WWWW[[#This Row],['#_Non-functional latrines]]</f>
        <v>0</v>
      </c>
      <c r="CM201"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01"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01"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01" s="647" t="str">
        <f>IF(WWWW[[#This Row],[Location Type 1]]="Village","NA",IF(WWWW[[#This Row],['#_Constructed/Existing latrines in TLS]]*50&gt;WWWW[[#This Row],['#_students at TLS_CFS]],WWWW[[#This Row],['#_students at TLS_CFS]],(WWWW[[#This Row],['#_Constructed/Existing latrines in TLS]]*50)))</f>
        <v>NA</v>
      </c>
      <c r="CQ201" s="647">
        <f>ROUND(IF(WWWW[[#This Row],[Location Type 1]]="camp",WWWW[[#This Row],[Total PoP ]]/20,IF(WWWW[[#This Row],[Location Type 1]]="Temporary Location",WWWW[[#This Row],[Total PoP ]]/50,(WWWW[[#This Row],[Total PoP ]]/6))),0)</f>
        <v>182</v>
      </c>
      <c r="CR201" s="647">
        <f>IF(WWWW[[#This Row],[Total required Latrines]]-(WWWW[[#This Row],['#_Constructed latrines_by_WASHAgencies]]+WWWW[[#This Row],['#_Non Cluster partner latrines]])&lt;0,0,WWWW[[#This Row],[Total required Latrines]]-(WWWW[[#This Row],['#_Constructed latrines_by_WASHAgencies]]+WWWW[[#This Row],['#_Non Cluster partner latrines]]))</f>
        <v>182</v>
      </c>
      <c r="CS201" s="79">
        <f>1-WWWW[[#This Row],[% people access to functioning Latrine]]</f>
        <v>1</v>
      </c>
      <c r="CT201" s="649">
        <f>IF(OR(WWWW[[#This Row],['#_Non-functional latrines]]="",WWWW[[#This Row],['#_Non-functional latrines]]=0),0,WWWW[[#This Row],['#_Non-functional latrines]]/(WWWW[[#This Row],['#_Constructed latrines_by_WASHAgencies]]+WWWW[[#This Row],['#_Non Cluster partner latrines]]))</f>
        <v>0</v>
      </c>
      <c r="CU201" s="645">
        <f>IF(500*(WWWW[[#This Row],['#_male hygiene promoters]]+WWWW[[#This Row],['#_female hygiene promoters]])&gt;WWWW[[#This Row],[Total PoP ]],WWWW[[#This Row],[Total PoP ]],500*(WWWW[[#This Row],['#_male hygiene promoters]]+WWWW[[#This Row],['#_female hygiene promoters]]))</f>
        <v>1089</v>
      </c>
      <c r="CV201"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01"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01" s="647">
        <f>IF(WWWW[[#This Row],['# People with access to soap]]&gt;WWWW[[#This Row],['# People with access to Sanity Pads]],WWWW[[#This Row],['# People with access to soap]],WWWW[[#This Row],['# People with access to Sanity Pads]])</f>
        <v>0</v>
      </c>
      <c r="CY201" s="647">
        <f>IF(WWWW[[#This Row],['# people reached by regular dedicated hygiene promotion_5]]&gt;WWWW[[#This Row],['# People received regular supply of hygiene items_6]],WWWW[[#This Row],['# people reached by regular dedicated hygiene promotion_5]],WWWW[[#This Row],['# People received regular supply of hygiene items_6]])</f>
        <v>1089</v>
      </c>
      <c r="CZ201" s="650">
        <f>IF(WWWW[[#This Row],[HRP3]]/WWWW[[#This Row],[Total PoP ]]&gt;100%,100%,WWWW[[#This Row],[HRP3]]/WWWW[[#This Row],[Total PoP ]])</f>
        <v>1</v>
      </c>
      <c r="DA201" s="649">
        <f>1-WWWW[[#This Row],[Hygiene Coverage%]]</f>
        <v>0</v>
      </c>
      <c r="DB201" s="648">
        <f>WWWW[[#This Row],['# people reached by regular dedicated hygiene promotion_5]]/WWWW[[#This Row],[Total PoP ]]</f>
        <v>1</v>
      </c>
      <c r="DC201" s="648">
        <f>IF(WWWW[[#This Row],['#_households that received standard amount of soap for this quarter]]/WWWW[[#This Row],[Total HH]]&gt;1,1,WWWW[[#This Row],['#_households that received standard amount of soap for this quarter]]/WWWW[[#This Row],[Total HH]])</f>
        <v>0</v>
      </c>
      <c r="DD201" s="648">
        <f>IF(WWWW[[#This Row],['#_households that received standard amount of sanitary pads for this quarter]]/WWWW[[#This Row],[Total HH]]&gt;1,1,WWWW[[#This Row],['#_households that received standard amount of sanitary pads for this quarter]]/WWWW[[#This Row],[Total HH]])</f>
        <v>0</v>
      </c>
      <c r="DE201" s="647">
        <f>WWWW[[#This Row],['#_Constructed/Existing hand washing stations]]-WWWW[[#This Row],['#_Non-Functional_hand_washing_stations]]</f>
        <v>0</v>
      </c>
      <c r="DF201" s="667">
        <f>IF(WWWW[[#This Row],['# Functional hand washing stations during reporting period]]*20&gt;WWWW[[#This Row],[Total HH]],WWWW[[#This Row],[Total HH]],WWWW[[#This Row],['# Functional hand washing stations during reporting period]]*20)</f>
        <v>0</v>
      </c>
      <c r="DG201" s="645">
        <f>IF(WWWW[[#This Row],[Is sufficient soap available for TLS? (Yes/No)]]="yes",WWWW[[#This Row],['#_Constructed/Existing hand washing stations at TLS]],0)</f>
        <v>0</v>
      </c>
      <c r="DH201" s="645">
        <f>IF(WWWW[[#This Row],['# Functional hand washing stations during reporting period]]*100&gt;WWWW[[#This Row],[Total PoP ]],WWWW[[#This Row],[Total PoP ]],WWWW[[#This Row],['# Functional hand washing stations during reporting period]]*100)</f>
        <v>0</v>
      </c>
      <c r="DI201" s="645" t="str">
        <f>IF(WWWW[[#This Row],['#_students at TLS_CFS]]="","No","Yes")</f>
        <v>No</v>
      </c>
      <c r="DJ201" s="643">
        <f>VLOOKUP(WWWW[[#This Row],[Site Name]],SiteDB6[[Site Name]:[CCCM Management]],6,FALSE)</f>
        <v>0</v>
      </c>
      <c r="DK201" s="643">
        <f>VLOOKUP(WWWW[[#This Row],[Site Name]],SiteDB6[[Site Name]:[CCCM Focal Agency]],7,FALSE)</f>
        <v>0</v>
      </c>
      <c r="DL201" s="643" t="str">
        <f>VLOOKUP(WWWW[[#This Row],[Site Name]],SiteDB6[[Site Name]:[Location Type 1]],9,FALSE)</f>
        <v>Village</v>
      </c>
      <c r="DM201" s="643" t="str">
        <f>VLOOKUP(WWWW[[#This Row],[Site Name]],SiteDB6[[Site Name]:[Type of Accommodation]],10,FALSE)</f>
        <v>Village</v>
      </c>
      <c r="DN201" s="643" t="str">
        <f>VLOOKUP(WWWW[[#This Row],[Site Name]],SiteDB6[[Site Name]:[Ethnic or GCA/NGCA]],11,FALSE)</f>
        <v>Rakhine</v>
      </c>
      <c r="DO201" s="643">
        <f>VLOOKUP(WWWW[[#This Row],[Site Name]],SiteDB6[[Site Name]:[Lat]],12,FALSE)</f>
        <v>20.691099170000001</v>
      </c>
      <c r="DP201" s="643">
        <f>VLOOKUP(WWWW[[#This Row],[Site Name]],SiteDB6[[Site Name]:[Long]],13,FALSE)</f>
        <v>92.590652469999995</v>
      </c>
      <c r="DQ201" s="643">
        <f>VLOOKUP(WWWW[[#This Row],[Site Name]],SiteDB6[[Site Name]:[Pcode]],3,FALSE)</f>
        <v>198446</v>
      </c>
      <c r="DR201" s="652" t="str">
        <f t="shared" si="7"/>
        <v>Covered</v>
      </c>
      <c r="DS201" s="652"/>
    </row>
    <row r="202" spans="1:123">
      <c r="A202" s="637" t="s">
        <v>2525</v>
      </c>
      <c r="B202" s="637" t="s">
        <v>2802</v>
      </c>
      <c r="C202" s="644" t="s">
        <v>387</v>
      </c>
      <c r="D202" s="644" t="s">
        <v>2803</v>
      </c>
      <c r="E202" s="663" t="s">
        <v>3013</v>
      </c>
      <c r="F202" s="644" t="s">
        <v>323</v>
      </c>
      <c r="G202" s="663" t="str">
        <f>VLOOKUP(WWWW[[#This Row],[Site Name]],SiteDB6[[Site Name]:[Location Type]],8,FALSE)</f>
        <v>Village</v>
      </c>
      <c r="H202" s="644" t="s">
        <v>1948</v>
      </c>
      <c r="I202" s="646">
        <v>241</v>
      </c>
      <c r="J202" s="646">
        <v>1397</v>
      </c>
      <c r="K202" s="653">
        <v>43480</v>
      </c>
      <c r="L202" s="654">
        <v>43723</v>
      </c>
      <c r="M202" s="646"/>
      <c r="N202" s="646"/>
      <c r="O202" s="646"/>
      <c r="P202" s="646"/>
      <c r="Q202" s="645"/>
      <c r="R202" s="646"/>
      <c r="S202" s="646"/>
      <c r="T202" s="646"/>
      <c r="U202" s="646"/>
      <c r="V202" s="646"/>
      <c r="W202" s="646"/>
      <c r="X202" s="646"/>
      <c r="Y202" s="646"/>
      <c r="Z202" s="646"/>
      <c r="AA202" s="646"/>
      <c r="AB202" s="646"/>
      <c r="AC202" s="646"/>
      <c r="AD202" s="646"/>
      <c r="AE202" s="646"/>
      <c r="AF202" s="646"/>
      <c r="AG202" s="646"/>
      <c r="AH202" s="646"/>
      <c r="AI202" s="646"/>
      <c r="AJ202" s="646"/>
      <c r="AK202" s="646"/>
      <c r="AL202" s="646"/>
      <c r="AM202" s="646"/>
      <c r="AN202" s="646"/>
      <c r="AO202" s="652"/>
      <c r="AP202" s="646"/>
      <c r="AQ202" s="646"/>
      <c r="AR202" s="648"/>
      <c r="AS202" s="646"/>
      <c r="AT202" s="646"/>
      <c r="AU202" s="646"/>
      <c r="AV202" s="646"/>
      <c r="AW202" s="646"/>
      <c r="AX202" s="643"/>
      <c r="AY202" s="652"/>
      <c r="AZ202" s="646"/>
      <c r="BA202" s="646"/>
      <c r="BB202" s="646"/>
      <c r="BC202" s="643"/>
      <c r="BD202" s="646"/>
      <c r="BE202" s="646"/>
      <c r="BF202" s="646"/>
      <c r="BG202" s="646"/>
      <c r="BH202" s="646"/>
      <c r="BI202" s="646">
        <v>241</v>
      </c>
      <c r="BJ202" s="646">
        <v>241</v>
      </c>
      <c r="BK202" s="646"/>
      <c r="BL202" s="646"/>
      <c r="BM202" s="643"/>
      <c r="BN202" s="647"/>
      <c r="BO202" s="648"/>
      <c r="BP202" s="643"/>
      <c r="BQ202" s="649" t="str">
        <f>IFERROR(WWWW[[#This Row],['#_Water sources treated]]/WWWW[[#This Row],['#_Water sources tested for contamination]],"no test")</f>
        <v>no test</v>
      </c>
      <c r="BR202" s="648" t="str">
        <f>IFERROR(WWWW[[#This Row],['#_Household received remediation action due to contamination]]/WWWW[[#This Row],['#_Household water samples tested for contamination]],"no test")</f>
        <v>no test</v>
      </c>
      <c r="BS202" s="647" t="str">
        <f>IF(AND(WWWW[[#This Row],[% of water sources treated]]="no test",WWWW[[#This Row],[% Household received corrective actions]]="no test"),"No Test","Tested")</f>
        <v>No Test</v>
      </c>
      <c r="BT202" s="647">
        <f>WWWW[[#This Row],['#_Constructed/existing protected hand dug well]]-WWWW[[#This Row],['#_Non-functional protected hand dug well]]</f>
        <v>0</v>
      </c>
      <c r="BU202" s="647">
        <f>(WWWW[[#This Row],['#_Constructed/Existing tube wells/boreholes/handpumps_WASH_agency]]+WWWW[[#This Row],['#_Non-Cluster partner water tube-wells/boreholes/handpumps]])-WWWW[[#This Row],['#_Non-functional tube wells/boreholes/handpumps]]</f>
        <v>0</v>
      </c>
      <c r="BV202" s="647">
        <f>WWWW[[#This Row],['#_Constructed/Existingwater storage tank with gravity fed reticulation system]]-WWWW[[#This Row],['#_Non-functional storage tank gravity fed reticulation system]]</f>
        <v>0</v>
      </c>
      <c r="BW202" s="647">
        <f>WWWW[[#This Row],['#_Water boating or water trucking]]</f>
        <v>0</v>
      </c>
      <c r="BX202" s="647">
        <f>WWWW[[#This Row],['#_Constructed/Existing water distribution system from river or natural spring]]</f>
        <v>0</v>
      </c>
      <c r="BY202"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02"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02" s="648">
        <f>IF(WWWW[[#This Row],[Location Type 1]]="Village",WWWW[[#This Row],[Access to safe drinking water for Village]],WWWW[[#This Row],[Access to safe drinking water for Camp]])</f>
        <v>0</v>
      </c>
      <c r="CB202" s="645">
        <f>WWWW[[#This Row],[%Equitable and continuous access to sufficient quantity of safe drinking water]]*WWWW[[#This Row],[Total PoP ]]</f>
        <v>0</v>
      </c>
      <c r="CC202" s="648">
        <f>IF((WWWW[[#This Row],['#_Constructed/Existing protected/fenced ponds]]*250)/WWWW[[#This Row],[Total PoP ]]&gt;1,1,(WWWW[[#This Row],['#_Constructed/Existing protected/fenced ponds]]*250)/WWWW[[#This Row],[Total PoP ]])</f>
        <v>0</v>
      </c>
      <c r="CD202" s="645">
        <f>WWWW[[#This Row],[% Access to unimproved water points]]*WWWW[[#This Row],[Total PoP ]]</f>
        <v>0</v>
      </c>
      <c r="CE202"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02"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02" s="645">
        <f>WWWW[[#This Row],[HRP1]]/500</f>
        <v>0</v>
      </c>
      <c r="CH202" s="650">
        <f>1-WWWW[[#This Row],[% Equitable and continuous access to sufficient quantity of domestic water]]</f>
        <v>1</v>
      </c>
      <c r="CI202" s="645">
        <f>WWWW[[#This Row],[%equitable and continuous access to sufficient quantity of safe drinking and domestic water''s GAP]]*WWWW[[#This Row],[Total PoP ]]</f>
        <v>1397</v>
      </c>
      <c r="CJ202" s="647">
        <f>IF(WWWW[[#This Row],[Total required water points]]-WWWW[[#This Row],['#Water points coverage]]&lt;0,0,WWWW[[#This Row],[Total required water points]]-WWWW[[#This Row],['#Water points coverage]])</f>
        <v>3</v>
      </c>
      <c r="CK202" s="647">
        <f>ROUND(IF(WWWW[[#This Row],[Total PoP ]]&lt;500,1,WWWW[[#This Row],[Total PoP ]]/500),0)</f>
        <v>3</v>
      </c>
      <c r="CL202" s="647">
        <f>(WWWW[[#This Row],['#_Constructed latrines_by_WASHAgencies]]+WWWW[[#This Row],['#_Non Cluster partner latrines]])-WWWW[[#This Row],['#_Non-functional latrines]]</f>
        <v>0</v>
      </c>
      <c r="CM202"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02"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02"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02" s="647" t="str">
        <f>IF(WWWW[[#This Row],[Location Type 1]]="Village","NA",IF(WWWW[[#This Row],['#_Constructed/Existing latrines in TLS]]*50&gt;WWWW[[#This Row],['#_students at TLS_CFS]],WWWW[[#This Row],['#_students at TLS_CFS]],(WWWW[[#This Row],['#_Constructed/Existing latrines in TLS]]*50)))</f>
        <v>NA</v>
      </c>
      <c r="CQ202" s="647">
        <f>ROUND(IF(WWWW[[#This Row],[Location Type 1]]="camp",WWWW[[#This Row],[Total PoP ]]/20,IF(WWWW[[#This Row],[Location Type 1]]="Temporary Location",WWWW[[#This Row],[Total PoP ]]/50,(WWWW[[#This Row],[Total PoP ]]/6))),0)</f>
        <v>233</v>
      </c>
      <c r="CR202" s="647">
        <f>IF(WWWW[[#This Row],[Total required Latrines]]-(WWWW[[#This Row],['#_Constructed latrines_by_WASHAgencies]]+WWWW[[#This Row],['#_Non Cluster partner latrines]])&lt;0,0,WWWW[[#This Row],[Total required Latrines]]-(WWWW[[#This Row],['#_Constructed latrines_by_WASHAgencies]]+WWWW[[#This Row],['#_Non Cluster partner latrines]]))</f>
        <v>233</v>
      </c>
      <c r="CS202" s="79">
        <f>1-WWWW[[#This Row],[% people access to functioning Latrine]]</f>
        <v>1</v>
      </c>
      <c r="CT202" s="649">
        <f>IF(OR(WWWW[[#This Row],['#_Non-functional latrines]]="",WWWW[[#This Row],['#_Non-functional latrines]]=0),0,WWWW[[#This Row],['#_Non-functional latrines]]/(WWWW[[#This Row],['#_Constructed latrines_by_WASHAgencies]]+WWWW[[#This Row],['#_Non Cluster partner latrines]]))</f>
        <v>0</v>
      </c>
      <c r="CU202" s="645">
        <f>IF(500*(WWWW[[#This Row],['#_male hygiene promoters]]+WWWW[[#This Row],['#_female hygiene promoters]])&gt;WWWW[[#This Row],[Total PoP ]],WWWW[[#This Row],[Total PoP ]],500*(WWWW[[#This Row],['#_male hygiene promoters]]+WWWW[[#This Row],['#_female hygiene promoters]]))</f>
        <v>1397</v>
      </c>
      <c r="CV202"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02"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02" s="647">
        <f>IF(WWWW[[#This Row],['# People with access to soap]]&gt;WWWW[[#This Row],['# People with access to Sanity Pads]],WWWW[[#This Row],['# People with access to soap]],WWWW[[#This Row],['# People with access to Sanity Pads]])</f>
        <v>0</v>
      </c>
      <c r="CY202" s="647">
        <f>IF(WWWW[[#This Row],['# people reached by regular dedicated hygiene promotion_5]]&gt;WWWW[[#This Row],['# People received regular supply of hygiene items_6]],WWWW[[#This Row],['# people reached by regular dedicated hygiene promotion_5]],WWWW[[#This Row],['# People received regular supply of hygiene items_6]])</f>
        <v>1397</v>
      </c>
      <c r="CZ202" s="650">
        <f>IF(WWWW[[#This Row],[HRP3]]/WWWW[[#This Row],[Total PoP ]]&gt;100%,100%,WWWW[[#This Row],[HRP3]]/WWWW[[#This Row],[Total PoP ]])</f>
        <v>1</v>
      </c>
      <c r="DA202" s="649">
        <f>1-WWWW[[#This Row],[Hygiene Coverage%]]</f>
        <v>0</v>
      </c>
      <c r="DB202" s="648">
        <f>WWWW[[#This Row],['# people reached by regular dedicated hygiene promotion_5]]/WWWW[[#This Row],[Total PoP ]]</f>
        <v>1</v>
      </c>
      <c r="DC202" s="648">
        <f>IF(WWWW[[#This Row],['#_households that received standard amount of soap for this quarter]]/WWWW[[#This Row],[Total HH]]&gt;1,1,WWWW[[#This Row],['#_households that received standard amount of soap for this quarter]]/WWWW[[#This Row],[Total HH]])</f>
        <v>0</v>
      </c>
      <c r="DD202" s="648">
        <f>IF(WWWW[[#This Row],['#_households that received standard amount of sanitary pads for this quarter]]/WWWW[[#This Row],[Total HH]]&gt;1,1,WWWW[[#This Row],['#_households that received standard amount of sanitary pads for this quarter]]/WWWW[[#This Row],[Total HH]])</f>
        <v>0</v>
      </c>
      <c r="DE202" s="647">
        <f>WWWW[[#This Row],['#_Constructed/Existing hand washing stations]]-WWWW[[#This Row],['#_Non-Functional_hand_washing_stations]]</f>
        <v>0</v>
      </c>
      <c r="DF202" s="667">
        <f>IF(WWWW[[#This Row],['# Functional hand washing stations during reporting period]]*20&gt;WWWW[[#This Row],[Total HH]],WWWW[[#This Row],[Total HH]],WWWW[[#This Row],['# Functional hand washing stations during reporting period]]*20)</f>
        <v>0</v>
      </c>
      <c r="DG202" s="645">
        <f>IF(WWWW[[#This Row],[Is sufficient soap available for TLS? (Yes/No)]]="yes",WWWW[[#This Row],['#_Constructed/Existing hand washing stations at TLS]],0)</f>
        <v>0</v>
      </c>
      <c r="DH202" s="645">
        <f>IF(WWWW[[#This Row],['# Functional hand washing stations during reporting period]]*100&gt;WWWW[[#This Row],[Total PoP ]],WWWW[[#This Row],[Total PoP ]],WWWW[[#This Row],['# Functional hand washing stations during reporting period]]*100)</f>
        <v>0</v>
      </c>
      <c r="DI202" s="645" t="str">
        <f>IF(WWWW[[#This Row],['#_students at TLS_CFS]]="","No","Yes")</f>
        <v>No</v>
      </c>
      <c r="DJ202" s="643">
        <f>VLOOKUP(WWWW[[#This Row],[Site Name]],SiteDB6[[Site Name]:[CCCM Management]],6,FALSE)</f>
        <v>0</v>
      </c>
      <c r="DK202" s="643">
        <f>VLOOKUP(WWWW[[#This Row],[Site Name]],SiteDB6[[Site Name]:[CCCM Focal Agency]],7,FALSE)</f>
        <v>0</v>
      </c>
      <c r="DL202" s="643" t="str">
        <f>VLOOKUP(WWWW[[#This Row],[Site Name]],SiteDB6[[Site Name]:[Location Type 1]],9,FALSE)</f>
        <v>Village</v>
      </c>
      <c r="DM202" s="643" t="str">
        <f>VLOOKUP(WWWW[[#This Row],[Site Name]],SiteDB6[[Site Name]:[Type of Accommodation]],10,FALSE)</f>
        <v>Village</v>
      </c>
      <c r="DN202" s="643" t="str">
        <f>VLOOKUP(WWWW[[#This Row],[Site Name]],SiteDB6[[Site Name]:[Ethnic or GCA/NGCA]],11,FALSE)</f>
        <v>Muslim</v>
      </c>
      <c r="DO202" s="643">
        <f>VLOOKUP(WWWW[[#This Row],[Site Name]],SiteDB6[[Site Name]:[Lat]],12,FALSE)</f>
        <v>20.872400280000001</v>
      </c>
      <c r="DP202" s="643">
        <f>VLOOKUP(WWWW[[#This Row],[Site Name]],SiteDB6[[Site Name]:[Long]],13,FALSE)</f>
        <v>92.337608340000003</v>
      </c>
      <c r="DQ202" s="643">
        <f>VLOOKUP(WWWW[[#This Row],[Site Name]],SiteDB6[[Site Name]:[Pcode]],3,FALSE)</f>
        <v>197971</v>
      </c>
      <c r="DR202" s="652" t="str">
        <f t="shared" si="7"/>
        <v>Covered</v>
      </c>
      <c r="DS202" s="652"/>
    </row>
    <row r="203" spans="1:123">
      <c r="A203" s="637" t="s">
        <v>2525</v>
      </c>
      <c r="B203" s="637" t="s">
        <v>305</v>
      </c>
      <c r="C203" s="644" t="s">
        <v>305</v>
      </c>
      <c r="D203" s="644" t="s">
        <v>345</v>
      </c>
      <c r="E203" s="663" t="s">
        <v>3014</v>
      </c>
      <c r="F203" s="644" t="s">
        <v>420</v>
      </c>
      <c r="G203" s="663" t="str">
        <f>VLOOKUP(WWWW[[#This Row],[Site Name]],SiteDB6[[Site Name]:[Location Type]],8,FALSE)</f>
        <v>Village</v>
      </c>
      <c r="H203" s="644" t="s">
        <v>3254</v>
      </c>
      <c r="I203" s="646">
        <v>43</v>
      </c>
      <c r="J203" s="646">
        <v>193</v>
      </c>
      <c r="K203" s="653">
        <v>43359</v>
      </c>
      <c r="L203" s="654">
        <v>43830</v>
      </c>
      <c r="M203" s="646"/>
      <c r="N203" s="646"/>
      <c r="O203" s="646"/>
      <c r="P203" s="646"/>
      <c r="Q203" s="645"/>
      <c r="R203" s="646"/>
      <c r="S203" s="646"/>
      <c r="T203" s="646"/>
      <c r="U203" s="646"/>
      <c r="V203" s="646"/>
      <c r="W203" s="646"/>
      <c r="X203" s="646"/>
      <c r="Y203" s="646"/>
      <c r="Z203" s="646"/>
      <c r="AA203" s="646"/>
      <c r="AB203" s="646"/>
      <c r="AC203" s="646"/>
      <c r="AD203" s="646"/>
      <c r="AE203" s="646"/>
      <c r="AF203" s="646"/>
      <c r="AG203" s="646"/>
      <c r="AH203" s="646"/>
      <c r="AI203" s="646"/>
      <c r="AJ203" s="646"/>
      <c r="AK203" s="646"/>
      <c r="AL203" s="646"/>
      <c r="AM203" s="646"/>
      <c r="AN203" s="646"/>
      <c r="AO203" s="652"/>
      <c r="AP203" s="646"/>
      <c r="AQ203" s="646"/>
      <c r="AR203" s="648"/>
      <c r="AS203" s="646"/>
      <c r="AT203" s="646"/>
      <c r="AU203" s="646"/>
      <c r="AV203" s="646"/>
      <c r="AW203" s="646"/>
      <c r="AX203" s="643"/>
      <c r="AY203" s="652"/>
      <c r="AZ203" s="646"/>
      <c r="BA203" s="646"/>
      <c r="BB203" s="646"/>
      <c r="BC203" s="643"/>
      <c r="BD203" s="646"/>
      <c r="BE203" s="646"/>
      <c r="BF203" s="646"/>
      <c r="BG203" s="646"/>
      <c r="BH203" s="646"/>
      <c r="BI203" s="646"/>
      <c r="BJ203" s="646"/>
      <c r="BK203" s="646"/>
      <c r="BL203" s="646"/>
      <c r="BM203" s="643"/>
      <c r="BN203" s="647"/>
      <c r="BO203" s="648"/>
      <c r="BP203" s="643"/>
      <c r="BQ203" s="649" t="str">
        <f>IFERROR(WWWW[[#This Row],['#_Water sources treated]]/WWWW[[#This Row],['#_Water sources tested for contamination]],"no test")</f>
        <v>no test</v>
      </c>
      <c r="BR203" s="648" t="str">
        <f>IFERROR(WWWW[[#This Row],['#_Household received remediation action due to contamination]]/WWWW[[#This Row],['#_Household water samples tested for contamination]],"no test")</f>
        <v>no test</v>
      </c>
      <c r="BS203" s="647" t="str">
        <f>IF(AND(WWWW[[#This Row],[% of water sources treated]]="no test",WWWW[[#This Row],[% Household received corrective actions]]="no test"),"No Test","Tested")</f>
        <v>No Test</v>
      </c>
      <c r="BT203" s="647">
        <f>WWWW[[#This Row],['#_Constructed/existing protected hand dug well]]-WWWW[[#This Row],['#_Non-functional protected hand dug well]]</f>
        <v>0</v>
      </c>
      <c r="BU203" s="647">
        <f>(WWWW[[#This Row],['#_Constructed/Existing tube wells/boreholes/handpumps_WASH_agency]]+WWWW[[#This Row],['#_Non-Cluster partner water tube-wells/boreholes/handpumps]])-WWWW[[#This Row],['#_Non-functional tube wells/boreholes/handpumps]]</f>
        <v>0</v>
      </c>
      <c r="BV203" s="647">
        <f>WWWW[[#This Row],['#_Constructed/Existingwater storage tank with gravity fed reticulation system]]-WWWW[[#This Row],['#_Non-functional storage tank gravity fed reticulation system]]</f>
        <v>0</v>
      </c>
      <c r="BW203" s="647">
        <f>WWWW[[#This Row],['#_Water boating or water trucking]]</f>
        <v>0</v>
      </c>
      <c r="BX203" s="647">
        <f>WWWW[[#This Row],['#_Constructed/Existing water distribution system from river or natural spring]]</f>
        <v>0</v>
      </c>
      <c r="BY203"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03"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03" s="648">
        <f>IF(WWWW[[#This Row],[Location Type 1]]="Village",WWWW[[#This Row],[Access to safe drinking water for Village]],WWWW[[#This Row],[Access to safe drinking water for Camp]])</f>
        <v>0</v>
      </c>
      <c r="CB203" s="645">
        <f>WWWW[[#This Row],[%Equitable and continuous access to sufficient quantity of safe drinking water]]*WWWW[[#This Row],[Total PoP ]]</f>
        <v>0</v>
      </c>
      <c r="CC203" s="648">
        <f>IF((WWWW[[#This Row],['#_Constructed/Existing protected/fenced ponds]]*250)/WWWW[[#This Row],[Total PoP ]]&gt;1,1,(WWWW[[#This Row],['#_Constructed/Existing protected/fenced ponds]]*250)/WWWW[[#This Row],[Total PoP ]])</f>
        <v>0</v>
      </c>
      <c r="CD203" s="645">
        <f>WWWW[[#This Row],[% Access to unimproved water points]]*WWWW[[#This Row],[Total PoP ]]</f>
        <v>0</v>
      </c>
      <c r="CE203"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03"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03" s="645">
        <f>WWWW[[#This Row],[HRP1]]/500</f>
        <v>0</v>
      </c>
      <c r="CH203" s="650">
        <f>1-WWWW[[#This Row],[% Equitable and continuous access to sufficient quantity of domestic water]]</f>
        <v>1</v>
      </c>
      <c r="CI203" s="645">
        <f>WWWW[[#This Row],[%equitable and continuous access to sufficient quantity of safe drinking and domestic water''s GAP]]*WWWW[[#This Row],[Total PoP ]]</f>
        <v>193</v>
      </c>
      <c r="CJ203" s="647">
        <f>IF(WWWW[[#This Row],[Total required water points]]-WWWW[[#This Row],['#Water points coverage]]&lt;0,0,WWWW[[#This Row],[Total required water points]]-WWWW[[#This Row],['#Water points coverage]])</f>
        <v>1</v>
      </c>
      <c r="CK203" s="647">
        <f>ROUND(IF(WWWW[[#This Row],[Total PoP ]]&lt;500,1,WWWW[[#This Row],[Total PoP ]]/500),0)</f>
        <v>1</v>
      </c>
      <c r="CL203" s="647">
        <f>(WWWW[[#This Row],['#_Constructed latrines_by_WASHAgencies]]+WWWW[[#This Row],['#_Non Cluster partner latrines]])-WWWW[[#This Row],['#_Non-functional latrines]]</f>
        <v>0</v>
      </c>
      <c r="CM203"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03"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03"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03" s="647" t="str">
        <f>IF(WWWW[[#This Row],[Location Type 1]]="Village","NA",IF(WWWW[[#This Row],['#_Constructed/Existing latrines in TLS]]*50&gt;WWWW[[#This Row],['#_students at TLS_CFS]],WWWW[[#This Row],['#_students at TLS_CFS]],(WWWW[[#This Row],['#_Constructed/Existing latrines in TLS]]*50)))</f>
        <v>NA</v>
      </c>
      <c r="CQ203" s="647">
        <f>ROUND(IF(WWWW[[#This Row],[Location Type 1]]="camp",WWWW[[#This Row],[Total PoP ]]/20,IF(WWWW[[#This Row],[Location Type 1]]="Temporary Location",WWWW[[#This Row],[Total PoP ]]/50,(WWWW[[#This Row],[Total PoP ]]/6))),0)</f>
        <v>32</v>
      </c>
      <c r="CR203" s="647">
        <f>IF(WWWW[[#This Row],[Total required Latrines]]-(WWWW[[#This Row],['#_Constructed latrines_by_WASHAgencies]]+WWWW[[#This Row],['#_Non Cluster partner latrines]])&lt;0,0,WWWW[[#This Row],[Total required Latrines]]-(WWWW[[#This Row],['#_Constructed latrines_by_WASHAgencies]]+WWWW[[#This Row],['#_Non Cluster partner latrines]]))</f>
        <v>32</v>
      </c>
      <c r="CS203" s="79">
        <f>1-WWWW[[#This Row],[% people access to functioning Latrine]]</f>
        <v>1</v>
      </c>
      <c r="CT203" s="649">
        <f>IF(OR(WWWW[[#This Row],['#_Non-functional latrines]]="",WWWW[[#This Row],['#_Non-functional latrines]]=0),0,WWWW[[#This Row],['#_Non-functional latrines]]/(WWWW[[#This Row],['#_Constructed latrines_by_WASHAgencies]]+WWWW[[#This Row],['#_Non Cluster partner latrines]]))</f>
        <v>0</v>
      </c>
      <c r="CU203" s="645">
        <f>IF(500*(WWWW[[#This Row],['#_male hygiene promoters]]+WWWW[[#This Row],['#_female hygiene promoters]])&gt;WWWW[[#This Row],[Total PoP ]],WWWW[[#This Row],[Total PoP ]],500*(WWWW[[#This Row],['#_male hygiene promoters]]+WWWW[[#This Row],['#_female hygiene promoters]]))</f>
        <v>0</v>
      </c>
      <c r="CV203"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03"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03" s="647">
        <f>IF(WWWW[[#This Row],['# People with access to soap]]&gt;WWWW[[#This Row],['# People with access to Sanity Pads]],WWWW[[#This Row],['# People with access to soap]],WWWW[[#This Row],['# People with access to Sanity Pads]])</f>
        <v>0</v>
      </c>
      <c r="CY203"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03" s="650">
        <f>IF(WWWW[[#This Row],[HRP3]]/WWWW[[#This Row],[Total PoP ]]&gt;100%,100%,WWWW[[#This Row],[HRP3]]/WWWW[[#This Row],[Total PoP ]])</f>
        <v>0</v>
      </c>
      <c r="DA203" s="649">
        <f>1-WWWW[[#This Row],[Hygiene Coverage%]]</f>
        <v>1</v>
      </c>
      <c r="DB203" s="648">
        <f>WWWW[[#This Row],['# people reached by regular dedicated hygiene promotion_5]]/WWWW[[#This Row],[Total PoP ]]</f>
        <v>0</v>
      </c>
      <c r="DC203" s="648">
        <f>IF(WWWW[[#This Row],['#_households that received standard amount of soap for this quarter]]/WWWW[[#This Row],[Total HH]]&gt;1,1,WWWW[[#This Row],['#_households that received standard amount of soap for this quarter]]/WWWW[[#This Row],[Total HH]])</f>
        <v>0</v>
      </c>
      <c r="DD203" s="648">
        <f>IF(WWWW[[#This Row],['#_households that received standard amount of sanitary pads for this quarter]]/WWWW[[#This Row],[Total HH]]&gt;1,1,WWWW[[#This Row],['#_households that received standard amount of sanitary pads for this quarter]]/WWWW[[#This Row],[Total HH]])</f>
        <v>0</v>
      </c>
      <c r="DE203" s="647">
        <f>WWWW[[#This Row],['#_Constructed/Existing hand washing stations]]-WWWW[[#This Row],['#_Non-Functional_hand_washing_stations]]</f>
        <v>0</v>
      </c>
      <c r="DF203" s="667">
        <f>IF(WWWW[[#This Row],['# Functional hand washing stations during reporting period]]*20&gt;WWWW[[#This Row],[Total HH]],WWWW[[#This Row],[Total HH]],WWWW[[#This Row],['# Functional hand washing stations during reporting period]]*20)</f>
        <v>0</v>
      </c>
      <c r="DG203" s="645">
        <f>IF(WWWW[[#This Row],[Is sufficient soap available for TLS? (Yes/No)]]="yes",WWWW[[#This Row],['#_Constructed/Existing hand washing stations at TLS]],0)</f>
        <v>0</v>
      </c>
      <c r="DH203" s="645">
        <f>IF(WWWW[[#This Row],['# Functional hand washing stations during reporting period]]*100&gt;WWWW[[#This Row],[Total PoP ]],WWWW[[#This Row],[Total PoP ]],WWWW[[#This Row],['# Functional hand washing stations during reporting period]]*100)</f>
        <v>0</v>
      </c>
      <c r="DI203" s="645" t="str">
        <f>IF(WWWW[[#This Row],['#_students at TLS_CFS]]="","No","Yes")</f>
        <v>No</v>
      </c>
      <c r="DJ203" s="643">
        <f>VLOOKUP(WWWW[[#This Row],[Site Name]],SiteDB6[[Site Name]:[CCCM Management]],6,FALSE)</f>
        <v>0</v>
      </c>
      <c r="DK203" s="643">
        <f>VLOOKUP(WWWW[[#This Row],[Site Name]],SiteDB6[[Site Name]:[CCCM Focal Agency]],7,FALSE)</f>
        <v>0</v>
      </c>
      <c r="DL203" s="643" t="str">
        <f>VLOOKUP(WWWW[[#This Row],[Site Name]],SiteDB6[[Site Name]:[Location Type 1]],9,FALSE)</f>
        <v>Village</v>
      </c>
      <c r="DM203" s="643" t="str">
        <f>VLOOKUP(WWWW[[#This Row],[Site Name]],SiteDB6[[Site Name]:[Type of Accommodation]],10,FALSE)</f>
        <v>Village</v>
      </c>
      <c r="DN203" s="643">
        <f>VLOOKUP(WWWW[[#This Row],[Site Name]],SiteDB6[[Site Name]:[Ethnic or GCA/NGCA]],11,FALSE)</f>
        <v>0</v>
      </c>
      <c r="DO203" s="643">
        <f>VLOOKUP(WWWW[[#This Row],[Site Name]],SiteDB6[[Site Name]:[Lat]],12,FALSE)</f>
        <v>19.9233303070068</v>
      </c>
      <c r="DP203" s="643">
        <f>VLOOKUP(WWWW[[#This Row],[Site Name]],SiteDB6[[Site Name]:[Long]],13,FALSE)</f>
        <v>93.018592834472699</v>
      </c>
      <c r="DQ203" s="643">
        <f>VLOOKUP(WWWW[[#This Row],[Site Name]],SiteDB6[[Site Name]:[Pcode]],3,FALSE)</f>
        <v>197547</v>
      </c>
      <c r="DR203" s="652" t="str">
        <f t="shared" si="7"/>
        <v>Covered</v>
      </c>
      <c r="DS203" s="652"/>
    </row>
    <row r="204" spans="1:123">
      <c r="A204" s="637" t="s">
        <v>2525</v>
      </c>
      <c r="B204" s="637" t="s">
        <v>305</v>
      </c>
      <c r="C204" s="644" t="s">
        <v>305</v>
      </c>
      <c r="D204" s="644" t="s">
        <v>345</v>
      </c>
      <c r="E204" s="663" t="s">
        <v>3014</v>
      </c>
      <c r="F204" s="644" t="s">
        <v>420</v>
      </c>
      <c r="G204" s="663" t="str">
        <f>VLOOKUP(WWWW[[#This Row],[Site Name]],SiteDB6[[Site Name]:[Location Type]],8,FALSE)</f>
        <v>Village</v>
      </c>
      <c r="H204" s="644" t="s">
        <v>2829</v>
      </c>
      <c r="I204" s="646">
        <v>38</v>
      </c>
      <c r="J204" s="646">
        <v>81</v>
      </c>
      <c r="K204" s="653">
        <v>43359</v>
      </c>
      <c r="L204" s="654">
        <v>43830</v>
      </c>
      <c r="M204" s="646"/>
      <c r="N204" s="646"/>
      <c r="O204" s="646"/>
      <c r="P204" s="646"/>
      <c r="Q204" s="645"/>
      <c r="R204" s="646"/>
      <c r="S204" s="646"/>
      <c r="T204" s="646"/>
      <c r="U204" s="646"/>
      <c r="V204" s="646"/>
      <c r="W204" s="646"/>
      <c r="X204" s="646"/>
      <c r="Y204" s="646"/>
      <c r="Z204" s="646"/>
      <c r="AA204" s="646"/>
      <c r="AB204" s="646"/>
      <c r="AC204" s="646"/>
      <c r="AD204" s="646"/>
      <c r="AE204" s="646"/>
      <c r="AF204" s="646"/>
      <c r="AG204" s="646"/>
      <c r="AH204" s="646"/>
      <c r="AI204" s="646"/>
      <c r="AJ204" s="646"/>
      <c r="AK204" s="646"/>
      <c r="AL204" s="646"/>
      <c r="AM204" s="646"/>
      <c r="AN204" s="646"/>
      <c r="AO204" s="652"/>
      <c r="AP204" s="646"/>
      <c r="AQ204" s="646"/>
      <c r="AR204" s="648"/>
      <c r="AS204" s="646"/>
      <c r="AT204" s="646"/>
      <c r="AU204" s="646"/>
      <c r="AV204" s="646"/>
      <c r="AW204" s="646"/>
      <c r="AX204" s="643"/>
      <c r="AY204" s="652"/>
      <c r="AZ204" s="646"/>
      <c r="BA204" s="646"/>
      <c r="BB204" s="646"/>
      <c r="BC204" s="643"/>
      <c r="BD204" s="646"/>
      <c r="BE204" s="646"/>
      <c r="BF204" s="646"/>
      <c r="BG204" s="646"/>
      <c r="BH204" s="646"/>
      <c r="BI204" s="646"/>
      <c r="BJ204" s="646"/>
      <c r="BK204" s="646"/>
      <c r="BL204" s="646"/>
      <c r="BM204" s="643"/>
      <c r="BN204" s="647"/>
      <c r="BO204" s="648"/>
      <c r="BP204" s="643"/>
      <c r="BQ204" s="649" t="str">
        <f>IFERROR(WWWW[[#This Row],['#_Water sources treated]]/WWWW[[#This Row],['#_Water sources tested for contamination]],"no test")</f>
        <v>no test</v>
      </c>
      <c r="BR204" s="648" t="str">
        <f>IFERROR(WWWW[[#This Row],['#_Household received remediation action due to contamination]]/WWWW[[#This Row],['#_Household water samples tested for contamination]],"no test")</f>
        <v>no test</v>
      </c>
      <c r="BS204" s="647" t="str">
        <f>IF(AND(WWWW[[#This Row],[% of water sources treated]]="no test",WWWW[[#This Row],[% Household received corrective actions]]="no test"),"No Test","Tested")</f>
        <v>No Test</v>
      </c>
      <c r="BT204" s="647">
        <f>WWWW[[#This Row],['#_Constructed/existing protected hand dug well]]-WWWW[[#This Row],['#_Non-functional protected hand dug well]]</f>
        <v>0</v>
      </c>
      <c r="BU204" s="647">
        <f>(WWWW[[#This Row],['#_Constructed/Existing tube wells/boreholes/handpumps_WASH_agency]]+WWWW[[#This Row],['#_Non-Cluster partner water tube-wells/boreholes/handpumps]])-WWWW[[#This Row],['#_Non-functional tube wells/boreholes/handpumps]]</f>
        <v>0</v>
      </c>
      <c r="BV204" s="647">
        <f>WWWW[[#This Row],['#_Constructed/Existingwater storage tank with gravity fed reticulation system]]-WWWW[[#This Row],['#_Non-functional storage tank gravity fed reticulation system]]</f>
        <v>0</v>
      </c>
      <c r="BW204" s="647">
        <f>WWWW[[#This Row],['#_Water boating or water trucking]]</f>
        <v>0</v>
      </c>
      <c r="BX204" s="647">
        <f>WWWW[[#This Row],['#_Constructed/Existing water distribution system from river or natural spring]]</f>
        <v>0</v>
      </c>
      <c r="BY204"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04"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04" s="648">
        <f>IF(WWWW[[#This Row],[Location Type 1]]="Village",WWWW[[#This Row],[Access to safe drinking water for Village]],WWWW[[#This Row],[Access to safe drinking water for Camp]])</f>
        <v>0</v>
      </c>
      <c r="CB204" s="645">
        <f>WWWW[[#This Row],[%Equitable and continuous access to sufficient quantity of safe drinking water]]*WWWW[[#This Row],[Total PoP ]]</f>
        <v>0</v>
      </c>
      <c r="CC204" s="648">
        <f>IF((WWWW[[#This Row],['#_Constructed/Existing protected/fenced ponds]]*250)/WWWW[[#This Row],[Total PoP ]]&gt;1,1,(WWWW[[#This Row],['#_Constructed/Existing protected/fenced ponds]]*250)/WWWW[[#This Row],[Total PoP ]])</f>
        <v>0</v>
      </c>
      <c r="CD204" s="645">
        <f>WWWW[[#This Row],[% Access to unimproved water points]]*WWWW[[#This Row],[Total PoP ]]</f>
        <v>0</v>
      </c>
      <c r="CE204"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04"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04" s="645">
        <f>WWWW[[#This Row],[HRP1]]/500</f>
        <v>0</v>
      </c>
      <c r="CH204" s="650">
        <f>1-WWWW[[#This Row],[% Equitable and continuous access to sufficient quantity of domestic water]]</f>
        <v>1</v>
      </c>
      <c r="CI204" s="645">
        <f>WWWW[[#This Row],[%equitable and continuous access to sufficient quantity of safe drinking and domestic water''s GAP]]*WWWW[[#This Row],[Total PoP ]]</f>
        <v>81</v>
      </c>
      <c r="CJ204" s="647">
        <f>IF(WWWW[[#This Row],[Total required water points]]-WWWW[[#This Row],['#Water points coverage]]&lt;0,0,WWWW[[#This Row],[Total required water points]]-WWWW[[#This Row],['#Water points coverage]])</f>
        <v>1</v>
      </c>
      <c r="CK204" s="647">
        <f>ROUND(IF(WWWW[[#This Row],[Total PoP ]]&lt;500,1,WWWW[[#This Row],[Total PoP ]]/500),0)</f>
        <v>1</v>
      </c>
      <c r="CL204" s="647">
        <f>(WWWW[[#This Row],['#_Constructed latrines_by_WASHAgencies]]+WWWW[[#This Row],['#_Non Cluster partner latrines]])-WWWW[[#This Row],['#_Non-functional latrines]]</f>
        <v>0</v>
      </c>
      <c r="CM204"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04"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04"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04" s="647" t="str">
        <f>IF(WWWW[[#This Row],[Location Type 1]]="Village","NA",IF(WWWW[[#This Row],['#_Constructed/Existing latrines in TLS]]*50&gt;WWWW[[#This Row],['#_students at TLS_CFS]],WWWW[[#This Row],['#_students at TLS_CFS]],(WWWW[[#This Row],['#_Constructed/Existing latrines in TLS]]*50)))</f>
        <v>NA</v>
      </c>
      <c r="CQ204" s="647">
        <f>ROUND(IF(WWWW[[#This Row],[Location Type 1]]="camp",WWWW[[#This Row],[Total PoP ]]/20,IF(WWWW[[#This Row],[Location Type 1]]="Temporary Location",WWWW[[#This Row],[Total PoP ]]/50,(WWWW[[#This Row],[Total PoP ]]/6))),0)</f>
        <v>14</v>
      </c>
      <c r="CR204" s="647">
        <f>IF(WWWW[[#This Row],[Total required Latrines]]-(WWWW[[#This Row],['#_Constructed latrines_by_WASHAgencies]]+WWWW[[#This Row],['#_Non Cluster partner latrines]])&lt;0,0,WWWW[[#This Row],[Total required Latrines]]-(WWWW[[#This Row],['#_Constructed latrines_by_WASHAgencies]]+WWWW[[#This Row],['#_Non Cluster partner latrines]]))</f>
        <v>14</v>
      </c>
      <c r="CS204" s="79">
        <f>1-WWWW[[#This Row],[% people access to functioning Latrine]]</f>
        <v>1</v>
      </c>
      <c r="CT204" s="649">
        <f>IF(OR(WWWW[[#This Row],['#_Non-functional latrines]]="",WWWW[[#This Row],['#_Non-functional latrines]]=0),0,WWWW[[#This Row],['#_Non-functional latrines]]/(WWWW[[#This Row],['#_Constructed latrines_by_WASHAgencies]]+WWWW[[#This Row],['#_Non Cluster partner latrines]]))</f>
        <v>0</v>
      </c>
      <c r="CU204" s="645">
        <f>IF(500*(WWWW[[#This Row],['#_male hygiene promoters]]+WWWW[[#This Row],['#_female hygiene promoters]])&gt;WWWW[[#This Row],[Total PoP ]],WWWW[[#This Row],[Total PoP ]],500*(WWWW[[#This Row],['#_male hygiene promoters]]+WWWW[[#This Row],['#_female hygiene promoters]]))</f>
        <v>0</v>
      </c>
      <c r="CV204"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04"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04" s="647">
        <f>IF(WWWW[[#This Row],['# People with access to soap]]&gt;WWWW[[#This Row],['# People with access to Sanity Pads]],WWWW[[#This Row],['# People with access to soap]],WWWW[[#This Row],['# People with access to Sanity Pads]])</f>
        <v>0</v>
      </c>
      <c r="CY204"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04" s="650">
        <f>IF(WWWW[[#This Row],[HRP3]]/WWWW[[#This Row],[Total PoP ]]&gt;100%,100%,WWWW[[#This Row],[HRP3]]/WWWW[[#This Row],[Total PoP ]])</f>
        <v>0</v>
      </c>
      <c r="DA204" s="649">
        <f>1-WWWW[[#This Row],[Hygiene Coverage%]]</f>
        <v>1</v>
      </c>
      <c r="DB204" s="648">
        <f>WWWW[[#This Row],['# people reached by regular dedicated hygiene promotion_5]]/WWWW[[#This Row],[Total PoP ]]</f>
        <v>0</v>
      </c>
      <c r="DC204" s="648">
        <f>IF(WWWW[[#This Row],['#_households that received standard amount of soap for this quarter]]/WWWW[[#This Row],[Total HH]]&gt;1,1,WWWW[[#This Row],['#_households that received standard amount of soap for this quarter]]/WWWW[[#This Row],[Total HH]])</f>
        <v>0</v>
      </c>
      <c r="DD204" s="648">
        <f>IF(WWWW[[#This Row],['#_households that received standard amount of sanitary pads for this quarter]]/WWWW[[#This Row],[Total HH]]&gt;1,1,WWWW[[#This Row],['#_households that received standard amount of sanitary pads for this quarter]]/WWWW[[#This Row],[Total HH]])</f>
        <v>0</v>
      </c>
      <c r="DE204" s="647">
        <f>WWWW[[#This Row],['#_Constructed/Existing hand washing stations]]-WWWW[[#This Row],['#_Non-Functional_hand_washing_stations]]</f>
        <v>0</v>
      </c>
      <c r="DF204" s="667">
        <f>IF(WWWW[[#This Row],['# Functional hand washing stations during reporting period]]*20&gt;WWWW[[#This Row],[Total HH]],WWWW[[#This Row],[Total HH]],WWWW[[#This Row],['# Functional hand washing stations during reporting period]]*20)</f>
        <v>0</v>
      </c>
      <c r="DG204" s="645">
        <f>IF(WWWW[[#This Row],[Is sufficient soap available for TLS? (Yes/No)]]="yes",WWWW[[#This Row],['#_Constructed/Existing hand washing stations at TLS]],0)</f>
        <v>0</v>
      </c>
      <c r="DH204" s="645">
        <f>IF(WWWW[[#This Row],['# Functional hand washing stations during reporting period]]*100&gt;WWWW[[#This Row],[Total PoP ]],WWWW[[#This Row],[Total PoP ]],WWWW[[#This Row],['# Functional hand washing stations during reporting period]]*100)</f>
        <v>0</v>
      </c>
      <c r="DI204" s="645" t="str">
        <f>IF(WWWW[[#This Row],['#_students at TLS_CFS]]="","No","Yes")</f>
        <v>No</v>
      </c>
      <c r="DJ204" s="643">
        <f>VLOOKUP(WWWW[[#This Row],[Site Name]],SiteDB6[[Site Name]:[CCCM Management]],6,FALSE)</f>
        <v>0</v>
      </c>
      <c r="DK204" s="643">
        <f>VLOOKUP(WWWW[[#This Row],[Site Name]],SiteDB6[[Site Name]:[CCCM Focal Agency]],7,FALSE)</f>
        <v>0</v>
      </c>
      <c r="DL204" s="643" t="str">
        <f>VLOOKUP(WWWW[[#This Row],[Site Name]],SiteDB6[[Site Name]:[Location Type 1]],9,FALSE)</f>
        <v>Village</v>
      </c>
      <c r="DM204" s="643" t="str">
        <f>VLOOKUP(WWWW[[#This Row],[Site Name]],SiteDB6[[Site Name]:[Type of Accommodation]],10,FALSE)</f>
        <v>Village</v>
      </c>
      <c r="DN204" s="643">
        <f>VLOOKUP(WWWW[[#This Row],[Site Name]],SiteDB6[[Site Name]:[Ethnic or GCA/NGCA]],11,FALSE)</f>
        <v>0</v>
      </c>
      <c r="DO204" s="643">
        <f>VLOOKUP(WWWW[[#This Row],[Site Name]],SiteDB6[[Site Name]:[Lat]],12,FALSE)</f>
        <v>20.005199432373001</v>
      </c>
      <c r="DP204" s="643">
        <f>VLOOKUP(WWWW[[#This Row],[Site Name]],SiteDB6[[Site Name]:[Long]],13,FALSE)</f>
        <v>92.948463439941406</v>
      </c>
      <c r="DQ204" s="643">
        <f>VLOOKUP(WWWW[[#This Row],[Site Name]],SiteDB6[[Site Name]:[Pcode]],3,FALSE)</f>
        <v>197565</v>
      </c>
      <c r="DR204" s="652" t="str">
        <f t="shared" si="7"/>
        <v>Covered</v>
      </c>
      <c r="DS204" s="652"/>
    </row>
    <row r="205" spans="1:123">
      <c r="A205" s="637" t="s">
        <v>2525</v>
      </c>
      <c r="B205" s="637" t="s">
        <v>305</v>
      </c>
      <c r="C205" s="644" t="s">
        <v>305</v>
      </c>
      <c r="D205" s="644" t="s">
        <v>252</v>
      </c>
      <c r="E205" s="663" t="s">
        <v>3014</v>
      </c>
      <c r="F205" s="912" t="s">
        <v>420</v>
      </c>
      <c r="G205" s="663" t="str">
        <f>VLOOKUP(WWWW[[#This Row],[Site Name]],SiteDB6[[Site Name]:[Location Type]],8,FALSE)</f>
        <v>Village</v>
      </c>
      <c r="H205" s="644" t="s">
        <v>426</v>
      </c>
      <c r="I205" s="646">
        <v>204</v>
      </c>
      <c r="J205" s="646">
        <v>1055</v>
      </c>
      <c r="K205" s="653">
        <v>43556</v>
      </c>
      <c r="L205" s="654">
        <v>43921</v>
      </c>
      <c r="M205" s="646">
        <v>0</v>
      </c>
      <c r="N205" s="646">
        <v>0</v>
      </c>
      <c r="O205" s="646">
        <v>3</v>
      </c>
      <c r="P205" s="646">
        <v>0</v>
      </c>
      <c r="Q205" s="645" t="s">
        <v>144</v>
      </c>
      <c r="R205" s="646">
        <v>1</v>
      </c>
      <c r="S205" s="646">
        <v>2</v>
      </c>
      <c r="T205" s="646">
        <v>0</v>
      </c>
      <c r="U205" s="646"/>
      <c r="V205" s="646"/>
      <c r="W205" s="646"/>
      <c r="X205" s="646"/>
      <c r="Y205" s="646"/>
      <c r="Z205" s="646"/>
      <c r="AA205" s="646"/>
      <c r="AB205" s="646"/>
      <c r="AC205" s="646"/>
      <c r="AD205" s="646"/>
      <c r="AE205" s="646">
        <v>4</v>
      </c>
      <c r="AF205" s="646"/>
      <c r="AG205" s="646"/>
      <c r="AH205" s="646">
        <v>4</v>
      </c>
      <c r="AI205" s="646">
        <v>4</v>
      </c>
      <c r="AJ205" s="646"/>
      <c r="AK205" s="646">
        <v>109</v>
      </c>
      <c r="AL205" s="646"/>
      <c r="AM205" s="646"/>
      <c r="AN205" s="646"/>
      <c r="AO205" s="652"/>
      <c r="AP205" s="646">
        <v>79</v>
      </c>
      <c r="AQ205" s="646"/>
      <c r="AR205" s="648"/>
      <c r="AS205" s="646"/>
      <c r="AT205" s="646"/>
      <c r="AU205" s="646"/>
      <c r="AV205" s="646"/>
      <c r="AW205" s="646">
        <v>79</v>
      </c>
      <c r="AX205" s="920" t="s">
        <v>43</v>
      </c>
      <c r="AY205" s="950" t="s">
        <v>145</v>
      </c>
      <c r="AZ205" s="646"/>
      <c r="BA205" s="646"/>
      <c r="BB205" s="646"/>
      <c r="BC205" s="643"/>
      <c r="BD205" s="646">
        <v>0</v>
      </c>
      <c r="BE205" s="646"/>
      <c r="BF205" s="646"/>
      <c r="BG205" s="646"/>
      <c r="BH205" s="646"/>
      <c r="BI205" s="646">
        <v>1</v>
      </c>
      <c r="BJ205" s="646">
        <v>2</v>
      </c>
      <c r="BK205" s="646"/>
      <c r="BL205" s="646"/>
      <c r="BM205" s="643"/>
      <c r="BN205" s="647"/>
      <c r="BO205" s="648"/>
      <c r="BP205" s="643"/>
      <c r="BQ205" s="649">
        <f>IFERROR(WWWW[[#This Row],['#_Water sources treated]]/WWWW[[#This Row],['#_Water sources tested for contamination]],"no test")</f>
        <v>0</v>
      </c>
      <c r="BR205" s="648">
        <f>IFERROR(WWWW[[#This Row],['#_Household received remediation action due to contamination]]/WWWW[[#This Row],['#_Household water samples tested for contamination]],"no test")</f>
        <v>0</v>
      </c>
      <c r="BS205" s="647" t="str">
        <f>IF(AND(WWWW[[#This Row],[% of water sources treated]]="no test",WWWW[[#This Row],[% Household received corrective actions]]="no test"),"No Test","Tested")</f>
        <v>Tested</v>
      </c>
      <c r="BT205" s="647">
        <f>WWWW[[#This Row],['#_Constructed/existing protected hand dug well]]-WWWW[[#This Row],['#_Non-functional protected hand dug well]]</f>
        <v>0</v>
      </c>
      <c r="BU205" s="647">
        <f>(WWWW[[#This Row],['#_Constructed/Existing tube wells/boreholes/handpumps_WASH_agency]]+WWWW[[#This Row],['#_Non-Cluster partner water tube-wells/boreholes/handpumps]])-WWWW[[#This Row],['#_Non-functional tube wells/boreholes/handpumps]]</f>
        <v>0</v>
      </c>
      <c r="BV205" s="647">
        <f>WWWW[[#This Row],['#_Constructed/Existingwater storage tank with gravity fed reticulation system]]-WWWW[[#This Row],['#_Non-functional storage tank gravity fed reticulation system]]</f>
        <v>0</v>
      </c>
      <c r="BW205" s="647">
        <f>WWWW[[#This Row],['#_Water boating or water trucking]]</f>
        <v>0</v>
      </c>
      <c r="BX205" s="647">
        <f>WWWW[[#This Row],['#_Constructed/Existing water distribution system from river or natural spring]]</f>
        <v>0</v>
      </c>
      <c r="BY205"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05"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05" s="648">
        <f>IF(WWWW[[#This Row],[Location Type 1]]="Village",WWWW[[#This Row],[Access to safe drinking water for Village]],WWWW[[#This Row],[Access to safe drinking water for Camp]])</f>
        <v>0</v>
      </c>
      <c r="CB205" s="645">
        <f>WWWW[[#This Row],[%Equitable and continuous access to sufficient quantity of safe drinking water]]*WWWW[[#This Row],[Total PoP ]]</f>
        <v>0</v>
      </c>
      <c r="CC205" s="648">
        <f>IF((WWWW[[#This Row],['#_Constructed/Existing protected/fenced ponds]]*250)/WWWW[[#This Row],[Total PoP ]]&gt;1,1,(WWWW[[#This Row],['#_Constructed/Existing protected/fenced ponds]]*250)/WWWW[[#This Row],[Total PoP ]])</f>
        <v>0.94786729857819907</v>
      </c>
      <c r="CD205" s="645">
        <f>WWWW[[#This Row],[% Access to unimproved water points]]*WWWW[[#This Row],[Total PoP ]]</f>
        <v>1000</v>
      </c>
      <c r="CE205"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0.94786729857819907</v>
      </c>
      <c r="CF205"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1000</v>
      </c>
      <c r="CG205" s="645">
        <f>WWWW[[#This Row],[HRP1]]/500</f>
        <v>2</v>
      </c>
      <c r="CH205" s="650">
        <f>1-WWWW[[#This Row],[% Equitable and continuous access to sufficient quantity of domestic water]]</f>
        <v>5.2132701421800931E-2</v>
      </c>
      <c r="CI205" s="645">
        <f>WWWW[[#This Row],[%equitable and continuous access to sufficient quantity of safe drinking and domestic water''s GAP]]*WWWW[[#This Row],[Total PoP ]]</f>
        <v>54.999999999999986</v>
      </c>
      <c r="CJ205" s="647">
        <f>IF(WWWW[[#This Row],[Total required water points]]-WWWW[[#This Row],['#Water points coverage]]&lt;0,0,WWWW[[#This Row],[Total required water points]]-WWWW[[#This Row],['#Water points coverage]])</f>
        <v>0</v>
      </c>
      <c r="CK205" s="647">
        <f>ROUND(IF(WWWW[[#This Row],[Total PoP ]]&lt;500,1,WWWW[[#This Row],[Total PoP ]]/500),0)</f>
        <v>2</v>
      </c>
      <c r="CL205" s="647">
        <f>(WWWW[[#This Row],['#_Constructed latrines_by_WASHAgencies]]+WWWW[[#This Row],['#_Non Cluster partner latrines]])-WWWW[[#This Row],['#_Non-functional latrines]]</f>
        <v>79</v>
      </c>
      <c r="CM205"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0.44928909952606633</v>
      </c>
      <c r="CN205"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474</v>
      </c>
      <c r="CO205"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05" s="647" t="str">
        <f>IF(WWWW[[#This Row],[Location Type 1]]="Village","NA",IF(WWWW[[#This Row],['#_Constructed/Existing latrines in TLS]]*50&gt;WWWW[[#This Row],['#_students at TLS_CFS]],WWWW[[#This Row],['#_students at TLS_CFS]],(WWWW[[#This Row],['#_Constructed/Existing latrines in TLS]]*50)))</f>
        <v>NA</v>
      </c>
      <c r="CQ205" s="647">
        <f>ROUND(IF(WWWW[[#This Row],[Location Type 1]]="camp",WWWW[[#This Row],[Total PoP ]]/20,IF(WWWW[[#This Row],[Location Type 1]]="Temporary Location",WWWW[[#This Row],[Total PoP ]]/50,(WWWW[[#This Row],[Total PoP ]]/6))),0)</f>
        <v>176</v>
      </c>
      <c r="CR205" s="647">
        <f>IF(WWWW[[#This Row],[Total required Latrines]]-(WWWW[[#This Row],['#_Constructed latrines_by_WASHAgencies]]+WWWW[[#This Row],['#_Non Cluster partner latrines]])&lt;0,0,WWWW[[#This Row],[Total required Latrines]]-(WWWW[[#This Row],['#_Constructed latrines_by_WASHAgencies]]+WWWW[[#This Row],['#_Non Cluster partner latrines]]))</f>
        <v>97</v>
      </c>
      <c r="CS205" s="79">
        <f>1-WWWW[[#This Row],[% people access to functioning Latrine]]</f>
        <v>0.55071090047393367</v>
      </c>
      <c r="CT205" s="649">
        <f>IF(OR(WWWW[[#This Row],['#_Non-functional latrines]]="",WWWW[[#This Row],['#_Non-functional latrines]]=0),0,WWWW[[#This Row],['#_Non-functional latrines]]/(WWWW[[#This Row],['#_Constructed latrines_by_WASHAgencies]]+WWWW[[#This Row],['#_Non Cluster partner latrines]]))</f>
        <v>0</v>
      </c>
      <c r="CU205" s="645">
        <f>IF(500*(WWWW[[#This Row],['#_male hygiene promoters]]+WWWW[[#This Row],['#_female hygiene promoters]])&gt;WWWW[[#This Row],[Total PoP ]],WWWW[[#This Row],[Total PoP ]],500*(WWWW[[#This Row],['#_male hygiene promoters]]+WWWW[[#This Row],['#_female hygiene promoters]]))</f>
        <v>1055</v>
      </c>
      <c r="CV205"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05"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05" s="647">
        <f>IF(WWWW[[#This Row],['# People with access to soap]]&gt;WWWW[[#This Row],['# People with access to Sanity Pads]],WWWW[[#This Row],['# People with access to soap]],WWWW[[#This Row],['# People with access to Sanity Pads]])</f>
        <v>0</v>
      </c>
      <c r="CY205" s="647">
        <f>IF(WWWW[[#This Row],['# people reached by regular dedicated hygiene promotion_5]]&gt;WWWW[[#This Row],['# People received regular supply of hygiene items_6]],WWWW[[#This Row],['# people reached by regular dedicated hygiene promotion_5]],WWWW[[#This Row],['# People received regular supply of hygiene items_6]])</f>
        <v>1055</v>
      </c>
      <c r="CZ205" s="650">
        <f>IF(WWWW[[#This Row],[HRP3]]/WWWW[[#This Row],[Total PoP ]]&gt;100%,100%,WWWW[[#This Row],[HRP3]]/WWWW[[#This Row],[Total PoP ]])</f>
        <v>1</v>
      </c>
      <c r="DA205" s="649">
        <f>1-WWWW[[#This Row],[Hygiene Coverage%]]</f>
        <v>0</v>
      </c>
      <c r="DB205" s="648">
        <f>WWWW[[#This Row],['# people reached by regular dedicated hygiene promotion_5]]/WWWW[[#This Row],[Total PoP ]]</f>
        <v>1</v>
      </c>
      <c r="DC205" s="648">
        <f>IF(WWWW[[#This Row],['#_households that received standard amount of soap for this quarter]]/WWWW[[#This Row],[Total HH]]&gt;1,1,WWWW[[#This Row],['#_households that received standard amount of soap for this quarter]]/WWWW[[#This Row],[Total HH]])</f>
        <v>0</v>
      </c>
      <c r="DD205" s="648">
        <f>IF(WWWW[[#This Row],['#_households that received standard amount of sanitary pads for this quarter]]/WWWW[[#This Row],[Total HH]]&gt;1,1,WWWW[[#This Row],['#_households that received standard amount of sanitary pads for this quarter]]/WWWW[[#This Row],[Total HH]])</f>
        <v>0</v>
      </c>
      <c r="DE205" s="647">
        <f>WWWW[[#This Row],['#_Constructed/Existing hand washing stations]]-WWWW[[#This Row],['#_Non-Functional_hand_washing_stations]]</f>
        <v>0</v>
      </c>
      <c r="DF205" s="667">
        <f>IF(WWWW[[#This Row],['# Functional hand washing stations during reporting period]]*20&gt;WWWW[[#This Row],[Total HH]],WWWW[[#This Row],[Total HH]],WWWW[[#This Row],['# Functional hand washing stations during reporting period]]*20)</f>
        <v>0</v>
      </c>
      <c r="DG205" s="645">
        <f>IF(WWWW[[#This Row],[Is sufficient soap available for TLS? (Yes/No)]]="yes",WWWW[[#This Row],['#_Constructed/Existing hand washing stations at TLS]],0)</f>
        <v>0</v>
      </c>
      <c r="DH205" s="645">
        <f>IF(WWWW[[#This Row],['# Functional hand washing stations during reporting period]]*100&gt;WWWW[[#This Row],[Total PoP ]],WWWW[[#This Row],[Total PoP ]],WWWW[[#This Row],['# Functional hand washing stations during reporting period]]*100)</f>
        <v>0</v>
      </c>
      <c r="DI205" s="645" t="str">
        <f>IF(WWWW[[#This Row],['#_students at TLS_CFS]]="","No","Yes")</f>
        <v>Yes</v>
      </c>
      <c r="DJ205" s="643">
        <f>VLOOKUP(WWWW[[#This Row],[Site Name]],SiteDB6[[Site Name]:[CCCM Management]],6,FALSE)</f>
        <v>0</v>
      </c>
      <c r="DK205" s="643">
        <f>VLOOKUP(WWWW[[#This Row],[Site Name]],SiteDB6[[Site Name]:[CCCM Focal Agency]],7,FALSE)</f>
        <v>0</v>
      </c>
      <c r="DL205" s="643" t="str">
        <f>VLOOKUP(WWWW[[#This Row],[Site Name]],SiteDB6[[Site Name]:[Location Type 1]],9,FALSE)</f>
        <v>Village</v>
      </c>
      <c r="DM205" s="643" t="str">
        <f>VLOOKUP(WWWW[[#This Row],[Site Name]],SiteDB6[[Site Name]:[Type of Accommodation]],10,FALSE)</f>
        <v>Village</v>
      </c>
      <c r="DN205" s="643" t="str">
        <f>VLOOKUP(WWWW[[#This Row],[Site Name]],SiteDB6[[Site Name]:[Ethnic or GCA/NGCA]],11,FALSE)</f>
        <v>Rakhine</v>
      </c>
      <c r="DO205" s="643">
        <f>VLOOKUP(WWWW[[#This Row],[Site Name]],SiteDB6[[Site Name]:[Lat]],12,FALSE)</f>
        <v>20.0839</v>
      </c>
      <c r="DP205" s="643">
        <f>VLOOKUP(WWWW[[#This Row],[Site Name]],SiteDB6[[Site Name]:[Long]],13,FALSE)</f>
        <v>92.993799999999993</v>
      </c>
      <c r="DQ205" s="643">
        <f>VLOOKUP(WWWW[[#This Row],[Site Name]],SiteDB6[[Site Name]:[Pcode]],3,FALSE)</f>
        <v>197557</v>
      </c>
      <c r="DR205" s="652" t="str">
        <f t="shared" si="7"/>
        <v>Covered</v>
      </c>
      <c r="DS205" s="652"/>
    </row>
    <row r="206" spans="1:123">
      <c r="A206" s="637" t="s">
        <v>2525</v>
      </c>
      <c r="B206" s="637" t="s">
        <v>305</v>
      </c>
      <c r="C206" s="644" t="s">
        <v>305</v>
      </c>
      <c r="D206" s="644" t="s">
        <v>252</v>
      </c>
      <c r="E206" s="663" t="s">
        <v>3014</v>
      </c>
      <c r="F206" s="644" t="s">
        <v>420</v>
      </c>
      <c r="G206" s="663" t="str">
        <f>VLOOKUP(WWWW[[#This Row],[Site Name]],SiteDB6[[Site Name]:[Location Type]],8,FALSE)</f>
        <v>Camp</v>
      </c>
      <c r="H206" s="644" t="s">
        <v>423</v>
      </c>
      <c r="I206" s="646">
        <v>744</v>
      </c>
      <c r="J206" s="646">
        <v>2810</v>
      </c>
      <c r="K206" s="653">
        <v>43556</v>
      </c>
      <c r="L206" s="654">
        <v>43921</v>
      </c>
      <c r="M206" s="646">
        <v>510</v>
      </c>
      <c r="N206" s="646">
        <v>3</v>
      </c>
      <c r="O206" s="646">
        <v>15</v>
      </c>
      <c r="P206" s="646">
        <v>0</v>
      </c>
      <c r="Q206" s="645" t="s">
        <v>43</v>
      </c>
      <c r="R206" s="646">
        <v>13</v>
      </c>
      <c r="S206" s="646">
        <v>5</v>
      </c>
      <c r="T206" s="646">
        <v>25</v>
      </c>
      <c r="U206" s="646"/>
      <c r="V206" s="646">
        <v>25</v>
      </c>
      <c r="W206" s="646">
        <v>10</v>
      </c>
      <c r="X206" s="646"/>
      <c r="Y206" s="646"/>
      <c r="Z206" s="646">
        <v>10</v>
      </c>
      <c r="AA206" s="646">
        <v>2</v>
      </c>
      <c r="AB206" s="646"/>
      <c r="AC206" s="646">
        <v>2</v>
      </c>
      <c r="AD206" s="646"/>
      <c r="AE206" s="646">
        <v>1</v>
      </c>
      <c r="AF206" s="646"/>
      <c r="AG206" s="646"/>
      <c r="AH206" s="646">
        <v>1</v>
      </c>
      <c r="AI206" s="646">
        <v>1</v>
      </c>
      <c r="AJ206" s="646"/>
      <c r="AK206" s="646"/>
      <c r="AL206" s="646"/>
      <c r="AM206" s="646">
        <v>75</v>
      </c>
      <c r="AN206" s="646">
        <v>3</v>
      </c>
      <c r="AO206" s="652"/>
      <c r="AP206" s="646">
        <v>370</v>
      </c>
      <c r="AQ206" s="646"/>
      <c r="AR206" s="648"/>
      <c r="AS206" s="646"/>
      <c r="AT206" s="646">
        <v>370</v>
      </c>
      <c r="AU206" s="646">
        <v>370</v>
      </c>
      <c r="AV206" s="646"/>
      <c r="AW206" s="646">
        <v>370</v>
      </c>
      <c r="AX206" s="920" t="s">
        <v>43</v>
      </c>
      <c r="AY206" s="950" t="s">
        <v>145</v>
      </c>
      <c r="AZ206" s="646">
        <v>4</v>
      </c>
      <c r="BA206" s="646">
        <v>15</v>
      </c>
      <c r="BB206" s="646">
        <v>10</v>
      </c>
      <c r="BC206" s="643"/>
      <c r="BD206" s="646">
        <v>77</v>
      </c>
      <c r="BE206" s="646"/>
      <c r="BF206" s="646">
        <v>660</v>
      </c>
      <c r="BG206" s="646"/>
      <c r="BH206" s="646"/>
      <c r="BI206" s="646">
        <v>4</v>
      </c>
      <c r="BJ206" s="646">
        <v>4</v>
      </c>
      <c r="BK206" s="925">
        <v>744</v>
      </c>
      <c r="BL206" s="925">
        <v>744</v>
      </c>
      <c r="BM206" s="920" t="s">
        <v>43</v>
      </c>
      <c r="BN206" s="647">
        <v>13</v>
      </c>
      <c r="BO206" s="648"/>
      <c r="BP206" s="643"/>
      <c r="BQ206" s="649">
        <f>IFERROR(WWWW[[#This Row],['#_Water sources treated]]/WWWW[[#This Row],['#_Water sources tested for contamination]],"no test")</f>
        <v>0</v>
      </c>
      <c r="BR206" s="648" t="str">
        <f>IFERROR(WWWW[[#This Row],['#_Household received remediation action due to contamination]]/WWWW[[#This Row],['#_Household water samples tested for contamination]],"no test")</f>
        <v>no test</v>
      </c>
      <c r="BS206" s="647" t="str">
        <f>IF(AND(WWWW[[#This Row],[% of water sources treated]]="no test",WWWW[[#This Row],[% Household received corrective actions]]="no test"),"No Test","Tested")</f>
        <v>Tested</v>
      </c>
      <c r="BT206" s="647">
        <f>WWWW[[#This Row],['#_Constructed/existing protected hand dug well]]-WWWW[[#This Row],['#_Non-functional protected hand dug well]]</f>
        <v>25</v>
      </c>
      <c r="BU206" s="647">
        <f>(WWWW[[#This Row],['#_Constructed/Existing tube wells/boreholes/handpumps_WASH_agency]]+WWWW[[#This Row],['#_Non-Cluster partner water tube-wells/boreholes/handpumps]])-WWWW[[#This Row],['#_Non-functional tube wells/boreholes/handpumps]]</f>
        <v>10</v>
      </c>
      <c r="BV206" s="647">
        <f>WWWW[[#This Row],['#_Constructed/Existingwater storage tank with gravity fed reticulation system]]-WWWW[[#This Row],['#_Non-functional storage tank gravity fed reticulation system]]</f>
        <v>2</v>
      </c>
      <c r="BW206" s="647">
        <f>WWWW[[#This Row],['#_Water boating or water trucking]]</f>
        <v>0</v>
      </c>
      <c r="BX206" s="647">
        <f>WWWW[[#This Row],['#_Constructed/Existing water distribution system from river or natural spring]]</f>
        <v>0</v>
      </c>
      <c r="BY206"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206"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206" s="648">
        <f>IF(WWWW[[#This Row],[Location Type 1]]="Village",WWWW[[#This Row],[Access to safe drinking water for Village]],WWWW[[#This Row],[Access to safe drinking water for Camp]])</f>
        <v>1</v>
      </c>
      <c r="CB206" s="645">
        <f>WWWW[[#This Row],[%Equitable and continuous access to sufficient quantity of safe drinking water]]*WWWW[[#This Row],[Total PoP ]]</f>
        <v>2810</v>
      </c>
      <c r="CC206" s="648">
        <f>IF((WWWW[[#This Row],['#_Constructed/Existing protected/fenced ponds]]*250)/WWWW[[#This Row],[Total PoP ]]&gt;1,1,(WWWW[[#This Row],['#_Constructed/Existing protected/fenced ponds]]*250)/WWWW[[#This Row],[Total PoP ]])</f>
        <v>8.8967971530249115E-2</v>
      </c>
      <c r="CD206" s="645">
        <f>WWWW[[#This Row],[% Access to unimproved water points]]*WWWW[[#This Row],[Total PoP ]]</f>
        <v>250</v>
      </c>
      <c r="CE206"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206"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2810</v>
      </c>
      <c r="CG206" s="645">
        <f>WWWW[[#This Row],[HRP1]]/500</f>
        <v>5.62</v>
      </c>
      <c r="CH206" s="650">
        <f>1-WWWW[[#This Row],[% Equitable and continuous access to sufficient quantity of domestic water]]</f>
        <v>0</v>
      </c>
      <c r="CI206" s="645">
        <f>WWWW[[#This Row],[%equitable and continuous access to sufficient quantity of safe drinking and domestic water''s GAP]]*WWWW[[#This Row],[Total PoP ]]</f>
        <v>0</v>
      </c>
      <c r="CJ206" s="647">
        <f>IF(WWWW[[#This Row],[Total required water points]]-WWWW[[#This Row],['#Water points coverage]]&lt;0,0,WWWW[[#This Row],[Total required water points]]-WWWW[[#This Row],['#Water points coverage]])</f>
        <v>0.37999999999999989</v>
      </c>
      <c r="CK206" s="647">
        <f>ROUND(IF(WWWW[[#This Row],[Total PoP ]]&lt;500,1,WWWW[[#This Row],[Total PoP ]]/500),0)</f>
        <v>6</v>
      </c>
      <c r="CL206" s="647">
        <f>(WWWW[[#This Row],['#_Constructed latrines_by_WASHAgencies]]+WWWW[[#This Row],['#_Non Cluster partner latrines]])-WWWW[[#This Row],['#_Non-functional latrines]]</f>
        <v>370</v>
      </c>
      <c r="CM206"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206"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2810</v>
      </c>
      <c r="CO206"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2810</v>
      </c>
      <c r="CP206" s="647">
        <f>IF(WWWW[[#This Row],[Location Type 1]]="Village","NA",IF(WWWW[[#This Row],['#_Constructed/Existing latrines in TLS]]*50&gt;WWWW[[#This Row],['#_students at TLS_CFS]],WWWW[[#This Row],['#_students at TLS_CFS]],(WWWW[[#This Row],['#_Constructed/Existing latrines in TLS]]*50)))</f>
        <v>500</v>
      </c>
      <c r="CQ206" s="647">
        <f>ROUND(IF(WWWW[[#This Row],[Location Type 1]]="camp",WWWW[[#This Row],[Total PoP ]]/20,IF(WWWW[[#This Row],[Location Type 1]]="Temporary Location",WWWW[[#This Row],[Total PoP ]]/50,(WWWW[[#This Row],[Total PoP ]]/6))),0)</f>
        <v>141</v>
      </c>
      <c r="CR206" s="647">
        <f>IF(WWWW[[#This Row],[Total required Latrines]]-(WWWW[[#This Row],['#_Constructed latrines_by_WASHAgencies]]+WWWW[[#This Row],['#_Non Cluster partner latrines]])&lt;0,0,WWWW[[#This Row],[Total required Latrines]]-(WWWW[[#This Row],['#_Constructed latrines_by_WASHAgencies]]+WWWW[[#This Row],['#_Non Cluster partner latrines]]))</f>
        <v>0</v>
      </c>
      <c r="CS206" s="79">
        <f>1-WWWW[[#This Row],[% people access to functioning Latrine]]</f>
        <v>0</v>
      </c>
      <c r="CT206" s="649">
        <f>IF(OR(WWWW[[#This Row],['#_Non-functional latrines]]="",WWWW[[#This Row],['#_Non-functional latrines]]=0),0,WWWW[[#This Row],['#_Non-functional latrines]]/(WWWW[[#This Row],['#_Constructed latrines_by_WASHAgencies]]+WWWW[[#This Row],['#_Non Cluster partner latrines]]))</f>
        <v>0</v>
      </c>
      <c r="CU206" s="645">
        <f>IF(500*(WWWW[[#This Row],['#_male hygiene promoters]]+WWWW[[#This Row],['#_female hygiene promoters]])&gt;WWWW[[#This Row],[Total PoP ]],WWWW[[#This Row],[Total PoP ]],500*(WWWW[[#This Row],['#_male hygiene promoters]]+WWWW[[#This Row],['#_female hygiene promoters]]))</f>
        <v>2810</v>
      </c>
      <c r="CV206"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2810</v>
      </c>
      <c r="CW206"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2810</v>
      </c>
      <c r="CX206" s="647">
        <f>IF(WWWW[[#This Row],['# People with access to soap]]&gt;WWWW[[#This Row],['# People with access to Sanity Pads]],WWWW[[#This Row],['# People with access to soap]],WWWW[[#This Row],['# People with access to Sanity Pads]])</f>
        <v>2810</v>
      </c>
      <c r="CY206" s="647">
        <f>IF(WWWW[[#This Row],['# people reached by regular dedicated hygiene promotion_5]]&gt;WWWW[[#This Row],['# People received regular supply of hygiene items_6]],WWWW[[#This Row],['# people reached by regular dedicated hygiene promotion_5]],WWWW[[#This Row],['# People received regular supply of hygiene items_6]])</f>
        <v>2810</v>
      </c>
      <c r="CZ206" s="650">
        <f>IF(WWWW[[#This Row],[HRP3]]/WWWW[[#This Row],[Total PoP ]]&gt;100%,100%,WWWW[[#This Row],[HRP3]]/WWWW[[#This Row],[Total PoP ]])</f>
        <v>1</v>
      </c>
      <c r="DA206" s="649">
        <f>1-WWWW[[#This Row],[Hygiene Coverage%]]</f>
        <v>0</v>
      </c>
      <c r="DB206" s="648">
        <f>WWWW[[#This Row],['# people reached by regular dedicated hygiene promotion_5]]/WWWW[[#This Row],[Total PoP ]]</f>
        <v>1</v>
      </c>
      <c r="DC206" s="648">
        <f>IF(WWWW[[#This Row],['#_households that received standard amount of soap for this quarter]]/WWWW[[#This Row],[Total HH]]&gt;1,1,WWWW[[#This Row],['#_households that received standard amount of soap for this quarter]]/WWWW[[#This Row],[Total HH]])</f>
        <v>1</v>
      </c>
      <c r="DD206" s="648">
        <f>IF(WWWW[[#This Row],['#_households that received standard amount of sanitary pads for this quarter]]/WWWW[[#This Row],[Total HH]]&gt;1,1,WWWW[[#This Row],['#_households that received standard amount of sanitary pads for this quarter]]/WWWW[[#This Row],[Total HH]])</f>
        <v>1</v>
      </c>
      <c r="DE206" s="647">
        <f>WWWW[[#This Row],['#_Constructed/Existing hand washing stations]]-WWWW[[#This Row],['#_Non-Functional_hand_washing_stations]]</f>
        <v>77</v>
      </c>
      <c r="DF206" s="667">
        <f>IF(WWWW[[#This Row],['# Functional hand washing stations during reporting period]]*20&gt;WWWW[[#This Row],[Total HH]],WWWW[[#This Row],[Total HH]],WWWW[[#This Row],['# Functional hand washing stations during reporting period]]*20)</f>
        <v>744</v>
      </c>
      <c r="DG206" s="645">
        <f>IF(WWWW[[#This Row],[Is sufficient soap available for TLS? (Yes/No)]]="yes",WWWW[[#This Row],['#_Constructed/Existing hand washing stations at TLS]],0)</f>
        <v>75</v>
      </c>
      <c r="DH206" s="645">
        <f>IF(WWWW[[#This Row],['# Functional hand washing stations during reporting period]]*100&gt;WWWW[[#This Row],[Total PoP ]],WWWW[[#This Row],[Total PoP ]],WWWW[[#This Row],['# Functional hand washing stations during reporting period]]*100)</f>
        <v>2810</v>
      </c>
      <c r="DI206" s="645" t="str">
        <f>IF(WWWW[[#This Row],['#_students at TLS_CFS]]="","No","Yes")</f>
        <v>Yes</v>
      </c>
      <c r="DJ206" s="643" t="str">
        <f>VLOOKUP(WWWW[[#This Row],[Site Name]],SiteDB6[[Site Name]:[CCCM Management]],6,FALSE)</f>
        <v>Yes</v>
      </c>
      <c r="DK206" s="643">
        <f>VLOOKUP(WWWW[[#This Row],[Site Name]],SiteDB6[[Site Name]:[CCCM Focal Agency]],7,FALSE)</f>
        <v>0</v>
      </c>
      <c r="DL206" s="643" t="str">
        <f>VLOOKUP(WWWW[[#This Row],[Site Name]],SiteDB6[[Site Name]:[Location Type 1]],9,FALSE)</f>
        <v>Camp</v>
      </c>
      <c r="DM206" s="643" t="str">
        <f>VLOOKUP(WWWW[[#This Row],[Site Name]],SiteDB6[[Site Name]:[Type of Accommodation]],10,FALSE)</f>
        <v>Planned Camp</v>
      </c>
      <c r="DN206" s="643" t="str">
        <f>VLOOKUP(WWWW[[#This Row],[Site Name]],SiteDB6[[Site Name]:[Ethnic or GCA/NGCA]],11,FALSE)</f>
        <v>Muslim</v>
      </c>
      <c r="DO206" s="643">
        <f>VLOOKUP(WWWW[[#This Row],[Site Name]],SiteDB6[[Site Name]:[Lat]],12,FALSE)</f>
        <v>20.064226000000001</v>
      </c>
      <c r="DP206" s="643">
        <f>VLOOKUP(WWWW[[#This Row],[Site Name]],SiteDB6[[Site Name]:[Long]],13,FALSE)</f>
        <v>92.993758999999997</v>
      </c>
      <c r="DQ206" s="643" t="str">
        <f>VLOOKUP(WWWW[[#This Row],[Site Name]],SiteDB6[[Site Name]:[Pcode]],3,FALSE)</f>
        <v>MMR012CMP019</v>
      </c>
      <c r="DR206" s="652" t="str">
        <f t="shared" si="7"/>
        <v>Covered</v>
      </c>
      <c r="DS206" s="652"/>
    </row>
    <row r="207" spans="1:123">
      <c r="A207" s="637" t="s">
        <v>2525</v>
      </c>
      <c r="B207" s="637" t="s">
        <v>305</v>
      </c>
      <c r="C207" s="644" t="s">
        <v>305</v>
      </c>
      <c r="D207" s="644" t="s">
        <v>252</v>
      </c>
      <c r="E207" s="663" t="s">
        <v>3014</v>
      </c>
      <c r="F207" s="644" t="s">
        <v>420</v>
      </c>
      <c r="G207" s="663" t="str">
        <f>VLOOKUP(WWWW[[#This Row],[Site Name]],SiteDB6[[Site Name]:[Location Type]],8,FALSE)</f>
        <v>Village</v>
      </c>
      <c r="H207" s="644" t="s">
        <v>422</v>
      </c>
      <c r="I207" s="646">
        <v>948</v>
      </c>
      <c r="J207" s="646">
        <v>3946</v>
      </c>
      <c r="K207" s="653">
        <v>43556</v>
      </c>
      <c r="L207" s="654">
        <v>43921</v>
      </c>
      <c r="M207" s="646">
        <v>342</v>
      </c>
      <c r="N207" s="646">
        <v>1</v>
      </c>
      <c r="O207" s="646">
        <v>8</v>
      </c>
      <c r="P207" s="646">
        <v>0</v>
      </c>
      <c r="Q207" s="645" t="s">
        <v>144</v>
      </c>
      <c r="R207" s="646">
        <v>5</v>
      </c>
      <c r="S207" s="646">
        <v>4</v>
      </c>
      <c r="T207" s="646">
        <v>8</v>
      </c>
      <c r="U207" s="646"/>
      <c r="V207" s="646">
        <v>8</v>
      </c>
      <c r="W207" s="646">
        <v>59</v>
      </c>
      <c r="X207" s="646"/>
      <c r="Y207" s="646"/>
      <c r="Z207" s="646">
        <v>59</v>
      </c>
      <c r="AA207" s="646">
        <v>2</v>
      </c>
      <c r="AB207" s="646"/>
      <c r="AC207" s="646">
        <v>2</v>
      </c>
      <c r="AD207" s="646"/>
      <c r="AE207" s="646">
        <v>3</v>
      </c>
      <c r="AF207" s="646"/>
      <c r="AG207" s="646"/>
      <c r="AH207" s="646">
        <v>3</v>
      </c>
      <c r="AI207" s="646">
        <v>3</v>
      </c>
      <c r="AJ207" s="646"/>
      <c r="AK207" s="646">
        <v>148</v>
      </c>
      <c r="AL207" s="646"/>
      <c r="AM207" s="646">
        <v>15</v>
      </c>
      <c r="AN207" s="646">
        <v>2</v>
      </c>
      <c r="AO207" s="652"/>
      <c r="AP207" s="646">
        <v>343</v>
      </c>
      <c r="AQ207" s="646"/>
      <c r="AR207" s="648"/>
      <c r="AS207" s="646"/>
      <c r="AT207" s="646"/>
      <c r="AU207" s="646"/>
      <c r="AV207" s="646"/>
      <c r="AW207" s="646">
        <v>343</v>
      </c>
      <c r="AX207" s="920" t="s">
        <v>43</v>
      </c>
      <c r="AY207" s="950" t="s">
        <v>145</v>
      </c>
      <c r="AZ207" s="646">
        <v>4</v>
      </c>
      <c r="BA207" s="646">
        <v>0</v>
      </c>
      <c r="BB207" s="646">
        <v>10</v>
      </c>
      <c r="BC207" s="643"/>
      <c r="BD207" s="646">
        <v>17</v>
      </c>
      <c r="BE207" s="646"/>
      <c r="BF207" s="646"/>
      <c r="BG207" s="646"/>
      <c r="BH207" s="646"/>
      <c r="BI207" s="646">
        <v>4</v>
      </c>
      <c r="BJ207" s="646">
        <v>4</v>
      </c>
      <c r="BK207" s="646"/>
      <c r="BL207" s="646"/>
      <c r="BM207" s="920" t="s">
        <v>43</v>
      </c>
      <c r="BN207" s="647">
        <v>46</v>
      </c>
      <c r="BO207" s="648"/>
      <c r="BP207" s="643"/>
      <c r="BQ207" s="649">
        <f>IFERROR(WWWW[[#This Row],['#_Water sources treated]]/WWWW[[#This Row],['#_Water sources tested for contamination]],"no test")</f>
        <v>0</v>
      </c>
      <c r="BR207" s="648">
        <f>IFERROR(WWWW[[#This Row],['#_Household received remediation action due to contamination]]/WWWW[[#This Row],['#_Household water samples tested for contamination]],"no test")</f>
        <v>0</v>
      </c>
      <c r="BS207" s="647" t="str">
        <f>IF(AND(WWWW[[#This Row],[% of water sources treated]]="no test",WWWW[[#This Row],[% Household received corrective actions]]="no test"),"No Test","Tested")</f>
        <v>Tested</v>
      </c>
      <c r="BT207" s="647">
        <f>WWWW[[#This Row],['#_Constructed/existing protected hand dug well]]-WWWW[[#This Row],['#_Non-functional protected hand dug well]]</f>
        <v>8</v>
      </c>
      <c r="BU207" s="647">
        <f>(WWWW[[#This Row],['#_Constructed/Existing tube wells/boreholes/handpumps_WASH_agency]]+WWWW[[#This Row],['#_Non-Cluster partner water tube-wells/boreholes/handpumps]])-WWWW[[#This Row],['#_Non-functional tube wells/boreholes/handpumps]]</f>
        <v>59</v>
      </c>
      <c r="BV207" s="647">
        <f>WWWW[[#This Row],['#_Constructed/Existingwater storage tank with gravity fed reticulation system]]-WWWW[[#This Row],['#_Non-functional storage tank gravity fed reticulation system]]</f>
        <v>2</v>
      </c>
      <c r="BW207" s="647">
        <f>WWWW[[#This Row],['#_Water boating or water trucking]]</f>
        <v>0</v>
      </c>
      <c r="BX207" s="647">
        <f>WWWW[[#This Row],['#_Constructed/Existing water distribution system from river or natural spring]]</f>
        <v>0</v>
      </c>
      <c r="BY207"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207"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207" s="648">
        <f>IF(WWWW[[#This Row],[Location Type 1]]="Village",WWWW[[#This Row],[Access to safe drinking water for Village]],WWWW[[#This Row],[Access to safe drinking water for Camp]])</f>
        <v>1</v>
      </c>
      <c r="CB207" s="645">
        <f>WWWW[[#This Row],[%Equitable and continuous access to sufficient quantity of safe drinking water]]*WWWW[[#This Row],[Total PoP ]]</f>
        <v>3946</v>
      </c>
      <c r="CC207" s="648">
        <f>IF((WWWW[[#This Row],['#_Constructed/Existing protected/fenced ponds]]*250)/WWWW[[#This Row],[Total PoP ]]&gt;1,1,(WWWW[[#This Row],['#_Constructed/Existing protected/fenced ponds]]*250)/WWWW[[#This Row],[Total PoP ]])</f>
        <v>0.1900658895083629</v>
      </c>
      <c r="CD207" s="645">
        <f>WWWW[[#This Row],[% Access to unimproved water points]]*WWWW[[#This Row],[Total PoP ]]</f>
        <v>750</v>
      </c>
      <c r="CE207"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207"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3946</v>
      </c>
      <c r="CG207" s="645">
        <f>WWWW[[#This Row],[HRP1]]/500</f>
        <v>7.8920000000000003</v>
      </c>
      <c r="CH207" s="650">
        <f>1-WWWW[[#This Row],[% Equitable and continuous access to sufficient quantity of domestic water]]</f>
        <v>0</v>
      </c>
      <c r="CI207" s="645">
        <f>WWWW[[#This Row],[%equitable and continuous access to sufficient quantity of safe drinking and domestic water''s GAP]]*WWWW[[#This Row],[Total PoP ]]</f>
        <v>0</v>
      </c>
      <c r="CJ207" s="647">
        <f>IF(WWWW[[#This Row],[Total required water points]]-WWWW[[#This Row],['#Water points coverage]]&lt;0,0,WWWW[[#This Row],[Total required water points]]-WWWW[[#This Row],['#Water points coverage]])</f>
        <v>0.10799999999999965</v>
      </c>
      <c r="CK207" s="647">
        <f>ROUND(IF(WWWW[[#This Row],[Total PoP ]]&lt;500,1,WWWW[[#This Row],[Total PoP ]]/500),0)</f>
        <v>8</v>
      </c>
      <c r="CL207" s="647">
        <f>(WWWW[[#This Row],['#_Constructed latrines_by_WASHAgencies]]+WWWW[[#This Row],['#_Non Cluster partner latrines]])-WWWW[[#This Row],['#_Non-functional latrines]]</f>
        <v>343</v>
      </c>
      <c r="CM207"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0.52154080081094778</v>
      </c>
      <c r="CN207"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2058</v>
      </c>
      <c r="CO207"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07" s="647" t="str">
        <f>IF(WWWW[[#This Row],[Location Type 1]]="Village","NA",IF(WWWW[[#This Row],['#_Constructed/Existing latrines in TLS]]*50&gt;WWWW[[#This Row],['#_students at TLS_CFS]],WWWW[[#This Row],['#_students at TLS_CFS]],(WWWW[[#This Row],['#_Constructed/Existing latrines in TLS]]*50)))</f>
        <v>NA</v>
      </c>
      <c r="CQ207" s="647">
        <f>ROUND(IF(WWWW[[#This Row],[Location Type 1]]="camp",WWWW[[#This Row],[Total PoP ]]/20,IF(WWWW[[#This Row],[Location Type 1]]="Temporary Location",WWWW[[#This Row],[Total PoP ]]/50,(WWWW[[#This Row],[Total PoP ]]/6))),0)</f>
        <v>658</v>
      </c>
      <c r="CR207" s="647">
        <f>IF(WWWW[[#This Row],[Total required Latrines]]-(WWWW[[#This Row],['#_Constructed latrines_by_WASHAgencies]]+WWWW[[#This Row],['#_Non Cluster partner latrines]])&lt;0,0,WWWW[[#This Row],[Total required Latrines]]-(WWWW[[#This Row],['#_Constructed latrines_by_WASHAgencies]]+WWWW[[#This Row],['#_Non Cluster partner latrines]]))</f>
        <v>315</v>
      </c>
      <c r="CS207" s="79">
        <f>1-WWWW[[#This Row],[% people access to functioning Latrine]]</f>
        <v>0.47845919918905222</v>
      </c>
      <c r="CT207" s="649">
        <f>IF(OR(WWWW[[#This Row],['#_Non-functional latrines]]="",WWWW[[#This Row],['#_Non-functional latrines]]=0),0,WWWW[[#This Row],['#_Non-functional latrines]]/(WWWW[[#This Row],['#_Constructed latrines_by_WASHAgencies]]+WWWW[[#This Row],['#_Non Cluster partner latrines]]))</f>
        <v>0</v>
      </c>
      <c r="CU207" s="645">
        <f>IF(500*(WWWW[[#This Row],['#_male hygiene promoters]]+WWWW[[#This Row],['#_female hygiene promoters]])&gt;WWWW[[#This Row],[Total PoP ]],WWWW[[#This Row],[Total PoP ]],500*(WWWW[[#This Row],['#_male hygiene promoters]]+WWWW[[#This Row],['#_female hygiene promoters]]))</f>
        <v>3946</v>
      </c>
      <c r="CV207"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07"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07" s="647">
        <f>IF(WWWW[[#This Row],['# People with access to soap]]&gt;WWWW[[#This Row],['# People with access to Sanity Pads]],WWWW[[#This Row],['# People with access to soap]],WWWW[[#This Row],['# People with access to Sanity Pads]])</f>
        <v>0</v>
      </c>
      <c r="CY207" s="647">
        <f>IF(WWWW[[#This Row],['# people reached by regular dedicated hygiene promotion_5]]&gt;WWWW[[#This Row],['# People received regular supply of hygiene items_6]],WWWW[[#This Row],['# people reached by regular dedicated hygiene promotion_5]],WWWW[[#This Row],['# People received regular supply of hygiene items_6]])</f>
        <v>3946</v>
      </c>
      <c r="CZ207" s="650">
        <f>IF(WWWW[[#This Row],[HRP3]]/WWWW[[#This Row],[Total PoP ]]&gt;100%,100%,WWWW[[#This Row],[HRP3]]/WWWW[[#This Row],[Total PoP ]])</f>
        <v>1</v>
      </c>
      <c r="DA207" s="649">
        <f>1-WWWW[[#This Row],[Hygiene Coverage%]]</f>
        <v>0</v>
      </c>
      <c r="DB207" s="648">
        <f>WWWW[[#This Row],['# people reached by regular dedicated hygiene promotion_5]]/WWWW[[#This Row],[Total PoP ]]</f>
        <v>1</v>
      </c>
      <c r="DC207" s="648">
        <f>IF(WWWW[[#This Row],['#_households that received standard amount of soap for this quarter]]/WWWW[[#This Row],[Total HH]]&gt;1,1,WWWW[[#This Row],['#_households that received standard amount of soap for this quarter]]/WWWW[[#This Row],[Total HH]])</f>
        <v>0</v>
      </c>
      <c r="DD207" s="648">
        <f>IF(WWWW[[#This Row],['#_households that received standard amount of sanitary pads for this quarter]]/WWWW[[#This Row],[Total HH]]&gt;1,1,WWWW[[#This Row],['#_households that received standard amount of sanitary pads for this quarter]]/WWWW[[#This Row],[Total HH]])</f>
        <v>0</v>
      </c>
      <c r="DE207" s="647">
        <f>WWWW[[#This Row],['#_Constructed/Existing hand washing stations]]-WWWW[[#This Row],['#_Non-Functional_hand_washing_stations]]</f>
        <v>17</v>
      </c>
      <c r="DF207" s="667">
        <f>IF(WWWW[[#This Row],['# Functional hand washing stations during reporting period]]*20&gt;WWWW[[#This Row],[Total HH]],WWWW[[#This Row],[Total HH]],WWWW[[#This Row],['# Functional hand washing stations during reporting period]]*20)</f>
        <v>340</v>
      </c>
      <c r="DG207" s="645">
        <f>IF(WWWW[[#This Row],[Is sufficient soap available for TLS? (Yes/No)]]="yes",WWWW[[#This Row],['#_Constructed/Existing hand washing stations at TLS]],0)</f>
        <v>15</v>
      </c>
      <c r="DH207" s="645">
        <f>IF(WWWW[[#This Row],['# Functional hand washing stations during reporting period]]*100&gt;WWWW[[#This Row],[Total PoP ]],WWWW[[#This Row],[Total PoP ]],WWWW[[#This Row],['# Functional hand washing stations during reporting period]]*100)</f>
        <v>1700</v>
      </c>
      <c r="DI207" s="645" t="str">
        <f>IF(WWWW[[#This Row],['#_students at TLS_CFS]]="","No","Yes")</f>
        <v>Yes</v>
      </c>
      <c r="DJ207" s="643">
        <f>VLOOKUP(WWWW[[#This Row],[Site Name]],SiteDB6[[Site Name]:[CCCM Management]],6,FALSE)</f>
        <v>0</v>
      </c>
      <c r="DK207" s="643">
        <f>VLOOKUP(WWWW[[#This Row],[Site Name]],SiteDB6[[Site Name]:[CCCM Focal Agency]],7,FALSE)</f>
        <v>0</v>
      </c>
      <c r="DL207" s="643" t="str">
        <f>VLOOKUP(WWWW[[#This Row],[Site Name]],SiteDB6[[Site Name]:[Location Type 1]],9,FALSE)</f>
        <v>Village</v>
      </c>
      <c r="DM207" s="643" t="str">
        <f>VLOOKUP(WWWW[[#This Row],[Site Name]],SiteDB6[[Site Name]:[Type of Accommodation]],10,FALSE)</f>
        <v>Village</v>
      </c>
      <c r="DN207" s="643" t="str">
        <f>VLOOKUP(WWWW[[#This Row],[Site Name]],SiteDB6[[Site Name]:[Ethnic or GCA/NGCA]],11,FALSE)</f>
        <v>Muslim</v>
      </c>
      <c r="DO207" s="643">
        <f>VLOOKUP(WWWW[[#This Row],[Site Name]],SiteDB6[[Site Name]:[Lat]],12,FALSE)</f>
        <v>20.0641</v>
      </c>
      <c r="DP207" s="643">
        <f>VLOOKUP(WWWW[[#This Row],[Site Name]],SiteDB6[[Site Name]:[Long]],13,FALSE)</f>
        <v>92.994600000000005</v>
      </c>
      <c r="DQ207" s="643">
        <f>VLOOKUP(WWWW[[#This Row],[Site Name]],SiteDB6[[Site Name]:[Pcode]],3,FALSE)</f>
        <v>197548</v>
      </c>
      <c r="DR207" s="652" t="str">
        <f t="shared" si="7"/>
        <v>Covered</v>
      </c>
      <c r="DS207" s="652"/>
    </row>
    <row r="208" spans="1:123">
      <c r="A208" s="637" t="s">
        <v>2525</v>
      </c>
      <c r="B208" s="637" t="s">
        <v>305</v>
      </c>
      <c r="C208" s="644" t="s">
        <v>305</v>
      </c>
      <c r="D208" s="644" t="s">
        <v>252</v>
      </c>
      <c r="E208" s="663" t="s">
        <v>3014</v>
      </c>
      <c r="F208" s="644" t="s">
        <v>420</v>
      </c>
      <c r="G208" s="663" t="str">
        <f>VLOOKUP(WWWW[[#This Row],[Site Name]],SiteDB6[[Site Name]:[Location Type]],8,FALSE)</f>
        <v>Village</v>
      </c>
      <c r="H208" s="644" t="s">
        <v>421</v>
      </c>
      <c r="I208" s="646">
        <v>477</v>
      </c>
      <c r="J208" s="646">
        <v>2034</v>
      </c>
      <c r="K208" s="653">
        <v>43556</v>
      </c>
      <c r="L208" s="654">
        <v>43921</v>
      </c>
      <c r="M208" s="646">
        <v>0</v>
      </c>
      <c r="N208" s="646">
        <v>1</v>
      </c>
      <c r="O208" s="646">
        <v>4</v>
      </c>
      <c r="P208" s="646">
        <v>0</v>
      </c>
      <c r="Q208" s="645" t="s">
        <v>144</v>
      </c>
      <c r="R208" s="646">
        <v>1</v>
      </c>
      <c r="S208" s="646">
        <v>4</v>
      </c>
      <c r="T208" s="646">
        <v>4</v>
      </c>
      <c r="U208" s="646"/>
      <c r="V208" s="646">
        <v>4</v>
      </c>
      <c r="W208" s="646">
        <v>28</v>
      </c>
      <c r="X208" s="646"/>
      <c r="Y208" s="646"/>
      <c r="Z208" s="646">
        <v>28</v>
      </c>
      <c r="AA208" s="646"/>
      <c r="AB208" s="646"/>
      <c r="AC208" s="646"/>
      <c r="AD208" s="646"/>
      <c r="AE208" s="646">
        <v>2</v>
      </c>
      <c r="AF208" s="646"/>
      <c r="AG208" s="646"/>
      <c r="AH208" s="646">
        <v>2</v>
      </c>
      <c r="AI208" s="646">
        <v>2</v>
      </c>
      <c r="AJ208" s="646"/>
      <c r="AK208" s="646">
        <v>125</v>
      </c>
      <c r="AL208" s="646"/>
      <c r="AM208" s="646">
        <v>15</v>
      </c>
      <c r="AN208" s="646"/>
      <c r="AO208" s="652"/>
      <c r="AP208" s="646">
        <v>200</v>
      </c>
      <c r="AQ208" s="646"/>
      <c r="AR208" s="648"/>
      <c r="AS208" s="646"/>
      <c r="AT208" s="646"/>
      <c r="AU208" s="646"/>
      <c r="AV208" s="646"/>
      <c r="AW208" s="646">
        <v>200</v>
      </c>
      <c r="AX208" s="920" t="s">
        <v>43</v>
      </c>
      <c r="AY208" s="950" t="s">
        <v>145</v>
      </c>
      <c r="AZ208" s="646">
        <v>0</v>
      </c>
      <c r="BA208" s="646">
        <v>0</v>
      </c>
      <c r="BB208" s="646">
        <v>4</v>
      </c>
      <c r="BC208" s="643"/>
      <c r="BD208" s="646">
        <v>15</v>
      </c>
      <c r="BE208" s="646"/>
      <c r="BF208" s="646"/>
      <c r="BG208" s="646"/>
      <c r="BH208" s="646"/>
      <c r="BI208" s="646">
        <v>1</v>
      </c>
      <c r="BJ208" s="646">
        <v>3</v>
      </c>
      <c r="BK208" s="646"/>
      <c r="BL208" s="646"/>
      <c r="BM208" s="643"/>
      <c r="BN208" s="647"/>
      <c r="BO208" s="648"/>
      <c r="BP208" s="643"/>
      <c r="BQ208" s="649">
        <f>IFERROR(WWWW[[#This Row],['#_Water sources treated]]/WWWW[[#This Row],['#_Water sources tested for contamination]],"no test")</f>
        <v>0</v>
      </c>
      <c r="BR208" s="648">
        <f>IFERROR(WWWW[[#This Row],['#_Household received remediation action due to contamination]]/WWWW[[#This Row],['#_Household water samples tested for contamination]],"no test")</f>
        <v>0</v>
      </c>
      <c r="BS208" s="647" t="str">
        <f>IF(AND(WWWW[[#This Row],[% of water sources treated]]="no test",WWWW[[#This Row],[% Household received corrective actions]]="no test"),"No Test","Tested")</f>
        <v>Tested</v>
      </c>
      <c r="BT208" s="647">
        <f>WWWW[[#This Row],['#_Constructed/existing protected hand dug well]]-WWWW[[#This Row],['#_Non-functional protected hand dug well]]</f>
        <v>4</v>
      </c>
      <c r="BU208" s="647">
        <f>(WWWW[[#This Row],['#_Constructed/Existing tube wells/boreholes/handpumps_WASH_agency]]+WWWW[[#This Row],['#_Non-Cluster partner water tube-wells/boreholes/handpumps]])-WWWW[[#This Row],['#_Non-functional tube wells/boreholes/handpumps]]</f>
        <v>28</v>
      </c>
      <c r="BV208" s="647">
        <f>WWWW[[#This Row],['#_Constructed/Existingwater storage tank with gravity fed reticulation system]]-WWWW[[#This Row],['#_Non-functional storage tank gravity fed reticulation system]]</f>
        <v>0</v>
      </c>
      <c r="BW208" s="647">
        <f>WWWW[[#This Row],['#_Water boating or water trucking]]</f>
        <v>0</v>
      </c>
      <c r="BX208" s="647">
        <f>WWWW[[#This Row],['#_Constructed/Existing water distribution system from river or natural spring]]</f>
        <v>0</v>
      </c>
      <c r="BY208"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208"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208" s="648">
        <f>IF(WWWW[[#This Row],[Location Type 1]]="Village",WWWW[[#This Row],[Access to safe drinking water for Village]],WWWW[[#This Row],[Access to safe drinking water for Camp]])</f>
        <v>1</v>
      </c>
      <c r="CB208" s="645">
        <f>WWWW[[#This Row],[%Equitable and continuous access to sufficient quantity of safe drinking water]]*WWWW[[#This Row],[Total PoP ]]</f>
        <v>2034</v>
      </c>
      <c r="CC208" s="648">
        <f>IF((WWWW[[#This Row],['#_Constructed/Existing protected/fenced ponds]]*250)/WWWW[[#This Row],[Total PoP ]]&gt;1,1,(WWWW[[#This Row],['#_Constructed/Existing protected/fenced ponds]]*250)/WWWW[[#This Row],[Total PoP ]])</f>
        <v>0.24582104228121926</v>
      </c>
      <c r="CD208" s="645">
        <f>WWWW[[#This Row],[% Access to unimproved water points]]*WWWW[[#This Row],[Total PoP ]]</f>
        <v>500</v>
      </c>
      <c r="CE208"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208"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2034</v>
      </c>
      <c r="CG208" s="645">
        <f>WWWW[[#This Row],[HRP1]]/500</f>
        <v>4.0679999999999996</v>
      </c>
      <c r="CH208" s="650">
        <f>1-WWWW[[#This Row],[% Equitable and continuous access to sufficient quantity of domestic water]]</f>
        <v>0</v>
      </c>
      <c r="CI208" s="645">
        <f>WWWW[[#This Row],[%equitable and continuous access to sufficient quantity of safe drinking and domestic water''s GAP]]*WWWW[[#This Row],[Total PoP ]]</f>
        <v>0</v>
      </c>
      <c r="CJ208" s="647">
        <f>IF(WWWW[[#This Row],[Total required water points]]-WWWW[[#This Row],['#Water points coverage]]&lt;0,0,WWWW[[#This Row],[Total required water points]]-WWWW[[#This Row],['#Water points coverage]])</f>
        <v>0</v>
      </c>
      <c r="CK208" s="647">
        <f>ROUND(IF(WWWW[[#This Row],[Total PoP ]]&lt;500,1,WWWW[[#This Row],[Total PoP ]]/500),0)</f>
        <v>4</v>
      </c>
      <c r="CL208" s="647">
        <f>(WWWW[[#This Row],['#_Constructed latrines_by_WASHAgencies]]+WWWW[[#This Row],['#_Non Cluster partner latrines]])-WWWW[[#This Row],['#_Non-functional latrines]]</f>
        <v>200</v>
      </c>
      <c r="CM208"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0.58997050147492625</v>
      </c>
      <c r="CN208"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1200</v>
      </c>
      <c r="CO208"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08" s="647" t="str">
        <f>IF(WWWW[[#This Row],[Location Type 1]]="Village","NA",IF(WWWW[[#This Row],['#_Constructed/Existing latrines in TLS]]*50&gt;WWWW[[#This Row],['#_students at TLS_CFS]],WWWW[[#This Row],['#_students at TLS_CFS]],(WWWW[[#This Row],['#_Constructed/Existing latrines in TLS]]*50)))</f>
        <v>NA</v>
      </c>
      <c r="CQ208" s="647">
        <f>ROUND(IF(WWWW[[#This Row],[Location Type 1]]="camp",WWWW[[#This Row],[Total PoP ]]/20,IF(WWWW[[#This Row],[Location Type 1]]="Temporary Location",WWWW[[#This Row],[Total PoP ]]/50,(WWWW[[#This Row],[Total PoP ]]/6))),0)</f>
        <v>339</v>
      </c>
      <c r="CR208" s="647">
        <f>IF(WWWW[[#This Row],[Total required Latrines]]-(WWWW[[#This Row],['#_Constructed latrines_by_WASHAgencies]]+WWWW[[#This Row],['#_Non Cluster partner latrines]])&lt;0,0,WWWW[[#This Row],[Total required Latrines]]-(WWWW[[#This Row],['#_Constructed latrines_by_WASHAgencies]]+WWWW[[#This Row],['#_Non Cluster partner latrines]]))</f>
        <v>139</v>
      </c>
      <c r="CS208" s="79">
        <f>1-WWWW[[#This Row],[% people access to functioning Latrine]]</f>
        <v>0.41002949852507375</v>
      </c>
      <c r="CT208" s="649">
        <f>IF(OR(WWWW[[#This Row],['#_Non-functional latrines]]="",WWWW[[#This Row],['#_Non-functional latrines]]=0),0,WWWW[[#This Row],['#_Non-functional latrines]]/(WWWW[[#This Row],['#_Constructed latrines_by_WASHAgencies]]+WWWW[[#This Row],['#_Non Cluster partner latrines]]))</f>
        <v>0</v>
      </c>
      <c r="CU208" s="645">
        <f>IF(500*(WWWW[[#This Row],['#_male hygiene promoters]]+WWWW[[#This Row],['#_female hygiene promoters]])&gt;WWWW[[#This Row],[Total PoP ]],WWWW[[#This Row],[Total PoP ]],500*(WWWW[[#This Row],['#_male hygiene promoters]]+WWWW[[#This Row],['#_female hygiene promoters]]))</f>
        <v>2000</v>
      </c>
      <c r="CV208"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08"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08" s="647">
        <f>IF(WWWW[[#This Row],['# People with access to soap]]&gt;WWWW[[#This Row],['# People with access to Sanity Pads]],WWWW[[#This Row],['# People with access to soap]],WWWW[[#This Row],['# People with access to Sanity Pads]])</f>
        <v>0</v>
      </c>
      <c r="CY208" s="647">
        <f>IF(WWWW[[#This Row],['# people reached by regular dedicated hygiene promotion_5]]&gt;WWWW[[#This Row],['# People received regular supply of hygiene items_6]],WWWW[[#This Row],['# people reached by regular dedicated hygiene promotion_5]],WWWW[[#This Row],['# People received regular supply of hygiene items_6]])</f>
        <v>2000</v>
      </c>
      <c r="CZ208" s="650">
        <f>IF(WWWW[[#This Row],[HRP3]]/WWWW[[#This Row],[Total PoP ]]&gt;100%,100%,WWWW[[#This Row],[HRP3]]/WWWW[[#This Row],[Total PoP ]])</f>
        <v>0.98328416912487704</v>
      </c>
      <c r="DA208" s="649">
        <f>1-WWWW[[#This Row],[Hygiene Coverage%]]</f>
        <v>1.6715830875122961E-2</v>
      </c>
      <c r="DB208" s="648">
        <f>WWWW[[#This Row],['# people reached by regular dedicated hygiene promotion_5]]/WWWW[[#This Row],[Total PoP ]]</f>
        <v>0.98328416912487704</v>
      </c>
      <c r="DC208" s="648">
        <f>IF(WWWW[[#This Row],['#_households that received standard amount of soap for this quarter]]/WWWW[[#This Row],[Total HH]]&gt;1,1,WWWW[[#This Row],['#_households that received standard amount of soap for this quarter]]/WWWW[[#This Row],[Total HH]])</f>
        <v>0</v>
      </c>
      <c r="DD208" s="648">
        <f>IF(WWWW[[#This Row],['#_households that received standard amount of sanitary pads for this quarter]]/WWWW[[#This Row],[Total HH]]&gt;1,1,WWWW[[#This Row],['#_households that received standard amount of sanitary pads for this quarter]]/WWWW[[#This Row],[Total HH]])</f>
        <v>0</v>
      </c>
      <c r="DE208" s="647">
        <f>WWWW[[#This Row],['#_Constructed/Existing hand washing stations]]-WWWW[[#This Row],['#_Non-Functional_hand_washing_stations]]</f>
        <v>15</v>
      </c>
      <c r="DF208" s="667">
        <f>IF(WWWW[[#This Row],['# Functional hand washing stations during reporting period]]*20&gt;WWWW[[#This Row],[Total HH]],WWWW[[#This Row],[Total HH]],WWWW[[#This Row],['# Functional hand washing stations during reporting period]]*20)</f>
        <v>300</v>
      </c>
      <c r="DG208" s="645">
        <f>IF(WWWW[[#This Row],[Is sufficient soap available for TLS? (Yes/No)]]="yes",WWWW[[#This Row],['#_Constructed/Existing hand washing stations at TLS]],0)</f>
        <v>0</v>
      </c>
      <c r="DH208" s="645">
        <f>IF(WWWW[[#This Row],['# Functional hand washing stations during reporting period]]*100&gt;WWWW[[#This Row],[Total PoP ]],WWWW[[#This Row],[Total PoP ]],WWWW[[#This Row],['# Functional hand washing stations during reporting period]]*100)</f>
        <v>1500</v>
      </c>
      <c r="DI208" s="645" t="str">
        <f>IF(WWWW[[#This Row],['#_students at TLS_CFS]]="","No","Yes")</f>
        <v>Yes</v>
      </c>
      <c r="DJ208" s="643">
        <f>VLOOKUP(WWWW[[#This Row],[Site Name]],SiteDB6[[Site Name]:[CCCM Management]],6,FALSE)</f>
        <v>0</v>
      </c>
      <c r="DK208" s="643">
        <f>VLOOKUP(WWWW[[#This Row],[Site Name]],SiteDB6[[Site Name]:[CCCM Focal Agency]],7,FALSE)</f>
        <v>0</v>
      </c>
      <c r="DL208" s="643" t="str">
        <f>VLOOKUP(WWWW[[#This Row],[Site Name]],SiteDB6[[Site Name]:[Location Type 1]],9,FALSE)</f>
        <v>Village</v>
      </c>
      <c r="DM208" s="643" t="str">
        <f>VLOOKUP(WWWW[[#This Row],[Site Name]],SiteDB6[[Site Name]:[Type of Accommodation]],10,FALSE)</f>
        <v>Village</v>
      </c>
      <c r="DN208" s="643" t="str">
        <f>VLOOKUP(WWWW[[#This Row],[Site Name]],SiteDB6[[Site Name]:[Ethnic or GCA/NGCA]],11,FALSE)</f>
        <v>Rakhine</v>
      </c>
      <c r="DO208" s="643">
        <f>VLOOKUP(WWWW[[#This Row],[Site Name]],SiteDB6[[Site Name]:[Lat]],12,FALSE)</f>
        <v>20.057860999999999</v>
      </c>
      <c r="DP208" s="643">
        <f>VLOOKUP(WWWW[[#This Row],[Site Name]],SiteDB6[[Site Name]:[Long]],13,FALSE)</f>
        <v>92.995181000000002</v>
      </c>
      <c r="DQ208" s="643">
        <f>VLOOKUP(WWWW[[#This Row],[Site Name]],SiteDB6[[Site Name]:[Pcode]],3,FALSE)</f>
        <v>197550</v>
      </c>
      <c r="DR208" s="652" t="str">
        <f t="shared" si="7"/>
        <v>Covered</v>
      </c>
      <c r="DS208" s="652"/>
    </row>
    <row r="209" spans="1:126">
      <c r="A209" s="637" t="s">
        <v>2525</v>
      </c>
      <c r="B209" s="637" t="s">
        <v>305</v>
      </c>
      <c r="C209" s="644" t="s">
        <v>305</v>
      </c>
      <c r="D209" s="644" t="s">
        <v>345</v>
      </c>
      <c r="E209" s="663" t="s">
        <v>3014</v>
      </c>
      <c r="F209" s="644" t="s">
        <v>420</v>
      </c>
      <c r="G209" s="663" t="str">
        <f>VLOOKUP(WWWW[[#This Row],[Site Name]],SiteDB6[[Site Name]:[Location Type]],8,FALSE)</f>
        <v>Village</v>
      </c>
      <c r="H209" s="701" t="s">
        <v>3253</v>
      </c>
      <c r="I209" s="646">
        <v>97</v>
      </c>
      <c r="J209" s="646">
        <v>97</v>
      </c>
      <c r="K209" s="653">
        <v>43359</v>
      </c>
      <c r="L209" s="654">
        <v>43830</v>
      </c>
      <c r="M209" s="646"/>
      <c r="N209" s="646"/>
      <c r="O209" s="646"/>
      <c r="P209" s="646"/>
      <c r="Q209" s="645"/>
      <c r="R209" s="646"/>
      <c r="S209" s="646"/>
      <c r="T209" s="646"/>
      <c r="U209" s="646"/>
      <c r="V209" s="646"/>
      <c r="W209" s="646"/>
      <c r="X209" s="646"/>
      <c r="Y209" s="646"/>
      <c r="Z209" s="646"/>
      <c r="AA209" s="646"/>
      <c r="AB209" s="646"/>
      <c r="AC209" s="646"/>
      <c r="AD209" s="646"/>
      <c r="AE209" s="646"/>
      <c r="AF209" s="646"/>
      <c r="AG209" s="646"/>
      <c r="AH209" s="646"/>
      <c r="AI209" s="646"/>
      <c r="AJ209" s="646"/>
      <c r="AK209" s="646"/>
      <c r="AL209" s="646"/>
      <c r="AM209" s="646"/>
      <c r="AN209" s="646"/>
      <c r="AO209" s="652"/>
      <c r="AP209" s="646"/>
      <c r="AQ209" s="646"/>
      <c r="AR209" s="648"/>
      <c r="AS209" s="646"/>
      <c r="AT209" s="646"/>
      <c r="AU209" s="646"/>
      <c r="AV209" s="646"/>
      <c r="AW209" s="646"/>
      <c r="AX209" s="643"/>
      <c r="AY209" s="652"/>
      <c r="AZ209" s="646"/>
      <c r="BA209" s="646"/>
      <c r="BB209" s="646"/>
      <c r="BC209" s="643"/>
      <c r="BD209" s="646"/>
      <c r="BE209" s="646"/>
      <c r="BF209" s="646"/>
      <c r="BG209" s="646"/>
      <c r="BH209" s="646"/>
      <c r="BI209" s="646"/>
      <c r="BJ209" s="646"/>
      <c r="BK209" s="646"/>
      <c r="BL209" s="646"/>
      <c r="BM209" s="643"/>
      <c r="BN209" s="647"/>
      <c r="BO209" s="648"/>
      <c r="BP209" s="643"/>
      <c r="BQ209" s="649" t="str">
        <f>IFERROR(WWWW[[#This Row],['#_Water sources treated]]/WWWW[[#This Row],['#_Water sources tested for contamination]],"no test")</f>
        <v>no test</v>
      </c>
      <c r="BR209" s="648" t="str">
        <f>IFERROR(WWWW[[#This Row],['#_Household received remediation action due to contamination]]/WWWW[[#This Row],['#_Household water samples tested for contamination]],"no test")</f>
        <v>no test</v>
      </c>
      <c r="BS209" s="647" t="str">
        <f>IF(AND(WWWW[[#This Row],[% of water sources treated]]="no test",WWWW[[#This Row],[% Household received corrective actions]]="no test"),"No Test","Tested")</f>
        <v>No Test</v>
      </c>
      <c r="BT209" s="647">
        <f>WWWW[[#This Row],['#_Constructed/existing protected hand dug well]]-WWWW[[#This Row],['#_Non-functional protected hand dug well]]</f>
        <v>0</v>
      </c>
      <c r="BU209" s="647">
        <f>(WWWW[[#This Row],['#_Constructed/Existing tube wells/boreholes/handpumps_WASH_agency]]+WWWW[[#This Row],['#_Non-Cluster partner water tube-wells/boreholes/handpumps]])-WWWW[[#This Row],['#_Non-functional tube wells/boreholes/handpumps]]</f>
        <v>0</v>
      </c>
      <c r="BV209" s="647">
        <f>WWWW[[#This Row],['#_Constructed/Existingwater storage tank with gravity fed reticulation system]]-WWWW[[#This Row],['#_Non-functional storage tank gravity fed reticulation system]]</f>
        <v>0</v>
      </c>
      <c r="BW209" s="647">
        <f>WWWW[[#This Row],['#_Water boating or water trucking]]</f>
        <v>0</v>
      </c>
      <c r="BX209" s="647">
        <f>WWWW[[#This Row],['#_Constructed/Existing water distribution system from river or natural spring]]</f>
        <v>0</v>
      </c>
      <c r="BY209"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09"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09" s="648">
        <f>IF(WWWW[[#This Row],[Location Type 1]]="Village",WWWW[[#This Row],[Access to safe drinking water for Village]],WWWW[[#This Row],[Access to safe drinking water for Camp]])</f>
        <v>0</v>
      </c>
      <c r="CB209" s="645">
        <f>WWWW[[#This Row],[%Equitable and continuous access to sufficient quantity of safe drinking water]]*WWWW[[#This Row],[Total PoP ]]</f>
        <v>0</v>
      </c>
      <c r="CC209" s="648">
        <f>IF((WWWW[[#This Row],['#_Constructed/Existing protected/fenced ponds]]*250)/WWWW[[#This Row],[Total PoP ]]&gt;1,1,(WWWW[[#This Row],['#_Constructed/Existing protected/fenced ponds]]*250)/WWWW[[#This Row],[Total PoP ]])</f>
        <v>0</v>
      </c>
      <c r="CD209" s="645">
        <f>WWWW[[#This Row],[% Access to unimproved water points]]*WWWW[[#This Row],[Total PoP ]]</f>
        <v>0</v>
      </c>
      <c r="CE209"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09"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09" s="645">
        <f>WWWW[[#This Row],[HRP1]]/500</f>
        <v>0</v>
      </c>
      <c r="CH209" s="650">
        <f>1-WWWW[[#This Row],[% Equitable and continuous access to sufficient quantity of domestic water]]</f>
        <v>1</v>
      </c>
      <c r="CI209" s="645">
        <f>WWWW[[#This Row],[%equitable and continuous access to sufficient quantity of safe drinking and domestic water''s GAP]]*WWWW[[#This Row],[Total PoP ]]</f>
        <v>97</v>
      </c>
      <c r="CJ209" s="647">
        <f>IF(WWWW[[#This Row],[Total required water points]]-WWWW[[#This Row],['#Water points coverage]]&lt;0,0,WWWW[[#This Row],[Total required water points]]-WWWW[[#This Row],['#Water points coverage]])</f>
        <v>1</v>
      </c>
      <c r="CK209" s="647">
        <f>ROUND(IF(WWWW[[#This Row],[Total PoP ]]&lt;500,1,WWWW[[#This Row],[Total PoP ]]/500),0)</f>
        <v>1</v>
      </c>
      <c r="CL209" s="647">
        <f>(WWWW[[#This Row],['#_Constructed latrines_by_WASHAgencies]]+WWWW[[#This Row],['#_Non Cluster partner latrines]])-WWWW[[#This Row],['#_Non-functional latrines]]</f>
        <v>0</v>
      </c>
      <c r="CM209"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09"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09"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09" s="647" t="str">
        <f>IF(WWWW[[#This Row],[Location Type 1]]="Village","NA",IF(WWWW[[#This Row],['#_Constructed/Existing latrines in TLS]]*50&gt;WWWW[[#This Row],['#_students at TLS_CFS]],WWWW[[#This Row],['#_students at TLS_CFS]],(WWWW[[#This Row],['#_Constructed/Existing latrines in TLS]]*50)))</f>
        <v>NA</v>
      </c>
      <c r="CQ209" s="647">
        <f>ROUND(IF(WWWW[[#This Row],[Location Type 1]]="camp",WWWW[[#This Row],[Total PoP ]]/20,IF(WWWW[[#This Row],[Location Type 1]]="Temporary Location",WWWW[[#This Row],[Total PoP ]]/50,(WWWW[[#This Row],[Total PoP ]]/6))),0)</f>
        <v>16</v>
      </c>
      <c r="CR209" s="647">
        <f>IF(WWWW[[#This Row],[Total required Latrines]]-(WWWW[[#This Row],['#_Constructed latrines_by_WASHAgencies]]+WWWW[[#This Row],['#_Non Cluster partner latrines]])&lt;0,0,WWWW[[#This Row],[Total required Latrines]]-(WWWW[[#This Row],['#_Constructed latrines_by_WASHAgencies]]+WWWW[[#This Row],['#_Non Cluster partner latrines]]))</f>
        <v>16</v>
      </c>
      <c r="CS209" s="79">
        <f>1-WWWW[[#This Row],[% people access to functioning Latrine]]</f>
        <v>1</v>
      </c>
      <c r="CT209" s="649">
        <f>IF(OR(WWWW[[#This Row],['#_Non-functional latrines]]="",WWWW[[#This Row],['#_Non-functional latrines]]=0),0,WWWW[[#This Row],['#_Non-functional latrines]]/(WWWW[[#This Row],['#_Constructed latrines_by_WASHAgencies]]+WWWW[[#This Row],['#_Non Cluster partner latrines]]))</f>
        <v>0</v>
      </c>
      <c r="CU209" s="645">
        <f>IF(500*(WWWW[[#This Row],['#_male hygiene promoters]]+WWWW[[#This Row],['#_female hygiene promoters]])&gt;WWWW[[#This Row],[Total PoP ]],WWWW[[#This Row],[Total PoP ]],500*(WWWW[[#This Row],['#_male hygiene promoters]]+WWWW[[#This Row],['#_female hygiene promoters]]))</f>
        <v>0</v>
      </c>
      <c r="CV209"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09"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09" s="647">
        <f>IF(WWWW[[#This Row],['# People with access to soap]]&gt;WWWW[[#This Row],['# People with access to Sanity Pads]],WWWW[[#This Row],['# People with access to soap]],WWWW[[#This Row],['# People with access to Sanity Pads]])</f>
        <v>0</v>
      </c>
      <c r="CY209"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09" s="650">
        <f>IF(WWWW[[#This Row],[HRP3]]/WWWW[[#This Row],[Total PoP ]]&gt;100%,100%,WWWW[[#This Row],[HRP3]]/WWWW[[#This Row],[Total PoP ]])</f>
        <v>0</v>
      </c>
      <c r="DA209" s="649">
        <f>1-WWWW[[#This Row],[Hygiene Coverage%]]</f>
        <v>1</v>
      </c>
      <c r="DB209" s="648">
        <f>WWWW[[#This Row],['# people reached by regular dedicated hygiene promotion_5]]/WWWW[[#This Row],[Total PoP ]]</f>
        <v>0</v>
      </c>
      <c r="DC209" s="648">
        <f>IF(WWWW[[#This Row],['#_households that received standard amount of soap for this quarter]]/WWWW[[#This Row],[Total HH]]&gt;1,1,WWWW[[#This Row],['#_households that received standard amount of soap for this quarter]]/WWWW[[#This Row],[Total HH]])</f>
        <v>0</v>
      </c>
      <c r="DD209" s="648">
        <f>IF(WWWW[[#This Row],['#_households that received standard amount of sanitary pads for this quarter]]/WWWW[[#This Row],[Total HH]]&gt;1,1,WWWW[[#This Row],['#_households that received standard amount of sanitary pads for this quarter]]/WWWW[[#This Row],[Total HH]])</f>
        <v>0</v>
      </c>
      <c r="DE209" s="647">
        <f>WWWW[[#This Row],['#_Constructed/Existing hand washing stations]]-WWWW[[#This Row],['#_Non-Functional_hand_washing_stations]]</f>
        <v>0</v>
      </c>
      <c r="DF209" s="667">
        <f>IF(WWWW[[#This Row],['# Functional hand washing stations during reporting period]]*20&gt;WWWW[[#This Row],[Total HH]],WWWW[[#This Row],[Total HH]],WWWW[[#This Row],['# Functional hand washing stations during reporting period]]*20)</f>
        <v>0</v>
      </c>
      <c r="DG209" s="645">
        <f>IF(WWWW[[#This Row],[Is sufficient soap available for TLS? (Yes/No)]]="yes",WWWW[[#This Row],['#_Constructed/Existing hand washing stations at TLS]],0)</f>
        <v>0</v>
      </c>
      <c r="DH209" s="645">
        <f>IF(WWWW[[#This Row],['# Functional hand washing stations during reporting period]]*100&gt;WWWW[[#This Row],[Total PoP ]],WWWW[[#This Row],[Total PoP ]],WWWW[[#This Row],['# Functional hand washing stations during reporting period]]*100)</f>
        <v>0</v>
      </c>
      <c r="DI209" s="645" t="str">
        <f>IF(WWWW[[#This Row],['#_students at TLS_CFS]]="","No","Yes")</f>
        <v>No</v>
      </c>
      <c r="DJ209" s="643">
        <f>VLOOKUP(WWWW[[#This Row],[Site Name]],SiteDB6[[Site Name]:[CCCM Management]],6,FALSE)</f>
        <v>0</v>
      </c>
      <c r="DK209" s="643">
        <f>VLOOKUP(WWWW[[#This Row],[Site Name]],SiteDB6[[Site Name]:[CCCM Focal Agency]],7,FALSE)</f>
        <v>0</v>
      </c>
      <c r="DL209" s="643" t="str">
        <f>VLOOKUP(WWWW[[#This Row],[Site Name]],SiteDB6[[Site Name]:[Location Type 1]],9,FALSE)</f>
        <v>Village</v>
      </c>
      <c r="DM209" s="643" t="str">
        <f>VLOOKUP(WWWW[[#This Row],[Site Name]],SiteDB6[[Site Name]:[Type of Accommodation]],10,FALSE)</f>
        <v>Village</v>
      </c>
      <c r="DN209" s="643">
        <f>VLOOKUP(WWWW[[#This Row],[Site Name]],SiteDB6[[Site Name]:[Ethnic or GCA/NGCA]],11,FALSE)</f>
        <v>0</v>
      </c>
      <c r="DO209" s="643">
        <f>VLOOKUP(WWWW[[#This Row],[Site Name]],SiteDB6[[Site Name]:[Lat]],12,FALSE)</f>
        <v>19.9964408874512</v>
      </c>
      <c r="DP209" s="643">
        <f>VLOOKUP(WWWW[[#This Row],[Site Name]],SiteDB6[[Site Name]:[Long]],13,FALSE)</f>
        <v>92.951683044433594</v>
      </c>
      <c r="DQ209" s="643">
        <f>VLOOKUP(WWWW[[#This Row],[Site Name]],SiteDB6[[Site Name]:[Pcode]],3,FALSE)</f>
        <v>217986</v>
      </c>
      <c r="DR209" s="652" t="str">
        <f t="shared" si="7"/>
        <v>Covered</v>
      </c>
      <c r="DS209" s="652"/>
    </row>
    <row r="210" spans="1:126">
      <c r="A210" s="637" t="s">
        <v>2525</v>
      </c>
      <c r="B210" s="637" t="s">
        <v>305</v>
      </c>
      <c r="C210" s="644" t="s">
        <v>305</v>
      </c>
      <c r="D210" s="644" t="s">
        <v>345</v>
      </c>
      <c r="E210" s="663" t="s">
        <v>3014</v>
      </c>
      <c r="F210" s="644" t="s">
        <v>420</v>
      </c>
      <c r="G210" s="663" t="str">
        <f>VLOOKUP(WWWW[[#This Row],[Site Name]],SiteDB6[[Site Name]:[Location Type]],8,FALSE)</f>
        <v>Village</v>
      </c>
      <c r="H210" s="644" t="s">
        <v>2827</v>
      </c>
      <c r="I210" s="646">
        <v>47</v>
      </c>
      <c r="J210" s="646">
        <v>239</v>
      </c>
      <c r="K210" s="653">
        <v>43359</v>
      </c>
      <c r="L210" s="654">
        <v>43830</v>
      </c>
      <c r="M210" s="646"/>
      <c r="N210" s="646"/>
      <c r="O210" s="646"/>
      <c r="P210" s="646"/>
      <c r="Q210" s="645"/>
      <c r="R210" s="646"/>
      <c r="S210" s="646"/>
      <c r="T210" s="646"/>
      <c r="U210" s="646"/>
      <c r="V210" s="646"/>
      <c r="W210" s="646"/>
      <c r="X210" s="646"/>
      <c r="Y210" s="646"/>
      <c r="Z210" s="646"/>
      <c r="AA210" s="646"/>
      <c r="AB210" s="646"/>
      <c r="AC210" s="646"/>
      <c r="AD210" s="646"/>
      <c r="AE210" s="646"/>
      <c r="AF210" s="646"/>
      <c r="AG210" s="646"/>
      <c r="AH210" s="646"/>
      <c r="AI210" s="646"/>
      <c r="AJ210" s="646"/>
      <c r="AK210" s="646"/>
      <c r="AL210" s="646"/>
      <c r="AM210" s="646"/>
      <c r="AN210" s="646"/>
      <c r="AO210" s="652"/>
      <c r="AP210" s="646"/>
      <c r="AQ210" s="646"/>
      <c r="AR210" s="648"/>
      <c r="AS210" s="646"/>
      <c r="AT210" s="646"/>
      <c r="AU210" s="646"/>
      <c r="AV210" s="646"/>
      <c r="AW210" s="646"/>
      <c r="AX210" s="643"/>
      <c r="AY210" s="652"/>
      <c r="AZ210" s="646"/>
      <c r="BA210" s="646"/>
      <c r="BB210" s="646"/>
      <c r="BC210" s="643"/>
      <c r="BD210" s="646"/>
      <c r="BE210" s="646"/>
      <c r="BF210" s="646"/>
      <c r="BG210" s="646"/>
      <c r="BH210" s="646"/>
      <c r="BI210" s="646"/>
      <c r="BJ210" s="646"/>
      <c r="BK210" s="646"/>
      <c r="BL210" s="646"/>
      <c r="BM210" s="643"/>
      <c r="BN210" s="647"/>
      <c r="BO210" s="648"/>
      <c r="BP210" s="643"/>
      <c r="BQ210" s="649" t="str">
        <f>IFERROR(WWWW[[#This Row],['#_Water sources treated]]/WWWW[[#This Row],['#_Water sources tested for contamination]],"no test")</f>
        <v>no test</v>
      </c>
      <c r="BR210" s="648" t="str">
        <f>IFERROR(WWWW[[#This Row],['#_Household received remediation action due to contamination]]/WWWW[[#This Row],['#_Household water samples tested for contamination]],"no test")</f>
        <v>no test</v>
      </c>
      <c r="BS210" s="647" t="str">
        <f>IF(AND(WWWW[[#This Row],[% of water sources treated]]="no test",WWWW[[#This Row],[% Household received corrective actions]]="no test"),"No Test","Tested")</f>
        <v>No Test</v>
      </c>
      <c r="BT210" s="647">
        <f>WWWW[[#This Row],['#_Constructed/existing protected hand dug well]]-WWWW[[#This Row],['#_Non-functional protected hand dug well]]</f>
        <v>0</v>
      </c>
      <c r="BU210" s="647">
        <f>(WWWW[[#This Row],['#_Constructed/Existing tube wells/boreholes/handpumps_WASH_agency]]+WWWW[[#This Row],['#_Non-Cluster partner water tube-wells/boreholes/handpumps]])-WWWW[[#This Row],['#_Non-functional tube wells/boreholes/handpumps]]</f>
        <v>0</v>
      </c>
      <c r="BV210" s="647">
        <f>WWWW[[#This Row],['#_Constructed/Existingwater storage tank with gravity fed reticulation system]]-WWWW[[#This Row],['#_Non-functional storage tank gravity fed reticulation system]]</f>
        <v>0</v>
      </c>
      <c r="BW210" s="647">
        <f>WWWW[[#This Row],['#_Water boating or water trucking]]</f>
        <v>0</v>
      </c>
      <c r="BX210" s="647">
        <f>WWWW[[#This Row],['#_Constructed/Existing water distribution system from river or natural spring]]</f>
        <v>0</v>
      </c>
      <c r="BY210"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10"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10" s="648">
        <f>IF(WWWW[[#This Row],[Location Type 1]]="Village",WWWW[[#This Row],[Access to safe drinking water for Village]],WWWW[[#This Row],[Access to safe drinking water for Camp]])</f>
        <v>0</v>
      </c>
      <c r="CB210" s="645">
        <f>WWWW[[#This Row],[%Equitable and continuous access to sufficient quantity of safe drinking water]]*WWWW[[#This Row],[Total PoP ]]</f>
        <v>0</v>
      </c>
      <c r="CC210" s="648">
        <f>IF((WWWW[[#This Row],['#_Constructed/Existing protected/fenced ponds]]*250)/WWWW[[#This Row],[Total PoP ]]&gt;1,1,(WWWW[[#This Row],['#_Constructed/Existing protected/fenced ponds]]*250)/WWWW[[#This Row],[Total PoP ]])</f>
        <v>0</v>
      </c>
      <c r="CD210" s="645">
        <f>WWWW[[#This Row],[% Access to unimproved water points]]*WWWW[[#This Row],[Total PoP ]]</f>
        <v>0</v>
      </c>
      <c r="CE210"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10"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10" s="645">
        <f>WWWW[[#This Row],[HRP1]]/500</f>
        <v>0</v>
      </c>
      <c r="CH210" s="650">
        <f>1-WWWW[[#This Row],[% Equitable and continuous access to sufficient quantity of domestic water]]</f>
        <v>1</v>
      </c>
      <c r="CI210" s="645">
        <f>WWWW[[#This Row],[%equitable and continuous access to sufficient quantity of safe drinking and domestic water''s GAP]]*WWWW[[#This Row],[Total PoP ]]</f>
        <v>239</v>
      </c>
      <c r="CJ210" s="647">
        <f>IF(WWWW[[#This Row],[Total required water points]]-WWWW[[#This Row],['#Water points coverage]]&lt;0,0,WWWW[[#This Row],[Total required water points]]-WWWW[[#This Row],['#Water points coverage]])</f>
        <v>1</v>
      </c>
      <c r="CK210" s="647">
        <f>ROUND(IF(WWWW[[#This Row],[Total PoP ]]&lt;500,1,WWWW[[#This Row],[Total PoP ]]/500),0)</f>
        <v>1</v>
      </c>
      <c r="CL210" s="647">
        <f>(WWWW[[#This Row],['#_Constructed latrines_by_WASHAgencies]]+WWWW[[#This Row],['#_Non Cluster partner latrines]])-WWWW[[#This Row],['#_Non-functional latrines]]</f>
        <v>0</v>
      </c>
      <c r="CM210"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10"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10"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10" s="647" t="str">
        <f>IF(WWWW[[#This Row],[Location Type 1]]="Village","NA",IF(WWWW[[#This Row],['#_Constructed/Existing latrines in TLS]]*50&gt;WWWW[[#This Row],['#_students at TLS_CFS]],WWWW[[#This Row],['#_students at TLS_CFS]],(WWWW[[#This Row],['#_Constructed/Existing latrines in TLS]]*50)))</f>
        <v>NA</v>
      </c>
      <c r="CQ210" s="647">
        <f>ROUND(IF(WWWW[[#This Row],[Location Type 1]]="camp",WWWW[[#This Row],[Total PoP ]]/20,IF(WWWW[[#This Row],[Location Type 1]]="Temporary Location",WWWW[[#This Row],[Total PoP ]]/50,(WWWW[[#This Row],[Total PoP ]]/6))),0)</f>
        <v>40</v>
      </c>
      <c r="CR210" s="647">
        <f>IF(WWWW[[#This Row],[Total required Latrines]]-(WWWW[[#This Row],['#_Constructed latrines_by_WASHAgencies]]+WWWW[[#This Row],['#_Non Cluster partner latrines]])&lt;0,0,WWWW[[#This Row],[Total required Latrines]]-(WWWW[[#This Row],['#_Constructed latrines_by_WASHAgencies]]+WWWW[[#This Row],['#_Non Cluster partner latrines]]))</f>
        <v>40</v>
      </c>
      <c r="CS210" s="79">
        <f>1-WWWW[[#This Row],[% people access to functioning Latrine]]</f>
        <v>1</v>
      </c>
      <c r="CT210" s="649">
        <f>IF(OR(WWWW[[#This Row],['#_Non-functional latrines]]="",WWWW[[#This Row],['#_Non-functional latrines]]=0),0,WWWW[[#This Row],['#_Non-functional latrines]]/(WWWW[[#This Row],['#_Constructed latrines_by_WASHAgencies]]+WWWW[[#This Row],['#_Non Cluster partner latrines]]))</f>
        <v>0</v>
      </c>
      <c r="CU210" s="645">
        <f>IF(500*(WWWW[[#This Row],['#_male hygiene promoters]]+WWWW[[#This Row],['#_female hygiene promoters]])&gt;WWWW[[#This Row],[Total PoP ]],WWWW[[#This Row],[Total PoP ]],500*(WWWW[[#This Row],['#_male hygiene promoters]]+WWWW[[#This Row],['#_female hygiene promoters]]))</f>
        <v>0</v>
      </c>
      <c r="CV210"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10"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10" s="647">
        <f>IF(WWWW[[#This Row],['# People with access to soap]]&gt;WWWW[[#This Row],['# People with access to Sanity Pads]],WWWW[[#This Row],['# People with access to soap]],WWWW[[#This Row],['# People with access to Sanity Pads]])</f>
        <v>0</v>
      </c>
      <c r="CY210"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10" s="650">
        <f>IF(WWWW[[#This Row],[HRP3]]/WWWW[[#This Row],[Total PoP ]]&gt;100%,100%,WWWW[[#This Row],[HRP3]]/WWWW[[#This Row],[Total PoP ]])</f>
        <v>0</v>
      </c>
      <c r="DA210" s="649">
        <f>1-WWWW[[#This Row],[Hygiene Coverage%]]</f>
        <v>1</v>
      </c>
      <c r="DB210" s="648">
        <f>WWWW[[#This Row],['# people reached by regular dedicated hygiene promotion_5]]/WWWW[[#This Row],[Total PoP ]]</f>
        <v>0</v>
      </c>
      <c r="DC210" s="648">
        <f>IF(WWWW[[#This Row],['#_households that received standard amount of soap for this quarter]]/WWWW[[#This Row],[Total HH]]&gt;1,1,WWWW[[#This Row],['#_households that received standard amount of soap for this quarter]]/WWWW[[#This Row],[Total HH]])</f>
        <v>0</v>
      </c>
      <c r="DD210" s="648">
        <f>IF(WWWW[[#This Row],['#_households that received standard amount of sanitary pads for this quarter]]/WWWW[[#This Row],[Total HH]]&gt;1,1,WWWW[[#This Row],['#_households that received standard amount of sanitary pads for this quarter]]/WWWW[[#This Row],[Total HH]])</f>
        <v>0</v>
      </c>
      <c r="DE210" s="647">
        <f>WWWW[[#This Row],['#_Constructed/Existing hand washing stations]]-WWWW[[#This Row],['#_Non-Functional_hand_washing_stations]]</f>
        <v>0</v>
      </c>
      <c r="DF210" s="667">
        <f>IF(WWWW[[#This Row],['# Functional hand washing stations during reporting period]]*20&gt;WWWW[[#This Row],[Total HH]],WWWW[[#This Row],[Total HH]],WWWW[[#This Row],['# Functional hand washing stations during reporting period]]*20)</f>
        <v>0</v>
      </c>
      <c r="DG210" s="645">
        <f>IF(WWWW[[#This Row],[Is sufficient soap available for TLS? (Yes/No)]]="yes",WWWW[[#This Row],['#_Constructed/Existing hand washing stations at TLS]],0)</f>
        <v>0</v>
      </c>
      <c r="DH210" s="645">
        <f>IF(WWWW[[#This Row],['# Functional hand washing stations during reporting period]]*100&gt;WWWW[[#This Row],[Total PoP ]],WWWW[[#This Row],[Total PoP ]],WWWW[[#This Row],['# Functional hand washing stations during reporting period]]*100)</f>
        <v>0</v>
      </c>
      <c r="DI210" s="645" t="str">
        <f>IF(WWWW[[#This Row],['#_students at TLS_CFS]]="","No","Yes")</f>
        <v>No</v>
      </c>
      <c r="DJ210" s="643">
        <f>VLOOKUP(WWWW[[#This Row],[Site Name]],SiteDB6[[Site Name]:[CCCM Management]],6,FALSE)</f>
        <v>0</v>
      </c>
      <c r="DK210" s="643">
        <f>VLOOKUP(WWWW[[#This Row],[Site Name]],SiteDB6[[Site Name]:[CCCM Focal Agency]],7,FALSE)</f>
        <v>0</v>
      </c>
      <c r="DL210" s="643" t="str">
        <f>VLOOKUP(WWWW[[#This Row],[Site Name]],SiteDB6[[Site Name]:[Location Type 1]],9,FALSE)</f>
        <v>Village</v>
      </c>
      <c r="DM210" s="643" t="str">
        <f>VLOOKUP(WWWW[[#This Row],[Site Name]],SiteDB6[[Site Name]:[Type of Accommodation]],10,FALSE)</f>
        <v>Village</v>
      </c>
      <c r="DN210" s="643">
        <f>VLOOKUP(WWWW[[#This Row],[Site Name]],SiteDB6[[Site Name]:[Ethnic or GCA/NGCA]],11,FALSE)</f>
        <v>0</v>
      </c>
      <c r="DO210" s="643">
        <f>VLOOKUP(WWWW[[#This Row],[Site Name]],SiteDB6[[Site Name]:[Lat]],12,FALSE)</f>
        <v>0</v>
      </c>
      <c r="DP210" s="643">
        <f>VLOOKUP(WWWW[[#This Row],[Site Name]],SiteDB6[[Site Name]:[Long]],13,FALSE)</f>
        <v>0</v>
      </c>
      <c r="DQ210" s="643">
        <f>VLOOKUP(WWWW[[#This Row],[Site Name]],SiteDB6[[Site Name]:[Pcode]],3,FALSE)</f>
        <v>0</v>
      </c>
      <c r="DR210" s="652" t="str">
        <f t="shared" si="7"/>
        <v>Covered</v>
      </c>
      <c r="DS210" s="652"/>
    </row>
    <row r="211" spans="1:126">
      <c r="A211" s="637" t="s">
        <v>2525</v>
      </c>
      <c r="B211" s="637" t="s">
        <v>305</v>
      </c>
      <c r="C211" s="644" t="s">
        <v>305</v>
      </c>
      <c r="D211" s="644" t="s">
        <v>345</v>
      </c>
      <c r="E211" s="663" t="s">
        <v>3014</v>
      </c>
      <c r="F211" s="644" t="s">
        <v>420</v>
      </c>
      <c r="G211" s="663" t="str">
        <f>VLOOKUP(WWWW[[#This Row],[Site Name]],SiteDB6[[Site Name]:[Location Type]],8,FALSE)</f>
        <v>Village</v>
      </c>
      <c r="H211" s="644" t="s">
        <v>2828</v>
      </c>
      <c r="I211" s="646">
        <v>113</v>
      </c>
      <c r="J211" s="646">
        <v>506</v>
      </c>
      <c r="K211" s="653">
        <v>43359</v>
      </c>
      <c r="L211" s="654">
        <v>43830</v>
      </c>
      <c r="M211" s="646"/>
      <c r="N211" s="646"/>
      <c r="O211" s="646"/>
      <c r="P211" s="646"/>
      <c r="Q211" s="645"/>
      <c r="R211" s="646"/>
      <c r="S211" s="646"/>
      <c r="T211" s="646"/>
      <c r="U211" s="646"/>
      <c r="V211" s="646"/>
      <c r="W211" s="646"/>
      <c r="X211" s="646"/>
      <c r="Y211" s="646"/>
      <c r="Z211" s="646"/>
      <c r="AA211" s="646"/>
      <c r="AB211" s="646"/>
      <c r="AC211" s="646"/>
      <c r="AD211" s="646"/>
      <c r="AE211" s="646"/>
      <c r="AF211" s="646"/>
      <c r="AG211" s="646"/>
      <c r="AH211" s="646"/>
      <c r="AI211" s="646"/>
      <c r="AJ211" s="646"/>
      <c r="AK211" s="646"/>
      <c r="AL211" s="646"/>
      <c r="AM211" s="646"/>
      <c r="AN211" s="646"/>
      <c r="AO211" s="652"/>
      <c r="AP211" s="646"/>
      <c r="AQ211" s="646"/>
      <c r="AR211" s="648"/>
      <c r="AS211" s="646"/>
      <c r="AT211" s="646"/>
      <c r="AU211" s="646"/>
      <c r="AV211" s="646"/>
      <c r="AW211" s="646"/>
      <c r="AX211" s="643"/>
      <c r="AY211" s="652"/>
      <c r="AZ211" s="646"/>
      <c r="BA211" s="646"/>
      <c r="BB211" s="646"/>
      <c r="BC211" s="643"/>
      <c r="BD211" s="646"/>
      <c r="BE211" s="646"/>
      <c r="BF211" s="646"/>
      <c r="BG211" s="646"/>
      <c r="BH211" s="646"/>
      <c r="BI211" s="646"/>
      <c r="BJ211" s="646"/>
      <c r="BK211" s="646"/>
      <c r="BL211" s="646"/>
      <c r="BM211" s="643"/>
      <c r="BN211" s="647"/>
      <c r="BO211" s="648"/>
      <c r="BP211" s="643"/>
      <c r="BQ211" s="649" t="str">
        <f>IFERROR(WWWW[[#This Row],['#_Water sources treated]]/WWWW[[#This Row],['#_Water sources tested for contamination]],"no test")</f>
        <v>no test</v>
      </c>
      <c r="BR211" s="648" t="str">
        <f>IFERROR(WWWW[[#This Row],['#_Household received remediation action due to contamination]]/WWWW[[#This Row],['#_Household water samples tested for contamination]],"no test")</f>
        <v>no test</v>
      </c>
      <c r="BS211" s="647" t="str">
        <f>IF(AND(WWWW[[#This Row],[% of water sources treated]]="no test",WWWW[[#This Row],[% Household received corrective actions]]="no test"),"No Test","Tested")</f>
        <v>No Test</v>
      </c>
      <c r="BT211" s="647">
        <f>WWWW[[#This Row],['#_Constructed/existing protected hand dug well]]-WWWW[[#This Row],['#_Non-functional protected hand dug well]]</f>
        <v>0</v>
      </c>
      <c r="BU211" s="647">
        <f>(WWWW[[#This Row],['#_Constructed/Existing tube wells/boreholes/handpumps_WASH_agency]]+WWWW[[#This Row],['#_Non-Cluster partner water tube-wells/boreholes/handpumps]])-WWWW[[#This Row],['#_Non-functional tube wells/boreholes/handpumps]]</f>
        <v>0</v>
      </c>
      <c r="BV211" s="647">
        <f>WWWW[[#This Row],['#_Constructed/Existingwater storage tank with gravity fed reticulation system]]-WWWW[[#This Row],['#_Non-functional storage tank gravity fed reticulation system]]</f>
        <v>0</v>
      </c>
      <c r="BW211" s="647">
        <f>WWWW[[#This Row],['#_Water boating or water trucking]]</f>
        <v>0</v>
      </c>
      <c r="BX211" s="647">
        <f>WWWW[[#This Row],['#_Constructed/Existing water distribution system from river or natural spring]]</f>
        <v>0</v>
      </c>
      <c r="BY211"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11"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11" s="648">
        <f>IF(WWWW[[#This Row],[Location Type 1]]="Village",WWWW[[#This Row],[Access to safe drinking water for Village]],WWWW[[#This Row],[Access to safe drinking water for Camp]])</f>
        <v>0</v>
      </c>
      <c r="CB211" s="645">
        <f>WWWW[[#This Row],[%Equitable and continuous access to sufficient quantity of safe drinking water]]*WWWW[[#This Row],[Total PoP ]]</f>
        <v>0</v>
      </c>
      <c r="CC211" s="648">
        <f>IF((WWWW[[#This Row],['#_Constructed/Existing protected/fenced ponds]]*250)/WWWW[[#This Row],[Total PoP ]]&gt;1,1,(WWWW[[#This Row],['#_Constructed/Existing protected/fenced ponds]]*250)/WWWW[[#This Row],[Total PoP ]])</f>
        <v>0</v>
      </c>
      <c r="CD211" s="645">
        <f>WWWW[[#This Row],[% Access to unimproved water points]]*WWWW[[#This Row],[Total PoP ]]</f>
        <v>0</v>
      </c>
      <c r="CE211"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11"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11" s="645">
        <f>WWWW[[#This Row],[HRP1]]/500</f>
        <v>0</v>
      </c>
      <c r="CH211" s="650">
        <f>1-WWWW[[#This Row],[% Equitable and continuous access to sufficient quantity of domestic water]]</f>
        <v>1</v>
      </c>
      <c r="CI211" s="645">
        <f>WWWW[[#This Row],[%equitable and continuous access to sufficient quantity of safe drinking and domestic water''s GAP]]*WWWW[[#This Row],[Total PoP ]]</f>
        <v>506</v>
      </c>
      <c r="CJ211" s="647">
        <f>IF(WWWW[[#This Row],[Total required water points]]-WWWW[[#This Row],['#Water points coverage]]&lt;0,0,WWWW[[#This Row],[Total required water points]]-WWWW[[#This Row],['#Water points coverage]])</f>
        <v>1</v>
      </c>
      <c r="CK211" s="647">
        <f>ROUND(IF(WWWW[[#This Row],[Total PoP ]]&lt;500,1,WWWW[[#This Row],[Total PoP ]]/500),0)</f>
        <v>1</v>
      </c>
      <c r="CL211" s="647">
        <f>(WWWW[[#This Row],['#_Constructed latrines_by_WASHAgencies]]+WWWW[[#This Row],['#_Non Cluster partner latrines]])-WWWW[[#This Row],['#_Non-functional latrines]]</f>
        <v>0</v>
      </c>
      <c r="CM211"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11"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11"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11" s="647" t="str">
        <f>IF(WWWW[[#This Row],[Location Type 1]]="Village","NA",IF(WWWW[[#This Row],['#_Constructed/Existing latrines in TLS]]*50&gt;WWWW[[#This Row],['#_students at TLS_CFS]],WWWW[[#This Row],['#_students at TLS_CFS]],(WWWW[[#This Row],['#_Constructed/Existing latrines in TLS]]*50)))</f>
        <v>NA</v>
      </c>
      <c r="CQ211" s="647">
        <f>ROUND(IF(WWWW[[#This Row],[Location Type 1]]="camp",WWWW[[#This Row],[Total PoP ]]/20,IF(WWWW[[#This Row],[Location Type 1]]="Temporary Location",WWWW[[#This Row],[Total PoP ]]/50,(WWWW[[#This Row],[Total PoP ]]/6))),0)</f>
        <v>84</v>
      </c>
      <c r="CR211" s="647">
        <f>IF(WWWW[[#This Row],[Total required Latrines]]-(WWWW[[#This Row],['#_Constructed latrines_by_WASHAgencies]]+WWWW[[#This Row],['#_Non Cluster partner latrines]])&lt;0,0,WWWW[[#This Row],[Total required Latrines]]-(WWWW[[#This Row],['#_Constructed latrines_by_WASHAgencies]]+WWWW[[#This Row],['#_Non Cluster partner latrines]]))</f>
        <v>84</v>
      </c>
      <c r="CS211" s="79">
        <f>1-WWWW[[#This Row],[% people access to functioning Latrine]]</f>
        <v>1</v>
      </c>
      <c r="CT211" s="649">
        <f>IF(OR(WWWW[[#This Row],['#_Non-functional latrines]]="",WWWW[[#This Row],['#_Non-functional latrines]]=0),0,WWWW[[#This Row],['#_Non-functional latrines]]/(WWWW[[#This Row],['#_Constructed latrines_by_WASHAgencies]]+WWWW[[#This Row],['#_Non Cluster partner latrines]]))</f>
        <v>0</v>
      </c>
      <c r="CU211" s="645">
        <f>IF(500*(WWWW[[#This Row],['#_male hygiene promoters]]+WWWW[[#This Row],['#_female hygiene promoters]])&gt;WWWW[[#This Row],[Total PoP ]],WWWW[[#This Row],[Total PoP ]],500*(WWWW[[#This Row],['#_male hygiene promoters]]+WWWW[[#This Row],['#_female hygiene promoters]]))</f>
        <v>0</v>
      </c>
      <c r="CV211"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11"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11" s="647">
        <f>IF(WWWW[[#This Row],['# People with access to soap]]&gt;WWWW[[#This Row],['# People with access to Sanity Pads]],WWWW[[#This Row],['# People with access to soap]],WWWW[[#This Row],['# People with access to Sanity Pads]])</f>
        <v>0</v>
      </c>
      <c r="CY211"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11" s="650">
        <f>IF(WWWW[[#This Row],[HRP3]]/WWWW[[#This Row],[Total PoP ]]&gt;100%,100%,WWWW[[#This Row],[HRP3]]/WWWW[[#This Row],[Total PoP ]])</f>
        <v>0</v>
      </c>
      <c r="DA211" s="649">
        <f>1-WWWW[[#This Row],[Hygiene Coverage%]]</f>
        <v>1</v>
      </c>
      <c r="DB211" s="648">
        <f>WWWW[[#This Row],['# people reached by regular dedicated hygiene promotion_5]]/WWWW[[#This Row],[Total PoP ]]</f>
        <v>0</v>
      </c>
      <c r="DC211" s="648">
        <f>IF(WWWW[[#This Row],['#_households that received standard amount of soap for this quarter]]/WWWW[[#This Row],[Total HH]]&gt;1,1,WWWW[[#This Row],['#_households that received standard amount of soap for this quarter]]/WWWW[[#This Row],[Total HH]])</f>
        <v>0</v>
      </c>
      <c r="DD211" s="648">
        <f>IF(WWWW[[#This Row],['#_households that received standard amount of sanitary pads for this quarter]]/WWWW[[#This Row],[Total HH]]&gt;1,1,WWWW[[#This Row],['#_households that received standard amount of sanitary pads for this quarter]]/WWWW[[#This Row],[Total HH]])</f>
        <v>0</v>
      </c>
      <c r="DE211" s="647">
        <f>WWWW[[#This Row],['#_Constructed/Existing hand washing stations]]-WWWW[[#This Row],['#_Non-Functional_hand_washing_stations]]</f>
        <v>0</v>
      </c>
      <c r="DF211" s="667">
        <f>IF(WWWW[[#This Row],['# Functional hand washing stations during reporting period]]*20&gt;WWWW[[#This Row],[Total HH]],WWWW[[#This Row],[Total HH]],WWWW[[#This Row],['# Functional hand washing stations during reporting period]]*20)</f>
        <v>0</v>
      </c>
      <c r="DG211" s="645">
        <f>IF(WWWW[[#This Row],[Is sufficient soap available for TLS? (Yes/No)]]="yes",WWWW[[#This Row],['#_Constructed/Existing hand washing stations at TLS]],0)</f>
        <v>0</v>
      </c>
      <c r="DH211" s="645">
        <f>IF(WWWW[[#This Row],['# Functional hand washing stations during reporting period]]*100&gt;WWWW[[#This Row],[Total PoP ]],WWWW[[#This Row],[Total PoP ]],WWWW[[#This Row],['# Functional hand washing stations during reporting period]]*100)</f>
        <v>0</v>
      </c>
      <c r="DI211" s="645" t="str">
        <f>IF(WWWW[[#This Row],['#_students at TLS_CFS]]="","No","Yes")</f>
        <v>No</v>
      </c>
      <c r="DJ211" s="643">
        <f>VLOOKUP(WWWW[[#This Row],[Site Name]],SiteDB6[[Site Name]:[CCCM Management]],6,FALSE)</f>
        <v>0</v>
      </c>
      <c r="DK211" s="643">
        <f>VLOOKUP(WWWW[[#This Row],[Site Name]],SiteDB6[[Site Name]:[CCCM Focal Agency]],7,FALSE)</f>
        <v>0</v>
      </c>
      <c r="DL211" s="643" t="str">
        <f>VLOOKUP(WWWW[[#This Row],[Site Name]],SiteDB6[[Site Name]:[Location Type 1]],9,FALSE)</f>
        <v>Village</v>
      </c>
      <c r="DM211" s="643" t="str">
        <f>VLOOKUP(WWWW[[#This Row],[Site Name]],SiteDB6[[Site Name]:[Type of Accommodation]],10,FALSE)</f>
        <v>Village</v>
      </c>
      <c r="DN211" s="643">
        <f>VLOOKUP(WWWW[[#This Row],[Site Name]],SiteDB6[[Site Name]:[Ethnic or GCA/NGCA]],11,FALSE)</f>
        <v>0</v>
      </c>
      <c r="DO211" s="643">
        <f>VLOOKUP(WWWW[[#This Row],[Site Name]],SiteDB6[[Site Name]:[Lat]],12,FALSE)</f>
        <v>0</v>
      </c>
      <c r="DP211" s="643">
        <f>VLOOKUP(WWWW[[#This Row],[Site Name]],SiteDB6[[Site Name]:[Long]],13,FALSE)</f>
        <v>0</v>
      </c>
      <c r="DQ211" s="643">
        <f>VLOOKUP(WWWW[[#This Row],[Site Name]],SiteDB6[[Site Name]:[Pcode]],3,FALSE)</f>
        <v>0</v>
      </c>
      <c r="DR211" s="652" t="str">
        <f t="shared" si="7"/>
        <v>Covered</v>
      </c>
      <c r="DS211" s="652"/>
    </row>
    <row r="212" spans="1:126">
      <c r="A212" s="637" t="s">
        <v>2525</v>
      </c>
      <c r="B212" s="637" t="s">
        <v>305</v>
      </c>
      <c r="C212" s="644" t="s">
        <v>305</v>
      </c>
      <c r="D212" s="644" t="s">
        <v>345</v>
      </c>
      <c r="E212" s="663" t="s">
        <v>3014</v>
      </c>
      <c r="F212" s="644" t="s">
        <v>420</v>
      </c>
      <c r="G212" s="663" t="str">
        <f>VLOOKUP(WWWW[[#This Row],[Site Name]],SiteDB6[[Site Name]:[Location Type]],8,FALSE)</f>
        <v>Village</v>
      </c>
      <c r="H212" s="644" t="s">
        <v>2832</v>
      </c>
      <c r="I212" s="646">
        <v>66</v>
      </c>
      <c r="J212" s="646">
        <v>315</v>
      </c>
      <c r="K212" s="653">
        <v>43359</v>
      </c>
      <c r="L212" s="654">
        <v>43830</v>
      </c>
      <c r="M212" s="646"/>
      <c r="N212" s="646"/>
      <c r="O212" s="646"/>
      <c r="P212" s="646"/>
      <c r="Q212" s="645"/>
      <c r="R212" s="646"/>
      <c r="S212" s="646"/>
      <c r="T212" s="646"/>
      <c r="U212" s="646"/>
      <c r="V212" s="646"/>
      <c r="W212" s="646"/>
      <c r="X212" s="646"/>
      <c r="Y212" s="646"/>
      <c r="Z212" s="646"/>
      <c r="AA212" s="646"/>
      <c r="AB212" s="646"/>
      <c r="AC212" s="646"/>
      <c r="AD212" s="646"/>
      <c r="AE212" s="646"/>
      <c r="AF212" s="646"/>
      <c r="AG212" s="646"/>
      <c r="AH212" s="646"/>
      <c r="AI212" s="646"/>
      <c r="AJ212" s="646"/>
      <c r="AK212" s="646"/>
      <c r="AL212" s="646"/>
      <c r="AM212" s="646"/>
      <c r="AN212" s="646"/>
      <c r="AO212" s="652"/>
      <c r="AP212" s="646"/>
      <c r="AQ212" s="646"/>
      <c r="AR212" s="648"/>
      <c r="AS212" s="646"/>
      <c r="AT212" s="646"/>
      <c r="AU212" s="646"/>
      <c r="AV212" s="646"/>
      <c r="AW212" s="646"/>
      <c r="AX212" s="643"/>
      <c r="AY212" s="652"/>
      <c r="AZ212" s="646"/>
      <c r="BA212" s="646"/>
      <c r="BB212" s="646"/>
      <c r="BC212" s="643"/>
      <c r="BD212" s="646"/>
      <c r="BE212" s="646"/>
      <c r="BF212" s="646"/>
      <c r="BG212" s="646"/>
      <c r="BH212" s="646"/>
      <c r="BI212" s="646"/>
      <c r="BJ212" s="646"/>
      <c r="BK212" s="646"/>
      <c r="BL212" s="646"/>
      <c r="BM212" s="643"/>
      <c r="BN212" s="647"/>
      <c r="BO212" s="648"/>
      <c r="BP212" s="643"/>
      <c r="BQ212" s="649" t="str">
        <f>IFERROR(WWWW[[#This Row],['#_Water sources treated]]/WWWW[[#This Row],['#_Water sources tested for contamination]],"no test")</f>
        <v>no test</v>
      </c>
      <c r="BR212" s="648" t="str">
        <f>IFERROR(WWWW[[#This Row],['#_Household received remediation action due to contamination]]/WWWW[[#This Row],['#_Household water samples tested for contamination]],"no test")</f>
        <v>no test</v>
      </c>
      <c r="BS212" s="647" t="str">
        <f>IF(AND(WWWW[[#This Row],[% of water sources treated]]="no test",WWWW[[#This Row],[% Household received corrective actions]]="no test"),"No Test","Tested")</f>
        <v>No Test</v>
      </c>
      <c r="BT212" s="647">
        <f>WWWW[[#This Row],['#_Constructed/existing protected hand dug well]]-WWWW[[#This Row],['#_Non-functional protected hand dug well]]</f>
        <v>0</v>
      </c>
      <c r="BU212" s="647">
        <f>(WWWW[[#This Row],['#_Constructed/Existing tube wells/boreholes/handpumps_WASH_agency]]+WWWW[[#This Row],['#_Non-Cluster partner water tube-wells/boreholes/handpumps]])-WWWW[[#This Row],['#_Non-functional tube wells/boreholes/handpumps]]</f>
        <v>0</v>
      </c>
      <c r="BV212" s="647">
        <f>WWWW[[#This Row],['#_Constructed/Existingwater storage tank with gravity fed reticulation system]]-WWWW[[#This Row],['#_Non-functional storage tank gravity fed reticulation system]]</f>
        <v>0</v>
      </c>
      <c r="BW212" s="647">
        <f>WWWW[[#This Row],['#_Water boating or water trucking]]</f>
        <v>0</v>
      </c>
      <c r="BX212" s="647">
        <f>WWWW[[#This Row],['#_Constructed/Existing water distribution system from river or natural spring]]</f>
        <v>0</v>
      </c>
      <c r="BY212"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12"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12" s="648">
        <f>IF(WWWW[[#This Row],[Location Type 1]]="Village",WWWW[[#This Row],[Access to safe drinking water for Village]],WWWW[[#This Row],[Access to safe drinking water for Camp]])</f>
        <v>0</v>
      </c>
      <c r="CB212" s="645">
        <f>WWWW[[#This Row],[%Equitable and continuous access to sufficient quantity of safe drinking water]]*WWWW[[#This Row],[Total PoP ]]</f>
        <v>0</v>
      </c>
      <c r="CC212" s="648">
        <f>IF((WWWW[[#This Row],['#_Constructed/Existing protected/fenced ponds]]*250)/WWWW[[#This Row],[Total PoP ]]&gt;1,1,(WWWW[[#This Row],['#_Constructed/Existing protected/fenced ponds]]*250)/WWWW[[#This Row],[Total PoP ]])</f>
        <v>0</v>
      </c>
      <c r="CD212" s="645">
        <f>WWWW[[#This Row],[% Access to unimproved water points]]*WWWW[[#This Row],[Total PoP ]]</f>
        <v>0</v>
      </c>
      <c r="CE212"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12"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12" s="645">
        <f>WWWW[[#This Row],[HRP1]]/500</f>
        <v>0</v>
      </c>
      <c r="CH212" s="650">
        <f>1-WWWW[[#This Row],[% Equitable and continuous access to sufficient quantity of domestic water]]</f>
        <v>1</v>
      </c>
      <c r="CI212" s="645">
        <f>WWWW[[#This Row],[%equitable and continuous access to sufficient quantity of safe drinking and domestic water''s GAP]]*WWWW[[#This Row],[Total PoP ]]</f>
        <v>315</v>
      </c>
      <c r="CJ212" s="647">
        <f>IF(WWWW[[#This Row],[Total required water points]]-WWWW[[#This Row],['#Water points coverage]]&lt;0,0,WWWW[[#This Row],[Total required water points]]-WWWW[[#This Row],['#Water points coverage]])</f>
        <v>1</v>
      </c>
      <c r="CK212" s="647">
        <f>ROUND(IF(WWWW[[#This Row],[Total PoP ]]&lt;500,1,WWWW[[#This Row],[Total PoP ]]/500),0)</f>
        <v>1</v>
      </c>
      <c r="CL212" s="647">
        <f>(WWWW[[#This Row],['#_Constructed latrines_by_WASHAgencies]]+WWWW[[#This Row],['#_Non Cluster partner latrines]])-WWWW[[#This Row],['#_Non-functional latrines]]</f>
        <v>0</v>
      </c>
      <c r="CM212"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12"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12"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12" s="647" t="str">
        <f>IF(WWWW[[#This Row],[Location Type 1]]="Village","NA",IF(WWWW[[#This Row],['#_Constructed/Existing latrines in TLS]]*50&gt;WWWW[[#This Row],['#_students at TLS_CFS]],WWWW[[#This Row],['#_students at TLS_CFS]],(WWWW[[#This Row],['#_Constructed/Existing latrines in TLS]]*50)))</f>
        <v>NA</v>
      </c>
      <c r="CQ212" s="647">
        <f>ROUND(IF(WWWW[[#This Row],[Location Type 1]]="camp",WWWW[[#This Row],[Total PoP ]]/20,IF(WWWW[[#This Row],[Location Type 1]]="Temporary Location",WWWW[[#This Row],[Total PoP ]]/50,(WWWW[[#This Row],[Total PoP ]]/6))),0)</f>
        <v>53</v>
      </c>
      <c r="CR212" s="647">
        <f>IF(WWWW[[#This Row],[Total required Latrines]]-(WWWW[[#This Row],['#_Constructed latrines_by_WASHAgencies]]+WWWW[[#This Row],['#_Non Cluster partner latrines]])&lt;0,0,WWWW[[#This Row],[Total required Latrines]]-(WWWW[[#This Row],['#_Constructed latrines_by_WASHAgencies]]+WWWW[[#This Row],['#_Non Cluster partner latrines]]))</f>
        <v>53</v>
      </c>
      <c r="CS212" s="79">
        <f>1-WWWW[[#This Row],[% people access to functioning Latrine]]</f>
        <v>1</v>
      </c>
      <c r="CT212" s="649">
        <f>IF(OR(WWWW[[#This Row],['#_Non-functional latrines]]="",WWWW[[#This Row],['#_Non-functional latrines]]=0),0,WWWW[[#This Row],['#_Non-functional latrines]]/(WWWW[[#This Row],['#_Constructed latrines_by_WASHAgencies]]+WWWW[[#This Row],['#_Non Cluster partner latrines]]))</f>
        <v>0</v>
      </c>
      <c r="CU212" s="645">
        <f>IF(500*(WWWW[[#This Row],['#_male hygiene promoters]]+WWWW[[#This Row],['#_female hygiene promoters]])&gt;WWWW[[#This Row],[Total PoP ]],WWWW[[#This Row],[Total PoP ]],500*(WWWW[[#This Row],['#_male hygiene promoters]]+WWWW[[#This Row],['#_female hygiene promoters]]))</f>
        <v>0</v>
      </c>
      <c r="CV212"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12"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12" s="647">
        <f>IF(WWWW[[#This Row],['# People with access to soap]]&gt;WWWW[[#This Row],['# People with access to Sanity Pads]],WWWW[[#This Row],['# People with access to soap]],WWWW[[#This Row],['# People with access to Sanity Pads]])</f>
        <v>0</v>
      </c>
      <c r="CY212"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12" s="650">
        <f>IF(WWWW[[#This Row],[HRP3]]/WWWW[[#This Row],[Total PoP ]]&gt;100%,100%,WWWW[[#This Row],[HRP3]]/WWWW[[#This Row],[Total PoP ]])</f>
        <v>0</v>
      </c>
      <c r="DA212" s="649">
        <f>1-WWWW[[#This Row],[Hygiene Coverage%]]</f>
        <v>1</v>
      </c>
      <c r="DB212" s="648">
        <f>WWWW[[#This Row],['# people reached by regular dedicated hygiene promotion_5]]/WWWW[[#This Row],[Total PoP ]]</f>
        <v>0</v>
      </c>
      <c r="DC212" s="648">
        <f>IF(WWWW[[#This Row],['#_households that received standard amount of soap for this quarter]]/WWWW[[#This Row],[Total HH]]&gt;1,1,WWWW[[#This Row],['#_households that received standard amount of soap for this quarter]]/WWWW[[#This Row],[Total HH]])</f>
        <v>0</v>
      </c>
      <c r="DD212" s="648">
        <f>IF(WWWW[[#This Row],['#_households that received standard amount of sanitary pads for this quarter]]/WWWW[[#This Row],[Total HH]]&gt;1,1,WWWW[[#This Row],['#_households that received standard amount of sanitary pads for this quarter]]/WWWW[[#This Row],[Total HH]])</f>
        <v>0</v>
      </c>
      <c r="DE212" s="647">
        <f>WWWW[[#This Row],['#_Constructed/Existing hand washing stations]]-WWWW[[#This Row],['#_Non-Functional_hand_washing_stations]]</f>
        <v>0</v>
      </c>
      <c r="DF212" s="667">
        <f>IF(WWWW[[#This Row],['# Functional hand washing stations during reporting period]]*20&gt;WWWW[[#This Row],[Total HH]],WWWW[[#This Row],[Total HH]],WWWW[[#This Row],['# Functional hand washing stations during reporting period]]*20)</f>
        <v>0</v>
      </c>
      <c r="DG212" s="645">
        <f>IF(WWWW[[#This Row],[Is sufficient soap available for TLS? (Yes/No)]]="yes",WWWW[[#This Row],['#_Constructed/Existing hand washing stations at TLS]],0)</f>
        <v>0</v>
      </c>
      <c r="DH212" s="645">
        <f>IF(WWWW[[#This Row],['# Functional hand washing stations during reporting period]]*100&gt;WWWW[[#This Row],[Total PoP ]],WWWW[[#This Row],[Total PoP ]],WWWW[[#This Row],['# Functional hand washing stations during reporting period]]*100)</f>
        <v>0</v>
      </c>
      <c r="DI212" s="645" t="str">
        <f>IF(WWWW[[#This Row],['#_students at TLS_CFS]]="","No","Yes")</f>
        <v>No</v>
      </c>
      <c r="DJ212" s="643">
        <f>VLOOKUP(WWWW[[#This Row],[Site Name]],SiteDB6[[Site Name]:[CCCM Management]],6,FALSE)</f>
        <v>0</v>
      </c>
      <c r="DK212" s="643">
        <f>VLOOKUP(WWWW[[#This Row],[Site Name]],SiteDB6[[Site Name]:[CCCM Focal Agency]],7,FALSE)</f>
        <v>0</v>
      </c>
      <c r="DL212" s="643" t="str">
        <f>VLOOKUP(WWWW[[#This Row],[Site Name]],SiteDB6[[Site Name]:[Location Type 1]],9,FALSE)</f>
        <v>Village</v>
      </c>
      <c r="DM212" s="643" t="str">
        <f>VLOOKUP(WWWW[[#This Row],[Site Name]],SiteDB6[[Site Name]:[Type of Accommodation]],10,FALSE)</f>
        <v>Village</v>
      </c>
      <c r="DN212" s="643">
        <f>VLOOKUP(WWWW[[#This Row],[Site Name]],SiteDB6[[Site Name]:[Ethnic or GCA/NGCA]],11,FALSE)</f>
        <v>0</v>
      </c>
      <c r="DO212" s="643">
        <f>VLOOKUP(WWWW[[#This Row],[Site Name]],SiteDB6[[Site Name]:[Lat]],12,FALSE)</f>
        <v>19.9403591156006</v>
      </c>
      <c r="DP212" s="643">
        <f>VLOOKUP(WWWW[[#This Row],[Site Name]],SiteDB6[[Site Name]:[Long]],13,FALSE)</f>
        <v>93.009452819824205</v>
      </c>
      <c r="DQ212" s="643">
        <f>VLOOKUP(WWWW[[#This Row],[Site Name]],SiteDB6[[Site Name]:[Pcode]],3,FALSE)</f>
        <v>197543</v>
      </c>
      <c r="DR212" s="652" t="str">
        <f t="shared" si="7"/>
        <v>Covered</v>
      </c>
      <c r="DS212" s="652"/>
    </row>
    <row r="213" spans="1:126">
      <c r="A213" s="637" t="s">
        <v>2525</v>
      </c>
      <c r="B213" s="716" t="s">
        <v>311</v>
      </c>
      <c r="C213" s="716" t="s">
        <v>311</v>
      </c>
      <c r="D213" s="663" t="s">
        <v>3005</v>
      </c>
      <c r="E213" s="663" t="s">
        <v>3014</v>
      </c>
      <c r="F213" s="644" t="s">
        <v>320</v>
      </c>
      <c r="G213" s="694" t="str">
        <f>VLOOKUP(WWWW[[#This Row],[Site Name]],SiteDB6[[Site Name]:[Location Type]],8,FALSE)</f>
        <v>Camp</v>
      </c>
      <c r="H213" s="701" t="s">
        <v>3006</v>
      </c>
      <c r="I213" s="700">
        <v>91</v>
      </c>
      <c r="J213" s="700">
        <v>581</v>
      </c>
      <c r="K213" s="710"/>
      <c r="L213" s="78">
        <v>43554</v>
      </c>
      <c r="M213" s="379"/>
      <c r="N213" s="379"/>
      <c r="O213" s="379"/>
      <c r="P213" s="379"/>
      <c r="Q213" s="702"/>
      <c r="R213" s="379"/>
      <c r="S213" s="379"/>
      <c r="T213" s="379"/>
      <c r="U213" s="379"/>
      <c r="V213" s="379"/>
      <c r="W213" s="379"/>
      <c r="X213" s="379"/>
      <c r="Y213" s="379"/>
      <c r="Z213" s="379"/>
      <c r="AA213" s="379"/>
      <c r="AB213" s="379"/>
      <c r="AC213" s="379"/>
      <c r="AD213" s="379"/>
      <c r="AE213" s="379">
        <v>3</v>
      </c>
      <c r="AF213" s="379"/>
      <c r="AG213" s="379"/>
      <c r="AH213" s="379"/>
      <c r="AI213" s="379"/>
      <c r="AJ213" s="379"/>
      <c r="AK213" s="379"/>
      <c r="AL213" s="379"/>
      <c r="AM213" s="379"/>
      <c r="AN213" s="379"/>
      <c r="AO213" s="703"/>
      <c r="AP213" s="379">
        <v>13</v>
      </c>
      <c r="AQ213" s="379"/>
      <c r="AR213" s="711"/>
      <c r="AS213" s="379"/>
      <c r="AT213" s="379"/>
      <c r="AU213" s="379"/>
      <c r="AV213" s="379"/>
      <c r="AW213" s="379"/>
      <c r="AX213" s="709" t="s">
        <v>144</v>
      </c>
      <c r="AY213" s="703" t="s">
        <v>1200</v>
      </c>
      <c r="AZ213" s="379"/>
      <c r="BA213" s="379"/>
      <c r="BB213" s="379"/>
      <c r="BC213" s="709"/>
      <c r="BD213" s="379"/>
      <c r="BE213" s="379"/>
      <c r="BF213" s="379"/>
      <c r="BG213" s="379"/>
      <c r="BH213" s="379"/>
      <c r="BI213" s="379"/>
      <c r="BJ213" s="379"/>
      <c r="BK213" s="379"/>
      <c r="BL213" s="379"/>
      <c r="BM213" s="709"/>
      <c r="BN213" s="712"/>
      <c r="BO213" s="711"/>
      <c r="BP213" s="709"/>
      <c r="BQ213" s="713" t="str">
        <f>IFERROR(WWWW[[#This Row],['#_Water sources treated]]/WWWW[[#This Row],['#_Water sources tested for contamination]],"no test")</f>
        <v>no test</v>
      </c>
      <c r="BR213" s="711" t="str">
        <f>IFERROR(WWWW[[#This Row],['#_Household received remediation action due to contamination]]/WWWW[[#This Row],['#_Household water samples tested for contamination]],"no test")</f>
        <v>no test</v>
      </c>
      <c r="BS213" s="712" t="str">
        <f>IF(AND(WWWW[[#This Row],[% of water sources treated]]="no test",WWWW[[#This Row],[% Household received corrective actions]]="no test"),"No Test","Tested")</f>
        <v>No Test</v>
      </c>
      <c r="BT213" s="712">
        <f>WWWW[[#This Row],['#_Constructed/existing protected hand dug well]]-WWWW[[#This Row],['#_Non-functional protected hand dug well]]</f>
        <v>0</v>
      </c>
      <c r="BU213" s="712">
        <f>(WWWW[[#This Row],['#_Constructed/Existing tube wells/boreholes/handpumps_WASH_agency]]+WWWW[[#This Row],['#_Non-Cluster partner water tube-wells/boreholes/handpumps]])-WWWW[[#This Row],['#_Non-functional tube wells/boreholes/handpumps]]</f>
        <v>0</v>
      </c>
      <c r="BV213" s="712">
        <f>WWWW[[#This Row],['#_Constructed/Existingwater storage tank with gravity fed reticulation system]]-WWWW[[#This Row],['#_Non-functional storage tank gravity fed reticulation system]]</f>
        <v>0</v>
      </c>
      <c r="BW213" s="712">
        <f>WWWW[[#This Row],['#_Water boating or water trucking]]</f>
        <v>0</v>
      </c>
      <c r="BX213" s="712">
        <f>WWWW[[#This Row],['#_Constructed/Existing water distribution system from river or natural spring]]</f>
        <v>0</v>
      </c>
      <c r="BY213" s="713">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13" s="713">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13" s="711">
        <f>IF(WWWW[[#This Row],[Location Type 1]]="Village",WWWW[[#This Row],[Access to safe drinking water for Village]],WWWW[[#This Row],[Access to safe drinking water for Camp]])</f>
        <v>0</v>
      </c>
      <c r="CB213" s="702">
        <f>WWWW[[#This Row],[%Equitable and continuous access to sufficient quantity of safe drinking water]]*WWWW[[#This Row],[Total PoP ]]</f>
        <v>0</v>
      </c>
      <c r="CC213" s="711">
        <f>IF((WWWW[[#This Row],['#_Constructed/Existing protected/fenced ponds]]*250)/WWWW[[#This Row],[Total PoP ]]&gt;1,1,(WWWW[[#This Row],['#_Constructed/Existing protected/fenced ponds]]*250)/WWWW[[#This Row],[Total PoP ]])</f>
        <v>1</v>
      </c>
      <c r="CD213" s="702">
        <f>WWWW[[#This Row],[% Access to unimproved water points]]*WWWW[[#This Row],[Total PoP ]]</f>
        <v>581</v>
      </c>
      <c r="CE213" s="711">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213" s="70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581</v>
      </c>
      <c r="CG213" s="702">
        <f>WWWW[[#This Row],[HRP1]]/500</f>
        <v>1.1619999999999999</v>
      </c>
      <c r="CH213" s="714">
        <f>1-WWWW[[#This Row],[% Equitable and continuous access to sufficient quantity of domestic water]]</f>
        <v>0</v>
      </c>
      <c r="CI213" s="702">
        <f>WWWW[[#This Row],[%equitable and continuous access to sufficient quantity of safe drinking and domestic water''s GAP]]*WWWW[[#This Row],[Total PoP ]]</f>
        <v>0</v>
      </c>
      <c r="CJ213" s="712">
        <f>IF(WWWW[[#This Row],[Total required water points]]-WWWW[[#This Row],['#Water points coverage]]&lt;0,0,WWWW[[#This Row],[Total required water points]]-WWWW[[#This Row],['#Water points coverage]])</f>
        <v>0</v>
      </c>
      <c r="CK213" s="712">
        <f>ROUND(IF(WWWW[[#This Row],[Total PoP ]]&lt;500,1,WWWW[[#This Row],[Total PoP ]]/500),0)</f>
        <v>1</v>
      </c>
      <c r="CL213" s="712">
        <f>(WWWW[[#This Row],['#_Constructed latrines_by_WASHAgencies]]+WWWW[[#This Row],['#_Non Cluster partner latrines]])-WWWW[[#This Row],['#_Non-functional latrines]]</f>
        <v>13</v>
      </c>
      <c r="CM213" s="711">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0.44750430292598969</v>
      </c>
      <c r="CN213" s="702">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260</v>
      </c>
      <c r="CO213" s="71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213" s="712">
        <f>IF(WWWW[[#This Row],[Location Type 1]]="Village","NA",IF(WWWW[[#This Row],['#_Constructed/Existing latrines in TLS]]*50&gt;WWWW[[#This Row],['#_students at TLS_CFS]],WWWW[[#This Row],['#_students at TLS_CFS]],(WWWW[[#This Row],['#_Constructed/Existing latrines in TLS]]*50)))</f>
        <v>0</v>
      </c>
      <c r="CQ213" s="712">
        <f>ROUND(IF(WWWW[[#This Row],[Location Type 1]]="camp",WWWW[[#This Row],[Total PoP ]]/20,IF(WWWW[[#This Row],[Location Type 1]]="Temporary Location",WWWW[[#This Row],[Total PoP ]]/50,(WWWW[[#This Row],[Total PoP ]]/6))),0)</f>
        <v>29</v>
      </c>
      <c r="CR213" s="712">
        <f>IF(WWWW[[#This Row],[Total required Latrines]]-(WWWW[[#This Row],['#_Constructed latrines_by_WASHAgencies]]+WWWW[[#This Row],['#_Non Cluster partner latrines]])&lt;0,0,WWWW[[#This Row],[Total required Latrines]]-(WWWW[[#This Row],['#_Constructed latrines_by_WASHAgencies]]+WWWW[[#This Row],['#_Non Cluster partner latrines]]))</f>
        <v>16</v>
      </c>
      <c r="CS213" s="79">
        <f>1-WWWW[[#This Row],[% people access to functioning Latrine]]</f>
        <v>0.55249569707401025</v>
      </c>
      <c r="CT213" s="713">
        <f>IF(OR(WWWW[[#This Row],['#_Non-functional latrines]]="",WWWW[[#This Row],['#_Non-functional latrines]]=0),0,WWWW[[#This Row],['#_Non-functional latrines]]/(WWWW[[#This Row],['#_Constructed latrines_by_WASHAgencies]]+WWWW[[#This Row],['#_Non Cluster partner latrines]]))</f>
        <v>0</v>
      </c>
      <c r="CU213" s="702">
        <f>IF(500*(WWWW[[#This Row],['#_male hygiene promoters]]+WWWW[[#This Row],['#_female hygiene promoters]])&gt;WWWW[[#This Row],[Total PoP ]],WWWW[[#This Row],[Total PoP ]],500*(WWWW[[#This Row],['#_male hygiene promoters]]+WWWW[[#This Row],['#_female hygiene promoters]]))</f>
        <v>0</v>
      </c>
      <c r="CV213" s="712">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13" s="712">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13" s="712">
        <f>IF(WWWW[[#This Row],['# People with access to soap]]&gt;WWWW[[#This Row],['# People with access to Sanity Pads]],WWWW[[#This Row],['# People with access to soap]],WWWW[[#This Row],['# People with access to Sanity Pads]])</f>
        <v>0</v>
      </c>
      <c r="CY213" s="712">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13" s="714">
        <f>IF(WWWW[[#This Row],[HRP3]]/WWWW[[#This Row],[Total PoP ]]&gt;100%,100%,WWWW[[#This Row],[HRP3]]/WWWW[[#This Row],[Total PoP ]])</f>
        <v>0</v>
      </c>
      <c r="DA213" s="713">
        <f>1-WWWW[[#This Row],[Hygiene Coverage%]]</f>
        <v>1</v>
      </c>
      <c r="DB213" s="711">
        <f>WWWW[[#This Row],['# people reached by regular dedicated hygiene promotion_5]]/WWWW[[#This Row],[Total PoP ]]</f>
        <v>0</v>
      </c>
      <c r="DC213" s="711">
        <f>IF(WWWW[[#This Row],['#_households that received standard amount of soap for this quarter]]/WWWW[[#This Row],[Total HH]]&gt;1,1,WWWW[[#This Row],['#_households that received standard amount of soap for this quarter]]/WWWW[[#This Row],[Total HH]])</f>
        <v>0</v>
      </c>
      <c r="DD213" s="711">
        <f>IF(WWWW[[#This Row],['#_households that received standard amount of sanitary pads for this quarter]]/WWWW[[#This Row],[Total HH]]&gt;1,1,WWWW[[#This Row],['#_households that received standard amount of sanitary pads for this quarter]]/WWWW[[#This Row],[Total HH]])</f>
        <v>0</v>
      </c>
      <c r="DE213" s="712">
        <f>WWWW[[#This Row],['#_Constructed/Existing hand washing stations]]-WWWW[[#This Row],['#_Non-Functional_hand_washing_stations]]</f>
        <v>0</v>
      </c>
      <c r="DF213" s="667">
        <f>IF(WWWW[[#This Row],['# Functional hand washing stations during reporting period]]*20&gt;WWWW[[#This Row],[Total HH]],WWWW[[#This Row],[Total HH]],WWWW[[#This Row],['# Functional hand washing stations during reporting period]]*20)</f>
        <v>0</v>
      </c>
      <c r="DG213" s="702">
        <f>IF(WWWW[[#This Row],[Is sufficient soap available for TLS? (Yes/No)]]="yes",WWWW[[#This Row],['#_Constructed/Existing hand washing stations at TLS]],0)</f>
        <v>0</v>
      </c>
      <c r="DH213" s="702">
        <f>IF(WWWW[[#This Row],['# Functional hand washing stations during reporting period]]*100&gt;WWWW[[#This Row],[Total PoP ]],WWWW[[#This Row],[Total PoP ]],WWWW[[#This Row],['# Functional hand washing stations during reporting period]]*100)</f>
        <v>0</v>
      </c>
      <c r="DI213" s="702" t="str">
        <f>IF(WWWW[[#This Row],['#_students at TLS_CFS]]="","No","Yes")</f>
        <v>No</v>
      </c>
      <c r="DJ213" s="709" t="str">
        <f>VLOOKUP(WWWW[[#This Row],[Site Name]],SiteDB6[[Site Name]:[CCCM Management]],6,FALSE)</f>
        <v>Yes</v>
      </c>
      <c r="DK213" s="709">
        <f>VLOOKUP(WWWW[[#This Row],[Site Name]],SiteDB6[[Site Name]:[CCCM Focal Agency]],7,FALSE)</f>
        <v>0</v>
      </c>
      <c r="DL213" s="709" t="str">
        <f>VLOOKUP(WWWW[[#This Row],[Site Name]],SiteDB6[[Site Name]:[Location Type 1]],9,FALSE)</f>
        <v>Camp</v>
      </c>
      <c r="DM213" s="709" t="str">
        <f>VLOOKUP(WWWW[[#This Row],[Site Name]],SiteDB6[[Site Name]:[Type of Accommodation]],10,FALSE)</f>
        <v>Self Settled Camp</v>
      </c>
      <c r="DN213" s="709" t="str">
        <f>VLOOKUP(WWWW[[#This Row],[Site Name]],SiteDB6[[Site Name]:[Ethnic or GCA/NGCA]],11,FALSE)</f>
        <v>Muslim</v>
      </c>
      <c r="DO213" s="709">
        <f>VLOOKUP(WWWW[[#This Row],[Site Name]],SiteDB6[[Site Name]:[Lat]],12,FALSE)</f>
        <v>20.865687000000001</v>
      </c>
      <c r="DP213" s="709">
        <f>VLOOKUP(WWWW[[#This Row],[Site Name]],SiteDB6[[Site Name]:[Long]],13,FALSE)</f>
        <v>92.965980999999999</v>
      </c>
      <c r="DQ213" s="709" t="str">
        <f>VLOOKUP(WWWW[[#This Row],[Site Name]],SiteDB6[[Site Name]:[Pcode]],3,FALSE)</f>
        <v>MMR012CMP023</v>
      </c>
      <c r="DR213" s="703" t="str">
        <f t="shared" si="7"/>
        <v>Covered</v>
      </c>
      <c r="DS213" s="703"/>
      <c r="DV213" s="661"/>
    </row>
    <row r="214" spans="1:126">
      <c r="A214" s="637" t="s">
        <v>2525</v>
      </c>
      <c r="B214" s="637" t="s">
        <v>1270</v>
      </c>
      <c r="C214" s="782" t="s">
        <v>3085</v>
      </c>
      <c r="D214" s="782"/>
      <c r="E214" s="663" t="s">
        <v>3013</v>
      </c>
      <c r="F214" s="782" t="s">
        <v>337</v>
      </c>
      <c r="G214" s="783" t="str">
        <f>VLOOKUP(WWWW[[#This Row],[Site Name]],SiteDB6[[Site Name]:[Location Type]],8,FALSE)</f>
        <v>Village</v>
      </c>
      <c r="H214" s="782" t="s">
        <v>3073</v>
      </c>
      <c r="I214" s="798">
        <v>935.8</v>
      </c>
      <c r="J214" s="798">
        <v>4679</v>
      </c>
      <c r="K214" s="785"/>
      <c r="L214" s="786"/>
      <c r="M214" s="787"/>
      <c r="N214" s="787"/>
      <c r="O214" s="787"/>
      <c r="P214" s="787"/>
      <c r="Q214" s="784"/>
      <c r="R214" s="787"/>
      <c r="S214" s="787"/>
      <c r="T214" s="379"/>
      <c r="U214" s="787"/>
      <c r="V214" s="787"/>
      <c r="W214" s="787"/>
      <c r="X214" s="787"/>
      <c r="Y214" s="787"/>
      <c r="Z214" s="787"/>
      <c r="AA214" s="787"/>
      <c r="AB214" s="787"/>
      <c r="AC214" s="787"/>
      <c r="AD214" s="787"/>
      <c r="AE214" s="787"/>
      <c r="AF214" s="787"/>
      <c r="AG214" s="787"/>
      <c r="AH214" s="787"/>
      <c r="AI214" s="787"/>
      <c r="AJ214" s="787"/>
      <c r="AK214" s="787"/>
      <c r="AL214" s="787"/>
      <c r="AM214" s="787"/>
      <c r="AN214" s="787"/>
      <c r="AO214" s="788"/>
      <c r="AP214" s="787"/>
      <c r="AQ214" s="787"/>
      <c r="AR214" s="789"/>
      <c r="AS214" s="787"/>
      <c r="AT214" s="787"/>
      <c r="AU214" s="787"/>
      <c r="AV214" s="787"/>
      <c r="AW214" s="787"/>
      <c r="AX214" s="790"/>
      <c r="AY214" s="788"/>
      <c r="AZ214" s="787"/>
      <c r="BA214" s="787"/>
      <c r="BB214" s="787"/>
      <c r="BC214" s="790"/>
      <c r="BD214" s="787"/>
      <c r="BE214" s="787"/>
      <c r="BF214" s="787"/>
      <c r="BG214" s="787"/>
      <c r="BH214" s="787"/>
      <c r="BI214" s="787"/>
      <c r="BJ214" s="787"/>
      <c r="BK214" s="787">
        <v>935.8</v>
      </c>
      <c r="BL214" s="787"/>
      <c r="BM214" s="790"/>
      <c r="BN214" s="791"/>
      <c r="BO214" s="789"/>
      <c r="BP214" s="790"/>
      <c r="BQ214" s="792" t="str">
        <f>IFERROR(WWWW[[#This Row],['#_Water sources treated]]/WWWW[[#This Row],['#_Water sources tested for contamination]],"no test")</f>
        <v>no test</v>
      </c>
      <c r="BR214" s="789" t="str">
        <f>IFERROR(WWWW[[#This Row],['#_Household received remediation action due to contamination]]/WWWW[[#This Row],['#_Household water samples tested for contamination]],"no test")</f>
        <v>no test</v>
      </c>
      <c r="BS214" s="791" t="str">
        <f>IF(AND(WWWW[[#This Row],[% of water sources treated]]="no test",WWWW[[#This Row],[% Household received corrective actions]]="no test"),"No Test","Tested")</f>
        <v>No Test</v>
      </c>
      <c r="BT214" s="791">
        <f>WWWW[[#This Row],['#_Constructed/existing protected hand dug well]]-WWWW[[#This Row],['#_Non-functional protected hand dug well]]</f>
        <v>0</v>
      </c>
      <c r="BU214" s="791">
        <f>(WWWW[[#This Row],['#_Constructed/Existing tube wells/boreholes/handpumps_WASH_agency]]+WWWW[[#This Row],['#_Non-Cluster partner water tube-wells/boreholes/handpumps]])-WWWW[[#This Row],['#_Non-functional tube wells/boreholes/handpumps]]</f>
        <v>0</v>
      </c>
      <c r="BV214" s="791">
        <f>WWWW[[#This Row],['#_Constructed/Existingwater storage tank with gravity fed reticulation system]]-WWWW[[#This Row],['#_Non-functional storage tank gravity fed reticulation system]]</f>
        <v>0</v>
      </c>
      <c r="BW214" s="791">
        <f>WWWW[[#This Row],['#_Water boating or water trucking]]</f>
        <v>0</v>
      </c>
      <c r="BX214" s="791">
        <f>WWWW[[#This Row],['#_Constructed/Existing water distribution system from river or natural spring]]</f>
        <v>0</v>
      </c>
      <c r="BY214" s="79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14" s="79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14" s="789">
        <f>IF(WWWW[[#This Row],[Location Type 1]]="Village",WWWW[[#This Row],[Access to safe drinking water for Village]],WWWW[[#This Row],[Access to safe drinking water for Camp]])</f>
        <v>0</v>
      </c>
      <c r="CB214" s="784">
        <f>WWWW[[#This Row],[%Equitable and continuous access to sufficient quantity of safe drinking water]]*WWWW[[#This Row],[Total PoP ]]</f>
        <v>0</v>
      </c>
      <c r="CC214" s="789">
        <f>IF((WWWW[[#This Row],['#_Constructed/Existing protected/fenced ponds]]*250)/WWWW[[#This Row],[Total PoP ]]&gt;1,1,(WWWW[[#This Row],['#_Constructed/Existing protected/fenced ponds]]*250)/WWWW[[#This Row],[Total PoP ]])</f>
        <v>0</v>
      </c>
      <c r="CD214" s="784">
        <f>WWWW[[#This Row],[% Access to unimproved water points]]*WWWW[[#This Row],[Total PoP ]]</f>
        <v>0</v>
      </c>
      <c r="CE214" s="78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14" s="7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14" s="784">
        <f>WWWW[[#This Row],[HRP1]]/500</f>
        <v>0</v>
      </c>
      <c r="CH214" s="793">
        <f>1-WWWW[[#This Row],[% Equitable and continuous access to sufficient quantity of domestic water]]</f>
        <v>1</v>
      </c>
      <c r="CI214" s="784">
        <f>WWWW[[#This Row],[%equitable and continuous access to sufficient quantity of safe drinking and domestic water''s GAP]]*WWWW[[#This Row],[Total PoP ]]</f>
        <v>4679</v>
      </c>
      <c r="CJ214" s="791">
        <f>IF(WWWW[[#This Row],[Total required water points]]-WWWW[[#This Row],['#Water points coverage]]&lt;0,0,WWWW[[#This Row],[Total required water points]]-WWWW[[#This Row],['#Water points coverage]])</f>
        <v>9</v>
      </c>
      <c r="CK214" s="791">
        <f>ROUND(IF(WWWW[[#This Row],[Total PoP ]]&lt;500,1,WWWW[[#This Row],[Total PoP ]]/500),0)</f>
        <v>9</v>
      </c>
      <c r="CL214" s="791">
        <f>(WWWW[[#This Row],['#_Constructed latrines_by_WASHAgencies]]+WWWW[[#This Row],['#_Non Cluster partner latrines]])-WWWW[[#This Row],['#_Non-functional latrines]]</f>
        <v>0</v>
      </c>
      <c r="CM214"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14" s="784">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14" s="794"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14" s="791" t="str">
        <f>IF(WWWW[[#This Row],[Location Type 1]]="Village","NA",IF(WWWW[[#This Row],['#_Constructed/Existing latrines in TLS]]*50&gt;WWWW[[#This Row],['#_students at TLS_CFS]],WWWW[[#This Row],['#_students at TLS_CFS]],(WWWW[[#This Row],['#_Constructed/Existing latrines in TLS]]*50)))</f>
        <v>NA</v>
      </c>
      <c r="CQ214" s="791">
        <f>ROUND(IF(WWWW[[#This Row],[Location Type 1]]="camp",WWWW[[#This Row],[Total PoP ]]/20,IF(WWWW[[#This Row],[Location Type 1]]="Temporary Location",WWWW[[#This Row],[Total PoP ]]/50,(WWWW[[#This Row],[Total PoP ]]/6))),0)</f>
        <v>780</v>
      </c>
      <c r="CR214" s="791">
        <f>IF(WWWW[[#This Row],[Total required Latrines]]-(WWWW[[#This Row],['#_Constructed latrines_by_WASHAgencies]]+WWWW[[#This Row],['#_Non Cluster partner latrines]])&lt;0,0,WWWW[[#This Row],[Total required Latrines]]-(WWWW[[#This Row],['#_Constructed latrines_by_WASHAgencies]]+WWWW[[#This Row],['#_Non Cluster partner latrines]]))</f>
        <v>780</v>
      </c>
      <c r="CS214" s="795">
        <f>1-WWWW[[#This Row],[% people access to functioning Latrine]]</f>
        <v>1</v>
      </c>
      <c r="CT214" s="792">
        <f>IF(OR(WWWW[[#This Row],['#_Non-functional latrines]]="",WWWW[[#This Row],['#_Non-functional latrines]]=0),0,WWWW[[#This Row],['#_Non-functional latrines]]/(WWWW[[#This Row],['#_Constructed latrines_by_WASHAgencies]]+WWWW[[#This Row],['#_Non Cluster partner latrines]]))</f>
        <v>0</v>
      </c>
      <c r="CU214" s="784">
        <f>IF(500*(WWWW[[#This Row],['#_male hygiene promoters]]+WWWW[[#This Row],['#_female hygiene promoters]])&gt;WWWW[[#This Row],[Total PoP ]],WWWW[[#This Row],[Total PoP ]],500*(WWWW[[#This Row],['#_male hygiene promoters]]+WWWW[[#This Row],['#_female hygiene promoters]]))</f>
        <v>0</v>
      </c>
      <c r="CV214" s="79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4679</v>
      </c>
      <c r="CW214" s="79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14" s="791">
        <f>IF(WWWW[[#This Row],['# People with access to soap]]&gt;WWWW[[#This Row],['# People with access to Sanity Pads]],WWWW[[#This Row],['# People with access to soap]],WWWW[[#This Row],['# People with access to Sanity Pads]])</f>
        <v>4679</v>
      </c>
      <c r="CY214" s="791">
        <f>IF(WWWW[[#This Row],['# people reached by regular dedicated hygiene promotion_5]]&gt;WWWW[[#This Row],['# People received regular supply of hygiene items_6]],WWWW[[#This Row],['# people reached by regular dedicated hygiene promotion_5]],WWWW[[#This Row],['# People received regular supply of hygiene items_6]])</f>
        <v>4679</v>
      </c>
      <c r="CZ214" s="793">
        <f>IF(WWWW[[#This Row],[HRP3]]/WWWW[[#This Row],[Total PoP ]]&gt;100%,100%,WWWW[[#This Row],[HRP3]]/WWWW[[#This Row],[Total PoP ]])</f>
        <v>1</v>
      </c>
      <c r="DA214" s="792">
        <f>1-WWWW[[#This Row],[Hygiene Coverage%]]</f>
        <v>0</v>
      </c>
      <c r="DB214" s="789">
        <f>WWWW[[#This Row],['# people reached by regular dedicated hygiene promotion_5]]/WWWW[[#This Row],[Total PoP ]]</f>
        <v>0</v>
      </c>
      <c r="DC214" s="789">
        <f>IF(WWWW[[#This Row],['#_households that received standard amount of soap for this quarter]]/WWWW[[#This Row],[Total HH]]&gt;1,1,WWWW[[#This Row],['#_households that received standard amount of soap for this quarter]]/WWWW[[#This Row],[Total HH]])</f>
        <v>1</v>
      </c>
      <c r="DD214" s="789">
        <f>IF(WWWW[[#This Row],['#_households that received standard amount of sanitary pads for this quarter]]/WWWW[[#This Row],[Total HH]]&gt;1,1,WWWW[[#This Row],['#_households that received standard amount of sanitary pads for this quarter]]/WWWW[[#This Row],[Total HH]])</f>
        <v>0</v>
      </c>
      <c r="DE214" s="791">
        <f>WWWW[[#This Row],['#_Constructed/Existing hand washing stations]]-WWWW[[#This Row],['#_Non-Functional_hand_washing_stations]]</f>
        <v>0</v>
      </c>
      <c r="DF214" s="796" t="e">
        <f>WWWW[[#This Row],[Total HH]]*#REF!</f>
        <v>#REF!</v>
      </c>
      <c r="DG214" s="784">
        <f>IF(WWWW[[#This Row],[Is sufficient soap available for TLS? (Yes/No)]]="yes",WWWW[[#This Row],['#_Constructed/Existing hand washing stations at TLS]],0)</f>
        <v>0</v>
      </c>
      <c r="DH214" s="702">
        <f>IF(WWWW[[#This Row],['# Functional hand washing stations during reporting period]]*100&gt;WWWW[[#This Row],[Total PoP ]],WWWW[[#This Row],[Total PoP ]],WWWW[[#This Row],['# Functional hand washing stations during reporting period]]*100)</f>
        <v>0</v>
      </c>
      <c r="DI214" s="702" t="str">
        <f>IF(WWWW[[#This Row],['#_students at TLS_CFS]]="","No","Yes")</f>
        <v>No</v>
      </c>
      <c r="DJ214" s="790">
        <f>VLOOKUP(WWWW[[#This Row],[Site Name]],SiteDB6[[Site Name]:[CCCM Management]],6,FALSE)</f>
        <v>0</v>
      </c>
      <c r="DK214" s="790">
        <f>VLOOKUP(WWWW[[#This Row],[Site Name]],SiteDB6[[Site Name]:[CCCM Focal Agency]],7,FALSE)</f>
        <v>0</v>
      </c>
      <c r="DL214" s="790" t="str">
        <f>VLOOKUP(WWWW[[#This Row],[Site Name]],SiteDB6[[Site Name]:[Location Type 1]],9,FALSE)</f>
        <v>village</v>
      </c>
      <c r="DM214" s="790" t="str">
        <f>VLOOKUP(WWWW[[#This Row],[Site Name]],SiteDB6[[Site Name]:[Type of Accommodation]],10,FALSE)</f>
        <v>village</v>
      </c>
      <c r="DN214" s="790">
        <f>VLOOKUP(WWWW[[#This Row],[Site Name]],SiteDB6[[Site Name]:[Ethnic or GCA/NGCA]],11,FALSE)</f>
        <v>0</v>
      </c>
      <c r="DO214" s="790">
        <f>VLOOKUP(WWWW[[#This Row],[Site Name]],SiteDB6[[Site Name]:[Lat]],12,FALSE)</f>
        <v>0</v>
      </c>
      <c r="DP214" s="790">
        <f>VLOOKUP(WWWW[[#This Row],[Site Name]],SiteDB6[[Site Name]:[Long]],13,FALSE)</f>
        <v>0</v>
      </c>
      <c r="DQ214" s="790">
        <f>VLOOKUP(WWWW[[#This Row],[Site Name]],SiteDB6[[Site Name]:[Pcode]],3,FALSE)</f>
        <v>0</v>
      </c>
      <c r="DR214" s="788" t="str">
        <f t="shared" si="7"/>
        <v>Covered</v>
      </c>
      <c r="DS214" s="788"/>
      <c r="DV214" s="661"/>
    </row>
    <row r="215" spans="1:126">
      <c r="A215" s="637" t="s">
        <v>2525</v>
      </c>
      <c r="B215" s="637" t="s">
        <v>1270</v>
      </c>
      <c r="C215" s="782" t="s">
        <v>3085</v>
      </c>
      <c r="D215" s="782"/>
      <c r="E215" s="663" t="s">
        <v>3013</v>
      </c>
      <c r="F215" s="782" t="s">
        <v>337</v>
      </c>
      <c r="G215" s="783" t="str">
        <f>VLOOKUP(WWWW[[#This Row],[Site Name]],SiteDB6[[Site Name]:[Location Type]],8,FALSE)</f>
        <v>Village</v>
      </c>
      <c r="H215" s="782" t="s">
        <v>3074</v>
      </c>
      <c r="I215" s="798">
        <v>3210</v>
      </c>
      <c r="J215" s="798">
        <v>16050</v>
      </c>
      <c r="K215" s="785"/>
      <c r="L215" s="786"/>
      <c r="M215" s="787"/>
      <c r="N215" s="787"/>
      <c r="O215" s="787"/>
      <c r="P215" s="787"/>
      <c r="Q215" s="784"/>
      <c r="R215" s="787"/>
      <c r="S215" s="787"/>
      <c r="T215" s="379"/>
      <c r="U215" s="787"/>
      <c r="V215" s="787"/>
      <c r="W215" s="787"/>
      <c r="X215" s="787"/>
      <c r="Y215" s="787"/>
      <c r="Z215" s="787"/>
      <c r="AA215" s="787"/>
      <c r="AB215" s="787"/>
      <c r="AC215" s="787"/>
      <c r="AD215" s="787"/>
      <c r="AE215" s="787"/>
      <c r="AF215" s="787"/>
      <c r="AG215" s="787"/>
      <c r="AH215" s="787"/>
      <c r="AI215" s="787"/>
      <c r="AJ215" s="787"/>
      <c r="AK215" s="787"/>
      <c r="AL215" s="787"/>
      <c r="AM215" s="787"/>
      <c r="AN215" s="787"/>
      <c r="AO215" s="788"/>
      <c r="AP215" s="787"/>
      <c r="AQ215" s="787"/>
      <c r="AR215" s="789"/>
      <c r="AS215" s="787"/>
      <c r="AT215" s="787"/>
      <c r="AU215" s="787"/>
      <c r="AV215" s="787"/>
      <c r="AW215" s="787"/>
      <c r="AX215" s="790"/>
      <c r="AY215" s="788"/>
      <c r="AZ215" s="787"/>
      <c r="BA215" s="787"/>
      <c r="BB215" s="787"/>
      <c r="BC215" s="790"/>
      <c r="BD215" s="787"/>
      <c r="BE215" s="787"/>
      <c r="BF215" s="787"/>
      <c r="BG215" s="787"/>
      <c r="BH215" s="787"/>
      <c r="BI215" s="787"/>
      <c r="BJ215" s="787"/>
      <c r="BK215" s="787">
        <v>3210</v>
      </c>
      <c r="BL215" s="787"/>
      <c r="BM215" s="790"/>
      <c r="BN215" s="791"/>
      <c r="BO215" s="789"/>
      <c r="BP215" s="790"/>
      <c r="BQ215" s="792" t="str">
        <f>IFERROR(WWWW[[#This Row],['#_Water sources treated]]/WWWW[[#This Row],['#_Water sources tested for contamination]],"no test")</f>
        <v>no test</v>
      </c>
      <c r="BR215" s="789" t="str">
        <f>IFERROR(WWWW[[#This Row],['#_Household received remediation action due to contamination]]/WWWW[[#This Row],['#_Household water samples tested for contamination]],"no test")</f>
        <v>no test</v>
      </c>
      <c r="BS215" s="791" t="str">
        <f>IF(AND(WWWW[[#This Row],[% of water sources treated]]="no test",WWWW[[#This Row],[% Household received corrective actions]]="no test"),"No Test","Tested")</f>
        <v>No Test</v>
      </c>
      <c r="BT215" s="791">
        <f>WWWW[[#This Row],['#_Constructed/existing protected hand dug well]]-WWWW[[#This Row],['#_Non-functional protected hand dug well]]</f>
        <v>0</v>
      </c>
      <c r="BU215" s="791">
        <f>(WWWW[[#This Row],['#_Constructed/Existing tube wells/boreholes/handpumps_WASH_agency]]+WWWW[[#This Row],['#_Non-Cluster partner water tube-wells/boreholes/handpumps]])-WWWW[[#This Row],['#_Non-functional tube wells/boreholes/handpumps]]</f>
        <v>0</v>
      </c>
      <c r="BV215" s="791">
        <f>WWWW[[#This Row],['#_Constructed/Existingwater storage tank with gravity fed reticulation system]]-WWWW[[#This Row],['#_Non-functional storage tank gravity fed reticulation system]]</f>
        <v>0</v>
      </c>
      <c r="BW215" s="791">
        <f>WWWW[[#This Row],['#_Water boating or water trucking]]</f>
        <v>0</v>
      </c>
      <c r="BX215" s="791">
        <f>WWWW[[#This Row],['#_Constructed/Existing water distribution system from river or natural spring]]</f>
        <v>0</v>
      </c>
      <c r="BY215" s="79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15" s="79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15" s="789">
        <f>IF(WWWW[[#This Row],[Location Type 1]]="Village",WWWW[[#This Row],[Access to safe drinking water for Village]],WWWW[[#This Row],[Access to safe drinking water for Camp]])</f>
        <v>0</v>
      </c>
      <c r="CB215" s="784">
        <f>WWWW[[#This Row],[%Equitable and continuous access to sufficient quantity of safe drinking water]]*WWWW[[#This Row],[Total PoP ]]</f>
        <v>0</v>
      </c>
      <c r="CC215" s="789">
        <f>IF((WWWW[[#This Row],['#_Constructed/Existing protected/fenced ponds]]*250)/WWWW[[#This Row],[Total PoP ]]&gt;1,1,(WWWW[[#This Row],['#_Constructed/Existing protected/fenced ponds]]*250)/WWWW[[#This Row],[Total PoP ]])</f>
        <v>0</v>
      </c>
      <c r="CD215" s="784">
        <f>WWWW[[#This Row],[% Access to unimproved water points]]*WWWW[[#This Row],[Total PoP ]]</f>
        <v>0</v>
      </c>
      <c r="CE215" s="78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15" s="7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15" s="784">
        <f>WWWW[[#This Row],[HRP1]]/500</f>
        <v>0</v>
      </c>
      <c r="CH215" s="793">
        <f>1-WWWW[[#This Row],[% Equitable and continuous access to sufficient quantity of domestic water]]</f>
        <v>1</v>
      </c>
      <c r="CI215" s="784">
        <f>WWWW[[#This Row],[%equitable and continuous access to sufficient quantity of safe drinking and domestic water''s GAP]]*WWWW[[#This Row],[Total PoP ]]</f>
        <v>16050</v>
      </c>
      <c r="CJ215" s="791">
        <f>IF(WWWW[[#This Row],[Total required water points]]-WWWW[[#This Row],['#Water points coverage]]&lt;0,0,WWWW[[#This Row],[Total required water points]]-WWWW[[#This Row],['#Water points coverage]])</f>
        <v>32</v>
      </c>
      <c r="CK215" s="791">
        <f>ROUND(IF(WWWW[[#This Row],[Total PoP ]]&lt;500,1,WWWW[[#This Row],[Total PoP ]]/500),0)</f>
        <v>32</v>
      </c>
      <c r="CL215" s="791">
        <f>(WWWW[[#This Row],['#_Constructed latrines_by_WASHAgencies]]+WWWW[[#This Row],['#_Non Cluster partner latrines]])-WWWW[[#This Row],['#_Non-functional latrines]]</f>
        <v>0</v>
      </c>
      <c r="CM215"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15" s="784">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15" s="794"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15" s="791" t="str">
        <f>IF(WWWW[[#This Row],[Location Type 1]]="Village","NA",IF(WWWW[[#This Row],['#_Constructed/Existing latrines in TLS]]*50&gt;WWWW[[#This Row],['#_students at TLS_CFS]],WWWW[[#This Row],['#_students at TLS_CFS]],(WWWW[[#This Row],['#_Constructed/Existing latrines in TLS]]*50)))</f>
        <v>NA</v>
      </c>
      <c r="CQ215" s="791">
        <f>ROUND(IF(WWWW[[#This Row],[Location Type 1]]="camp",WWWW[[#This Row],[Total PoP ]]/20,IF(WWWW[[#This Row],[Location Type 1]]="Temporary Location",WWWW[[#This Row],[Total PoP ]]/50,(WWWW[[#This Row],[Total PoP ]]/6))),0)</f>
        <v>2675</v>
      </c>
      <c r="CR215" s="791">
        <f>IF(WWWW[[#This Row],[Total required Latrines]]-(WWWW[[#This Row],['#_Constructed latrines_by_WASHAgencies]]+WWWW[[#This Row],['#_Non Cluster partner latrines]])&lt;0,0,WWWW[[#This Row],[Total required Latrines]]-(WWWW[[#This Row],['#_Constructed latrines_by_WASHAgencies]]+WWWW[[#This Row],['#_Non Cluster partner latrines]]))</f>
        <v>2675</v>
      </c>
      <c r="CS215" s="795">
        <f>1-WWWW[[#This Row],[% people access to functioning Latrine]]</f>
        <v>1</v>
      </c>
      <c r="CT215" s="792">
        <f>IF(OR(WWWW[[#This Row],['#_Non-functional latrines]]="",WWWW[[#This Row],['#_Non-functional latrines]]=0),0,WWWW[[#This Row],['#_Non-functional latrines]]/(WWWW[[#This Row],['#_Constructed latrines_by_WASHAgencies]]+WWWW[[#This Row],['#_Non Cluster partner latrines]]))</f>
        <v>0</v>
      </c>
      <c r="CU215" s="784">
        <f>IF(500*(WWWW[[#This Row],['#_male hygiene promoters]]+WWWW[[#This Row],['#_female hygiene promoters]])&gt;WWWW[[#This Row],[Total PoP ]],WWWW[[#This Row],[Total PoP ]],500*(WWWW[[#This Row],['#_male hygiene promoters]]+WWWW[[#This Row],['#_female hygiene promoters]]))</f>
        <v>0</v>
      </c>
      <c r="CV215" s="79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16050</v>
      </c>
      <c r="CW215" s="79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15" s="791">
        <f>IF(WWWW[[#This Row],['# People with access to soap]]&gt;WWWW[[#This Row],['# People with access to Sanity Pads]],WWWW[[#This Row],['# People with access to soap]],WWWW[[#This Row],['# People with access to Sanity Pads]])</f>
        <v>16050</v>
      </c>
      <c r="CY215" s="791">
        <f>IF(WWWW[[#This Row],['# people reached by regular dedicated hygiene promotion_5]]&gt;WWWW[[#This Row],['# People received regular supply of hygiene items_6]],WWWW[[#This Row],['# people reached by regular dedicated hygiene promotion_5]],WWWW[[#This Row],['# People received regular supply of hygiene items_6]])</f>
        <v>16050</v>
      </c>
      <c r="CZ215" s="793">
        <f>IF(WWWW[[#This Row],[HRP3]]/WWWW[[#This Row],[Total PoP ]]&gt;100%,100%,WWWW[[#This Row],[HRP3]]/WWWW[[#This Row],[Total PoP ]])</f>
        <v>1</v>
      </c>
      <c r="DA215" s="792">
        <f>1-WWWW[[#This Row],[Hygiene Coverage%]]</f>
        <v>0</v>
      </c>
      <c r="DB215" s="789">
        <f>WWWW[[#This Row],['# people reached by regular dedicated hygiene promotion_5]]/WWWW[[#This Row],[Total PoP ]]</f>
        <v>0</v>
      </c>
      <c r="DC215" s="789">
        <f>IF(WWWW[[#This Row],['#_households that received standard amount of soap for this quarter]]/WWWW[[#This Row],[Total HH]]&gt;1,1,WWWW[[#This Row],['#_households that received standard amount of soap for this quarter]]/WWWW[[#This Row],[Total HH]])</f>
        <v>1</v>
      </c>
      <c r="DD215" s="789">
        <f>IF(WWWW[[#This Row],['#_households that received standard amount of sanitary pads for this quarter]]/WWWW[[#This Row],[Total HH]]&gt;1,1,WWWW[[#This Row],['#_households that received standard amount of sanitary pads for this quarter]]/WWWW[[#This Row],[Total HH]])</f>
        <v>0</v>
      </c>
      <c r="DE215" s="791">
        <f>WWWW[[#This Row],['#_Constructed/Existing hand washing stations]]-WWWW[[#This Row],['#_Non-Functional_hand_washing_stations]]</f>
        <v>0</v>
      </c>
      <c r="DF215" s="796" t="e">
        <f>WWWW[[#This Row],[Total HH]]*#REF!</f>
        <v>#REF!</v>
      </c>
      <c r="DG215" s="784">
        <f>IF(WWWW[[#This Row],[Is sufficient soap available for TLS? (Yes/No)]]="yes",WWWW[[#This Row],['#_Constructed/Existing hand washing stations at TLS]],0)</f>
        <v>0</v>
      </c>
      <c r="DH215" s="702">
        <f>IF(WWWW[[#This Row],['# Functional hand washing stations during reporting period]]*100&gt;WWWW[[#This Row],[Total PoP ]],WWWW[[#This Row],[Total PoP ]],WWWW[[#This Row],['# Functional hand washing stations during reporting period]]*100)</f>
        <v>0</v>
      </c>
      <c r="DI215" s="702" t="str">
        <f>IF(WWWW[[#This Row],['#_students at TLS_CFS]]="","No","Yes")</f>
        <v>No</v>
      </c>
      <c r="DJ215" s="790">
        <f>VLOOKUP(WWWW[[#This Row],[Site Name]],SiteDB6[[Site Name]:[CCCM Management]],6,FALSE)</f>
        <v>0</v>
      </c>
      <c r="DK215" s="790">
        <f>VLOOKUP(WWWW[[#This Row],[Site Name]],SiteDB6[[Site Name]:[CCCM Focal Agency]],7,FALSE)</f>
        <v>0</v>
      </c>
      <c r="DL215" s="790" t="str">
        <f>VLOOKUP(WWWW[[#This Row],[Site Name]],SiteDB6[[Site Name]:[Location Type 1]],9,FALSE)</f>
        <v>Village</v>
      </c>
      <c r="DM215" s="790" t="str">
        <f>VLOOKUP(WWWW[[#This Row],[Site Name]],SiteDB6[[Site Name]:[Type of Accommodation]],10,FALSE)</f>
        <v>Village</v>
      </c>
      <c r="DN215" s="790">
        <f>VLOOKUP(WWWW[[#This Row],[Site Name]],SiteDB6[[Site Name]:[Ethnic or GCA/NGCA]],11,FALSE)</f>
        <v>0</v>
      </c>
      <c r="DO215" s="790">
        <f>VLOOKUP(WWWW[[#This Row],[Site Name]],SiteDB6[[Site Name]:[Lat]],12,FALSE)</f>
        <v>20.825700759887699</v>
      </c>
      <c r="DP215" s="790">
        <f>VLOOKUP(WWWW[[#This Row],[Site Name]],SiteDB6[[Site Name]:[Long]],13,FALSE)</f>
        <v>92.542686462402301</v>
      </c>
      <c r="DQ215" s="790">
        <f>VLOOKUP(WWWW[[#This Row],[Site Name]],SiteDB6[[Site Name]:[Pcode]],3,FALSE)</f>
        <v>198334</v>
      </c>
      <c r="DR215" s="788" t="str">
        <f t="shared" si="7"/>
        <v>Covered</v>
      </c>
      <c r="DS215" s="788"/>
      <c r="DV215" s="661"/>
    </row>
    <row r="216" spans="1:126">
      <c r="A216" s="637" t="s">
        <v>2525</v>
      </c>
      <c r="B216" s="637" t="s">
        <v>1270</v>
      </c>
      <c r="C216" s="782" t="s">
        <v>3085</v>
      </c>
      <c r="D216" s="782"/>
      <c r="E216" s="663" t="s">
        <v>3013</v>
      </c>
      <c r="F216" s="782" t="s">
        <v>337</v>
      </c>
      <c r="G216" s="783" t="str">
        <f>VLOOKUP(WWWW[[#This Row],[Site Name]],SiteDB6[[Site Name]:[Location Type]],8,FALSE)</f>
        <v>Village</v>
      </c>
      <c r="H216" s="782" t="s">
        <v>3075</v>
      </c>
      <c r="I216" s="798">
        <v>1048</v>
      </c>
      <c r="J216" s="798">
        <v>5240</v>
      </c>
      <c r="K216" s="785"/>
      <c r="L216" s="786"/>
      <c r="M216" s="787"/>
      <c r="N216" s="787"/>
      <c r="O216" s="787"/>
      <c r="P216" s="787"/>
      <c r="Q216" s="784"/>
      <c r="R216" s="787"/>
      <c r="S216" s="787"/>
      <c r="T216" s="379"/>
      <c r="U216" s="787"/>
      <c r="V216" s="787"/>
      <c r="W216" s="787"/>
      <c r="X216" s="787"/>
      <c r="Y216" s="787"/>
      <c r="Z216" s="787"/>
      <c r="AA216" s="787"/>
      <c r="AB216" s="787"/>
      <c r="AC216" s="787"/>
      <c r="AD216" s="787"/>
      <c r="AE216" s="787"/>
      <c r="AF216" s="787"/>
      <c r="AG216" s="787"/>
      <c r="AH216" s="787"/>
      <c r="AI216" s="787"/>
      <c r="AJ216" s="787"/>
      <c r="AK216" s="787"/>
      <c r="AL216" s="787"/>
      <c r="AM216" s="787"/>
      <c r="AN216" s="787"/>
      <c r="AO216" s="788"/>
      <c r="AP216" s="787"/>
      <c r="AQ216" s="787"/>
      <c r="AR216" s="789"/>
      <c r="AS216" s="787"/>
      <c r="AT216" s="787"/>
      <c r="AU216" s="787"/>
      <c r="AV216" s="787"/>
      <c r="AW216" s="787"/>
      <c r="AX216" s="790"/>
      <c r="AY216" s="788"/>
      <c r="AZ216" s="787"/>
      <c r="BA216" s="787"/>
      <c r="BB216" s="787"/>
      <c r="BC216" s="790"/>
      <c r="BD216" s="787"/>
      <c r="BE216" s="787"/>
      <c r="BF216" s="787"/>
      <c r="BG216" s="787"/>
      <c r="BH216" s="787"/>
      <c r="BI216" s="787"/>
      <c r="BJ216" s="787"/>
      <c r="BK216" s="787">
        <v>1048</v>
      </c>
      <c r="BL216" s="787"/>
      <c r="BM216" s="790"/>
      <c r="BN216" s="791"/>
      <c r="BO216" s="789"/>
      <c r="BP216" s="790"/>
      <c r="BQ216" s="792" t="str">
        <f>IFERROR(WWWW[[#This Row],['#_Water sources treated]]/WWWW[[#This Row],['#_Water sources tested for contamination]],"no test")</f>
        <v>no test</v>
      </c>
      <c r="BR216" s="789" t="str">
        <f>IFERROR(WWWW[[#This Row],['#_Household received remediation action due to contamination]]/WWWW[[#This Row],['#_Household water samples tested for contamination]],"no test")</f>
        <v>no test</v>
      </c>
      <c r="BS216" s="791" t="str">
        <f>IF(AND(WWWW[[#This Row],[% of water sources treated]]="no test",WWWW[[#This Row],[% Household received corrective actions]]="no test"),"No Test","Tested")</f>
        <v>No Test</v>
      </c>
      <c r="BT216" s="791">
        <f>WWWW[[#This Row],['#_Constructed/existing protected hand dug well]]-WWWW[[#This Row],['#_Non-functional protected hand dug well]]</f>
        <v>0</v>
      </c>
      <c r="BU216" s="791">
        <f>(WWWW[[#This Row],['#_Constructed/Existing tube wells/boreholes/handpumps_WASH_agency]]+WWWW[[#This Row],['#_Non-Cluster partner water tube-wells/boreholes/handpumps]])-WWWW[[#This Row],['#_Non-functional tube wells/boreholes/handpumps]]</f>
        <v>0</v>
      </c>
      <c r="BV216" s="791">
        <f>WWWW[[#This Row],['#_Constructed/Existingwater storage tank with gravity fed reticulation system]]-WWWW[[#This Row],['#_Non-functional storage tank gravity fed reticulation system]]</f>
        <v>0</v>
      </c>
      <c r="BW216" s="791">
        <f>WWWW[[#This Row],['#_Water boating or water trucking]]</f>
        <v>0</v>
      </c>
      <c r="BX216" s="791">
        <f>WWWW[[#This Row],['#_Constructed/Existing water distribution system from river or natural spring]]</f>
        <v>0</v>
      </c>
      <c r="BY216" s="79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16" s="79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16" s="789">
        <f>IF(WWWW[[#This Row],[Location Type 1]]="Village",WWWW[[#This Row],[Access to safe drinking water for Village]],WWWW[[#This Row],[Access to safe drinking water for Camp]])</f>
        <v>0</v>
      </c>
      <c r="CB216" s="784">
        <f>WWWW[[#This Row],[%Equitable and continuous access to sufficient quantity of safe drinking water]]*WWWW[[#This Row],[Total PoP ]]</f>
        <v>0</v>
      </c>
      <c r="CC216" s="789">
        <f>IF((WWWW[[#This Row],['#_Constructed/Existing protected/fenced ponds]]*250)/WWWW[[#This Row],[Total PoP ]]&gt;1,1,(WWWW[[#This Row],['#_Constructed/Existing protected/fenced ponds]]*250)/WWWW[[#This Row],[Total PoP ]])</f>
        <v>0</v>
      </c>
      <c r="CD216" s="784">
        <f>WWWW[[#This Row],[% Access to unimproved water points]]*WWWW[[#This Row],[Total PoP ]]</f>
        <v>0</v>
      </c>
      <c r="CE216" s="78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16" s="7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16" s="784">
        <f>WWWW[[#This Row],[HRP1]]/500</f>
        <v>0</v>
      </c>
      <c r="CH216" s="793">
        <f>1-WWWW[[#This Row],[% Equitable and continuous access to sufficient quantity of domestic water]]</f>
        <v>1</v>
      </c>
      <c r="CI216" s="784">
        <f>WWWW[[#This Row],[%equitable and continuous access to sufficient quantity of safe drinking and domestic water''s GAP]]*WWWW[[#This Row],[Total PoP ]]</f>
        <v>5240</v>
      </c>
      <c r="CJ216" s="791">
        <f>IF(WWWW[[#This Row],[Total required water points]]-WWWW[[#This Row],['#Water points coverage]]&lt;0,0,WWWW[[#This Row],[Total required water points]]-WWWW[[#This Row],['#Water points coverage]])</f>
        <v>10</v>
      </c>
      <c r="CK216" s="791">
        <f>ROUND(IF(WWWW[[#This Row],[Total PoP ]]&lt;500,1,WWWW[[#This Row],[Total PoP ]]/500),0)</f>
        <v>10</v>
      </c>
      <c r="CL216" s="791">
        <f>(WWWW[[#This Row],['#_Constructed latrines_by_WASHAgencies]]+WWWW[[#This Row],['#_Non Cluster partner latrines]])-WWWW[[#This Row],['#_Non-functional latrines]]</f>
        <v>0</v>
      </c>
      <c r="CM216"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16" s="784">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16" s="794"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16" s="791" t="str">
        <f>IF(WWWW[[#This Row],[Location Type 1]]="Village","NA",IF(WWWW[[#This Row],['#_Constructed/Existing latrines in TLS]]*50&gt;WWWW[[#This Row],['#_students at TLS_CFS]],WWWW[[#This Row],['#_students at TLS_CFS]],(WWWW[[#This Row],['#_Constructed/Existing latrines in TLS]]*50)))</f>
        <v>NA</v>
      </c>
      <c r="CQ216" s="791">
        <f>ROUND(IF(WWWW[[#This Row],[Location Type 1]]="camp",WWWW[[#This Row],[Total PoP ]]/20,IF(WWWW[[#This Row],[Location Type 1]]="Temporary Location",WWWW[[#This Row],[Total PoP ]]/50,(WWWW[[#This Row],[Total PoP ]]/6))),0)</f>
        <v>873</v>
      </c>
      <c r="CR216" s="791">
        <f>IF(WWWW[[#This Row],[Total required Latrines]]-(WWWW[[#This Row],['#_Constructed latrines_by_WASHAgencies]]+WWWW[[#This Row],['#_Non Cluster partner latrines]])&lt;0,0,WWWW[[#This Row],[Total required Latrines]]-(WWWW[[#This Row],['#_Constructed latrines_by_WASHAgencies]]+WWWW[[#This Row],['#_Non Cluster partner latrines]]))</f>
        <v>873</v>
      </c>
      <c r="CS216" s="795">
        <f>1-WWWW[[#This Row],[% people access to functioning Latrine]]</f>
        <v>1</v>
      </c>
      <c r="CT216" s="792">
        <f>IF(OR(WWWW[[#This Row],['#_Non-functional latrines]]="",WWWW[[#This Row],['#_Non-functional latrines]]=0),0,WWWW[[#This Row],['#_Non-functional latrines]]/(WWWW[[#This Row],['#_Constructed latrines_by_WASHAgencies]]+WWWW[[#This Row],['#_Non Cluster partner latrines]]))</f>
        <v>0</v>
      </c>
      <c r="CU216" s="784">
        <f>IF(500*(WWWW[[#This Row],['#_male hygiene promoters]]+WWWW[[#This Row],['#_female hygiene promoters]])&gt;WWWW[[#This Row],[Total PoP ]],WWWW[[#This Row],[Total PoP ]],500*(WWWW[[#This Row],['#_male hygiene promoters]]+WWWW[[#This Row],['#_female hygiene promoters]]))</f>
        <v>0</v>
      </c>
      <c r="CV216" s="79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5240</v>
      </c>
      <c r="CW216" s="79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16" s="791">
        <f>IF(WWWW[[#This Row],['# People with access to soap]]&gt;WWWW[[#This Row],['# People with access to Sanity Pads]],WWWW[[#This Row],['# People with access to soap]],WWWW[[#This Row],['# People with access to Sanity Pads]])</f>
        <v>5240</v>
      </c>
      <c r="CY216" s="791">
        <f>IF(WWWW[[#This Row],['# people reached by regular dedicated hygiene promotion_5]]&gt;WWWW[[#This Row],['# People received regular supply of hygiene items_6]],WWWW[[#This Row],['# people reached by regular dedicated hygiene promotion_5]],WWWW[[#This Row],['# People received regular supply of hygiene items_6]])</f>
        <v>5240</v>
      </c>
      <c r="CZ216" s="793">
        <f>IF(WWWW[[#This Row],[HRP3]]/WWWW[[#This Row],[Total PoP ]]&gt;100%,100%,WWWW[[#This Row],[HRP3]]/WWWW[[#This Row],[Total PoP ]])</f>
        <v>1</v>
      </c>
      <c r="DA216" s="792">
        <f>1-WWWW[[#This Row],[Hygiene Coverage%]]</f>
        <v>0</v>
      </c>
      <c r="DB216" s="789">
        <f>WWWW[[#This Row],['# people reached by regular dedicated hygiene promotion_5]]/WWWW[[#This Row],[Total PoP ]]</f>
        <v>0</v>
      </c>
      <c r="DC216" s="789">
        <f>IF(WWWW[[#This Row],['#_households that received standard amount of soap for this quarter]]/WWWW[[#This Row],[Total HH]]&gt;1,1,WWWW[[#This Row],['#_households that received standard amount of soap for this quarter]]/WWWW[[#This Row],[Total HH]])</f>
        <v>1</v>
      </c>
      <c r="DD216" s="789">
        <f>IF(WWWW[[#This Row],['#_households that received standard amount of sanitary pads for this quarter]]/WWWW[[#This Row],[Total HH]]&gt;1,1,WWWW[[#This Row],['#_households that received standard amount of sanitary pads for this quarter]]/WWWW[[#This Row],[Total HH]])</f>
        <v>0</v>
      </c>
      <c r="DE216" s="791">
        <f>WWWW[[#This Row],['#_Constructed/Existing hand washing stations]]-WWWW[[#This Row],['#_Non-Functional_hand_washing_stations]]</f>
        <v>0</v>
      </c>
      <c r="DF216" s="796" t="e">
        <f>WWWW[[#This Row],[Total HH]]*#REF!</f>
        <v>#REF!</v>
      </c>
      <c r="DG216" s="784">
        <f>IF(WWWW[[#This Row],[Is sufficient soap available for TLS? (Yes/No)]]="yes",WWWW[[#This Row],['#_Constructed/Existing hand washing stations at TLS]],0)</f>
        <v>0</v>
      </c>
      <c r="DH216" s="702">
        <f>IF(WWWW[[#This Row],['# Functional hand washing stations during reporting period]]*100&gt;WWWW[[#This Row],[Total PoP ]],WWWW[[#This Row],[Total PoP ]],WWWW[[#This Row],['# Functional hand washing stations during reporting period]]*100)</f>
        <v>0</v>
      </c>
      <c r="DI216" s="702" t="str">
        <f>IF(WWWW[[#This Row],['#_students at TLS_CFS]]="","No","Yes")</f>
        <v>No</v>
      </c>
      <c r="DJ216" s="790">
        <f>VLOOKUP(WWWW[[#This Row],[Site Name]],SiteDB6[[Site Name]:[CCCM Management]],6,FALSE)</f>
        <v>0</v>
      </c>
      <c r="DK216" s="790">
        <f>VLOOKUP(WWWW[[#This Row],[Site Name]],SiteDB6[[Site Name]:[CCCM Focal Agency]],7,FALSE)</f>
        <v>0</v>
      </c>
      <c r="DL216" s="790" t="str">
        <f>VLOOKUP(WWWW[[#This Row],[Site Name]],SiteDB6[[Site Name]:[Location Type 1]],9,FALSE)</f>
        <v>Village</v>
      </c>
      <c r="DM216" s="790" t="str">
        <f>VLOOKUP(WWWW[[#This Row],[Site Name]],SiteDB6[[Site Name]:[Type of Accommodation]],10,FALSE)</f>
        <v>Village</v>
      </c>
      <c r="DN216" s="790">
        <f>VLOOKUP(WWWW[[#This Row],[Site Name]],SiteDB6[[Site Name]:[Ethnic or GCA/NGCA]],11,FALSE)</f>
        <v>0</v>
      </c>
      <c r="DO216" s="790">
        <f>VLOOKUP(WWWW[[#This Row],[Site Name]],SiteDB6[[Site Name]:[Lat]],12,FALSE)</f>
        <v>20.8608493804932</v>
      </c>
      <c r="DP216" s="790">
        <f>VLOOKUP(WWWW[[#This Row],[Site Name]],SiteDB6[[Site Name]:[Long]],13,FALSE)</f>
        <v>92.539390563964801</v>
      </c>
      <c r="DQ216" s="790">
        <f>VLOOKUP(WWWW[[#This Row],[Site Name]],SiteDB6[[Site Name]:[Pcode]],3,FALSE)</f>
        <v>198326</v>
      </c>
      <c r="DR216" s="788" t="str">
        <f t="shared" si="7"/>
        <v>Covered</v>
      </c>
      <c r="DS216" s="788"/>
      <c r="DV216" s="661"/>
    </row>
    <row r="217" spans="1:126">
      <c r="A217" s="637" t="s">
        <v>2525</v>
      </c>
      <c r="B217" s="637" t="s">
        <v>1270</v>
      </c>
      <c r="C217" s="782" t="s">
        <v>3085</v>
      </c>
      <c r="D217" s="782"/>
      <c r="E217" s="663" t="s">
        <v>3013</v>
      </c>
      <c r="F217" s="782" t="s">
        <v>337</v>
      </c>
      <c r="G217" s="783" t="str">
        <f>VLOOKUP(WWWW[[#This Row],[Site Name]],SiteDB6[[Site Name]:[Location Type]],8,FALSE)</f>
        <v>Village</v>
      </c>
      <c r="H217" s="782" t="s">
        <v>2948</v>
      </c>
      <c r="I217" s="798">
        <v>1634.4</v>
      </c>
      <c r="J217" s="798">
        <v>8172</v>
      </c>
      <c r="K217" s="785"/>
      <c r="L217" s="786"/>
      <c r="M217" s="787"/>
      <c r="N217" s="787"/>
      <c r="O217" s="787"/>
      <c r="P217" s="787"/>
      <c r="Q217" s="784"/>
      <c r="R217" s="787"/>
      <c r="S217" s="787"/>
      <c r="T217" s="379"/>
      <c r="U217" s="787"/>
      <c r="V217" s="787"/>
      <c r="W217" s="787"/>
      <c r="X217" s="787"/>
      <c r="Y217" s="787"/>
      <c r="Z217" s="787"/>
      <c r="AA217" s="787"/>
      <c r="AB217" s="787"/>
      <c r="AC217" s="787"/>
      <c r="AD217" s="787"/>
      <c r="AE217" s="787"/>
      <c r="AF217" s="787"/>
      <c r="AG217" s="787"/>
      <c r="AH217" s="787"/>
      <c r="AI217" s="787"/>
      <c r="AJ217" s="787"/>
      <c r="AK217" s="787"/>
      <c r="AL217" s="787"/>
      <c r="AM217" s="787"/>
      <c r="AN217" s="787"/>
      <c r="AO217" s="788"/>
      <c r="AP217" s="787"/>
      <c r="AQ217" s="787"/>
      <c r="AR217" s="789"/>
      <c r="AS217" s="787"/>
      <c r="AT217" s="787"/>
      <c r="AU217" s="787"/>
      <c r="AV217" s="787"/>
      <c r="AW217" s="787"/>
      <c r="AX217" s="790"/>
      <c r="AY217" s="788"/>
      <c r="AZ217" s="787"/>
      <c r="BA217" s="787"/>
      <c r="BB217" s="787"/>
      <c r="BC217" s="790"/>
      <c r="BD217" s="787"/>
      <c r="BE217" s="787"/>
      <c r="BF217" s="787"/>
      <c r="BG217" s="787"/>
      <c r="BH217" s="787"/>
      <c r="BI217" s="787"/>
      <c r="BJ217" s="787"/>
      <c r="BK217" s="787">
        <v>1634.4</v>
      </c>
      <c r="BL217" s="787"/>
      <c r="BM217" s="790"/>
      <c r="BN217" s="791"/>
      <c r="BO217" s="789"/>
      <c r="BP217" s="790"/>
      <c r="BQ217" s="792" t="str">
        <f>IFERROR(WWWW[[#This Row],['#_Water sources treated]]/WWWW[[#This Row],['#_Water sources tested for contamination]],"no test")</f>
        <v>no test</v>
      </c>
      <c r="BR217" s="789" t="str">
        <f>IFERROR(WWWW[[#This Row],['#_Household received remediation action due to contamination]]/WWWW[[#This Row],['#_Household water samples tested for contamination]],"no test")</f>
        <v>no test</v>
      </c>
      <c r="BS217" s="791" t="str">
        <f>IF(AND(WWWW[[#This Row],[% of water sources treated]]="no test",WWWW[[#This Row],[% Household received corrective actions]]="no test"),"No Test","Tested")</f>
        <v>No Test</v>
      </c>
      <c r="BT217" s="791">
        <f>WWWW[[#This Row],['#_Constructed/existing protected hand dug well]]-WWWW[[#This Row],['#_Non-functional protected hand dug well]]</f>
        <v>0</v>
      </c>
      <c r="BU217" s="791">
        <f>(WWWW[[#This Row],['#_Constructed/Existing tube wells/boreholes/handpumps_WASH_agency]]+WWWW[[#This Row],['#_Non-Cluster partner water tube-wells/boreholes/handpumps]])-WWWW[[#This Row],['#_Non-functional tube wells/boreholes/handpumps]]</f>
        <v>0</v>
      </c>
      <c r="BV217" s="791">
        <f>WWWW[[#This Row],['#_Constructed/Existingwater storage tank with gravity fed reticulation system]]-WWWW[[#This Row],['#_Non-functional storage tank gravity fed reticulation system]]</f>
        <v>0</v>
      </c>
      <c r="BW217" s="791">
        <f>WWWW[[#This Row],['#_Water boating or water trucking]]</f>
        <v>0</v>
      </c>
      <c r="BX217" s="791">
        <f>WWWW[[#This Row],['#_Constructed/Existing water distribution system from river or natural spring]]</f>
        <v>0</v>
      </c>
      <c r="BY217" s="79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17" s="79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17" s="789">
        <f>IF(WWWW[[#This Row],[Location Type 1]]="Village",WWWW[[#This Row],[Access to safe drinking water for Village]],WWWW[[#This Row],[Access to safe drinking water for Camp]])</f>
        <v>0</v>
      </c>
      <c r="CB217" s="784">
        <f>WWWW[[#This Row],[%Equitable and continuous access to sufficient quantity of safe drinking water]]*WWWW[[#This Row],[Total PoP ]]</f>
        <v>0</v>
      </c>
      <c r="CC217" s="789">
        <f>IF((WWWW[[#This Row],['#_Constructed/Existing protected/fenced ponds]]*250)/WWWW[[#This Row],[Total PoP ]]&gt;1,1,(WWWW[[#This Row],['#_Constructed/Existing protected/fenced ponds]]*250)/WWWW[[#This Row],[Total PoP ]])</f>
        <v>0</v>
      </c>
      <c r="CD217" s="784">
        <f>WWWW[[#This Row],[% Access to unimproved water points]]*WWWW[[#This Row],[Total PoP ]]</f>
        <v>0</v>
      </c>
      <c r="CE217" s="78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17" s="7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17" s="784">
        <f>WWWW[[#This Row],[HRP1]]/500</f>
        <v>0</v>
      </c>
      <c r="CH217" s="793">
        <f>1-WWWW[[#This Row],[% Equitable and continuous access to sufficient quantity of domestic water]]</f>
        <v>1</v>
      </c>
      <c r="CI217" s="784">
        <f>WWWW[[#This Row],[%equitable and continuous access to sufficient quantity of safe drinking and domestic water''s GAP]]*WWWW[[#This Row],[Total PoP ]]</f>
        <v>8172</v>
      </c>
      <c r="CJ217" s="791">
        <f>IF(WWWW[[#This Row],[Total required water points]]-WWWW[[#This Row],['#Water points coverage]]&lt;0,0,WWWW[[#This Row],[Total required water points]]-WWWW[[#This Row],['#Water points coverage]])</f>
        <v>16</v>
      </c>
      <c r="CK217" s="791">
        <f>ROUND(IF(WWWW[[#This Row],[Total PoP ]]&lt;500,1,WWWW[[#This Row],[Total PoP ]]/500),0)</f>
        <v>16</v>
      </c>
      <c r="CL217" s="791">
        <f>(WWWW[[#This Row],['#_Constructed latrines_by_WASHAgencies]]+WWWW[[#This Row],['#_Non Cluster partner latrines]])-WWWW[[#This Row],['#_Non-functional latrines]]</f>
        <v>0</v>
      </c>
      <c r="CM217"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17" s="784">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17" s="794"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17" s="791" t="str">
        <f>IF(WWWW[[#This Row],[Location Type 1]]="Village","NA",IF(WWWW[[#This Row],['#_Constructed/Existing latrines in TLS]]*50&gt;WWWW[[#This Row],['#_students at TLS_CFS]],WWWW[[#This Row],['#_students at TLS_CFS]],(WWWW[[#This Row],['#_Constructed/Existing latrines in TLS]]*50)))</f>
        <v>NA</v>
      </c>
      <c r="CQ217" s="791">
        <f>ROUND(IF(WWWW[[#This Row],[Location Type 1]]="camp",WWWW[[#This Row],[Total PoP ]]/20,IF(WWWW[[#This Row],[Location Type 1]]="Temporary Location",WWWW[[#This Row],[Total PoP ]]/50,(WWWW[[#This Row],[Total PoP ]]/6))),0)</f>
        <v>1362</v>
      </c>
      <c r="CR217" s="791">
        <f>IF(WWWW[[#This Row],[Total required Latrines]]-(WWWW[[#This Row],['#_Constructed latrines_by_WASHAgencies]]+WWWW[[#This Row],['#_Non Cluster partner latrines]])&lt;0,0,WWWW[[#This Row],[Total required Latrines]]-(WWWW[[#This Row],['#_Constructed latrines_by_WASHAgencies]]+WWWW[[#This Row],['#_Non Cluster partner latrines]]))</f>
        <v>1362</v>
      </c>
      <c r="CS217" s="795">
        <f>1-WWWW[[#This Row],[% people access to functioning Latrine]]</f>
        <v>1</v>
      </c>
      <c r="CT217" s="792">
        <f>IF(OR(WWWW[[#This Row],['#_Non-functional latrines]]="",WWWW[[#This Row],['#_Non-functional latrines]]=0),0,WWWW[[#This Row],['#_Non-functional latrines]]/(WWWW[[#This Row],['#_Constructed latrines_by_WASHAgencies]]+WWWW[[#This Row],['#_Non Cluster partner latrines]]))</f>
        <v>0</v>
      </c>
      <c r="CU217" s="784">
        <f>IF(500*(WWWW[[#This Row],['#_male hygiene promoters]]+WWWW[[#This Row],['#_female hygiene promoters]])&gt;WWWW[[#This Row],[Total PoP ]],WWWW[[#This Row],[Total PoP ]],500*(WWWW[[#This Row],['#_male hygiene promoters]]+WWWW[[#This Row],['#_female hygiene promoters]]))</f>
        <v>0</v>
      </c>
      <c r="CV217" s="79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8172</v>
      </c>
      <c r="CW217" s="79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17" s="791">
        <f>IF(WWWW[[#This Row],['# People with access to soap]]&gt;WWWW[[#This Row],['# People with access to Sanity Pads]],WWWW[[#This Row],['# People with access to soap]],WWWW[[#This Row],['# People with access to Sanity Pads]])</f>
        <v>8172</v>
      </c>
      <c r="CY217" s="791">
        <f>IF(WWWW[[#This Row],['# people reached by regular dedicated hygiene promotion_5]]&gt;WWWW[[#This Row],['# People received regular supply of hygiene items_6]],WWWW[[#This Row],['# people reached by regular dedicated hygiene promotion_5]],WWWW[[#This Row],['# People received regular supply of hygiene items_6]])</f>
        <v>8172</v>
      </c>
      <c r="CZ217" s="793">
        <f>IF(WWWW[[#This Row],[HRP3]]/WWWW[[#This Row],[Total PoP ]]&gt;100%,100%,WWWW[[#This Row],[HRP3]]/WWWW[[#This Row],[Total PoP ]])</f>
        <v>1</v>
      </c>
      <c r="DA217" s="792">
        <f>1-WWWW[[#This Row],[Hygiene Coverage%]]</f>
        <v>0</v>
      </c>
      <c r="DB217" s="789">
        <f>WWWW[[#This Row],['# people reached by regular dedicated hygiene promotion_5]]/WWWW[[#This Row],[Total PoP ]]</f>
        <v>0</v>
      </c>
      <c r="DC217" s="789">
        <f>IF(WWWW[[#This Row],['#_households that received standard amount of soap for this quarter]]/WWWW[[#This Row],[Total HH]]&gt;1,1,WWWW[[#This Row],['#_households that received standard amount of soap for this quarter]]/WWWW[[#This Row],[Total HH]])</f>
        <v>1</v>
      </c>
      <c r="DD217" s="789">
        <f>IF(WWWW[[#This Row],['#_households that received standard amount of sanitary pads for this quarter]]/WWWW[[#This Row],[Total HH]]&gt;1,1,WWWW[[#This Row],['#_households that received standard amount of sanitary pads for this quarter]]/WWWW[[#This Row],[Total HH]])</f>
        <v>0</v>
      </c>
      <c r="DE217" s="791">
        <f>WWWW[[#This Row],['#_Constructed/Existing hand washing stations]]-WWWW[[#This Row],['#_Non-Functional_hand_washing_stations]]</f>
        <v>0</v>
      </c>
      <c r="DF217" s="796" t="e">
        <f>WWWW[[#This Row],[Total HH]]*#REF!</f>
        <v>#REF!</v>
      </c>
      <c r="DG217" s="784">
        <f>IF(WWWW[[#This Row],[Is sufficient soap available for TLS? (Yes/No)]]="yes",WWWW[[#This Row],['#_Constructed/Existing hand washing stations at TLS]],0)</f>
        <v>0</v>
      </c>
      <c r="DH217" s="702">
        <f>IF(WWWW[[#This Row],['# Functional hand washing stations during reporting period]]*100&gt;WWWW[[#This Row],[Total PoP ]],WWWW[[#This Row],[Total PoP ]],WWWW[[#This Row],['# Functional hand washing stations during reporting period]]*100)</f>
        <v>0</v>
      </c>
      <c r="DI217" s="702" t="str">
        <f>IF(WWWW[[#This Row],['#_students at TLS_CFS]]="","No","Yes")</f>
        <v>No</v>
      </c>
      <c r="DJ217" s="790">
        <f>VLOOKUP(WWWW[[#This Row],[Site Name]],SiteDB6[[Site Name]:[CCCM Management]],6,FALSE)</f>
        <v>0</v>
      </c>
      <c r="DK217" s="790">
        <f>VLOOKUP(WWWW[[#This Row],[Site Name]],SiteDB6[[Site Name]:[CCCM Focal Agency]],7,FALSE)</f>
        <v>0</v>
      </c>
      <c r="DL217" s="790" t="str">
        <f>VLOOKUP(WWWW[[#This Row],[Site Name]],SiteDB6[[Site Name]:[Location Type 1]],9,FALSE)</f>
        <v>Village</v>
      </c>
      <c r="DM217" s="790" t="str">
        <f>VLOOKUP(WWWW[[#This Row],[Site Name]],SiteDB6[[Site Name]:[Type of Accommodation]],10,FALSE)</f>
        <v>Village</v>
      </c>
      <c r="DN217" s="790">
        <f>VLOOKUP(WWWW[[#This Row],[Site Name]],SiteDB6[[Site Name]:[Ethnic or GCA/NGCA]],11,FALSE)</f>
        <v>0</v>
      </c>
      <c r="DO217" s="790">
        <f>VLOOKUP(WWWW[[#This Row],[Site Name]],SiteDB6[[Site Name]:[Lat]],12,FALSE)</f>
        <v>20.793779373168899</v>
      </c>
      <c r="DP217" s="790">
        <f>VLOOKUP(WWWW[[#This Row],[Site Name]],SiteDB6[[Site Name]:[Long]],13,FALSE)</f>
        <v>92.597961425781307</v>
      </c>
      <c r="DQ217" s="790">
        <f>VLOOKUP(WWWW[[#This Row],[Site Name]],SiteDB6[[Site Name]:[Pcode]],3,FALSE)</f>
        <v>198370</v>
      </c>
      <c r="DR217" s="788" t="str">
        <f t="shared" si="7"/>
        <v>Covered</v>
      </c>
      <c r="DS217" s="788"/>
      <c r="DV217" s="661"/>
    </row>
    <row r="218" spans="1:126">
      <c r="A218" s="637" t="s">
        <v>2525</v>
      </c>
      <c r="B218" s="637" t="s">
        <v>1270</v>
      </c>
      <c r="C218" s="782" t="s">
        <v>3085</v>
      </c>
      <c r="D218" s="782"/>
      <c r="E218" s="663" t="s">
        <v>3013</v>
      </c>
      <c r="F218" s="782" t="s">
        <v>337</v>
      </c>
      <c r="G218" s="783" t="str">
        <f>VLOOKUP(WWWW[[#This Row],[Site Name]],SiteDB6[[Site Name]:[Location Type]],8,FALSE)</f>
        <v>Village</v>
      </c>
      <c r="H218" s="782" t="s">
        <v>3069</v>
      </c>
      <c r="I218" s="798">
        <v>403</v>
      </c>
      <c r="J218" s="798">
        <v>2015</v>
      </c>
      <c r="K218" s="785"/>
      <c r="L218" s="786"/>
      <c r="M218" s="787"/>
      <c r="N218" s="787"/>
      <c r="O218" s="787"/>
      <c r="P218" s="787"/>
      <c r="Q218" s="784"/>
      <c r="R218" s="787"/>
      <c r="S218" s="787"/>
      <c r="T218" s="379"/>
      <c r="U218" s="787"/>
      <c r="V218" s="787"/>
      <c r="W218" s="787"/>
      <c r="X218" s="787"/>
      <c r="Y218" s="787"/>
      <c r="Z218" s="787"/>
      <c r="AA218" s="787"/>
      <c r="AB218" s="787"/>
      <c r="AC218" s="787"/>
      <c r="AD218" s="787"/>
      <c r="AE218" s="787"/>
      <c r="AF218" s="787"/>
      <c r="AG218" s="787"/>
      <c r="AH218" s="787"/>
      <c r="AI218" s="787"/>
      <c r="AJ218" s="787"/>
      <c r="AK218" s="787"/>
      <c r="AL218" s="787"/>
      <c r="AM218" s="787"/>
      <c r="AN218" s="787"/>
      <c r="AO218" s="788"/>
      <c r="AP218" s="787"/>
      <c r="AQ218" s="787"/>
      <c r="AR218" s="789"/>
      <c r="AS218" s="787"/>
      <c r="AT218" s="787"/>
      <c r="AU218" s="787"/>
      <c r="AV218" s="787"/>
      <c r="AW218" s="787"/>
      <c r="AX218" s="790"/>
      <c r="AY218" s="788"/>
      <c r="AZ218" s="787"/>
      <c r="BA218" s="787"/>
      <c r="BB218" s="787"/>
      <c r="BC218" s="790"/>
      <c r="BD218" s="787"/>
      <c r="BE218" s="787"/>
      <c r="BF218" s="787"/>
      <c r="BG218" s="787"/>
      <c r="BH218" s="787"/>
      <c r="BI218" s="787"/>
      <c r="BJ218" s="787"/>
      <c r="BK218" s="787">
        <v>403</v>
      </c>
      <c r="BL218" s="787"/>
      <c r="BM218" s="790"/>
      <c r="BN218" s="791"/>
      <c r="BO218" s="789"/>
      <c r="BP218" s="790"/>
      <c r="BQ218" s="792" t="str">
        <f>IFERROR(WWWW[[#This Row],['#_Water sources treated]]/WWWW[[#This Row],['#_Water sources tested for contamination]],"no test")</f>
        <v>no test</v>
      </c>
      <c r="BR218" s="789" t="str">
        <f>IFERROR(WWWW[[#This Row],['#_Household received remediation action due to contamination]]/WWWW[[#This Row],['#_Household water samples tested for contamination]],"no test")</f>
        <v>no test</v>
      </c>
      <c r="BS218" s="791" t="str">
        <f>IF(AND(WWWW[[#This Row],[% of water sources treated]]="no test",WWWW[[#This Row],[% Household received corrective actions]]="no test"),"No Test","Tested")</f>
        <v>No Test</v>
      </c>
      <c r="BT218" s="791">
        <f>WWWW[[#This Row],['#_Constructed/existing protected hand dug well]]-WWWW[[#This Row],['#_Non-functional protected hand dug well]]</f>
        <v>0</v>
      </c>
      <c r="BU218" s="791">
        <f>(WWWW[[#This Row],['#_Constructed/Existing tube wells/boreholes/handpumps_WASH_agency]]+WWWW[[#This Row],['#_Non-Cluster partner water tube-wells/boreholes/handpumps]])-WWWW[[#This Row],['#_Non-functional tube wells/boreholes/handpumps]]</f>
        <v>0</v>
      </c>
      <c r="BV218" s="791">
        <f>WWWW[[#This Row],['#_Constructed/Existingwater storage tank with gravity fed reticulation system]]-WWWW[[#This Row],['#_Non-functional storage tank gravity fed reticulation system]]</f>
        <v>0</v>
      </c>
      <c r="BW218" s="791">
        <f>WWWW[[#This Row],['#_Water boating or water trucking]]</f>
        <v>0</v>
      </c>
      <c r="BX218" s="791">
        <f>WWWW[[#This Row],['#_Constructed/Existing water distribution system from river or natural spring]]</f>
        <v>0</v>
      </c>
      <c r="BY218" s="79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18" s="79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18" s="789">
        <f>IF(WWWW[[#This Row],[Location Type 1]]="Village",WWWW[[#This Row],[Access to safe drinking water for Village]],WWWW[[#This Row],[Access to safe drinking water for Camp]])</f>
        <v>0</v>
      </c>
      <c r="CB218" s="784">
        <f>WWWW[[#This Row],[%Equitable and continuous access to sufficient quantity of safe drinking water]]*WWWW[[#This Row],[Total PoP ]]</f>
        <v>0</v>
      </c>
      <c r="CC218" s="789">
        <f>IF((WWWW[[#This Row],['#_Constructed/Existing protected/fenced ponds]]*250)/WWWW[[#This Row],[Total PoP ]]&gt;1,1,(WWWW[[#This Row],['#_Constructed/Existing protected/fenced ponds]]*250)/WWWW[[#This Row],[Total PoP ]])</f>
        <v>0</v>
      </c>
      <c r="CD218" s="784">
        <f>WWWW[[#This Row],[% Access to unimproved water points]]*WWWW[[#This Row],[Total PoP ]]</f>
        <v>0</v>
      </c>
      <c r="CE218" s="78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18" s="7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18" s="784">
        <f>WWWW[[#This Row],[HRP1]]/500</f>
        <v>0</v>
      </c>
      <c r="CH218" s="793">
        <f>1-WWWW[[#This Row],[% Equitable and continuous access to sufficient quantity of domestic water]]</f>
        <v>1</v>
      </c>
      <c r="CI218" s="784">
        <f>WWWW[[#This Row],[%equitable and continuous access to sufficient quantity of safe drinking and domestic water''s GAP]]*WWWW[[#This Row],[Total PoP ]]</f>
        <v>2015</v>
      </c>
      <c r="CJ218" s="791">
        <f>IF(WWWW[[#This Row],[Total required water points]]-WWWW[[#This Row],['#Water points coverage]]&lt;0,0,WWWW[[#This Row],[Total required water points]]-WWWW[[#This Row],['#Water points coverage]])</f>
        <v>4</v>
      </c>
      <c r="CK218" s="791">
        <f>ROUND(IF(WWWW[[#This Row],[Total PoP ]]&lt;500,1,WWWW[[#This Row],[Total PoP ]]/500),0)</f>
        <v>4</v>
      </c>
      <c r="CL218" s="791">
        <f>(WWWW[[#This Row],['#_Constructed latrines_by_WASHAgencies]]+WWWW[[#This Row],['#_Non Cluster partner latrines]])-WWWW[[#This Row],['#_Non-functional latrines]]</f>
        <v>0</v>
      </c>
      <c r="CM218"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18" s="784">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18" s="794"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18" s="791" t="str">
        <f>IF(WWWW[[#This Row],[Location Type 1]]="Village","NA",IF(WWWW[[#This Row],['#_Constructed/Existing latrines in TLS]]*50&gt;WWWW[[#This Row],['#_students at TLS_CFS]],WWWW[[#This Row],['#_students at TLS_CFS]],(WWWW[[#This Row],['#_Constructed/Existing latrines in TLS]]*50)))</f>
        <v>NA</v>
      </c>
      <c r="CQ218" s="791">
        <f>ROUND(IF(WWWW[[#This Row],[Location Type 1]]="camp",WWWW[[#This Row],[Total PoP ]]/20,IF(WWWW[[#This Row],[Location Type 1]]="Temporary Location",WWWW[[#This Row],[Total PoP ]]/50,(WWWW[[#This Row],[Total PoP ]]/6))),0)</f>
        <v>336</v>
      </c>
      <c r="CR218" s="791">
        <f>IF(WWWW[[#This Row],[Total required Latrines]]-(WWWW[[#This Row],['#_Constructed latrines_by_WASHAgencies]]+WWWW[[#This Row],['#_Non Cluster partner latrines]])&lt;0,0,WWWW[[#This Row],[Total required Latrines]]-(WWWW[[#This Row],['#_Constructed latrines_by_WASHAgencies]]+WWWW[[#This Row],['#_Non Cluster partner latrines]]))</f>
        <v>336</v>
      </c>
      <c r="CS218" s="795">
        <f>1-WWWW[[#This Row],[% people access to functioning Latrine]]</f>
        <v>1</v>
      </c>
      <c r="CT218" s="792">
        <f>IF(OR(WWWW[[#This Row],['#_Non-functional latrines]]="",WWWW[[#This Row],['#_Non-functional latrines]]=0),0,WWWW[[#This Row],['#_Non-functional latrines]]/(WWWW[[#This Row],['#_Constructed latrines_by_WASHAgencies]]+WWWW[[#This Row],['#_Non Cluster partner latrines]]))</f>
        <v>0</v>
      </c>
      <c r="CU218" s="784">
        <f>IF(500*(WWWW[[#This Row],['#_male hygiene promoters]]+WWWW[[#This Row],['#_female hygiene promoters]])&gt;WWWW[[#This Row],[Total PoP ]],WWWW[[#This Row],[Total PoP ]],500*(WWWW[[#This Row],['#_male hygiene promoters]]+WWWW[[#This Row],['#_female hygiene promoters]]))</f>
        <v>0</v>
      </c>
      <c r="CV218" s="79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2015</v>
      </c>
      <c r="CW218" s="79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18" s="791">
        <f>IF(WWWW[[#This Row],['# People with access to soap]]&gt;WWWW[[#This Row],['# People with access to Sanity Pads]],WWWW[[#This Row],['# People with access to soap]],WWWW[[#This Row],['# People with access to Sanity Pads]])</f>
        <v>2015</v>
      </c>
      <c r="CY218" s="791">
        <f>IF(WWWW[[#This Row],['# people reached by regular dedicated hygiene promotion_5]]&gt;WWWW[[#This Row],['# People received regular supply of hygiene items_6]],WWWW[[#This Row],['# people reached by regular dedicated hygiene promotion_5]],WWWW[[#This Row],['# People received regular supply of hygiene items_6]])</f>
        <v>2015</v>
      </c>
      <c r="CZ218" s="793">
        <f>IF(WWWW[[#This Row],[HRP3]]/WWWW[[#This Row],[Total PoP ]]&gt;100%,100%,WWWW[[#This Row],[HRP3]]/WWWW[[#This Row],[Total PoP ]])</f>
        <v>1</v>
      </c>
      <c r="DA218" s="792">
        <f>1-WWWW[[#This Row],[Hygiene Coverage%]]</f>
        <v>0</v>
      </c>
      <c r="DB218" s="789">
        <f>WWWW[[#This Row],['# people reached by regular dedicated hygiene promotion_5]]/WWWW[[#This Row],[Total PoP ]]</f>
        <v>0</v>
      </c>
      <c r="DC218" s="789">
        <f>IF(WWWW[[#This Row],['#_households that received standard amount of soap for this quarter]]/WWWW[[#This Row],[Total HH]]&gt;1,1,WWWW[[#This Row],['#_households that received standard amount of soap for this quarter]]/WWWW[[#This Row],[Total HH]])</f>
        <v>1</v>
      </c>
      <c r="DD218" s="789">
        <f>IF(WWWW[[#This Row],['#_households that received standard amount of sanitary pads for this quarter]]/WWWW[[#This Row],[Total HH]]&gt;1,1,WWWW[[#This Row],['#_households that received standard amount of sanitary pads for this quarter]]/WWWW[[#This Row],[Total HH]])</f>
        <v>0</v>
      </c>
      <c r="DE218" s="791">
        <f>WWWW[[#This Row],['#_Constructed/Existing hand washing stations]]-WWWW[[#This Row],['#_Non-Functional_hand_washing_stations]]</f>
        <v>0</v>
      </c>
      <c r="DF218" s="796" t="e">
        <f>WWWW[[#This Row],[Total HH]]*#REF!</f>
        <v>#REF!</v>
      </c>
      <c r="DG218" s="784">
        <f>IF(WWWW[[#This Row],[Is sufficient soap available for TLS? (Yes/No)]]="yes",WWWW[[#This Row],['#_Constructed/Existing hand washing stations at TLS]],0)</f>
        <v>0</v>
      </c>
      <c r="DH218" s="702">
        <f>IF(WWWW[[#This Row],['# Functional hand washing stations during reporting period]]*100&gt;WWWW[[#This Row],[Total PoP ]],WWWW[[#This Row],[Total PoP ]],WWWW[[#This Row],['# Functional hand washing stations during reporting period]]*100)</f>
        <v>0</v>
      </c>
      <c r="DI218" s="702" t="str">
        <f>IF(WWWW[[#This Row],['#_students at TLS_CFS]]="","No","Yes")</f>
        <v>No</v>
      </c>
      <c r="DJ218" s="790">
        <f>VLOOKUP(WWWW[[#This Row],[Site Name]],SiteDB6[[Site Name]:[CCCM Management]],6,FALSE)</f>
        <v>0</v>
      </c>
      <c r="DK218" s="790">
        <f>VLOOKUP(WWWW[[#This Row],[Site Name]],SiteDB6[[Site Name]:[CCCM Focal Agency]],7,FALSE)</f>
        <v>0</v>
      </c>
      <c r="DL218" s="790" t="str">
        <f>VLOOKUP(WWWW[[#This Row],[Site Name]],SiteDB6[[Site Name]:[Location Type 1]],9,FALSE)</f>
        <v>Village</v>
      </c>
      <c r="DM218" s="790" t="str">
        <f>VLOOKUP(WWWW[[#This Row],[Site Name]],SiteDB6[[Site Name]:[Type of Accommodation]],10,FALSE)</f>
        <v>Village</v>
      </c>
      <c r="DN218" s="790">
        <f>VLOOKUP(WWWW[[#This Row],[Site Name]],SiteDB6[[Site Name]:[Ethnic or GCA/NGCA]],11,FALSE)</f>
        <v>0</v>
      </c>
      <c r="DO218" s="790">
        <f>VLOOKUP(WWWW[[#This Row],[Site Name]],SiteDB6[[Site Name]:[Lat]],12,FALSE)</f>
        <v>20.821479797363299</v>
      </c>
      <c r="DP218" s="790">
        <f>VLOOKUP(WWWW[[#This Row],[Site Name]],SiteDB6[[Site Name]:[Long]],13,FALSE)</f>
        <v>92.603950500488295</v>
      </c>
      <c r="DQ218" s="790">
        <f>VLOOKUP(WWWW[[#This Row],[Site Name]],SiteDB6[[Site Name]:[Pcode]],3,FALSE)</f>
        <v>198356</v>
      </c>
      <c r="DR218" s="788" t="str">
        <f t="shared" si="7"/>
        <v>Covered</v>
      </c>
      <c r="DS218" s="788"/>
      <c r="DV218" s="661"/>
    </row>
    <row r="219" spans="1:126">
      <c r="A219" s="637" t="s">
        <v>2525</v>
      </c>
      <c r="B219" s="637" t="s">
        <v>1270</v>
      </c>
      <c r="C219" s="782" t="s">
        <v>3085</v>
      </c>
      <c r="D219" s="782"/>
      <c r="E219" s="663" t="s">
        <v>3013</v>
      </c>
      <c r="F219" s="782" t="s">
        <v>337</v>
      </c>
      <c r="G219" s="783" t="str">
        <f>VLOOKUP(WWWW[[#This Row],[Site Name]],SiteDB6[[Site Name]:[Location Type]],8,FALSE)</f>
        <v>Village</v>
      </c>
      <c r="H219" s="782" t="s">
        <v>590</v>
      </c>
      <c r="I219" s="798">
        <v>51.2</v>
      </c>
      <c r="J219" s="798">
        <v>256</v>
      </c>
      <c r="K219" s="785"/>
      <c r="L219" s="786"/>
      <c r="M219" s="787"/>
      <c r="N219" s="787"/>
      <c r="O219" s="787"/>
      <c r="P219" s="787"/>
      <c r="Q219" s="784"/>
      <c r="R219" s="787"/>
      <c r="S219" s="787"/>
      <c r="T219" s="379"/>
      <c r="U219" s="787"/>
      <c r="V219" s="787"/>
      <c r="W219" s="787"/>
      <c r="X219" s="787"/>
      <c r="Y219" s="787"/>
      <c r="Z219" s="787"/>
      <c r="AA219" s="787"/>
      <c r="AB219" s="787"/>
      <c r="AC219" s="787"/>
      <c r="AD219" s="787"/>
      <c r="AE219" s="787"/>
      <c r="AF219" s="787"/>
      <c r="AG219" s="787"/>
      <c r="AH219" s="787"/>
      <c r="AI219" s="787"/>
      <c r="AJ219" s="787"/>
      <c r="AK219" s="787"/>
      <c r="AL219" s="787"/>
      <c r="AM219" s="787"/>
      <c r="AN219" s="787"/>
      <c r="AO219" s="788"/>
      <c r="AP219" s="787"/>
      <c r="AQ219" s="787"/>
      <c r="AR219" s="789"/>
      <c r="AS219" s="787"/>
      <c r="AT219" s="787"/>
      <c r="AU219" s="787"/>
      <c r="AV219" s="787"/>
      <c r="AW219" s="787"/>
      <c r="AX219" s="790"/>
      <c r="AY219" s="788"/>
      <c r="AZ219" s="787"/>
      <c r="BA219" s="787"/>
      <c r="BB219" s="787"/>
      <c r="BC219" s="790"/>
      <c r="BD219" s="787"/>
      <c r="BE219" s="787"/>
      <c r="BF219" s="787"/>
      <c r="BG219" s="787"/>
      <c r="BH219" s="787"/>
      <c r="BI219" s="787"/>
      <c r="BJ219" s="787"/>
      <c r="BK219" s="787">
        <v>51.2</v>
      </c>
      <c r="BL219" s="787"/>
      <c r="BM219" s="790"/>
      <c r="BN219" s="791"/>
      <c r="BO219" s="789"/>
      <c r="BP219" s="790"/>
      <c r="BQ219" s="792" t="str">
        <f>IFERROR(WWWW[[#This Row],['#_Water sources treated]]/WWWW[[#This Row],['#_Water sources tested for contamination]],"no test")</f>
        <v>no test</v>
      </c>
      <c r="BR219" s="789" t="str">
        <f>IFERROR(WWWW[[#This Row],['#_Household received remediation action due to contamination]]/WWWW[[#This Row],['#_Household water samples tested for contamination]],"no test")</f>
        <v>no test</v>
      </c>
      <c r="BS219" s="791" t="str">
        <f>IF(AND(WWWW[[#This Row],[% of water sources treated]]="no test",WWWW[[#This Row],[% Household received corrective actions]]="no test"),"No Test","Tested")</f>
        <v>No Test</v>
      </c>
      <c r="BT219" s="791">
        <f>WWWW[[#This Row],['#_Constructed/existing protected hand dug well]]-WWWW[[#This Row],['#_Non-functional protected hand dug well]]</f>
        <v>0</v>
      </c>
      <c r="BU219" s="791">
        <f>(WWWW[[#This Row],['#_Constructed/Existing tube wells/boreholes/handpumps_WASH_agency]]+WWWW[[#This Row],['#_Non-Cluster partner water tube-wells/boreholes/handpumps]])-WWWW[[#This Row],['#_Non-functional tube wells/boreholes/handpumps]]</f>
        <v>0</v>
      </c>
      <c r="BV219" s="791">
        <f>WWWW[[#This Row],['#_Constructed/Existingwater storage tank with gravity fed reticulation system]]-WWWW[[#This Row],['#_Non-functional storage tank gravity fed reticulation system]]</f>
        <v>0</v>
      </c>
      <c r="BW219" s="791">
        <f>WWWW[[#This Row],['#_Water boating or water trucking]]</f>
        <v>0</v>
      </c>
      <c r="BX219" s="791">
        <f>WWWW[[#This Row],['#_Constructed/Existing water distribution system from river or natural spring]]</f>
        <v>0</v>
      </c>
      <c r="BY219" s="79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19" s="79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19" s="789">
        <f>IF(WWWW[[#This Row],[Location Type 1]]="Village",WWWW[[#This Row],[Access to safe drinking water for Village]],WWWW[[#This Row],[Access to safe drinking water for Camp]])</f>
        <v>0</v>
      </c>
      <c r="CB219" s="784">
        <f>WWWW[[#This Row],[%Equitable and continuous access to sufficient quantity of safe drinking water]]*WWWW[[#This Row],[Total PoP ]]</f>
        <v>0</v>
      </c>
      <c r="CC219" s="789">
        <f>IF((WWWW[[#This Row],['#_Constructed/Existing protected/fenced ponds]]*250)/WWWW[[#This Row],[Total PoP ]]&gt;1,1,(WWWW[[#This Row],['#_Constructed/Existing protected/fenced ponds]]*250)/WWWW[[#This Row],[Total PoP ]])</f>
        <v>0</v>
      </c>
      <c r="CD219" s="784">
        <f>WWWW[[#This Row],[% Access to unimproved water points]]*WWWW[[#This Row],[Total PoP ]]</f>
        <v>0</v>
      </c>
      <c r="CE219" s="78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19" s="7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19" s="784">
        <f>WWWW[[#This Row],[HRP1]]/500</f>
        <v>0</v>
      </c>
      <c r="CH219" s="793">
        <f>1-WWWW[[#This Row],[% Equitable and continuous access to sufficient quantity of domestic water]]</f>
        <v>1</v>
      </c>
      <c r="CI219" s="784">
        <f>WWWW[[#This Row],[%equitable and continuous access to sufficient quantity of safe drinking and domestic water''s GAP]]*WWWW[[#This Row],[Total PoP ]]</f>
        <v>256</v>
      </c>
      <c r="CJ219" s="791">
        <f>IF(WWWW[[#This Row],[Total required water points]]-WWWW[[#This Row],['#Water points coverage]]&lt;0,0,WWWW[[#This Row],[Total required water points]]-WWWW[[#This Row],['#Water points coverage]])</f>
        <v>1</v>
      </c>
      <c r="CK219" s="791">
        <f>ROUND(IF(WWWW[[#This Row],[Total PoP ]]&lt;500,1,WWWW[[#This Row],[Total PoP ]]/500),0)</f>
        <v>1</v>
      </c>
      <c r="CL219" s="791">
        <f>(WWWW[[#This Row],['#_Constructed latrines_by_WASHAgencies]]+WWWW[[#This Row],['#_Non Cluster partner latrines]])-WWWW[[#This Row],['#_Non-functional latrines]]</f>
        <v>0</v>
      </c>
      <c r="CM219"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19" s="784">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19" s="794"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19" s="791" t="str">
        <f>IF(WWWW[[#This Row],[Location Type 1]]="Village","NA",IF(WWWW[[#This Row],['#_Constructed/Existing latrines in TLS]]*50&gt;WWWW[[#This Row],['#_students at TLS_CFS]],WWWW[[#This Row],['#_students at TLS_CFS]],(WWWW[[#This Row],['#_Constructed/Existing latrines in TLS]]*50)))</f>
        <v>NA</v>
      </c>
      <c r="CQ219" s="791">
        <f>ROUND(IF(WWWW[[#This Row],[Location Type 1]]="camp",WWWW[[#This Row],[Total PoP ]]/20,IF(WWWW[[#This Row],[Location Type 1]]="Temporary Location",WWWW[[#This Row],[Total PoP ]]/50,(WWWW[[#This Row],[Total PoP ]]/6))),0)</f>
        <v>43</v>
      </c>
      <c r="CR219" s="791">
        <f>IF(WWWW[[#This Row],[Total required Latrines]]-(WWWW[[#This Row],['#_Constructed latrines_by_WASHAgencies]]+WWWW[[#This Row],['#_Non Cluster partner latrines]])&lt;0,0,WWWW[[#This Row],[Total required Latrines]]-(WWWW[[#This Row],['#_Constructed latrines_by_WASHAgencies]]+WWWW[[#This Row],['#_Non Cluster partner latrines]]))</f>
        <v>43</v>
      </c>
      <c r="CS219" s="795">
        <f>1-WWWW[[#This Row],[% people access to functioning Latrine]]</f>
        <v>1</v>
      </c>
      <c r="CT219" s="792">
        <f>IF(OR(WWWW[[#This Row],['#_Non-functional latrines]]="",WWWW[[#This Row],['#_Non-functional latrines]]=0),0,WWWW[[#This Row],['#_Non-functional latrines]]/(WWWW[[#This Row],['#_Constructed latrines_by_WASHAgencies]]+WWWW[[#This Row],['#_Non Cluster partner latrines]]))</f>
        <v>0</v>
      </c>
      <c r="CU219" s="784">
        <f>IF(500*(WWWW[[#This Row],['#_male hygiene promoters]]+WWWW[[#This Row],['#_female hygiene promoters]])&gt;WWWW[[#This Row],[Total PoP ]],WWWW[[#This Row],[Total PoP ]],500*(WWWW[[#This Row],['#_male hygiene promoters]]+WWWW[[#This Row],['#_female hygiene promoters]]))</f>
        <v>0</v>
      </c>
      <c r="CV219" s="79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256</v>
      </c>
      <c r="CW219" s="79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19" s="791">
        <f>IF(WWWW[[#This Row],['# People with access to soap]]&gt;WWWW[[#This Row],['# People with access to Sanity Pads]],WWWW[[#This Row],['# People with access to soap]],WWWW[[#This Row],['# People with access to Sanity Pads]])</f>
        <v>256</v>
      </c>
      <c r="CY219" s="791">
        <f>IF(WWWW[[#This Row],['# people reached by regular dedicated hygiene promotion_5]]&gt;WWWW[[#This Row],['# People received regular supply of hygiene items_6]],WWWW[[#This Row],['# people reached by regular dedicated hygiene promotion_5]],WWWW[[#This Row],['# People received regular supply of hygiene items_6]])</f>
        <v>256</v>
      </c>
      <c r="CZ219" s="793">
        <f>IF(WWWW[[#This Row],[HRP3]]/WWWW[[#This Row],[Total PoP ]]&gt;100%,100%,WWWW[[#This Row],[HRP3]]/WWWW[[#This Row],[Total PoP ]])</f>
        <v>1</v>
      </c>
      <c r="DA219" s="792">
        <f>1-WWWW[[#This Row],[Hygiene Coverage%]]</f>
        <v>0</v>
      </c>
      <c r="DB219" s="789">
        <f>WWWW[[#This Row],['# people reached by regular dedicated hygiene promotion_5]]/WWWW[[#This Row],[Total PoP ]]</f>
        <v>0</v>
      </c>
      <c r="DC219" s="789">
        <f>IF(WWWW[[#This Row],['#_households that received standard amount of soap for this quarter]]/WWWW[[#This Row],[Total HH]]&gt;1,1,WWWW[[#This Row],['#_households that received standard amount of soap for this quarter]]/WWWW[[#This Row],[Total HH]])</f>
        <v>1</v>
      </c>
      <c r="DD219" s="789">
        <f>IF(WWWW[[#This Row],['#_households that received standard amount of sanitary pads for this quarter]]/WWWW[[#This Row],[Total HH]]&gt;1,1,WWWW[[#This Row],['#_households that received standard amount of sanitary pads for this quarter]]/WWWW[[#This Row],[Total HH]])</f>
        <v>0</v>
      </c>
      <c r="DE219" s="791">
        <f>WWWW[[#This Row],['#_Constructed/Existing hand washing stations]]-WWWW[[#This Row],['#_Non-Functional_hand_washing_stations]]</f>
        <v>0</v>
      </c>
      <c r="DF219" s="796" t="e">
        <f>WWWW[[#This Row],[Total HH]]*#REF!</f>
        <v>#REF!</v>
      </c>
      <c r="DG219" s="784">
        <f>IF(WWWW[[#This Row],[Is sufficient soap available for TLS? (Yes/No)]]="yes",WWWW[[#This Row],['#_Constructed/Existing hand washing stations at TLS]],0)</f>
        <v>0</v>
      </c>
      <c r="DH219" s="702">
        <f>IF(WWWW[[#This Row],['# Functional hand washing stations during reporting period]]*100&gt;WWWW[[#This Row],[Total PoP ]],WWWW[[#This Row],[Total PoP ]],WWWW[[#This Row],['# Functional hand washing stations during reporting period]]*100)</f>
        <v>0</v>
      </c>
      <c r="DI219" s="702" t="str">
        <f>IF(WWWW[[#This Row],['#_students at TLS_CFS]]="","No","Yes")</f>
        <v>No</v>
      </c>
      <c r="DJ219" s="790">
        <f>VLOOKUP(WWWW[[#This Row],[Site Name]],SiteDB6[[Site Name]:[CCCM Management]],6,FALSE)</f>
        <v>0</v>
      </c>
      <c r="DK219" s="790">
        <f>VLOOKUP(WWWW[[#This Row],[Site Name]],SiteDB6[[Site Name]:[CCCM Focal Agency]],7,FALSE)</f>
        <v>0</v>
      </c>
      <c r="DL219" s="790" t="str">
        <f>VLOOKUP(WWWW[[#This Row],[Site Name]],SiteDB6[[Site Name]:[Location Type 1]],9,FALSE)</f>
        <v>Village</v>
      </c>
      <c r="DM219" s="790" t="str">
        <f>VLOOKUP(WWWW[[#This Row],[Site Name]],SiteDB6[[Site Name]:[Type of Accommodation]],10,FALSE)</f>
        <v>Village</v>
      </c>
      <c r="DN219" s="790" t="str">
        <f>VLOOKUP(WWWW[[#This Row],[Site Name]],SiteDB6[[Site Name]:[Ethnic or GCA/NGCA]],11,FALSE)</f>
        <v>Rakhine</v>
      </c>
      <c r="DO219" s="790">
        <f>VLOOKUP(WWWW[[#This Row],[Site Name]],SiteDB6[[Site Name]:[Lat]],12,FALSE)</f>
        <v>20.7264194488525</v>
      </c>
      <c r="DP219" s="790">
        <f>VLOOKUP(WWWW[[#This Row],[Site Name]],SiteDB6[[Site Name]:[Long]],13,FALSE)</f>
        <v>92.671180730000003</v>
      </c>
      <c r="DQ219" s="790">
        <f>VLOOKUP(WWWW[[#This Row],[Site Name]],SiteDB6[[Site Name]:[Pcode]],3,FALSE)</f>
        <v>198418</v>
      </c>
      <c r="DR219" s="788" t="str">
        <f t="shared" si="7"/>
        <v>Covered</v>
      </c>
      <c r="DS219" s="788"/>
      <c r="DV219" s="661"/>
    </row>
    <row r="220" spans="1:126">
      <c r="A220" s="637" t="s">
        <v>2525</v>
      </c>
      <c r="B220" s="637" t="s">
        <v>1270</v>
      </c>
      <c r="C220" s="782" t="s">
        <v>3085</v>
      </c>
      <c r="D220" s="782"/>
      <c r="E220" s="663" t="s">
        <v>3013</v>
      </c>
      <c r="F220" s="782" t="s">
        <v>323</v>
      </c>
      <c r="G220" s="783" t="str">
        <f>VLOOKUP(WWWW[[#This Row],[Site Name]],SiteDB6[[Site Name]:[Location Type]],8,FALSE)</f>
        <v>Village</v>
      </c>
      <c r="H220" s="782" t="s">
        <v>3078</v>
      </c>
      <c r="I220" s="798">
        <v>673.6</v>
      </c>
      <c r="J220" s="798">
        <v>3368</v>
      </c>
      <c r="K220" s="785"/>
      <c r="L220" s="786"/>
      <c r="M220" s="787"/>
      <c r="N220" s="787"/>
      <c r="O220" s="787"/>
      <c r="P220" s="787"/>
      <c r="Q220" s="784"/>
      <c r="R220" s="787"/>
      <c r="S220" s="787"/>
      <c r="T220" s="379"/>
      <c r="U220" s="787"/>
      <c r="V220" s="787"/>
      <c r="W220" s="787"/>
      <c r="X220" s="787"/>
      <c r="Y220" s="787"/>
      <c r="Z220" s="787"/>
      <c r="AA220" s="787"/>
      <c r="AB220" s="787"/>
      <c r="AC220" s="787"/>
      <c r="AD220" s="787"/>
      <c r="AE220" s="787"/>
      <c r="AF220" s="787"/>
      <c r="AG220" s="787"/>
      <c r="AH220" s="787"/>
      <c r="AI220" s="787"/>
      <c r="AJ220" s="787"/>
      <c r="AK220" s="787"/>
      <c r="AL220" s="787"/>
      <c r="AM220" s="787"/>
      <c r="AN220" s="787"/>
      <c r="AO220" s="788"/>
      <c r="AP220" s="787"/>
      <c r="AQ220" s="787"/>
      <c r="AR220" s="789"/>
      <c r="AS220" s="787"/>
      <c r="AT220" s="787"/>
      <c r="AU220" s="787"/>
      <c r="AV220" s="787"/>
      <c r="AW220" s="787"/>
      <c r="AX220" s="790"/>
      <c r="AY220" s="788"/>
      <c r="AZ220" s="787"/>
      <c r="BA220" s="787"/>
      <c r="BB220" s="787"/>
      <c r="BC220" s="790"/>
      <c r="BD220" s="787"/>
      <c r="BE220" s="787"/>
      <c r="BF220" s="787"/>
      <c r="BG220" s="787"/>
      <c r="BH220" s="787"/>
      <c r="BI220" s="787"/>
      <c r="BJ220" s="787"/>
      <c r="BK220" s="787">
        <v>673.6</v>
      </c>
      <c r="BL220" s="787"/>
      <c r="BM220" s="790"/>
      <c r="BN220" s="791"/>
      <c r="BO220" s="789"/>
      <c r="BP220" s="790"/>
      <c r="BQ220" s="792" t="str">
        <f>IFERROR(WWWW[[#This Row],['#_Water sources treated]]/WWWW[[#This Row],['#_Water sources tested for contamination]],"no test")</f>
        <v>no test</v>
      </c>
      <c r="BR220" s="789" t="str">
        <f>IFERROR(WWWW[[#This Row],['#_Household received remediation action due to contamination]]/WWWW[[#This Row],['#_Household water samples tested for contamination]],"no test")</f>
        <v>no test</v>
      </c>
      <c r="BS220" s="791" t="str">
        <f>IF(AND(WWWW[[#This Row],[% of water sources treated]]="no test",WWWW[[#This Row],[% Household received corrective actions]]="no test"),"No Test","Tested")</f>
        <v>No Test</v>
      </c>
      <c r="BT220" s="791">
        <f>WWWW[[#This Row],['#_Constructed/existing protected hand dug well]]-WWWW[[#This Row],['#_Non-functional protected hand dug well]]</f>
        <v>0</v>
      </c>
      <c r="BU220" s="791">
        <f>(WWWW[[#This Row],['#_Constructed/Existing tube wells/boreholes/handpumps_WASH_agency]]+WWWW[[#This Row],['#_Non-Cluster partner water tube-wells/boreholes/handpumps]])-WWWW[[#This Row],['#_Non-functional tube wells/boreholes/handpumps]]</f>
        <v>0</v>
      </c>
      <c r="BV220" s="791">
        <f>WWWW[[#This Row],['#_Constructed/Existingwater storage tank with gravity fed reticulation system]]-WWWW[[#This Row],['#_Non-functional storage tank gravity fed reticulation system]]</f>
        <v>0</v>
      </c>
      <c r="BW220" s="791">
        <f>WWWW[[#This Row],['#_Water boating or water trucking]]</f>
        <v>0</v>
      </c>
      <c r="BX220" s="791">
        <f>WWWW[[#This Row],['#_Constructed/Existing water distribution system from river or natural spring]]</f>
        <v>0</v>
      </c>
      <c r="BY220" s="79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20" s="79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20" s="789">
        <f>IF(WWWW[[#This Row],[Location Type 1]]="Village",WWWW[[#This Row],[Access to safe drinking water for Village]],WWWW[[#This Row],[Access to safe drinking water for Camp]])</f>
        <v>0</v>
      </c>
      <c r="CB220" s="784">
        <f>WWWW[[#This Row],[%Equitable and continuous access to sufficient quantity of safe drinking water]]*WWWW[[#This Row],[Total PoP ]]</f>
        <v>0</v>
      </c>
      <c r="CC220" s="789">
        <f>IF((WWWW[[#This Row],['#_Constructed/Existing protected/fenced ponds]]*250)/WWWW[[#This Row],[Total PoP ]]&gt;1,1,(WWWW[[#This Row],['#_Constructed/Existing protected/fenced ponds]]*250)/WWWW[[#This Row],[Total PoP ]])</f>
        <v>0</v>
      </c>
      <c r="CD220" s="784">
        <f>WWWW[[#This Row],[% Access to unimproved water points]]*WWWW[[#This Row],[Total PoP ]]</f>
        <v>0</v>
      </c>
      <c r="CE220" s="78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20" s="7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20" s="784">
        <f>WWWW[[#This Row],[HRP1]]/500</f>
        <v>0</v>
      </c>
      <c r="CH220" s="793">
        <f>1-WWWW[[#This Row],[% Equitable and continuous access to sufficient quantity of domestic water]]</f>
        <v>1</v>
      </c>
      <c r="CI220" s="784">
        <f>WWWW[[#This Row],[%equitable and continuous access to sufficient quantity of safe drinking and domestic water''s GAP]]*WWWW[[#This Row],[Total PoP ]]</f>
        <v>3368</v>
      </c>
      <c r="CJ220" s="791">
        <f>IF(WWWW[[#This Row],[Total required water points]]-WWWW[[#This Row],['#Water points coverage]]&lt;0,0,WWWW[[#This Row],[Total required water points]]-WWWW[[#This Row],['#Water points coverage]])</f>
        <v>7</v>
      </c>
      <c r="CK220" s="791">
        <f>ROUND(IF(WWWW[[#This Row],[Total PoP ]]&lt;500,1,WWWW[[#This Row],[Total PoP ]]/500),0)</f>
        <v>7</v>
      </c>
      <c r="CL220" s="791">
        <f>(WWWW[[#This Row],['#_Constructed latrines_by_WASHAgencies]]+WWWW[[#This Row],['#_Non Cluster partner latrines]])-WWWW[[#This Row],['#_Non-functional latrines]]</f>
        <v>0</v>
      </c>
      <c r="CM220"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20" s="784">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20" s="794"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20" s="791" t="str">
        <f>IF(WWWW[[#This Row],[Location Type 1]]="Village","NA",IF(WWWW[[#This Row],['#_Constructed/Existing latrines in TLS]]*50&gt;WWWW[[#This Row],['#_students at TLS_CFS]],WWWW[[#This Row],['#_students at TLS_CFS]],(WWWW[[#This Row],['#_Constructed/Existing latrines in TLS]]*50)))</f>
        <v>NA</v>
      </c>
      <c r="CQ220" s="791">
        <f>ROUND(IF(WWWW[[#This Row],[Location Type 1]]="camp",WWWW[[#This Row],[Total PoP ]]/20,IF(WWWW[[#This Row],[Location Type 1]]="Temporary Location",WWWW[[#This Row],[Total PoP ]]/50,(WWWW[[#This Row],[Total PoP ]]/6))),0)</f>
        <v>561</v>
      </c>
      <c r="CR220" s="791">
        <f>IF(WWWW[[#This Row],[Total required Latrines]]-(WWWW[[#This Row],['#_Constructed latrines_by_WASHAgencies]]+WWWW[[#This Row],['#_Non Cluster partner latrines]])&lt;0,0,WWWW[[#This Row],[Total required Latrines]]-(WWWW[[#This Row],['#_Constructed latrines_by_WASHAgencies]]+WWWW[[#This Row],['#_Non Cluster partner latrines]]))</f>
        <v>561</v>
      </c>
      <c r="CS220" s="795">
        <f>1-WWWW[[#This Row],[% people access to functioning Latrine]]</f>
        <v>1</v>
      </c>
      <c r="CT220" s="792">
        <f>IF(OR(WWWW[[#This Row],['#_Non-functional latrines]]="",WWWW[[#This Row],['#_Non-functional latrines]]=0),0,WWWW[[#This Row],['#_Non-functional latrines]]/(WWWW[[#This Row],['#_Constructed latrines_by_WASHAgencies]]+WWWW[[#This Row],['#_Non Cluster partner latrines]]))</f>
        <v>0</v>
      </c>
      <c r="CU220" s="784">
        <f>IF(500*(WWWW[[#This Row],['#_male hygiene promoters]]+WWWW[[#This Row],['#_female hygiene promoters]])&gt;WWWW[[#This Row],[Total PoP ]],WWWW[[#This Row],[Total PoP ]],500*(WWWW[[#This Row],['#_male hygiene promoters]]+WWWW[[#This Row],['#_female hygiene promoters]]))</f>
        <v>0</v>
      </c>
      <c r="CV220" s="79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3368</v>
      </c>
      <c r="CW220" s="79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20" s="791">
        <f>IF(WWWW[[#This Row],['# People with access to soap]]&gt;WWWW[[#This Row],['# People with access to Sanity Pads]],WWWW[[#This Row],['# People with access to soap]],WWWW[[#This Row],['# People with access to Sanity Pads]])</f>
        <v>3368</v>
      </c>
      <c r="CY220" s="791">
        <f>IF(WWWW[[#This Row],['# people reached by regular dedicated hygiene promotion_5]]&gt;WWWW[[#This Row],['# People received regular supply of hygiene items_6]],WWWW[[#This Row],['# people reached by regular dedicated hygiene promotion_5]],WWWW[[#This Row],['# People received regular supply of hygiene items_6]])</f>
        <v>3368</v>
      </c>
      <c r="CZ220" s="793">
        <f>IF(WWWW[[#This Row],[HRP3]]/WWWW[[#This Row],[Total PoP ]]&gt;100%,100%,WWWW[[#This Row],[HRP3]]/WWWW[[#This Row],[Total PoP ]])</f>
        <v>1</v>
      </c>
      <c r="DA220" s="792">
        <f>1-WWWW[[#This Row],[Hygiene Coverage%]]</f>
        <v>0</v>
      </c>
      <c r="DB220" s="789">
        <f>WWWW[[#This Row],['# people reached by regular dedicated hygiene promotion_5]]/WWWW[[#This Row],[Total PoP ]]</f>
        <v>0</v>
      </c>
      <c r="DC220" s="789">
        <f>IF(WWWW[[#This Row],['#_households that received standard amount of soap for this quarter]]/WWWW[[#This Row],[Total HH]]&gt;1,1,WWWW[[#This Row],['#_households that received standard amount of soap for this quarter]]/WWWW[[#This Row],[Total HH]])</f>
        <v>1</v>
      </c>
      <c r="DD220" s="789">
        <f>IF(WWWW[[#This Row],['#_households that received standard amount of sanitary pads for this quarter]]/WWWW[[#This Row],[Total HH]]&gt;1,1,WWWW[[#This Row],['#_households that received standard amount of sanitary pads for this quarter]]/WWWW[[#This Row],[Total HH]])</f>
        <v>0</v>
      </c>
      <c r="DE220" s="791">
        <f>WWWW[[#This Row],['#_Constructed/Existing hand washing stations]]-WWWW[[#This Row],['#_Non-Functional_hand_washing_stations]]</f>
        <v>0</v>
      </c>
      <c r="DF220" s="796" t="e">
        <f>WWWW[[#This Row],[Total HH]]*#REF!</f>
        <v>#REF!</v>
      </c>
      <c r="DG220" s="784">
        <f>IF(WWWW[[#This Row],[Is sufficient soap available for TLS? (Yes/No)]]="yes",WWWW[[#This Row],['#_Constructed/Existing hand washing stations at TLS]],0)</f>
        <v>0</v>
      </c>
      <c r="DH220" s="702">
        <f>IF(WWWW[[#This Row],['# Functional hand washing stations during reporting period]]*100&gt;WWWW[[#This Row],[Total PoP ]],WWWW[[#This Row],[Total PoP ]],WWWW[[#This Row],['# Functional hand washing stations during reporting period]]*100)</f>
        <v>0</v>
      </c>
      <c r="DI220" s="702" t="str">
        <f>IF(WWWW[[#This Row],['#_students at TLS_CFS]]="","No","Yes")</f>
        <v>No</v>
      </c>
      <c r="DJ220" s="790">
        <f>VLOOKUP(WWWW[[#This Row],[Site Name]],SiteDB6[[Site Name]:[CCCM Management]],6,FALSE)</f>
        <v>0</v>
      </c>
      <c r="DK220" s="790">
        <f>VLOOKUP(WWWW[[#This Row],[Site Name]],SiteDB6[[Site Name]:[CCCM Focal Agency]],7,FALSE)</f>
        <v>0</v>
      </c>
      <c r="DL220" s="790" t="str">
        <f>VLOOKUP(WWWW[[#This Row],[Site Name]],SiteDB6[[Site Name]:[Location Type 1]],9,FALSE)</f>
        <v>Village</v>
      </c>
      <c r="DM220" s="790" t="str">
        <f>VLOOKUP(WWWW[[#This Row],[Site Name]],SiteDB6[[Site Name]:[Type of Accommodation]],10,FALSE)</f>
        <v>Village</v>
      </c>
      <c r="DN220" s="790">
        <f>VLOOKUP(WWWW[[#This Row],[Site Name]],SiteDB6[[Site Name]:[Ethnic or GCA/NGCA]],11,FALSE)</f>
        <v>0</v>
      </c>
      <c r="DO220" s="790">
        <f>VLOOKUP(WWWW[[#This Row],[Site Name]],SiteDB6[[Site Name]:[Lat]],12,FALSE)</f>
        <v>21.363349914550799</v>
      </c>
      <c r="DP220" s="790">
        <f>VLOOKUP(WWWW[[#This Row],[Site Name]],SiteDB6[[Site Name]:[Long]],13,FALSE)</f>
        <v>92.280487060546903</v>
      </c>
      <c r="DQ220" s="790">
        <f>VLOOKUP(WWWW[[#This Row],[Site Name]],SiteDB6[[Site Name]:[Pcode]],3,FALSE)</f>
        <v>197800</v>
      </c>
      <c r="DR220" s="788" t="str">
        <f t="shared" si="7"/>
        <v>Covered</v>
      </c>
      <c r="DS220" s="788"/>
      <c r="DV220" s="661"/>
    </row>
    <row r="221" spans="1:126">
      <c r="A221" s="637" t="s">
        <v>2525</v>
      </c>
      <c r="B221" s="637" t="s">
        <v>1270</v>
      </c>
      <c r="C221" s="782" t="s">
        <v>3085</v>
      </c>
      <c r="D221" s="782"/>
      <c r="E221" s="663" t="s">
        <v>3013</v>
      </c>
      <c r="F221" s="782" t="s">
        <v>323</v>
      </c>
      <c r="G221" s="783" t="str">
        <f>VLOOKUP(WWWW[[#This Row],[Site Name]],SiteDB6[[Site Name]:[Location Type]],8,FALSE)</f>
        <v>Village</v>
      </c>
      <c r="H221" s="782" t="s">
        <v>3080</v>
      </c>
      <c r="I221" s="798">
        <v>151.19999999999999</v>
      </c>
      <c r="J221" s="798">
        <v>756</v>
      </c>
      <c r="K221" s="785"/>
      <c r="L221" s="786"/>
      <c r="M221" s="787"/>
      <c r="N221" s="787"/>
      <c r="O221" s="787"/>
      <c r="P221" s="787"/>
      <c r="Q221" s="784"/>
      <c r="R221" s="787"/>
      <c r="S221" s="787"/>
      <c r="T221" s="379"/>
      <c r="U221" s="787"/>
      <c r="V221" s="787"/>
      <c r="W221" s="787"/>
      <c r="X221" s="787"/>
      <c r="Y221" s="787"/>
      <c r="Z221" s="787"/>
      <c r="AA221" s="787"/>
      <c r="AB221" s="787"/>
      <c r="AC221" s="787"/>
      <c r="AD221" s="787"/>
      <c r="AE221" s="787"/>
      <c r="AF221" s="787"/>
      <c r="AG221" s="787"/>
      <c r="AH221" s="787"/>
      <c r="AI221" s="787"/>
      <c r="AJ221" s="787"/>
      <c r="AK221" s="787"/>
      <c r="AL221" s="787"/>
      <c r="AM221" s="787"/>
      <c r="AN221" s="787"/>
      <c r="AO221" s="788"/>
      <c r="AP221" s="787"/>
      <c r="AQ221" s="787"/>
      <c r="AR221" s="789"/>
      <c r="AS221" s="787"/>
      <c r="AT221" s="787"/>
      <c r="AU221" s="787"/>
      <c r="AV221" s="787"/>
      <c r="AW221" s="787"/>
      <c r="AX221" s="790"/>
      <c r="AY221" s="788"/>
      <c r="AZ221" s="787"/>
      <c r="BA221" s="787"/>
      <c r="BB221" s="787"/>
      <c r="BC221" s="790"/>
      <c r="BD221" s="787"/>
      <c r="BE221" s="787"/>
      <c r="BF221" s="787"/>
      <c r="BG221" s="787"/>
      <c r="BH221" s="787"/>
      <c r="BI221" s="787"/>
      <c r="BJ221" s="787"/>
      <c r="BK221" s="787">
        <v>151.19999999999999</v>
      </c>
      <c r="BL221" s="787"/>
      <c r="BM221" s="790"/>
      <c r="BN221" s="791"/>
      <c r="BO221" s="789"/>
      <c r="BP221" s="790"/>
      <c r="BQ221" s="792" t="str">
        <f>IFERROR(WWWW[[#This Row],['#_Water sources treated]]/WWWW[[#This Row],['#_Water sources tested for contamination]],"no test")</f>
        <v>no test</v>
      </c>
      <c r="BR221" s="789" t="str">
        <f>IFERROR(WWWW[[#This Row],['#_Household received remediation action due to contamination]]/WWWW[[#This Row],['#_Household water samples tested for contamination]],"no test")</f>
        <v>no test</v>
      </c>
      <c r="BS221" s="791" t="str">
        <f>IF(AND(WWWW[[#This Row],[% of water sources treated]]="no test",WWWW[[#This Row],[% Household received corrective actions]]="no test"),"No Test","Tested")</f>
        <v>No Test</v>
      </c>
      <c r="BT221" s="791">
        <f>WWWW[[#This Row],['#_Constructed/existing protected hand dug well]]-WWWW[[#This Row],['#_Non-functional protected hand dug well]]</f>
        <v>0</v>
      </c>
      <c r="BU221" s="791">
        <f>(WWWW[[#This Row],['#_Constructed/Existing tube wells/boreholes/handpumps_WASH_agency]]+WWWW[[#This Row],['#_Non-Cluster partner water tube-wells/boreholes/handpumps]])-WWWW[[#This Row],['#_Non-functional tube wells/boreholes/handpumps]]</f>
        <v>0</v>
      </c>
      <c r="BV221" s="791">
        <f>WWWW[[#This Row],['#_Constructed/Existingwater storage tank with gravity fed reticulation system]]-WWWW[[#This Row],['#_Non-functional storage tank gravity fed reticulation system]]</f>
        <v>0</v>
      </c>
      <c r="BW221" s="791">
        <f>WWWW[[#This Row],['#_Water boating or water trucking]]</f>
        <v>0</v>
      </c>
      <c r="BX221" s="791">
        <f>WWWW[[#This Row],['#_Constructed/Existing water distribution system from river or natural spring]]</f>
        <v>0</v>
      </c>
      <c r="BY221" s="79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21" s="79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21" s="789">
        <f>IF(WWWW[[#This Row],[Location Type 1]]="Village",WWWW[[#This Row],[Access to safe drinking water for Village]],WWWW[[#This Row],[Access to safe drinking water for Camp]])</f>
        <v>0</v>
      </c>
      <c r="CB221" s="784">
        <f>WWWW[[#This Row],[%Equitable and continuous access to sufficient quantity of safe drinking water]]*WWWW[[#This Row],[Total PoP ]]</f>
        <v>0</v>
      </c>
      <c r="CC221" s="789">
        <f>IF((WWWW[[#This Row],['#_Constructed/Existing protected/fenced ponds]]*250)/WWWW[[#This Row],[Total PoP ]]&gt;1,1,(WWWW[[#This Row],['#_Constructed/Existing protected/fenced ponds]]*250)/WWWW[[#This Row],[Total PoP ]])</f>
        <v>0</v>
      </c>
      <c r="CD221" s="784">
        <f>WWWW[[#This Row],[% Access to unimproved water points]]*WWWW[[#This Row],[Total PoP ]]</f>
        <v>0</v>
      </c>
      <c r="CE221" s="78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21" s="7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21" s="784">
        <f>WWWW[[#This Row],[HRP1]]/500</f>
        <v>0</v>
      </c>
      <c r="CH221" s="793">
        <f>1-WWWW[[#This Row],[% Equitable and continuous access to sufficient quantity of domestic water]]</f>
        <v>1</v>
      </c>
      <c r="CI221" s="784">
        <f>WWWW[[#This Row],[%equitable and continuous access to sufficient quantity of safe drinking and domestic water''s GAP]]*WWWW[[#This Row],[Total PoP ]]</f>
        <v>756</v>
      </c>
      <c r="CJ221" s="791">
        <f>IF(WWWW[[#This Row],[Total required water points]]-WWWW[[#This Row],['#Water points coverage]]&lt;0,0,WWWW[[#This Row],[Total required water points]]-WWWW[[#This Row],['#Water points coverage]])</f>
        <v>2</v>
      </c>
      <c r="CK221" s="791">
        <f>ROUND(IF(WWWW[[#This Row],[Total PoP ]]&lt;500,1,WWWW[[#This Row],[Total PoP ]]/500),0)</f>
        <v>2</v>
      </c>
      <c r="CL221" s="791">
        <f>(WWWW[[#This Row],['#_Constructed latrines_by_WASHAgencies]]+WWWW[[#This Row],['#_Non Cluster partner latrines]])-WWWW[[#This Row],['#_Non-functional latrines]]</f>
        <v>0</v>
      </c>
      <c r="CM221"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21" s="784">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21" s="794"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21" s="791" t="str">
        <f>IF(WWWW[[#This Row],[Location Type 1]]="Village","NA",IF(WWWW[[#This Row],['#_Constructed/Existing latrines in TLS]]*50&gt;WWWW[[#This Row],['#_students at TLS_CFS]],WWWW[[#This Row],['#_students at TLS_CFS]],(WWWW[[#This Row],['#_Constructed/Existing latrines in TLS]]*50)))</f>
        <v>NA</v>
      </c>
      <c r="CQ221" s="791">
        <f>ROUND(IF(WWWW[[#This Row],[Location Type 1]]="camp",WWWW[[#This Row],[Total PoP ]]/20,IF(WWWW[[#This Row],[Location Type 1]]="Temporary Location",WWWW[[#This Row],[Total PoP ]]/50,(WWWW[[#This Row],[Total PoP ]]/6))),0)</f>
        <v>126</v>
      </c>
      <c r="CR221" s="791">
        <f>IF(WWWW[[#This Row],[Total required Latrines]]-(WWWW[[#This Row],['#_Constructed latrines_by_WASHAgencies]]+WWWW[[#This Row],['#_Non Cluster partner latrines]])&lt;0,0,WWWW[[#This Row],[Total required Latrines]]-(WWWW[[#This Row],['#_Constructed latrines_by_WASHAgencies]]+WWWW[[#This Row],['#_Non Cluster partner latrines]]))</f>
        <v>126</v>
      </c>
      <c r="CS221" s="795">
        <f>1-WWWW[[#This Row],[% people access to functioning Latrine]]</f>
        <v>1</v>
      </c>
      <c r="CT221" s="792">
        <f>IF(OR(WWWW[[#This Row],['#_Non-functional latrines]]="",WWWW[[#This Row],['#_Non-functional latrines]]=0),0,WWWW[[#This Row],['#_Non-functional latrines]]/(WWWW[[#This Row],['#_Constructed latrines_by_WASHAgencies]]+WWWW[[#This Row],['#_Non Cluster partner latrines]]))</f>
        <v>0</v>
      </c>
      <c r="CU221" s="784">
        <f>IF(500*(WWWW[[#This Row],['#_male hygiene promoters]]+WWWW[[#This Row],['#_female hygiene promoters]])&gt;WWWW[[#This Row],[Total PoP ]],WWWW[[#This Row],[Total PoP ]],500*(WWWW[[#This Row],['#_male hygiene promoters]]+WWWW[[#This Row],['#_female hygiene promoters]]))</f>
        <v>0</v>
      </c>
      <c r="CV221" s="79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756</v>
      </c>
      <c r="CW221" s="79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21" s="791">
        <f>IF(WWWW[[#This Row],['# People with access to soap]]&gt;WWWW[[#This Row],['# People with access to Sanity Pads]],WWWW[[#This Row],['# People with access to soap]],WWWW[[#This Row],['# People with access to Sanity Pads]])</f>
        <v>756</v>
      </c>
      <c r="CY221" s="791">
        <f>IF(WWWW[[#This Row],['# people reached by regular dedicated hygiene promotion_5]]&gt;WWWW[[#This Row],['# People received regular supply of hygiene items_6]],WWWW[[#This Row],['# people reached by regular dedicated hygiene promotion_5]],WWWW[[#This Row],['# People received regular supply of hygiene items_6]])</f>
        <v>756</v>
      </c>
      <c r="CZ221" s="793">
        <f>IF(WWWW[[#This Row],[HRP3]]/WWWW[[#This Row],[Total PoP ]]&gt;100%,100%,WWWW[[#This Row],[HRP3]]/WWWW[[#This Row],[Total PoP ]])</f>
        <v>1</v>
      </c>
      <c r="DA221" s="792">
        <f>1-WWWW[[#This Row],[Hygiene Coverage%]]</f>
        <v>0</v>
      </c>
      <c r="DB221" s="789">
        <f>WWWW[[#This Row],['# people reached by regular dedicated hygiene promotion_5]]/WWWW[[#This Row],[Total PoP ]]</f>
        <v>0</v>
      </c>
      <c r="DC221" s="789">
        <f>IF(WWWW[[#This Row],['#_households that received standard amount of soap for this quarter]]/WWWW[[#This Row],[Total HH]]&gt;1,1,WWWW[[#This Row],['#_households that received standard amount of soap for this quarter]]/WWWW[[#This Row],[Total HH]])</f>
        <v>1</v>
      </c>
      <c r="DD221" s="789">
        <f>IF(WWWW[[#This Row],['#_households that received standard amount of sanitary pads for this quarter]]/WWWW[[#This Row],[Total HH]]&gt;1,1,WWWW[[#This Row],['#_households that received standard amount of sanitary pads for this quarter]]/WWWW[[#This Row],[Total HH]])</f>
        <v>0</v>
      </c>
      <c r="DE221" s="791">
        <f>WWWW[[#This Row],['#_Constructed/Existing hand washing stations]]-WWWW[[#This Row],['#_Non-Functional_hand_washing_stations]]</f>
        <v>0</v>
      </c>
      <c r="DF221" s="796" t="e">
        <f>WWWW[[#This Row],[Total HH]]*#REF!</f>
        <v>#REF!</v>
      </c>
      <c r="DG221" s="784">
        <f>IF(WWWW[[#This Row],[Is sufficient soap available for TLS? (Yes/No)]]="yes",WWWW[[#This Row],['#_Constructed/Existing hand washing stations at TLS]],0)</f>
        <v>0</v>
      </c>
      <c r="DH221" s="702">
        <f>IF(WWWW[[#This Row],['# Functional hand washing stations during reporting period]]*100&gt;WWWW[[#This Row],[Total PoP ]],WWWW[[#This Row],[Total PoP ]],WWWW[[#This Row],['# Functional hand washing stations during reporting period]]*100)</f>
        <v>0</v>
      </c>
      <c r="DI221" s="702" t="str">
        <f>IF(WWWW[[#This Row],['#_students at TLS_CFS]]="","No","Yes")</f>
        <v>No</v>
      </c>
      <c r="DJ221" s="790">
        <f>VLOOKUP(WWWW[[#This Row],[Site Name]],SiteDB6[[Site Name]:[CCCM Management]],6,FALSE)</f>
        <v>0</v>
      </c>
      <c r="DK221" s="790">
        <f>VLOOKUP(WWWW[[#This Row],[Site Name]],SiteDB6[[Site Name]:[CCCM Focal Agency]],7,FALSE)</f>
        <v>0</v>
      </c>
      <c r="DL221" s="790" t="str">
        <f>VLOOKUP(WWWW[[#This Row],[Site Name]],SiteDB6[[Site Name]:[Location Type 1]],9,FALSE)</f>
        <v>Village</v>
      </c>
      <c r="DM221" s="790" t="str">
        <f>VLOOKUP(WWWW[[#This Row],[Site Name]],SiteDB6[[Site Name]:[Type of Accommodation]],10,FALSE)</f>
        <v>Village</v>
      </c>
      <c r="DN221" s="790">
        <f>VLOOKUP(WWWW[[#This Row],[Site Name]],SiteDB6[[Site Name]:[Ethnic or GCA/NGCA]],11,FALSE)</f>
        <v>0</v>
      </c>
      <c r="DO221" s="790">
        <f>VLOOKUP(WWWW[[#This Row],[Site Name]],SiteDB6[[Site Name]:[Lat]],12,FALSE)</f>
        <v>21.2080974578857</v>
      </c>
      <c r="DP221" s="790">
        <f>VLOOKUP(WWWW[[#This Row],[Site Name]],SiteDB6[[Site Name]:[Long]],13,FALSE)</f>
        <v>92.308609008789105</v>
      </c>
      <c r="DQ221" s="790">
        <f>VLOOKUP(WWWW[[#This Row],[Site Name]],SiteDB6[[Site Name]:[Pcode]],3,FALSE)</f>
        <v>197841</v>
      </c>
      <c r="DR221" s="788" t="str">
        <f t="shared" si="7"/>
        <v>Covered</v>
      </c>
      <c r="DS221" s="788"/>
      <c r="DV221" s="661"/>
    </row>
    <row r="222" spans="1:126">
      <c r="A222" s="637" t="s">
        <v>2525</v>
      </c>
      <c r="B222" s="637" t="s">
        <v>1270</v>
      </c>
      <c r="C222" s="782" t="s">
        <v>3085</v>
      </c>
      <c r="D222" s="782"/>
      <c r="E222" s="663" t="s">
        <v>3013</v>
      </c>
      <c r="F222" s="782" t="s">
        <v>323</v>
      </c>
      <c r="G222" s="783" t="str">
        <f>VLOOKUP(WWWW[[#This Row],[Site Name]],SiteDB6[[Site Name]:[Location Type]],8,FALSE)</f>
        <v>Village</v>
      </c>
      <c r="H222" s="782" t="s">
        <v>581</v>
      </c>
      <c r="I222" s="798">
        <v>104.6</v>
      </c>
      <c r="J222" s="798">
        <v>523</v>
      </c>
      <c r="K222" s="785"/>
      <c r="L222" s="786"/>
      <c r="M222" s="787"/>
      <c r="N222" s="787"/>
      <c r="O222" s="787"/>
      <c r="P222" s="787"/>
      <c r="Q222" s="784"/>
      <c r="R222" s="787"/>
      <c r="S222" s="787"/>
      <c r="T222" s="379"/>
      <c r="U222" s="787"/>
      <c r="V222" s="787"/>
      <c r="W222" s="787"/>
      <c r="X222" s="787"/>
      <c r="Y222" s="787"/>
      <c r="Z222" s="787"/>
      <c r="AA222" s="787"/>
      <c r="AB222" s="787"/>
      <c r="AC222" s="787"/>
      <c r="AD222" s="787"/>
      <c r="AE222" s="787"/>
      <c r="AF222" s="787"/>
      <c r="AG222" s="787"/>
      <c r="AH222" s="787"/>
      <c r="AI222" s="787"/>
      <c r="AJ222" s="787"/>
      <c r="AK222" s="787"/>
      <c r="AL222" s="787"/>
      <c r="AM222" s="787"/>
      <c r="AN222" s="787"/>
      <c r="AO222" s="788"/>
      <c r="AP222" s="787"/>
      <c r="AQ222" s="787"/>
      <c r="AR222" s="789"/>
      <c r="AS222" s="787"/>
      <c r="AT222" s="787"/>
      <c r="AU222" s="787"/>
      <c r="AV222" s="787"/>
      <c r="AW222" s="787"/>
      <c r="AX222" s="790"/>
      <c r="AY222" s="788"/>
      <c r="AZ222" s="787"/>
      <c r="BA222" s="787"/>
      <c r="BB222" s="787"/>
      <c r="BC222" s="790"/>
      <c r="BD222" s="787"/>
      <c r="BE222" s="787"/>
      <c r="BF222" s="787"/>
      <c r="BG222" s="787"/>
      <c r="BH222" s="787"/>
      <c r="BI222" s="787"/>
      <c r="BJ222" s="787"/>
      <c r="BK222" s="787">
        <v>104.6</v>
      </c>
      <c r="BL222" s="787"/>
      <c r="BM222" s="790"/>
      <c r="BN222" s="791"/>
      <c r="BO222" s="789"/>
      <c r="BP222" s="790"/>
      <c r="BQ222" s="792" t="str">
        <f>IFERROR(WWWW[[#This Row],['#_Water sources treated]]/WWWW[[#This Row],['#_Water sources tested for contamination]],"no test")</f>
        <v>no test</v>
      </c>
      <c r="BR222" s="789" t="str">
        <f>IFERROR(WWWW[[#This Row],['#_Household received remediation action due to contamination]]/WWWW[[#This Row],['#_Household water samples tested for contamination]],"no test")</f>
        <v>no test</v>
      </c>
      <c r="BS222" s="791" t="str">
        <f>IF(AND(WWWW[[#This Row],[% of water sources treated]]="no test",WWWW[[#This Row],[% Household received corrective actions]]="no test"),"No Test","Tested")</f>
        <v>No Test</v>
      </c>
      <c r="BT222" s="791">
        <f>WWWW[[#This Row],['#_Constructed/existing protected hand dug well]]-WWWW[[#This Row],['#_Non-functional protected hand dug well]]</f>
        <v>0</v>
      </c>
      <c r="BU222" s="791">
        <f>(WWWW[[#This Row],['#_Constructed/Existing tube wells/boreholes/handpumps_WASH_agency]]+WWWW[[#This Row],['#_Non-Cluster partner water tube-wells/boreholes/handpumps]])-WWWW[[#This Row],['#_Non-functional tube wells/boreholes/handpumps]]</f>
        <v>0</v>
      </c>
      <c r="BV222" s="791">
        <f>WWWW[[#This Row],['#_Constructed/Existingwater storage tank with gravity fed reticulation system]]-WWWW[[#This Row],['#_Non-functional storage tank gravity fed reticulation system]]</f>
        <v>0</v>
      </c>
      <c r="BW222" s="791">
        <f>WWWW[[#This Row],['#_Water boating or water trucking]]</f>
        <v>0</v>
      </c>
      <c r="BX222" s="791">
        <f>WWWW[[#This Row],['#_Constructed/Existing water distribution system from river or natural spring]]</f>
        <v>0</v>
      </c>
      <c r="BY222" s="792">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22" s="792">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22" s="789">
        <f>IF(WWWW[[#This Row],[Location Type 1]]="Village",WWWW[[#This Row],[Access to safe drinking water for Village]],WWWW[[#This Row],[Access to safe drinking water for Camp]])</f>
        <v>0</v>
      </c>
      <c r="CB222" s="784">
        <f>WWWW[[#This Row],[%Equitable and continuous access to sufficient quantity of safe drinking water]]*WWWW[[#This Row],[Total PoP ]]</f>
        <v>0</v>
      </c>
      <c r="CC222" s="789">
        <f>IF((WWWW[[#This Row],['#_Constructed/Existing protected/fenced ponds]]*250)/WWWW[[#This Row],[Total PoP ]]&gt;1,1,(WWWW[[#This Row],['#_Constructed/Existing protected/fenced ponds]]*250)/WWWW[[#This Row],[Total PoP ]])</f>
        <v>0</v>
      </c>
      <c r="CD222" s="784">
        <f>WWWW[[#This Row],[% Access to unimproved water points]]*WWWW[[#This Row],[Total PoP ]]</f>
        <v>0</v>
      </c>
      <c r="CE222" s="789">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22" s="784">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22" s="784">
        <f>WWWW[[#This Row],[HRP1]]/500</f>
        <v>0</v>
      </c>
      <c r="CH222" s="793">
        <f>1-WWWW[[#This Row],[% Equitable and continuous access to sufficient quantity of domestic water]]</f>
        <v>1</v>
      </c>
      <c r="CI222" s="784">
        <f>WWWW[[#This Row],[%equitable and continuous access to sufficient quantity of safe drinking and domestic water''s GAP]]*WWWW[[#This Row],[Total PoP ]]</f>
        <v>523</v>
      </c>
      <c r="CJ222" s="791">
        <f>IF(WWWW[[#This Row],[Total required water points]]-WWWW[[#This Row],['#Water points coverage]]&lt;0,0,WWWW[[#This Row],[Total required water points]]-WWWW[[#This Row],['#Water points coverage]])</f>
        <v>1</v>
      </c>
      <c r="CK222" s="791">
        <f>ROUND(IF(WWWW[[#This Row],[Total PoP ]]&lt;500,1,WWWW[[#This Row],[Total PoP ]]/500),0)</f>
        <v>1</v>
      </c>
      <c r="CL222" s="791">
        <f>(WWWW[[#This Row],['#_Constructed latrines_by_WASHAgencies]]+WWWW[[#This Row],['#_Non Cluster partner latrines]])-WWWW[[#This Row],['#_Non-functional latrines]]</f>
        <v>0</v>
      </c>
      <c r="CM222"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22" s="784">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22" s="794"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22" s="791" t="str">
        <f>IF(WWWW[[#This Row],[Location Type 1]]="Village","NA",IF(WWWW[[#This Row],['#_Constructed/Existing latrines in TLS]]*50&gt;WWWW[[#This Row],['#_students at TLS_CFS]],WWWW[[#This Row],['#_students at TLS_CFS]],(WWWW[[#This Row],['#_Constructed/Existing latrines in TLS]]*50)))</f>
        <v>NA</v>
      </c>
      <c r="CQ222" s="791">
        <f>ROUND(IF(WWWW[[#This Row],[Location Type 1]]="camp",WWWW[[#This Row],[Total PoP ]]/20,IF(WWWW[[#This Row],[Location Type 1]]="Temporary Location",WWWW[[#This Row],[Total PoP ]]/50,(WWWW[[#This Row],[Total PoP ]]/6))),0)</f>
        <v>87</v>
      </c>
      <c r="CR222" s="791">
        <f>IF(WWWW[[#This Row],[Total required Latrines]]-(WWWW[[#This Row],['#_Constructed latrines_by_WASHAgencies]]+WWWW[[#This Row],['#_Non Cluster partner latrines]])&lt;0,0,WWWW[[#This Row],[Total required Latrines]]-(WWWW[[#This Row],['#_Constructed latrines_by_WASHAgencies]]+WWWW[[#This Row],['#_Non Cluster partner latrines]]))</f>
        <v>87</v>
      </c>
      <c r="CS222" s="795">
        <f>1-WWWW[[#This Row],[% people access to functioning Latrine]]</f>
        <v>1</v>
      </c>
      <c r="CT222" s="792">
        <f>IF(OR(WWWW[[#This Row],['#_Non-functional latrines]]="",WWWW[[#This Row],['#_Non-functional latrines]]=0),0,WWWW[[#This Row],['#_Non-functional latrines]]/(WWWW[[#This Row],['#_Constructed latrines_by_WASHAgencies]]+WWWW[[#This Row],['#_Non Cluster partner latrines]]))</f>
        <v>0</v>
      </c>
      <c r="CU222" s="784">
        <f>IF(500*(WWWW[[#This Row],['#_male hygiene promoters]]+WWWW[[#This Row],['#_female hygiene promoters]])&gt;WWWW[[#This Row],[Total PoP ]],WWWW[[#This Row],[Total PoP ]],500*(WWWW[[#This Row],['#_male hygiene promoters]]+WWWW[[#This Row],['#_female hygiene promoters]]))</f>
        <v>0</v>
      </c>
      <c r="CV222" s="791">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523</v>
      </c>
      <c r="CW222" s="791">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22" s="791">
        <f>IF(WWWW[[#This Row],['# People with access to soap]]&gt;WWWW[[#This Row],['# People with access to Sanity Pads]],WWWW[[#This Row],['# People with access to soap]],WWWW[[#This Row],['# People with access to Sanity Pads]])</f>
        <v>523</v>
      </c>
      <c r="CY222" s="791">
        <f>IF(WWWW[[#This Row],['# people reached by regular dedicated hygiene promotion_5]]&gt;WWWW[[#This Row],['# People received regular supply of hygiene items_6]],WWWW[[#This Row],['# people reached by regular dedicated hygiene promotion_5]],WWWW[[#This Row],['# People received regular supply of hygiene items_6]])</f>
        <v>523</v>
      </c>
      <c r="CZ222" s="793">
        <f>IF(WWWW[[#This Row],[HRP3]]/WWWW[[#This Row],[Total PoP ]]&gt;100%,100%,WWWW[[#This Row],[HRP3]]/WWWW[[#This Row],[Total PoP ]])</f>
        <v>1</v>
      </c>
      <c r="DA222" s="792">
        <f>1-WWWW[[#This Row],[Hygiene Coverage%]]</f>
        <v>0</v>
      </c>
      <c r="DB222" s="789">
        <f>WWWW[[#This Row],['# people reached by regular dedicated hygiene promotion_5]]/WWWW[[#This Row],[Total PoP ]]</f>
        <v>0</v>
      </c>
      <c r="DC222" s="789">
        <f>IF(WWWW[[#This Row],['#_households that received standard amount of soap for this quarter]]/WWWW[[#This Row],[Total HH]]&gt;1,1,WWWW[[#This Row],['#_households that received standard amount of soap for this quarter]]/WWWW[[#This Row],[Total HH]])</f>
        <v>1</v>
      </c>
      <c r="DD222" s="789">
        <f>IF(WWWW[[#This Row],['#_households that received standard amount of sanitary pads for this quarter]]/WWWW[[#This Row],[Total HH]]&gt;1,1,WWWW[[#This Row],['#_households that received standard amount of sanitary pads for this quarter]]/WWWW[[#This Row],[Total HH]])</f>
        <v>0</v>
      </c>
      <c r="DE222" s="791">
        <f>WWWW[[#This Row],['#_Constructed/Existing hand washing stations]]-WWWW[[#This Row],['#_Non-Functional_hand_washing_stations]]</f>
        <v>0</v>
      </c>
      <c r="DF222" s="796" t="e">
        <f>WWWW[[#This Row],[Total HH]]*#REF!</f>
        <v>#REF!</v>
      </c>
      <c r="DG222" s="784">
        <f>IF(WWWW[[#This Row],[Is sufficient soap available for TLS? (Yes/No)]]="yes",WWWW[[#This Row],['#_Constructed/Existing hand washing stations at TLS]],0)</f>
        <v>0</v>
      </c>
      <c r="DH222" s="702">
        <f>IF(WWWW[[#This Row],['# Functional hand washing stations during reporting period]]*100&gt;WWWW[[#This Row],[Total PoP ]],WWWW[[#This Row],[Total PoP ]],WWWW[[#This Row],['# Functional hand washing stations during reporting period]]*100)</f>
        <v>0</v>
      </c>
      <c r="DI222" s="702" t="str">
        <f>IF(WWWW[[#This Row],['#_students at TLS_CFS]]="","No","Yes")</f>
        <v>No</v>
      </c>
      <c r="DJ222" s="790">
        <f>VLOOKUP(WWWW[[#This Row],[Site Name]],SiteDB6[[Site Name]:[CCCM Management]],6,FALSE)</f>
        <v>0</v>
      </c>
      <c r="DK222" s="790">
        <f>VLOOKUP(WWWW[[#This Row],[Site Name]],SiteDB6[[Site Name]:[CCCM Focal Agency]],7,FALSE)</f>
        <v>0</v>
      </c>
      <c r="DL222" s="790" t="str">
        <f>VLOOKUP(WWWW[[#This Row],[Site Name]],SiteDB6[[Site Name]:[Location Type 1]],9,FALSE)</f>
        <v>Village</v>
      </c>
      <c r="DM222" s="790" t="str">
        <f>VLOOKUP(WWWW[[#This Row],[Site Name]],SiteDB6[[Site Name]:[Type of Accommodation]],10,FALSE)</f>
        <v>Village</v>
      </c>
      <c r="DN222" s="790" t="str">
        <f>VLOOKUP(WWWW[[#This Row],[Site Name]],SiteDB6[[Site Name]:[Ethnic or GCA/NGCA]],11,FALSE)</f>
        <v>Muslim</v>
      </c>
      <c r="DO222" s="790">
        <f>VLOOKUP(WWWW[[#This Row],[Site Name]],SiteDB6[[Site Name]:[Lat]],12,FALSE)</f>
        <v>20.71759033</v>
      </c>
      <c r="DP222" s="790">
        <f>VLOOKUP(WWWW[[#This Row],[Site Name]],SiteDB6[[Site Name]:[Long]],13,FALSE)</f>
        <v>92.426422119999998</v>
      </c>
      <c r="DQ222" s="790">
        <f>VLOOKUP(WWWW[[#This Row],[Site Name]],SiteDB6[[Site Name]:[Pcode]],3,FALSE)</f>
        <v>198045</v>
      </c>
      <c r="DR222" s="788" t="str">
        <f t="shared" si="7"/>
        <v>Covered</v>
      </c>
      <c r="DS222" s="788"/>
      <c r="DV222" s="661"/>
    </row>
    <row r="223" spans="1:126">
      <c r="A223" s="637" t="s">
        <v>2525</v>
      </c>
      <c r="B223" s="637" t="s">
        <v>2361</v>
      </c>
      <c r="C223" s="644" t="s">
        <v>2361</v>
      </c>
      <c r="D223" s="644" t="s">
        <v>249</v>
      </c>
      <c r="E223" s="663" t="s">
        <v>3014</v>
      </c>
      <c r="F223" s="644" t="s">
        <v>375</v>
      </c>
      <c r="G223" s="663" t="str">
        <f>VLOOKUP(WWWW[[#This Row],[Site Name]],SiteDB6[[Site Name]:[Location Type]],8,FALSE)</f>
        <v>Camp</v>
      </c>
      <c r="H223" s="644" t="s">
        <v>386</v>
      </c>
      <c r="I223" s="646">
        <v>358</v>
      </c>
      <c r="J223" s="646">
        <v>989</v>
      </c>
      <c r="K223" s="653">
        <v>43539</v>
      </c>
      <c r="L223" s="654">
        <v>43904</v>
      </c>
      <c r="M223" s="646">
        <v>259</v>
      </c>
      <c r="N223" s="646">
        <v>6</v>
      </c>
      <c r="O223" s="646">
        <v>22</v>
      </c>
      <c r="P223" s="646">
        <v>0</v>
      </c>
      <c r="Q223" s="645" t="s">
        <v>144</v>
      </c>
      <c r="R223" s="646">
        <v>23</v>
      </c>
      <c r="S223" s="646">
        <v>5</v>
      </c>
      <c r="T223" s="646">
        <v>8</v>
      </c>
      <c r="U223" s="646">
        <v>0</v>
      </c>
      <c r="V223" s="646">
        <v>8</v>
      </c>
      <c r="W223" s="646">
        <v>5</v>
      </c>
      <c r="X223" s="646">
        <v>0</v>
      </c>
      <c r="Y223" s="646">
        <v>1</v>
      </c>
      <c r="Z223" s="646">
        <v>4</v>
      </c>
      <c r="AA223" s="646">
        <v>0</v>
      </c>
      <c r="AB223" s="646">
        <v>0</v>
      </c>
      <c r="AC223" s="646">
        <v>0</v>
      </c>
      <c r="AD223" s="646">
        <v>0</v>
      </c>
      <c r="AE223" s="646">
        <v>0</v>
      </c>
      <c r="AF223" s="646">
        <v>0</v>
      </c>
      <c r="AG223" s="646">
        <v>0</v>
      </c>
      <c r="AH223" s="646">
        <v>0</v>
      </c>
      <c r="AI223" s="646">
        <v>6</v>
      </c>
      <c r="AJ223" s="646">
        <v>0</v>
      </c>
      <c r="AK223" s="646">
        <v>6</v>
      </c>
      <c r="AL223" s="646">
        <v>0</v>
      </c>
      <c r="AM223" s="646">
        <v>4</v>
      </c>
      <c r="AN223" s="646">
        <v>1</v>
      </c>
      <c r="AO223" s="652" t="s">
        <v>2841</v>
      </c>
      <c r="AP223" s="646">
        <v>94</v>
      </c>
      <c r="AQ223" s="646">
        <v>0</v>
      </c>
      <c r="AR223" s="648">
        <v>0</v>
      </c>
      <c r="AS223" s="646">
        <v>0</v>
      </c>
      <c r="AT223" s="646">
        <v>0</v>
      </c>
      <c r="AU223" s="646">
        <v>282</v>
      </c>
      <c r="AV223" s="646"/>
      <c r="AW223" s="646">
        <v>0</v>
      </c>
      <c r="AX223" s="643" t="s">
        <v>43</v>
      </c>
      <c r="AY223" s="652" t="s">
        <v>145</v>
      </c>
      <c r="AZ223" s="646">
        <v>10</v>
      </c>
      <c r="BA223" s="646">
        <v>0</v>
      </c>
      <c r="BB223" s="646">
        <v>10</v>
      </c>
      <c r="BC223" s="643" t="s">
        <v>2841</v>
      </c>
      <c r="BD223" s="646">
        <v>3</v>
      </c>
      <c r="BE223" s="646">
        <v>3</v>
      </c>
      <c r="BF223" s="646">
        <v>0</v>
      </c>
      <c r="BG223" s="646">
        <v>3</v>
      </c>
      <c r="BH223" s="646">
        <v>0</v>
      </c>
      <c r="BI223" s="646">
        <v>22</v>
      </c>
      <c r="BJ223" s="646">
        <v>6</v>
      </c>
      <c r="BK223" s="646">
        <v>358</v>
      </c>
      <c r="BL223" s="646">
        <v>257</v>
      </c>
      <c r="BM223" s="643" t="s">
        <v>43</v>
      </c>
      <c r="BN223" s="647">
        <v>12</v>
      </c>
      <c r="BO223" s="648">
        <v>1</v>
      </c>
      <c r="BP223" s="643" t="s">
        <v>2841</v>
      </c>
      <c r="BQ223" s="649">
        <f>IFERROR(WWWW[[#This Row],['#_Water sources treated]]/WWWW[[#This Row],['#_Water sources tested for contamination]],"no test")</f>
        <v>0</v>
      </c>
      <c r="BR223" s="648">
        <f>IFERROR(WWWW[[#This Row],['#_Household received remediation action due to contamination]]/WWWW[[#This Row],['#_Household water samples tested for contamination]],"no test")</f>
        <v>0</v>
      </c>
      <c r="BS223" s="647" t="str">
        <f>IF(AND(WWWW[[#This Row],[% of water sources treated]]="no test",WWWW[[#This Row],[% Household received corrective actions]]="no test"),"No Test","Tested")</f>
        <v>Tested</v>
      </c>
      <c r="BT223" s="647">
        <f>WWWW[[#This Row],['#_Constructed/existing protected hand dug well]]-WWWW[[#This Row],['#_Non-functional protected hand dug well]]</f>
        <v>8</v>
      </c>
      <c r="BU223" s="647">
        <f>(WWWW[[#This Row],['#_Constructed/Existing tube wells/boreholes/handpumps_WASH_agency]]+WWWW[[#This Row],['#_Non-Cluster partner water tube-wells/boreholes/handpumps]])-WWWW[[#This Row],['#_Non-functional tube wells/boreholes/handpumps]]</f>
        <v>4</v>
      </c>
      <c r="BV223" s="647">
        <f>WWWW[[#This Row],['#_Constructed/Existingwater storage tank with gravity fed reticulation system]]-WWWW[[#This Row],['#_Non-functional storage tank gravity fed reticulation system]]</f>
        <v>0</v>
      </c>
      <c r="BW223" s="647">
        <f>WWWW[[#This Row],['#_Water boating or water trucking]]</f>
        <v>0</v>
      </c>
      <c r="BX223" s="647">
        <f>WWWW[[#This Row],['#_Constructed/Existing water distribution system from river or natural spring]]</f>
        <v>0</v>
      </c>
      <c r="BY223"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223"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223" s="648">
        <f>IF(WWWW[[#This Row],[Location Type 1]]="Village",WWWW[[#This Row],[Access to safe drinking water for Village]],WWWW[[#This Row],[Access to safe drinking water for Camp]])</f>
        <v>1</v>
      </c>
      <c r="CB223" s="645">
        <f>WWWW[[#This Row],[%Equitable and continuous access to sufficient quantity of safe drinking water]]*WWWW[[#This Row],[Total PoP ]]</f>
        <v>989</v>
      </c>
      <c r="CC223" s="648">
        <f>IF((WWWW[[#This Row],['#_Constructed/Existing protected/fenced ponds]]*250)/WWWW[[#This Row],[Total PoP ]]&gt;1,1,(WWWW[[#This Row],['#_Constructed/Existing protected/fenced ponds]]*250)/WWWW[[#This Row],[Total PoP ]])</f>
        <v>0</v>
      </c>
      <c r="CD223" s="645">
        <f>WWWW[[#This Row],[% Access to unimproved water points]]*WWWW[[#This Row],[Total PoP ]]</f>
        <v>0</v>
      </c>
      <c r="CE223"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223"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989</v>
      </c>
      <c r="CG223" s="645">
        <f>WWWW[[#This Row],[HRP1]]/500</f>
        <v>1.978</v>
      </c>
      <c r="CH223" s="650">
        <f>1-WWWW[[#This Row],[% Equitable and continuous access to sufficient quantity of domestic water]]</f>
        <v>0</v>
      </c>
      <c r="CI223" s="645">
        <f>WWWW[[#This Row],[%equitable and continuous access to sufficient quantity of safe drinking and domestic water''s GAP]]*WWWW[[#This Row],[Total PoP ]]</f>
        <v>0</v>
      </c>
      <c r="CJ223" s="647">
        <f>IF(WWWW[[#This Row],[Total required water points]]-WWWW[[#This Row],['#Water points coverage]]&lt;0,0,WWWW[[#This Row],[Total required water points]]-WWWW[[#This Row],['#Water points coverage]])</f>
        <v>2.200000000000002E-2</v>
      </c>
      <c r="CK223" s="647">
        <f>ROUND(IF(WWWW[[#This Row],[Total PoP ]]&lt;500,1,WWWW[[#This Row],[Total PoP ]]/500),0)</f>
        <v>2</v>
      </c>
      <c r="CL223" s="647">
        <f>(WWWW[[#This Row],['#_Constructed latrines_by_WASHAgencies]]+WWWW[[#This Row],['#_Non Cluster partner latrines]])-WWWW[[#This Row],['#_Non-functional latrines]]</f>
        <v>94</v>
      </c>
      <c r="CM223"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223"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989</v>
      </c>
      <c r="CO223"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989</v>
      </c>
      <c r="CP223" s="647">
        <f>IF(WWWW[[#This Row],[Location Type 1]]="Village","NA",IF(WWWW[[#This Row],['#_Constructed/Existing latrines in TLS]]*50&gt;WWWW[[#This Row],['#_students at TLS_CFS]],WWWW[[#This Row],['#_students at TLS_CFS]],(WWWW[[#This Row],['#_Constructed/Existing latrines in TLS]]*50)))</f>
        <v>259</v>
      </c>
      <c r="CQ223" s="647">
        <f>ROUND(IF(WWWW[[#This Row],[Location Type 1]]="camp",WWWW[[#This Row],[Total PoP ]]/20,IF(WWWW[[#This Row],[Location Type 1]]="Temporary Location",WWWW[[#This Row],[Total PoP ]]/50,(WWWW[[#This Row],[Total PoP ]]/6))),0)</f>
        <v>49</v>
      </c>
      <c r="CR223" s="647">
        <f>IF(WWWW[[#This Row],[Total required Latrines]]-(WWWW[[#This Row],['#_Constructed latrines_by_WASHAgencies]]+WWWW[[#This Row],['#_Non Cluster partner latrines]])&lt;0,0,WWWW[[#This Row],[Total required Latrines]]-(WWWW[[#This Row],['#_Constructed latrines_by_WASHAgencies]]+WWWW[[#This Row],['#_Non Cluster partner latrines]]))</f>
        <v>0</v>
      </c>
      <c r="CS223" s="79">
        <f>1-WWWW[[#This Row],[% people access to functioning Latrine]]</f>
        <v>0</v>
      </c>
      <c r="CT223" s="649">
        <f>IF(OR(WWWW[[#This Row],['#_Non-functional latrines]]="",WWWW[[#This Row],['#_Non-functional latrines]]=0),0,WWWW[[#This Row],['#_Non-functional latrines]]/(WWWW[[#This Row],['#_Constructed latrines_by_WASHAgencies]]+WWWW[[#This Row],['#_Non Cluster partner latrines]]))</f>
        <v>0</v>
      </c>
      <c r="CU223" s="645">
        <f>IF(500*(WWWW[[#This Row],['#_male hygiene promoters]]+WWWW[[#This Row],['#_female hygiene promoters]])&gt;WWWW[[#This Row],[Total PoP ]],WWWW[[#This Row],[Total PoP ]],500*(WWWW[[#This Row],['#_male hygiene promoters]]+WWWW[[#This Row],['#_female hygiene promoters]]))</f>
        <v>989</v>
      </c>
      <c r="CV223"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989</v>
      </c>
      <c r="CW223"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989</v>
      </c>
      <c r="CX223" s="647">
        <f>IF(WWWW[[#This Row],['# People with access to soap]]&gt;WWWW[[#This Row],['# People with access to Sanity Pads]],WWWW[[#This Row],['# People with access to soap]],WWWW[[#This Row],['# People with access to Sanity Pads]])</f>
        <v>989</v>
      </c>
      <c r="CY223" s="647">
        <f>IF(WWWW[[#This Row],['# people reached by regular dedicated hygiene promotion_5]]&gt;WWWW[[#This Row],['# People received regular supply of hygiene items_6]],WWWW[[#This Row],['# people reached by regular dedicated hygiene promotion_5]],WWWW[[#This Row],['# People received regular supply of hygiene items_6]])</f>
        <v>989</v>
      </c>
      <c r="CZ223" s="650">
        <f>IF(WWWW[[#This Row],[HRP3]]/WWWW[[#This Row],[Total PoP ]]&gt;100%,100%,WWWW[[#This Row],[HRP3]]/WWWW[[#This Row],[Total PoP ]])</f>
        <v>1</v>
      </c>
      <c r="DA223" s="649">
        <f>1-WWWW[[#This Row],[Hygiene Coverage%]]</f>
        <v>0</v>
      </c>
      <c r="DB223" s="648">
        <f>WWWW[[#This Row],['# people reached by regular dedicated hygiene promotion_5]]/WWWW[[#This Row],[Total PoP ]]</f>
        <v>1</v>
      </c>
      <c r="DC223" s="648">
        <f>IF(WWWW[[#This Row],['#_households that received standard amount of soap for this quarter]]/WWWW[[#This Row],[Total HH]]&gt;1,1,WWWW[[#This Row],['#_households that received standard amount of soap for this quarter]]/WWWW[[#This Row],[Total HH]])</f>
        <v>1</v>
      </c>
      <c r="DD223" s="648">
        <f>IF(WWWW[[#This Row],['#_households that received standard amount of sanitary pads for this quarter]]/WWWW[[#This Row],[Total HH]]&gt;1,1,WWWW[[#This Row],['#_households that received standard amount of sanitary pads for this quarter]]/WWWW[[#This Row],[Total HH]])</f>
        <v>0.71787709497206709</v>
      </c>
      <c r="DE223" s="647">
        <f>WWWW[[#This Row],['#_Constructed/Existing hand washing stations]]-WWWW[[#This Row],['#_Non-Functional_hand_washing_stations]]</f>
        <v>0</v>
      </c>
      <c r="DF223" s="667">
        <f>IF(WWWW[[#This Row],['# Functional hand washing stations during reporting period]]*20&gt;WWWW[[#This Row],[Total HH]],WWWW[[#This Row],[Total HH]],WWWW[[#This Row],['# Functional hand washing stations during reporting period]]*20)</f>
        <v>0</v>
      </c>
      <c r="DG223" s="645">
        <f>IF(WWWW[[#This Row],[Is sufficient soap available for TLS? (Yes/No)]]="yes",WWWW[[#This Row],['#_Constructed/Existing hand washing stations at TLS]],0)</f>
        <v>4</v>
      </c>
      <c r="DH223" s="645">
        <f>IF(WWWW[[#This Row],['# Functional hand washing stations during reporting period]]*100&gt;WWWW[[#This Row],[Total PoP ]],WWWW[[#This Row],[Total PoP ]],WWWW[[#This Row],['# Functional hand washing stations during reporting period]]*100)</f>
        <v>0</v>
      </c>
      <c r="DI223" s="645" t="str">
        <f>IF(WWWW[[#This Row],['#_students at TLS_CFS]]="","No","Yes")</f>
        <v>Yes</v>
      </c>
      <c r="DJ223" s="643" t="str">
        <f>VLOOKUP(WWWW[[#This Row],[Site Name]],SiteDB6[[Site Name]:[CCCM Management]],6,FALSE)</f>
        <v>Yes</v>
      </c>
      <c r="DK223" s="643">
        <f>VLOOKUP(WWWW[[#This Row],[Site Name]],SiteDB6[[Site Name]:[CCCM Focal Agency]],7,FALSE)</f>
        <v>0</v>
      </c>
      <c r="DL223" s="643" t="str">
        <f>VLOOKUP(WWWW[[#This Row],[Site Name]],SiteDB6[[Site Name]:[Location Type 1]],9,FALSE)</f>
        <v>Camp</v>
      </c>
      <c r="DM223" s="643" t="str">
        <f>VLOOKUP(WWWW[[#This Row],[Site Name]],SiteDB6[[Site Name]:[Type of Accommodation]],10,FALSE)</f>
        <v>Planned Camp</v>
      </c>
      <c r="DN223" s="643" t="str">
        <f>VLOOKUP(WWWW[[#This Row],[Site Name]],SiteDB6[[Site Name]:[Ethnic or GCA/NGCA]],11,FALSE)</f>
        <v>Muslim</v>
      </c>
      <c r="DO223" s="643">
        <f>VLOOKUP(WWWW[[#This Row],[Site Name]],SiteDB6[[Site Name]:[Lat]],12,FALSE)</f>
        <v>19.424576999999999</v>
      </c>
      <c r="DP223" s="643">
        <f>VLOOKUP(WWWW[[#This Row],[Site Name]],SiteDB6[[Site Name]:[Long]],13,FALSE)</f>
        <v>93.512326000000002</v>
      </c>
      <c r="DQ223" s="643" t="str">
        <f>VLOOKUP(WWWW[[#This Row],[Site Name]],SiteDB6[[Site Name]:[Pcode]],3,FALSE)</f>
        <v>MMR012CMP035</v>
      </c>
      <c r="DR223" s="652" t="str">
        <f t="shared" si="7"/>
        <v>Covered</v>
      </c>
      <c r="DS223" s="652"/>
    </row>
    <row r="224" spans="1:126">
      <c r="A224" s="637" t="s">
        <v>2525</v>
      </c>
      <c r="B224" s="637" t="s">
        <v>2361</v>
      </c>
      <c r="C224" s="644" t="s">
        <v>2361</v>
      </c>
      <c r="D224" s="644" t="s">
        <v>249</v>
      </c>
      <c r="E224" s="663" t="s">
        <v>3014</v>
      </c>
      <c r="F224" s="644" t="s">
        <v>375</v>
      </c>
      <c r="G224" s="663" t="str">
        <f>VLOOKUP(WWWW[[#This Row],[Site Name]],SiteDB6[[Site Name]:[Location Type]],8,FALSE)</f>
        <v>Village</v>
      </c>
      <c r="H224" s="644" t="s">
        <v>2362</v>
      </c>
      <c r="I224" s="646">
        <v>65</v>
      </c>
      <c r="J224" s="646">
        <v>323</v>
      </c>
      <c r="K224" s="653">
        <v>43539</v>
      </c>
      <c r="L224" s="654">
        <v>43904</v>
      </c>
      <c r="M224" s="646">
        <v>48</v>
      </c>
      <c r="N224" s="646">
        <v>0</v>
      </c>
      <c r="O224" s="646">
        <v>1</v>
      </c>
      <c r="P224" s="646">
        <v>0</v>
      </c>
      <c r="Q224" s="645" t="s">
        <v>144</v>
      </c>
      <c r="R224" s="646">
        <v>1</v>
      </c>
      <c r="S224" s="646">
        <v>0</v>
      </c>
      <c r="T224" s="646">
        <v>0</v>
      </c>
      <c r="U224" s="646">
        <v>0</v>
      </c>
      <c r="V224" s="646">
        <v>0</v>
      </c>
      <c r="W224" s="646">
        <v>1</v>
      </c>
      <c r="X224" s="646">
        <v>0</v>
      </c>
      <c r="Y224" s="646">
        <v>0</v>
      </c>
      <c r="Z224" s="646">
        <v>1</v>
      </c>
      <c r="AA224" s="646">
        <v>0</v>
      </c>
      <c r="AB224" s="646">
        <v>0</v>
      </c>
      <c r="AC224" s="646">
        <v>0</v>
      </c>
      <c r="AD224" s="646">
        <v>0</v>
      </c>
      <c r="AE224" s="646">
        <v>0</v>
      </c>
      <c r="AF224" s="646">
        <v>0</v>
      </c>
      <c r="AG224" s="646">
        <v>0</v>
      </c>
      <c r="AH224" s="646">
        <v>0</v>
      </c>
      <c r="AI224" s="646">
        <v>0</v>
      </c>
      <c r="AJ224" s="646">
        <v>0</v>
      </c>
      <c r="AK224" s="646">
        <v>0</v>
      </c>
      <c r="AL224" s="646">
        <v>0</v>
      </c>
      <c r="AM224" s="646" t="s">
        <v>2941</v>
      </c>
      <c r="AN224" s="646">
        <v>0</v>
      </c>
      <c r="AO224" s="652" t="s">
        <v>2841</v>
      </c>
      <c r="AP224" s="646">
        <v>65</v>
      </c>
      <c r="AQ224" s="646">
        <v>0</v>
      </c>
      <c r="AR224" s="648">
        <v>0</v>
      </c>
      <c r="AS224" s="646">
        <v>0</v>
      </c>
      <c r="AT224" s="646">
        <v>0</v>
      </c>
      <c r="AU224" s="646">
        <v>0</v>
      </c>
      <c r="AV224" s="646"/>
      <c r="AW224" s="646">
        <v>65</v>
      </c>
      <c r="AX224" s="643" t="s">
        <v>43</v>
      </c>
      <c r="AY224" s="652" t="s">
        <v>145</v>
      </c>
      <c r="AZ224" s="646">
        <v>0</v>
      </c>
      <c r="BA224" s="646">
        <v>0</v>
      </c>
      <c r="BB224" s="646">
        <v>4</v>
      </c>
      <c r="BC224" s="643" t="s">
        <v>2841</v>
      </c>
      <c r="BD224" s="646">
        <v>0</v>
      </c>
      <c r="BE224" s="646">
        <v>0</v>
      </c>
      <c r="BF224" s="646">
        <v>0</v>
      </c>
      <c r="BG224" s="646">
        <v>0</v>
      </c>
      <c r="BH224" s="646">
        <v>0</v>
      </c>
      <c r="BI224" s="646">
        <v>1</v>
      </c>
      <c r="BJ224" s="646">
        <v>0</v>
      </c>
      <c r="BK224" s="646">
        <v>0</v>
      </c>
      <c r="BL224" s="646">
        <v>0</v>
      </c>
      <c r="BM224" s="643" t="s">
        <v>144</v>
      </c>
      <c r="BN224" s="647">
        <v>0</v>
      </c>
      <c r="BO224" s="648">
        <v>0</v>
      </c>
      <c r="BP224" s="643" t="s">
        <v>2841</v>
      </c>
      <c r="BQ224" s="649" t="str">
        <f>IFERROR(WWWW[[#This Row],['#_Water sources treated]]/WWWW[[#This Row],['#_Water sources tested for contamination]],"no test")</f>
        <v>no test</v>
      </c>
      <c r="BR224" s="648" t="str">
        <f>IFERROR(WWWW[[#This Row],['#_Household received remediation action due to contamination]]/WWWW[[#This Row],['#_Household water samples tested for contamination]],"no test")</f>
        <v>no test</v>
      </c>
      <c r="BS224" s="647" t="str">
        <f>IF(AND(WWWW[[#This Row],[% of water sources treated]]="no test",WWWW[[#This Row],[% Household received corrective actions]]="no test"),"No Test","Tested")</f>
        <v>No Test</v>
      </c>
      <c r="BT224" s="647">
        <f>WWWW[[#This Row],['#_Constructed/existing protected hand dug well]]-WWWW[[#This Row],['#_Non-functional protected hand dug well]]</f>
        <v>0</v>
      </c>
      <c r="BU224" s="647">
        <f>(WWWW[[#This Row],['#_Constructed/Existing tube wells/boreholes/handpumps_WASH_agency]]+WWWW[[#This Row],['#_Non-Cluster partner water tube-wells/boreholes/handpumps]])-WWWW[[#This Row],['#_Non-functional tube wells/boreholes/handpumps]]</f>
        <v>1</v>
      </c>
      <c r="BV224" s="647">
        <f>WWWW[[#This Row],['#_Constructed/Existingwater storage tank with gravity fed reticulation system]]-WWWW[[#This Row],['#_Non-functional storage tank gravity fed reticulation system]]</f>
        <v>0</v>
      </c>
      <c r="BW224" s="647">
        <f>WWWW[[#This Row],['#_Water boating or water trucking]]</f>
        <v>0</v>
      </c>
      <c r="BX224" s="647">
        <f>WWWW[[#This Row],['#_Constructed/Existing water distribution system from river or natural spring]]</f>
        <v>0</v>
      </c>
      <c r="BY224"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224"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0.77399380804953566</v>
      </c>
      <c r="CA224" s="648">
        <f>IF(WWWW[[#This Row],[Location Type 1]]="Village",WWWW[[#This Row],[Access to safe drinking water for Village]],WWWW[[#This Row],[Access to safe drinking water for Camp]])</f>
        <v>0.77399380804953566</v>
      </c>
      <c r="CB224" s="645">
        <f>WWWW[[#This Row],[%Equitable and continuous access to sufficient quantity of safe drinking water]]*WWWW[[#This Row],[Total PoP ]]</f>
        <v>250.00000000000003</v>
      </c>
      <c r="CC224" s="648">
        <f>IF((WWWW[[#This Row],['#_Constructed/Existing protected/fenced ponds]]*250)/WWWW[[#This Row],[Total PoP ]]&gt;1,1,(WWWW[[#This Row],['#_Constructed/Existing protected/fenced ponds]]*250)/WWWW[[#This Row],[Total PoP ]])</f>
        <v>0</v>
      </c>
      <c r="CD224" s="645">
        <f>WWWW[[#This Row],[% Access to unimproved water points]]*WWWW[[#This Row],[Total PoP ]]</f>
        <v>0</v>
      </c>
      <c r="CE224"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0.77399380804953566</v>
      </c>
      <c r="CF224"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250.00000000000003</v>
      </c>
      <c r="CG224" s="645">
        <f>WWWW[[#This Row],[HRP1]]/500</f>
        <v>0.50000000000000011</v>
      </c>
      <c r="CH224" s="650">
        <f>1-WWWW[[#This Row],[% Equitable and continuous access to sufficient quantity of domestic water]]</f>
        <v>0.22600619195046434</v>
      </c>
      <c r="CI224" s="645">
        <f>WWWW[[#This Row],[%equitable and continuous access to sufficient quantity of safe drinking and domestic water''s GAP]]*WWWW[[#This Row],[Total PoP ]]</f>
        <v>72.999999999999986</v>
      </c>
      <c r="CJ224" s="647">
        <f>IF(WWWW[[#This Row],[Total required water points]]-WWWW[[#This Row],['#Water points coverage]]&lt;0,0,WWWW[[#This Row],[Total required water points]]-WWWW[[#This Row],['#Water points coverage]])</f>
        <v>0.49999999999999989</v>
      </c>
      <c r="CK224" s="647">
        <f>ROUND(IF(WWWW[[#This Row],[Total PoP ]]&lt;500,1,WWWW[[#This Row],[Total PoP ]]/500),0)</f>
        <v>1</v>
      </c>
      <c r="CL224" s="647">
        <f>(WWWW[[#This Row],['#_Constructed latrines_by_WASHAgencies]]+WWWW[[#This Row],['#_Non Cluster partner latrines]])-WWWW[[#This Row],['#_Non-functional latrines]]</f>
        <v>65</v>
      </c>
      <c r="CM224"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224"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323</v>
      </c>
      <c r="CO224"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24" s="647" t="str">
        <f>IF(WWWW[[#This Row],[Location Type 1]]="Village","NA",IF(WWWW[[#This Row],['#_Constructed/Existing latrines in TLS]]*50&gt;WWWW[[#This Row],['#_students at TLS_CFS]],WWWW[[#This Row],['#_students at TLS_CFS]],(WWWW[[#This Row],['#_Constructed/Existing latrines in TLS]]*50)))</f>
        <v>NA</v>
      </c>
      <c r="CQ224" s="647">
        <f>ROUND(IF(WWWW[[#This Row],[Location Type 1]]="camp",WWWW[[#This Row],[Total PoP ]]/20,IF(WWWW[[#This Row],[Location Type 1]]="Temporary Location",WWWW[[#This Row],[Total PoP ]]/50,(WWWW[[#This Row],[Total PoP ]]/6))),0)</f>
        <v>54</v>
      </c>
      <c r="CR224" s="647">
        <f>IF(WWWW[[#This Row],[Total required Latrines]]-(WWWW[[#This Row],['#_Constructed latrines_by_WASHAgencies]]+WWWW[[#This Row],['#_Non Cluster partner latrines]])&lt;0,0,WWWW[[#This Row],[Total required Latrines]]-(WWWW[[#This Row],['#_Constructed latrines_by_WASHAgencies]]+WWWW[[#This Row],['#_Non Cluster partner latrines]]))</f>
        <v>0</v>
      </c>
      <c r="CS224" s="79">
        <f>1-WWWW[[#This Row],[% people access to functioning Latrine]]</f>
        <v>0</v>
      </c>
      <c r="CT224" s="649">
        <f>IF(OR(WWWW[[#This Row],['#_Non-functional latrines]]="",WWWW[[#This Row],['#_Non-functional latrines]]=0),0,WWWW[[#This Row],['#_Non-functional latrines]]/(WWWW[[#This Row],['#_Constructed latrines_by_WASHAgencies]]+WWWW[[#This Row],['#_Non Cluster partner latrines]]))</f>
        <v>0</v>
      </c>
      <c r="CU224" s="645">
        <f>IF(500*(WWWW[[#This Row],['#_male hygiene promoters]]+WWWW[[#This Row],['#_female hygiene promoters]])&gt;WWWW[[#This Row],[Total PoP ]],WWWW[[#This Row],[Total PoP ]],500*(WWWW[[#This Row],['#_male hygiene promoters]]+WWWW[[#This Row],['#_female hygiene promoters]]))</f>
        <v>323</v>
      </c>
      <c r="CV224"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24"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24" s="647">
        <f>IF(WWWW[[#This Row],['# People with access to soap]]&gt;WWWW[[#This Row],['# People with access to Sanity Pads]],WWWW[[#This Row],['# People with access to soap]],WWWW[[#This Row],['# People with access to Sanity Pads]])</f>
        <v>0</v>
      </c>
      <c r="CY224" s="647">
        <f>IF(WWWW[[#This Row],['# people reached by regular dedicated hygiene promotion_5]]&gt;WWWW[[#This Row],['# People received regular supply of hygiene items_6]],WWWW[[#This Row],['# people reached by regular dedicated hygiene promotion_5]],WWWW[[#This Row],['# People received regular supply of hygiene items_6]])</f>
        <v>323</v>
      </c>
      <c r="CZ224" s="650">
        <f>IF(WWWW[[#This Row],[HRP3]]/WWWW[[#This Row],[Total PoP ]]&gt;100%,100%,WWWW[[#This Row],[HRP3]]/WWWW[[#This Row],[Total PoP ]])</f>
        <v>1</v>
      </c>
      <c r="DA224" s="649">
        <f>1-WWWW[[#This Row],[Hygiene Coverage%]]</f>
        <v>0</v>
      </c>
      <c r="DB224" s="648">
        <f>WWWW[[#This Row],['# people reached by regular dedicated hygiene promotion_5]]/WWWW[[#This Row],[Total PoP ]]</f>
        <v>1</v>
      </c>
      <c r="DC224" s="648">
        <f>IF(WWWW[[#This Row],['#_households that received standard amount of soap for this quarter]]/WWWW[[#This Row],[Total HH]]&gt;1,1,WWWW[[#This Row],['#_households that received standard amount of soap for this quarter]]/WWWW[[#This Row],[Total HH]])</f>
        <v>0</v>
      </c>
      <c r="DD224" s="648">
        <f>IF(WWWW[[#This Row],['#_households that received standard amount of sanitary pads for this quarter]]/WWWW[[#This Row],[Total HH]]&gt;1,1,WWWW[[#This Row],['#_households that received standard amount of sanitary pads for this quarter]]/WWWW[[#This Row],[Total HH]])</f>
        <v>0</v>
      </c>
      <c r="DE224" s="647">
        <f>WWWW[[#This Row],['#_Constructed/Existing hand washing stations]]-WWWW[[#This Row],['#_Non-Functional_hand_washing_stations]]</f>
        <v>0</v>
      </c>
      <c r="DF224" s="667">
        <f>IF(WWWW[[#This Row],['# Functional hand washing stations during reporting period]]*20&gt;WWWW[[#This Row],[Total HH]],WWWW[[#This Row],[Total HH]],WWWW[[#This Row],['# Functional hand washing stations during reporting period]]*20)</f>
        <v>0</v>
      </c>
      <c r="DG224" s="645">
        <f>IF(WWWW[[#This Row],[Is sufficient soap available for TLS? (Yes/No)]]="yes",WWWW[[#This Row],['#_Constructed/Existing hand washing stations at TLS]],0)</f>
        <v>0</v>
      </c>
      <c r="DH224" s="645">
        <f>IF(WWWW[[#This Row],['# Functional hand washing stations during reporting period]]*100&gt;WWWW[[#This Row],[Total PoP ]],WWWW[[#This Row],[Total PoP ]],WWWW[[#This Row],['# Functional hand washing stations during reporting period]]*100)</f>
        <v>0</v>
      </c>
      <c r="DI224" s="645" t="str">
        <f>IF(WWWW[[#This Row],['#_students at TLS_CFS]]="","No","Yes")</f>
        <v>Yes</v>
      </c>
      <c r="DJ224" s="643">
        <f>VLOOKUP(WWWW[[#This Row],[Site Name]],SiteDB6[[Site Name]:[CCCM Management]],6,FALSE)</f>
        <v>0</v>
      </c>
      <c r="DK224" s="643">
        <f>VLOOKUP(WWWW[[#This Row],[Site Name]],SiteDB6[[Site Name]:[CCCM Focal Agency]],7,FALSE)</f>
        <v>0</v>
      </c>
      <c r="DL224" s="643" t="str">
        <f>VLOOKUP(WWWW[[#This Row],[Site Name]],SiteDB6[[Site Name]:[Location Type 1]],9,FALSE)</f>
        <v>Village</v>
      </c>
      <c r="DM224" s="643" t="str">
        <f>VLOOKUP(WWWW[[#This Row],[Site Name]],SiteDB6[[Site Name]:[Type of Accommodation]],10,FALSE)</f>
        <v>Village</v>
      </c>
      <c r="DN224" s="643" t="str">
        <f>VLOOKUP(WWWW[[#This Row],[Site Name]],SiteDB6[[Site Name]:[Ethnic or GCA/NGCA]],11,FALSE)</f>
        <v>Rakhine</v>
      </c>
      <c r="DO224" s="643">
        <f>VLOOKUP(WWWW[[#This Row],[Site Name]],SiteDB6[[Site Name]:[Lat]],12,FALSE)</f>
        <v>19.417640689999999</v>
      </c>
      <c r="DP224" s="643">
        <f>VLOOKUP(WWWW[[#This Row],[Site Name]],SiteDB6[[Site Name]:[Long]],13,FALSE)</f>
        <v>93.565246579999993</v>
      </c>
      <c r="DQ224" s="643">
        <f>VLOOKUP(WWWW[[#This Row],[Site Name]],SiteDB6[[Site Name]:[Pcode]],3,FALSE)</f>
        <v>198464</v>
      </c>
      <c r="DR224" s="652" t="str">
        <f t="shared" si="7"/>
        <v>Covered</v>
      </c>
      <c r="DS224" s="652"/>
    </row>
    <row r="225" spans="1:123">
      <c r="A225" s="637" t="s">
        <v>2525</v>
      </c>
      <c r="B225" s="637" t="s">
        <v>2361</v>
      </c>
      <c r="C225" s="644" t="s">
        <v>2361</v>
      </c>
      <c r="D225" s="644" t="s">
        <v>249</v>
      </c>
      <c r="E225" s="663" t="s">
        <v>3014</v>
      </c>
      <c r="F225" s="644" t="s">
        <v>375</v>
      </c>
      <c r="G225" s="663" t="str">
        <f>VLOOKUP(WWWW[[#This Row],[Site Name]],SiteDB6[[Site Name]:[Location Type]],8,FALSE)</f>
        <v>Village</v>
      </c>
      <c r="H225" s="644" t="s">
        <v>2842</v>
      </c>
      <c r="I225" s="646">
        <v>275</v>
      </c>
      <c r="J225" s="646">
        <v>1018</v>
      </c>
      <c r="K225" s="653">
        <v>43539</v>
      </c>
      <c r="L225" s="654">
        <v>43904</v>
      </c>
      <c r="M225" s="646"/>
      <c r="N225" s="646"/>
      <c r="O225" s="646"/>
      <c r="P225" s="646"/>
      <c r="Q225" s="645"/>
      <c r="R225" s="646"/>
      <c r="S225" s="646"/>
      <c r="T225" s="646"/>
      <c r="U225" s="646"/>
      <c r="V225" s="646"/>
      <c r="W225" s="646"/>
      <c r="X225" s="646"/>
      <c r="Y225" s="646"/>
      <c r="Z225" s="646"/>
      <c r="AA225" s="646"/>
      <c r="AB225" s="646"/>
      <c r="AC225" s="646"/>
      <c r="AD225" s="646"/>
      <c r="AE225" s="646"/>
      <c r="AF225" s="646"/>
      <c r="AG225" s="646"/>
      <c r="AH225" s="646"/>
      <c r="AI225" s="646"/>
      <c r="AJ225" s="646"/>
      <c r="AK225" s="646"/>
      <c r="AL225" s="646"/>
      <c r="AM225" s="646"/>
      <c r="AN225" s="646"/>
      <c r="AO225" s="652" t="s">
        <v>2841</v>
      </c>
      <c r="AP225" s="646"/>
      <c r="AQ225" s="646"/>
      <c r="AR225" s="648"/>
      <c r="AS225" s="646"/>
      <c r="AT225" s="646"/>
      <c r="AU225" s="646"/>
      <c r="AV225" s="646"/>
      <c r="AW225" s="646"/>
      <c r="AX225" s="643"/>
      <c r="AY225" s="652"/>
      <c r="AZ225" s="646"/>
      <c r="BA225" s="646"/>
      <c r="BB225" s="646"/>
      <c r="BC225" s="643"/>
      <c r="BD225" s="646"/>
      <c r="BE225" s="646"/>
      <c r="BF225" s="646"/>
      <c r="BG225" s="646"/>
      <c r="BH225" s="646"/>
      <c r="BI225" s="646"/>
      <c r="BJ225" s="646"/>
      <c r="BK225" s="646"/>
      <c r="BL225" s="646"/>
      <c r="BM225" s="643"/>
      <c r="BN225" s="647"/>
      <c r="BO225" s="648"/>
      <c r="BP225" s="643"/>
      <c r="BQ225" s="649" t="str">
        <f>IFERROR(WWWW[[#This Row],['#_Water sources treated]]/WWWW[[#This Row],['#_Water sources tested for contamination]],"no test")</f>
        <v>no test</v>
      </c>
      <c r="BR225" s="648" t="str">
        <f>IFERROR(WWWW[[#This Row],['#_Household received remediation action due to contamination]]/WWWW[[#This Row],['#_Household water samples tested for contamination]],"no test")</f>
        <v>no test</v>
      </c>
      <c r="BS225" s="647" t="str">
        <f>IF(AND(WWWW[[#This Row],[% of water sources treated]]="no test",WWWW[[#This Row],[% Household received corrective actions]]="no test"),"No Test","Tested")</f>
        <v>No Test</v>
      </c>
      <c r="BT225" s="647">
        <f>WWWW[[#This Row],['#_Constructed/existing protected hand dug well]]-WWWW[[#This Row],['#_Non-functional protected hand dug well]]</f>
        <v>0</v>
      </c>
      <c r="BU225" s="647">
        <f>(WWWW[[#This Row],['#_Constructed/Existing tube wells/boreholes/handpumps_WASH_agency]]+WWWW[[#This Row],['#_Non-Cluster partner water tube-wells/boreholes/handpumps]])-WWWW[[#This Row],['#_Non-functional tube wells/boreholes/handpumps]]</f>
        <v>0</v>
      </c>
      <c r="BV225" s="647">
        <f>WWWW[[#This Row],['#_Constructed/Existingwater storage tank with gravity fed reticulation system]]-WWWW[[#This Row],['#_Non-functional storage tank gravity fed reticulation system]]</f>
        <v>0</v>
      </c>
      <c r="BW225" s="647">
        <f>WWWW[[#This Row],['#_Water boating or water trucking]]</f>
        <v>0</v>
      </c>
      <c r="BX225" s="647">
        <f>WWWW[[#This Row],['#_Constructed/Existing water distribution system from river or natural spring]]</f>
        <v>0</v>
      </c>
      <c r="BY225"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25"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25" s="648">
        <f>IF(WWWW[[#This Row],[Location Type 1]]="Village",WWWW[[#This Row],[Access to safe drinking water for Village]],WWWW[[#This Row],[Access to safe drinking water for Camp]])</f>
        <v>0</v>
      </c>
      <c r="CB225" s="645">
        <f>WWWW[[#This Row],[%Equitable and continuous access to sufficient quantity of safe drinking water]]*WWWW[[#This Row],[Total PoP ]]</f>
        <v>0</v>
      </c>
      <c r="CC225" s="648">
        <f>IF((WWWW[[#This Row],['#_Constructed/Existing protected/fenced ponds]]*250)/WWWW[[#This Row],[Total PoP ]]&gt;1,1,(WWWW[[#This Row],['#_Constructed/Existing protected/fenced ponds]]*250)/WWWW[[#This Row],[Total PoP ]])</f>
        <v>0</v>
      </c>
      <c r="CD225" s="645">
        <f>WWWW[[#This Row],[% Access to unimproved water points]]*WWWW[[#This Row],[Total PoP ]]</f>
        <v>0</v>
      </c>
      <c r="CE225"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25"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25" s="645">
        <f>WWWW[[#This Row],[HRP1]]/500</f>
        <v>0</v>
      </c>
      <c r="CH225" s="650">
        <f>1-WWWW[[#This Row],[% Equitable and continuous access to sufficient quantity of domestic water]]</f>
        <v>1</v>
      </c>
      <c r="CI225" s="645">
        <f>WWWW[[#This Row],[%equitable and continuous access to sufficient quantity of safe drinking and domestic water''s GAP]]*WWWW[[#This Row],[Total PoP ]]</f>
        <v>1018</v>
      </c>
      <c r="CJ225" s="647">
        <f>IF(WWWW[[#This Row],[Total required water points]]-WWWW[[#This Row],['#Water points coverage]]&lt;0,0,WWWW[[#This Row],[Total required water points]]-WWWW[[#This Row],['#Water points coverage]])</f>
        <v>2</v>
      </c>
      <c r="CK225" s="647">
        <f>ROUND(IF(WWWW[[#This Row],[Total PoP ]]&lt;500,1,WWWW[[#This Row],[Total PoP ]]/500),0)</f>
        <v>2</v>
      </c>
      <c r="CL225" s="647">
        <f>(WWWW[[#This Row],['#_Constructed latrines_by_WASHAgencies]]+WWWW[[#This Row],['#_Non Cluster partner latrines]])-WWWW[[#This Row],['#_Non-functional latrines]]</f>
        <v>0</v>
      </c>
      <c r="CM225"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25"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25"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25" s="647" t="str">
        <f>IF(WWWW[[#This Row],[Location Type 1]]="Village","NA",IF(WWWW[[#This Row],['#_Constructed/Existing latrines in TLS]]*50&gt;WWWW[[#This Row],['#_students at TLS_CFS]],WWWW[[#This Row],['#_students at TLS_CFS]],(WWWW[[#This Row],['#_Constructed/Existing latrines in TLS]]*50)))</f>
        <v>NA</v>
      </c>
      <c r="CQ225" s="647">
        <f>ROUND(IF(WWWW[[#This Row],[Location Type 1]]="camp",WWWW[[#This Row],[Total PoP ]]/20,IF(WWWW[[#This Row],[Location Type 1]]="Temporary Location",WWWW[[#This Row],[Total PoP ]]/50,(WWWW[[#This Row],[Total PoP ]]/6))),0)</f>
        <v>170</v>
      </c>
      <c r="CR225" s="647">
        <f>IF(WWWW[[#This Row],[Total required Latrines]]-(WWWW[[#This Row],['#_Constructed latrines_by_WASHAgencies]]+WWWW[[#This Row],['#_Non Cluster partner latrines]])&lt;0,0,WWWW[[#This Row],[Total required Latrines]]-(WWWW[[#This Row],['#_Constructed latrines_by_WASHAgencies]]+WWWW[[#This Row],['#_Non Cluster partner latrines]]))</f>
        <v>170</v>
      </c>
      <c r="CS225" s="79">
        <f>1-WWWW[[#This Row],[% people access to functioning Latrine]]</f>
        <v>1</v>
      </c>
      <c r="CT225" s="649">
        <f>IF(OR(WWWW[[#This Row],['#_Non-functional latrines]]="",WWWW[[#This Row],['#_Non-functional latrines]]=0),0,WWWW[[#This Row],['#_Non-functional latrines]]/(WWWW[[#This Row],['#_Constructed latrines_by_WASHAgencies]]+WWWW[[#This Row],['#_Non Cluster partner latrines]]))</f>
        <v>0</v>
      </c>
      <c r="CU225" s="645">
        <f>IF(500*(WWWW[[#This Row],['#_male hygiene promoters]]+WWWW[[#This Row],['#_female hygiene promoters]])&gt;WWWW[[#This Row],[Total PoP ]],WWWW[[#This Row],[Total PoP ]],500*(WWWW[[#This Row],['#_male hygiene promoters]]+WWWW[[#This Row],['#_female hygiene promoters]]))</f>
        <v>0</v>
      </c>
      <c r="CV225"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25"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25" s="647">
        <f>IF(WWWW[[#This Row],['# People with access to soap]]&gt;WWWW[[#This Row],['# People with access to Sanity Pads]],WWWW[[#This Row],['# People with access to soap]],WWWW[[#This Row],['# People with access to Sanity Pads]])</f>
        <v>0</v>
      </c>
      <c r="CY225"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25" s="650">
        <f>IF(WWWW[[#This Row],[HRP3]]/WWWW[[#This Row],[Total PoP ]]&gt;100%,100%,WWWW[[#This Row],[HRP3]]/WWWW[[#This Row],[Total PoP ]])</f>
        <v>0</v>
      </c>
      <c r="DA225" s="649">
        <f>1-WWWW[[#This Row],[Hygiene Coverage%]]</f>
        <v>1</v>
      </c>
      <c r="DB225" s="648">
        <f>WWWW[[#This Row],['# people reached by regular dedicated hygiene promotion_5]]/WWWW[[#This Row],[Total PoP ]]</f>
        <v>0</v>
      </c>
      <c r="DC225" s="648">
        <f>IF(WWWW[[#This Row],['#_households that received standard amount of soap for this quarter]]/WWWW[[#This Row],[Total HH]]&gt;1,1,WWWW[[#This Row],['#_households that received standard amount of soap for this quarter]]/WWWW[[#This Row],[Total HH]])</f>
        <v>0</v>
      </c>
      <c r="DD225" s="648">
        <f>IF(WWWW[[#This Row],['#_households that received standard amount of sanitary pads for this quarter]]/WWWW[[#This Row],[Total HH]]&gt;1,1,WWWW[[#This Row],['#_households that received standard amount of sanitary pads for this quarter]]/WWWW[[#This Row],[Total HH]])</f>
        <v>0</v>
      </c>
      <c r="DE225" s="647">
        <f>WWWW[[#This Row],['#_Constructed/Existing hand washing stations]]-WWWW[[#This Row],['#_Non-Functional_hand_washing_stations]]</f>
        <v>0</v>
      </c>
      <c r="DF225" s="667">
        <f>IF(WWWW[[#This Row],['# Functional hand washing stations during reporting period]]*20&gt;WWWW[[#This Row],[Total HH]],WWWW[[#This Row],[Total HH]],WWWW[[#This Row],['# Functional hand washing stations during reporting period]]*20)</f>
        <v>0</v>
      </c>
      <c r="DG225" s="645">
        <f>IF(WWWW[[#This Row],[Is sufficient soap available for TLS? (Yes/No)]]="yes",WWWW[[#This Row],['#_Constructed/Existing hand washing stations at TLS]],0)</f>
        <v>0</v>
      </c>
      <c r="DH225" s="645">
        <f>IF(WWWW[[#This Row],['# Functional hand washing stations during reporting period]]*100&gt;WWWW[[#This Row],[Total PoP ]],WWWW[[#This Row],[Total PoP ]],WWWW[[#This Row],['# Functional hand washing stations during reporting period]]*100)</f>
        <v>0</v>
      </c>
      <c r="DI225" s="645" t="str">
        <f>IF(WWWW[[#This Row],['#_students at TLS_CFS]]="","No","Yes")</f>
        <v>No</v>
      </c>
      <c r="DJ225" s="643">
        <f>VLOOKUP(WWWW[[#This Row],[Site Name]],SiteDB6[[Site Name]:[CCCM Management]],6,FALSE)</f>
        <v>0</v>
      </c>
      <c r="DK225" s="643">
        <f>VLOOKUP(WWWW[[#This Row],[Site Name]],SiteDB6[[Site Name]:[CCCM Focal Agency]],7,FALSE)</f>
        <v>0</v>
      </c>
      <c r="DL225" s="643" t="str">
        <f>VLOOKUP(WWWW[[#This Row],[Site Name]],SiteDB6[[Site Name]:[Location Type 1]],9,FALSE)</f>
        <v>Village</v>
      </c>
      <c r="DM225" s="643" t="str">
        <f>VLOOKUP(WWWW[[#This Row],[Site Name]],SiteDB6[[Site Name]:[Type of Accommodation]],10,FALSE)</f>
        <v>Village</v>
      </c>
      <c r="DN225" s="643" t="str">
        <f>VLOOKUP(WWWW[[#This Row],[Site Name]],SiteDB6[[Site Name]:[Ethnic or GCA/NGCA]],11,FALSE)</f>
        <v>Rakhine</v>
      </c>
      <c r="DO225" s="643">
        <f>VLOOKUP(WWWW[[#This Row],[Site Name]],SiteDB6[[Site Name]:[Lat]],12,FALSE)</f>
        <v>0</v>
      </c>
      <c r="DP225" s="643">
        <f>VLOOKUP(WWWW[[#This Row],[Site Name]],SiteDB6[[Site Name]:[Long]],13,FALSE)</f>
        <v>0</v>
      </c>
      <c r="DQ225" s="643">
        <f>VLOOKUP(WWWW[[#This Row],[Site Name]],SiteDB6[[Site Name]:[Pcode]],3,FALSE)</f>
        <v>198475</v>
      </c>
      <c r="DR225" s="652" t="str">
        <f t="shared" si="7"/>
        <v>Covered</v>
      </c>
      <c r="DS225" s="652"/>
    </row>
    <row r="226" spans="1:123">
      <c r="A226" s="637" t="s">
        <v>2525</v>
      </c>
      <c r="B226" s="637" t="s">
        <v>2361</v>
      </c>
      <c r="C226" s="644" t="s">
        <v>2361</v>
      </c>
      <c r="D226" s="644" t="s">
        <v>249</v>
      </c>
      <c r="E226" s="663" t="s">
        <v>3014</v>
      </c>
      <c r="F226" s="644" t="s">
        <v>375</v>
      </c>
      <c r="G226" s="663" t="str">
        <f>VLOOKUP(WWWW[[#This Row],[Site Name]],SiteDB6[[Site Name]:[Location Type]],8,FALSE)</f>
        <v>Village</v>
      </c>
      <c r="H226" s="644" t="s">
        <v>2843</v>
      </c>
      <c r="I226" s="646">
        <v>76</v>
      </c>
      <c r="J226" s="646">
        <v>276</v>
      </c>
      <c r="K226" s="653">
        <v>43539</v>
      </c>
      <c r="L226" s="654">
        <v>43904</v>
      </c>
      <c r="M226" s="646"/>
      <c r="N226" s="646"/>
      <c r="O226" s="646"/>
      <c r="P226" s="646"/>
      <c r="Q226" s="645"/>
      <c r="R226" s="646"/>
      <c r="S226" s="646"/>
      <c r="T226" s="646"/>
      <c r="U226" s="646"/>
      <c r="V226" s="646"/>
      <c r="W226" s="646"/>
      <c r="X226" s="646"/>
      <c r="Y226" s="646"/>
      <c r="Z226" s="646"/>
      <c r="AA226" s="646"/>
      <c r="AB226" s="646"/>
      <c r="AC226" s="646"/>
      <c r="AD226" s="646"/>
      <c r="AE226" s="646"/>
      <c r="AF226" s="646"/>
      <c r="AG226" s="646"/>
      <c r="AH226" s="646"/>
      <c r="AI226" s="646"/>
      <c r="AJ226" s="646"/>
      <c r="AK226" s="646"/>
      <c r="AL226" s="646"/>
      <c r="AM226" s="646"/>
      <c r="AN226" s="646"/>
      <c r="AO226" s="652" t="s">
        <v>2841</v>
      </c>
      <c r="AP226" s="646"/>
      <c r="AQ226" s="646"/>
      <c r="AR226" s="648"/>
      <c r="AS226" s="646"/>
      <c r="AT226" s="646"/>
      <c r="AU226" s="646"/>
      <c r="AV226" s="646"/>
      <c r="AW226" s="646"/>
      <c r="AX226" s="643"/>
      <c r="AY226" s="652"/>
      <c r="AZ226" s="646"/>
      <c r="BA226" s="646"/>
      <c r="BB226" s="646"/>
      <c r="BC226" s="643"/>
      <c r="BD226" s="646"/>
      <c r="BE226" s="646"/>
      <c r="BF226" s="646"/>
      <c r="BG226" s="646"/>
      <c r="BH226" s="646"/>
      <c r="BI226" s="646"/>
      <c r="BJ226" s="646"/>
      <c r="BK226" s="646"/>
      <c r="BL226" s="646"/>
      <c r="BM226" s="643"/>
      <c r="BN226" s="647"/>
      <c r="BO226" s="648"/>
      <c r="BP226" s="643"/>
      <c r="BQ226" s="649" t="str">
        <f>IFERROR(WWWW[[#This Row],['#_Water sources treated]]/WWWW[[#This Row],['#_Water sources tested for contamination]],"no test")</f>
        <v>no test</v>
      </c>
      <c r="BR226" s="648" t="str">
        <f>IFERROR(WWWW[[#This Row],['#_Household received remediation action due to contamination]]/WWWW[[#This Row],['#_Household water samples tested for contamination]],"no test")</f>
        <v>no test</v>
      </c>
      <c r="BS226" s="647" t="str">
        <f>IF(AND(WWWW[[#This Row],[% of water sources treated]]="no test",WWWW[[#This Row],[% Household received corrective actions]]="no test"),"No Test","Tested")</f>
        <v>No Test</v>
      </c>
      <c r="BT226" s="647">
        <f>WWWW[[#This Row],['#_Constructed/existing protected hand dug well]]-WWWW[[#This Row],['#_Non-functional protected hand dug well]]</f>
        <v>0</v>
      </c>
      <c r="BU226" s="647">
        <f>(WWWW[[#This Row],['#_Constructed/Existing tube wells/boreholes/handpumps_WASH_agency]]+WWWW[[#This Row],['#_Non-Cluster partner water tube-wells/boreholes/handpumps]])-WWWW[[#This Row],['#_Non-functional tube wells/boreholes/handpumps]]</f>
        <v>0</v>
      </c>
      <c r="BV226" s="647">
        <f>WWWW[[#This Row],['#_Constructed/Existingwater storage tank with gravity fed reticulation system]]-WWWW[[#This Row],['#_Non-functional storage tank gravity fed reticulation system]]</f>
        <v>0</v>
      </c>
      <c r="BW226" s="647">
        <f>WWWW[[#This Row],['#_Water boating or water trucking]]</f>
        <v>0</v>
      </c>
      <c r="BX226" s="647">
        <f>WWWW[[#This Row],['#_Constructed/Existing water distribution system from river or natural spring]]</f>
        <v>0</v>
      </c>
      <c r="BY226"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26"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26" s="648">
        <f>IF(WWWW[[#This Row],[Location Type 1]]="Village",WWWW[[#This Row],[Access to safe drinking water for Village]],WWWW[[#This Row],[Access to safe drinking water for Camp]])</f>
        <v>0</v>
      </c>
      <c r="CB226" s="645">
        <f>WWWW[[#This Row],[%Equitable and continuous access to sufficient quantity of safe drinking water]]*WWWW[[#This Row],[Total PoP ]]</f>
        <v>0</v>
      </c>
      <c r="CC226" s="648">
        <f>IF((WWWW[[#This Row],['#_Constructed/Existing protected/fenced ponds]]*250)/WWWW[[#This Row],[Total PoP ]]&gt;1,1,(WWWW[[#This Row],['#_Constructed/Existing protected/fenced ponds]]*250)/WWWW[[#This Row],[Total PoP ]])</f>
        <v>0</v>
      </c>
      <c r="CD226" s="645">
        <f>WWWW[[#This Row],[% Access to unimproved water points]]*WWWW[[#This Row],[Total PoP ]]</f>
        <v>0</v>
      </c>
      <c r="CE226"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26"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26" s="645">
        <f>WWWW[[#This Row],[HRP1]]/500</f>
        <v>0</v>
      </c>
      <c r="CH226" s="650">
        <f>1-WWWW[[#This Row],[% Equitable and continuous access to sufficient quantity of domestic water]]</f>
        <v>1</v>
      </c>
      <c r="CI226" s="645">
        <f>WWWW[[#This Row],[%equitable and continuous access to sufficient quantity of safe drinking and domestic water''s GAP]]*WWWW[[#This Row],[Total PoP ]]</f>
        <v>276</v>
      </c>
      <c r="CJ226" s="647">
        <f>IF(WWWW[[#This Row],[Total required water points]]-WWWW[[#This Row],['#Water points coverage]]&lt;0,0,WWWW[[#This Row],[Total required water points]]-WWWW[[#This Row],['#Water points coverage]])</f>
        <v>1</v>
      </c>
      <c r="CK226" s="647">
        <f>ROUND(IF(WWWW[[#This Row],[Total PoP ]]&lt;500,1,WWWW[[#This Row],[Total PoP ]]/500),0)</f>
        <v>1</v>
      </c>
      <c r="CL226" s="647">
        <f>(WWWW[[#This Row],['#_Constructed latrines_by_WASHAgencies]]+WWWW[[#This Row],['#_Non Cluster partner latrines]])-WWWW[[#This Row],['#_Non-functional latrines]]</f>
        <v>0</v>
      </c>
      <c r="CM226"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26"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26"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26" s="647" t="str">
        <f>IF(WWWW[[#This Row],[Location Type 1]]="Village","NA",IF(WWWW[[#This Row],['#_Constructed/Existing latrines in TLS]]*50&gt;WWWW[[#This Row],['#_students at TLS_CFS]],WWWW[[#This Row],['#_students at TLS_CFS]],(WWWW[[#This Row],['#_Constructed/Existing latrines in TLS]]*50)))</f>
        <v>NA</v>
      </c>
      <c r="CQ226" s="647">
        <f>ROUND(IF(WWWW[[#This Row],[Location Type 1]]="camp",WWWW[[#This Row],[Total PoP ]]/20,IF(WWWW[[#This Row],[Location Type 1]]="Temporary Location",WWWW[[#This Row],[Total PoP ]]/50,(WWWW[[#This Row],[Total PoP ]]/6))),0)</f>
        <v>46</v>
      </c>
      <c r="CR226" s="647">
        <f>IF(WWWW[[#This Row],[Total required Latrines]]-(WWWW[[#This Row],['#_Constructed latrines_by_WASHAgencies]]+WWWW[[#This Row],['#_Non Cluster partner latrines]])&lt;0,0,WWWW[[#This Row],[Total required Latrines]]-(WWWW[[#This Row],['#_Constructed latrines_by_WASHAgencies]]+WWWW[[#This Row],['#_Non Cluster partner latrines]]))</f>
        <v>46</v>
      </c>
      <c r="CS226" s="79">
        <f>1-WWWW[[#This Row],[% people access to functioning Latrine]]</f>
        <v>1</v>
      </c>
      <c r="CT226" s="649">
        <f>IF(OR(WWWW[[#This Row],['#_Non-functional latrines]]="",WWWW[[#This Row],['#_Non-functional latrines]]=0),0,WWWW[[#This Row],['#_Non-functional latrines]]/(WWWW[[#This Row],['#_Constructed latrines_by_WASHAgencies]]+WWWW[[#This Row],['#_Non Cluster partner latrines]]))</f>
        <v>0</v>
      </c>
      <c r="CU226" s="645">
        <f>IF(500*(WWWW[[#This Row],['#_male hygiene promoters]]+WWWW[[#This Row],['#_female hygiene promoters]])&gt;WWWW[[#This Row],[Total PoP ]],WWWW[[#This Row],[Total PoP ]],500*(WWWW[[#This Row],['#_male hygiene promoters]]+WWWW[[#This Row],['#_female hygiene promoters]]))</f>
        <v>0</v>
      </c>
      <c r="CV226"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26"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26" s="647">
        <f>IF(WWWW[[#This Row],['# People with access to soap]]&gt;WWWW[[#This Row],['# People with access to Sanity Pads]],WWWW[[#This Row],['# People with access to soap]],WWWW[[#This Row],['# People with access to Sanity Pads]])</f>
        <v>0</v>
      </c>
      <c r="CY226"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26" s="650">
        <f>IF(WWWW[[#This Row],[HRP3]]/WWWW[[#This Row],[Total PoP ]]&gt;100%,100%,WWWW[[#This Row],[HRP3]]/WWWW[[#This Row],[Total PoP ]])</f>
        <v>0</v>
      </c>
      <c r="DA226" s="649">
        <f>1-WWWW[[#This Row],[Hygiene Coverage%]]</f>
        <v>1</v>
      </c>
      <c r="DB226" s="648">
        <f>WWWW[[#This Row],['# people reached by regular dedicated hygiene promotion_5]]/WWWW[[#This Row],[Total PoP ]]</f>
        <v>0</v>
      </c>
      <c r="DC226" s="648">
        <f>IF(WWWW[[#This Row],['#_households that received standard amount of soap for this quarter]]/WWWW[[#This Row],[Total HH]]&gt;1,1,WWWW[[#This Row],['#_households that received standard amount of soap for this quarter]]/WWWW[[#This Row],[Total HH]])</f>
        <v>0</v>
      </c>
      <c r="DD226" s="648">
        <f>IF(WWWW[[#This Row],['#_households that received standard amount of sanitary pads for this quarter]]/WWWW[[#This Row],[Total HH]]&gt;1,1,WWWW[[#This Row],['#_households that received standard amount of sanitary pads for this quarter]]/WWWW[[#This Row],[Total HH]])</f>
        <v>0</v>
      </c>
      <c r="DE226" s="647">
        <f>WWWW[[#This Row],['#_Constructed/Existing hand washing stations]]-WWWW[[#This Row],['#_Non-Functional_hand_washing_stations]]</f>
        <v>0</v>
      </c>
      <c r="DF226" s="667">
        <f>IF(WWWW[[#This Row],['# Functional hand washing stations during reporting period]]*20&gt;WWWW[[#This Row],[Total HH]],WWWW[[#This Row],[Total HH]],WWWW[[#This Row],['# Functional hand washing stations during reporting period]]*20)</f>
        <v>0</v>
      </c>
      <c r="DG226" s="645">
        <f>IF(WWWW[[#This Row],[Is sufficient soap available for TLS? (Yes/No)]]="yes",WWWW[[#This Row],['#_Constructed/Existing hand washing stations at TLS]],0)</f>
        <v>0</v>
      </c>
      <c r="DH226" s="645">
        <f>IF(WWWW[[#This Row],['# Functional hand washing stations during reporting period]]*100&gt;WWWW[[#This Row],[Total PoP ]],WWWW[[#This Row],[Total PoP ]],WWWW[[#This Row],['# Functional hand washing stations during reporting period]]*100)</f>
        <v>0</v>
      </c>
      <c r="DI226" s="645" t="str">
        <f>IF(WWWW[[#This Row],['#_students at TLS_CFS]]="","No","Yes")</f>
        <v>No</v>
      </c>
      <c r="DJ226" s="643">
        <f>VLOOKUP(WWWW[[#This Row],[Site Name]],SiteDB6[[Site Name]:[CCCM Management]],6,FALSE)</f>
        <v>0</v>
      </c>
      <c r="DK226" s="643">
        <f>VLOOKUP(WWWW[[#This Row],[Site Name]],SiteDB6[[Site Name]:[CCCM Focal Agency]],7,FALSE)</f>
        <v>0</v>
      </c>
      <c r="DL226" s="643" t="str">
        <f>VLOOKUP(WWWW[[#This Row],[Site Name]],SiteDB6[[Site Name]:[Location Type 1]],9,FALSE)</f>
        <v>Village</v>
      </c>
      <c r="DM226" s="643" t="str">
        <f>VLOOKUP(WWWW[[#This Row],[Site Name]],SiteDB6[[Site Name]:[Type of Accommodation]],10,FALSE)</f>
        <v>Village</v>
      </c>
      <c r="DN226" s="643" t="str">
        <f>VLOOKUP(WWWW[[#This Row],[Site Name]],SiteDB6[[Site Name]:[Ethnic or GCA/NGCA]],11,FALSE)</f>
        <v>Rakhine</v>
      </c>
      <c r="DO226" s="643">
        <f>VLOOKUP(WWWW[[#This Row],[Site Name]],SiteDB6[[Site Name]:[Lat]],12,FALSE)</f>
        <v>0</v>
      </c>
      <c r="DP226" s="643">
        <f>VLOOKUP(WWWW[[#This Row],[Site Name]],SiteDB6[[Site Name]:[Long]],13,FALSE)</f>
        <v>0</v>
      </c>
      <c r="DQ226" s="643">
        <f>VLOOKUP(WWWW[[#This Row],[Site Name]],SiteDB6[[Site Name]:[Pcode]],3,FALSE)</f>
        <v>198476</v>
      </c>
      <c r="DR226" s="652" t="str">
        <f t="shared" si="7"/>
        <v>Covered</v>
      </c>
      <c r="DS226" s="652"/>
    </row>
    <row r="227" spans="1:123">
      <c r="A227" s="637" t="s">
        <v>2525</v>
      </c>
      <c r="B227" s="637" t="s">
        <v>2361</v>
      </c>
      <c r="C227" s="644" t="s">
        <v>2361</v>
      </c>
      <c r="D227" s="644" t="s">
        <v>249</v>
      </c>
      <c r="E227" s="663" t="s">
        <v>3014</v>
      </c>
      <c r="F227" s="644" t="s">
        <v>375</v>
      </c>
      <c r="G227" s="663" t="str">
        <f>VLOOKUP(WWWW[[#This Row],[Site Name]],SiteDB6[[Site Name]:[Location Type]],8,FALSE)</f>
        <v>Village</v>
      </c>
      <c r="H227" s="644" t="s">
        <v>2844</v>
      </c>
      <c r="I227" s="646">
        <v>251</v>
      </c>
      <c r="J227" s="646">
        <v>970</v>
      </c>
      <c r="K227" s="653">
        <v>43539</v>
      </c>
      <c r="L227" s="654">
        <v>43904</v>
      </c>
      <c r="M227" s="646"/>
      <c r="N227" s="646"/>
      <c r="O227" s="646"/>
      <c r="P227" s="646"/>
      <c r="Q227" s="645"/>
      <c r="R227" s="646"/>
      <c r="S227" s="646"/>
      <c r="T227" s="646"/>
      <c r="U227" s="646"/>
      <c r="V227" s="646"/>
      <c r="W227" s="646"/>
      <c r="X227" s="646"/>
      <c r="Y227" s="646"/>
      <c r="Z227" s="646"/>
      <c r="AA227" s="646"/>
      <c r="AB227" s="646"/>
      <c r="AC227" s="646"/>
      <c r="AD227" s="646"/>
      <c r="AE227" s="646"/>
      <c r="AF227" s="646"/>
      <c r="AG227" s="646"/>
      <c r="AH227" s="646"/>
      <c r="AI227" s="646"/>
      <c r="AJ227" s="646"/>
      <c r="AK227" s="646"/>
      <c r="AL227" s="646"/>
      <c r="AM227" s="646"/>
      <c r="AN227" s="646"/>
      <c r="AO227" s="652" t="s">
        <v>2841</v>
      </c>
      <c r="AP227" s="646"/>
      <c r="AQ227" s="646"/>
      <c r="AR227" s="648"/>
      <c r="AS227" s="646"/>
      <c r="AT227" s="646"/>
      <c r="AU227" s="646"/>
      <c r="AV227" s="646"/>
      <c r="AW227" s="646"/>
      <c r="AX227" s="643"/>
      <c r="AY227" s="652"/>
      <c r="AZ227" s="646"/>
      <c r="BA227" s="646"/>
      <c r="BB227" s="646"/>
      <c r="BC227" s="643"/>
      <c r="BD227" s="646"/>
      <c r="BE227" s="646"/>
      <c r="BF227" s="646"/>
      <c r="BG227" s="646"/>
      <c r="BH227" s="646"/>
      <c r="BI227" s="646"/>
      <c r="BJ227" s="646"/>
      <c r="BK227" s="646"/>
      <c r="BL227" s="646"/>
      <c r="BM227" s="643"/>
      <c r="BN227" s="647"/>
      <c r="BO227" s="648"/>
      <c r="BP227" s="643"/>
      <c r="BQ227" s="649" t="str">
        <f>IFERROR(WWWW[[#This Row],['#_Water sources treated]]/WWWW[[#This Row],['#_Water sources tested for contamination]],"no test")</f>
        <v>no test</v>
      </c>
      <c r="BR227" s="648" t="str">
        <f>IFERROR(WWWW[[#This Row],['#_Household received remediation action due to contamination]]/WWWW[[#This Row],['#_Household water samples tested for contamination]],"no test")</f>
        <v>no test</v>
      </c>
      <c r="BS227" s="647" t="str">
        <f>IF(AND(WWWW[[#This Row],[% of water sources treated]]="no test",WWWW[[#This Row],[% Household received corrective actions]]="no test"),"No Test","Tested")</f>
        <v>No Test</v>
      </c>
      <c r="BT227" s="647">
        <f>WWWW[[#This Row],['#_Constructed/existing protected hand dug well]]-WWWW[[#This Row],['#_Non-functional protected hand dug well]]</f>
        <v>0</v>
      </c>
      <c r="BU227" s="647">
        <f>(WWWW[[#This Row],['#_Constructed/Existing tube wells/boreholes/handpumps_WASH_agency]]+WWWW[[#This Row],['#_Non-Cluster partner water tube-wells/boreholes/handpumps]])-WWWW[[#This Row],['#_Non-functional tube wells/boreholes/handpumps]]</f>
        <v>0</v>
      </c>
      <c r="BV227" s="647">
        <f>WWWW[[#This Row],['#_Constructed/Existingwater storage tank with gravity fed reticulation system]]-WWWW[[#This Row],['#_Non-functional storage tank gravity fed reticulation system]]</f>
        <v>0</v>
      </c>
      <c r="BW227" s="647">
        <f>WWWW[[#This Row],['#_Water boating or water trucking]]</f>
        <v>0</v>
      </c>
      <c r="BX227" s="647">
        <f>WWWW[[#This Row],['#_Constructed/Existing water distribution system from river or natural spring]]</f>
        <v>0</v>
      </c>
      <c r="BY227"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27"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27" s="648">
        <f>IF(WWWW[[#This Row],[Location Type 1]]="Village",WWWW[[#This Row],[Access to safe drinking water for Village]],WWWW[[#This Row],[Access to safe drinking water for Camp]])</f>
        <v>0</v>
      </c>
      <c r="CB227" s="645">
        <f>WWWW[[#This Row],[%Equitable and continuous access to sufficient quantity of safe drinking water]]*WWWW[[#This Row],[Total PoP ]]</f>
        <v>0</v>
      </c>
      <c r="CC227" s="648">
        <f>IF((WWWW[[#This Row],['#_Constructed/Existing protected/fenced ponds]]*250)/WWWW[[#This Row],[Total PoP ]]&gt;1,1,(WWWW[[#This Row],['#_Constructed/Existing protected/fenced ponds]]*250)/WWWW[[#This Row],[Total PoP ]])</f>
        <v>0</v>
      </c>
      <c r="CD227" s="645">
        <f>WWWW[[#This Row],[% Access to unimproved water points]]*WWWW[[#This Row],[Total PoP ]]</f>
        <v>0</v>
      </c>
      <c r="CE227"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27"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27" s="645">
        <f>WWWW[[#This Row],[HRP1]]/500</f>
        <v>0</v>
      </c>
      <c r="CH227" s="650">
        <f>1-WWWW[[#This Row],[% Equitable and continuous access to sufficient quantity of domestic water]]</f>
        <v>1</v>
      </c>
      <c r="CI227" s="645">
        <f>WWWW[[#This Row],[%equitable and continuous access to sufficient quantity of safe drinking and domestic water''s GAP]]*WWWW[[#This Row],[Total PoP ]]</f>
        <v>970</v>
      </c>
      <c r="CJ227" s="647">
        <f>IF(WWWW[[#This Row],[Total required water points]]-WWWW[[#This Row],['#Water points coverage]]&lt;0,0,WWWW[[#This Row],[Total required water points]]-WWWW[[#This Row],['#Water points coverage]])</f>
        <v>2</v>
      </c>
      <c r="CK227" s="647">
        <f>ROUND(IF(WWWW[[#This Row],[Total PoP ]]&lt;500,1,WWWW[[#This Row],[Total PoP ]]/500),0)</f>
        <v>2</v>
      </c>
      <c r="CL227" s="647">
        <f>(WWWW[[#This Row],['#_Constructed latrines_by_WASHAgencies]]+WWWW[[#This Row],['#_Non Cluster partner latrines]])-WWWW[[#This Row],['#_Non-functional latrines]]</f>
        <v>0</v>
      </c>
      <c r="CM227"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27"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27"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27" s="647" t="str">
        <f>IF(WWWW[[#This Row],[Location Type 1]]="Village","NA",IF(WWWW[[#This Row],['#_Constructed/Existing latrines in TLS]]*50&gt;WWWW[[#This Row],['#_students at TLS_CFS]],WWWW[[#This Row],['#_students at TLS_CFS]],(WWWW[[#This Row],['#_Constructed/Existing latrines in TLS]]*50)))</f>
        <v>NA</v>
      </c>
      <c r="CQ227" s="647">
        <f>ROUND(IF(WWWW[[#This Row],[Location Type 1]]="camp",WWWW[[#This Row],[Total PoP ]]/20,IF(WWWW[[#This Row],[Location Type 1]]="Temporary Location",WWWW[[#This Row],[Total PoP ]]/50,(WWWW[[#This Row],[Total PoP ]]/6))),0)</f>
        <v>162</v>
      </c>
      <c r="CR227" s="647">
        <f>IF(WWWW[[#This Row],[Total required Latrines]]-(WWWW[[#This Row],['#_Constructed latrines_by_WASHAgencies]]+WWWW[[#This Row],['#_Non Cluster partner latrines]])&lt;0,0,WWWW[[#This Row],[Total required Latrines]]-(WWWW[[#This Row],['#_Constructed latrines_by_WASHAgencies]]+WWWW[[#This Row],['#_Non Cluster partner latrines]]))</f>
        <v>162</v>
      </c>
      <c r="CS227" s="79">
        <f>1-WWWW[[#This Row],[% people access to functioning Latrine]]</f>
        <v>1</v>
      </c>
      <c r="CT227" s="649">
        <f>IF(OR(WWWW[[#This Row],['#_Non-functional latrines]]="",WWWW[[#This Row],['#_Non-functional latrines]]=0),0,WWWW[[#This Row],['#_Non-functional latrines]]/(WWWW[[#This Row],['#_Constructed latrines_by_WASHAgencies]]+WWWW[[#This Row],['#_Non Cluster partner latrines]]))</f>
        <v>0</v>
      </c>
      <c r="CU227" s="645">
        <f>IF(500*(WWWW[[#This Row],['#_male hygiene promoters]]+WWWW[[#This Row],['#_female hygiene promoters]])&gt;WWWW[[#This Row],[Total PoP ]],WWWW[[#This Row],[Total PoP ]],500*(WWWW[[#This Row],['#_male hygiene promoters]]+WWWW[[#This Row],['#_female hygiene promoters]]))</f>
        <v>0</v>
      </c>
      <c r="CV227"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27"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27" s="647">
        <f>IF(WWWW[[#This Row],['# People with access to soap]]&gt;WWWW[[#This Row],['# People with access to Sanity Pads]],WWWW[[#This Row],['# People with access to soap]],WWWW[[#This Row],['# People with access to Sanity Pads]])</f>
        <v>0</v>
      </c>
      <c r="CY227"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27" s="650">
        <f>IF(WWWW[[#This Row],[HRP3]]/WWWW[[#This Row],[Total PoP ]]&gt;100%,100%,WWWW[[#This Row],[HRP3]]/WWWW[[#This Row],[Total PoP ]])</f>
        <v>0</v>
      </c>
      <c r="DA227" s="649">
        <f>1-WWWW[[#This Row],[Hygiene Coverage%]]</f>
        <v>1</v>
      </c>
      <c r="DB227" s="648">
        <f>WWWW[[#This Row],['# people reached by regular dedicated hygiene promotion_5]]/WWWW[[#This Row],[Total PoP ]]</f>
        <v>0</v>
      </c>
      <c r="DC227" s="648">
        <f>IF(WWWW[[#This Row],['#_households that received standard amount of soap for this quarter]]/WWWW[[#This Row],[Total HH]]&gt;1,1,WWWW[[#This Row],['#_households that received standard amount of soap for this quarter]]/WWWW[[#This Row],[Total HH]])</f>
        <v>0</v>
      </c>
      <c r="DD227" s="648">
        <f>IF(WWWW[[#This Row],['#_households that received standard amount of sanitary pads for this quarter]]/WWWW[[#This Row],[Total HH]]&gt;1,1,WWWW[[#This Row],['#_households that received standard amount of sanitary pads for this quarter]]/WWWW[[#This Row],[Total HH]])</f>
        <v>0</v>
      </c>
      <c r="DE227" s="647">
        <f>WWWW[[#This Row],['#_Constructed/Existing hand washing stations]]-WWWW[[#This Row],['#_Non-Functional_hand_washing_stations]]</f>
        <v>0</v>
      </c>
      <c r="DF227" s="667">
        <f>IF(WWWW[[#This Row],['# Functional hand washing stations during reporting period]]*20&gt;WWWW[[#This Row],[Total HH]],WWWW[[#This Row],[Total HH]],WWWW[[#This Row],['# Functional hand washing stations during reporting period]]*20)</f>
        <v>0</v>
      </c>
      <c r="DG227" s="645">
        <f>IF(WWWW[[#This Row],[Is sufficient soap available for TLS? (Yes/No)]]="yes",WWWW[[#This Row],['#_Constructed/Existing hand washing stations at TLS]],0)</f>
        <v>0</v>
      </c>
      <c r="DH227" s="645">
        <f>IF(WWWW[[#This Row],['# Functional hand washing stations during reporting period]]*100&gt;WWWW[[#This Row],[Total PoP ]],WWWW[[#This Row],[Total PoP ]],WWWW[[#This Row],['# Functional hand washing stations during reporting period]]*100)</f>
        <v>0</v>
      </c>
      <c r="DI227" s="645" t="str">
        <f>IF(WWWW[[#This Row],['#_students at TLS_CFS]]="","No","Yes")</f>
        <v>No</v>
      </c>
      <c r="DJ227" s="643">
        <f>VLOOKUP(WWWW[[#This Row],[Site Name]],SiteDB6[[Site Name]:[CCCM Management]],6,FALSE)</f>
        <v>0</v>
      </c>
      <c r="DK227" s="643">
        <f>VLOOKUP(WWWW[[#This Row],[Site Name]],SiteDB6[[Site Name]:[CCCM Focal Agency]],7,FALSE)</f>
        <v>0</v>
      </c>
      <c r="DL227" s="643" t="str">
        <f>VLOOKUP(WWWW[[#This Row],[Site Name]],SiteDB6[[Site Name]:[Location Type 1]],9,FALSE)</f>
        <v>Village</v>
      </c>
      <c r="DM227" s="643" t="str">
        <f>VLOOKUP(WWWW[[#This Row],[Site Name]],SiteDB6[[Site Name]:[Type of Accommodation]],10,FALSE)</f>
        <v>Village</v>
      </c>
      <c r="DN227" s="643" t="str">
        <f>VLOOKUP(WWWW[[#This Row],[Site Name]],SiteDB6[[Site Name]:[Ethnic or GCA/NGCA]],11,FALSE)</f>
        <v>Rakhine</v>
      </c>
      <c r="DO227" s="643">
        <f>VLOOKUP(WWWW[[#This Row],[Site Name]],SiteDB6[[Site Name]:[Lat]],12,FALSE)</f>
        <v>0</v>
      </c>
      <c r="DP227" s="643">
        <f>VLOOKUP(WWWW[[#This Row],[Site Name]],SiteDB6[[Site Name]:[Long]],13,FALSE)</f>
        <v>0</v>
      </c>
      <c r="DQ227" s="643">
        <f>VLOOKUP(WWWW[[#This Row],[Site Name]],SiteDB6[[Site Name]:[Pcode]],3,FALSE)</f>
        <v>198508</v>
      </c>
      <c r="DR227" s="652" t="str">
        <f t="shared" si="7"/>
        <v>Covered</v>
      </c>
      <c r="DS227" s="652"/>
    </row>
    <row r="228" spans="1:123">
      <c r="A228" s="637" t="s">
        <v>2525</v>
      </c>
      <c r="B228" s="637" t="s">
        <v>2361</v>
      </c>
      <c r="C228" s="644" t="s">
        <v>2361</v>
      </c>
      <c r="D228" s="644" t="s">
        <v>249</v>
      </c>
      <c r="E228" s="663" t="s">
        <v>3014</v>
      </c>
      <c r="F228" s="644" t="s">
        <v>375</v>
      </c>
      <c r="G228" s="663" t="str">
        <f>VLOOKUP(WWWW[[#This Row],[Site Name]],SiteDB6[[Site Name]:[Location Type]],8,FALSE)</f>
        <v>Village</v>
      </c>
      <c r="H228" s="644" t="s">
        <v>2845</v>
      </c>
      <c r="I228" s="646">
        <v>152</v>
      </c>
      <c r="J228" s="646">
        <v>864</v>
      </c>
      <c r="K228" s="653">
        <v>43539</v>
      </c>
      <c r="L228" s="654">
        <v>43904</v>
      </c>
      <c r="M228" s="646"/>
      <c r="N228" s="646"/>
      <c r="O228" s="646"/>
      <c r="P228" s="646"/>
      <c r="Q228" s="645"/>
      <c r="R228" s="646"/>
      <c r="S228" s="646"/>
      <c r="T228" s="646"/>
      <c r="U228" s="646"/>
      <c r="V228" s="646"/>
      <c r="W228" s="646"/>
      <c r="X228" s="646"/>
      <c r="Y228" s="646"/>
      <c r="Z228" s="646"/>
      <c r="AA228" s="646"/>
      <c r="AB228" s="646"/>
      <c r="AC228" s="646"/>
      <c r="AD228" s="646"/>
      <c r="AE228" s="646"/>
      <c r="AF228" s="646"/>
      <c r="AG228" s="646"/>
      <c r="AH228" s="646"/>
      <c r="AI228" s="646"/>
      <c r="AJ228" s="646"/>
      <c r="AK228" s="646"/>
      <c r="AL228" s="646"/>
      <c r="AM228" s="646"/>
      <c r="AN228" s="646"/>
      <c r="AO228" s="652" t="s">
        <v>2841</v>
      </c>
      <c r="AP228" s="646"/>
      <c r="AQ228" s="646"/>
      <c r="AR228" s="648"/>
      <c r="AS228" s="646"/>
      <c r="AT228" s="646"/>
      <c r="AU228" s="646"/>
      <c r="AV228" s="646"/>
      <c r="AW228" s="646"/>
      <c r="AX228" s="643"/>
      <c r="AY228" s="652"/>
      <c r="AZ228" s="646"/>
      <c r="BA228" s="646"/>
      <c r="BB228" s="646"/>
      <c r="BC228" s="643"/>
      <c r="BD228" s="646"/>
      <c r="BE228" s="646"/>
      <c r="BF228" s="646"/>
      <c r="BG228" s="646"/>
      <c r="BH228" s="646"/>
      <c r="BI228" s="646"/>
      <c r="BJ228" s="646"/>
      <c r="BK228" s="646"/>
      <c r="BL228" s="646"/>
      <c r="BM228" s="643"/>
      <c r="BN228" s="647"/>
      <c r="BO228" s="648"/>
      <c r="BP228" s="643"/>
      <c r="BQ228" s="649" t="str">
        <f>IFERROR(WWWW[[#This Row],['#_Water sources treated]]/WWWW[[#This Row],['#_Water sources tested for contamination]],"no test")</f>
        <v>no test</v>
      </c>
      <c r="BR228" s="648" t="str">
        <f>IFERROR(WWWW[[#This Row],['#_Household received remediation action due to contamination]]/WWWW[[#This Row],['#_Household water samples tested for contamination]],"no test")</f>
        <v>no test</v>
      </c>
      <c r="BS228" s="647" t="str">
        <f>IF(AND(WWWW[[#This Row],[% of water sources treated]]="no test",WWWW[[#This Row],[% Household received corrective actions]]="no test"),"No Test","Tested")</f>
        <v>No Test</v>
      </c>
      <c r="BT228" s="647">
        <f>WWWW[[#This Row],['#_Constructed/existing protected hand dug well]]-WWWW[[#This Row],['#_Non-functional protected hand dug well]]</f>
        <v>0</v>
      </c>
      <c r="BU228" s="647">
        <f>(WWWW[[#This Row],['#_Constructed/Existing tube wells/boreholes/handpumps_WASH_agency]]+WWWW[[#This Row],['#_Non-Cluster partner water tube-wells/boreholes/handpumps]])-WWWW[[#This Row],['#_Non-functional tube wells/boreholes/handpumps]]</f>
        <v>0</v>
      </c>
      <c r="BV228" s="647">
        <f>WWWW[[#This Row],['#_Constructed/Existingwater storage tank with gravity fed reticulation system]]-WWWW[[#This Row],['#_Non-functional storage tank gravity fed reticulation system]]</f>
        <v>0</v>
      </c>
      <c r="BW228" s="647">
        <f>WWWW[[#This Row],['#_Water boating or water trucking]]</f>
        <v>0</v>
      </c>
      <c r="BX228" s="647">
        <f>WWWW[[#This Row],['#_Constructed/Existing water distribution system from river or natural spring]]</f>
        <v>0</v>
      </c>
      <c r="BY228"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28"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28" s="648">
        <f>IF(WWWW[[#This Row],[Location Type 1]]="Village",WWWW[[#This Row],[Access to safe drinking water for Village]],WWWW[[#This Row],[Access to safe drinking water for Camp]])</f>
        <v>0</v>
      </c>
      <c r="CB228" s="645">
        <f>WWWW[[#This Row],[%Equitable and continuous access to sufficient quantity of safe drinking water]]*WWWW[[#This Row],[Total PoP ]]</f>
        <v>0</v>
      </c>
      <c r="CC228" s="648">
        <f>IF((WWWW[[#This Row],['#_Constructed/Existing protected/fenced ponds]]*250)/WWWW[[#This Row],[Total PoP ]]&gt;1,1,(WWWW[[#This Row],['#_Constructed/Existing protected/fenced ponds]]*250)/WWWW[[#This Row],[Total PoP ]])</f>
        <v>0</v>
      </c>
      <c r="CD228" s="645">
        <f>WWWW[[#This Row],[% Access to unimproved water points]]*WWWW[[#This Row],[Total PoP ]]</f>
        <v>0</v>
      </c>
      <c r="CE228"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28"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28" s="645">
        <f>WWWW[[#This Row],[HRP1]]/500</f>
        <v>0</v>
      </c>
      <c r="CH228" s="650">
        <f>1-WWWW[[#This Row],[% Equitable and continuous access to sufficient quantity of domestic water]]</f>
        <v>1</v>
      </c>
      <c r="CI228" s="645">
        <f>WWWW[[#This Row],[%equitable and continuous access to sufficient quantity of safe drinking and domestic water''s GAP]]*WWWW[[#This Row],[Total PoP ]]</f>
        <v>864</v>
      </c>
      <c r="CJ228" s="647">
        <f>IF(WWWW[[#This Row],[Total required water points]]-WWWW[[#This Row],['#Water points coverage]]&lt;0,0,WWWW[[#This Row],[Total required water points]]-WWWW[[#This Row],['#Water points coverage]])</f>
        <v>2</v>
      </c>
      <c r="CK228" s="647">
        <f>ROUND(IF(WWWW[[#This Row],[Total PoP ]]&lt;500,1,WWWW[[#This Row],[Total PoP ]]/500),0)</f>
        <v>2</v>
      </c>
      <c r="CL228" s="647">
        <f>(WWWW[[#This Row],['#_Constructed latrines_by_WASHAgencies]]+WWWW[[#This Row],['#_Non Cluster partner latrines]])-WWWW[[#This Row],['#_Non-functional latrines]]</f>
        <v>0</v>
      </c>
      <c r="CM228"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28"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28"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28" s="647" t="str">
        <f>IF(WWWW[[#This Row],[Location Type 1]]="Village","NA",IF(WWWW[[#This Row],['#_Constructed/Existing latrines in TLS]]*50&gt;WWWW[[#This Row],['#_students at TLS_CFS]],WWWW[[#This Row],['#_students at TLS_CFS]],(WWWW[[#This Row],['#_Constructed/Existing latrines in TLS]]*50)))</f>
        <v>NA</v>
      </c>
      <c r="CQ228" s="647">
        <f>ROUND(IF(WWWW[[#This Row],[Location Type 1]]="camp",WWWW[[#This Row],[Total PoP ]]/20,IF(WWWW[[#This Row],[Location Type 1]]="Temporary Location",WWWW[[#This Row],[Total PoP ]]/50,(WWWW[[#This Row],[Total PoP ]]/6))),0)</f>
        <v>144</v>
      </c>
      <c r="CR228" s="647">
        <f>IF(WWWW[[#This Row],[Total required Latrines]]-(WWWW[[#This Row],['#_Constructed latrines_by_WASHAgencies]]+WWWW[[#This Row],['#_Non Cluster partner latrines]])&lt;0,0,WWWW[[#This Row],[Total required Latrines]]-(WWWW[[#This Row],['#_Constructed latrines_by_WASHAgencies]]+WWWW[[#This Row],['#_Non Cluster partner latrines]]))</f>
        <v>144</v>
      </c>
      <c r="CS228" s="79">
        <f>1-WWWW[[#This Row],[% people access to functioning Latrine]]</f>
        <v>1</v>
      </c>
      <c r="CT228" s="649">
        <f>IF(OR(WWWW[[#This Row],['#_Non-functional latrines]]="",WWWW[[#This Row],['#_Non-functional latrines]]=0),0,WWWW[[#This Row],['#_Non-functional latrines]]/(WWWW[[#This Row],['#_Constructed latrines_by_WASHAgencies]]+WWWW[[#This Row],['#_Non Cluster partner latrines]]))</f>
        <v>0</v>
      </c>
      <c r="CU228" s="645">
        <f>IF(500*(WWWW[[#This Row],['#_male hygiene promoters]]+WWWW[[#This Row],['#_female hygiene promoters]])&gt;WWWW[[#This Row],[Total PoP ]],WWWW[[#This Row],[Total PoP ]],500*(WWWW[[#This Row],['#_male hygiene promoters]]+WWWW[[#This Row],['#_female hygiene promoters]]))</f>
        <v>0</v>
      </c>
      <c r="CV228"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28"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28" s="647">
        <f>IF(WWWW[[#This Row],['# People with access to soap]]&gt;WWWW[[#This Row],['# People with access to Sanity Pads]],WWWW[[#This Row],['# People with access to soap]],WWWW[[#This Row],['# People with access to Sanity Pads]])</f>
        <v>0</v>
      </c>
      <c r="CY228"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28" s="650">
        <f>IF(WWWW[[#This Row],[HRP3]]/WWWW[[#This Row],[Total PoP ]]&gt;100%,100%,WWWW[[#This Row],[HRP3]]/WWWW[[#This Row],[Total PoP ]])</f>
        <v>0</v>
      </c>
      <c r="DA228" s="649">
        <f>1-WWWW[[#This Row],[Hygiene Coverage%]]</f>
        <v>1</v>
      </c>
      <c r="DB228" s="648">
        <f>WWWW[[#This Row],['# people reached by regular dedicated hygiene promotion_5]]/WWWW[[#This Row],[Total PoP ]]</f>
        <v>0</v>
      </c>
      <c r="DC228" s="648">
        <f>IF(WWWW[[#This Row],['#_households that received standard amount of soap for this quarter]]/WWWW[[#This Row],[Total HH]]&gt;1,1,WWWW[[#This Row],['#_households that received standard amount of soap for this quarter]]/WWWW[[#This Row],[Total HH]])</f>
        <v>0</v>
      </c>
      <c r="DD228" s="648">
        <f>IF(WWWW[[#This Row],['#_households that received standard amount of sanitary pads for this quarter]]/WWWW[[#This Row],[Total HH]]&gt;1,1,WWWW[[#This Row],['#_households that received standard amount of sanitary pads for this quarter]]/WWWW[[#This Row],[Total HH]])</f>
        <v>0</v>
      </c>
      <c r="DE228" s="647">
        <f>WWWW[[#This Row],['#_Constructed/Existing hand washing stations]]-WWWW[[#This Row],['#_Non-Functional_hand_washing_stations]]</f>
        <v>0</v>
      </c>
      <c r="DF228" s="667">
        <f>IF(WWWW[[#This Row],['# Functional hand washing stations during reporting period]]*20&gt;WWWW[[#This Row],[Total HH]],WWWW[[#This Row],[Total HH]],WWWW[[#This Row],['# Functional hand washing stations during reporting period]]*20)</f>
        <v>0</v>
      </c>
      <c r="DG228" s="645">
        <f>IF(WWWW[[#This Row],[Is sufficient soap available for TLS? (Yes/No)]]="yes",WWWW[[#This Row],['#_Constructed/Existing hand washing stations at TLS]],0)</f>
        <v>0</v>
      </c>
      <c r="DH228" s="645">
        <f>IF(WWWW[[#This Row],['# Functional hand washing stations during reporting period]]*100&gt;WWWW[[#This Row],[Total PoP ]],WWWW[[#This Row],[Total PoP ]],WWWW[[#This Row],['# Functional hand washing stations during reporting period]]*100)</f>
        <v>0</v>
      </c>
      <c r="DI228" s="645" t="str">
        <f>IF(WWWW[[#This Row],['#_students at TLS_CFS]]="","No","Yes")</f>
        <v>No</v>
      </c>
      <c r="DJ228" s="643">
        <f>VLOOKUP(WWWW[[#This Row],[Site Name]],SiteDB6[[Site Name]:[CCCM Management]],6,FALSE)</f>
        <v>0</v>
      </c>
      <c r="DK228" s="643">
        <f>VLOOKUP(WWWW[[#This Row],[Site Name]],SiteDB6[[Site Name]:[CCCM Focal Agency]],7,FALSE)</f>
        <v>0</v>
      </c>
      <c r="DL228" s="643" t="str">
        <f>VLOOKUP(WWWW[[#This Row],[Site Name]],SiteDB6[[Site Name]:[Location Type 1]],9,FALSE)</f>
        <v>Village</v>
      </c>
      <c r="DM228" s="643" t="str">
        <f>VLOOKUP(WWWW[[#This Row],[Site Name]],SiteDB6[[Site Name]:[Type of Accommodation]],10,FALSE)</f>
        <v>Village</v>
      </c>
      <c r="DN228" s="643" t="str">
        <f>VLOOKUP(WWWW[[#This Row],[Site Name]],SiteDB6[[Site Name]:[Ethnic or GCA/NGCA]],11,FALSE)</f>
        <v>Rakhine</v>
      </c>
      <c r="DO228" s="643">
        <f>VLOOKUP(WWWW[[#This Row],[Site Name]],SiteDB6[[Site Name]:[Lat]],12,FALSE)</f>
        <v>0</v>
      </c>
      <c r="DP228" s="643">
        <f>VLOOKUP(WWWW[[#This Row],[Site Name]],SiteDB6[[Site Name]:[Long]],13,FALSE)</f>
        <v>0</v>
      </c>
      <c r="DQ228" s="643">
        <f>VLOOKUP(WWWW[[#This Row],[Site Name]],SiteDB6[[Site Name]:[Pcode]],3,FALSE)</f>
        <v>198667</v>
      </c>
      <c r="DR228" s="652" t="str">
        <f t="shared" si="7"/>
        <v>Covered</v>
      </c>
      <c r="DS228" s="652"/>
    </row>
    <row r="229" spans="1:123">
      <c r="A229" s="637" t="s">
        <v>2525</v>
      </c>
      <c r="B229" s="637" t="s">
        <v>2376</v>
      </c>
      <c r="C229" s="644" t="s">
        <v>2376</v>
      </c>
      <c r="D229" s="644" t="s">
        <v>42</v>
      </c>
      <c r="E229" s="663" t="s">
        <v>3014</v>
      </c>
      <c r="F229" s="644" t="s">
        <v>313</v>
      </c>
      <c r="G229" s="663" t="str">
        <f>VLOOKUP(WWWW[[#This Row],[Site Name]],SiteDB6[[Site Name]:[Location Type]],8,FALSE)</f>
        <v>Camp</v>
      </c>
      <c r="H229" s="644" t="s">
        <v>432</v>
      </c>
      <c r="I229" s="646">
        <v>397</v>
      </c>
      <c r="J229" s="646">
        <v>2111</v>
      </c>
      <c r="K229" s="653"/>
      <c r="L229" s="654">
        <v>44104</v>
      </c>
      <c r="M229" s="646"/>
      <c r="N229" s="646"/>
      <c r="O229" s="646"/>
      <c r="P229" s="646" t="s">
        <v>2941</v>
      </c>
      <c r="Q229" s="645"/>
      <c r="R229" s="646"/>
      <c r="S229" s="646"/>
      <c r="T229" s="646"/>
      <c r="U229" s="646"/>
      <c r="V229" s="646"/>
      <c r="W229" s="646">
        <v>27</v>
      </c>
      <c r="X229" s="646"/>
      <c r="Y229" s="646">
        <v>3</v>
      </c>
      <c r="Z229" s="646">
        <v>31</v>
      </c>
      <c r="AA229" s="646"/>
      <c r="AB229" s="646"/>
      <c r="AC229" s="646"/>
      <c r="AD229" s="646"/>
      <c r="AE229" s="646"/>
      <c r="AF229" s="646"/>
      <c r="AG229" s="646">
        <v>2240</v>
      </c>
      <c r="AH229" s="646">
        <v>27</v>
      </c>
      <c r="AI229" s="646">
        <v>21</v>
      </c>
      <c r="AJ229" s="646"/>
      <c r="AK229" s="646">
        <v>73</v>
      </c>
      <c r="AL229" s="646">
        <v>4</v>
      </c>
      <c r="AM229" s="646"/>
      <c r="AN229" s="646"/>
      <c r="AO229" s="652"/>
      <c r="AP229" s="646">
        <v>120</v>
      </c>
      <c r="AQ229" s="646"/>
      <c r="AR229" s="648"/>
      <c r="AS229" s="646">
        <v>3</v>
      </c>
      <c r="AT229" s="646">
        <v>13</v>
      </c>
      <c r="AU229" s="646">
        <v>30</v>
      </c>
      <c r="AV229" s="646">
        <v>4349</v>
      </c>
      <c r="AW229" s="646">
        <v>120</v>
      </c>
      <c r="AX229" s="643" t="s">
        <v>43</v>
      </c>
      <c r="AY229" s="652" t="s">
        <v>145</v>
      </c>
      <c r="AZ229" s="646"/>
      <c r="BA229" s="646"/>
      <c r="BB229" s="646"/>
      <c r="BC229" s="643"/>
      <c r="BD229" s="646"/>
      <c r="BE229" s="646"/>
      <c r="BF229" s="646"/>
      <c r="BG229" s="646"/>
      <c r="BH229" s="646"/>
      <c r="BI229" s="646">
        <v>4</v>
      </c>
      <c r="BJ229" s="646">
        <v>3</v>
      </c>
      <c r="BK229" s="646">
        <v>394</v>
      </c>
      <c r="BL229" s="646">
        <v>394</v>
      </c>
      <c r="BM229" s="643"/>
      <c r="BN229" s="647">
        <v>30</v>
      </c>
      <c r="BO229" s="648"/>
      <c r="BP229" s="643"/>
      <c r="BQ229" s="649">
        <f>IFERROR(WWWW[[#This Row],['#_Water sources treated]]/WWWW[[#This Row],['#_Water sources tested for contamination]],"no test")</f>
        <v>0</v>
      </c>
      <c r="BR229" s="648">
        <f>IFERROR(WWWW[[#This Row],['#_Household received remediation action due to contamination]]/WWWW[[#This Row],['#_Household water samples tested for contamination]],"no test")</f>
        <v>5.4794520547945202E-2</v>
      </c>
      <c r="BS229" s="647" t="str">
        <f>IF(AND(WWWW[[#This Row],[% of water sources treated]]="no test",WWWW[[#This Row],[% Household received corrective actions]]="no test"),"No Test","Tested")</f>
        <v>Tested</v>
      </c>
      <c r="BT229" s="647">
        <f>WWWW[[#This Row],['#_Constructed/existing protected hand dug well]]-WWWW[[#This Row],['#_Non-functional protected hand dug well]]</f>
        <v>0</v>
      </c>
      <c r="BU229" s="647">
        <f>(WWWW[[#This Row],['#_Constructed/Existing tube wells/boreholes/handpumps_WASH_agency]]+WWWW[[#This Row],['#_Non-Cluster partner water tube-wells/boreholes/handpumps]])-WWWW[[#This Row],['#_Non-functional tube wells/boreholes/handpumps]]</f>
        <v>24</v>
      </c>
      <c r="BV229" s="647">
        <f>WWWW[[#This Row],['#_Constructed/Existingwater storage tank with gravity fed reticulation system]]-WWWW[[#This Row],['#_Non-functional storage tank gravity fed reticulation system]]</f>
        <v>0</v>
      </c>
      <c r="BW229" s="647">
        <f>WWWW[[#This Row],['#_Water boating or water trucking]]</f>
        <v>0</v>
      </c>
      <c r="BX229" s="647">
        <f>WWWW[[#This Row],['#_Constructed/Existing water distribution system from river or natural spring]]</f>
        <v>0</v>
      </c>
      <c r="BY229"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229"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229" s="648">
        <f>IF(WWWW[[#This Row],[Location Type 1]]="Village",WWWW[[#This Row],[Access to safe drinking water for Village]],WWWW[[#This Row],[Access to safe drinking water for Camp]])</f>
        <v>1</v>
      </c>
      <c r="CB229" s="645">
        <f>WWWW[[#This Row],[%Equitable and continuous access to sufficient quantity of safe drinking water]]*WWWW[[#This Row],[Total PoP ]]</f>
        <v>2111</v>
      </c>
      <c r="CC229" s="648">
        <f>IF((WWWW[[#This Row],['#_Constructed/Existing protected/fenced ponds]]*250)/WWWW[[#This Row],[Total PoP ]]&gt;1,1,(WWWW[[#This Row],['#_Constructed/Existing protected/fenced ponds]]*250)/WWWW[[#This Row],[Total PoP ]])</f>
        <v>0</v>
      </c>
      <c r="CD229" s="645">
        <f>WWWW[[#This Row],[% Access to unimproved water points]]*WWWW[[#This Row],[Total PoP ]]</f>
        <v>0</v>
      </c>
      <c r="CE229"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229"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2111</v>
      </c>
      <c r="CG229" s="645">
        <f>WWWW[[#This Row],[HRP1]]/500</f>
        <v>4.2220000000000004</v>
      </c>
      <c r="CH229" s="650">
        <f>1-WWWW[[#This Row],[% Equitable and continuous access to sufficient quantity of domestic water]]</f>
        <v>0</v>
      </c>
      <c r="CI229" s="645">
        <f>WWWW[[#This Row],[%equitable and continuous access to sufficient quantity of safe drinking and domestic water''s GAP]]*WWWW[[#This Row],[Total PoP ]]</f>
        <v>0</v>
      </c>
      <c r="CJ229" s="647">
        <f>IF(WWWW[[#This Row],[Total required water points]]-WWWW[[#This Row],['#Water points coverage]]&lt;0,0,WWWW[[#This Row],[Total required water points]]-WWWW[[#This Row],['#Water points coverage]])</f>
        <v>0</v>
      </c>
      <c r="CK229" s="647">
        <f>ROUND(IF(WWWW[[#This Row],[Total PoP ]]&lt;500,1,WWWW[[#This Row],[Total PoP ]]/500),0)</f>
        <v>4</v>
      </c>
      <c r="CL229" s="647">
        <f>(WWWW[[#This Row],['#_Constructed latrines_by_WASHAgencies]]+WWWW[[#This Row],['#_Non Cluster partner latrines]])-WWWW[[#This Row],['#_Non-functional latrines]]</f>
        <v>117</v>
      </c>
      <c r="CM229"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229"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2111</v>
      </c>
      <c r="CO229"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600</v>
      </c>
      <c r="CP229" s="647">
        <f>IF(WWWW[[#This Row],[Location Type 1]]="Village","NA",IF(WWWW[[#This Row],['#_Constructed/Existing latrines in TLS]]*50&gt;WWWW[[#This Row],['#_students at TLS_CFS]],WWWW[[#This Row],['#_students at TLS_CFS]],(WWWW[[#This Row],['#_Constructed/Existing latrines in TLS]]*50)))</f>
        <v>0</v>
      </c>
      <c r="CQ229" s="647">
        <f>ROUND(IF(WWWW[[#This Row],[Location Type 1]]="camp",WWWW[[#This Row],[Total PoP ]]/20,IF(WWWW[[#This Row],[Location Type 1]]="Temporary Location",WWWW[[#This Row],[Total PoP ]]/50,(WWWW[[#This Row],[Total PoP ]]/6))),0)</f>
        <v>106</v>
      </c>
      <c r="CR229" s="647">
        <f>IF(WWWW[[#This Row],[Total required Latrines]]-(WWWW[[#This Row],['#_Constructed latrines_by_WASHAgencies]]+WWWW[[#This Row],['#_Non Cluster partner latrines]])&lt;0,0,WWWW[[#This Row],[Total required Latrines]]-(WWWW[[#This Row],['#_Constructed latrines_by_WASHAgencies]]+WWWW[[#This Row],['#_Non Cluster partner latrines]]))</f>
        <v>0</v>
      </c>
      <c r="CS229" s="79">
        <f>1-WWWW[[#This Row],[% people access to functioning Latrine]]</f>
        <v>0</v>
      </c>
      <c r="CT229" s="649">
        <f>IF(OR(WWWW[[#This Row],['#_Non-functional latrines]]="",WWWW[[#This Row],['#_Non-functional latrines]]=0),0,WWWW[[#This Row],['#_Non-functional latrines]]/(WWWW[[#This Row],['#_Constructed latrines_by_WASHAgencies]]+WWWW[[#This Row],['#_Non Cluster partner latrines]]))</f>
        <v>2.5000000000000001E-2</v>
      </c>
      <c r="CU229" s="645">
        <f>IF(500*(WWWW[[#This Row],['#_male hygiene promoters]]+WWWW[[#This Row],['#_female hygiene promoters]])&gt;WWWW[[#This Row],[Total PoP ]],WWWW[[#This Row],[Total PoP ]],500*(WWWW[[#This Row],['#_male hygiene promoters]]+WWWW[[#This Row],['#_female hygiene promoters]]))</f>
        <v>2111</v>
      </c>
      <c r="CV229"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1970</v>
      </c>
      <c r="CW229"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1970</v>
      </c>
      <c r="CX229" s="647">
        <f>IF(WWWW[[#This Row],['# People with access to soap]]&gt;WWWW[[#This Row],['# People with access to Sanity Pads]],WWWW[[#This Row],['# People with access to soap]],WWWW[[#This Row],['# People with access to Sanity Pads]])</f>
        <v>1970</v>
      </c>
      <c r="CY229" s="647">
        <f>IF(WWWW[[#This Row],['# people reached by regular dedicated hygiene promotion_5]]&gt;WWWW[[#This Row],['# People received regular supply of hygiene items_6]],WWWW[[#This Row],['# people reached by regular dedicated hygiene promotion_5]],WWWW[[#This Row],['# People received regular supply of hygiene items_6]])</f>
        <v>2111</v>
      </c>
      <c r="CZ229" s="650">
        <f>IF(WWWW[[#This Row],[HRP3]]/WWWW[[#This Row],[Total PoP ]]&gt;100%,100%,WWWW[[#This Row],[HRP3]]/WWWW[[#This Row],[Total PoP ]])</f>
        <v>1</v>
      </c>
      <c r="DA229" s="649">
        <f>1-WWWW[[#This Row],[Hygiene Coverage%]]</f>
        <v>0</v>
      </c>
      <c r="DB229" s="648">
        <f>WWWW[[#This Row],['# people reached by regular dedicated hygiene promotion_5]]/WWWW[[#This Row],[Total PoP ]]</f>
        <v>1</v>
      </c>
      <c r="DC229" s="648">
        <f>IF(WWWW[[#This Row],['#_households that received standard amount of soap for this quarter]]/WWWW[[#This Row],[Total HH]]&gt;1,1,WWWW[[#This Row],['#_households that received standard amount of soap for this quarter]]/WWWW[[#This Row],[Total HH]])</f>
        <v>0.99244332493702769</v>
      </c>
      <c r="DD229" s="648">
        <f>IF(WWWW[[#This Row],['#_households that received standard amount of sanitary pads for this quarter]]/WWWW[[#This Row],[Total HH]]&gt;1,1,WWWW[[#This Row],['#_households that received standard amount of sanitary pads for this quarter]]/WWWW[[#This Row],[Total HH]])</f>
        <v>0.99244332493702769</v>
      </c>
      <c r="DE229" s="647">
        <f>WWWW[[#This Row],['#_Constructed/Existing hand washing stations]]-WWWW[[#This Row],['#_Non-Functional_hand_washing_stations]]</f>
        <v>0</v>
      </c>
      <c r="DF229" s="667">
        <f>IF(WWWW[[#This Row],['# Functional hand washing stations during reporting period]]*20&gt;WWWW[[#This Row],[Total HH]],WWWW[[#This Row],[Total HH]],WWWW[[#This Row],['# Functional hand washing stations during reporting period]]*20)</f>
        <v>0</v>
      </c>
      <c r="DG229" s="645">
        <f>IF(WWWW[[#This Row],[Is sufficient soap available for TLS? (Yes/No)]]="yes",WWWW[[#This Row],['#_Constructed/Existing hand washing stations at TLS]],0)</f>
        <v>0</v>
      </c>
      <c r="DH229" s="645">
        <f>IF(WWWW[[#This Row],['# Functional hand washing stations during reporting period]]*100&gt;WWWW[[#This Row],[Total PoP ]],WWWW[[#This Row],[Total PoP ]],WWWW[[#This Row],['# Functional hand washing stations during reporting period]]*100)</f>
        <v>0</v>
      </c>
      <c r="DI229" s="645" t="str">
        <f>IF(WWWW[[#This Row],['#_students at TLS_CFS]]="","No","Yes")</f>
        <v>No</v>
      </c>
      <c r="DJ229" s="643" t="str">
        <f>VLOOKUP(WWWW[[#This Row],[Site Name]],SiteDB6[[Site Name]:[CCCM Management]],6,FALSE)</f>
        <v>Yes</v>
      </c>
      <c r="DK229" s="643">
        <f>VLOOKUP(WWWW[[#This Row],[Site Name]],SiteDB6[[Site Name]:[CCCM Focal Agency]],7,FALSE)</f>
        <v>0</v>
      </c>
      <c r="DL229" s="643" t="str">
        <f>VLOOKUP(WWWW[[#This Row],[Site Name]],SiteDB6[[Site Name]:[Location Type 1]],9,FALSE)</f>
        <v>Camp</v>
      </c>
      <c r="DM229" s="643" t="str">
        <f>VLOOKUP(WWWW[[#This Row],[Site Name]],SiteDB6[[Site Name]:[Type of Accommodation]],10,FALSE)</f>
        <v>Planned Camp</v>
      </c>
      <c r="DN229" s="643" t="str">
        <f>VLOOKUP(WWWW[[#This Row],[Site Name]],SiteDB6[[Site Name]:[Ethnic or GCA/NGCA]],11,FALSE)</f>
        <v>Muslim</v>
      </c>
      <c r="DO229" s="643">
        <f>VLOOKUP(WWWW[[#This Row],[Site Name]],SiteDB6[[Site Name]:[Lat]],12,FALSE)</f>
        <v>20.128488999999998</v>
      </c>
      <c r="DP229" s="643">
        <f>VLOOKUP(WWWW[[#This Row],[Site Name]],SiteDB6[[Site Name]:[Long]],13,FALSE)</f>
        <v>92.875814000000005</v>
      </c>
      <c r="DQ229" s="643" t="str">
        <f>VLOOKUP(WWWW[[#This Row],[Site Name]],SiteDB6[[Site Name]:[Pcode]],3,FALSE)</f>
        <v>MMR012CMP039</v>
      </c>
      <c r="DR229" s="652" t="str">
        <f t="shared" ref="DR229:DR260" si="8">IF(C229="none","Notcovered","Covered")</f>
        <v>Covered</v>
      </c>
      <c r="DS229" s="652"/>
    </row>
    <row r="230" spans="1:123">
      <c r="A230" s="637" t="s">
        <v>2525</v>
      </c>
      <c r="B230" s="637" t="s">
        <v>2376</v>
      </c>
      <c r="C230" s="644" t="s">
        <v>2376</v>
      </c>
      <c r="D230" s="644" t="s">
        <v>42</v>
      </c>
      <c r="E230" s="663" t="s">
        <v>3014</v>
      </c>
      <c r="F230" s="644" t="s">
        <v>313</v>
      </c>
      <c r="G230" s="663" t="str">
        <f>VLOOKUP(WWWW[[#This Row],[Site Name]],SiteDB6[[Site Name]:[Location Type]],8,FALSE)</f>
        <v>Camp</v>
      </c>
      <c r="H230" s="644" t="s">
        <v>443</v>
      </c>
      <c r="I230" s="646">
        <v>1016</v>
      </c>
      <c r="J230" s="646">
        <v>4892</v>
      </c>
      <c r="K230" s="653"/>
      <c r="L230" s="654">
        <v>44104</v>
      </c>
      <c r="M230" s="646"/>
      <c r="N230" s="646"/>
      <c r="O230" s="646"/>
      <c r="P230" s="646" t="s">
        <v>2941</v>
      </c>
      <c r="Q230" s="645"/>
      <c r="R230" s="646"/>
      <c r="S230" s="646"/>
      <c r="T230" s="646"/>
      <c r="U230" s="646"/>
      <c r="V230" s="646"/>
      <c r="W230" s="646">
        <v>131</v>
      </c>
      <c r="X230" s="646"/>
      <c r="Y230" s="646">
        <v>25</v>
      </c>
      <c r="Z230" s="646">
        <v>79</v>
      </c>
      <c r="AA230" s="646"/>
      <c r="AB230" s="646"/>
      <c r="AC230" s="646"/>
      <c r="AD230" s="646"/>
      <c r="AE230" s="646"/>
      <c r="AF230" s="646"/>
      <c r="AG230" s="646"/>
      <c r="AH230" s="646">
        <v>131</v>
      </c>
      <c r="AI230" s="646">
        <v>109</v>
      </c>
      <c r="AJ230" s="646">
        <v>3</v>
      </c>
      <c r="AK230" s="646">
        <v>193</v>
      </c>
      <c r="AL230" s="646">
        <v>2</v>
      </c>
      <c r="AM230" s="646"/>
      <c r="AN230" s="646"/>
      <c r="AO230" s="652"/>
      <c r="AP230" s="646">
        <v>582</v>
      </c>
      <c r="AQ230" s="646"/>
      <c r="AR230" s="648"/>
      <c r="AS230" s="646">
        <v>98</v>
      </c>
      <c r="AT230" s="646">
        <v>428</v>
      </c>
      <c r="AU230" s="646">
        <v>314</v>
      </c>
      <c r="AV230" s="646"/>
      <c r="AW230" s="646">
        <v>582</v>
      </c>
      <c r="AX230" s="643" t="s">
        <v>43</v>
      </c>
      <c r="AY230" s="652" t="s">
        <v>145</v>
      </c>
      <c r="AZ230" s="646"/>
      <c r="BA230" s="646"/>
      <c r="BB230" s="646"/>
      <c r="BC230" s="643"/>
      <c r="BD230" s="646"/>
      <c r="BE230" s="646"/>
      <c r="BF230" s="646"/>
      <c r="BG230" s="646"/>
      <c r="BH230" s="646"/>
      <c r="BI230" s="646">
        <v>4</v>
      </c>
      <c r="BJ230" s="646">
        <v>7</v>
      </c>
      <c r="BK230" s="646">
        <v>1016</v>
      </c>
      <c r="BL230" s="646">
        <v>1016</v>
      </c>
      <c r="BM230" s="643"/>
      <c r="BN230" s="647">
        <v>34</v>
      </c>
      <c r="BO230" s="648"/>
      <c r="BP230" s="643"/>
      <c r="BQ230" s="649">
        <f>IFERROR(WWWW[[#This Row],['#_Water sources treated]]/WWWW[[#This Row],['#_Water sources tested for contamination]],"no test")</f>
        <v>2.7522935779816515E-2</v>
      </c>
      <c r="BR230" s="648">
        <f>IFERROR(WWWW[[#This Row],['#_Household received remediation action due to contamination]]/WWWW[[#This Row],['#_Household water samples tested for contamination]],"no test")</f>
        <v>1.0362694300518135E-2</v>
      </c>
      <c r="BS230" s="647" t="str">
        <f>IF(AND(WWWW[[#This Row],[% of water sources treated]]="no test",WWWW[[#This Row],[% Household received corrective actions]]="no test"),"No Test","Tested")</f>
        <v>Tested</v>
      </c>
      <c r="BT230" s="647">
        <f>WWWW[[#This Row],['#_Constructed/existing protected hand dug well]]-WWWW[[#This Row],['#_Non-functional protected hand dug well]]</f>
        <v>0</v>
      </c>
      <c r="BU230" s="647">
        <f>(WWWW[[#This Row],['#_Constructed/Existing tube wells/boreholes/handpumps_WASH_agency]]+WWWW[[#This Row],['#_Non-Cluster partner water tube-wells/boreholes/handpumps]])-WWWW[[#This Row],['#_Non-functional tube wells/boreholes/handpumps]]</f>
        <v>106</v>
      </c>
      <c r="BV230" s="647">
        <f>WWWW[[#This Row],['#_Constructed/Existingwater storage tank with gravity fed reticulation system]]-WWWW[[#This Row],['#_Non-functional storage tank gravity fed reticulation system]]</f>
        <v>0</v>
      </c>
      <c r="BW230" s="647">
        <f>WWWW[[#This Row],['#_Water boating or water trucking]]</f>
        <v>0</v>
      </c>
      <c r="BX230" s="647">
        <f>WWWW[[#This Row],['#_Constructed/Existing water distribution system from river or natural spring]]</f>
        <v>0</v>
      </c>
      <c r="BY230"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230"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230" s="648">
        <f>IF(WWWW[[#This Row],[Location Type 1]]="Village",WWWW[[#This Row],[Access to safe drinking water for Village]],WWWW[[#This Row],[Access to safe drinking water for Camp]])</f>
        <v>1</v>
      </c>
      <c r="CB230" s="645">
        <f>WWWW[[#This Row],[%Equitable and continuous access to sufficient quantity of safe drinking water]]*WWWW[[#This Row],[Total PoP ]]</f>
        <v>4892</v>
      </c>
      <c r="CC230" s="648">
        <f>IF((WWWW[[#This Row],['#_Constructed/Existing protected/fenced ponds]]*250)/WWWW[[#This Row],[Total PoP ]]&gt;1,1,(WWWW[[#This Row],['#_Constructed/Existing protected/fenced ponds]]*250)/WWWW[[#This Row],[Total PoP ]])</f>
        <v>0</v>
      </c>
      <c r="CD230" s="645">
        <f>WWWW[[#This Row],[% Access to unimproved water points]]*WWWW[[#This Row],[Total PoP ]]</f>
        <v>0</v>
      </c>
      <c r="CE230"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230"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4892</v>
      </c>
      <c r="CG230" s="645">
        <f>WWWW[[#This Row],[HRP1]]/500</f>
        <v>9.7840000000000007</v>
      </c>
      <c r="CH230" s="650">
        <f>1-WWWW[[#This Row],[% Equitable and continuous access to sufficient quantity of domestic water]]</f>
        <v>0</v>
      </c>
      <c r="CI230" s="645">
        <f>WWWW[[#This Row],[%equitable and continuous access to sufficient quantity of safe drinking and domestic water''s GAP]]*WWWW[[#This Row],[Total PoP ]]</f>
        <v>0</v>
      </c>
      <c r="CJ230" s="647">
        <f>IF(WWWW[[#This Row],[Total required water points]]-WWWW[[#This Row],['#Water points coverage]]&lt;0,0,WWWW[[#This Row],[Total required water points]]-WWWW[[#This Row],['#Water points coverage]])</f>
        <v>0.2159999999999993</v>
      </c>
      <c r="CK230" s="647">
        <f>ROUND(IF(WWWW[[#This Row],[Total PoP ]]&lt;500,1,WWWW[[#This Row],[Total PoP ]]/500),0)</f>
        <v>10</v>
      </c>
      <c r="CL230" s="647">
        <f>(WWWW[[#This Row],['#_Constructed latrines_by_WASHAgencies]]+WWWW[[#This Row],['#_Non Cluster partner latrines]])-WWWW[[#This Row],['#_Non-functional latrines]]</f>
        <v>484</v>
      </c>
      <c r="CM230"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230"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4892</v>
      </c>
      <c r="CO230"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4892</v>
      </c>
      <c r="CP230" s="647">
        <f>IF(WWWW[[#This Row],[Location Type 1]]="Village","NA",IF(WWWW[[#This Row],['#_Constructed/Existing latrines in TLS]]*50&gt;WWWW[[#This Row],['#_students at TLS_CFS]],WWWW[[#This Row],['#_students at TLS_CFS]],(WWWW[[#This Row],['#_Constructed/Existing latrines in TLS]]*50)))</f>
        <v>0</v>
      </c>
      <c r="CQ230" s="647">
        <f>ROUND(IF(WWWW[[#This Row],[Location Type 1]]="camp",WWWW[[#This Row],[Total PoP ]]/20,IF(WWWW[[#This Row],[Location Type 1]]="Temporary Location",WWWW[[#This Row],[Total PoP ]]/50,(WWWW[[#This Row],[Total PoP ]]/6))),0)</f>
        <v>245</v>
      </c>
      <c r="CR230" s="647">
        <f>IF(WWWW[[#This Row],[Total required Latrines]]-(WWWW[[#This Row],['#_Constructed latrines_by_WASHAgencies]]+WWWW[[#This Row],['#_Non Cluster partner latrines]])&lt;0,0,WWWW[[#This Row],[Total required Latrines]]-(WWWW[[#This Row],['#_Constructed latrines_by_WASHAgencies]]+WWWW[[#This Row],['#_Non Cluster partner latrines]]))</f>
        <v>0</v>
      </c>
      <c r="CS230" s="79">
        <f>1-WWWW[[#This Row],[% people access to functioning Latrine]]</f>
        <v>0</v>
      </c>
      <c r="CT230" s="649">
        <f>IF(OR(WWWW[[#This Row],['#_Non-functional latrines]]="",WWWW[[#This Row],['#_Non-functional latrines]]=0),0,WWWW[[#This Row],['#_Non-functional latrines]]/(WWWW[[#This Row],['#_Constructed latrines_by_WASHAgencies]]+WWWW[[#This Row],['#_Non Cluster partner latrines]]))</f>
        <v>0.16838487972508592</v>
      </c>
      <c r="CU230" s="645">
        <f>IF(500*(WWWW[[#This Row],['#_male hygiene promoters]]+WWWW[[#This Row],['#_female hygiene promoters]])&gt;WWWW[[#This Row],[Total PoP ]],WWWW[[#This Row],[Total PoP ]],500*(WWWW[[#This Row],['#_male hygiene promoters]]+WWWW[[#This Row],['#_female hygiene promoters]]))</f>
        <v>4892</v>
      </c>
      <c r="CV230"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4892</v>
      </c>
      <c r="CW230"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4892</v>
      </c>
      <c r="CX230" s="647">
        <f>IF(WWWW[[#This Row],['# People with access to soap]]&gt;WWWW[[#This Row],['# People with access to Sanity Pads]],WWWW[[#This Row],['# People with access to soap]],WWWW[[#This Row],['# People with access to Sanity Pads]])</f>
        <v>4892</v>
      </c>
      <c r="CY230" s="647">
        <f>IF(WWWW[[#This Row],['# people reached by regular dedicated hygiene promotion_5]]&gt;WWWW[[#This Row],['# People received regular supply of hygiene items_6]],WWWW[[#This Row],['# people reached by regular dedicated hygiene promotion_5]],WWWW[[#This Row],['# People received regular supply of hygiene items_6]])</f>
        <v>4892</v>
      </c>
      <c r="CZ230" s="650">
        <f>IF(WWWW[[#This Row],[HRP3]]/WWWW[[#This Row],[Total PoP ]]&gt;100%,100%,WWWW[[#This Row],[HRP3]]/WWWW[[#This Row],[Total PoP ]])</f>
        <v>1</v>
      </c>
      <c r="DA230" s="649">
        <f>1-WWWW[[#This Row],[Hygiene Coverage%]]</f>
        <v>0</v>
      </c>
      <c r="DB230" s="648">
        <f>WWWW[[#This Row],['# people reached by regular dedicated hygiene promotion_5]]/WWWW[[#This Row],[Total PoP ]]</f>
        <v>1</v>
      </c>
      <c r="DC230" s="648">
        <f>IF(WWWW[[#This Row],['#_households that received standard amount of soap for this quarter]]/WWWW[[#This Row],[Total HH]]&gt;1,1,WWWW[[#This Row],['#_households that received standard amount of soap for this quarter]]/WWWW[[#This Row],[Total HH]])</f>
        <v>1</v>
      </c>
      <c r="DD230" s="648">
        <f>IF(WWWW[[#This Row],['#_households that received standard amount of sanitary pads for this quarter]]/WWWW[[#This Row],[Total HH]]&gt;1,1,WWWW[[#This Row],['#_households that received standard amount of sanitary pads for this quarter]]/WWWW[[#This Row],[Total HH]])</f>
        <v>1</v>
      </c>
      <c r="DE230" s="647">
        <f>WWWW[[#This Row],['#_Constructed/Existing hand washing stations]]-WWWW[[#This Row],['#_Non-Functional_hand_washing_stations]]</f>
        <v>0</v>
      </c>
      <c r="DF230" s="667">
        <f>IF(WWWW[[#This Row],['# Functional hand washing stations during reporting period]]*20&gt;WWWW[[#This Row],[Total HH]],WWWW[[#This Row],[Total HH]],WWWW[[#This Row],['# Functional hand washing stations during reporting period]]*20)</f>
        <v>0</v>
      </c>
      <c r="DG230" s="645">
        <f>IF(WWWW[[#This Row],[Is sufficient soap available for TLS? (Yes/No)]]="yes",WWWW[[#This Row],['#_Constructed/Existing hand washing stations at TLS]],0)</f>
        <v>0</v>
      </c>
      <c r="DH230" s="645">
        <f>IF(WWWW[[#This Row],['# Functional hand washing stations during reporting period]]*100&gt;WWWW[[#This Row],[Total PoP ]],WWWW[[#This Row],[Total PoP ]],WWWW[[#This Row],['# Functional hand washing stations during reporting period]]*100)</f>
        <v>0</v>
      </c>
      <c r="DI230" s="645" t="str">
        <f>IF(WWWW[[#This Row],['#_students at TLS_CFS]]="","No","Yes")</f>
        <v>No</v>
      </c>
      <c r="DJ230" s="643" t="str">
        <f>VLOOKUP(WWWW[[#This Row],[Site Name]],SiteDB6[[Site Name]:[CCCM Management]],6,FALSE)</f>
        <v>Yes</v>
      </c>
      <c r="DK230" s="643">
        <f>VLOOKUP(WWWW[[#This Row],[Site Name]],SiteDB6[[Site Name]:[CCCM Focal Agency]],7,FALSE)</f>
        <v>0</v>
      </c>
      <c r="DL230" s="643" t="str">
        <f>VLOOKUP(WWWW[[#This Row],[Site Name]],SiteDB6[[Site Name]:[Location Type 1]],9,FALSE)</f>
        <v>Camp</v>
      </c>
      <c r="DM230" s="643" t="str">
        <f>VLOOKUP(WWWW[[#This Row],[Site Name]],SiteDB6[[Site Name]:[Type of Accommodation]],10,FALSE)</f>
        <v>Planned Camp</v>
      </c>
      <c r="DN230" s="643" t="str">
        <f>VLOOKUP(WWWW[[#This Row],[Site Name]],SiteDB6[[Site Name]:[Ethnic or GCA/NGCA]],11,FALSE)</f>
        <v>Muslim</v>
      </c>
      <c r="DO230" s="643">
        <f>VLOOKUP(WWWW[[#This Row],[Site Name]],SiteDB6[[Site Name]:[Lat]],12,FALSE)</f>
        <v>20.179417000000001</v>
      </c>
      <c r="DP230" s="643">
        <f>VLOOKUP(WWWW[[#This Row],[Site Name]],SiteDB6[[Site Name]:[Long]],13,FALSE)</f>
        <v>92.813028000000003</v>
      </c>
      <c r="DQ230" s="643" t="str">
        <f>VLOOKUP(WWWW[[#This Row],[Site Name]],SiteDB6[[Site Name]:[Pcode]],3,FALSE)</f>
        <v>MMR012CMP113</v>
      </c>
      <c r="DR230" s="652" t="str">
        <f t="shared" si="8"/>
        <v>Covered</v>
      </c>
      <c r="DS230" s="652"/>
    </row>
    <row r="231" spans="1:123">
      <c r="A231" s="637" t="s">
        <v>2525</v>
      </c>
      <c r="B231" s="637" t="s">
        <v>352</v>
      </c>
      <c r="C231" s="644" t="s">
        <v>352</v>
      </c>
      <c r="D231" s="644" t="s">
        <v>345</v>
      </c>
      <c r="E231" s="663" t="s">
        <v>3014</v>
      </c>
      <c r="F231" s="644" t="s">
        <v>420</v>
      </c>
      <c r="G231" s="663" t="str">
        <f>VLOOKUP(WWWW[[#This Row],[Site Name]],SiteDB6[[Site Name]:[Location Type]],8,FALSE)</f>
        <v>Village</v>
      </c>
      <c r="H231" s="644" t="s">
        <v>2856</v>
      </c>
      <c r="I231" s="646">
        <v>279</v>
      </c>
      <c r="J231" s="646">
        <v>1246</v>
      </c>
      <c r="K231" s="653"/>
      <c r="L231" s="654">
        <v>44439</v>
      </c>
      <c r="M231" s="646"/>
      <c r="N231" s="646"/>
      <c r="O231" s="646"/>
      <c r="P231" s="646"/>
      <c r="Q231" s="645"/>
      <c r="R231" s="646"/>
      <c r="S231" s="646"/>
      <c r="T231" s="646"/>
      <c r="U231" s="646"/>
      <c r="V231" s="646"/>
      <c r="W231" s="646"/>
      <c r="X231" s="646"/>
      <c r="Y231" s="646"/>
      <c r="Z231" s="646"/>
      <c r="AA231" s="646"/>
      <c r="AB231" s="646"/>
      <c r="AC231" s="646"/>
      <c r="AD231" s="646"/>
      <c r="AE231" s="646"/>
      <c r="AF231" s="646"/>
      <c r="AG231" s="646"/>
      <c r="AH231" s="646"/>
      <c r="AI231" s="646"/>
      <c r="AJ231" s="646"/>
      <c r="AK231" s="646"/>
      <c r="AL231" s="646"/>
      <c r="AM231" s="646"/>
      <c r="AN231" s="646"/>
      <c r="AO231" s="652"/>
      <c r="AP231" s="646"/>
      <c r="AQ231" s="646"/>
      <c r="AR231" s="648"/>
      <c r="AS231" s="646"/>
      <c r="AT231" s="646"/>
      <c r="AU231" s="646"/>
      <c r="AV231" s="646"/>
      <c r="AW231" s="646"/>
      <c r="AX231" s="643"/>
      <c r="AY231" s="652"/>
      <c r="AZ231" s="646"/>
      <c r="BA231" s="646"/>
      <c r="BB231" s="646"/>
      <c r="BC231" s="643"/>
      <c r="BD231" s="646"/>
      <c r="BE231" s="646"/>
      <c r="BF231" s="646"/>
      <c r="BG231" s="646"/>
      <c r="BH231" s="646"/>
      <c r="BI231" s="646"/>
      <c r="BJ231" s="646"/>
      <c r="BK231" s="646"/>
      <c r="BL231" s="646"/>
      <c r="BM231" s="643"/>
      <c r="BN231" s="647"/>
      <c r="BO231" s="648"/>
      <c r="BP231" s="643"/>
      <c r="BQ231" s="649" t="str">
        <f>IFERROR(WWWW[[#This Row],['#_Water sources treated]]/WWWW[[#This Row],['#_Water sources tested for contamination]],"no test")</f>
        <v>no test</v>
      </c>
      <c r="BR231" s="648" t="str">
        <f>IFERROR(WWWW[[#This Row],['#_Household received remediation action due to contamination]]/WWWW[[#This Row],['#_Household water samples tested for contamination]],"no test")</f>
        <v>no test</v>
      </c>
      <c r="BS231" s="647" t="str">
        <f>IF(AND(WWWW[[#This Row],[% of water sources treated]]="no test",WWWW[[#This Row],[% Household received corrective actions]]="no test"),"No Test","Tested")</f>
        <v>No Test</v>
      </c>
      <c r="BT231" s="647">
        <f>WWWW[[#This Row],['#_Constructed/existing protected hand dug well]]-WWWW[[#This Row],['#_Non-functional protected hand dug well]]</f>
        <v>0</v>
      </c>
      <c r="BU231" s="647">
        <f>(WWWW[[#This Row],['#_Constructed/Existing tube wells/boreholes/handpumps_WASH_agency]]+WWWW[[#This Row],['#_Non-Cluster partner water tube-wells/boreholes/handpumps]])-WWWW[[#This Row],['#_Non-functional tube wells/boreholes/handpumps]]</f>
        <v>0</v>
      </c>
      <c r="BV231" s="647">
        <f>WWWW[[#This Row],['#_Constructed/Existingwater storage tank with gravity fed reticulation system]]-WWWW[[#This Row],['#_Non-functional storage tank gravity fed reticulation system]]</f>
        <v>0</v>
      </c>
      <c r="BW231" s="647">
        <f>WWWW[[#This Row],['#_Water boating or water trucking]]</f>
        <v>0</v>
      </c>
      <c r="BX231" s="647">
        <f>WWWW[[#This Row],['#_Constructed/Existing water distribution system from river or natural spring]]</f>
        <v>0</v>
      </c>
      <c r="BY231"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31"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31" s="648">
        <f>IF(WWWW[[#This Row],[Location Type 1]]="Village",WWWW[[#This Row],[Access to safe drinking water for Village]],WWWW[[#This Row],[Access to safe drinking water for Camp]])</f>
        <v>0</v>
      </c>
      <c r="CB231" s="645">
        <f>WWWW[[#This Row],[%Equitable and continuous access to sufficient quantity of safe drinking water]]*WWWW[[#This Row],[Total PoP ]]</f>
        <v>0</v>
      </c>
      <c r="CC231" s="648">
        <f>IF((WWWW[[#This Row],['#_Constructed/Existing protected/fenced ponds]]*250)/WWWW[[#This Row],[Total PoP ]]&gt;1,1,(WWWW[[#This Row],['#_Constructed/Existing protected/fenced ponds]]*250)/WWWW[[#This Row],[Total PoP ]])</f>
        <v>0</v>
      </c>
      <c r="CD231" s="645">
        <f>WWWW[[#This Row],[% Access to unimproved water points]]*WWWW[[#This Row],[Total PoP ]]</f>
        <v>0</v>
      </c>
      <c r="CE231"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31"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31" s="645">
        <f>WWWW[[#This Row],[HRP1]]/500</f>
        <v>0</v>
      </c>
      <c r="CH231" s="650">
        <f>1-WWWW[[#This Row],[% Equitable and continuous access to sufficient quantity of domestic water]]</f>
        <v>1</v>
      </c>
      <c r="CI231" s="645">
        <f>WWWW[[#This Row],[%equitable and continuous access to sufficient quantity of safe drinking and domestic water''s GAP]]*WWWW[[#This Row],[Total PoP ]]</f>
        <v>1246</v>
      </c>
      <c r="CJ231" s="647">
        <f>IF(WWWW[[#This Row],[Total required water points]]-WWWW[[#This Row],['#Water points coverage]]&lt;0,0,WWWW[[#This Row],[Total required water points]]-WWWW[[#This Row],['#Water points coverage]])</f>
        <v>2</v>
      </c>
      <c r="CK231" s="647">
        <f>ROUND(IF(WWWW[[#This Row],[Total PoP ]]&lt;500,1,WWWW[[#This Row],[Total PoP ]]/500),0)</f>
        <v>2</v>
      </c>
      <c r="CL231" s="647">
        <f>(WWWW[[#This Row],['#_Constructed latrines_by_WASHAgencies]]+WWWW[[#This Row],['#_Non Cluster partner latrines]])-WWWW[[#This Row],['#_Non-functional latrines]]</f>
        <v>0</v>
      </c>
      <c r="CM231"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31"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31"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31" s="647" t="str">
        <f>IF(WWWW[[#This Row],[Location Type 1]]="Village","NA",IF(WWWW[[#This Row],['#_Constructed/Existing latrines in TLS]]*50&gt;WWWW[[#This Row],['#_students at TLS_CFS]],WWWW[[#This Row],['#_students at TLS_CFS]],(WWWW[[#This Row],['#_Constructed/Existing latrines in TLS]]*50)))</f>
        <v>NA</v>
      </c>
      <c r="CQ231" s="647">
        <f>ROUND(IF(WWWW[[#This Row],[Location Type 1]]="camp",WWWW[[#This Row],[Total PoP ]]/20,IF(WWWW[[#This Row],[Location Type 1]]="Temporary Location",WWWW[[#This Row],[Total PoP ]]/50,(WWWW[[#This Row],[Total PoP ]]/6))),0)</f>
        <v>208</v>
      </c>
      <c r="CR231" s="647">
        <f>IF(WWWW[[#This Row],[Total required Latrines]]-(WWWW[[#This Row],['#_Constructed latrines_by_WASHAgencies]]+WWWW[[#This Row],['#_Non Cluster partner latrines]])&lt;0,0,WWWW[[#This Row],[Total required Latrines]]-(WWWW[[#This Row],['#_Constructed latrines_by_WASHAgencies]]+WWWW[[#This Row],['#_Non Cluster partner latrines]]))</f>
        <v>208</v>
      </c>
      <c r="CS231" s="79">
        <f>1-WWWW[[#This Row],[% people access to functioning Latrine]]</f>
        <v>1</v>
      </c>
      <c r="CT231" s="649">
        <f>IF(OR(WWWW[[#This Row],['#_Non-functional latrines]]="",WWWW[[#This Row],['#_Non-functional latrines]]=0),0,WWWW[[#This Row],['#_Non-functional latrines]]/(WWWW[[#This Row],['#_Constructed latrines_by_WASHAgencies]]+WWWW[[#This Row],['#_Non Cluster partner latrines]]))</f>
        <v>0</v>
      </c>
      <c r="CU231" s="645">
        <f>IF(500*(WWWW[[#This Row],['#_male hygiene promoters]]+WWWW[[#This Row],['#_female hygiene promoters]])&gt;WWWW[[#This Row],[Total PoP ]],WWWW[[#This Row],[Total PoP ]],500*(WWWW[[#This Row],['#_male hygiene promoters]]+WWWW[[#This Row],['#_female hygiene promoters]]))</f>
        <v>0</v>
      </c>
      <c r="CV231"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31"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31" s="647">
        <f>IF(WWWW[[#This Row],['# People with access to soap]]&gt;WWWW[[#This Row],['# People with access to Sanity Pads]],WWWW[[#This Row],['# People with access to soap]],WWWW[[#This Row],['# People with access to Sanity Pads]])</f>
        <v>0</v>
      </c>
      <c r="CY231"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31" s="650">
        <f>IF(WWWW[[#This Row],[HRP3]]/WWWW[[#This Row],[Total PoP ]]&gt;100%,100%,WWWW[[#This Row],[HRP3]]/WWWW[[#This Row],[Total PoP ]])</f>
        <v>0</v>
      </c>
      <c r="DA231" s="649">
        <f>1-WWWW[[#This Row],[Hygiene Coverage%]]</f>
        <v>1</v>
      </c>
      <c r="DB231" s="648">
        <f>WWWW[[#This Row],['# people reached by regular dedicated hygiene promotion_5]]/WWWW[[#This Row],[Total PoP ]]</f>
        <v>0</v>
      </c>
      <c r="DC231" s="648">
        <f>IF(WWWW[[#This Row],['#_households that received standard amount of soap for this quarter]]/WWWW[[#This Row],[Total HH]]&gt;1,1,WWWW[[#This Row],['#_households that received standard amount of soap for this quarter]]/WWWW[[#This Row],[Total HH]])</f>
        <v>0</v>
      </c>
      <c r="DD231" s="648">
        <f>IF(WWWW[[#This Row],['#_households that received standard amount of sanitary pads for this quarter]]/WWWW[[#This Row],[Total HH]]&gt;1,1,WWWW[[#This Row],['#_households that received standard amount of sanitary pads for this quarter]]/WWWW[[#This Row],[Total HH]])</f>
        <v>0</v>
      </c>
      <c r="DE231" s="647">
        <f>WWWW[[#This Row],['#_Constructed/Existing hand washing stations]]-WWWW[[#This Row],['#_Non-Functional_hand_washing_stations]]</f>
        <v>0</v>
      </c>
      <c r="DF231" s="667">
        <f>IF(WWWW[[#This Row],['# Functional hand washing stations during reporting period]]*20&gt;WWWW[[#This Row],[Total HH]],WWWW[[#This Row],[Total HH]],WWWW[[#This Row],['# Functional hand washing stations during reporting period]]*20)</f>
        <v>0</v>
      </c>
      <c r="DG231" s="645">
        <f>IF(WWWW[[#This Row],[Is sufficient soap available for TLS? (Yes/No)]]="yes",WWWW[[#This Row],['#_Constructed/Existing hand washing stations at TLS]],0)</f>
        <v>0</v>
      </c>
      <c r="DH231" s="645">
        <f>IF(WWWW[[#This Row],['# Functional hand washing stations during reporting period]]*100&gt;WWWW[[#This Row],[Total PoP ]],WWWW[[#This Row],[Total PoP ]],WWWW[[#This Row],['# Functional hand washing stations during reporting period]]*100)</f>
        <v>0</v>
      </c>
      <c r="DI231" s="645" t="str">
        <f>IF(WWWW[[#This Row],['#_students at TLS_CFS]]="","No","Yes")</f>
        <v>No</v>
      </c>
      <c r="DJ231" s="643">
        <f>VLOOKUP(WWWW[[#This Row],[Site Name]],SiteDB6[[Site Name]:[CCCM Management]],6,FALSE)</f>
        <v>0</v>
      </c>
      <c r="DK231" s="643">
        <f>VLOOKUP(WWWW[[#This Row],[Site Name]],SiteDB6[[Site Name]:[CCCM Focal Agency]],7,FALSE)</f>
        <v>0</v>
      </c>
      <c r="DL231" s="643" t="str">
        <f>VLOOKUP(WWWW[[#This Row],[Site Name]],SiteDB6[[Site Name]:[Location Type 1]],9,FALSE)</f>
        <v>Village</v>
      </c>
      <c r="DM231" s="643" t="str">
        <f>VLOOKUP(WWWW[[#This Row],[Site Name]],SiteDB6[[Site Name]:[Type of Accommodation]],10,FALSE)</f>
        <v>Village</v>
      </c>
      <c r="DN231" s="643" t="str">
        <f>VLOOKUP(WWWW[[#This Row],[Site Name]],SiteDB6[[Site Name]:[Ethnic or GCA/NGCA]],11,FALSE)</f>
        <v>Rakhine</v>
      </c>
      <c r="DO231" s="643">
        <f>VLOOKUP(WWWW[[#This Row],[Site Name]],SiteDB6[[Site Name]:[Lat]],12,FALSE)</f>
        <v>0</v>
      </c>
      <c r="DP231" s="643">
        <f>VLOOKUP(WWWW[[#This Row],[Site Name]],SiteDB6[[Site Name]:[Long]],13,FALSE)</f>
        <v>0</v>
      </c>
      <c r="DQ231" s="643">
        <f>VLOOKUP(WWWW[[#This Row],[Site Name]],SiteDB6[[Site Name]:[Pcode]],3,FALSE)</f>
        <v>197447</v>
      </c>
      <c r="DR231" s="652" t="str">
        <f t="shared" si="8"/>
        <v>Covered</v>
      </c>
      <c r="DS231" s="652"/>
    </row>
    <row r="232" spans="1:123">
      <c r="A232" s="637" t="s">
        <v>2525</v>
      </c>
      <c r="B232" s="637" t="s">
        <v>352</v>
      </c>
      <c r="C232" s="644" t="s">
        <v>352</v>
      </c>
      <c r="D232" s="644" t="s">
        <v>345</v>
      </c>
      <c r="E232" s="663" t="s">
        <v>3014</v>
      </c>
      <c r="F232" s="644" t="s">
        <v>420</v>
      </c>
      <c r="G232" s="663" t="str">
        <f>VLOOKUP(WWWW[[#This Row],[Site Name]],SiteDB6[[Site Name]:[Location Type]],8,FALSE)</f>
        <v>Village</v>
      </c>
      <c r="H232" s="644" t="s">
        <v>2857</v>
      </c>
      <c r="I232" s="646">
        <v>215</v>
      </c>
      <c r="J232" s="646">
        <v>959</v>
      </c>
      <c r="K232" s="653"/>
      <c r="L232" s="654">
        <v>44439</v>
      </c>
      <c r="M232" s="646"/>
      <c r="N232" s="646"/>
      <c r="O232" s="646"/>
      <c r="P232" s="646"/>
      <c r="Q232" s="645"/>
      <c r="R232" s="646"/>
      <c r="S232" s="646"/>
      <c r="T232" s="646"/>
      <c r="U232" s="646"/>
      <c r="V232" s="646"/>
      <c r="W232" s="646"/>
      <c r="X232" s="646"/>
      <c r="Y232" s="646"/>
      <c r="Z232" s="646"/>
      <c r="AA232" s="646"/>
      <c r="AB232" s="646"/>
      <c r="AC232" s="646"/>
      <c r="AD232" s="646"/>
      <c r="AE232" s="646"/>
      <c r="AF232" s="646"/>
      <c r="AG232" s="646"/>
      <c r="AH232" s="646"/>
      <c r="AI232" s="646"/>
      <c r="AJ232" s="646"/>
      <c r="AK232" s="646"/>
      <c r="AL232" s="646"/>
      <c r="AM232" s="646"/>
      <c r="AN232" s="646"/>
      <c r="AO232" s="652"/>
      <c r="AP232" s="646"/>
      <c r="AQ232" s="646"/>
      <c r="AR232" s="648"/>
      <c r="AS232" s="646"/>
      <c r="AT232" s="646"/>
      <c r="AU232" s="646"/>
      <c r="AV232" s="646"/>
      <c r="AW232" s="646"/>
      <c r="AX232" s="643"/>
      <c r="AY232" s="652"/>
      <c r="AZ232" s="646"/>
      <c r="BA232" s="646"/>
      <c r="BB232" s="646"/>
      <c r="BC232" s="643"/>
      <c r="BD232" s="646"/>
      <c r="BE232" s="646"/>
      <c r="BF232" s="646"/>
      <c r="BG232" s="646"/>
      <c r="BH232" s="646"/>
      <c r="BI232" s="646"/>
      <c r="BJ232" s="646"/>
      <c r="BK232" s="646"/>
      <c r="BL232" s="646"/>
      <c r="BM232" s="643"/>
      <c r="BN232" s="647"/>
      <c r="BO232" s="648"/>
      <c r="BP232" s="643"/>
      <c r="BQ232" s="649" t="str">
        <f>IFERROR(WWWW[[#This Row],['#_Water sources treated]]/WWWW[[#This Row],['#_Water sources tested for contamination]],"no test")</f>
        <v>no test</v>
      </c>
      <c r="BR232" s="648" t="str">
        <f>IFERROR(WWWW[[#This Row],['#_Household received remediation action due to contamination]]/WWWW[[#This Row],['#_Household water samples tested for contamination]],"no test")</f>
        <v>no test</v>
      </c>
      <c r="BS232" s="647" t="str">
        <f>IF(AND(WWWW[[#This Row],[% of water sources treated]]="no test",WWWW[[#This Row],[% Household received corrective actions]]="no test"),"No Test","Tested")</f>
        <v>No Test</v>
      </c>
      <c r="BT232" s="647">
        <f>WWWW[[#This Row],['#_Constructed/existing protected hand dug well]]-WWWW[[#This Row],['#_Non-functional protected hand dug well]]</f>
        <v>0</v>
      </c>
      <c r="BU232" s="647">
        <f>(WWWW[[#This Row],['#_Constructed/Existing tube wells/boreholes/handpumps_WASH_agency]]+WWWW[[#This Row],['#_Non-Cluster partner water tube-wells/boreholes/handpumps]])-WWWW[[#This Row],['#_Non-functional tube wells/boreholes/handpumps]]</f>
        <v>0</v>
      </c>
      <c r="BV232" s="647">
        <f>WWWW[[#This Row],['#_Constructed/Existingwater storage tank with gravity fed reticulation system]]-WWWW[[#This Row],['#_Non-functional storage tank gravity fed reticulation system]]</f>
        <v>0</v>
      </c>
      <c r="BW232" s="647">
        <f>WWWW[[#This Row],['#_Water boating or water trucking]]</f>
        <v>0</v>
      </c>
      <c r="BX232" s="647">
        <f>WWWW[[#This Row],['#_Constructed/Existing water distribution system from river or natural spring]]</f>
        <v>0</v>
      </c>
      <c r="BY232"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32"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32" s="648">
        <f>IF(WWWW[[#This Row],[Location Type 1]]="Village",WWWW[[#This Row],[Access to safe drinking water for Village]],WWWW[[#This Row],[Access to safe drinking water for Camp]])</f>
        <v>0</v>
      </c>
      <c r="CB232" s="645">
        <f>WWWW[[#This Row],[%Equitable and continuous access to sufficient quantity of safe drinking water]]*WWWW[[#This Row],[Total PoP ]]</f>
        <v>0</v>
      </c>
      <c r="CC232" s="648">
        <f>IF((WWWW[[#This Row],['#_Constructed/Existing protected/fenced ponds]]*250)/WWWW[[#This Row],[Total PoP ]]&gt;1,1,(WWWW[[#This Row],['#_Constructed/Existing protected/fenced ponds]]*250)/WWWW[[#This Row],[Total PoP ]])</f>
        <v>0</v>
      </c>
      <c r="CD232" s="645">
        <f>WWWW[[#This Row],[% Access to unimproved water points]]*WWWW[[#This Row],[Total PoP ]]</f>
        <v>0</v>
      </c>
      <c r="CE232"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32"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32" s="645">
        <f>WWWW[[#This Row],[HRP1]]/500</f>
        <v>0</v>
      </c>
      <c r="CH232" s="650">
        <f>1-WWWW[[#This Row],[% Equitable and continuous access to sufficient quantity of domestic water]]</f>
        <v>1</v>
      </c>
      <c r="CI232" s="645">
        <f>WWWW[[#This Row],[%equitable and continuous access to sufficient quantity of safe drinking and domestic water''s GAP]]*WWWW[[#This Row],[Total PoP ]]</f>
        <v>959</v>
      </c>
      <c r="CJ232" s="647">
        <f>IF(WWWW[[#This Row],[Total required water points]]-WWWW[[#This Row],['#Water points coverage]]&lt;0,0,WWWW[[#This Row],[Total required water points]]-WWWW[[#This Row],['#Water points coverage]])</f>
        <v>2</v>
      </c>
      <c r="CK232" s="647">
        <f>ROUND(IF(WWWW[[#This Row],[Total PoP ]]&lt;500,1,WWWW[[#This Row],[Total PoP ]]/500),0)</f>
        <v>2</v>
      </c>
      <c r="CL232" s="647">
        <f>(WWWW[[#This Row],['#_Constructed latrines_by_WASHAgencies]]+WWWW[[#This Row],['#_Non Cluster partner latrines]])-WWWW[[#This Row],['#_Non-functional latrines]]</f>
        <v>0</v>
      </c>
      <c r="CM232"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32"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32"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32" s="647" t="str">
        <f>IF(WWWW[[#This Row],[Location Type 1]]="Village","NA",IF(WWWW[[#This Row],['#_Constructed/Existing latrines in TLS]]*50&gt;WWWW[[#This Row],['#_students at TLS_CFS]],WWWW[[#This Row],['#_students at TLS_CFS]],(WWWW[[#This Row],['#_Constructed/Existing latrines in TLS]]*50)))</f>
        <v>NA</v>
      </c>
      <c r="CQ232" s="647">
        <f>ROUND(IF(WWWW[[#This Row],[Location Type 1]]="camp",WWWW[[#This Row],[Total PoP ]]/20,IF(WWWW[[#This Row],[Location Type 1]]="Temporary Location",WWWW[[#This Row],[Total PoP ]]/50,(WWWW[[#This Row],[Total PoP ]]/6))),0)</f>
        <v>160</v>
      </c>
      <c r="CR232" s="647">
        <f>IF(WWWW[[#This Row],[Total required Latrines]]-(WWWW[[#This Row],['#_Constructed latrines_by_WASHAgencies]]+WWWW[[#This Row],['#_Non Cluster partner latrines]])&lt;0,0,WWWW[[#This Row],[Total required Latrines]]-(WWWW[[#This Row],['#_Constructed latrines_by_WASHAgencies]]+WWWW[[#This Row],['#_Non Cluster partner latrines]]))</f>
        <v>160</v>
      </c>
      <c r="CS232" s="79">
        <f>1-WWWW[[#This Row],[% people access to functioning Latrine]]</f>
        <v>1</v>
      </c>
      <c r="CT232" s="649">
        <f>IF(OR(WWWW[[#This Row],['#_Non-functional latrines]]="",WWWW[[#This Row],['#_Non-functional latrines]]=0),0,WWWW[[#This Row],['#_Non-functional latrines]]/(WWWW[[#This Row],['#_Constructed latrines_by_WASHAgencies]]+WWWW[[#This Row],['#_Non Cluster partner latrines]]))</f>
        <v>0</v>
      </c>
      <c r="CU232" s="645">
        <f>IF(500*(WWWW[[#This Row],['#_male hygiene promoters]]+WWWW[[#This Row],['#_female hygiene promoters]])&gt;WWWW[[#This Row],[Total PoP ]],WWWW[[#This Row],[Total PoP ]],500*(WWWW[[#This Row],['#_male hygiene promoters]]+WWWW[[#This Row],['#_female hygiene promoters]]))</f>
        <v>0</v>
      </c>
      <c r="CV232"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32"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32" s="647">
        <f>IF(WWWW[[#This Row],['# People with access to soap]]&gt;WWWW[[#This Row],['# People with access to Sanity Pads]],WWWW[[#This Row],['# People with access to soap]],WWWW[[#This Row],['# People with access to Sanity Pads]])</f>
        <v>0</v>
      </c>
      <c r="CY232"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32" s="650">
        <f>IF(WWWW[[#This Row],[HRP3]]/WWWW[[#This Row],[Total PoP ]]&gt;100%,100%,WWWW[[#This Row],[HRP3]]/WWWW[[#This Row],[Total PoP ]])</f>
        <v>0</v>
      </c>
      <c r="DA232" s="649">
        <f>1-WWWW[[#This Row],[Hygiene Coverage%]]</f>
        <v>1</v>
      </c>
      <c r="DB232" s="648">
        <f>WWWW[[#This Row],['# people reached by regular dedicated hygiene promotion_5]]/WWWW[[#This Row],[Total PoP ]]</f>
        <v>0</v>
      </c>
      <c r="DC232" s="648">
        <f>IF(WWWW[[#This Row],['#_households that received standard amount of soap for this quarter]]/WWWW[[#This Row],[Total HH]]&gt;1,1,WWWW[[#This Row],['#_households that received standard amount of soap for this quarter]]/WWWW[[#This Row],[Total HH]])</f>
        <v>0</v>
      </c>
      <c r="DD232" s="648">
        <f>IF(WWWW[[#This Row],['#_households that received standard amount of sanitary pads for this quarter]]/WWWW[[#This Row],[Total HH]]&gt;1,1,WWWW[[#This Row],['#_households that received standard amount of sanitary pads for this quarter]]/WWWW[[#This Row],[Total HH]])</f>
        <v>0</v>
      </c>
      <c r="DE232" s="647">
        <f>WWWW[[#This Row],['#_Constructed/Existing hand washing stations]]-WWWW[[#This Row],['#_Non-Functional_hand_washing_stations]]</f>
        <v>0</v>
      </c>
      <c r="DF232" s="667">
        <f>IF(WWWW[[#This Row],['# Functional hand washing stations during reporting period]]*20&gt;WWWW[[#This Row],[Total HH]],WWWW[[#This Row],[Total HH]],WWWW[[#This Row],['# Functional hand washing stations during reporting period]]*20)</f>
        <v>0</v>
      </c>
      <c r="DG232" s="645">
        <f>IF(WWWW[[#This Row],[Is sufficient soap available for TLS? (Yes/No)]]="yes",WWWW[[#This Row],['#_Constructed/Existing hand washing stations at TLS]],0)</f>
        <v>0</v>
      </c>
      <c r="DH232" s="645">
        <f>IF(WWWW[[#This Row],['# Functional hand washing stations during reporting period]]*100&gt;WWWW[[#This Row],[Total PoP ]],WWWW[[#This Row],[Total PoP ]],WWWW[[#This Row],['# Functional hand washing stations during reporting period]]*100)</f>
        <v>0</v>
      </c>
      <c r="DI232" s="645" t="str">
        <f>IF(WWWW[[#This Row],['#_students at TLS_CFS]]="","No","Yes")</f>
        <v>No</v>
      </c>
      <c r="DJ232" s="643">
        <f>VLOOKUP(WWWW[[#This Row],[Site Name]],SiteDB6[[Site Name]:[CCCM Management]],6,FALSE)</f>
        <v>0</v>
      </c>
      <c r="DK232" s="643">
        <f>VLOOKUP(WWWW[[#This Row],[Site Name]],SiteDB6[[Site Name]:[CCCM Focal Agency]],7,FALSE)</f>
        <v>0</v>
      </c>
      <c r="DL232" s="643" t="str">
        <f>VLOOKUP(WWWW[[#This Row],[Site Name]],SiteDB6[[Site Name]:[Location Type 1]],9,FALSE)</f>
        <v>Village</v>
      </c>
      <c r="DM232" s="643" t="str">
        <f>VLOOKUP(WWWW[[#This Row],[Site Name]],SiteDB6[[Site Name]:[Type of Accommodation]],10,FALSE)</f>
        <v>Village</v>
      </c>
      <c r="DN232" s="643" t="str">
        <f>VLOOKUP(WWWW[[#This Row],[Site Name]],SiteDB6[[Site Name]:[Ethnic or GCA/NGCA]],11,FALSE)</f>
        <v>Rakhine</v>
      </c>
      <c r="DO232" s="643">
        <f>VLOOKUP(WWWW[[#This Row],[Site Name]],SiteDB6[[Site Name]:[Lat]],12,FALSE)</f>
        <v>0</v>
      </c>
      <c r="DP232" s="643">
        <f>VLOOKUP(WWWW[[#This Row],[Site Name]],SiteDB6[[Site Name]:[Long]],13,FALSE)</f>
        <v>0</v>
      </c>
      <c r="DQ232" s="643">
        <f>VLOOKUP(WWWW[[#This Row],[Site Name]],SiteDB6[[Site Name]:[Pcode]],3,FALSE)</f>
        <v>197449</v>
      </c>
      <c r="DR232" s="652" t="str">
        <f t="shared" si="8"/>
        <v>Covered</v>
      </c>
      <c r="DS232" s="652"/>
    </row>
    <row r="233" spans="1:123">
      <c r="A233" s="637" t="s">
        <v>2525</v>
      </c>
      <c r="B233" s="637" t="s">
        <v>352</v>
      </c>
      <c r="C233" s="644" t="s">
        <v>352</v>
      </c>
      <c r="D233" s="644" t="s">
        <v>345</v>
      </c>
      <c r="E233" s="663" t="s">
        <v>3014</v>
      </c>
      <c r="F233" s="644" t="s">
        <v>420</v>
      </c>
      <c r="G233" s="663" t="str">
        <f>VLOOKUP(WWWW[[#This Row],[Site Name]],SiteDB6[[Site Name]:[Location Type]],8,FALSE)</f>
        <v>Village</v>
      </c>
      <c r="H233" s="644" t="s">
        <v>2858</v>
      </c>
      <c r="I233" s="646">
        <v>207</v>
      </c>
      <c r="J233" s="646">
        <v>957</v>
      </c>
      <c r="K233" s="653"/>
      <c r="L233" s="654">
        <v>44439</v>
      </c>
      <c r="M233" s="646"/>
      <c r="N233" s="646"/>
      <c r="O233" s="646"/>
      <c r="P233" s="646"/>
      <c r="Q233" s="645"/>
      <c r="R233" s="646"/>
      <c r="S233" s="646"/>
      <c r="T233" s="646"/>
      <c r="U233" s="646"/>
      <c r="V233" s="646"/>
      <c r="W233" s="646"/>
      <c r="X233" s="646"/>
      <c r="Y233" s="646"/>
      <c r="Z233" s="646"/>
      <c r="AA233" s="646"/>
      <c r="AB233" s="646"/>
      <c r="AC233" s="646"/>
      <c r="AD233" s="646"/>
      <c r="AE233" s="646"/>
      <c r="AF233" s="646"/>
      <c r="AG233" s="646"/>
      <c r="AH233" s="646"/>
      <c r="AI233" s="646"/>
      <c r="AJ233" s="646"/>
      <c r="AK233" s="646"/>
      <c r="AL233" s="646"/>
      <c r="AM233" s="646"/>
      <c r="AN233" s="646"/>
      <c r="AO233" s="652"/>
      <c r="AP233" s="646"/>
      <c r="AQ233" s="646"/>
      <c r="AR233" s="648"/>
      <c r="AS233" s="646"/>
      <c r="AT233" s="646"/>
      <c r="AU233" s="646"/>
      <c r="AV233" s="646"/>
      <c r="AW233" s="646"/>
      <c r="AX233" s="643"/>
      <c r="AY233" s="652"/>
      <c r="AZ233" s="646"/>
      <c r="BA233" s="646"/>
      <c r="BB233" s="646"/>
      <c r="BC233" s="643"/>
      <c r="BD233" s="646"/>
      <c r="BE233" s="646"/>
      <c r="BF233" s="646"/>
      <c r="BG233" s="646"/>
      <c r="BH233" s="646"/>
      <c r="BI233" s="646"/>
      <c r="BJ233" s="646"/>
      <c r="BK233" s="646"/>
      <c r="BL233" s="646"/>
      <c r="BM233" s="643"/>
      <c r="BN233" s="647"/>
      <c r="BO233" s="648"/>
      <c r="BP233" s="643"/>
      <c r="BQ233" s="649" t="str">
        <f>IFERROR(WWWW[[#This Row],['#_Water sources treated]]/WWWW[[#This Row],['#_Water sources tested for contamination]],"no test")</f>
        <v>no test</v>
      </c>
      <c r="BR233" s="648" t="str">
        <f>IFERROR(WWWW[[#This Row],['#_Household received remediation action due to contamination]]/WWWW[[#This Row],['#_Household water samples tested for contamination]],"no test")</f>
        <v>no test</v>
      </c>
      <c r="BS233" s="647" t="str">
        <f>IF(AND(WWWW[[#This Row],[% of water sources treated]]="no test",WWWW[[#This Row],[% Household received corrective actions]]="no test"),"No Test","Tested")</f>
        <v>No Test</v>
      </c>
      <c r="BT233" s="647">
        <f>WWWW[[#This Row],['#_Constructed/existing protected hand dug well]]-WWWW[[#This Row],['#_Non-functional protected hand dug well]]</f>
        <v>0</v>
      </c>
      <c r="BU233" s="647">
        <f>(WWWW[[#This Row],['#_Constructed/Existing tube wells/boreholes/handpumps_WASH_agency]]+WWWW[[#This Row],['#_Non-Cluster partner water tube-wells/boreholes/handpumps]])-WWWW[[#This Row],['#_Non-functional tube wells/boreholes/handpumps]]</f>
        <v>0</v>
      </c>
      <c r="BV233" s="647">
        <f>WWWW[[#This Row],['#_Constructed/Existingwater storage tank with gravity fed reticulation system]]-WWWW[[#This Row],['#_Non-functional storage tank gravity fed reticulation system]]</f>
        <v>0</v>
      </c>
      <c r="BW233" s="647">
        <f>WWWW[[#This Row],['#_Water boating or water trucking]]</f>
        <v>0</v>
      </c>
      <c r="BX233" s="647">
        <f>WWWW[[#This Row],['#_Constructed/Existing water distribution system from river or natural spring]]</f>
        <v>0</v>
      </c>
      <c r="BY233"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33"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33" s="648">
        <f>IF(WWWW[[#This Row],[Location Type 1]]="Village",WWWW[[#This Row],[Access to safe drinking water for Village]],WWWW[[#This Row],[Access to safe drinking water for Camp]])</f>
        <v>0</v>
      </c>
      <c r="CB233" s="645">
        <f>WWWW[[#This Row],[%Equitable and continuous access to sufficient quantity of safe drinking water]]*WWWW[[#This Row],[Total PoP ]]</f>
        <v>0</v>
      </c>
      <c r="CC233" s="648">
        <f>IF((WWWW[[#This Row],['#_Constructed/Existing protected/fenced ponds]]*250)/WWWW[[#This Row],[Total PoP ]]&gt;1,1,(WWWW[[#This Row],['#_Constructed/Existing protected/fenced ponds]]*250)/WWWW[[#This Row],[Total PoP ]])</f>
        <v>0</v>
      </c>
      <c r="CD233" s="645">
        <f>WWWW[[#This Row],[% Access to unimproved water points]]*WWWW[[#This Row],[Total PoP ]]</f>
        <v>0</v>
      </c>
      <c r="CE233"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33"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33" s="645">
        <f>WWWW[[#This Row],[HRP1]]/500</f>
        <v>0</v>
      </c>
      <c r="CH233" s="650">
        <f>1-WWWW[[#This Row],[% Equitable and continuous access to sufficient quantity of domestic water]]</f>
        <v>1</v>
      </c>
      <c r="CI233" s="645">
        <f>WWWW[[#This Row],[%equitable and continuous access to sufficient quantity of safe drinking and domestic water''s GAP]]*WWWW[[#This Row],[Total PoP ]]</f>
        <v>957</v>
      </c>
      <c r="CJ233" s="647">
        <f>IF(WWWW[[#This Row],[Total required water points]]-WWWW[[#This Row],['#Water points coverage]]&lt;0,0,WWWW[[#This Row],[Total required water points]]-WWWW[[#This Row],['#Water points coverage]])</f>
        <v>2</v>
      </c>
      <c r="CK233" s="647">
        <f>ROUND(IF(WWWW[[#This Row],[Total PoP ]]&lt;500,1,WWWW[[#This Row],[Total PoP ]]/500),0)</f>
        <v>2</v>
      </c>
      <c r="CL233" s="647">
        <f>(WWWW[[#This Row],['#_Constructed latrines_by_WASHAgencies]]+WWWW[[#This Row],['#_Non Cluster partner latrines]])-WWWW[[#This Row],['#_Non-functional latrines]]</f>
        <v>0</v>
      </c>
      <c r="CM233"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33"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33"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33" s="647" t="str">
        <f>IF(WWWW[[#This Row],[Location Type 1]]="Village","NA",IF(WWWW[[#This Row],['#_Constructed/Existing latrines in TLS]]*50&gt;WWWW[[#This Row],['#_students at TLS_CFS]],WWWW[[#This Row],['#_students at TLS_CFS]],(WWWW[[#This Row],['#_Constructed/Existing latrines in TLS]]*50)))</f>
        <v>NA</v>
      </c>
      <c r="CQ233" s="647">
        <f>ROUND(IF(WWWW[[#This Row],[Location Type 1]]="camp",WWWW[[#This Row],[Total PoP ]]/20,IF(WWWW[[#This Row],[Location Type 1]]="Temporary Location",WWWW[[#This Row],[Total PoP ]]/50,(WWWW[[#This Row],[Total PoP ]]/6))),0)</f>
        <v>160</v>
      </c>
      <c r="CR233" s="647">
        <f>IF(WWWW[[#This Row],[Total required Latrines]]-(WWWW[[#This Row],['#_Constructed latrines_by_WASHAgencies]]+WWWW[[#This Row],['#_Non Cluster partner latrines]])&lt;0,0,WWWW[[#This Row],[Total required Latrines]]-(WWWW[[#This Row],['#_Constructed latrines_by_WASHAgencies]]+WWWW[[#This Row],['#_Non Cluster partner latrines]]))</f>
        <v>160</v>
      </c>
      <c r="CS233" s="79">
        <f>1-WWWW[[#This Row],[% people access to functioning Latrine]]</f>
        <v>1</v>
      </c>
      <c r="CT233" s="649">
        <f>IF(OR(WWWW[[#This Row],['#_Non-functional latrines]]="",WWWW[[#This Row],['#_Non-functional latrines]]=0),0,WWWW[[#This Row],['#_Non-functional latrines]]/(WWWW[[#This Row],['#_Constructed latrines_by_WASHAgencies]]+WWWW[[#This Row],['#_Non Cluster partner latrines]]))</f>
        <v>0</v>
      </c>
      <c r="CU233" s="645">
        <f>IF(500*(WWWW[[#This Row],['#_male hygiene promoters]]+WWWW[[#This Row],['#_female hygiene promoters]])&gt;WWWW[[#This Row],[Total PoP ]],WWWW[[#This Row],[Total PoP ]],500*(WWWW[[#This Row],['#_male hygiene promoters]]+WWWW[[#This Row],['#_female hygiene promoters]]))</f>
        <v>0</v>
      </c>
      <c r="CV233"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33"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33" s="647">
        <f>IF(WWWW[[#This Row],['# People with access to soap]]&gt;WWWW[[#This Row],['# People with access to Sanity Pads]],WWWW[[#This Row],['# People with access to soap]],WWWW[[#This Row],['# People with access to Sanity Pads]])</f>
        <v>0</v>
      </c>
      <c r="CY233"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33" s="650">
        <f>IF(WWWW[[#This Row],[HRP3]]/WWWW[[#This Row],[Total PoP ]]&gt;100%,100%,WWWW[[#This Row],[HRP3]]/WWWW[[#This Row],[Total PoP ]])</f>
        <v>0</v>
      </c>
      <c r="DA233" s="649">
        <f>1-WWWW[[#This Row],[Hygiene Coverage%]]</f>
        <v>1</v>
      </c>
      <c r="DB233" s="648">
        <f>WWWW[[#This Row],['# people reached by regular dedicated hygiene promotion_5]]/WWWW[[#This Row],[Total PoP ]]</f>
        <v>0</v>
      </c>
      <c r="DC233" s="648">
        <f>IF(WWWW[[#This Row],['#_households that received standard amount of soap for this quarter]]/WWWW[[#This Row],[Total HH]]&gt;1,1,WWWW[[#This Row],['#_households that received standard amount of soap for this quarter]]/WWWW[[#This Row],[Total HH]])</f>
        <v>0</v>
      </c>
      <c r="DD233" s="648">
        <f>IF(WWWW[[#This Row],['#_households that received standard amount of sanitary pads for this quarter]]/WWWW[[#This Row],[Total HH]]&gt;1,1,WWWW[[#This Row],['#_households that received standard amount of sanitary pads for this quarter]]/WWWW[[#This Row],[Total HH]])</f>
        <v>0</v>
      </c>
      <c r="DE233" s="647">
        <f>WWWW[[#This Row],['#_Constructed/Existing hand washing stations]]-WWWW[[#This Row],['#_Non-Functional_hand_washing_stations]]</f>
        <v>0</v>
      </c>
      <c r="DF233" s="667">
        <f>IF(WWWW[[#This Row],['# Functional hand washing stations during reporting period]]*20&gt;WWWW[[#This Row],[Total HH]],WWWW[[#This Row],[Total HH]],WWWW[[#This Row],['# Functional hand washing stations during reporting period]]*20)</f>
        <v>0</v>
      </c>
      <c r="DG233" s="645">
        <f>IF(WWWW[[#This Row],[Is sufficient soap available for TLS? (Yes/No)]]="yes",WWWW[[#This Row],['#_Constructed/Existing hand washing stations at TLS]],0)</f>
        <v>0</v>
      </c>
      <c r="DH233" s="645">
        <f>IF(WWWW[[#This Row],['# Functional hand washing stations during reporting period]]*100&gt;WWWW[[#This Row],[Total PoP ]],WWWW[[#This Row],[Total PoP ]],WWWW[[#This Row],['# Functional hand washing stations during reporting period]]*100)</f>
        <v>0</v>
      </c>
      <c r="DI233" s="645" t="str">
        <f>IF(WWWW[[#This Row],['#_students at TLS_CFS]]="","No","Yes")</f>
        <v>No</v>
      </c>
      <c r="DJ233" s="643">
        <f>VLOOKUP(WWWW[[#This Row],[Site Name]],SiteDB6[[Site Name]:[CCCM Management]],6,FALSE)</f>
        <v>0</v>
      </c>
      <c r="DK233" s="643">
        <f>VLOOKUP(WWWW[[#This Row],[Site Name]],SiteDB6[[Site Name]:[CCCM Focal Agency]],7,FALSE)</f>
        <v>0</v>
      </c>
      <c r="DL233" s="643" t="str">
        <f>VLOOKUP(WWWW[[#This Row],[Site Name]],SiteDB6[[Site Name]:[Location Type 1]],9,FALSE)</f>
        <v>Village</v>
      </c>
      <c r="DM233" s="643" t="str">
        <f>VLOOKUP(WWWW[[#This Row],[Site Name]],SiteDB6[[Site Name]:[Type of Accommodation]],10,FALSE)</f>
        <v>Village</v>
      </c>
      <c r="DN233" s="643" t="str">
        <f>VLOOKUP(WWWW[[#This Row],[Site Name]],SiteDB6[[Site Name]:[Ethnic or GCA/NGCA]],11,FALSE)</f>
        <v>Rakhine</v>
      </c>
      <c r="DO233" s="643">
        <f>VLOOKUP(WWWW[[#This Row],[Site Name]],SiteDB6[[Site Name]:[Lat]],12,FALSE)</f>
        <v>0</v>
      </c>
      <c r="DP233" s="643">
        <f>VLOOKUP(WWWW[[#This Row],[Site Name]],SiteDB6[[Site Name]:[Long]],13,FALSE)</f>
        <v>0</v>
      </c>
      <c r="DQ233" s="643">
        <f>VLOOKUP(WWWW[[#This Row],[Site Name]],SiteDB6[[Site Name]:[Pcode]],3,FALSE)</f>
        <v>197451</v>
      </c>
      <c r="DR233" s="652" t="str">
        <f t="shared" si="8"/>
        <v>Covered</v>
      </c>
      <c r="DS233" s="652"/>
    </row>
    <row r="234" spans="1:123">
      <c r="A234" s="637" t="s">
        <v>2525</v>
      </c>
      <c r="B234" s="637" t="s">
        <v>352</v>
      </c>
      <c r="C234" s="644" t="s">
        <v>352</v>
      </c>
      <c r="D234" s="644" t="s">
        <v>345</v>
      </c>
      <c r="E234" s="663" t="s">
        <v>3014</v>
      </c>
      <c r="F234" s="644" t="s">
        <v>420</v>
      </c>
      <c r="G234" s="663" t="str">
        <f>VLOOKUP(WWWW[[#This Row],[Site Name]],SiteDB6[[Site Name]:[Location Type]],8,FALSE)</f>
        <v>Village</v>
      </c>
      <c r="H234" s="644" t="s">
        <v>2859</v>
      </c>
      <c r="I234" s="646">
        <v>169</v>
      </c>
      <c r="J234" s="646">
        <v>776</v>
      </c>
      <c r="K234" s="653"/>
      <c r="L234" s="654">
        <v>44439</v>
      </c>
      <c r="M234" s="646"/>
      <c r="N234" s="646"/>
      <c r="O234" s="646"/>
      <c r="P234" s="646"/>
      <c r="Q234" s="645"/>
      <c r="R234" s="646"/>
      <c r="S234" s="646"/>
      <c r="T234" s="646"/>
      <c r="U234" s="646"/>
      <c r="V234" s="646"/>
      <c r="W234" s="646"/>
      <c r="X234" s="646"/>
      <c r="Y234" s="646"/>
      <c r="Z234" s="646"/>
      <c r="AA234" s="646"/>
      <c r="AB234" s="646"/>
      <c r="AC234" s="646"/>
      <c r="AD234" s="646"/>
      <c r="AE234" s="646"/>
      <c r="AF234" s="646"/>
      <c r="AG234" s="646"/>
      <c r="AH234" s="646"/>
      <c r="AI234" s="646"/>
      <c r="AJ234" s="646"/>
      <c r="AK234" s="646"/>
      <c r="AL234" s="646"/>
      <c r="AM234" s="646"/>
      <c r="AN234" s="646"/>
      <c r="AO234" s="652"/>
      <c r="AP234" s="646"/>
      <c r="AQ234" s="646"/>
      <c r="AR234" s="648"/>
      <c r="AS234" s="646"/>
      <c r="AT234" s="646"/>
      <c r="AU234" s="646"/>
      <c r="AV234" s="646"/>
      <c r="AW234" s="646"/>
      <c r="AX234" s="643"/>
      <c r="AY234" s="652"/>
      <c r="AZ234" s="646"/>
      <c r="BA234" s="646"/>
      <c r="BB234" s="646"/>
      <c r="BC234" s="643"/>
      <c r="BD234" s="646"/>
      <c r="BE234" s="646"/>
      <c r="BF234" s="646"/>
      <c r="BG234" s="646"/>
      <c r="BH234" s="646"/>
      <c r="BI234" s="646"/>
      <c r="BJ234" s="646"/>
      <c r="BK234" s="646"/>
      <c r="BL234" s="646"/>
      <c r="BM234" s="643"/>
      <c r="BN234" s="647"/>
      <c r="BO234" s="648"/>
      <c r="BP234" s="643"/>
      <c r="BQ234" s="649" t="str">
        <f>IFERROR(WWWW[[#This Row],['#_Water sources treated]]/WWWW[[#This Row],['#_Water sources tested for contamination]],"no test")</f>
        <v>no test</v>
      </c>
      <c r="BR234" s="648" t="str">
        <f>IFERROR(WWWW[[#This Row],['#_Household received remediation action due to contamination]]/WWWW[[#This Row],['#_Household water samples tested for contamination]],"no test")</f>
        <v>no test</v>
      </c>
      <c r="BS234" s="647" t="str">
        <f>IF(AND(WWWW[[#This Row],[% of water sources treated]]="no test",WWWW[[#This Row],[% Household received corrective actions]]="no test"),"No Test","Tested")</f>
        <v>No Test</v>
      </c>
      <c r="BT234" s="647">
        <f>WWWW[[#This Row],['#_Constructed/existing protected hand dug well]]-WWWW[[#This Row],['#_Non-functional protected hand dug well]]</f>
        <v>0</v>
      </c>
      <c r="BU234" s="647">
        <f>(WWWW[[#This Row],['#_Constructed/Existing tube wells/boreholes/handpumps_WASH_agency]]+WWWW[[#This Row],['#_Non-Cluster partner water tube-wells/boreholes/handpumps]])-WWWW[[#This Row],['#_Non-functional tube wells/boreholes/handpumps]]</f>
        <v>0</v>
      </c>
      <c r="BV234" s="647">
        <f>WWWW[[#This Row],['#_Constructed/Existingwater storage tank with gravity fed reticulation system]]-WWWW[[#This Row],['#_Non-functional storage tank gravity fed reticulation system]]</f>
        <v>0</v>
      </c>
      <c r="BW234" s="647">
        <f>WWWW[[#This Row],['#_Water boating or water trucking]]</f>
        <v>0</v>
      </c>
      <c r="BX234" s="647">
        <f>WWWW[[#This Row],['#_Constructed/Existing water distribution system from river or natural spring]]</f>
        <v>0</v>
      </c>
      <c r="BY234"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34"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34" s="648">
        <f>IF(WWWW[[#This Row],[Location Type 1]]="Village",WWWW[[#This Row],[Access to safe drinking water for Village]],WWWW[[#This Row],[Access to safe drinking water for Camp]])</f>
        <v>0</v>
      </c>
      <c r="CB234" s="645">
        <f>WWWW[[#This Row],[%Equitable and continuous access to sufficient quantity of safe drinking water]]*WWWW[[#This Row],[Total PoP ]]</f>
        <v>0</v>
      </c>
      <c r="CC234" s="648">
        <f>IF((WWWW[[#This Row],['#_Constructed/Existing protected/fenced ponds]]*250)/WWWW[[#This Row],[Total PoP ]]&gt;1,1,(WWWW[[#This Row],['#_Constructed/Existing protected/fenced ponds]]*250)/WWWW[[#This Row],[Total PoP ]])</f>
        <v>0</v>
      </c>
      <c r="CD234" s="645">
        <f>WWWW[[#This Row],[% Access to unimproved water points]]*WWWW[[#This Row],[Total PoP ]]</f>
        <v>0</v>
      </c>
      <c r="CE234"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34"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34" s="645">
        <f>WWWW[[#This Row],[HRP1]]/500</f>
        <v>0</v>
      </c>
      <c r="CH234" s="650">
        <f>1-WWWW[[#This Row],[% Equitable and continuous access to sufficient quantity of domestic water]]</f>
        <v>1</v>
      </c>
      <c r="CI234" s="645">
        <f>WWWW[[#This Row],[%equitable and continuous access to sufficient quantity of safe drinking and domestic water''s GAP]]*WWWW[[#This Row],[Total PoP ]]</f>
        <v>776</v>
      </c>
      <c r="CJ234" s="647">
        <f>IF(WWWW[[#This Row],[Total required water points]]-WWWW[[#This Row],['#Water points coverage]]&lt;0,0,WWWW[[#This Row],[Total required water points]]-WWWW[[#This Row],['#Water points coverage]])</f>
        <v>2</v>
      </c>
      <c r="CK234" s="647">
        <f>ROUND(IF(WWWW[[#This Row],[Total PoP ]]&lt;500,1,WWWW[[#This Row],[Total PoP ]]/500),0)</f>
        <v>2</v>
      </c>
      <c r="CL234" s="647">
        <f>(WWWW[[#This Row],['#_Constructed latrines_by_WASHAgencies]]+WWWW[[#This Row],['#_Non Cluster partner latrines]])-WWWW[[#This Row],['#_Non-functional latrines]]</f>
        <v>0</v>
      </c>
      <c r="CM234"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34"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34"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34" s="647" t="str">
        <f>IF(WWWW[[#This Row],[Location Type 1]]="Village","NA",IF(WWWW[[#This Row],['#_Constructed/Existing latrines in TLS]]*50&gt;WWWW[[#This Row],['#_students at TLS_CFS]],WWWW[[#This Row],['#_students at TLS_CFS]],(WWWW[[#This Row],['#_Constructed/Existing latrines in TLS]]*50)))</f>
        <v>NA</v>
      </c>
      <c r="CQ234" s="647">
        <f>ROUND(IF(WWWW[[#This Row],[Location Type 1]]="camp",WWWW[[#This Row],[Total PoP ]]/20,IF(WWWW[[#This Row],[Location Type 1]]="Temporary Location",WWWW[[#This Row],[Total PoP ]]/50,(WWWW[[#This Row],[Total PoP ]]/6))),0)</f>
        <v>129</v>
      </c>
      <c r="CR234" s="647">
        <f>IF(WWWW[[#This Row],[Total required Latrines]]-(WWWW[[#This Row],['#_Constructed latrines_by_WASHAgencies]]+WWWW[[#This Row],['#_Non Cluster partner latrines]])&lt;0,0,WWWW[[#This Row],[Total required Latrines]]-(WWWW[[#This Row],['#_Constructed latrines_by_WASHAgencies]]+WWWW[[#This Row],['#_Non Cluster partner latrines]]))</f>
        <v>129</v>
      </c>
      <c r="CS234" s="79">
        <f>1-WWWW[[#This Row],[% people access to functioning Latrine]]</f>
        <v>1</v>
      </c>
      <c r="CT234" s="649">
        <f>IF(OR(WWWW[[#This Row],['#_Non-functional latrines]]="",WWWW[[#This Row],['#_Non-functional latrines]]=0),0,WWWW[[#This Row],['#_Non-functional latrines]]/(WWWW[[#This Row],['#_Constructed latrines_by_WASHAgencies]]+WWWW[[#This Row],['#_Non Cluster partner latrines]]))</f>
        <v>0</v>
      </c>
      <c r="CU234" s="645">
        <f>IF(500*(WWWW[[#This Row],['#_male hygiene promoters]]+WWWW[[#This Row],['#_female hygiene promoters]])&gt;WWWW[[#This Row],[Total PoP ]],WWWW[[#This Row],[Total PoP ]],500*(WWWW[[#This Row],['#_male hygiene promoters]]+WWWW[[#This Row],['#_female hygiene promoters]]))</f>
        <v>0</v>
      </c>
      <c r="CV234"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34"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34" s="647">
        <f>IF(WWWW[[#This Row],['# People with access to soap]]&gt;WWWW[[#This Row],['# People with access to Sanity Pads]],WWWW[[#This Row],['# People with access to soap]],WWWW[[#This Row],['# People with access to Sanity Pads]])</f>
        <v>0</v>
      </c>
      <c r="CY234"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34" s="650">
        <f>IF(WWWW[[#This Row],[HRP3]]/WWWW[[#This Row],[Total PoP ]]&gt;100%,100%,WWWW[[#This Row],[HRP3]]/WWWW[[#This Row],[Total PoP ]])</f>
        <v>0</v>
      </c>
      <c r="DA234" s="649">
        <f>1-WWWW[[#This Row],[Hygiene Coverage%]]</f>
        <v>1</v>
      </c>
      <c r="DB234" s="648">
        <f>WWWW[[#This Row],['# people reached by regular dedicated hygiene promotion_5]]/WWWW[[#This Row],[Total PoP ]]</f>
        <v>0</v>
      </c>
      <c r="DC234" s="648">
        <f>IF(WWWW[[#This Row],['#_households that received standard amount of soap for this quarter]]/WWWW[[#This Row],[Total HH]]&gt;1,1,WWWW[[#This Row],['#_households that received standard amount of soap for this quarter]]/WWWW[[#This Row],[Total HH]])</f>
        <v>0</v>
      </c>
      <c r="DD234" s="648">
        <f>IF(WWWW[[#This Row],['#_households that received standard amount of sanitary pads for this quarter]]/WWWW[[#This Row],[Total HH]]&gt;1,1,WWWW[[#This Row],['#_households that received standard amount of sanitary pads for this quarter]]/WWWW[[#This Row],[Total HH]])</f>
        <v>0</v>
      </c>
      <c r="DE234" s="647">
        <f>WWWW[[#This Row],['#_Constructed/Existing hand washing stations]]-WWWW[[#This Row],['#_Non-Functional_hand_washing_stations]]</f>
        <v>0</v>
      </c>
      <c r="DF234" s="667">
        <f>IF(WWWW[[#This Row],['# Functional hand washing stations during reporting period]]*20&gt;WWWW[[#This Row],[Total HH]],WWWW[[#This Row],[Total HH]],WWWW[[#This Row],['# Functional hand washing stations during reporting period]]*20)</f>
        <v>0</v>
      </c>
      <c r="DG234" s="645">
        <f>IF(WWWW[[#This Row],[Is sufficient soap available for TLS? (Yes/No)]]="yes",WWWW[[#This Row],['#_Constructed/Existing hand washing stations at TLS]],0)</f>
        <v>0</v>
      </c>
      <c r="DH234" s="645">
        <f>IF(WWWW[[#This Row],['# Functional hand washing stations during reporting period]]*100&gt;WWWW[[#This Row],[Total PoP ]],WWWW[[#This Row],[Total PoP ]],WWWW[[#This Row],['# Functional hand washing stations during reporting period]]*100)</f>
        <v>0</v>
      </c>
      <c r="DI234" s="645" t="str">
        <f>IF(WWWW[[#This Row],['#_students at TLS_CFS]]="","No","Yes")</f>
        <v>No</v>
      </c>
      <c r="DJ234" s="643">
        <f>VLOOKUP(WWWW[[#This Row],[Site Name]],SiteDB6[[Site Name]:[CCCM Management]],6,FALSE)</f>
        <v>0</v>
      </c>
      <c r="DK234" s="643">
        <f>VLOOKUP(WWWW[[#This Row],[Site Name]],SiteDB6[[Site Name]:[CCCM Focal Agency]],7,FALSE)</f>
        <v>0</v>
      </c>
      <c r="DL234" s="643" t="str">
        <f>VLOOKUP(WWWW[[#This Row],[Site Name]],SiteDB6[[Site Name]:[Location Type 1]],9,FALSE)</f>
        <v>Village</v>
      </c>
      <c r="DM234" s="643" t="str">
        <f>VLOOKUP(WWWW[[#This Row],[Site Name]],SiteDB6[[Site Name]:[Type of Accommodation]],10,FALSE)</f>
        <v>Village</v>
      </c>
      <c r="DN234" s="643" t="str">
        <f>VLOOKUP(WWWW[[#This Row],[Site Name]],SiteDB6[[Site Name]:[Ethnic or GCA/NGCA]],11,FALSE)</f>
        <v>Rakhine</v>
      </c>
      <c r="DO234" s="643">
        <f>VLOOKUP(WWWW[[#This Row],[Site Name]],SiteDB6[[Site Name]:[Lat]],12,FALSE)</f>
        <v>0</v>
      </c>
      <c r="DP234" s="643">
        <f>VLOOKUP(WWWW[[#This Row],[Site Name]],SiteDB6[[Site Name]:[Long]],13,FALSE)</f>
        <v>0</v>
      </c>
      <c r="DQ234" s="643">
        <f>VLOOKUP(WWWW[[#This Row],[Site Name]],SiteDB6[[Site Name]:[Pcode]],3,FALSE)</f>
        <v>197450</v>
      </c>
      <c r="DR234" s="652" t="str">
        <f t="shared" si="8"/>
        <v>Covered</v>
      </c>
      <c r="DS234" s="652"/>
    </row>
    <row r="235" spans="1:123">
      <c r="A235" s="637" t="s">
        <v>2525</v>
      </c>
      <c r="B235" s="637" t="s">
        <v>352</v>
      </c>
      <c r="C235" s="644" t="s">
        <v>352</v>
      </c>
      <c r="D235" s="644" t="s">
        <v>345</v>
      </c>
      <c r="E235" s="663" t="s">
        <v>3014</v>
      </c>
      <c r="F235" s="644" t="s">
        <v>420</v>
      </c>
      <c r="G235" s="663" t="str">
        <f>VLOOKUP(WWWW[[#This Row],[Site Name]],SiteDB6[[Site Name]:[Location Type]],8,FALSE)</f>
        <v>Village</v>
      </c>
      <c r="H235" s="644" t="s">
        <v>2860</v>
      </c>
      <c r="I235" s="646">
        <v>211</v>
      </c>
      <c r="J235" s="646">
        <v>1006</v>
      </c>
      <c r="K235" s="653"/>
      <c r="L235" s="654">
        <v>44439</v>
      </c>
      <c r="M235" s="646"/>
      <c r="N235" s="646"/>
      <c r="O235" s="646"/>
      <c r="P235" s="646"/>
      <c r="Q235" s="645"/>
      <c r="R235" s="646"/>
      <c r="S235" s="646"/>
      <c r="T235" s="646"/>
      <c r="U235" s="646"/>
      <c r="V235" s="646"/>
      <c r="W235" s="646"/>
      <c r="X235" s="646"/>
      <c r="Y235" s="646"/>
      <c r="Z235" s="646"/>
      <c r="AA235" s="646"/>
      <c r="AB235" s="646"/>
      <c r="AC235" s="646"/>
      <c r="AD235" s="646"/>
      <c r="AE235" s="646"/>
      <c r="AF235" s="646"/>
      <c r="AG235" s="646"/>
      <c r="AH235" s="646"/>
      <c r="AI235" s="646"/>
      <c r="AJ235" s="646"/>
      <c r="AK235" s="646"/>
      <c r="AL235" s="646"/>
      <c r="AM235" s="646"/>
      <c r="AN235" s="646"/>
      <c r="AO235" s="652"/>
      <c r="AP235" s="646"/>
      <c r="AQ235" s="646"/>
      <c r="AR235" s="648"/>
      <c r="AS235" s="646"/>
      <c r="AT235" s="646"/>
      <c r="AU235" s="646"/>
      <c r="AV235" s="646"/>
      <c r="AW235" s="646"/>
      <c r="AX235" s="643"/>
      <c r="AY235" s="652"/>
      <c r="AZ235" s="646"/>
      <c r="BA235" s="646"/>
      <c r="BB235" s="646"/>
      <c r="BC235" s="643"/>
      <c r="BD235" s="646"/>
      <c r="BE235" s="646"/>
      <c r="BF235" s="646"/>
      <c r="BG235" s="646"/>
      <c r="BH235" s="646"/>
      <c r="BI235" s="646"/>
      <c r="BJ235" s="646"/>
      <c r="BK235" s="646"/>
      <c r="BL235" s="646"/>
      <c r="BM235" s="643"/>
      <c r="BN235" s="647"/>
      <c r="BO235" s="648"/>
      <c r="BP235" s="643"/>
      <c r="BQ235" s="649" t="str">
        <f>IFERROR(WWWW[[#This Row],['#_Water sources treated]]/WWWW[[#This Row],['#_Water sources tested for contamination]],"no test")</f>
        <v>no test</v>
      </c>
      <c r="BR235" s="648" t="str">
        <f>IFERROR(WWWW[[#This Row],['#_Household received remediation action due to contamination]]/WWWW[[#This Row],['#_Household water samples tested for contamination]],"no test")</f>
        <v>no test</v>
      </c>
      <c r="BS235" s="647" t="str">
        <f>IF(AND(WWWW[[#This Row],[% of water sources treated]]="no test",WWWW[[#This Row],[% Household received corrective actions]]="no test"),"No Test","Tested")</f>
        <v>No Test</v>
      </c>
      <c r="BT235" s="647">
        <f>WWWW[[#This Row],['#_Constructed/existing protected hand dug well]]-WWWW[[#This Row],['#_Non-functional protected hand dug well]]</f>
        <v>0</v>
      </c>
      <c r="BU235" s="647">
        <f>(WWWW[[#This Row],['#_Constructed/Existing tube wells/boreholes/handpumps_WASH_agency]]+WWWW[[#This Row],['#_Non-Cluster partner water tube-wells/boreholes/handpumps]])-WWWW[[#This Row],['#_Non-functional tube wells/boreholes/handpumps]]</f>
        <v>0</v>
      </c>
      <c r="BV235" s="647">
        <f>WWWW[[#This Row],['#_Constructed/Existingwater storage tank with gravity fed reticulation system]]-WWWW[[#This Row],['#_Non-functional storage tank gravity fed reticulation system]]</f>
        <v>0</v>
      </c>
      <c r="BW235" s="647">
        <f>WWWW[[#This Row],['#_Water boating or water trucking]]</f>
        <v>0</v>
      </c>
      <c r="BX235" s="647">
        <f>WWWW[[#This Row],['#_Constructed/Existing water distribution system from river or natural spring]]</f>
        <v>0</v>
      </c>
      <c r="BY235"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35"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35" s="648">
        <f>IF(WWWW[[#This Row],[Location Type 1]]="Village",WWWW[[#This Row],[Access to safe drinking water for Village]],WWWW[[#This Row],[Access to safe drinking water for Camp]])</f>
        <v>0</v>
      </c>
      <c r="CB235" s="645">
        <f>WWWW[[#This Row],[%Equitable and continuous access to sufficient quantity of safe drinking water]]*WWWW[[#This Row],[Total PoP ]]</f>
        <v>0</v>
      </c>
      <c r="CC235" s="648">
        <f>IF((WWWW[[#This Row],['#_Constructed/Existing protected/fenced ponds]]*250)/WWWW[[#This Row],[Total PoP ]]&gt;1,1,(WWWW[[#This Row],['#_Constructed/Existing protected/fenced ponds]]*250)/WWWW[[#This Row],[Total PoP ]])</f>
        <v>0</v>
      </c>
      <c r="CD235" s="645">
        <f>WWWW[[#This Row],[% Access to unimproved water points]]*WWWW[[#This Row],[Total PoP ]]</f>
        <v>0</v>
      </c>
      <c r="CE235"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35"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35" s="645">
        <f>WWWW[[#This Row],[HRP1]]/500</f>
        <v>0</v>
      </c>
      <c r="CH235" s="650">
        <f>1-WWWW[[#This Row],[% Equitable and continuous access to sufficient quantity of domestic water]]</f>
        <v>1</v>
      </c>
      <c r="CI235" s="645">
        <f>WWWW[[#This Row],[%equitable and continuous access to sufficient quantity of safe drinking and domestic water''s GAP]]*WWWW[[#This Row],[Total PoP ]]</f>
        <v>1006</v>
      </c>
      <c r="CJ235" s="647">
        <f>IF(WWWW[[#This Row],[Total required water points]]-WWWW[[#This Row],['#Water points coverage]]&lt;0,0,WWWW[[#This Row],[Total required water points]]-WWWW[[#This Row],['#Water points coverage]])</f>
        <v>2</v>
      </c>
      <c r="CK235" s="647">
        <f>ROUND(IF(WWWW[[#This Row],[Total PoP ]]&lt;500,1,WWWW[[#This Row],[Total PoP ]]/500),0)</f>
        <v>2</v>
      </c>
      <c r="CL235" s="647">
        <f>(WWWW[[#This Row],['#_Constructed latrines_by_WASHAgencies]]+WWWW[[#This Row],['#_Non Cluster partner latrines]])-WWWW[[#This Row],['#_Non-functional latrines]]</f>
        <v>0</v>
      </c>
      <c r="CM235"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35"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35"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35" s="647" t="str">
        <f>IF(WWWW[[#This Row],[Location Type 1]]="Village","NA",IF(WWWW[[#This Row],['#_Constructed/Existing latrines in TLS]]*50&gt;WWWW[[#This Row],['#_students at TLS_CFS]],WWWW[[#This Row],['#_students at TLS_CFS]],(WWWW[[#This Row],['#_Constructed/Existing latrines in TLS]]*50)))</f>
        <v>NA</v>
      </c>
      <c r="CQ235" s="647">
        <f>ROUND(IF(WWWW[[#This Row],[Location Type 1]]="camp",WWWW[[#This Row],[Total PoP ]]/20,IF(WWWW[[#This Row],[Location Type 1]]="Temporary Location",WWWW[[#This Row],[Total PoP ]]/50,(WWWW[[#This Row],[Total PoP ]]/6))),0)</f>
        <v>168</v>
      </c>
      <c r="CR235" s="647">
        <f>IF(WWWW[[#This Row],[Total required Latrines]]-(WWWW[[#This Row],['#_Constructed latrines_by_WASHAgencies]]+WWWW[[#This Row],['#_Non Cluster partner latrines]])&lt;0,0,WWWW[[#This Row],[Total required Latrines]]-(WWWW[[#This Row],['#_Constructed latrines_by_WASHAgencies]]+WWWW[[#This Row],['#_Non Cluster partner latrines]]))</f>
        <v>168</v>
      </c>
      <c r="CS235" s="79">
        <f>1-WWWW[[#This Row],[% people access to functioning Latrine]]</f>
        <v>1</v>
      </c>
      <c r="CT235" s="649">
        <f>IF(OR(WWWW[[#This Row],['#_Non-functional latrines]]="",WWWW[[#This Row],['#_Non-functional latrines]]=0),0,WWWW[[#This Row],['#_Non-functional latrines]]/(WWWW[[#This Row],['#_Constructed latrines_by_WASHAgencies]]+WWWW[[#This Row],['#_Non Cluster partner latrines]]))</f>
        <v>0</v>
      </c>
      <c r="CU235" s="645">
        <f>IF(500*(WWWW[[#This Row],['#_male hygiene promoters]]+WWWW[[#This Row],['#_female hygiene promoters]])&gt;WWWW[[#This Row],[Total PoP ]],WWWW[[#This Row],[Total PoP ]],500*(WWWW[[#This Row],['#_male hygiene promoters]]+WWWW[[#This Row],['#_female hygiene promoters]]))</f>
        <v>0</v>
      </c>
      <c r="CV235"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35"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35" s="647">
        <f>IF(WWWW[[#This Row],['# People with access to soap]]&gt;WWWW[[#This Row],['# People with access to Sanity Pads]],WWWW[[#This Row],['# People with access to soap]],WWWW[[#This Row],['# People with access to Sanity Pads]])</f>
        <v>0</v>
      </c>
      <c r="CY235"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35" s="650">
        <f>IF(WWWW[[#This Row],[HRP3]]/WWWW[[#This Row],[Total PoP ]]&gt;100%,100%,WWWW[[#This Row],[HRP3]]/WWWW[[#This Row],[Total PoP ]])</f>
        <v>0</v>
      </c>
      <c r="DA235" s="649">
        <f>1-WWWW[[#This Row],[Hygiene Coverage%]]</f>
        <v>1</v>
      </c>
      <c r="DB235" s="648">
        <f>WWWW[[#This Row],['# people reached by regular dedicated hygiene promotion_5]]/WWWW[[#This Row],[Total PoP ]]</f>
        <v>0</v>
      </c>
      <c r="DC235" s="648">
        <f>IF(WWWW[[#This Row],['#_households that received standard amount of soap for this quarter]]/WWWW[[#This Row],[Total HH]]&gt;1,1,WWWW[[#This Row],['#_households that received standard amount of soap for this quarter]]/WWWW[[#This Row],[Total HH]])</f>
        <v>0</v>
      </c>
      <c r="DD235" s="648">
        <f>IF(WWWW[[#This Row],['#_households that received standard amount of sanitary pads for this quarter]]/WWWW[[#This Row],[Total HH]]&gt;1,1,WWWW[[#This Row],['#_households that received standard amount of sanitary pads for this quarter]]/WWWW[[#This Row],[Total HH]])</f>
        <v>0</v>
      </c>
      <c r="DE235" s="647">
        <f>WWWW[[#This Row],['#_Constructed/Existing hand washing stations]]-WWWW[[#This Row],['#_Non-Functional_hand_washing_stations]]</f>
        <v>0</v>
      </c>
      <c r="DF235" s="667">
        <f>IF(WWWW[[#This Row],['# Functional hand washing stations during reporting period]]*20&gt;WWWW[[#This Row],[Total HH]],WWWW[[#This Row],[Total HH]],WWWW[[#This Row],['# Functional hand washing stations during reporting period]]*20)</f>
        <v>0</v>
      </c>
      <c r="DG235" s="645">
        <f>IF(WWWW[[#This Row],[Is sufficient soap available for TLS? (Yes/No)]]="yes",WWWW[[#This Row],['#_Constructed/Existing hand washing stations at TLS]],0)</f>
        <v>0</v>
      </c>
      <c r="DH235" s="645">
        <f>IF(WWWW[[#This Row],['# Functional hand washing stations during reporting period]]*100&gt;WWWW[[#This Row],[Total PoP ]],WWWW[[#This Row],[Total PoP ]],WWWW[[#This Row],['# Functional hand washing stations during reporting period]]*100)</f>
        <v>0</v>
      </c>
      <c r="DI235" s="645" t="str">
        <f>IF(WWWW[[#This Row],['#_students at TLS_CFS]]="","No","Yes")</f>
        <v>No</v>
      </c>
      <c r="DJ235" s="643">
        <f>VLOOKUP(WWWW[[#This Row],[Site Name]],SiteDB6[[Site Name]:[CCCM Management]],6,FALSE)</f>
        <v>0</v>
      </c>
      <c r="DK235" s="643">
        <f>VLOOKUP(WWWW[[#This Row],[Site Name]],SiteDB6[[Site Name]:[CCCM Focal Agency]],7,FALSE)</f>
        <v>0</v>
      </c>
      <c r="DL235" s="643" t="str">
        <f>VLOOKUP(WWWW[[#This Row],[Site Name]],SiteDB6[[Site Name]:[Location Type 1]],9,FALSE)</f>
        <v>Village</v>
      </c>
      <c r="DM235" s="643" t="str">
        <f>VLOOKUP(WWWW[[#This Row],[Site Name]],SiteDB6[[Site Name]:[Type of Accommodation]],10,FALSE)</f>
        <v>Village</v>
      </c>
      <c r="DN235" s="643" t="str">
        <f>VLOOKUP(WWWW[[#This Row],[Site Name]],SiteDB6[[Site Name]:[Ethnic or GCA/NGCA]],11,FALSE)</f>
        <v>Rakhine</v>
      </c>
      <c r="DO235" s="643">
        <f>VLOOKUP(WWWW[[#This Row],[Site Name]],SiteDB6[[Site Name]:[Lat]],12,FALSE)</f>
        <v>0</v>
      </c>
      <c r="DP235" s="643">
        <f>VLOOKUP(WWWW[[#This Row],[Site Name]],SiteDB6[[Site Name]:[Long]],13,FALSE)</f>
        <v>0</v>
      </c>
      <c r="DQ235" s="643">
        <f>VLOOKUP(WWWW[[#This Row],[Site Name]],SiteDB6[[Site Name]:[Pcode]],3,FALSE)</f>
        <v>197441</v>
      </c>
      <c r="DR235" s="652" t="str">
        <f t="shared" si="8"/>
        <v>Covered</v>
      </c>
      <c r="DS235" s="652"/>
    </row>
    <row r="236" spans="1:123">
      <c r="A236" s="637" t="s">
        <v>2525</v>
      </c>
      <c r="B236" s="637" t="s">
        <v>352</v>
      </c>
      <c r="C236" s="644" t="s">
        <v>352</v>
      </c>
      <c r="D236" s="644" t="s">
        <v>345</v>
      </c>
      <c r="E236" s="663" t="s">
        <v>3014</v>
      </c>
      <c r="F236" s="644" t="s">
        <v>420</v>
      </c>
      <c r="G236" s="663" t="str">
        <f>VLOOKUP(WWWW[[#This Row],[Site Name]],SiteDB6[[Site Name]:[Location Type]],8,FALSE)</f>
        <v>Village</v>
      </c>
      <c r="H236" s="644" t="s">
        <v>2861</v>
      </c>
      <c r="I236" s="646">
        <v>147</v>
      </c>
      <c r="J236" s="646">
        <v>601</v>
      </c>
      <c r="K236" s="653"/>
      <c r="L236" s="654">
        <v>44439</v>
      </c>
      <c r="M236" s="646"/>
      <c r="N236" s="646"/>
      <c r="O236" s="646"/>
      <c r="P236" s="646"/>
      <c r="Q236" s="645"/>
      <c r="R236" s="646"/>
      <c r="S236" s="646"/>
      <c r="T236" s="646"/>
      <c r="U236" s="646"/>
      <c r="V236" s="646"/>
      <c r="W236" s="646"/>
      <c r="X236" s="646"/>
      <c r="Y236" s="646"/>
      <c r="Z236" s="646"/>
      <c r="AA236" s="646"/>
      <c r="AB236" s="646"/>
      <c r="AC236" s="646"/>
      <c r="AD236" s="646"/>
      <c r="AE236" s="646"/>
      <c r="AF236" s="646"/>
      <c r="AG236" s="646"/>
      <c r="AH236" s="646"/>
      <c r="AI236" s="646"/>
      <c r="AJ236" s="646"/>
      <c r="AK236" s="646"/>
      <c r="AL236" s="646"/>
      <c r="AM236" s="646"/>
      <c r="AN236" s="646"/>
      <c r="AO236" s="652"/>
      <c r="AP236" s="646"/>
      <c r="AQ236" s="646"/>
      <c r="AR236" s="648"/>
      <c r="AS236" s="646"/>
      <c r="AT236" s="646"/>
      <c r="AU236" s="646"/>
      <c r="AV236" s="646"/>
      <c r="AW236" s="646"/>
      <c r="AX236" s="643"/>
      <c r="AY236" s="652"/>
      <c r="AZ236" s="646"/>
      <c r="BA236" s="646"/>
      <c r="BB236" s="646"/>
      <c r="BC236" s="643"/>
      <c r="BD236" s="646"/>
      <c r="BE236" s="646"/>
      <c r="BF236" s="646"/>
      <c r="BG236" s="646"/>
      <c r="BH236" s="646"/>
      <c r="BI236" s="646"/>
      <c r="BJ236" s="646"/>
      <c r="BK236" s="646"/>
      <c r="BL236" s="646"/>
      <c r="BM236" s="643"/>
      <c r="BN236" s="647"/>
      <c r="BO236" s="648"/>
      <c r="BP236" s="643"/>
      <c r="BQ236" s="649" t="str">
        <f>IFERROR(WWWW[[#This Row],['#_Water sources treated]]/WWWW[[#This Row],['#_Water sources tested for contamination]],"no test")</f>
        <v>no test</v>
      </c>
      <c r="BR236" s="648" t="str">
        <f>IFERROR(WWWW[[#This Row],['#_Household received remediation action due to contamination]]/WWWW[[#This Row],['#_Household water samples tested for contamination]],"no test")</f>
        <v>no test</v>
      </c>
      <c r="BS236" s="647" t="str">
        <f>IF(AND(WWWW[[#This Row],[% of water sources treated]]="no test",WWWW[[#This Row],[% Household received corrective actions]]="no test"),"No Test","Tested")</f>
        <v>No Test</v>
      </c>
      <c r="BT236" s="647">
        <f>WWWW[[#This Row],['#_Constructed/existing protected hand dug well]]-WWWW[[#This Row],['#_Non-functional protected hand dug well]]</f>
        <v>0</v>
      </c>
      <c r="BU236" s="647">
        <f>(WWWW[[#This Row],['#_Constructed/Existing tube wells/boreholes/handpumps_WASH_agency]]+WWWW[[#This Row],['#_Non-Cluster partner water tube-wells/boreholes/handpumps]])-WWWW[[#This Row],['#_Non-functional tube wells/boreholes/handpumps]]</f>
        <v>0</v>
      </c>
      <c r="BV236" s="647">
        <f>WWWW[[#This Row],['#_Constructed/Existingwater storage tank with gravity fed reticulation system]]-WWWW[[#This Row],['#_Non-functional storage tank gravity fed reticulation system]]</f>
        <v>0</v>
      </c>
      <c r="BW236" s="647">
        <f>WWWW[[#This Row],['#_Water boating or water trucking]]</f>
        <v>0</v>
      </c>
      <c r="BX236" s="647">
        <f>WWWW[[#This Row],['#_Constructed/Existing water distribution system from river or natural spring]]</f>
        <v>0</v>
      </c>
      <c r="BY236"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36"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36" s="648">
        <f>IF(WWWW[[#This Row],[Location Type 1]]="Village",WWWW[[#This Row],[Access to safe drinking water for Village]],WWWW[[#This Row],[Access to safe drinking water for Camp]])</f>
        <v>0</v>
      </c>
      <c r="CB236" s="645">
        <f>WWWW[[#This Row],[%Equitable and continuous access to sufficient quantity of safe drinking water]]*WWWW[[#This Row],[Total PoP ]]</f>
        <v>0</v>
      </c>
      <c r="CC236" s="648">
        <f>IF((WWWW[[#This Row],['#_Constructed/Existing protected/fenced ponds]]*250)/WWWW[[#This Row],[Total PoP ]]&gt;1,1,(WWWW[[#This Row],['#_Constructed/Existing protected/fenced ponds]]*250)/WWWW[[#This Row],[Total PoP ]])</f>
        <v>0</v>
      </c>
      <c r="CD236" s="645">
        <f>WWWW[[#This Row],[% Access to unimproved water points]]*WWWW[[#This Row],[Total PoP ]]</f>
        <v>0</v>
      </c>
      <c r="CE236"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36"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36" s="645">
        <f>WWWW[[#This Row],[HRP1]]/500</f>
        <v>0</v>
      </c>
      <c r="CH236" s="650">
        <f>1-WWWW[[#This Row],[% Equitable and continuous access to sufficient quantity of domestic water]]</f>
        <v>1</v>
      </c>
      <c r="CI236" s="645">
        <f>WWWW[[#This Row],[%equitable and continuous access to sufficient quantity of safe drinking and domestic water''s GAP]]*WWWW[[#This Row],[Total PoP ]]</f>
        <v>601</v>
      </c>
      <c r="CJ236" s="647">
        <f>IF(WWWW[[#This Row],[Total required water points]]-WWWW[[#This Row],['#Water points coverage]]&lt;0,0,WWWW[[#This Row],[Total required water points]]-WWWW[[#This Row],['#Water points coverage]])</f>
        <v>1</v>
      </c>
      <c r="CK236" s="647">
        <f>ROUND(IF(WWWW[[#This Row],[Total PoP ]]&lt;500,1,WWWW[[#This Row],[Total PoP ]]/500),0)</f>
        <v>1</v>
      </c>
      <c r="CL236" s="647">
        <f>(WWWW[[#This Row],['#_Constructed latrines_by_WASHAgencies]]+WWWW[[#This Row],['#_Non Cluster partner latrines]])-WWWW[[#This Row],['#_Non-functional latrines]]</f>
        <v>0</v>
      </c>
      <c r="CM236"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36"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36"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36" s="647" t="str">
        <f>IF(WWWW[[#This Row],[Location Type 1]]="Village","NA",IF(WWWW[[#This Row],['#_Constructed/Existing latrines in TLS]]*50&gt;WWWW[[#This Row],['#_students at TLS_CFS]],WWWW[[#This Row],['#_students at TLS_CFS]],(WWWW[[#This Row],['#_Constructed/Existing latrines in TLS]]*50)))</f>
        <v>NA</v>
      </c>
      <c r="CQ236" s="647">
        <f>ROUND(IF(WWWW[[#This Row],[Location Type 1]]="camp",WWWW[[#This Row],[Total PoP ]]/20,IF(WWWW[[#This Row],[Location Type 1]]="Temporary Location",WWWW[[#This Row],[Total PoP ]]/50,(WWWW[[#This Row],[Total PoP ]]/6))),0)</f>
        <v>100</v>
      </c>
      <c r="CR236" s="647">
        <f>IF(WWWW[[#This Row],[Total required Latrines]]-(WWWW[[#This Row],['#_Constructed latrines_by_WASHAgencies]]+WWWW[[#This Row],['#_Non Cluster partner latrines]])&lt;0,0,WWWW[[#This Row],[Total required Latrines]]-(WWWW[[#This Row],['#_Constructed latrines_by_WASHAgencies]]+WWWW[[#This Row],['#_Non Cluster partner latrines]]))</f>
        <v>100</v>
      </c>
      <c r="CS236" s="79">
        <f>1-WWWW[[#This Row],[% people access to functioning Latrine]]</f>
        <v>1</v>
      </c>
      <c r="CT236" s="649">
        <f>IF(OR(WWWW[[#This Row],['#_Non-functional latrines]]="",WWWW[[#This Row],['#_Non-functional latrines]]=0),0,WWWW[[#This Row],['#_Non-functional latrines]]/(WWWW[[#This Row],['#_Constructed latrines_by_WASHAgencies]]+WWWW[[#This Row],['#_Non Cluster partner latrines]]))</f>
        <v>0</v>
      </c>
      <c r="CU236" s="645">
        <f>IF(500*(WWWW[[#This Row],['#_male hygiene promoters]]+WWWW[[#This Row],['#_female hygiene promoters]])&gt;WWWW[[#This Row],[Total PoP ]],WWWW[[#This Row],[Total PoP ]],500*(WWWW[[#This Row],['#_male hygiene promoters]]+WWWW[[#This Row],['#_female hygiene promoters]]))</f>
        <v>0</v>
      </c>
      <c r="CV236"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36"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36" s="647">
        <f>IF(WWWW[[#This Row],['# People with access to soap]]&gt;WWWW[[#This Row],['# People with access to Sanity Pads]],WWWW[[#This Row],['# People with access to soap]],WWWW[[#This Row],['# People with access to Sanity Pads]])</f>
        <v>0</v>
      </c>
      <c r="CY236"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36" s="650">
        <f>IF(WWWW[[#This Row],[HRP3]]/WWWW[[#This Row],[Total PoP ]]&gt;100%,100%,WWWW[[#This Row],[HRP3]]/WWWW[[#This Row],[Total PoP ]])</f>
        <v>0</v>
      </c>
      <c r="DA236" s="649">
        <f>1-WWWW[[#This Row],[Hygiene Coverage%]]</f>
        <v>1</v>
      </c>
      <c r="DB236" s="648">
        <f>WWWW[[#This Row],['# people reached by regular dedicated hygiene promotion_5]]/WWWW[[#This Row],[Total PoP ]]</f>
        <v>0</v>
      </c>
      <c r="DC236" s="648">
        <f>IF(WWWW[[#This Row],['#_households that received standard amount of soap for this quarter]]/WWWW[[#This Row],[Total HH]]&gt;1,1,WWWW[[#This Row],['#_households that received standard amount of soap for this quarter]]/WWWW[[#This Row],[Total HH]])</f>
        <v>0</v>
      </c>
      <c r="DD236" s="648">
        <f>IF(WWWW[[#This Row],['#_households that received standard amount of sanitary pads for this quarter]]/WWWW[[#This Row],[Total HH]]&gt;1,1,WWWW[[#This Row],['#_households that received standard amount of sanitary pads for this quarter]]/WWWW[[#This Row],[Total HH]])</f>
        <v>0</v>
      </c>
      <c r="DE236" s="647">
        <f>WWWW[[#This Row],['#_Constructed/Existing hand washing stations]]-WWWW[[#This Row],['#_Non-Functional_hand_washing_stations]]</f>
        <v>0</v>
      </c>
      <c r="DF236" s="667">
        <f>IF(WWWW[[#This Row],['# Functional hand washing stations during reporting period]]*20&gt;WWWW[[#This Row],[Total HH]],WWWW[[#This Row],[Total HH]],WWWW[[#This Row],['# Functional hand washing stations during reporting period]]*20)</f>
        <v>0</v>
      </c>
      <c r="DG236" s="645">
        <f>IF(WWWW[[#This Row],[Is sufficient soap available for TLS? (Yes/No)]]="yes",WWWW[[#This Row],['#_Constructed/Existing hand washing stations at TLS]],0)</f>
        <v>0</v>
      </c>
      <c r="DH236" s="645">
        <f>IF(WWWW[[#This Row],['# Functional hand washing stations during reporting period]]*100&gt;WWWW[[#This Row],[Total PoP ]],WWWW[[#This Row],[Total PoP ]],WWWW[[#This Row],['# Functional hand washing stations during reporting period]]*100)</f>
        <v>0</v>
      </c>
      <c r="DI236" s="645" t="str">
        <f>IF(WWWW[[#This Row],['#_students at TLS_CFS]]="","No","Yes")</f>
        <v>No</v>
      </c>
      <c r="DJ236" s="643">
        <f>VLOOKUP(WWWW[[#This Row],[Site Name]],SiteDB6[[Site Name]:[CCCM Management]],6,FALSE)</f>
        <v>0</v>
      </c>
      <c r="DK236" s="643">
        <f>VLOOKUP(WWWW[[#This Row],[Site Name]],SiteDB6[[Site Name]:[CCCM Focal Agency]],7,FALSE)</f>
        <v>0</v>
      </c>
      <c r="DL236" s="643" t="str">
        <f>VLOOKUP(WWWW[[#This Row],[Site Name]],SiteDB6[[Site Name]:[Location Type 1]],9,FALSE)</f>
        <v>Village</v>
      </c>
      <c r="DM236" s="643" t="str">
        <f>VLOOKUP(WWWW[[#This Row],[Site Name]],SiteDB6[[Site Name]:[Type of Accommodation]],10,FALSE)</f>
        <v>Village</v>
      </c>
      <c r="DN236" s="643" t="str">
        <f>VLOOKUP(WWWW[[#This Row],[Site Name]],SiteDB6[[Site Name]:[Ethnic or GCA/NGCA]],11,FALSE)</f>
        <v>KhaMi</v>
      </c>
      <c r="DO236" s="643">
        <f>VLOOKUP(WWWW[[#This Row],[Site Name]],SiteDB6[[Site Name]:[Lat]],12,FALSE)</f>
        <v>0</v>
      </c>
      <c r="DP236" s="643">
        <f>VLOOKUP(WWWW[[#This Row],[Site Name]],SiteDB6[[Site Name]:[Long]],13,FALSE)</f>
        <v>0</v>
      </c>
      <c r="DQ236" s="643">
        <f>VLOOKUP(WWWW[[#This Row],[Site Name]],SiteDB6[[Site Name]:[Pcode]],3,FALSE)</f>
        <v>197442</v>
      </c>
      <c r="DR236" s="652" t="str">
        <f t="shared" si="8"/>
        <v>Covered</v>
      </c>
      <c r="DS236" s="652"/>
    </row>
    <row r="237" spans="1:123">
      <c r="A237" s="637" t="s">
        <v>2525</v>
      </c>
      <c r="B237" s="637" t="s">
        <v>352</v>
      </c>
      <c r="C237" s="644" t="s">
        <v>352</v>
      </c>
      <c r="D237" s="644" t="s">
        <v>345</v>
      </c>
      <c r="E237" s="663" t="s">
        <v>3014</v>
      </c>
      <c r="F237" s="644" t="s">
        <v>420</v>
      </c>
      <c r="G237" s="663" t="str">
        <f>VLOOKUP(WWWW[[#This Row],[Site Name]],SiteDB6[[Site Name]:[Location Type]],8,FALSE)</f>
        <v>Village</v>
      </c>
      <c r="H237" s="644" t="s">
        <v>2862</v>
      </c>
      <c r="I237" s="646">
        <v>284</v>
      </c>
      <c r="J237" s="646">
        <v>1292</v>
      </c>
      <c r="K237" s="653"/>
      <c r="L237" s="654">
        <v>44439</v>
      </c>
      <c r="M237" s="646"/>
      <c r="N237" s="646"/>
      <c r="O237" s="646"/>
      <c r="P237" s="646"/>
      <c r="Q237" s="645"/>
      <c r="R237" s="646"/>
      <c r="S237" s="646"/>
      <c r="T237" s="646"/>
      <c r="U237" s="646"/>
      <c r="V237" s="646"/>
      <c r="W237" s="646"/>
      <c r="X237" s="646"/>
      <c r="Y237" s="646"/>
      <c r="Z237" s="646"/>
      <c r="AA237" s="646"/>
      <c r="AB237" s="646"/>
      <c r="AC237" s="646"/>
      <c r="AD237" s="646"/>
      <c r="AE237" s="646"/>
      <c r="AF237" s="646"/>
      <c r="AG237" s="646"/>
      <c r="AH237" s="646"/>
      <c r="AI237" s="646"/>
      <c r="AJ237" s="646"/>
      <c r="AK237" s="646"/>
      <c r="AL237" s="646"/>
      <c r="AM237" s="646"/>
      <c r="AN237" s="646"/>
      <c r="AO237" s="652"/>
      <c r="AP237" s="646"/>
      <c r="AQ237" s="646"/>
      <c r="AR237" s="648"/>
      <c r="AS237" s="646"/>
      <c r="AT237" s="646"/>
      <c r="AU237" s="646"/>
      <c r="AV237" s="646"/>
      <c r="AW237" s="646"/>
      <c r="AX237" s="643"/>
      <c r="AY237" s="652"/>
      <c r="AZ237" s="646"/>
      <c r="BA237" s="646"/>
      <c r="BB237" s="646"/>
      <c r="BC237" s="643"/>
      <c r="BD237" s="646"/>
      <c r="BE237" s="646"/>
      <c r="BF237" s="646"/>
      <c r="BG237" s="646"/>
      <c r="BH237" s="646"/>
      <c r="BI237" s="646"/>
      <c r="BJ237" s="646"/>
      <c r="BK237" s="646"/>
      <c r="BL237" s="646"/>
      <c r="BM237" s="643"/>
      <c r="BN237" s="647"/>
      <c r="BO237" s="648"/>
      <c r="BP237" s="643"/>
      <c r="BQ237" s="649" t="str">
        <f>IFERROR(WWWW[[#This Row],['#_Water sources treated]]/WWWW[[#This Row],['#_Water sources tested for contamination]],"no test")</f>
        <v>no test</v>
      </c>
      <c r="BR237" s="648" t="str">
        <f>IFERROR(WWWW[[#This Row],['#_Household received remediation action due to contamination]]/WWWW[[#This Row],['#_Household water samples tested for contamination]],"no test")</f>
        <v>no test</v>
      </c>
      <c r="BS237" s="647" t="str">
        <f>IF(AND(WWWW[[#This Row],[% of water sources treated]]="no test",WWWW[[#This Row],[% Household received corrective actions]]="no test"),"No Test","Tested")</f>
        <v>No Test</v>
      </c>
      <c r="BT237" s="647">
        <f>WWWW[[#This Row],['#_Constructed/existing protected hand dug well]]-WWWW[[#This Row],['#_Non-functional protected hand dug well]]</f>
        <v>0</v>
      </c>
      <c r="BU237" s="647">
        <f>(WWWW[[#This Row],['#_Constructed/Existing tube wells/boreholes/handpumps_WASH_agency]]+WWWW[[#This Row],['#_Non-Cluster partner water tube-wells/boreholes/handpumps]])-WWWW[[#This Row],['#_Non-functional tube wells/boreholes/handpumps]]</f>
        <v>0</v>
      </c>
      <c r="BV237" s="647">
        <f>WWWW[[#This Row],['#_Constructed/Existingwater storage tank with gravity fed reticulation system]]-WWWW[[#This Row],['#_Non-functional storage tank gravity fed reticulation system]]</f>
        <v>0</v>
      </c>
      <c r="BW237" s="647">
        <f>WWWW[[#This Row],['#_Water boating or water trucking]]</f>
        <v>0</v>
      </c>
      <c r="BX237" s="647">
        <f>WWWW[[#This Row],['#_Constructed/Existing water distribution system from river or natural spring]]</f>
        <v>0</v>
      </c>
      <c r="BY237"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37"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37" s="648">
        <f>IF(WWWW[[#This Row],[Location Type 1]]="Village",WWWW[[#This Row],[Access to safe drinking water for Village]],WWWW[[#This Row],[Access to safe drinking water for Camp]])</f>
        <v>0</v>
      </c>
      <c r="CB237" s="645">
        <f>WWWW[[#This Row],[%Equitable and continuous access to sufficient quantity of safe drinking water]]*WWWW[[#This Row],[Total PoP ]]</f>
        <v>0</v>
      </c>
      <c r="CC237" s="648">
        <f>IF((WWWW[[#This Row],['#_Constructed/Existing protected/fenced ponds]]*250)/WWWW[[#This Row],[Total PoP ]]&gt;1,1,(WWWW[[#This Row],['#_Constructed/Existing protected/fenced ponds]]*250)/WWWW[[#This Row],[Total PoP ]])</f>
        <v>0</v>
      </c>
      <c r="CD237" s="645">
        <f>WWWW[[#This Row],[% Access to unimproved water points]]*WWWW[[#This Row],[Total PoP ]]</f>
        <v>0</v>
      </c>
      <c r="CE237"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37"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37" s="645">
        <f>WWWW[[#This Row],[HRP1]]/500</f>
        <v>0</v>
      </c>
      <c r="CH237" s="650">
        <f>1-WWWW[[#This Row],[% Equitable and continuous access to sufficient quantity of domestic water]]</f>
        <v>1</v>
      </c>
      <c r="CI237" s="645">
        <f>WWWW[[#This Row],[%equitable and continuous access to sufficient quantity of safe drinking and domestic water''s GAP]]*WWWW[[#This Row],[Total PoP ]]</f>
        <v>1292</v>
      </c>
      <c r="CJ237" s="647">
        <f>IF(WWWW[[#This Row],[Total required water points]]-WWWW[[#This Row],['#Water points coverage]]&lt;0,0,WWWW[[#This Row],[Total required water points]]-WWWW[[#This Row],['#Water points coverage]])</f>
        <v>3</v>
      </c>
      <c r="CK237" s="647">
        <f>ROUND(IF(WWWW[[#This Row],[Total PoP ]]&lt;500,1,WWWW[[#This Row],[Total PoP ]]/500),0)</f>
        <v>3</v>
      </c>
      <c r="CL237" s="647">
        <f>(WWWW[[#This Row],['#_Constructed latrines_by_WASHAgencies]]+WWWW[[#This Row],['#_Non Cluster partner latrines]])-WWWW[[#This Row],['#_Non-functional latrines]]</f>
        <v>0</v>
      </c>
      <c r="CM237"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37"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37"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37" s="647" t="str">
        <f>IF(WWWW[[#This Row],[Location Type 1]]="Village","NA",IF(WWWW[[#This Row],['#_Constructed/Existing latrines in TLS]]*50&gt;WWWW[[#This Row],['#_students at TLS_CFS]],WWWW[[#This Row],['#_students at TLS_CFS]],(WWWW[[#This Row],['#_Constructed/Existing latrines in TLS]]*50)))</f>
        <v>NA</v>
      </c>
      <c r="CQ237" s="647">
        <f>ROUND(IF(WWWW[[#This Row],[Location Type 1]]="camp",WWWW[[#This Row],[Total PoP ]]/20,IF(WWWW[[#This Row],[Location Type 1]]="Temporary Location",WWWW[[#This Row],[Total PoP ]]/50,(WWWW[[#This Row],[Total PoP ]]/6))),0)</f>
        <v>215</v>
      </c>
      <c r="CR237" s="647">
        <f>IF(WWWW[[#This Row],[Total required Latrines]]-(WWWW[[#This Row],['#_Constructed latrines_by_WASHAgencies]]+WWWW[[#This Row],['#_Non Cluster partner latrines]])&lt;0,0,WWWW[[#This Row],[Total required Latrines]]-(WWWW[[#This Row],['#_Constructed latrines_by_WASHAgencies]]+WWWW[[#This Row],['#_Non Cluster partner latrines]]))</f>
        <v>215</v>
      </c>
      <c r="CS237" s="79">
        <f>1-WWWW[[#This Row],[% people access to functioning Latrine]]</f>
        <v>1</v>
      </c>
      <c r="CT237" s="649">
        <f>IF(OR(WWWW[[#This Row],['#_Non-functional latrines]]="",WWWW[[#This Row],['#_Non-functional latrines]]=0),0,WWWW[[#This Row],['#_Non-functional latrines]]/(WWWW[[#This Row],['#_Constructed latrines_by_WASHAgencies]]+WWWW[[#This Row],['#_Non Cluster partner latrines]]))</f>
        <v>0</v>
      </c>
      <c r="CU237" s="645">
        <f>IF(500*(WWWW[[#This Row],['#_male hygiene promoters]]+WWWW[[#This Row],['#_female hygiene promoters]])&gt;WWWW[[#This Row],[Total PoP ]],WWWW[[#This Row],[Total PoP ]],500*(WWWW[[#This Row],['#_male hygiene promoters]]+WWWW[[#This Row],['#_female hygiene promoters]]))</f>
        <v>0</v>
      </c>
      <c r="CV237"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37"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37" s="647">
        <f>IF(WWWW[[#This Row],['# People with access to soap]]&gt;WWWW[[#This Row],['# People with access to Sanity Pads]],WWWW[[#This Row],['# People with access to soap]],WWWW[[#This Row],['# People with access to Sanity Pads]])</f>
        <v>0</v>
      </c>
      <c r="CY237"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37" s="650">
        <f>IF(WWWW[[#This Row],[HRP3]]/WWWW[[#This Row],[Total PoP ]]&gt;100%,100%,WWWW[[#This Row],[HRP3]]/WWWW[[#This Row],[Total PoP ]])</f>
        <v>0</v>
      </c>
      <c r="DA237" s="649">
        <f>1-WWWW[[#This Row],[Hygiene Coverage%]]</f>
        <v>1</v>
      </c>
      <c r="DB237" s="648">
        <f>WWWW[[#This Row],['# people reached by regular dedicated hygiene promotion_5]]/WWWW[[#This Row],[Total PoP ]]</f>
        <v>0</v>
      </c>
      <c r="DC237" s="648">
        <f>IF(WWWW[[#This Row],['#_households that received standard amount of soap for this quarter]]/WWWW[[#This Row],[Total HH]]&gt;1,1,WWWW[[#This Row],['#_households that received standard amount of soap for this quarter]]/WWWW[[#This Row],[Total HH]])</f>
        <v>0</v>
      </c>
      <c r="DD237" s="648">
        <f>IF(WWWW[[#This Row],['#_households that received standard amount of sanitary pads for this quarter]]/WWWW[[#This Row],[Total HH]]&gt;1,1,WWWW[[#This Row],['#_households that received standard amount of sanitary pads for this quarter]]/WWWW[[#This Row],[Total HH]])</f>
        <v>0</v>
      </c>
      <c r="DE237" s="647">
        <f>WWWW[[#This Row],['#_Constructed/Existing hand washing stations]]-WWWW[[#This Row],['#_Non-Functional_hand_washing_stations]]</f>
        <v>0</v>
      </c>
      <c r="DF237" s="667">
        <f>IF(WWWW[[#This Row],['# Functional hand washing stations during reporting period]]*20&gt;WWWW[[#This Row],[Total HH]],WWWW[[#This Row],[Total HH]],WWWW[[#This Row],['# Functional hand washing stations during reporting period]]*20)</f>
        <v>0</v>
      </c>
      <c r="DG237" s="645">
        <f>IF(WWWW[[#This Row],[Is sufficient soap available for TLS? (Yes/No)]]="yes",WWWW[[#This Row],['#_Constructed/Existing hand washing stations at TLS]],0)</f>
        <v>0</v>
      </c>
      <c r="DH237" s="645">
        <f>IF(WWWW[[#This Row],['# Functional hand washing stations during reporting period]]*100&gt;WWWW[[#This Row],[Total PoP ]],WWWW[[#This Row],[Total PoP ]],WWWW[[#This Row],['# Functional hand washing stations during reporting period]]*100)</f>
        <v>0</v>
      </c>
      <c r="DI237" s="645" t="str">
        <f>IF(WWWW[[#This Row],['#_students at TLS_CFS]]="","No","Yes")</f>
        <v>No</v>
      </c>
      <c r="DJ237" s="643">
        <f>VLOOKUP(WWWW[[#This Row],[Site Name]],SiteDB6[[Site Name]:[CCCM Management]],6,FALSE)</f>
        <v>0</v>
      </c>
      <c r="DK237" s="643">
        <f>VLOOKUP(WWWW[[#This Row],[Site Name]],SiteDB6[[Site Name]:[CCCM Focal Agency]],7,FALSE)</f>
        <v>0</v>
      </c>
      <c r="DL237" s="643" t="str">
        <f>VLOOKUP(WWWW[[#This Row],[Site Name]],SiteDB6[[Site Name]:[Location Type 1]],9,FALSE)</f>
        <v>Village</v>
      </c>
      <c r="DM237" s="643" t="str">
        <f>VLOOKUP(WWWW[[#This Row],[Site Name]],SiteDB6[[Site Name]:[Type of Accommodation]],10,FALSE)</f>
        <v>Village</v>
      </c>
      <c r="DN237" s="643" t="str">
        <f>VLOOKUP(WWWW[[#This Row],[Site Name]],SiteDB6[[Site Name]:[Ethnic or GCA/NGCA]],11,FALSE)</f>
        <v>Rakhine</v>
      </c>
      <c r="DO237" s="643">
        <f>VLOOKUP(WWWW[[#This Row],[Site Name]],SiteDB6[[Site Name]:[Lat]],12,FALSE)</f>
        <v>0</v>
      </c>
      <c r="DP237" s="643">
        <f>VLOOKUP(WWWW[[#This Row],[Site Name]],SiteDB6[[Site Name]:[Long]],13,FALSE)</f>
        <v>0</v>
      </c>
      <c r="DQ237" s="643">
        <f>VLOOKUP(WWWW[[#This Row],[Site Name]],SiteDB6[[Site Name]:[Pcode]],3,FALSE)</f>
        <v>197405</v>
      </c>
      <c r="DR237" s="652" t="str">
        <f t="shared" si="8"/>
        <v>Covered</v>
      </c>
      <c r="DS237" s="652"/>
    </row>
    <row r="238" spans="1:123">
      <c r="A238" s="637" t="s">
        <v>2525</v>
      </c>
      <c r="B238" s="637" t="s">
        <v>352</v>
      </c>
      <c r="C238" s="644" t="s">
        <v>352</v>
      </c>
      <c r="D238" s="644" t="s">
        <v>345</v>
      </c>
      <c r="E238" s="663" t="s">
        <v>3014</v>
      </c>
      <c r="F238" s="644" t="s">
        <v>420</v>
      </c>
      <c r="G238" s="663" t="str">
        <f>VLOOKUP(WWWW[[#This Row],[Site Name]],SiteDB6[[Site Name]:[Location Type]],8,FALSE)</f>
        <v>Village</v>
      </c>
      <c r="H238" s="644" t="s">
        <v>2863</v>
      </c>
      <c r="I238" s="646">
        <v>168</v>
      </c>
      <c r="J238" s="646">
        <v>1614</v>
      </c>
      <c r="K238" s="653"/>
      <c r="L238" s="654">
        <v>44439</v>
      </c>
      <c r="M238" s="646"/>
      <c r="N238" s="646"/>
      <c r="O238" s="646"/>
      <c r="P238" s="646"/>
      <c r="Q238" s="645"/>
      <c r="R238" s="646"/>
      <c r="S238" s="646"/>
      <c r="T238" s="646"/>
      <c r="U238" s="646"/>
      <c r="V238" s="646"/>
      <c r="W238" s="646"/>
      <c r="X238" s="646"/>
      <c r="Y238" s="646"/>
      <c r="Z238" s="646"/>
      <c r="AA238" s="646"/>
      <c r="AB238" s="646"/>
      <c r="AC238" s="646"/>
      <c r="AD238" s="646"/>
      <c r="AE238" s="646"/>
      <c r="AF238" s="646"/>
      <c r="AG238" s="646"/>
      <c r="AH238" s="646"/>
      <c r="AI238" s="646"/>
      <c r="AJ238" s="646"/>
      <c r="AK238" s="646"/>
      <c r="AL238" s="646"/>
      <c r="AM238" s="646"/>
      <c r="AN238" s="646"/>
      <c r="AO238" s="652"/>
      <c r="AP238" s="646"/>
      <c r="AQ238" s="646"/>
      <c r="AR238" s="648"/>
      <c r="AS238" s="646"/>
      <c r="AT238" s="646"/>
      <c r="AU238" s="646"/>
      <c r="AV238" s="646"/>
      <c r="AW238" s="646"/>
      <c r="AX238" s="643"/>
      <c r="AY238" s="652"/>
      <c r="AZ238" s="646"/>
      <c r="BA238" s="646"/>
      <c r="BB238" s="646"/>
      <c r="BC238" s="643"/>
      <c r="BD238" s="646"/>
      <c r="BE238" s="646"/>
      <c r="BF238" s="646"/>
      <c r="BG238" s="646"/>
      <c r="BH238" s="646"/>
      <c r="BI238" s="646"/>
      <c r="BJ238" s="646"/>
      <c r="BK238" s="646"/>
      <c r="BL238" s="646"/>
      <c r="BM238" s="643"/>
      <c r="BN238" s="647"/>
      <c r="BO238" s="648"/>
      <c r="BP238" s="643"/>
      <c r="BQ238" s="649" t="str">
        <f>IFERROR(WWWW[[#This Row],['#_Water sources treated]]/WWWW[[#This Row],['#_Water sources tested for contamination]],"no test")</f>
        <v>no test</v>
      </c>
      <c r="BR238" s="648" t="str">
        <f>IFERROR(WWWW[[#This Row],['#_Household received remediation action due to contamination]]/WWWW[[#This Row],['#_Household water samples tested for contamination]],"no test")</f>
        <v>no test</v>
      </c>
      <c r="BS238" s="647" t="str">
        <f>IF(AND(WWWW[[#This Row],[% of water sources treated]]="no test",WWWW[[#This Row],[% Household received corrective actions]]="no test"),"No Test","Tested")</f>
        <v>No Test</v>
      </c>
      <c r="BT238" s="647">
        <f>WWWW[[#This Row],['#_Constructed/existing protected hand dug well]]-WWWW[[#This Row],['#_Non-functional protected hand dug well]]</f>
        <v>0</v>
      </c>
      <c r="BU238" s="647">
        <f>(WWWW[[#This Row],['#_Constructed/Existing tube wells/boreholes/handpumps_WASH_agency]]+WWWW[[#This Row],['#_Non-Cluster partner water tube-wells/boreholes/handpumps]])-WWWW[[#This Row],['#_Non-functional tube wells/boreholes/handpumps]]</f>
        <v>0</v>
      </c>
      <c r="BV238" s="647">
        <f>WWWW[[#This Row],['#_Constructed/Existingwater storage tank with gravity fed reticulation system]]-WWWW[[#This Row],['#_Non-functional storage tank gravity fed reticulation system]]</f>
        <v>0</v>
      </c>
      <c r="BW238" s="647">
        <f>WWWW[[#This Row],['#_Water boating or water trucking]]</f>
        <v>0</v>
      </c>
      <c r="BX238" s="647">
        <f>WWWW[[#This Row],['#_Constructed/Existing water distribution system from river or natural spring]]</f>
        <v>0</v>
      </c>
      <c r="BY238"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38"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38" s="648">
        <f>IF(WWWW[[#This Row],[Location Type 1]]="Village",WWWW[[#This Row],[Access to safe drinking water for Village]],WWWW[[#This Row],[Access to safe drinking water for Camp]])</f>
        <v>0</v>
      </c>
      <c r="CB238" s="645">
        <f>WWWW[[#This Row],[%Equitable and continuous access to sufficient quantity of safe drinking water]]*WWWW[[#This Row],[Total PoP ]]</f>
        <v>0</v>
      </c>
      <c r="CC238" s="648">
        <f>IF((WWWW[[#This Row],['#_Constructed/Existing protected/fenced ponds]]*250)/WWWW[[#This Row],[Total PoP ]]&gt;1,1,(WWWW[[#This Row],['#_Constructed/Existing protected/fenced ponds]]*250)/WWWW[[#This Row],[Total PoP ]])</f>
        <v>0</v>
      </c>
      <c r="CD238" s="645">
        <f>WWWW[[#This Row],[% Access to unimproved water points]]*WWWW[[#This Row],[Total PoP ]]</f>
        <v>0</v>
      </c>
      <c r="CE238"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38"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38" s="645">
        <f>WWWW[[#This Row],[HRP1]]/500</f>
        <v>0</v>
      </c>
      <c r="CH238" s="650">
        <f>1-WWWW[[#This Row],[% Equitable and continuous access to sufficient quantity of domestic water]]</f>
        <v>1</v>
      </c>
      <c r="CI238" s="645">
        <f>WWWW[[#This Row],[%equitable and continuous access to sufficient quantity of safe drinking and domestic water''s GAP]]*WWWW[[#This Row],[Total PoP ]]</f>
        <v>1614</v>
      </c>
      <c r="CJ238" s="647">
        <f>IF(WWWW[[#This Row],[Total required water points]]-WWWW[[#This Row],['#Water points coverage]]&lt;0,0,WWWW[[#This Row],[Total required water points]]-WWWW[[#This Row],['#Water points coverage]])</f>
        <v>3</v>
      </c>
      <c r="CK238" s="647">
        <f>ROUND(IF(WWWW[[#This Row],[Total PoP ]]&lt;500,1,WWWW[[#This Row],[Total PoP ]]/500),0)</f>
        <v>3</v>
      </c>
      <c r="CL238" s="647">
        <f>(WWWW[[#This Row],['#_Constructed latrines_by_WASHAgencies]]+WWWW[[#This Row],['#_Non Cluster partner latrines]])-WWWW[[#This Row],['#_Non-functional latrines]]</f>
        <v>0</v>
      </c>
      <c r="CM238"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38"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38"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38" s="647" t="str">
        <f>IF(WWWW[[#This Row],[Location Type 1]]="Village","NA",IF(WWWW[[#This Row],['#_Constructed/Existing latrines in TLS]]*50&gt;WWWW[[#This Row],['#_students at TLS_CFS]],WWWW[[#This Row],['#_students at TLS_CFS]],(WWWW[[#This Row],['#_Constructed/Existing latrines in TLS]]*50)))</f>
        <v>NA</v>
      </c>
      <c r="CQ238" s="647">
        <f>ROUND(IF(WWWW[[#This Row],[Location Type 1]]="camp",WWWW[[#This Row],[Total PoP ]]/20,IF(WWWW[[#This Row],[Location Type 1]]="Temporary Location",WWWW[[#This Row],[Total PoP ]]/50,(WWWW[[#This Row],[Total PoP ]]/6))),0)</f>
        <v>269</v>
      </c>
      <c r="CR238" s="647">
        <f>IF(WWWW[[#This Row],[Total required Latrines]]-(WWWW[[#This Row],['#_Constructed latrines_by_WASHAgencies]]+WWWW[[#This Row],['#_Non Cluster partner latrines]])&lt;0,0,WWWW[[#This Row],[Total required Latrines]]-(WWWW[[#This Row],['#_Constructed latrines_by_WASHAgencies]]+WWWW[[#This Row],['#_Non Cluster partner latrines]]))</f>
        <v>269</v>
      </c>
      <c r="CS238" s="79">
        <f>1-WWWW[[#This Row],[% people access to functioning Latrine]]</f>
        <v>1</v>
      </c>
      <c r="CT238" s="649">
        <f>IF(OR(WWWW[[#This Row],['#_Non-functional latrines]]="",WWWW[[#This Row],['#_Non-functional latrines]]=0),0,WWWW[[#This Row],['#_Non-functional latrines]]/(WWWW[[#This Row],['#_Constructed latrines_by_WASHAgencies]]+WWWW[[#This Row],['#_Non Cluster partner latrines]]))</f>
        <v>0</v>
      </c>
      <c r="CU238" s="645">
        <f>IF(500*(WWWW[[#This Row],['#_male hygiene promoters]]+WWWW[[#This Row],['#_female hygiene promoters]])&gt;WWWW[[#This Row],[Total PoP ]],WWWW[[#This Row],[Total PoP ]],500*(WWWW[[#This Row],['#_male hygiene promoters]]+WWWW[[#This Row],['#_female hygiene promoters]]))</f>
        <v>0</v>
      </c>
      <c r="CV238"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38"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38" s="647">
        <f>IF(WWWW[[#This Row],['# People with access to soap]]&gt;WWWW[[#This Row],['# People with access to Sanity Pads]],WWWW[[#This Row],['# People with access to soap]],WWWW[[#This Row],['# People with access to Sanity Pads]])</f>
        <v>0</v>
      </c>
      <c r="CY238"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38" s="650">
        <f>IF(WWWW[[#This Row],[HRP3]]/WWWW[[#This Row],[Total PoP ]]&gt;100%,100%,WWWW[[#This Row],[HRP3]]/WWWW[[#This Row],[Total PoP ]])</f>
        <v>0</v>
      </c>
      <c r="DA238" s="649">
        <f>1-WWWW[[#This Row],[Hygiene Coverage%]]</f>
        <v>1</v>
      </c>
      <c r="DB238" s="648">
        <f>WWWW[[#This Row],['# people reached by regular dedicated hygiene promotion_5]]/WWWW[[#This Row],[Total PoP ]]</f>
        <v>0</v>
      </c>
      <c r="DC238" s="648">
        <f>IF(WWWW[[#This Row],['#_households that received standard amount of soap for this quarter]]/WWWW[[#This Row],[Total HH]]&gt;1,1,WWWW[[#This Row],['#_households that received standard amount of soap for this quarter]]/WWWW[[#This Row],[Total HH]])</f>
        <v>0</v>
      </c>
      <c r="DD238" s="648">
        <f>IF(WWWW[[#This Row],['#_households that received standard amount of sanitary pads for this quarter]]/WWWW[[#This Row],[Total HH]]&gt;1,1,WWWW[[#This Row],['#_households that received standard amount of sanitary pads for this quarter]]/WWWW[[#This Row],[Total HH]])</f>
        <v>0</v>
      </c>
      <c r="DE238" s="647">
        <f>WWWW[[#This Row],['#_Constructed/Existing hand washing stations]]-WWWW[[#This Row],['#_Non-Functional_hand_washing_stations]]</f>
        <v>0</v>
      </c>
      <c r="DF238" s="667">
        <f>IF(WWWW[[#This Row],['# Functional hand washing stations during reporting period]]*20&gt;WWWW[[#This Row],[Total HH]],WWWW[[#This Row],[Total HH]],WWWW[[#This Row],['# Functional hand washing stations during reporting period]]*20)</f>
        <v>0</v>
      </c>
      <c r="DG238" s="645">
        <f>IF(WWWW[[#This Row],[Is sufficient soap available for TLS? (Yes/No)]]="yes",WWWW[[#This Row],['#_Constructed/Existing hand washing stations at TLS]],0)</f>
        <v>0</v>
      </c>
      <c r="DH238" s="645">
        <f>IF(WWWW[[#This Row],['# Functional hand washing stations during reporting period]]*100&gt;WWWW[[#This Row],[Total PoP ]],WWWW[[#This Row],[Total PoP ]],WWWW[[#This Row],['# Functional hand washing stations during reporting period]]*100)</f>
        <v>0</v>
      </c>
      <c r="DI238" s="645" t="str">
        <f>IF(WWWW[[#This Row],['#_students at TLS_CFS]]="","No","Yes")</f>
        <v>No</v>
      </c>
      <c r="DJ238" s="643">
        <f>VLOOKUP(WWWW[[#This Row],[Site Name]],SiteDB6[[Site Name]:[CCCM Management]],6,FALSE)</f>
        <v>0</v>
      </c>
      <c r="DK238" s="643">
        <f>VLOOKUP(WWWW[[#This Row],[Site Name]],SiteDB6[[Site Name]:[CCCM Focal Agency]],7,FALSE)</f>
        <v>0</v>
      </c>
      <c r="DL238" s="643" t="str">
        <f>VLOOKUP(WWWW[[#This Row],[Site Name]],SiteDB6[[Site Name]:[Location Type 1]],9,FALSE)</f>
        <v>Village</v>
      </c>
      <c r="DM238" s="643" t="str">
        <f>VLOOKUP(WWWW[[#This Row],[Site Name]],SiteDB6[[Site Name]:[Type of Accommodation]],10,FALSE)</f>
        <v>Village</v>
      </c>
      <c r="DN238" s="643" t="str">
        <f>VLOOKUP(WWWW[[#This Row],[Site Name]],SiteDB6[[Site Name]:[Ethnic or GCA/NGCA]],11,FALSE)</f>
        <v>Rakhine</v>
      </c>
      <c r="DO238" s="643">
        <f>VLOOKUP(WWWW[[#This Row],[Site Name]],SiteDB6[[Site Name]:[Lat]],12,FALSE)</f>
        <v>0</v>
      </c>
      <c r="DP238" s="643">
        <f>VLOOKUP(WWWW[[#This Row],[Site Name]],SiteDB6[[Site Name]:[Long]],13,FALSE)</f>
        <v>0</v>
      </c>
      <c r="DQ238" s="643">
        <f>VLOOKUP(WWWW[[#This Row],[Site Name]],SiteDB6[[Site Name]:[Pcode]],3,FALSE)</f>
        <v>197404</v>
      </c>
      <c r="DR238" s="652" t="str">
        <f t="shared" si="8"/>
        <v>Covered</v>
      </c>
      <c r="DS238" s="652"/>
    </row>
    <row r="239" spans="1:123">
      <c r="A239" s="637" t="s">
        <v>2525</v>
      </c>
      <c r="B239" s="637" t="s">
        <v>352</v>
      </c>
      <c r="C239" s="644" t="s">
        <v>352</v>
      </c>
      <c r="D239" s="644" t="s">
        <v>345</v>
      </c>
      <c r="E239" s="663" t="s">
        <v>3014</v>
      </c>
      <c r="F239" s="644" t="s">
        <v>420</v>
      </c>
      <c r="G239" s="663" t="str">
        <f>VLOOKUP(WWWW[[#This Row],[Site Name]],SiteDB6[[Site Name]:[Location Type]],8,FALSE)</f>
        <v>Village</v>
      </c>
      <c r="H239" s="644" t="s">
        <v>2864</v>
      </c>
      <c r="I239" s="646">
        <v>66</v>
      </c>
      <c r="J239" s="646">
        <v>1018</v>
      </c>
      <c r="K239" s="653"/>
      <c r="L239" s="654">
        <v>44439</v>
      </c>
      <c r="M239" s="646"/>
      <c r="N239" s="646"/>
      <c r="O239" s="646"/>
      <c r="P239" s="646"/>
      <c r="Q239" s="645"/>
      <c r="R239" s="646"/>
      <c r="S239" s="646"/>
      <c r="T239" s="646"/>
      <c r="U239" s="646"/>
      <c r="V239" s="646"/>
      <c r="W239" s="646"/>
      <c r="X239" s="646"/>
      <c r="Y239" s="646"/>
      <c r="Z239" s="646"/>
      <c r="AA239" s="646"/>
      <c r="AB239" s="646"/>
      <c r="AC239" s="646"/>
      <c r="AD239" s="646"/>
      <c r="AE239" s="646"/>
      <c r="AF239" s="646"/>
      <c r="AG239" s="646"/>
      <c r="AH239" s="646"/>
      <c r="AI239" s="646"/>
      <c r="AJ239" s="646"/>
      <c r="AK239" s="646"/>
      <c r="AL239" s="646"/>
      <c r="AM239" s="646"/>
      <c r="AN239" s="646"/>
      <c r="AO239" s="652"/>
      <c r="AP239" s="646"/>
      <c r="AQ239" s="646"/>
      <c r="AR239" s="648"/>
      <c r="AS239" s="646"/>
      <c r="AT239" s="646"/>
      <c r="AU239" s="646"/>
      <c r="AV239" s="646"/>
      <c r="AW239" s="646"/>
      <c r="AX239" s="643"/>
      <c r="AY239" s="652"/>
      <c r="AZ239" s="646"/>
      <c r="BA239" s="646"/>
      <c r="BB239" s="646"/>
      <c r="BC239" s="643"/>
      <c r="BD239" s="646"/>
      <c r="BE239" s="646"/>
      <c r="BF239" s="646"/>
      <c r="BG239" s="646"/>
      <c r="BH239" s="646"/>
      <c r="BI239" s="646"/>
      <c r="BJ239" s="646"/>
      <c r="BK239" s="646"/>
      <c r="BL239" s="646"/>
      <c r="BM239" s="643"/>
      <c r="BN239" s="647"/>
      <c r="BO239" s="648"/>
      <c r="BP239" s="643"/>
      <c r="BQ239" s="649" t="str">
        <f>IFERROR(WWWW[[#This Row],['#_Water sources treated]]/WWWW[[#This Row],['#_Water sources tested for contamination]],"no test")</f>
        <v>no test</v>
      </c>
      <c r="BR239" s="648" t="str">
        <f>IFERROR(WWWW[[#This Row],['#_Household received remediation action due to contamination]]/WWWW[[#This Row],['#_Household water samples tested for contamination]],"no test")</f>
        <v>no test</v>
      </c>
      <c r="BS239" s="647" t="str">
        <f>IF(AND(WWWW[[#This Row],[% of water sources treated]]="no test",WWWW[[#This Row],[% Household received corrective actions]]="no test"),"No Test","Tested")</f>
        <v>No Test</v>
      </c>
      <c r="BT239" s="647">
        <f>WWWW[[#This Row],['#_Constructed/existing protected hand dug well]]-WWWW[[#This Row],['#_Non-functional protected hand dug well]]</f>
        <v>0</v>
      </c>
      <c r="BU239" s="647">
        <f>(WWWW[[#This Row],['#_Constructed/Existing tube wells/boreholes/handpumps_WASH_agency]]+WWWW[[#This Row],['#_Non-Cluster partner water tube-wells/boreholes/handpumps]])-WWWW[[#This Row],['#_Non-functional tube wells/boreholes/handpumps]]</f>
        <v>0</v>
      </c>
      <c r="BV239" s="647">
        <f>WWWW[[#This Row],['#_Constructed/Existingwater storage tank with gravity fed reticulation system]]-WWWW[[#This Row],['#_Non-functional storage tank gravity fed reticulation system]]</f>
        <v>0</v>
      </c>
      <c r="BW239" s="647">
        <f>WWWW[[#This Row],['#_Water boating or water trucking]]</f>
        <v>0</v>
      </c>
      <c r="BX239" s="647">
        <f>WWWW[[#This Row],['#_Constructed/Existing water distribution system from river or natural spring]]</f>
        <v>0</v>
      </c>
      <c r="BY239"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39"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39" s="648">
        <f>IF(WWWW[[#This Row],[Location Type 1]]="Village",WWWW[[#This Row],[Access to safe drinking water for Village]],WWWW[[#This Row],[Access to safe drinking water for Camp]])</f>
        <v>0</v>
      </c>
      <c r="CB239" s="645">
        <f>WWWW[[#This Row],[%Equitable and continuous access to sufficient quantity of safe drinking water]]*WWWW[[#This Row],[Total PoP ]]</f>
        <v>0</v>
      </c>
      <c r="CC239" s="648">
        <f>IF((WWWW[[#This Row],['#_Constructed/Existing protected/fenced ponds]]*250)/WWWW[[#This Row],[Total PoP ]]&gt;1,1,(WWWW[[#This Row],['#_Constructed/Existing protected/fenced ponds]]*250)/WWWW[[#This Row],[Total PoP ]])</f>
        <v>0</v>
      </c>
      <c r="CD239" s="645">
        <f>WWWW[[#This Row],[% Access to unimproved water points]]*WWWW[[#This Row],[Total PoP ]]</f>
        <v>0</v>
      </c>
      <c r="CE239"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39"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39" s="645">
        <f>WWWW[[#This Row],[HRP1]]/500</f>
        <v>0</v>
      </c>
      <c r="CH239" s="650">
        <f>1-WWWW[[#This Row],[% Equitable and continuous access to sufficient quantity of domestic water]]</f>
        <v>1</v>
      </c>
      <c r="CI239" s="645">
        <f>WWWW[[#This Row],[%equitable and continuous access to sufficient quantity of safe drinking and domestic water''s GAP]]*WWWW[[#This Row],[Total PoP ]]</f>
        <v>1018</v>
      </c>
      <c r="CJ239" s="647">
        <f>IF(WWWW[[#This Row],[Total required water points]]-WWWW[[#This Row],['#Water points coverage]]&lt;0,0,WWWW[[#This Row],[Total required water points]]-WWWW[[#This Row],['#Water points coverage]])</f>
        <v>2</v>
      </c>
      <c r="CK239" s="647">
        <f>ROUND(IF(WWWW[[#This Row],[Total PoP ]]&lt;500,1,WWWW[[#This Row],[Total PoP ]]/500),0)</f>
        <v>2</v>
      </c>
      <c r="CL239" s="647">
        <f>(WWWW[[#This Row],['#_Constructed latrines_by_WASHAgencies]]+WWWW[[#This Row],['#_Non Cluster partner latrines]])-WWWW[[#This Row],['#_Non-functional latrines]]</f>
        <v>0</v>
      </c>
      <c r="CM239"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39"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39"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39" s="647" t="str">
        <f>IF(WWWW[[#This Row],[Location Type 1]]="Village","NA",IF(WWWW[[#This Row],['#_Constructed/Existing latrines in TLS]]*50&gt;WWWW[[#This Row],['#_students at TLS_CFS]],WWWW[[#This Row],['#_students at TLS_CFS]],(WWWW[[#This Row],['#_Constructed/Existing latrines in TLS]]*50)))</f>
        <v>NA</v>
      </c>
      <c r="CQ239" s="647">
        <f>ROUND(IF(WWWW[[#This Row],[Location Type 1]]="camp",WWWW[[#This Row],[Total PoP ]]/20,IF(WWWW[[#This Row],[Location Type 1]]="Temporary Location",WWWW[[#This Row],[Total PoP ]]/50,(WWWW[[#This Row],[Total PoP ]]/6))),0)</f>
        <v>170</v>
      </c>
      <c r="CR239" s="647">
        <f>IF(WWWW[[#This Row],[Total required Latrines]]-(WWWW[[#This Row],['#_Constructed latrines_by_WASHAgencies]]+WWWW[[#This Row],['#_Non Cluster partner latrines]])&lt;0,0,WWWW[[#This Row],[Total required Latrines]]-(WWWW[[#This Row],['#_Constructed latrines_by_WASHAgencies]]+WWWW[[#This Row],['#_Non Cluster partner latrines]]))</f>
        <v>170</v>
      </c>
      <c r="CS239" s="79">
        <f>1-WWWW[[#This Row],[% people access to functioning Latrine]]</f>
        <v>1</v>
      </c>
      <c r="CT239" s="649">
        <f>IF(OR(WWWW[[#This Row],['#_Non-functional latrines]]="",WWWW[[#This Row],['#_Non-functional latrines]]=0),0,WWWW[[#This Row],['#_Non-functional latrines]]/(WWWW[[#This Row],['#_Constructed latrines_by_WASHAgencies]]+WWWW[[#This Row],['#_Non Cluster partner latrines]]))</f>
        <v>0</v>
      </c>
      <c r="CU239" s="645">
        <f>IF(500*(WWWW[[#This Row],['#_male hygiene promoters]]+WWWW[[#This Row],['#_female hygiene promoters]])&gt;WWWW[[#This Row],[Total PoP ]],WWWW[[#This Row],[Total PoP ]],500*(WWWW[[#This Row],['#_male hygiene promoters]]+WWWW[[#This Row],['#_female hygiene promoters]]))</f>
        <v>0</v>
      </c>
      <c r="CV239"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39"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39" s="647">
        <f>IF(WWWW[[#This Row],['# People with access to soap]]&gt;WWWW[[#This Row],['# People with access to Sanity Pads]],WWWW[[#This Row],['# People with access to soap]],WWWW[[#This Row],['# People with access to Sanity Pads]])</f>
        <v>0</v>
      </c>
      <c r="CY239"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39" s="650">
        <f>IF(WWWW[[#This Row],[HRP3]]/WWWW[[#This Row],[Total PoP ]]&gt;100%,100%,WWWW[[#This Row],[HRP3]]/WWWW[[#This Row],[Total PoP ]])</f>
        <v>0</v>
      </c>
      <c r="DA239" s="649">
        <f>1-WWWW[[#This Row],[Hygiene Coverage%]]</f>
        <v>1</v>
      </c>
      <c r="DB239" s="648">
        <f>WWWW[[#This Row],['# people reached by regular dedicated hygiene promotion_5]]/WWWW[[#This Row],[Total PoP ]]</f>
        <v>0</v>
      </c>
      <c r="DC239" s="648">
        <f>IF(WWWW[[#This Row],['#_households that received standard amount of soap for this quarter]]/WWWW[[#This Row],[Total HH]]&gt;1,1,WWWW[[#This Row],['#_households that received standard amount of soap for this quarter]]/WWWW[[#This Row],[Total HH]])</f>
        <v>0</v>
      </c>
      <c r="DD239" s="648">
        <f>IF(WWWW[[#This Row],['#_households that received standard amount of sanitary pads for this quarter]]/WWWW[[#This Row],[Total HH]]&gt;1,1,WWWW[[#This Row],['#_households that received standard amount of sanitary pads for this quarter]]/WWWW[[#This Row],[Total HH]])</f>
        <v>0</v>
      </c>
      <c r="DE239" s="647">
        <f>WWWW[[#This Row],['#_Constructed/Existing hand washing stations]]-WWWW[[#This Row],['#_Non-Functional_hand_washing_stations]]</f>
        <v>0</v>
      </c>
      <c r="DF239" s="667">
        <f>IF(WWWW[[#This Row],['# Functional hand washing stations during reporting period]]*20&gt;WWWW[[#This Row],[Total HH]],WWWW[[#This Row],[Total HH]],WWWW[[#This Row],['# Functional hand washing stations during reporting period]]*20)</f>
        <v>0</v>
      </c>
      <c r="DG239" s="645">
        <f>IF(WWWW[[#This Row],[Is sufficient soap available for TLS? (Yes/No)]]="yes",WWWW[[#This Row],['#_Constructed/Existing hand washing stations at TLS]],0)</f>
        <v>0</v>
      </c>
      <c r="DH239" s="645">
        <f>IF(WWWW[[#This Row],['# Functional hand washing stations during reporting period]]*100&gt;WWWW[[#This Row],[Total PoP ]],WWWW[[#This Row],[Total PoP ]],WWWW[[#This Row],['# Functional hand washing stations during reporting period]]*100)</f>
        <v>0</v>
      </c>
      <c r="DI239" s="645" t="str">
        <f>IF(WWWW[[#This Row],['#_students at TLS_CFS]]="","No","Yes")</f>
        <v>No</v>
      </c>
      <c r="DJ239" s="643">
        <f>VLOOKUP(WWWW[[#This Row],[Site Name]],SiteDB6[[Site Name]:[CCCM Management]],6,FALSE)</f>
        <v>0</v>
      </c>
      <c r="DK239" s="643">
        <f>VLOOKUP(WWWW[[#This Row],[Site Name]],SiteDB6[[Site Name]:[CCCM Focal Agency]],7,FALSE)</f>
        <v>0</v>
      </c>
      <c r="DL239" s="643" t="str">
        <f>VLOOKUP(WWWW[[#This Row],[Site Name]],SiteDB6[[Site Name]:[Location Type 1]],9,FALSE)</f>
        <v>Village</v>
      </c>
      <c r="DM239" s="643" t="str">
        <f>VLOOKUP(WWWW[[#This Row],[Site Name]],SiteDB6[[Site Name]:[Type of Accommodation]],10,FALSE)</f>
        <v>Village</v>
      </c>
      <c r="DN239" s="643" t="str">
        <f>VLOOKUP(WWWW[[#This Row],[Site Name]],SiteDB6[[Site Name]:[Ethnic or GCA/NGCA]],11,FALSE)</f>
        <v>Rakhine</v>
      </c>
      <c r="DO239" s="643">
        <f>VLOOKUP(WWWW[[#This Row],[Site Name]],SiteDB6[[Site Name]:[Lat]],12,FALSE)</f>
        <v>20.260679244995099</v>
      </c>
      <c r="DP239" s="643">
        <f>VLOOKUP(WWWW[[#This Row],[Site Name]],SiteDB6[[Site Name]:[Long]],13,FALSE)</f>
        <v>93.051597595214801</v>
      </c>
      <c r="DQ239" s="643">
        <f>VLOOKUP(WWWW[[#This Row],[Site Name]],SiteDB6[[Site Name]:[Pcode]],3,FALSE)</f>
        <v>197401</v>
      </c>
      <c r="DR239" s="652" t="str">
        <f t="shared" si="8"/>
        <v>Covered</v>
      </c>
      <c r="DS239" s="652"/>
    </row>
    <row r="240" spans="1:123">
      <c r="A240" s="637" t="s">
        <v>2525</v>
      </c>
      <c r="B240" s="637" t="s">
        <v>352</v>
      </c>
      <c r="C240" s="644" t="s">
        <v>352</v>
      </c>
      <c r="D240" s="644" t="s">
        <v>345</v>
      </c>
      <c r="E240" s="663" t="s">
        <v>3014</v>
      </c>
      <c r="F240" s="644" t="s">
        <v>420</v>
      </c>
      <c r="G240" s="663" t="str">
        <f>VLOOKUP(WWWW[[#This Row],[Site Name]],SiteDB6[[Site Name]:[Location Type]],8,FALSE)</f>
        <v>Village</v>
      </c>
      <c r="H240" s="644" t="s">
        <v>2865</v>
      </c>
      <c r="I240" s="646">
        <v>173</v>
      </c>
      <c r="J240" s="646">
        <v>354</v>
      </c>
      <c r="K240" s="653"/>
      <c r="L240" s="654">
        <v>44439</v>
      </c>
      <c r="M240" s="646"/>
      <c r="N240" s="646"/>
      <c r="O240" s="646"/>
      <c r="P240" s="646"/>
      <c r="Q240" s="645"/>
      <c r="R240" s="646"/>
      <c r="S240" s="646"/>
      <c r="T240" s="646"/>
      <c r="U240" s="646"/>
      <c r="V240" s="646"/>
      <c r="W240" s="646"/>
      <c r="X240" s="646"/>
      <c r="Y240" s="646"/>
      <c r="Z240" s="646"/>
      <c r="AA240" s="646"/>
      <c r="AB240" s="646"/>
      <c r="AC240" s="646"/>
      <c r="AD240" s="646"/>
      <c r="AE240" s="646"/>
      <c r="AF240" s="646"/>
      <c r="AG240" s="646"/>
      <c r="AH240" s="646"/>
      <c r="AI240" s="646"/>
      <c r="AJ240" s="646"/>
      <c r="AK240" s="646"/>
      <c r="AL240" s="646"/>
      <c r="AM240" s="646"/>
      <c r="AN240" s="646"/>
      <c r="AO240" s="652"/>
      <c r="AP240" s="646"/>
      <c r="AQ240" s="646"/>
      <c r="AR240" s="648"/>
      <c r="AS240" s="646"/>
      <c r="AT240" s="646"/>
      <c r="AU240" s="646"/>
      <c r="AV240" s="646"/>
      <c r="AW240" s="646"/>
      <c r="AX240" s="643"/>
      <c r="AY240" s="652"/>
      <c r="AZ240" s="646"/>
      <c r="BA240" s="646"/>
      <c r="BB240" s="646"/>
      <c r="BC240" s="643"/>
      <c r="BD240" s="646"/>
      <c r="BE240" s="646"/>
      <c r="BF240" s="646"/>
      <c r="BG240" s="646"/>
      <c r="BH240" s="646"/>
      <c r="BI240" s="646"/>
      <c r="BJ240" s="646"/>
      <c r="BK240" s="646"/>
      <c r="BL240" s="646"/>
      <c r="BM240" s="643"/>
      <c r="BN240" s="647"/>
      <c r="BO240" s="648"/>
      <c r="BP240" s="643"/>
      <c r="BQ240" s="649" t="str">
        <f>IFERROR(WWWW[[#This Row],['#_Water sources treated]]/WWWW[[#This Row],['#_Water sources tested for contamination]],"no test")</f>
        <v>no test</v>
      </c>
      <c r="BR240" s="648" t="str">
        <f>IFERROR(WWWW[[#This Row],['#_Household received remediation action due to contamination]]/WWWW[[#This Row],['#_Household water samples tested for contamination]],"no test")</f>
        <v>no test</v>
      </c>
      <c r="BS240" s="647" t="str">
        <f>IF(AND(WWWW[[#This Row],[% of water sources treated]]="no test",WWWW[[#This Row],[% Household received corrective actions]]="no test"),"No Test","Tested")</f>
        <v>No Test</v>
      </c>
      <c r="BT240" s="647">
        <f>WWWW[[#This Row],['#_Constructed/existing protected hand dug well]]-WWWW[[#This Row],['#_Non-functional protected hand dug well]]</f>
        <v>0</v>
      </c>
      <c r="BU240" s="647">
        <f>(WWWW[[#This Row],['#_Constructed/Existing tube wells/boreholes/handpumps_WASH_agency]]+WWWW[[#This Row],['#_Non-Cluster partner water tube-wells/boreholes/handpumps]])-WWWW[[#This Row],['#_Non-functional tube wells/boreholes/handpumps]]</f>
        <v>0</v>
      </c>
      <c r="BV240" s="647">
        <f>WWWW[[#This Row],['#_Constructed/Existingwater storage tank with gravity fed reticulation system]]-WWWW[[#This Row],['#_Non-functional storage tank gravity fed reticulation system]]</f>
        <v>0</v>
      </c>
      <c r="BW240" s="647">
        <f>WWWW[[#This Row],['#_Water boating or water trucking]]</f>
        <v>0</v>
      </c>
      <c r="BX240" s="647">
        <f>WWWW[[#This Row],['#_Constructed/Existing water distribution system from river or natural spring]]</f>
        <v>0</v>
      </c>
      <c r="BY240"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40"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40" s="648">
        <f>IF(WWWW[[#This Row],[Location Type 1]]="Village",WWWW[[#This Row],[Access to safe drinking water for Village]],WWWW[[#This Row],[Access to safe drinking water for Camp]])</f>
        <v>0</v>
      </c>
      <c r="CB240" s="645">
        <f>WWWW[[#This Row],[%Equitable and continuous access to sufficient quantity of safe drinking water]]*WWWW[[#This Row],[Total PoP ]]</f>
        <v>0</v>
      </c>
      <c r="CC240" s="648">
        <f>IF((WWWW[[#This Row],['#_Constructed/Existing protected/fenced ponds]]*250)/WWWW[[#This Row],[Total PoP ]]&gt;1,1,(WWWW[[#This Row],['#_Constructed/Existing protected/fenced ponds]]*250)/WWWW[[#This Row],[Total PoP ]])</f>
        <v>0</v>
      </c>
      <c r="CD240" s="645">
        <f>WWWW[[#This Row],[% Access to unimproved water points]]*WWWW[[#This Row],[Total PoP ]]</f>
        <v>0</v>
      </c>
      <c r="CE240"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40"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40" s="645">
        <f>WWWW[[#This Row],[HRP1]]/500</f>
        <v>0</v>
      </c>
      <c r="CH240" s="650">
        <f>1-WWWW[[#This Row],[% Equitable and continuous access to sufficient quantity of domestic water]]</f>
        <v>1</v>
      </c>
      <c r="CI240" s="645">
        <f>WWWW[[#This Row],[%equitable and continuous access to sufficient quantity of safe drinking and domestic water''s GAP]]*WWWW[[#This Row],[Total PoP ]]</f>
        <v>354</v>
      </c>
      <c r="CJ240" s="647">
        <f>IF(WWWW[[#This Row],[Total required water points]]-WWWW[[#This Row],['#Water points coverage]]&lt;0,0,WWWW[[#This Row],[Total required water points]]-WWWW[[#This Row],['#Water points coverage]])</f>
        <v>1</v>
      </c>
      <c r="CK240" s="647">
        <f>ROUND(IF(WWWW[[#This Row],[Total PoP ]]&lt;500,1,WWWW[[#This Row],[Total PoP ]]/500),0)</f>
        <v>1</v>
      </c>
      <c r="CL240" s="647">
        <f>(WWWW[[#This Row],['#_Constructed latrines_by_WASHAgencies]]+WWWW[[#This Row],['#_Non Cluster partner latrines]])-WWWW[[#This Row],['#_Non-functional latrines]]</f>
        <v>0</v>
      </c>
      <c r="CM240"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40"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40"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40" s="647" t="str">
        <f>IF(WWWW[[#This Row],[Location Type 1]]="Village","NA",IF(WWWW[[#This Row],['#_Constructed/Existing latrines in TLS]]*50&gt;WWWW[[#This Row],['#_students at TLS_CFS]],WWWW[[#This Row],['#_students at TLS_CFS]],(WWWW[[#This Row],['#_Constructed/Existing latrines in TLS]]*50)))</f>
        <v>NA</v>
      </c>
      <c r="CQ240" s="647">
        <f>ROUND(IF(WWWW[[#This Row],[Location Type 1]]="camp",WWWW[[#This Row],[Total PoP ]]/20,IF(WWWW[[#This Row],[Location Type 1]]="Temporary Location",WWWW[[#This Row],[Total PoP ]]/50,(WWWW[[#This Row],[Total PoP ]]/6))),0)</f>
        <v>59</v>
      </c>
      <c r="CR240" s="647">
        <f>IF(WWWW[[#This Row],[Total required Latrines]]-(WWWW[[#This Row],['#_Constructed latrines_by_WASHAgencies]]+WWWW[[#This Row],['#_Non Cluster partner latrines]])&lt;0,0,WWWW[[#This Row],[Total required Latrines]]-(WWWW[[#This Row],['#_Constructed latrines_by_WASHAgencies]]+WWWW[[#This Row],['#_Non Cluster partner latrines]]))</f>
        <v>59</v>
      </c>
      <c r="CS240" s="79">
        <f>1-WWWW[[#This Row],[% people access to functioning Latrine]]</f>
        <v>1</v>
      </c>
      <c r="CT240" s="649">
        <f>IF(OR(WWWW[[#This Row],['#_Non-functional latrines]]="",WWWW[[#This Row],['#_Non-functional latrines]]=0),0,WWWW[[#This Row],['#_Non-functional latrines]]/(WWWW[[#This Row],['#_Constructed latrines_by_WASHAgencies]]+WWWW[[#This Row],['#_Non Cluster partner latrines]]))</f>
        <v>0</v>
      </c>
      <c r="CU240" s="645">
        <f>IF(500*(WWWW[[#This Row],['#_male hygiene promoters]]+WWWW[[#This Row],['#_female hygiene promoters]])&gt;WWWW[[#This Row],[Total PoP ]],WWWW[[#This Row],[Total PoP ]],500*(WWWW[[#This Row],['#_male hygiene promoters]]+WWWW[[#This Row],['#_female hygiene promoters]]))</f>
        <v>0</v>
      </c>
      <c r="CV240"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40"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40" s="647">
        <f>IF(WWWW[[#This Row],['# People with access to soap]]&gt;WWWW[[#This Row],['# People with access to Sanity Pads]],WWWW[[#This Row],['# People with access to soap]],WWWW[[#This Row],['# People with access to Sanity Pads]])</f>
        <v>0</v>
      </c>
      <c r="CY240"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40" s="650">
        <f>IF(WWWW[[#This Row],[HRP3]]/WWWW[[#This Row],[Total PoP ]]&gt;100%,100%,WWWW[[#This Row],[HRP3]]/WWWW[[#This Row],[Total PoP ]])</f>
        <v>0</v>
      </c>
      <c r="DA240" s="649">
        <f>1-WWWW[[#This Row],[Hygiene Coverage%]]</f>
        <v>1</v>
      </c>
      <c r="DB240" s="648">
        <f>WWWW[[#This Row],['# people reached by regular dedicated hygiene promotion_5]]/WWWW[[#This Row],[Total PoP ]]</f>
        <v>0</v>
      </c>
      <c r="DC240" s="648">
        <f>IF(WWWW[[#This Row],['#_households that received standard amount of soap for this quarter]]/WWWW[[#This Row],[Total HH]]&gt;1,1,WWWW[[#This Row],['#_households that received standard amount of soap for this quarter]]/WWWW[[#This Row],[Total HH]])</f>
        <v>0</v>
      </c>
      <c r="DD240" s="648">
        <f>IF(WWWW[[#This Row],['#_households that received standard amount of sanitary pads for this quarter]]/WWWW[[#This Row],[Total HH]]&gt;1,1,WWWW[[#This Row],['#_households that received standard amount of sanitary pads for this quarter]]/WWWW[[#This Row],[Total HH]])</f>
        <v>0</v>
      </c>
      <c r="DE240" s="647">
        <f>WWWW[[#This Row],['#_Constructed/Existing hand washing stations]]-WWWW[[#This Row],['#_Non-Functional_hand_washing_stations]]</f>
        <v>0</v>
      </c>
      <c r="DF240" s="667">
        <f>IF(WWWW[[#This Row],['# Functional hand washing stations during reporting period]]*20&gt;WWWW[[#This Row],[Total HH]],WWWW[[#This Row],[Total HH]],WWWW[[#This Row],['# Functional hand washing stations during reporting period]]*20)</f>
        <v>0</v>
      </c>
      <c r="DG240" s="645">
        <f>IF(WWWW[[#This Row],[Is sufficient soap available for TLS? (Yes/No)]]="yes",WWWW[[#This Row],['#_Constructed/Existing hand washing stations at TLS]],0)</f>
        <v>0</v>
      </c>
      <c r="DH240" s="645">
        <f>IF(WWWW[[#This Row],['# Functional hand washing stations during reporting period]]*100&gt;WWWW[[#This Row],[Total PoP ]],WWWW[[#This Row],[Total PoP ]],WWWW[[#This Row],['# Functional hand washing stations during reporting period]]*100)</f>
        <v>0</v>
      </c>
      <c r="DI240" s="645" t="str">
        <f>IF(WWWW[[#This Row],['#_students at TLS_CFS]]="","No","Yes")</f>
        <v>No</v>
      </c>
      <c r="DJ240" s="643">
        <f>VLOOKUP(WWWW[[#This Row],[Site Name]],SiteDB6[[Site Name]:[CCCM Management]],6,FALSE)</f>
        <v>0</v>
      </c>
      <c r="DK240" s="643">
        <f>VLOOKUP(WWWW[[#This Row],[Site Name]],SiteDB6[[Site Name]:[CCCM Focal Agency]],7,FALSE)</f>
        <v>0</v>
      </c>
      <c r="DL240" s="643" t="str">
        <f>VLOOKUP(WWWW[[#This Row],[Site Name]],SiteDB6[[Site Name]:[Location Type 1]],9,FALSE)</f>
        <v>Village</v>
      </c>
      <c r="DM240" s="643" t="str">
        <f>VLOOKUP(WWWW[[#This Row],[Site Name]],SiteDB6[[Site Name]:[Type of Accommodation]],10,FALSE)</f>
        <v>Village</v>
      </c>
      <c r="DN240" s="643" t="str">
        <f>VLOOKUP(WWWW[[#This Row],[Site Name]],SiteDB6[[Site Name]:[Ethnic or GCA/NGCA]],11,FALSE)</f>
        <v>Rakhine</v>
      </c>
      <c r="DO240" s="643">
        <f>VLOOKUP(WWWW[[#This Row],[Site Name]],SiteDB6[[Site Name]:[Lat]],12,FALSE)</f>
        <v>0</v>
      </c>
      <c r="DP240" s="643">
        <f>VLOOKUP(WWWW[[#This Row],[Site Name]],SiteDB6[[Site Name]:[Long]],13,FALSE)</f>
        <v>0</v>
      </c>
      <c r="DQ240" s="643">
        <f>VLOOKUP(WWWW[[#This Row],[Site Name]],SiteDB6[[Site Name]:[Pcode]],3,FALSE)</f>
        <v>197403</v>
      </c>
      <c r="DR240" s="652" t="str">
        <f t="shared" si="8"/>
        <v>Covered</v>
      </c>
      <c r="DS240" s="652"/>
    </row>
    <row r="241" spans="1:123">
      <c r="A241" s="637" t="s">
        <v>2525</v>
      </c>
      <c r="B241" s="637" t="s">
        <v>352</v>
      </c>
      <c r="C241" s="644" t="s">
        <v>352</v>
      </c>
      <c r="D241" s="644" t="s">
        <v>345</v>
      </c>
      <c r="E241" s="663" t="s">
        <v>3014</v>
      </c>
      <c r="F241" s="644" t="s">
        <v>420</v>
      </c>
      <c r="G241" s="663" t="str">
        <f>VLOOKUP(WWWW[[#This Row],[Site Name]],SiteDB6[[Site Name]:[Location Type]],8,FALSE)</f>
        <v>Village</v>
      </c>
      <c r="H241" s="644" t="s">
        <v>2866</v>
      </c>
      <c r="I241" s="646">
        <v>436</v>
      </c>
      <c r="J241" s="646">
        <v>2287</v>
      </c>
      <c r="K241" s="653"/>
      <c r="L241" s="654">
        <v>44439</v>
      </c>
      <c r="M241" s="646"/>
      <c r="N241" s="646"/>
      <c r="O241" s="646"/>
      <c r="P241" s="646"/>
      <c r="Q241" s="645"/>
      <c r="R241" s="646"/>
      <c r="S241" s="646"/>
      <c r="T241" s="646"/>
      <c r="U241" s="646"/>
      <c r="V241" s="646"/>
      <c r="W241" s="646"/>
      <c r="X241" s="646"/>
      <c r="Y241" s="646"/>
      <c r="Z241" s="646"/>
      <c r="AA241" s="646"/>
      <c r="AB241" s="646"/>
      <c r="AC241" s="646"/>
      <c r="AD241" s="646"/>
      <c r="AE241" s="646"/>
      <c r="AF241" s="646"/>
      <c r="AG241" s="646"/>
      <c r="AH241" s="646"/>
      <c r="AI241" s="646"/>
      <c r="AJ241" s="646"/>
      <c r="AK241" s="646"/>
      <c r="AL241" s="646"/>
      <c r="AM241" s="646"/>
      <c r="AN241" s="646"/>
      <c r="AO241" s="652"/>
      <c r="AP241" s="646"/>
      <c r="AQ241" s="646"/>
      <c r="AR241" s="648"/>
      <c r="AS241" s="646"/>
      <c r="AT241" s="646"/>
      <c r="AU241" s="646"/>
      <c r="AV241" s="646"/>
      <c r="AW241" s="646"/>
      <c r="AX241" s="643"/>
      <c r="AY241" s="652"/>
      <c r="AZ241" s="646"/>
      <c r="BA241" s="646"/>
      <c r="BB241" s="646"/>
      <c r="BC241" s="643"/>
      <c r="BD241" s="646"/>
      <c r="BE241" s="646"/>
      <c r="BF241" s="646"/>
      <c r="BG241" s="646"/>
      <c r="BH241" s="646"/>
      <c r="BI241" s="646"/>
      <c r="BJ241" s="646"/>
      <c r="BK241" s="646"/>
      <c r="BL241" s="646"/>
      <c r="BM241" s="643"/>
      <c r="BN241" s="647"/>
      <c r="BO241" s="648"/>
      <c r="BP241" s="643"/>
      <c r="BQ241" s="649" t="str">
        <f>IFERROR(WWWW[[#This Row],['#_Water sources treated]]/WWWW[[#This Row],['#_Water sources tested for contamination]],"no test")</f>
        <v>no test</v>
      </c>
      <c r="BR241" s="648" t="str">
        <f>IFERROR(WWWW[[#This Row],['#_Household received remediation action due to contamination]]/WWWW[[#This Row],['#_Household water samples tested for contamination]],"no test")</f>
        <v>no test</v>
      </c>
      <c r="BS241" s="647" t="str">
        <f>IF(AND(WWWW[[#This Row],[% of water sources treated]]="no test",WWWW[[#This Row],[% Household received corrective actions]]="no test"),"No Test","Tested")</f>
        <v>No Test</v>
      </c>
      <c r="BT241" s="647">
        <f>WWWW[[#This Row],['#_Constructed/existing protected hand dug well]]-WWWW[[#This Row],['#_Non-functional protected hand dug well]]</f>
        <v>0</v>
      </c>
      <c r="BU241" s="647">
        <f>(WWWW[[#This Row],['#_Constructed/Existing tube wells/boreholes/handpumps_WASH_agency]]+WWWW[[#This Row],['#_Non-Cluster partner water tube-wells/boreholes/handpumps]])-WWWW[[#This Row],['#_Non-functional tube wells/boreholes/handpumps]]</f>
        <v>0</v>
      </c>
      <c r="BV241" s="647">
        <f>WWWW[[#This Row],['#_Constructed/Existingwater storage tank with gravity fed reticulation system]]-WWWW[[#This Row],['#_Non-functional storage tank gravity fed reticulation system]]</f>
        <v>0</v>
      </c>
      <c r="BW241" s="647">
        <f>WWWW[[#This Row],['#_Water boating or water trucking]]</f>
        <v>0</v>
      </c>
      <c r="BX241" s="647">
        <f>WWWW[[#This Row],['#_Constructed/Existing water distribution system from river or natural spring]]</f>
        <v>0</v>
      </c>
      <c r="BY241"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41"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41" s="648">
        <f>IF(WWWW[[#This Row],[Location Type 1]]="Village",WWWW[[#This Row],[Access to safe drinking water for Village]],WWWW[[#This Row],[Access to safe drinking water for Camp]])</f>
        <v>0</v>
      </c>
      <c r="CB241" s="645">
        <f>WWWW[[#This Row],[%Equitable and continuous access to sufficient quantity of safe drinking water]]*WWWW[[#This Row],[Total PoP ]]</f>
        <v>0</v>
      </c>
      <c r="CC241" s="648">
        <f>IF((WWWW[[#This Row],['#_Constructed/Existing protected/fenced ponds]]*250)/WWWW[[#This Row],[Total PoP ]]&gt;1,1,(WWWW[[#This Row],['#_Constructed/Existing protected/fenced ponds]]*250)/WWWW[[#This Row],[Total PoP ]])</f>
        <v>0</v>
      </c>
      <c r="CD241" s="645">
        <f>WWWW[[#This Row],[% Access to unimproved water points]]*WWWW[[#This Row],[Total PoP ]]</f>
        <v>0</v>
      </c>
      <c r="CE241"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41"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41" s="645">
        <f>WWWW[[#This Row],[HRP1]]/500</f>
        <v>0</v>
      </c>
      <c r="CH241" s="650">
        <f>1-WWWW[[#This Row],[% Equitable and continuous access to sufficient quantity of domestic water]]</f>
        <v>1</v>
      </c>
      <c r="CI241" s="645">
        <f>WWWW[[#This Row],[%equitable and continuous access to sufficient quantity of safe drinking and domestic water''s GAP]]*WWWW[[#This Row],[Total PoP ]]</f>
        <v>2287</v>
      </c>
      <c r="CJ241" s="647">
        <f>IF(WWWW[[#This Row],[Total required water points]]-WWWW[[#This Row],['#Water points coverage]]&lt;0,0,WWWW[[#This Row],[Total required water points]]-WWWW[[#This Row],['#Water points coverage]])</f>
        <v>5</v>
      </c>
      <c r="CK241" s="647">
        <f>ROUND(IF(WWWW[[#This Row],[Total PoP ]]&lt;500,1,WWWW[[#This Row],[Total PoP ]]/500),0)</f>
        <v>5</v>
      </c>
      <c r="CL241" s="647">
        <f>(WWWW[[#This Row],['#_Constructed latrines_by_WASHAgencies]]+WWWW[[#This Row],['#_Non Cluster partner latrines]])-WWWW[[#This Row],['#_Non-functional latrines]]</f>
        <v>0</v>
      </c>
      <c r="CM241"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41"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41"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41" s="647" t="str">
        <f>IF(WWWW[[#This Row],[Location Type 1]]="Village","NA",IF(WWWW[[#This Row],['#_Constructed/Existing latrines in TLS]]*50&gt;WWWW[[#This Row],['#_students at TLS_CFS]],WWWW[[#This Row],['#_students at TLS_CFS]],(WWWW[[#This Row],['#_Constructed/Existing latrines in TLS]]*50)))</f>
        <v>NA</v>
      </c>
      <c r="CQ241" s="647">
        <f>ROUND(IF(WWWW[[#This Row],[Location Type 1]]="camp",WWWW[[#This Row],[Total PoP ]]/20,IF(WWWW[[#This Row],[Location Type 1]]="Temporary Location",WWWW[[#This Row],[Total PoP ]]/50,(WWWW[[#This Row],[Total PoP ]]/6))),0)</f>
        <v>381</v>
      </c>
      <c r="CR241" s="647">
        <f>IF(WWWW[[#This Row],[Total required Latrines]]-(WWWW[[#This Row],['#_Constructed latrines_by_WASHAgencies]]+WWWW[[#This Row],['#_Non Cluster partner latrines]])&lt;0,0,WWWW[[#This Row],[Total required Latrines]]-(WWWW[[#This Row],['#_Constructed latrines_by_WASHAgencies]]+WWWW[[#This Row],['#_Non Cluster partner latrines]]))</f>
        <v>381</v>
      </c>
      <c r="CS241" s="79">
        <f>1-WWWW[[#This Row],[% people access to functioning Latrine]]</f>
        <v>1</v>
      </c>
      <c r="CT241" s="649">
        <f>IF(OR(WWWW[[#This Row],['#_Non-functional latrines]]="",WWWW[[#This Row],['#_Non-functional latrines]]=0),0,WWWW[[#This Row],['#_Non-functional latrines]]/(WWWW[[#This Row],['#_Constructed latrines_by_WASHAgencies]]+WWWW[[#This Row],['#_Non Cluster partner latrines]]))</f>
        <v>0</v>
      </c>
      <c r="CU241" s="645">
        <f>IF(500*(WWWW[[#This Row],['#_male hygiene promoters]]+WWWW[[#This Row],['#_female hygiene promoters]])&gt;WWWW[[#This Row],[Total PoP ]],WWWW[[#This Row],[Total PoP ]],500*(WWWW[[#This Row],['#_male hygiene promoters]]+WWWW[[#This Row],['#_female hygiene promoters]]))</f>
        <v>0</v>
      </c>
      <c r="CV241"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41"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41" s="647">
        <f>IF(WWWW[[#This Row],['# People with access to soap]]&gt;WWWW[[#This Row],['# People with access to Sanity Pads]],WWWW[[#This Row],['# People with access to soap]],WWWW[[#This Row],['# People with access to Sanity Pads]])</f>
        <v>0</v>
      </c>
      <c r="CY241"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41" s="650">
        <f>IF(WWWW[[#This Row],[HRP3]]/WWWW[[#This Row],[Total PoP ]]&gt;100%,100%,WWWW[[#This Row],[HRP3]]/WWWW[[#This Row],[Total PoP ]])</f>
        <v>0</v>
      </c>
      <c r="DA241" s="649">
        <f>1-WWWW[[#This Row],[Hygiene Coverage%]]</f>
        <v>1</v>
      </c>
      <c r="DB241" s="648">
        <f>WWWW[[#This Row],['# people reached by regular dedicated hygiene promotion_5]]/WWWW[[#This Row],[Total PoP ]]</f>
        <v>0</v>
      </c>
      <c r="DC241" s="648">
        <f>IF(WWWW[[#This Row],['#_households that received standard amount of soap for this quarter]]/WWWW[[#This Row],[Total HH]]&gt;1,1,WWWW[[#This Row],['#_households that received standard amount of soap for this quarter]]/WWWW[[#This Row],[Total HH]])</f>
        <v>0</v>
      </c>
      <c r="DD241" s="648">
        <f>IF(WWWW[[#This Row],['#_households that received standard amount of sanitary pads for this quarter]]/WWWW[[#This Row],[Total HH]]&gt;1,1,WWWW[[#This Row],['#_households that received standard amount of sanitary pads for this quarter]]/WWWW[[#This Row],[Total HH]])</f>
        <v>0</v>
      </c>
      <c r="DE241" s="647">
        <f>WWWW[[#This Row],['#_Constructed/Existing hand washing stations]]-WWWW[[#This Row],['#_Non-Functional_hand_washing_stations]]</f>
        <v>0</v>
      </c>
      <c r="DF241" s="667">
        <f>IF(WWWW[[#This Row],['# Functional hand washing stations during reporting period]]*20&gt;WWWW[[#This Row],[Total HH]],WWWW[[#This Row],[Total HH]],WWWW[[#This Row],['# Functional hand washing stations during reporting period]]*20)</f>
        <v>0</v>
      </c>
      <c r="DG241" s="645">
        <f>IF(WWWW[[#This Row],[Is sufficient soap available for TLS? (Yes/No)]]="yes",WWWW[[#This Row],['#_Constructed/Existing hand washing stations at TLS]],0)</f>
        <v>0</v>
      </c>
      <c r="DH241" s="645">
        <f>IF(WWWW[[#This Row],['# Functional hand washing stations during reporting period]]*100&gt;WWWW[[#This Row],[Total PoP ]],WWWW[[#This Row],[Total PoP ]],WWWW[[#This Row],['# Functional hand washing stations during reporting period]]*100)</f>
        <v>0</v>
      </c>
      <c r="DI241" s="645" t="str">
        <f>IF(WWWW[[#This Row],['#_students at TLS_CFS]]="","No","Yes")</f>
        <v>No</v>
      </c>
      <c r="DJ241" s="643">
        <f>VLOOKUP(WWWW[[#This Row],[Site Name]],SiteDB6[[Site Name]:[CCCM Management]],6,FALSE)</f>
        <v>0</v>
      </c>
      <c r="DK241" s="643">
        <f>VLOOKUP(WWWW[[#This Row],[Site Name]],SiteDB6[[Site Name]:[CCCM Focal Agency]],7,FALSE)</f>
        <v>0</v>
      </c>
      <c r="DL241" s="643" t="str">
        <f>VLOOKUP(WWWW[[#This Row],[Site Name]],SiteDB6[[Site Name]:[Location Type 1]],9,FALSE)</f>
        <v>Village</v>
      </c>
      <c r="DM241" s="643" t="str">
        <f>VLOOKUP(WWWW[[#This Row],[Site Name]],SiteDB6[[Site Name]:[Type of Accommodation]],10,FALSE)</f>
        <v>Village</v>
      </c>
      <c r="DN241" s="643" t="str">
        <f>VLOOKUP(WWWW[[#This Row],[Site Name]],SiteDB6[[Site Name]:[Ethnic or GCA/NGCA]],11,FALSE)</f>
        <v>Rakhine</v>
      </c>
      <c r="DO241" s="643">
        <f>VLOOKUP(WWWW[[#This Row],[Site Name]],SiteDB6[[Site Name]:[Lat]],12,FALSE)</f>
        <v>0</v>
      </c>
      <c r="DP241" s="643">
        <f>VLOOKUP(WWWW[[#This Row],[Site Name]],SiteDB6[[Site Name]:[Long]],13,FALSE)</f>
        <v>0</v>
      </c>
      <c r="DQ241" s="643">
        <f>VLOOKUP(WWWW[[#This Row],[Site Name]],SiteDB6[[Site Name]:[Pcode]],3,FALSE)</f>
        <v>197460</v>
      </c>
      <c r="DR241" s="652" t="str">
        <f t="shared" si="8"/>
        <v>Covered</v>
      </c>
      <c r="DS241" s="652"/>
    </row>
    <row r="242" spans="1:123">
      <c r="A242" s="637" t="s">
        <v>2525</v>
      </c>
      <c r="B242" s="637" t="s">
        <v>352</v>
      </c>
      <c r="C242" s="644" t="s">
        <v>352</v>
      </c>
      <c r="D242" s="644" t="s">
        <v>345</v>
      </c>
      <c r="E242" s="663" t="s">
        <v>3014</v>
      </c>
      <c r="F242" s="644" t="s">
        <v>420</v>
      </c>
      <c r="G242" s="663" t="str">
        <f>VLOOKUP(WWWW[[#This Row],[Site Name]],SiteDB6[[Site Name]:[Location Type]],8,FALSE)</f>
        <v>Village</v>
      </c>
      <c r="H242" s="644" t="s">
        <v>2867</v>
      </c>
      <c r="I242" s="646">
        <v>370</v>
      </c>
      <c r="J242" s="646">
        <v>1711</v>
      </c>
      <c r="K242" s="653"/>
      <c r="L242" s="654">
        <v>44439</v>
      </c>
      <c r="M242" s="646"/>
      <c r="N242" s="646"/>
      <c r="O242" s="646"/>
      <c r="P242" s="646"/>
      <c r="Q242" s="645"/>
      <c r="R242" s="646"/>
      <c r="S242" s="646"/>
      <c r="T242" s="646"/>
      <c r="U242" s="646"/>
      <c r="V242" s="646"/>
      <c r="W242" s="646"/>
      <c r="X242" s="646"/>
      <c r="Y242" s="646"/>
      <c r="Z242" s="646"/>
      <c r="AA242" s="646"/>
      <c r="AB242" s="646"/>
      <c r="AC242" s="646"/>
      <c r="AD242" s="646"/>
      <c r="AE242" s="646"/>
      <c r="AF242" s="646"/>
      <c r="AG242" s="646"/>
      <c r="AH242" s="646"/>
      <c r="AI242" s="646"/>
      <c r="AJ242" s="646"/>
      <c r="AK242" s="646"/>
      <c r="AL242" s="646"/>
      <c r="AM242" s="646"/>
      <c r="AN242" s="646"/>
      <c r="AO242" s="652"/>
      <c r="AP242" s="646"/>
      <c r="AQ242" s="646"/>
      <c r="AR242" s="648"/>
      <c r="AS242" s="646"/>
      <c r="AT242" s="646"/>
      <c r="AU242" s="646"/>
      <c r="AV242" s="646"/>
      <c r="AW242" s="646"/>
      <c r="AX242" s="643"/>
      <c r="AY242" s="652"/>
      <c r="AZ242" s="646"/>
      <c r="BA242" s="646"/>
      <c r="BB242" s="646"/>
      <c r="BC242" s="643"/>
      <c r="BD242" s="646"/>
      <c r="BE242" s="646"/>
      <c r="BF242" s="646"/>
      <c r="BG242" s="646"/>
      <c r="BH242" s="646"/>
      <c r="BI242" s="646"/>
      <c r="BJ242" s="646"/>
      <c r="BK242" s="646"/>
      <c r="BL242" s="646"/>
      <c r="BM242" s="643"/>
      <c r="BN242" s="647"/>
      <c r="BO242" s="648"/>
      <c r="BP242" s="643"/>
      <c r="BQ242" s="649" t="str">
        <f>IFERROR(WWWW[[#This Row],['#_Water sources treated]]/WWWW[[#This Row],['#_Water sources tested for contamination]],"no test")</f>
        <v>no test</v>
      </c>
      <c r="BR242" s="648" t="str">
        <f>IFERROR(WWWW[[#This Row],['#_Household received remediation action due to contamination]]/WWWW[[#This Row],['#_Household water samples tested for contamination]],"no test")</f>
        <v>no test</v>
      </c>
      <c r="BS242" s="647" t="str">
        <f>IF(AND(WWWW[[#This Row],[% of water sources treated]]="no test",WWWW[[#This Row],[% Household received corrective actions]]="no test"),"No Test","Tested")</f>
        <v>No Test</v>
      </c>
      <c r="BT242" s="647">
        <f>WWWW[[#This Row],['#_Constructed/existing protected hand dug well]]-WWWW[[#This Row],['#_Non-functional protected hand dug well]]</f>
        <v>0</v>
      </c>
      <c r="BU242" s="647">
        <f>(WWWW[[#This Row],['#_Constructed/Existing tube wells/boreholes/handpumps_WASH_agency]]+WWWW[[#This Row],['#_Non-Cluster partner water tube-wells/boreholes/handpumps]])-WWWW[[#This Row],['#_Non-functional tube wells/boreholes/handpumps]]</f>
        <v>0</v>
      </c>
      <c r="BV242" s="647">
        <f>WWWW[[#This Row],['#_Constructed/Existingwater storage tank with gravity fed reticulation system]]-WWWW[[#This Row],['#_Non-functional storage tank gravity fed reticulation system]]</f>
        <v>0</v>
      </c>
      <c r="BW242" s="647">
        <f>WWWW[[#This Row],['#_Water boating or water trucking]]</f>
        <v>0</v>
      </c>
      <c r="BX242" s="647">
        <f>WWWW[[#This Row],['#_Constructed/Existing water distribution system from river or natural spring]]</f>
        <v>0</v>
      </c>
      <c r="BY242"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42"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42" s="648">
        <f>IF(WWWW[[#This Row],[Location Type 1]]="Village",WWWW[[#This Row],[Access to safe drinking water for Village]],WWWW[[#This Row],[Access to safe drinking water for Camp]])</f>
        <v>0</v>
      </c>
      <c r="CB242" s="645">
        <f>WWWW[[#This Row],[%Equitable and continuous access to sufficient quantity of safe drinking water]]*WWWW[[#This Row],[Total PoP ]]</f>
        <v>0</v>
      </c>
      <c r="CC242" s="648">
        <f>IF((WWWW[[#This Row],['#_Constructed/Existing protected/fenced ponds]]*250)/WWWW[[#This Row],[Total PoP ]]&gt;1,1,(WWWW[[#This Row],['#_Constructed/Existing protected/fenced ponds]]*250)/WWWW[[#This Row],[Total PoP ]])</f>
        <v>0</v>
      </c>
      <c r="CD242" s="645">
        <f>WWWW[[#This Row],[% Access to unimproved water points]]*WWWW[[#This Row],[Total PoP ]]</f>
        <v>0</v>
      </c>
      <c r="CE242"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42"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42" s="645">
        <f>WWWW[[#This Row],[HRP1]]/500</f>
        <v>0</v>
      </c>
      <c r="CH242" s="650">
        <f>1-WWWW[[#This Row],[% Equitable and continuous access to sufficient quantity of domestic water]]</f>
        <v>1</v>
      </c>
      <c r="CI242" s="645">
        <f>WWWW[[#This Row],[%equitable and continuous access to sufficient quantity of safe drinking and domestic water''s GAP]]*WWWW[[#This Row],[Total PoP ]]</f>
        <v>1711</v>
      </c>
      <c r="CJ242" s="647">
        <f>IF(WWWW[[#This Row],[Total required water points]]-WWWW[[#This Row],['#Water points coverage]]&lt;0,0,WWWW[[#This Row],[Total required water points]]-WWWW[[#This Row],['#Water points coverage]])</f>
        <v>3</v>
      </c>
      <c r="CK242" s="647">
        <f>ROUND(IF(WWWW[[#This Row],[Total PoP ]]&lt;500,1,WWWW[[#This Row],[Total PoP ]]/500),0)</f>
        <v>3</v>
      </c>
      <c r="CL242" s="647">
        <f>(WWWW[[#This Row],['#_Constructed latrines_by_WASHAgencies]]+WWWW[[#This Row],['#_Non Cluster partner latrines]])-WWWW[[#This Row],['#_Non-functional latrines]]</f>
        <v>0</v>
      </c>
      <c r="CM242"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42"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42"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42" s="647" t="str">
        <f>IF(WWWW[[#This Row],[Location Type 1]]="Village","NA",IF(WWWW[[#This Row],['#_Constructed/Existing latrines in TLS]]*50&gt;WWWW[[#This Row],['#_students at TLS_CFS]],WWWW[[#This Row],['#_students at TLS_CFS]],(WWWW[[#This Row],['#_Constructed/Existing latrines in TLS]]*50)))</f>
        <v>NA</v>
      </c>
      <c r="CQ242" s="647">
        <f>ROUND(IF(WWWW[[#This Row],[Location Type 1]]="camp",WWWW[[#This Row],[Total PoP ]]/20,IF(WWWW[[#This Row],[Location Type 1]]="Temporary Location",WWWW[[#This Row],[Total PoP ]]/50,(WWWW[[#This Row],[Total PoP ]]/6))),0)</f>
        <v>285</v>
      </c>
      <c r="CR242" s="647">
        <f>IF(WWWW[[#This Row],[Total required Latrines]]-(WWWW[[#This Row],['#_Constructed latrines_by_WASHAgencies]]+WWWW[[#This Row],['#_Non Cluster partner latrines]])&lt;0,0,WWWW[[#This Row],[Total required Latrines]]-(WWWW[[#This Row],['#_Constructed latrines_by_WASHAgencies]]+WWWW[[#This Row],['#_Non Cluster partner latrines]]))</f>
        <v>285</v>
      </c>
      <c r="CS242" s="79">
        <f>1-WWWW[[#This Row],[% people access to functioning Latrine]]</f>
        <v>1</v>
      </c>
      <c r="CT242" s="649">
        <f>IF(OR(WWWW[[#This Row],['#_Non-functional latrines]]="",WWWW[[#This Row],['#_Non-functional latrines]]=0),0,WWWW[[#This Row],['#_Non-functional latrines]]/(WWWW[[#This Row],['#_Constructed latrines_by_WASHAgencies]]+WWWW[[#This Row],['#_Non Cluster partner latrines]]))</f>
        <v>0</v>
      </c>
      <c r="CU242" s="645">
        <f>IF(500*(WWWW[[#This Row],['#_male hygiene promoters]]+WWWW[[#This Row],['#_female hygiene promoters]])&gt;WWWW[[#This Row],[Total PoP ]],WWWW[[#This Row],[Total PoP ]],500*(WWWW[[#This Row],['#_male hygiene promoters]]+WWWW[[#This Row],['#_female hygiene promoters]]))</f>
        <v>0</v>
      </c>
      <c r="CV242"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42"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42" s="647">
        <f>IF(WWWW[[#This Row],['# People with access to soap]]&gt;WWWW[[#This Row],['# People with access to Sanity Pads]],WWWW[[#This Row],['# People with access to soap]],WWWW[[#This Row],['# People with access to Sanity Pads]])</f>
        <v>0</v>
      </c>
      <c r="CY242"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42" s="650">
        <f>IF(WWWW[[#This Row],[HRP3]]/WWWW[[#This Row],[Total PoP ]]&gt;100%,100%,WWWW[[#This Row],[HRP3]]/WWWW[[#This Row],[Total PoP ]])</f>
        <v>0</v>
      </c>
      <c r="DA242" s="649">
        <f>1-WWWW[[#This Row],[Hygiene Coverage%]]</f>
        <v>1</v>
      </c>
      <c r="DB242" s="648">
        <f>WWWW[[#This Row],['# people reached by regular dedicated hygiene promotion_5]]/WWWW[[#This Row],[Total PoP ]]</f>
        <v>0</v>
      </c>
      <c r="DC242" s="648">
        <f>IF(WWWW[[#This Row],['#_households that received standard amount of soap for this quarter]]/WWWW[[#This Row],[Total HH]]&gt;1,1,WWWW[[#This Row],['#_households that received standard amount of soap for this quarter]]/WWWW[[#This Row],[Total HH]])</f>
        <v>0</v>
      </c>
      <c r="DD242" s="648">
        <f>IF(WWWW[[#This Row],['#_households that received standard amount of sanitary pads for this quarter]]/WWWW[[#This Row],[Total HH]]&gt;1,1,WWWW[[#This Row],['#_households that received standard amount of sanitary pads for this quarter]]/WWWW[[#This Row],[Total HH]])</f>
        <v>0</v>
      </c>
      <c r="DE242" s="647">
        <f>WWWW[[#This Row],['#_Constructed/Existing hand washing stations]]-WWWW[[#This Row],['#_Non-Functional_hand_washing_stations]]</f>
        <v>0</v>
      </c>
      <c r="DF242" s="667">
        <f>IF(WWWW[[#This Row],['# Functional hand washing stations during reporting period]]*20&gt;WWWW[[#This Row],[Total HH]],WWWW[[#This Row],[Total HH]],WWWW[[#This Row],['# Functional hand washing stations during reporting period]]*20)</f>
        <v>0</v>
      </c>
      <c r="DG242" s="645">
        <f>IF(WWWW[[#This Row],[Is sufficient soap available for TLS? (Yes/No)]]="yes",WWWW[[#This Row],['#_Constructed/Existing hand washing stations at TLS]],0)</f>
        <v>0</v>
      </c>
      <c r="DH242" s="645">
        <f>IF(WWWW[[#This Row],['# Functional hand washing stations during reporting period]]*100&gt;WWWW[[#This Row],[Total PoP ]],WWWW[[#This Row],[Total PoP ]],WWWW[[#This Row],['# Functional hand washing stations during reporting period]]*100)</f>
        <v>0</v>
      </c>
      <c r="DI242" s="645" t="str">
        <f>IF(WWWW[[#This Row],['#_students at TLS_CFS]]="","No","Yes")</f>
        <v>No</v>
      </c>
      <c r="DJ242" s="643">
        <f>VLOOKUP(WWWW[[#This Row],[Site Name]],SiteDB6[[Site Name]:[CCCM Management]],6,FALSE)</f>
        <v>0</v>
      </c>
      <c r="DK242" s="643">
        <f>VLOOKUP(WWWW[[#This Row],[Site Name]],SiteDB6[[Site Name]:[CCCM Focal Agency]],7,FALSE)</f>
        <v>0</v>
      </c>
      <c r="DL242" s="643" t="str">
        <f>VLOOKUP(WWWW[[#This Row],[Site Name]],SiteDB6[[Site Name]:[Location Type 1]],9,FALSE)</f>
        <v>Village</v>
      </c>
      <c r="DM242" s="643" t="str">
        <f>VLOOKUP(WWWW[[#This Row],[Site Name]],SiteDB6[[Site Name]:[Type of Accommodation]],10,FALSE)</f>
        <v>Village</v>
      </c>
      <c r="DN242" s="643" t="str">
        <f>VLOOKUP(WWWW[[#This Row],[Site Name]],SiteDB6[[Site Name]:[Ethnic or GCA/NGCA]],11,FALSE)</f>
        <v>Rakhine</v>
      </c>
      <c r="DO242" s="643">
        <f>VLOOKUP(WWWW[[#This Row],[Site Name]],SiteDB6[[Site Name]:[Lat]],12,FALSE)</f>
        <v>0</v>
      </c>
      <c r="DP242" s="643">
        <f>VLOOKUP(WWWW[[#This Row],[Site Name]],SiteDB6[[Site Name]:[Long]],13,FALSE)</f>
        <v>0</v>
      </c>
      <c r="DQ242" s="643">
        <f>VLOOKUP(WWWW[[#This Row],[Site Name]],SiteDB6[[Site Name]:[Pcode]],3,FALSE)</f>
        <v>197464</v>
      </c>
      <c r="DR242" s="652" t="str">
        <f t="shared" si="8"/>
        <v>Covered</v>
      </c>
      <c r="DS242" s="652"/>
    </row>
    <row r="243" spans="1:123">
      <c r="A243" s="637" t="s">
        <v>2525</v>
      </c>
      <c r="B243" s="637" t="s">
        <v>352</v>
      </c>
      <c r="C243" s="644" t="s">
        <v>352</v>
      </c>
      <c r="D243" s="644" t="s">
        <v>345</v>
      </c>
      <c r="E243" s="663" t="s">
        <v>3014</v>
      </c>
      <c r="F243" s="644" t="s">
        <v>420</v>
      </c>
      <c r="G243" s="663" t="str">
        <f>VLOOKUP(WWWW[[#This Row],[Site Name]],SiteDB6[[Site Name]:[Location Type]],8,FALSE)</f>
        <v>Village</v>
      </c>
      <c r="H243" s="644" t="s">
        <v>2868</v>
      </c>
      <c r="I243" s="646">
        <v>74</v>
      </c>
      <c r="J243" s="646">
        <v>427</v>
      </c>
      <c r="K243" s="653"/>
      <c r="L243" s="654">
        <v>44439</v>
      </c>
      <c r="M243" s="646"/>
      <c r="N243" s="646"/>
      <c r="O243" s="646"/>
      <c r="P243" s="646"/>
      <c r="Q243" s="645"/>
      <c r="R243" s="646"/>
      <c r="S243" s="646"/>
      <c r="T243" s="646"/>
      <c r="U243" s="646"/>
      <c r="V243" s="646"/>
      <c r="W243" s="646"/>
      <c r="X243" s="646"/>
      <c r="Y243" s="646"/>
      <c r="Z243" s="646"/>
      <c r="AA243" s="646"/>
      <c r="AB243" s="646"/>
      <c r="AC243" s="646"/>
      <c r="AD243" s="646"/>
      <c r="AE243" s="646"/>
      <c r="AF243" s="646"/>
      <c r="AG243" s="646"/>
      <c r="AH243" s="646"/>
      <c r="AI243" s="646"/>
      <c r="AJ243" s="646"/>
      <c r="AK243" s="646"/>
      <c r="AL243" s="646"/>
      <c r="AM243" s="646"/>
      <c r="AN243" s="646"/>
      <c r="AO243" s="652"/>
      <c r="AP243" s="646"/>
      <c r="AQ243" s="646"/>
      <c r="AR243" s="648"/>
      <c r="AS243" s="646"/>
      <c r="AT243" s="646"/>
      <c r="AU243" s="646"/>
      <c r="AV243" s="646"/>
      <c r="AW243" s="646"/>
      <c r="AX243" s="643"/>
      <c r="AY243" s="652"/>
      <c r="AZ243" s="646"/>
      <c r="BA243" s="646"/>
      <c r="BB243" s="646"/>
      <c r="BC243" s="643"/>
      <c r="BD243" s="646"/>
      <c r="BE243" s="646"/>
      <c r="BF243" s="646"/>
      <c r="BG243" s="646"/>
      <c r="BH243" s="646"/>
      <c r="BI243" s="646"/>
      <c r="BJ243" s="646"/>
      <c r="BK243" s="646"/>
      <c r="BL243" s="646"/>
      <c r="BM243" s="643"/>
      <c r="BN243" s="647"/>
      <c r="BO243" s="648"/>
      <c r="BP243" s="643"/>
      <c r="BQ243" s="649" t="str">
        <f>IFERROR(WWWW[[#This Row],['#_Water sources treated]]/WWWW[[#This Row],['#_Water sources tested for contamination]],"no test")</f>
        <v>no test</v>
      </c>
      <c r="BR243" s="648" t="str">
        <f>IFERROR(WWWW[[#This Row],['#_Household received remediation action due to contamination]]/WWWW[[#This Row],['#_Household water samples tested for contamination]],"no test")</f>
        <v>no test</v>
      </c>
      <c r="BS243" s="647" t="str">
        <f>IF(AND(WWWW[[#This Row],[% of water sources treated]]="no test",WWWW[[#This Row],[% Household received corrective actions]]="no test"),"No Test","Tested")</f>
        <v>No Test</v>
      </c>
      <c r="BT243" s="647">
        <f>WWWW[[#This Row],['#_Constructed/existing protected hand dug well]]-WWWW[[#This Row],['#_Non-functional protected hand dug well]]</f>
        <v>0</v>
      </c>
      <c r="BU243" s="647">
        <f>(WWWW[[#This Row],['#_Constructed/Existing tube wells/boreholes/handpumps_WASH_agency]]+WWWW[[#This Row],['#_Non-Cluster partner water tube-wells/boreholes/handpumps]])-WWWW[[#This Row],['#_Non-functional tube wells/boreholes/handpumps]]</f>
        <v>0</v>
      </c>
      <c r="BV243" s="647">
        <f>WWWW[[#This Row],['#_Constructed/Existingwater storage tank with gravity fed reticulation system]]-WWWW[[#This Row],['#_Non-functional storage tank gravity fed reticulation system]]</f>
        <v>0</v>
      </c>
      <c r="BW243" s="647">
        <f>WWWW[[#This Row],['#_Water boating or water trucking]]</f>
        <v>0</v>
      </c>
      <c r="BX243" s="647">
        <f>WWWW[[#This Row],['#_Constructed/Existing water distribution system from river or natural spring]]</f>
        <v>0</v>
      </c>
      <c r="BY243"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43"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43" s="648">
        <f>IF(WWWW[[#This Row],[Location Type 1]]="Village",WWWW[[#This Row],[Access to safe drinking water for Village]],WWWW[[#This Row],[Access to safe drinking water for Camp]])</f>
        <v>0</v>
      </c>
      <c r="CB243" s="645">
        <f>WWWW[[#This Row],[%Equitable and continuous access to sufficient quantity of safe drinking water]]*WWWW[[#This Row],[Total PoP ]]</f>
        <v>0</v>
      </c>
      <c r="CC243" s="648">
        <f>IF((WWWW[[#This Row],['#_Constructed/Existing protected/fenced ponds]]*250)/WWWW[[#This Row],[Total PoP ]]&gt;1,1,(WWWW[[#This Row],['#_Constructed/Existing protected/fenced ponds]]*250)/WWWW[[#This Row],[Total PoP ]])</f>
        <v>0</v>
      </c>
      <c r="CD243" s="645">
        <f>WWWW[[#This Row],[% Access to unimproved water points]]*WWWW[[#This Row],[Total PoP ]]</f>
        <v>0</v>
      </c>
      <c r="CE243"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43"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43" s="645">
        <f>WWWW[[#This Row],[HRP1]]/500</f>
        <v>0</v>
      </c>
      <c r="CH243" s="650">
        <f>1-WWWW[[#This Row],[% Equitable and continuous access to sufficient quantity of domestic water]]</f>
        <v>1</v>
      </c>
      <c r="CI243" s="645">
        <f>WWWW[[#This Row],[%equitable and continuous access to sufficient quantity of safe drinking and domestic water''s GAP]]*WWWW[[#This Row],[Total PoP ]]</f>
        <v>427</v>
      </c>
      <c r="CJ243" s="647">
        <f>IF(WWWW[[#This Row],[Total required water points]]-WWWW[[#This Row],['#Water points coverage]]&lt;0,0,WWWW[[#This Row],[Total required water points]]-WWWW[[#This Row],['#Water points coverage]])</f>
        <v>1</v>
      </c>
      <c r="CK243" s="647">
        <f>ROUND(IF(WWWW[[#This Row],[Total PoP ]]&lt;500,1,WWWW[[#This Row],[Total PoP ]]/500),0)</f>
        <v>1</v>
      </c>
      <c r="CL243" s="647">
        <f>(WWWW[[#This Row],['#_Constructed latrines_by_WASHAgencies]]+WWWW[[#This Row],['#_Non Cluster partner latrines]])-WWWW[[#This Row],['#_Non-functional latrines]]</f>
        <v>0</v>
      </c>
      <c r="CM243"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43"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43"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43" s="647" t="str">
        <f>IF(WWWW[[#This Row],[Location Type 1]]="Village","NA",IF(WWWW[[#This Row],['#_Constructed/Existing latrines in TLS]]*50&gt;WWWW[[#This Row],['#_students at TLS_CFS]],WWWW[[#This Row],['#_students at TLS_CFS]],(WWWW[[#This Row],['#_Constructed/Existing latrines in TLS]]*50)))</f>
        <v>NA</v>
      </c>
      <c r="CQ243" s="647">
        <f>ROUND(IF(WWWW[[#This Row],[Location Type 1]]="camp",WWWW[[#This Row],[Total PoP ]]/20,IF(WWWW[[#This Row],[Location Type 1]]="Temporary Location",WWWW[[#This Row],[Total PoP ]]/50,(WWWW[[#This Row],[Total PoP ]]/6))),0)</f>
        <v>71</v>
      </c>
      <c r="CR243" s="647">
        <f>IF(WWWW[[#This Row],[Total required Latrines]]-(WWWW[[#This Row],['#_Constructed latrines_by_WASHAgencies]]+WWWW[[#This Row],['#_Non Cluster partner latrines]])&lt;0,0,WWWW[[#This Row],[Total required Latrines]]-(WWWW[[#This Row],['#_Constructed latrines_by_WASHAgencies]]+WWWW[[#This Row],['#_Non Cluster partner latrines]]))</f>
        <v>71</v>
      </c>
      <c r="CS243" s="79">
        <f>1-WWWW[[#This Row],[% people access to functioning Latrine]]</f>
        <v>1</v>
      </c>
      <c r="CT243" s="649">
        <f>IF(OR(WWWW[[#This Row],['#_Non-functional latrines]]="",WWWW[[#This Row],['#_Non-functional latrines]]=0),0,WWWW[[#This Row],['#_Non-functional latrines]]/(WWWW[[#This Row],['#_Constructed latrines_by_WASHAgencies]]+WWWW[[#This Row],['#_Non Cluster partner latrines]]))</f>
        <v>0</v>
      </c>
      <c r="CU243" s="645">
        <f>IF(500*(WWWW[[#This Row],['#_male hygiene promoters]]+WWWW[[#This Row],['#_female hygiene promoters]])&gt;WWWW[[#This Row],[Total PoP ]],WWWW[[#This Row],[Total PoP ]],500*(WWWW[[#This Row],['#_male hygiene promoters]]+WWWW[[#This Row],['#_female hygiene promoters]]))</f>
        <v>0</v>
      </c>
      <c r="CV243"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43"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43" s="647">
        <f>IF(WWWW[[#This Row],['# People with access to soap]]&gt;WWWW[[#This Row],['# People with access to Sanity Pads]],WWWW[[#This Row],['# People with access to soap]],WWWW[[#This Row],['# People with access to Sanity Pads]])</f>
        <v>0</v>
      </c>
      <c r="CY243"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43" s="650">
        <f>IF(WWWW[[#This Row],[HRP3]]/WWWW[[#This Row],[Total PoP ]]&gt;100%,100%,WWWW[[#This Row],[HRP3]]/WWWW[[#This Row],[Total PoP ]])</f>
        <v>0</v>
      </c>
      <c r="DA243" s="649">
        <f>1-WWWW[[#This Row],[Hygiene Coverage%]]</f>
        <v>1</v>
      </c>
      <c r="DB243" s="648">
        <f>WWWW[[#This Row],['# people reached by regular dedicated hygiene promotion_5]]/WWWW[[#This Row],[Total PoP ]]</f>
        <v>0</v>
      </c>
      <c r="DC243" s="648">
        <f>IF(WWWW[[#This Row],['#_households that received standard amount of soap for this quarter]]/WWWW[[#This Row],[Total HH]]&gt;1,1,WWWW[[#This Row],['#_households that received standard amount of soap for this quarter]]/WWWW[[#This Row],[Total HH]])</f>
        <v>0</v>
      </c>
      <c r="DD243" s="648">
        <f>IF(WWWW[[#This Row],['#_households that received standard amount of sanitary pads for this quarter]]/WWWW[[#This Row],[Total HH]]&gt;1,1,WWWW[[#This Row],['#_households that received standard amount of sanitary pads for this quarter]]/WWWW[[#This Row],[Total HH]])</f>
        <v>0</v>
      </c>
      <c r="DE243" s="647">
        <f>WWWW[[#This Row],['#_Constructed/Existing hand washing stations]]-WWWW[[#This Row],['#_Non-Functional_hand_washing_stations]]</f>
        <v>0</v>
      </c>
      <c r="DF243" s="667">
        <f>IF(WWWW[[#This Row],['# Functional hand washing stations during reporting period]]*20&gt;WWWW[[#This Row],[Total HH]],WWWW[[#This Row],[Total HH]],WWWW[[#This Row],['# Functional hand washing stations during reporting period]]*20)</f>
        <v>0</v>
      </c>
      <c r="DG243" s="645">
        <f>IF(WWWW[[#This Row],[Is sufficient soap available for TLS? (Yes/No)]]="yes",WWWW[[#This Row],['#_Constructed/Existing hand washing stations at TLS]],0)</f>
        <v>0</v>
      </c>
      <c r="DH243" s="645">
        <f>IF(WWWW[[#This Row],['# Functional hand washing stations during reporting period]]*100&gt;WWWW[[#This Row],[Total PoP ]],WWWW[[#This Row],[Total PoP ]],WWWW[[#This Row],['# Functional hand washing stations during reporting period]]*100)</f>
        <v>0</v>
      </c>
      <c r="DI243" s="645" t="str">
        <f>IF(WWWW[[#This Row],['#_students at TLS_CFS]]="","No","Yes")</f>
        <v>No</v>
      </c>
      <c r="DJ243" s="643">
        <f>VLOOKUP(WWWW[[#This Row],[Site Name]],SiteDB6[[Site Name]:[CCCM Management]],6,FALSE)</f>
        <v>0</v>
      </c>
      <c r="DK243" s="643">
        <f>VLOOKUP(WWWW[[#This Row],[Site Name]],SiteDB6[[Site Name]:[CCCM Focal Agency]],7,FALSE)</f>
        <v>0</v>
      </c>
      <c r="DL243" s="643" t="str">
        <f>VLOOKUP(WWWW[[#This Row],[Site Name]],SiteDB6[[Site Name]:[Location Type 1]],9,FALSE)</f>
        <v>Village</v>
      </c>
      <c r="DM243" s="643" t="str">
        <f>VLOOKUP(WWWW[[#This Row],[Site Name]],SiteDB6[[Site Name]:[Type of Accommodation]],10,FALSE)</f>
        <v>Village</v>
      </c>
      <c r="DN243" s="643" t="str">
        <f>VLOOKUP(WWWW[[#This Row],[Site Name]],SiteDB6[[Site Name]:[Ethnic or GCA/NGCA]],11,FALSE)</f>
        <v>Rakhine</v>
      </c>
      <c r="DO243" s="643">
        <f>VLOOKUP(WWWW[[#This Row],[Site Name]],SiteDB6[[Site Name]:[Lat]],12,FALSE)</f>
        <v>0</v>
      </c>
      <c r="DP243" s="643">
        <f>VLOOKUP(WWWW[[#This Row],[Site Name]],SiteDB6[[Site Name]:[Long]],13,FALSE)</f>
        <v>0</v>
      </c>
      <c r="DQ243" s="643">
        <f>VLOOKUP(WWWW[[#This Row],[Site Name]],SiteDB6[[Site Name]:[Pcode]],3,FALSE)</f>
        <v>197461</v>
      </c>
      <c r="DR243" s="652" t="str">
        <f t="shared" si="8"/>
        <v>Covered</v>
      </c>
      <c r="DS243" s="652"/>
    </row>
    <row r="244" spans="1:123">
      <c r="A244" s="637" t="s">
        <v>2525</v>
      </c>
      <c r="B244" s="637" t="s">
        <v>352</v>
      </c>
      <c r="C244" s="644" t="s">
        <v>352</v>
      </c>
      <c r="D244" s="644" t="s">
        <v>345</v>
      </c>
      <c r="E244" s="663" t="s">
        <v>3014</v>
      </c>
      <c r="F244" s="644" t="s">
        <v>420</v>
      </c>
      <c r="G244" s="663" t="str">
        <f>VLOOKUP(WWWW[[#This Row],[Site Name]],SiteDB6[[Site Name]:[Location Type]],8,FALSE)</f>
        <v>Village</v>
      </c>
      <c r="H244" s="644" t="s">
        <v>2869</v>
      </c>
      <c r="I244" s="646">
        <v>50</v>
      </c>
      <c r="J244" s="646">
        <v>265</v>
      </c>
      <c r="K244" s="653"/>
      <c r="L244" s="654">
        <v>44439</v>
      </c>
      <c r="M244" s="646"/>
      <c r="N244" s="646"/>
      <c r="O244" s="646"/>
      <c r="P244" s="646"/>
      <c r="Q244" s="645"/>
      <c r="R244" s="646"/>
      <c r="S244" s="646"/>
      <c r="T244" s="646"/>
      <c r="U244" s="646"/>
      <c r="V244" s="646"/>
      <c r="W244" s="646"/>
      <c r="X244" s="646"/>
      <c r="Y244" s="646"/>
      <c r="Z244" s="646"/>
      <c r="AA244" s="646"/>
      <c r="AB244" s="646"/>
      <c r="AC244" s="646"/>
      <c r="AD244" s="646"/>
      <c r="AE244" s="646"/>
      <c r="AF244" s="646"/>
      <c r="AG244" s="646"/>
      <c r="AH244" s="646"/>
      <c r="AI244" s="646"/>
      <c r="AJ244" s="646"/>
      <c r="AK244" s="646"/>
      <c r="AL244" s="646"/>
      <c r="AM244" s="646"/>
      <c r="AN244" s="646"/>
      <c r="AO244" s="652"/>
      <c r="AP244" s="646"/>
      <c r="AQ244" s="646"/>
      <c r="AR244" s="648"/>
      <c r="AS244" s="646"/>
      <c r="AT244" s="646"/>
      <c r="AU244" s="646"/>
      <c r="AV244" s="646"/>
      <c r="AW244" s="646"/>
      <c r="AX244" s="643"/>
      <c r="AY244" s="652"/>
      <c r="AZ244" s="646"/>
      <c r="BA244" s="646"/>
      <c r="BB244" s="646"/>
      <c r="BC244" s="643"/>
      <c r="BD244" s="646"/>
      <c r="BE244" s="646"/>
      <c r="BF244" s="646"/>
      <c r="BG244" s="646"/>
      <c r="BH244" s="646"/>
      <c r="BI244" s="646"/>
      <c r="BJ244" s="646"/>
      <c r="BK244" s="646"/>
      <c r="BL244" s="646"/>
      <c r="BM244" s="643"/>
      <c r="BN244" s="647"/>
      <c r="BO244" s="648"/>
      <c r="BP244" s="643"/>
      <c r="BQ244" s="649" t="str">
        <f>IFERROR(WWWW[[#This Row],['#_Water sources treated]]/WWWW[[#This Row],['#_Water sources tested for contamination]],"no test")</f>
        <v>no test</v>
      </c>
      <c r="BR244" s="648" t="str">
        <f>IFERROR(WWWW[[#This Row],['#_Household received remediation action due to contamination]]/WWWW[[#This Row],['#_Household water samples tested for contamination]],"no test")</f>
        <v>no test</v>
      </c>
      <c r="BS244" s="647" t="str">
        <f>IF(AND(WWWW[[#This Row],[% of water sources treated]]="no test",WWWW[[#This Row],[% Household received corrective actions]]="no test"),"No Test","Tested")</f>
        <v>No Test</v>
      </c>
      <c r="BT244" s="647">
        <f>WWWW[[#This Row],['#_Constructed/existing protected hand dug well]]-WWWW[[#This Row],['#_Non-functional protected hand dug well]]</f>
        <v>0</v>
      </c>
      <c r="BU244" s="647">
        <f>(WWWW[[#This Row],['#_Constructed/Existing tube wells/boreholes/handpumps_WASH_agency]]+WWWW[[#This Row],['#_Non-Cluster partner water tube-wells/boreholes/handpumps]])-WWWW[[#This Row],['#_Non-functional tube wells/boreholes/handpumps]]</f>
        <v>0</v>
      </c>
      <c r="BV244" s="647">
        <f>WWWW[[#This Row],['#_Constructed/Existingwater storage tank with gravity fed reticulation system]]-WWWW[[#This Row],['#_Non-functional storage tank gravity fed reticulation system]]</f>
        <v>0</v>
      </c>
      <c r="BW244" s="647">
        <f>WWWW[[#This Row],['#_Water boating or water trucking]]</f>
        <v>0</v>
      </c>
      <c r="BX244" s="647">
        <f>WWWW[[#This Row],['#_Constructed/Existing water distribution system from river or natural spring]]</f>
        <v>0</v>
      </c>
      <c r="BY244"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44"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44" s="648">
        <f>IF(WWWW[[#This Row],[Location Type 1]]="Village",WWWW[[#This Row],[Access to safe drinking water for Village]],WWWW[[#This Row],[Access to safe drinking water for Camp]])</f>
        <v>0</v>
      </c>
      <c r="CB244" s="645">
        <f>WWWW[[#This Row],[%Equitable and continuous access to sufficient quantity of safe drinking water]]*WWWW[[#This Row],[Total PoP ]]</f>
        <v>0</v>
      </c>
      <c r="CC244" s="648">
        <f>IF((WWWW[[#This Row],['#_Constructed/Existing protected/fenced ponds]]*250)/WWWW[[#This Row],[Total PoP ]]&gt;1,1,(WWWW[[#This Row],['#_Constructed/Existing protected/fenced ponds]]*250)/WWWW[[#This Row],[Total PoP ]])</f>
        <v>0</v>
      </c>
      <c r="CD244" s="645">
        <f>WWWW[[#This Row],[% Access to unimproved water points]]*WWWW[[#This Row],[Total PoP ]]</f>
        <v>0</v>
      </c>
      <c r="CE244"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44"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44" s="645">
        <f>WWWW[[#This Row],[HRP1]]/500</f>
        <v>0</v>
      </c>
      <c r="CH244" s="650">
        <f>1-WWWW[[#This Row],[% Equitable and continuous access to sufficient quantity of domestic water]]</f>
        <v>1</v>
      </c>
      <c r="CI244" s="645">
        <f>WWWW[[#This Row],[%equitable and continuous access to sufficient quantity of safe drinking and domestic water''s GAP]]*WWWW[[#This Row],[Total PoP ]]</f>
        <v>265</v>
      </c>
      <c r="CJ244" s="647">
        <f>IF(WWWW[[#This Row],[Total required water points]]-WWWW[[#This Row],['#Water points coverage]]&lt;0,0,WWWW[[#This Row],[Total required water points]]-WWWW[[#This Row],['#Water points coverage]])</f>
        <v>1</v>
      </c>
      <c r="CK244" s="647">
        <f>ROUND(IF(WWWW[[#This Row],[Total PoP ]]&lt;500,1,WWWW[[#This Row],[Total PoP ]]/500),0)</f>
        <v>1</v>
      </c>
      <c r="CL244" s="647">
        <f>(WWWW[[#This Row],['#_Constructed latrines_by_WASHAgencies]]+WWWW[[#This Row],['#_Non Cluster partner latrines]])-WWWW[[#This Row],['#_Non-functional latrines]]</f>
        <v>0</v>
      </c>
      <c r="CM244"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44"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44"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44" s="647" t="str">
        <f>IF(WWWW[[#This Row],[Location Type 1]]="Village","NA",IF(WWWW[[#This Row],['#_Constructed/Existing latrines in TLS]]*50&gt;WWWW[[#This Row],['#_students at TLS_CFS]],WWWW[[#This Row],['#_students at TLS_CFS]],(WWWW[[#This Row],['#_Constructed/Existing latrines in TLS]]*50)))</f>
        <v>NA</v>
      </c>
      <c r="CQ244" s="647">
        <f>ROUND(IF(WWWW[[#This Row],[Location Type 1]]="camp",WWWW[[#This Row],[Total PoP ]]/20,IF(WWWW[[#This Row],[Location Type 1]]="Temporary Location",WWWW[[#This Row],[Total PoP ]]/50,(WWWW[[#This Row],[Total PoP ]]/6))),0)</f>
        <v>44</v>
      </c>
      <c r="CR244" s="647">
        <f>IF(WWWW[[#This Row],[Total required Latrines]]-(WWWW[[#This Row],['#_Constructed latrines_by_WASHAgencies]]+WWWW[[#This Row],['#_Non Cluster partner latrines]])&lt;0,0,WWWW[[#This Row],[Total required Latrines]]-(WWWW[[#This Row],['#_Constructed latrines_by_WASHAgencies]]+WWWW[[#This Row],['#_Non Cluster partner latrines]]))</f>
        <v>44</v>
      </c>
      <c r="CS244" s="79">
        <f>1-WWWW[[#This Row],[% people access to functioning Latrine]]</f>
        <v>1</v>
      </c>
      <c r="CT244" s="649">
        <f>IF(OR(WWWW[[#This Row],['#_Non-functional latrines]]="",WWWW[[#This Row],['#_Non-functional latrines]]=0),0,WWWW[[#This Row],['#_Non-functional latrines]]/(WWWW[[#This Row],['#_Constructed latrines_by_WASHAgencies]]+WWWW[[#This Row],['#_Non Cluster partner latrines]]))</f>
        <v>0</v>
      </c>
      <c r="CU244" s="645">
        <f>IF(500*(WWWW[[#This Row],['#_male hygiene promoters]]+WWWW[[#This Row],['#_female hygiene promoters]])&gt;WWWW[[#This Row],[Total PoP ]],WWWW[[#This Row],[Total PoP ]],500*(WWWW[[#This Row],['#_male hygiene promoters]]+WWWW[[#This Row],['#_female hygiene promoters]]))</f>
        <v>0</v>
      </c>
      <c r="CV244"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44"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44" s="647">
        <f>IF(WWWW[[#This Row],['# People with access to soap]]&gt;WWWW[[#This Row],['# People with access to Sanity Pads]],WWWW[[#This Row],['# People with access to soap]],WWWW[[#This Row],['# People with access to Sanity Pads]])</f>
        <v>0</v>
      </c>
      <c r="CY244"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44" s="650">
        <f>IF(WWWW[[#This Row],[HRP3]]/WWWW[[#This Row],[Total PoP ]]&gt;100%,100%,WWWW[[#This Row],[HRP3]]/WWWW[[#This Row],[Total PoP ]])</f>
        <v>0</v>
      </c>
      <c r="DA244" s="649">
        <f>1-WWWW[[#This Row],[Hygiene Coverage%]]</f>
        <v>1</v>
      </c>
      <c r="DB244" s="648">
        <f>WWWW[[#This Row],['# people reached by regular dedicated hygiene promotion_5]]/WWWW[[#This Row],[Total PoP ]]</f>
        <v>0</v>
      </c>
      <c r="DC244" s="648">
        <f>IF(WWWW[[#This Row],['#_households that received standard amount of soap for this quarter]]/WWWW[[#This Row],[Total HH]]&gt;1,1,WWWW[[#This Row],['#_households that received standard amount of soap for this quarter]]/WWWW[[#This Row],[Total HH]])</f>
        <v>0</v>
      </c>
      <c r="DD244" s="648">
        <f>IF(WWWW[[#This Row],['#_households that received standard amount of sanitary pads for this quarter]]/WWWW[[#This Row],[Total HH]]&gt;1,1,WWWW[[#This Row],['#_households that received standard amount of sanitary pads for this quarter]]/WWWW[[#This Row],[Total HH]])</f>
        <v>0</v>
      </c>
      <c r="DE244" s="647">
        <f>WWWW[[#This Row],['#_Constructed/Existing hand washing stations]]-WWWW[[#This Row],['#_Non-Functional_hand_washing_stations]]</f>
        <v>0</v>
      </c>
      <c r="DF244" s="667">
        <f>IF(WWWW[[#This Row],['# Functional hand washing stations during reporting period]]*20&gt;WWWW[[#This Row],[Total HH]],WWWW[[#This Row],[Total HH]],WWWW[[#This Row],['# Functional hand washing stations during reporting period]]*20)</f>
        <v>0</v>
      </c>
      <c r="DG244" s="645">
        <f>IF(WWWW[[#This Row],[Is sufficient soap available for TLS? (Yes/No)]]="yes",WWWW[[#This Row],['#_Constructed/Existing hand washing stations at TLS]],0)</f>
        <v>0</v>
      </c>
      <c r="DH244" s="645">
        <f>IF(WWWW[[#This Row],['# Functional hand washing stations during reporting period]]*100&gt;WWWW[[#This Row],[Total PoP ]],WWWW[[#This Row],[Total PoP ]],WWWW[[#This Row],['# Functional hand washing stations during reporting period]]*100)</f>
        <v>0</v>
      </c>
      <c r="DI244" s="645" t="str">
        <f>IF(WWWW[[#This Row],['#_students at TLS_CFS]]="","No","Yes")</f>
        <v>No</v>
      </c>
      <c r="DJ244" s="643">
        <f>VLOOKUP(WWWW[[#This Row],[Site Name]],SiteDB6[[Site Name]:[CCCM Management]],6,FALSE)</f>
        <v>0</v>
      </c>
      <c r="DK244" s="643">
        <f>VLOOKUP(WWWW[[#This Row],[Site Name]],SiteDB6[[Site Name]:[CCCM Focal Agency]],7,FALSE)</f>
        <v>0</v>
      </c>
      <c r="DL244" s="643" t="str">
        <f>VLOOKUP(WWWW[[#This Row],[Site Name]],SiteDB6[[Site Name]:[Location Type 1]],9,FALSE)</f>
        <v>Village</v>
      </c>
      <c r="DM244" s="643" t="str">
        <f>VLOOKUP(WWWW[[#This Row],[Site Name]],SiteDB6[[Site Name]:[Type of Accommodation]],10,FALSE)</f>
        <v>Village</v>
      </c>
      <c r="DN244" s="643" t="str">
        <f>VLOOKUP(WWWW[[#This Row],[Site Name]],SiteDB6[[Site Name]:[Ethnic or GCA/NGCA]],11,FALSE)</f>
        <v>Rakhine</v>
      </c>
      <c r="DO244" s="643">
        <f>VLOOKUP(WWWW[[#This Row],[Site Name]],SiteDB6[[Site Name]:[Lat]],12,FALSE)</f>
        <v>0</v>
      </c>
      <c r="DP244" s="643">
        <f>VLOOKUP(WWWW[[#This Row],[Site Name]],SiteDB6[[Site Name]:[Long]],13,FALSE)</f>
        <v>0</v>
      </c>
      <c r="DQ244" s="643">
        <f>VLOOKUP(WWWW[[#This Row],[Site Name]],SiteDB6[[Site Name]:[Pcode]],3,FALSE)</f>
        <v>197463</v>
      </c>
      <c r="DR244" s="652" t="str">
        <f t="shared" si="8"/>
        <v>Covered</v>
      </c>
      <c r="DS244" s="652"/>
    </row>
    <row r="245" spans="1:123">
      <c r="A245" s="637" t="s">
        <v>2525</v>
      </c>
      <c r="B245" s="637" t="s">
        <v>352</v>
      </c>
      <c r="C245" s="644" t="s">
        <v>352</v>
      </c>
      <c r="D245" s="644" t="s">
        <v>345</v>
      </c>
      <c r="E245" s="663" t="s">
        <v>3014</v>
      </c>
      <c r="F245" s="644" t="s">
        <v>420</v>
      </c>
      <c r="G245" s="663" t="str">
        <f>VLOOKUP(WWWW[[#This Row],[Site Name]],SiteDB6[[Site Name]:[Location Type]],8,FALSE)</f>
        <v>Village</v>
      </c>
      <c r="H245" s="644" t="s">
        <v>2870</v>
      </c>
      <c r="I245" s="646">
        <v>19</v>
      </c>
      <c r="J245" s="646">
        <v>92</v>
      </c>
      <c r="K245" s="653"/>
      <c r="L245" s="654">
        <v>44439</v>
      </c>
      <c r="M245" s="646"/>
      <c r="N245" s="646"/>
      <c r="O245" s="646"/>
      <c r="P245" s="646"/>
      <c r="Q245" s="645"/>
      <c r="R245" s="646"/>
      <c r="S245" s="646"/>
      <c r="T245" s="646"/>
      <c r="U245" s="646"/>
      <c r="V245" s="646"/>
      <c r="W245" s="646"/>
      <c r="X245" s="646"/>
      <c r="Y245" s="646"/>
      <c r="Z245" s="646"/>
      <c r="AA245" s="646"/>
      <c r="AB245" s="646"/>
      <c r="AC245" s="646"/>
      <c r="AD245" s="646"/>
      <c r="AE245" s="646"/>
      <c r="AF245" s="646"/>
      <c r="AG245" s="646"/>
      <c r="AH245" s="646"/>
      <c r="AI245" s="646"/>
      <c r="AJ245" s="646"/>
      <c r="AK245" s="646"/>
      <c r="AL245" s="646"/>
      <c r="AM245" s="646"/>
      <c r="AN245" s="646"/>
      <c r="AO245" s="652"/>
      <c r="AP245" s="646"/>
      <c r="AQ245" s="646"/>
      <c r="AR245" s="648"/>
      <c r="AS245" s="646"/>
      <c r="AT245" s="646"/>
      <c r="AU245" s="646"/>
      <c r="AV245" s="646"/>
      <c r="AW245" s="646"/>
      <c r="AX245" s="643"/>
      <c r="AY245" s="652"/>
      <c r="AZ245" s="646"/>
      <c r="BA245" s="646"/>
      <c r="BB245" s="646"/>
      <c r="BC245" s="643"/>
      <c r="BD245" s="646"/>
      <c r="BE245" s="646"/>
      <c r="BF245" s="646"/>
      <c r="BG245" s="646"/>
      <c r="BH245" s="646"/>
      <c r="BI245" s="646"/>
      <c r="BJ245" s="646"/>
      <c r="BK245" s="646"/>
      <c r="BL245" s="646"/>
      <c r="BM245" s="643"/>
      <c r="BN245" s="647"/>
      <c r="BO245" s="648"/>
      <c r="BP245" s="643"/>
      <c r="BQ245" s="649" t="str">
        <f>IFERROR(WWWW[[#This Row],['#_Water sources treated]]/WWWW[[#This Row],['#_Water sources tested for contamination]],"no test")</f>
        <v>no test</v>
      </c>
      <c r="BR245" s="648" t="str">
        <f>IFERROR(WWWW[[#This Row],['#_Household received remediation action due to contamination]]/WWWW[[#This Row],['#_Household water samples tested for contamination]],"no test")</f>
        <v>no test</v>
      </c>
      <c r="BS245" s="647" t="str">
        <f>IF(AND(WWWW[[#This Row],[% of water sources treated]]="no test",WWWW[[#This Row],[% Household received corrective actions]]="no test"),"No Test","Tested")</f>
        <v>No Test</v>
      </c>
      <c r="BT245" s="647">
        <f>WWWW[[#This Row],['#_Constructed/existing protected hand dug well]]-WWWW[[#This Row],['#_Non-functional protected hand dug well]]</f>
        <v>0</v>
      </c>
      <c r="BU245" s="647">
        <f>(WWWW[[#This Row],['#_Constructed/Existing tube wells/boreholes/handpumps_WASH_agency]]+WWWW[[#This Row],['#_Non-Cluster partner water tube-wells/boreholes/handpumps]])-WWWW[[#This Row],['#_Non-functional tube wells/boreholes/handpumps]]</f>
        <v>0</v>
      </c>
      <c r="BV245" s="647">
        <f>WWWW[[#This Row],['#_Constructed/Existingwater storage tank with gravity fed reticulation system]]-WWWW[[#This Row],['#_Non-functional storage tank gravity fed reticulation system]]</f>
        <v>0</v>
      </c>
      <c r="BW245" s="647">
        <f>WWWW[[#This Row],['#_Water boating or water trucking]]</f>
        <v>0</v>
      </c>
      <c r="BX245" s="647">
        <f>WWWW[[#This Row],['#_Constructed/Existing water distribution system from river or natural spring]]</f>
        <v>0</v>
      </c>
      <c r="BY245"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45"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45" s="648">
        <f>IF(WWWW[[#This Row],[Location Type 1]]="Village",WWWW[[#This Row],[Access to safe drinking water for Village]],WWWW[[#This Row],[Access to safe drinking water for Camp]])</f>
        <v>0</v>
      </c>
      <c r="CB245" s="645">
        <f>WWWW[[#This Row],[%Equitable and continuous access to sufficient quantity of safe drinking water]]*WWWW[[#This Row],[Total PoP ]]</f>
        <v>0</v>
      </c>
      <c r="CC245" s="648">
        <f>IF((WWWW[[#This Row],['#_Constructed/Existing protected/fenced ponds]]*250)/WWWW[[#This Row],[Total PoP ]]&gt;1,1,(WWWW[[#This Row],['#_Constructed/Existing protected/fenced ponds]]*250)/WWWW[[#This Row],[Total PoP ]])</f>
        <v>0</v>
      </c>
      <c r="CD245" s="645">
        <f>WWWW[[#This Row],[% Access to unimproved water points]]*WWWW[[#This Row],[Total PoP ]]</f>
        <v>0</v>
      </c>
      <c r="CE245"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45"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45" s="645">
        <f>WWWW[[#This Row],[HRP1]]/500</f>
        <v>0</v>
      </c>
      <c r="CH245" s="650">
        <f>1-WWWW[[#This Row],[% Equitable and continuous access to sufficient quantity of domestic water]]</f>
        <v>1</v>
      </c>
      <c r="CI245" s="645">
        <f>WWWW[[#This Row],[%equitable and continuous access to sufficient quantity of safe drinking and domestic water''s GAP]]*WWWW[[#This Row],[Total PoP ]]</f>
        <v>92</v>
      </c>
      <c r="CJ245" s="647">
        <f>IF(WWWW[[#This Row],[Total required water points]]-WWWW[[#This Row],['#Water points coverage]]&lt;0,0,WWWW[[#This Row],[Total required water points]]-WWWW[[#This Row],['#Water points coverage]])</f>
        <v>1</v>
      </c>
      <c r="CK245" s="647">
        <f>ROUND(IF(WWWW[[#This Row],[Total PoP ]]&lt;500,1,WWWW[[#This Row],[Total PoP ]]/500),0)</f>
        <v>1</v>
      </c>
      <c r="CL245" s="647">
        <f>(WWWW[[#This Row],['#_Constructed latrines_by_WASHAgencies]]+WWWW[[#This Row],['#_Non Cluster partner latrines]])-WWWW[[#This Row],['#_Non-functional latrines]]</f>
        <v>0</v>
      </c>
      <c r="CM245"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45"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45"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45" s="647" t="str">
        <f>IF(WWWW[[#This Row],[Location Type 1]]="Village","NA",IF(WWWW[[#This Row],['#_Constructed/Existing latrines in TLS]]*50&gt;WWWW[[#This Row],['#_students at TLS_CFS]],WWWW[[#This Row],['#_students at TLS_CFS]],(WWWW[[#This Row],['#_Constructed/Existing latrines in TLS]]*50)))</f>
        <v>NA</v>
      </c>
      <c r="CQ245" s="647">
        <f>ROUND(IF(WWWW[[#This Row],[Location Type 1]]="camp",WWWW[[#This Row],[Total PoP ]]/20,IF(WWWW[[#This Row],[Location Type 1]]="Temporary Location",WWWW[[#This Row],[Total PoP ]]/50,(WWWW[[#This Row],[Total PoP ]]/6))),0)</f>
        <v>15</v>
      </c>
      <c r="CR245" s="647">
        <f>IF(WWWW[[#This Row],[Total required Latrines]]-(WWWW[[#This Row],['#_Constructed latrines_by_WASHAgencies]]+WWWW[[#This Row],['#_Non Cluster partner latrines]])&lt;0,0,WWWW[[#This Row],[Total required Latrines]]-(WWWW[[#This Row],['#_Constructed latrines_by_WASHAgencies]]+WWWW[[#This Row],['#_Non Cluster partner latrines]]))</f>
        <v>15</v>
      </c>
      <c r="CS245" s="79">
        <f>1-WWWW[[#This Row],[% people access to functioning Latrine]]</f>
        <v>1</v>
      </c>
      <c r="CT245" s="649">
        <f>IF(OR(WWWW[[#This Row],['#_Non-functional latrines]]="",WWWW[[#This Row],['#_Non-functional latrines]]=0),0,WWWW[[#This Row],['#_Non-functional latrines]]/(WWWW[[#This Row],['#_Constructed latrines_by_WASHAgencies]]+WWWW[[#This Row],['#_Non Cluster partner latrines]]))</f>
        <v>0</v>
      </c>
      <c r="CU245" s="645">
        <f>IF(500*(WWWW[[#This Row],['#_male hygiene promoters]]+WWWW[[#This Row],['#_female hygiene promoters]])&gt;WWWW[[#This Row],[Total PoP ]],WWWW[[#This Row],[Total PoP ]],500*(WWWW[[#This Row],['#_male hygiene promoters]]+WWWW[[#This Row],['#_female hygiene promoters]]))</f>
        <v>0</v>
      </c>
      <c r="CV245"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45"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45" s="647">
        <f>IF(WWWW[[#This Row],['# People with access to soap]]&gt;WWWW[[#This Row],['# People with access to Sanity Pads]],WWWW[[#This Row],['# People with access to soap]],WWWW[[#This Row],['# People with access to Sanity Pads]])</f>
        <v>0</v>
      </c>
      <c r="CY245"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45" s="650">
        <f>IF(WWWW[[#This Row],[HRP3]]/WWWW[[#This Row],[Total PoP ]]&gt;100%,100%,WWWW[[#This Row],[HRP3]]/WWWW[[#This Row],[Total PoP ]])</f>
        <v>0</v>
      </c>
      <c r="DA245" s="649">
        <f>1-WWWW[[#This Row],[Hygiene Coverage%]]</f>
        <v>1</v>
      </c>
      <c r="DB245" s="648">
        <f>WWWW[[#This Row],['# people reached by regular dedicated hygiene promotion_5]]/WWWW[[#This Row],[Total PoP ]]</f>
        <v>0</v>
      </c>
      <c r="DC245" s="648">
        <f>IF(WWWW[[#This Row],['#_households that received standard amount of soap for this quarter]]/WWWW[[#This Row],[Total HH]]&gt;1,1,WWWW[[#This Row],['#_households that received standard amount of soap for this quarter]]/WWWW[[#This Row],[Total HH]])</f>
        <v>0</v>
      </c>
      <c r="DD245" s="648">
        <f>IF(WWWW[[#This Row],['#_households that received standard amount of sanitary pads for this quarter]]/WWWW[[#This Row],[Total HH]]&gt;1,1,WWWW[[#This Row],['#_households that received standard amount of sanitary pads for this quarter]]/WWWW[[#This Row],[Total HH]])</f>
        <v>0</v>
      </c>
      <c r="DE245" s="647">
        <f>WWWW[[#This Row],['#_Constructed/Existing hand washing stations]]-WWWW[[#This Row],['#_Non-Functional_hand_washing_stations]]</f>
        <v>0</v>
      </c>
      <c r="DF245" s="667">
        <f>IF(WWWW[[#This Row],['# Functional hand washing stations during reporting period]]*20&gt;WWWW[[#This Row],[Total HH]],WWWW[[#This Row],[Total HH]],WWWW[[#This Row],['# Functional hand washing stations during reporting period]]*20)</f>
        <v>0</v>
      </c>
      <c r="DG245" s="645">
        <f>IF(WWWW[[#This Row],[Is sufficient soap available for TLS? (Yes/No)]]="yes",WWWW[[#This Row],['#_Constructed/Existing hand washing stations at TLS]],0)</f>
        <v>0</v>
      </c>
      <c r="DH245" s="645">
        <f>IF(WWWW[[#This Row],['# Functional hand washing stations during reporting period]]*100&gt;WWWW[[#This Row],[Total PoP ]],WWWW[[#This Row],[Total PoP ]],WWWW[[#This Row],['# Functional hand washing stations during reporting period]]*100)</f>
        <v>0</v>
      </c>
      <c r="DI245" s="645" t="str">
        <f>IF(WWWW[[#This Row],['#_students at TLS_CFS]]="","No","Yes")</f>
        <v>No</v>
      </c>
      <c r="DJ245" s="643">
        <f>VLOOKUP(WWWW[[#This Row],[Site Name]],SiteDB6[[Site Name]:[CCCM Management]],6,FALSE)</f>
        <v>0</v>
      </c>
      <c r="DK245" s="643">
        <f>VLOOKUP(WWWW[[#This Row],[Site Name]],SiteDB6[[Site Name]:[CCCM Focal Agency]],7,FALSE)</f>
        <v>0</v>
      </c>
      <c r="DL245" s="643" t="str">
        <f>VLOOKUP(WWWW[[#This Row],[Site Name]],SiteDB6[[Site Name]:[Location Type 1]],9,FALSE)</f>
        <v>Village</v>
      </c>
      <c r="DM245" s="643" t="str">
        <f>VLOOKUP(WWWW[[#This Row],[Site Name]],SiteDB6[[Site Name]:[Type of Accommodation]],10,FALSE)</f>
        <v>Village</v>
      </c>
      <c r="DN245" s="643" t="str">
        <f>VLOOKUP(WWWW[[#This Row],[Site Name]],SiteDB6[[Site Name]:[Ethnic or GCA/NGCA]],11,FALSE)</f>
        <v>Rakhine</v>
      </c>
      <c r="DO245" s="643">
        <f>VLOOKUP(WWWW[[#This Row],[Site Name]],SiteDB6[[Site Name]:[Lat]],12,FALSE)</f>
        <v>0</v>
      </c>
      <c r="DP245" s="643">
        <f>VLOOKUP(WWWW[[#This Row],[Site Name]],SiteDB6[[Site Name]:[Long]],13,FALSE)</f>
        <v>0</v>
      </c>
      <c r="DQ245" s="643">
        <f>VLOOKUP(WWWW[[#This Row],[Site Name]],SiteDB6[[Site Name]:[Pcode]],3,FALSE)</f>
        <v>197462</v>
      </c>
      <c r="DR245" s="652" t="str">
        <f t="shared" si="8"/>
        <v>Covered</v>
      </c>
      <c r="DS245" s="652"/>
    </row>
    <row r="246" spans="1:123">
      <c r="A246" s="637" t="s">
        <v>2525</v>
      </c>
      <c r="B246" s="637" t="s">
        <v>332</v>
      </c>
      <c r="C246" s="644" t="s">
        <v>332</v>
      </c>
      <c r="D246" s="644" t="s">
        <v>345</v>
      </c>
      <c r="E246" s="663" t="s">
        <v>3014</v>
      </c>
      <c r="F246" s="644" t="s">
        <v>313</v>
      </c>
      <c r="G246" s="663" t="str">
        <f>VLOOKUP(WWWW[[#This Row],[Site Name]],SiteDB6[[Site Name]:[Location Type]],8,FALSE)</f>
        <v>Village</v>
      </c>
      <c r="H246" s="644" t="s">
        <v>2886</v>
      </c>
      <c r="I246" s="646">
        <v>192</v>
      </c>
      <c r="J246" s="646">
        <v>1083</v>
      </c>
      <c r="K246" s="653">
        <v>42736</v>
      </c>
      <c r="L246" s="654">
        <v>44551</v>
      </c>
      <c r="M246" s="646"/>
      <c r="N246" s="646"/>
      <c r="O246" s="646"/>
      <c r="P246" s="646"/>
      <c r="Q246" s="645"/>
      <c r="R246" s="646"/>
      <c r="S246" s="646"/>
      <c r="T246" s="646"/>
      <c r="U246" s="646"/>
      <c r="V246" s="646"/>
      <c r="W246" s="646"/>
      <c r="X246" s="646"/>
      <c r="Y246" s="646"/>
      <c r="Z246" s="646"/>
      <c r="AA246" s="646"/>
      <c r="AB246" s="646"/>
      <c r="AC246" s="646"/>
      <c r="AD246" s="646"/>
      <c r="AE246" s="646"/>
      <c r="AF246" s="646"/>
      <c r="AG246" s="646"/>
      <c r="AH246" s="646"/>
      <c r="AI246" s="646"/>
      <c r="AJ246" s="646"/>
      <c r="AK246" s="646"/>
      <c r="AL246" s="646"/>
      <c r="AM246" s="646"/>
      <c r="AN246" s="646"/>
      <c r="AO246" s="652"/>
      <c r="AP246" s="646"/>
      <c r="AQ246" s="646"/>
      <c r="AR246" s="648"/>
      <c r="AS246" s="646"/>
      <c r="AT246" s="646"/>
      <c r="AU246" s="646"/>
      <c r="AV246" s="646"/>
      <c r="AW246" s="646"/>
      <c r="AX246" s="643"/>
      <c r="AY246" s="652"/>
      <c r="AZ246" s="646"/>
      <c r="BA246" s="646"/>
      <c r="BB246" s="646"/>
      <c r="BC246" s="643"/>
      <c r="BD246" s="646"/>
      <c r="BE246" s="646"/>
      <c r="BF246" s="646"/>
      <c r="BG246" s="646"/>
      <c r="BH246" s="646"/>
      <c r="BI246" s="646"/>
      <c r="BJ246" s="646"/>
      <c r="BK246" s="646"/>
      <c r="BL246" s="646"/>
      <c r="BM246" s="643"/>
      <c r="BN246" s="647"/>
      <c r="BO246" s="648"/>
      <c r="BP246" s="643"/>
      <c r="BQ246" s="649" t="str">
        <f>IFERROR(WWWW[[#This Row],['#_Water sources treated]]/WWWW[[#This Row],['#_Water sources tested for contamination]],"no test")</f>
        <v>no test</v>
      </c>
      <c r="BR246" s="648" t="str">
        <f>IFERROR(WWWW[[#This Row],['#_Household received remediation action due to contamination]]/WWWW[[#This Row],['#_Household water samples tested for contamination]],"no test")</f>
        <v>no test</v>
      </c>
      <c r="BS246" s="647" t="str">
        <f>IF(AND(WWWW[[#This Row],[% of water sources treated]]="no test",WWWW[[#This Row],[% Household received corrective actions]]="no test"),"No Test","Tested")</f>
        <v>No Test</v>
      </c>
      <c r="BT246" s="647">
        <f>WWWW[[#This Row],['#_Constructed/existing protected hand dug well]]-WWWW[[#This Row],['#_Non-functional protected hand dug well]]</f>
        <v>0</v>
      </c>
      <c r="BU246" s="647">
        <f>(WWWW[[#This Row],['#_Constructed/Existing tube wells/boreholes/handpumps_WASH_agency]]+WWWW[[#This Row],['#_Non-Cluster partner water tube-wells/boreholes/handpumps]])-WWWW[[#This Row],['#_Non-functional tube wells/boreholes/handpumps]]</f>
        <v>0</v>
      </c>
      <c r="BV246" s="647">
        <f>WWWW[[#This Row],['#_Constructed/Existingwater storage tank with gravity fed reticulation system]]-WWWW[[#This Row],['#_Non-functional storage tank gravity fed reticulation system]]</f>
        <v>0</v>
      </c>
      <c r="BW246" s="647">
        <f>WWWW[[#This Row],['#_Water boating or water trucking]]</f>
        <v>0</v>
      </c>
      <c r="BX246" s="647">
        <f>WWWW[[#This Row],['#_Constructed/Existing water distribution system from river or natural spring]]</f>
        <v>0</v>
      </c>
      <c r="BY246"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46"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46" s="648">
        <f>IF(WWWW[[#This Row],[Location Type 1]]="Village",WWWW[[#This Row],[Access to safe drinking water for Village]],WWWW[[#This Row],[Access to safe drinking water for Camp]])</f>
        <v>0</v>
      </c>
      <c r="CB246" s="645">
        <f>WWWW[[#This Row],[%Equitable and continuous access to sufficient quantity of safe drinking water]]*WWWW[[#This Row],[Total PoP ]]</f>
        <v>0</v>
      </c>
      <c r="CC246" s="648">
        <f>IF((WWWW[[#This Row],['#_Constructed/Existing protected/fenced ponds]]*250)/WWWW[[#This Row],[Total PoP ]]&gt;1,1,(WWWW[[#This Row],['#_Constructed/Existing protected/fenced ponds]]*250)/WWWW[[#This Row],[Total PoP ]])</f>
        <v>0</v>
      </c>
      <c r="CD246" s="645">
        <f>WWWW[[#This Row],[% Access to unimproved water points]]*WWWW[[#This Row],[Total PoP ]]</f>
        <v>0</v>
      </c>
      <c r="CE246"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46"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46" s="645">
        <f>WWWW[[#This Row],[HRP1]]/500</f>
        <v>0</v>
      </c>
      <c r="CH246" s="650">
        <f>1-WWWW[[#This Row],[% Equitable and continuous access to sufficient quantity of domestic water]]</f>
        <v>1</v>
      </c>
      <c r="CI246" s="645">
        <f>WWWW[[#This Row],[%equitable and continuous access to sufficient quantity of safe drinking and domestic water''s GAP]]*WWWW[[#This Row],[Total PoP ]]</f>
        <v>1083</v>
      </c>
      <c r="CJ246" s="647">
        <f>IF(WWWW[[#This Row],[Total required water points]]-WWWW[[#This Row],['#Water points coverage]]&lt;0,0,WWWW[[#This Row],[Total required water points]]-WWWW[[#This Row],['#Water points coverage]])</f>
        <v>2</v>
      </c>
      <c r="CK246" s="647">
        <f>ROUND(IF(WWWW[[#This Row],[Total PoP ]]&lt;500,1,WWWW[[#This Row],[Total PoP ]]/500),0)</f>
        <v>2</v>
      </c>
      <c r="CL246" s="647">
        <f>(WWWW[[#This Row],['#_Constructed latrines_by_WASHAgencies]]+WWWW[[#This Row],['#_Non Cluster partner latrines]])-WWWW[[#This Row],['#_Non-functional latrines]]</f>
        <v>0</v>
      </c>
      <c r="CM246"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46"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46"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46" s="647" t="str">
        <f>IF(WWWW[[#This Row],[Location Type 1]]="Village","NA",IF(WWWW[[#This Row],['#_Constructed/Existing latrines in TLS]]*50&gt;WWWW[[#This Row],['#_students at TLS_CFS]],WWWW[[#This Row],['#_students at TLS_CFS]],(WWWW[[#This Row],['#_Constructed/Existing latrines in TLS]]*50)))</f>
        <v>NA</v>
      </c>
      <c r="CQ246" s="647">
        <f>ROUND(IF(WWWW[[#This Row],[Location Type 1]]="camp",WWWW[[#This Row],[Total PoP ]]/20,IF(WWWW[[#This Row],[Location Type 1]]="Temporary Location",WWWW[[#This Row],[Total PoP ]]/50,(WWWW[[#This Row],[Total PoP ]]/6))),0)</f>
        <v>181</v>
      </c>
      <c r="CR246" s="647">
        <f>IF(WWWW[[#This Row],[Total required Latrines]]-(WWWW[[#This Row],['#_Constructed latrines_by_WASHAgencies]]+WWWW[[#This Row],['#_Non Cluster partner latrines]])&lt;0,0,WWWW[[#This Row],[Total required Latrines]]-(WWWW[[#This Row],['#_Constructed latrines_by_WASHAgencies]]+WWWW[[#This Row],['#_Non Cluster partner latrines]]))</f>
        <v>181</v>
      </c>
      <c r="CS246" s="79">
        <f>1-WWWW[[#This Row],[% people access to functioning Latrine]]</f>
        <v>1</v>
      </c>
      <c r="CT246" s="649">
        <f>IF(OR(WWWW[[#This Row],['#_Non-functional latrines]]="",WWWW[[#This Row],['#_Non-functional latrines]]=0),0,WWWW[[#This Row],['#_Non-functional latrines]]/(WWWW[[#This Row],['#_Constructed latrines_by_WASHAgencies]]+WWWW[[#This Row],['#_Non Cluster partner latrines]]))</f>
        <v>0</v>
      </c>
      <c r="CU246" s="645">
        <f>IF(500*(WWWW[[#This Row],['#_male hygiene promoters]]+WWWW[[#This Row],['#_female hygiene promoters]])&gt;WWWW[[#This Row],[Total PoP ]],WWWW[[#This Row],[Total PoP ]],500*(WWWW[[#This Row],['#_male hygiene promoters]]+WWWW[[#This Row],['#_female hygiene promoters]]))</f>
        <v>0</v>
      </c>
      <c r="CV246"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46"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46" s="647">
        <f>IF(WWWW[[#This Row],['# People with access to soap]]&gt;WWWW[[#This Row],['# People with access to Sanity Pads]],WWWW[[#This Row],['# People with access to soap]],WWWW[[#This Row],['# People with access to Sanity Pads]])</f>
        <v>0</v>
      </c>
      <c r="CY246"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46" s="650">
        <f>IF(WWWW[[#This Row],[HRP3]]/WWWW[[#This Row],[Total PoP ]]&gt;100%,100%,WWWW[[#This Row],[HRP3]]/WWWW[[#This Row],[Total PoP ]])</f>
        <v>0</v>
      </c>
      <c r="DA246" s="649">
        <f>1-WWWW[[#This Row],[Hygiene Coverage%]]</f>
        <v>1</v>
      </c>
      <c r="DB246" s="648">
        <f>WWWW[[#This Row],['# people reached by regular dedicated hygiene promotion_5]]/WWWW[[#This Row],[Total PoP ]]</f>
        <v>0</v>
      </c>
      <c r="DC246" s="648">
        <f>IF(WWWW[[#This Row],['#_households that received standard amount of soap for this quarter]]/WWWW[[#This Row],[Total HH]]&gt;1,1,WWWW[[#This Row],['#_households that received standard amount of soap for this quarter]]/WWWW[[#This Row],[Total HH]])</f>
        <v>0</v>
      </c>
      <c r="DD246" s="648">
        <f>IF(WWWW[[#This Row],['#_households that received standard amount of sanitary pads for this quarter]]/WWWW[[#This Row],[Total HH]]&gt;1,1,WWWW[[#This Row],['#_households that received standard amount of sanitary pads for this quarter]]/WWWW[[#This Row],[Total HH]])</f>
        <v>0</v>
      </c>
      <c r="DE246" s="647">
        <f>WWWW[[#This Row],['#_Constructed/Existing hand washing stations]]-WWWW[[#This Row],['#_Non-Functional_hand_washing_stations]]</f>
        <v>0</v>
      </c>
      <c r="DF246" s="667">
        <f>IF(WWWW[[#This Row],['# Functional hand washing stations during reporting period]]*20&gt;WWWW[[#This Row],[Total HH]],WWWW[[#This Row],[Total HH]],WWWW[[#This Row],['# Functional hand washing stations during reporting period]]*20)</f>
        <v>0</v>
      </c>
      <c r="DG246" s="645">
        <f>IF(WWWW[[#This Row],[Is sufficient soap available for TLS? (Yes/No)]]="yes",WWWW[[#This Row],['#_Constructed/Existing hand washing stations at TLS]],0)</f>
        <v>0</v>
      </c>
      <c r="DH246" s="645">
        <f>IF(WWWW[[#This Row],['# Functional hand washing stations during reporting period]]*100&gt;WWWW[[#This Row],[Total PoP ]],WWWW[[#This Row],[Total PoP ]],WWWW[[#This Row],['# Functional hand washing stations during reporting period]]*100)</f>
        <v>0</v>
      </c>
      <c r="DI246" s="645" t="str">
        <f>IF(WWWW[[#This Row],['#_students at TLS_CFS]]="","No","Yes")</f>
        <v>No</v>
      </c>
      <c r="DJ246" s="643">
        <f>VLOOKUP(WWWW[[#This Row],[Site Name]],SiteDB6[[Site Name]:[CCCM Management]],6,FALSE)</f>
        <v>0</v>
      </c>
      <c r="DK246" s="643">
        <f>VLOOKUP(WWWW[[#This Row],[Site Name]],SiteDB6[[Site Name]:[CCCM Focal Agency]],7,FALSE)</f>
        <v>0</v>
      </c>
      <c r="DL246" s="643" t="str">
        <f>VLOOKUP(WWWW[[#This Row],[Site Name]],SiteDB6[[Site Name]:[Location Type 1]],9,FALSE)</f>
        <v>Village</v>
      </c>
      <c r="DM246" s="643" t="str">
        <f>VLOOKUP(WWWW[[#This Row],[Site Name]],SiteDB6[[Site Name]:[Type of Accommodation]],10,FALSE)</f>
        <v>Village</v>
      </c>
      <c r="DN246" s="643">
        <f>VLOOKUP(WWWW[[#This Row],[Site Name]],SiteDB6[[Site Name]:[Ethnic or GCA/NGCA]],11,FALSE)</f>
        <v>0</v>
      </c>
      <c r="DO246" s="643">
        <f>VLOOKUP(WWWW[[#This Row],[Site Name]],SiteDB6[[Site Name]:[Lat]],12,FALSE)</f>
        <v>0</v>
      </c>
      <c r="DP246" s="643">
        <f>VLOOKUP(WWWW[[#This Row],[Site Name]],SiteDB6[[Site Name]:[Long]],13,FALSE)</f>
        <v>0</v>
      </c>
      <c r="DQ246" s="643">
        <f>VLOOKUP(WWWW[[#This Row],[Site Name]],SiteDB6[[Site Name]:[Pcode]],3,FALSE)</f>
        <v>196132</v>
      </c>
      <c r="DR246" s="652" t="str">
        <f t="shared" si="8"/>
        <v>Covered</v>
      </c>
      <c r="DS246" s="652"/>
    </row>
    <row r="247" spans="1:123">
      <c r="A247" s="637" t="s">
        <v>2525</v>
      </c>
      <c r="B247" s="637" t="s">
        <v>332</v>
      </c>
      <c r="C247" s="644" t="s">
        <v>332</v>
      </c>
      <c r="D247" s="644" t="s">
        <v>345</v>
      </c>
      <c r="E247" s="663" t="s">
        <v>3014</v>
      </c>
      <c r="F247" s="644" t="s">
        <v>313</v>
      </c>
      <c r="G247" s="663" t="str">
        <f>VLOOKUP(WWWW[[#This Row],[Site Name]],SiteDB6[[Site Name]:[Location Type]],8,FALSE)</f>
        <v>Village</v>
      </c>
      <c r="H247" s="644" t="s">
        <v>2887</v>
      </c>
      <c r="I247" s="646">
        <v>65</v>
      </c>
      <c r="J247" s="646">
        <v>373</v>
      </c>
      <c r="K247" s="653">
        <v>42736</v>
      </c>
      <c r="L247" s="654">
        <v>44551</v>
      </c>
      <c r="M247" s="646"/>
      <c r="N247" s="646"/>
      <c r="O247" s="646"/>
      <c r="P247" s="646"/>
      <c r="Q247" s="645"/>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52"/>
      <c r="AP247" s="646"/>
      <c r="AQ247" s="646"/>
      <c r="AR247" s="648"/>
      <c r="AS247" s="646"/>
      <c r="AT247" s="646"/>
      <c r="AU247" s="646"/>
      <c r="AV247" s="646"/>
      <c r="AW247" s="646"/>
      <c r="AX247" s="643"/>
      <c r="AY247" s="652"/>
      <c r="AZ247" s="646"/>
      <c r="BA247" s="646"/>
      <c r="BB247" s="646"/>
      <c r="BC247" s="643"/>
      <c r="BD247" s="646"/>
      <c r="BE247" s="646"/>
      <c r="BF247" s="646"/>
      <c r="BG247" s="646"/>
      <c r="BH247" s="646"/>
      <c r="BI247" s="646"/>
      <c r="BJ247" s="646"/>
      <c r="BK247" s="646"/>
      <c r="BL247" s="646"/>
      <c r="BM247" s="643"/>
      <c r="BN247" s="647"/>
      <c r="BO247" s="648"/>
      <c r="BP247" s="643"/>
      <c r="BQ247" s="649" t="str">
        <f>IFERROR(WWWW[[#This Row],['#_Water sources treated]]/WWWW[[#This Row],['#_Water sources tested for contamination]],"no test")</f>
        <v>no test</v>
      </c>
      <c r="BR247" s="648" t="str">
        <f>IFERROR(WWWW[[#This Row],['#_Household received remediation action due to contamination]]/WWWW[[#This Row],['#_Household water samples tested for contamination]],"no test")</f>
        <v>no test</v>
      </c>
      <c r="BS247" s="647" t="str">
        <f>IF(AND(WWWW[[#This Row],[% of water sources treated]]="no test",WWWW[[#This Row],[% Household received corrective actions]]="no test"),"No Test","Tested")</f>
        <v>No Test</v>
      </c>
      <c r="BT247" s="647">
        <f>WWWW[[#This Row],['#_Constructed/existing protected hand dug well]]-WWWW[[#This Row],['#_Non-functional protected hand dug well]]</f>
        <v>0</v>
      </c>
      <c r="BU247" s="647">
        <f>(WWWW[[#This Row],['#_Constructed/Existing tube wells/boreholes/handpumps_WASH_agency]]+WWWW[[#This Row],['#_Non-Cluster partner water tube-wells/boreholes/handpumps]])-WWWW[[#This Row],['#_Non-functional tube wells/boreholes/handpumps]]</f>
        <v>0</v>
      </c>
      <c r="BV247" s="647">
        <f>WWWW[[#This Row],['#_Constructed/Existingwater storage tank with gravity fed reticulation system]]-WWWW[[#This Row],['#_Non-functional storage tank gravity fed reticulation system]]</f>
        <v>0</v>
      </c>
      <c r="BW247" s="647">
        <f>WWWW[[#This Row],['#_Water boating or water trucking]]</f>
        <v>0</v>
      </c>
      <c r="BX247" s="647">
        <f>WWWW[[#This Row],['#_Constructed/Existing water distribution system from river or natural spring]]</f>
        <v>0</v>
      </c>
      <c r="BY247"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47"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47" s="648">
        <f>IF(WWWW[[#This Row],[Location Type 1]]="Village",WWWW[[#This Row],[Access to safe drinking water for Village]],WWWW[[#This Row],[Access to safe drinking water for Camp]])</f>
        <v>0</v>
      </c>
      <c r="CB247" s="645">
        <f>WWWW[[#This Row],[%Equitable and continuous access to sufficient quantity of safe drinking water]]*WWWW[[#This Row],[Total PoP ]]</f>
        <v>0</v>
      </c>
      <c r="CC247" s="648">
        <f>IF((WWWW[[#This Row],['#_Constructed/Existing protected/fenced ponds]]*250)/WWWW[[#This Row],[Total PoP ]]&gt;1,1,(WWWW[[#This Row],['#_Constructed/Existing protected/fenced ponds]]*250)/WWWW[[#This Row],[Total PoP ]])</f>
        <v>0</v>
      </c>
      <c r="CD247" s="645">
        <f>WWWW[[#This Row],[% Access to unimproved water points]]*WWWW[[#This Row],[Total PoP ]]</f>
        <v>0</v>
      </c>
      <c r="CE247"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47"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47" s="645">
        <f>WWWW[[#This Row],[HRP1]]/500</f>
        <v>0</v>
      </c>
      <c r="CH247" s="650">
        <f>1-WWWW[[#This Row],[% Equitable and continuous access to sufficient quantity of domestic water]]</f>
        <v>1</v>
      </c>
      <c r="CI247" s="645">
        <f>WWWW[[#This Row],[%equitable and continuous access to sufficient quantity of safe drinking and domestic water''s GAP]]*WWWW[[#This Row],[Total PoP ]]</f>
        <v>373</v>
      </c>
      <c r="CJ247" s="647">
        <f>IF(WWWW[[#This Row],[Total required water points]]-WWWW[[#This Row],['#Water points coverage]]&lt;0,0,WWWW[[#This Row],[Total required water points]]-WWWW[[#This Row],['#Water points coverage]])</f>
        <v>1</v>
      </c>
      <c r="CK247" s="647">
        <f>ROUND(IF(WWWW[[#This Row],[Total PoP ]]&lt;500,1,WWWW[[#This Row],[Total PoP ]]/500),0)</f>
        <v>1</v>
      </c>
      <c r="CL247" s="647">
        <f>(WWWW[[#This Row],['#_Constructed latrines_by_WASHAgencies]]+WWWW[[#This Row],['#_Non Cluster partner latrines]])-WWWW[[#This Row],['#_Non-functional latrines]]</f>
        <v>0</v>
      </c>
      <c r="CM247"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47"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47"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47" s="647" t="str">
        <f>IF(WWWW[[#This Row],[Location Type 1]]="Village","NA",IF(WWWW[[#This Row],['#_Constructed/Existing latrines in TLS]]*50&gt;WWWW[[#This Row],['#_students at TLS_CFS]],WWWW[[#This Row],['#_students at TLS_CFS]],(WWWW[[#This Row],['#_Constructed/Existing latrines in TLS]]*50)))</f>
        <v>NA</v>
      </c>
      <c r="CQ247" s="647">
        <f>ROUND(IF(WWWW[[#This Row],[Location Type 1]]="camp",WWWW[[#This Row],[Total PoP ]]/20,IF(WWWW[[#This Row],[Location Type 1]]="Temporary Location",WWWW[[#This Row],[Total PoP ]]/50,(WWWW[[#This Row],[Total PoP ]]/6))),0)</f>
        <v>62</v>
      </c>
      <c r="CR247" s="647">
        <f>IF(WWWW[[#This Row],[Total required Latrines]]-(WWWW[[#This Row],['#_Constructed latrines_by_WASHAgencies]]+WWWW[[#This Row],['#_Non Cluster partner latrines]])&lt;0,0,WWWW[[#This Row],[Total required Latrines]]-(WWWW[[#This Row],['#_Constructed latrines_by_WASHAgencies]]+WWWW[[#This Row],['#_Non Cluster partner latrines]]))</f>
        <v>62</v>
      </c>
      <c r="CS247" s="79">
        <f>1-WWWW[[#This Row],[% people access to functioning Latrine]]</f>
        <v>1</v>
      </c>
      <c r="CT247" s="649">
        <f>IF(OR(WWWW[[#This Row],['#_Non-functional latrines]]="",WWWW[[#This Row],['#_Non-functional latrines]]=0),0,WWWW[[#This Row],['#_Non-functional latrines]]/(WWWW[[#This Row],['#_Constructed latrines_by_WASHAgencies]]+WWWW[[#This Row],['#_Non Cluster partner latrines]]))</f>
        <v>0</v>
      </c>
      <c r="CU247" s="645">
        <f>IF(500*(WWWW[[#This Row],['#_male hygiene promoters]]+WWWW[[#This Row],['#_female hygiene promoters]])&gt;WWWW[[#This Row],[Total PoP ]],WWWW[[#This Row],[Total PoP ]],500*(WWWW[[#This Row],['#_male hygiene promoters]]+WWWW[[#This Row],['#_female hygiene promoters]]))</f>
        <v>0</v>
      </c>
      <c r="CV247"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47"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47" s="647">
        <f>IF(WWWW[[#This Row],['# People with access to soap]]&gt;WWWW[[#This Row],['# People with access to Sanity Pads]],WWWW[[#This Row],['# People with access to soap]],WWWW[[#This Row],['# People with access to Sanity Pads]])</f>
        <v>0</v>
      </c>
      <c r="CY247"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47" s="650">
        <f>IF(WWWW[[#This Row],[HRP3]]/WWWW[[#This Row],[Total PoP ]]&gt;100%,100%,WWWW[[#This Row],[HRP3]]/WWWW[[#This Row],[Total PoP ]])</f>
        <v>0</v>
      </c>
      <c r="DA247" s="649">
        <f>1-WWWW[[#This Row],[Hygiene Coverage%]]</f>
        <v>1</v>
      </c>
      <c r="DB247" s="648">
        <f>WWWW[[#This Row],['# people reached by regular dedicated hygiene promotion_5]]/WWWW[[#This Row],[Total PoP ]]</f>
        <v>0</v>
      </c>
      <c r="DC247" s="648">
        <f>IF(WWWW[[#This Row],['#_households that received standard amount of soap for this quarter]]/WWWW[[#This Row],[Total HH]]&gt;1,1,WWWW[[#This Row],['#_households that received standard amount of soap for this quarter]]/WWWW[[#This Row],[Total HH]])</f>
        <v>0</v>
      </c>
      <c r="DD247" s="648">
        <f>IF(WWWW[[#This Row],['#_households that received standard amount of sanitary pads for this quarter]]/WWWW[[#This Row],[Total HH]]&gt;1,1,WWWW[[#This Row],['#_households that received standard amount of sanitary pads for this quarter]]/WWWW[[#This Row],[Total HH]])</f>
        <v>0</v>
      </c>
      <c r="DE247" s="647">
        <f>WWWW[[#This Row],['#_Constructed/Existing hand washing stations]]-WWWW[[#This Row],['#_Non-Functional_hand_washing_stations]]</f>
        <v>0</v>
      </c>
      <c r="DF247" s="667">
        <f>IF(WWWW[[#This Row],['# Functional hand washing stations during reporting period]]*20&gt;WWWW[[#This Row],[Total HH]],WWWW[[#This Row],[Total HH]],WWWW[[#This Row],['# Functional hand washing stations during reporting period]]*20)</f>
        <v>0</v>
      </c>
      <c r="DG247" s="645">
        <f>IF(WWWW[[#This Row],[Is sufficient soap available for TLS? (Yes/No)]]="yes",WWWW[[#This Row],['#_Constructed/Existing hand washing stations at TLS]],0)</f>
        <v>0</v>
      </c>
      <c r="DH247" s="645">
        <f>IF(WWWW[[#This Row],['# Functional hand washing stations during reporting period]]*100&gt;WWWW[[#This Row],[Total PoP ]],WWWW[[#This Row],[Total PoP ]],WWWW[[#This Row],['# Functional hand washing stations during reporting period]]*100)</f>
        <v>0</v>
      </c>
      <c r="DI247" s="645" t="str">
        <f>IF(WWWW[[#This Row],['#_students at TLS_CFS]]="","No","Yes")</f>
        <v>No</v>
      </c>
      <c r="DJ247" s="643">
        <f>VLOOKUP(WWWW[[#This Row],[Site Name]],SiteDB6[[Site Name]:[CCCM Management]],6,FALSE)</f>
        <v>0</v>
      </c>
      <c r="DK247" s="643">
        <f>VLOOKUP(WWWW[[#This Row],[Site Name]],SiteDB6[[Site Name]:[CCCM Focal Agency]],7,FALSE)</f>
        <v>0</v>
      </c>
      <c r="DL247" s="643" t="str">
        <f>VLOOKUP(WWWW[[#This Row],[Site Name]],SiteDB6[[Site Name]:[Location Type 1]],9,FALSE)</f>
        <v>Village</v>
      </c>
      <c r="DM247" s="643" t="str">
        <f>VLOOKUP(WWWW[[#This Row],[Site Name]],SiteDB6[[Site Name]:[Type of Accommodation]],10,FALSE)</f>
        <v>Village</v>
      </c>
      <c r="DN247" s="643">
        <f>VLOOKUP(WWWW[[#This Row],[Site Name]],SiteDB6[[Site Name]:[Ethnic or GCA/NGCA]],11,FALSE)</f>
        <v>0</v>
      </c>
      <c r="DO247" s="643">
        <f>VLOOKUP(WWWW[[#This Row],[Site Name]],SiteDB6[[Site Name]:[Lat]],12,FALSE)</f>
        <v>0</v>
      </c>
      <c r="DP247" s="643">
        <f>VLOOKUP(WWWW[[#This Row],[Site Name]],SiteDB6[[Site Name]:[Long]],13,FALSE)</f>
        <v>0</v>
      </c>
      <c r="DQ247" s="643">
        <f>VLOOKUP(WWWW[[#This Row],[Site Name]],SiteDB6[[Site Name]:[Pcode]],3,FALSE)</f>
        <v>196135</v>
      </c>
      <c r="DR247" s="652" t="str">
        <f t="shared" si="8"/>
        <v>Covered</v>
      </c>
      <c r="DS247" s="652"/>
    </row>
    <row r="248" spans="1:123">
      <c r="A248" s="637" t="s">
        <v>2525</v>
      </c>
      <c r="B248" s="637" t="s">
        <v>332</v>
      </c>
      <c r="C248" s="644" t="s">
        <v>332</v>
      </c>
      <c r="D248" s="644" t="s">
        <v>345</v>
      </c>
      <c r="E248" s="663" t="s">
        <v>3014</v>
      </c>
      <c r="F248" s="644" t="s">
        <v>313</v>
      </c>
      <c r="G248" s="663" t="str">
        <f>VLOOKUP(WWWW[[#This Row],[Site Name]],SiteDB6[[Site Name]:[Location Type]],8,FALSE)</f>
        <v>Village</v>
      </c>
      <c r="H248" s="644" t="s">
        <v>2888</v>
      </c>
      <c r="I248" s="646">
        <v>86</v>
      </c>
      <c r="J248" s="646">
        <v>481</v>
      </c>
      <c r="K248" s="653">
        <v>42736</v>
      </c>
      <c r="L248" s="654">
        <v>44551</v>
      </c>
      <c r="M248" s="646"/>
      <c r="N248" s="646"/>
      <c r="O248" s="646"/>
      <c r="P248" s="646"/>
      <c r="Q248" s="645"/>
      <c r="R248" s="646"/>
      <c r="S248" s="646"/>
      <c r="T248" s="646"/>
      <c r="U248" s="646"/>
      <c r="V248" s="646"/>
      <c r="W248" s="646"/>
      <c r="X248" s="646"/>
      <c r="Y248" s="646"/>
      <c r="Z248" s="646"/>
      <c r="AA248" s="646"/>
      <c r="AB248" s="646"/>
      <c r="AC248" s="646"/>
      <c r="AD248" s="646"/>
      <c r="AE248" s="646"/>
      <c r="AF248" s="646"/>
      <c r="AG248" s="646"/>
      <c r="AH248" s="646"/>
      <c r="AI248" s="646"/>
      <c r="AJ248" s="646"/>
      <c r="AK248" s="646"/>
      <c r="AL248" s="646"/>
      <c r="AM248" s="646"/>
      <c r="AN248" s="646"/>
      <c r="AO248" s="652"/>
      <c r="AP248" s="646"/>
      <c r="AQ248" s="646"/>
      <c r="AR248" s="648"/>
      <c r="AS248" s="646"/>
      <c r="AT248" s="646"/>
      <c r="AU248" s="646"/>
      <c r="AV248" s="646"/>
      <c r="AW248" s="646"/>
      <c r="AX248" s="643"/>
      <c r="AY248" s="652"/>
      <c r="AZ248" s="646"/>
      <c r="BA248" s="646"/>
      <c r="BB248" s="646"/>
      <c r="BC248" s="643"/>
      <c r="BD248" s="646"/>
      <c r="BE248" s="646"/>
      <c r="BF248" s="646"/>
      <c r="BG248" s="646"/>
      <c r="BH248" s="646"/>
      <c r="BI248" s="646"/>
      <c r="BJ248" s="646"/>
      <c r="BK248" s="646"/>
      <c r="BL248" s="646"/>
      <c r="BM248" s="643"/>
      <c r="BN248" s="647"/>
      <c r="BO248" s="648"/>
      <c r="BP248" s="643"/>
      <c r="BQ248" s="649" t="str">
        <f>IFERROR(WWWW[[#This Row],['#_Water sources treated]]/WWWW[[#This Row],['#_Water sources tested for contamination]],"no test")</f>
        <v>no test</v>
      </c>
      <c r="BR248" s="648" t="str">
        <f>IFERROR(WWWW[[#This Row],['#_Household received remediation action due to contamination]]/WWWW[[#This Row],['#_Household water samples tested for contamination]],"no test")</f>
        <v>no test</v>
      </c>
      <c r="BS248" s="647" t="str">
        <f>IF(AND(WWWW[[#This Row],[% of water sources treated]]="no test",WWWW[[#This Row],[% Household received corrective actions]]="no test"),"No Test","Tested")</f>
        <v>No Test</v>
      </c>
      <c r="BT248" s="647">
        <f>WWWW[[#This Row],['#_Constructed/existing protected hand dug well]]-WWWW[[#This Row],['#_Non-functional protected hand dug well]]</f>
        <v>0</v>
      </c>
      <c r="BU248" s="647">
        <f>(WWWW[[#This Row],['#_Constructed/Existing tube wells/boreholes/handpumps_WASH_agency]]+WWWW[[#This Row],['#_Non-Cluster partner water tube-wells/boreholes/handpumps]])-WWWW[[#This Row],['#_Non-functional tube wells/boreholes/handpumps]]</f>
        <v>0</v>
      </c>
      <c r="BV248" s="647">
        <f>WWWW[[#This Row],['#_Constructed/Existingwater storage tank with gravity fed reticulation system]]-WWWW[[#This Row],['#_Non-functional storage tank gravity fed reticulation system]]</f>
        <v>0</v>
      </c>
      <c r="BW248" s="647">
        <f>WWWW[[#This Row],['#_Water boating or water trucking]]</f>
        <v>0</v>
      </c>
      <c r="BX248" s="647">
        <f>WWWW[[#This Row],['#_Constructed/Existing water distribution system from river or natural spring]]</f>
        <v>0</v>
      </c>
      <c r="BY248"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48"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48" s="648">
        <f>IF(WWWW[[#This Row],[Location Type 1]]="Village",WWWW[[#This Row],[Access to safe drinking water for Village]],WWWW[[#This Row],[Access to safe drinking water for Camp]])</f>
        <v>0</v>
      </c>
      <c r="CB248" s="645">
        <f>WWWW[[#This Row],[%Equitable and continuous access to sufficient quantity of safe drinking water]]*WWWW[[#This Row],[Total PoP ]]</f>
        <v>0</v>
      </c>
      <c r="CC248" s="648">
        <f>IF((WWWW[[#This Row],['#_Constructed/Existing protected/fenced ponds]]*250)/WWWW[[#This Row],[Total PoP ]]&gt;1,1,(WWWW[[#This Row],['#_Constructed/Existing protected/fenced ponds]]*250)/WWWW[[#This Row],[Total PoP ]])</f>
        <v>0</v>
      </c>
      <c r="CD248" s="645">
        <f>WWWW[[#This Row],[% Access to unimproved water points]]*WWWW[[#This Row],[Total PoP ]]</f>
        <v>0</v>
      </c>
      <c r="CE248"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48"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48" s="645">
        <f>WWWW[[#This Row],[HRP1]]/500</f>
        <v>0</v>
      </c>
      <c r="CH248" s="650">
        <f>1-WWWW[[#This Row],[% Equitable and continuous access to sufficient quantity of domestic water]]</f>
        <v>1</v>
      </c>
      <c r="CI248" s="645">
        <f>WWWW[[#This Row],[%equitable and continuous access to sufficient quantity of safe drinking and domestic water''s GAP]]*WWWW[[#This Row],[Total PoP ]]</f>
        <v>481</v>
      </c>
      <c r="CJ248" s="647">
        <f>IF(WWWW[[#This Row],[Total required water points]]-WWWW[[#This Row],['#Water points coverage]]&lt;0,0,WWWW[[#This Row],[Total required water points]]-WWWW[[#This Row],['#Water points coverage]])</f>
        <v>1</v>
      </c>
      <c r="CK248" s="647">
        <f>ROUND(IF(WWWW[[#This Row],[Total PoP ]]&lt;500,1,WWWW[[#This Row],[Total PoP ]]/500),0)</f>
        <v>1</v>
      </c>
      <c r="CL248" s="647">
        <f>(WWWW[[#This Row],['#_Constructed latrines_by_WASHAgencies]]+WWWW[[#This Row],['#_Non Cluster partner latrines]])-WWWW[[#This Row],['#_Non-functional latrines]]</f>
        <v>0</v>
      </c>
      <c r="CM248"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48"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48"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48" s="647" t="str">
        <f>IF(WWWW[[#This Row],[Location Type 1]]="Village","NA",IF(WWWW[[#This Row],['#_Constructed/Existing latrines in TLS]]*50&gt;WWWW[[#This Row],['#_students at TLS_CFS]],WWWW[[#This Row],['#_students at TLS_CFS]],(WWWW[[#This Row],['#_Constructed/Existing latrines in TLS]]*50)))</f>
        <v>NA</v>
      </c>
      <c r="CQ248" s="647">
        <f>ROUND(IF(WWWW[[#This Row],[Location Type 1]]="camp",WWWW[[#This Row],[Total PoP ]]/20,IF(WWWW[[#This Row],[Location Type 1]]="Temporary Location",WWWW[[#This Row],[Total PoP ]]/50,(WWWW[[#This Row],[Total PoP ]]/6))),0)</f>
        <v>80</v>
      </c>
      <c r="CR248" s="647">
        <f>IF(WWWW[[#This Row],[Total required Latrines]]-(WWWW[[#This Row],['#_Constructed latrines_by_WASHAgencies]]+WWWW[[#This Row],['#_Non Cluster partner latrines]])&lt;0,0,WWWW[[#This Row],[Total required Latrines]]-(WWWW[[#This Row],['#_Constructed latrines_by_WASHAgencies]]+WWWW[[#This Row],['#_Non Cluster partner latrines]]))</f>
        <v>80</v>
      </c>
      <c r="CS248" s="79">
        <f>1-WWWW[[#This Row],[% people access to functioning Latrine]]</f>
        <v>1</v>
      </c>
      <c r="CT248" s="649">
        <f>IF(OR(WWWW[[#This Row],['#_Non-functional latrines]]="",WWWW[[#This Row],['#_Non-functional latrines]]=0),0,WWWW[[#This Row],['#_Non-functional latrines]]/(WWWW[[#This Row],['#_Constructed latrines_by_WASHAgencies]]+WWWW[[#This Row],['#_Non Cluster partner latrines]]))</f>
        <v>0</v>
      </c>
      <c r="CU248" s="645">
        <f>IF(500*(WWWW[[#This Row],['#_male hygiene promoters]]+WWWW[[#This Row],['#_female hygiene promoters]])&gt;WWWW[[#This Row],[Total PoP ]],WWWW[[#This Row],[Total PoP ]],500*(WWWW[[#This Row],['#_male hygiene promoters]]+WWWW[[#This Row],['#_female hygiene promoters]]))</f>
        <v>0</v>
      </c>
      <c r="CV248"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48"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48" s="647">
        <f>IF(WWWW[[#This Row],['# People with access to soap]]&gt;WWWW[[#This Row],['# People with access to Sanity Pads]],WWWW[[#This Row],['# People with access to soap]],WWWW[[#This Row],['# People with access to Sanity Pads]])</f>
        <v>0</v>
      </c>
      <c r="CY248"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48" s="650">
        <f>IF(WWWW[[#This Row],[HRP3]]/WWWW[[#This Row],[Total PoP ]]&gt;100%,100%,WWWW[[#This Row],[HRP3]]/WWWW[[#This Row],[Total PoP ]])</f>
        <v>0</v>
      </c>
      <c r="DA248" s="649">
        <f>1-WWWW[[#This Row],[Hygiene Coverage%]]</f>
        <v>1</v>
      </c>
      <c r="DB248" s="648">
        <f>WWWW[[#This Row],['# people reached by regular dedicated hygiene promotion_5]]/WWWW[[#This Row],[Total PoP ]]</f>
        <v>0</v>
      </c>
      <c r="DC248" s="648">
        <f>IF(WWWW[[#This Row],['#_households that received standard amount of soap for this quarter]]/WWWW[[#This Row],[Total HH]]&gt;1,1,WWWW[[#This Row],['#_households that received standard amount of soap for this quarter]]/WWWW[[#This Row],[Total HH]])</f>
        <v>0</v>
      </c>
      <c r="DD248" s="648">
        <f>IF(WWWW[[#This Row],['#_households that received standard amount of sanitary pads for this quarter]]/WWWW[[#This Row],[Total HH]]&gt;1,1,WWWW[[#This Row],['#_households that received standard amount of sanitary pads for this quarter]]/WWWW[[#This Row],[Total HH]])</f>
        <v>0</v>
      </c>
      <c r="DE248" s="647">
        <f>WWWW[[#This Row],['#_Constructed/Existing hand washing stations]]-WWWW[[#This Row],['#_Non-Functional_hand_washing_stations]]</f>
        <v>0</v>
      </c>
      <c r="DF248" s="667">
        <f>IF(WWWW[[#This Row],['# Functional hand washing stations during reporting period]]*20&gt;WWWW[[#This Row],[Total HH]],WWWW[[#This Row],[Total HH]],WWWW[[#This Row],['# Functional hand washing stations during reporting period]]*20)</f>
        <v>0</v>
      </c>
      <c r="DG248" s="645">
        <f>IF(WWWW[[#This Row],[Is sufficient soap available for TLS? (Yes/No)]]="yes",WWWW[[#This Row],['#_Constructed/Existing hand washing stations at TLS]],0)</f>
        <v>0</v>
      </c>
      <c r="DH248" s="645">
        <f>IF(WWWW[[#This Row],['# Functional hand washing stations during reporting period]]*100&gt;WWWW[[#This Row],[Total PoP ]],WWWW[[#This Row],[Total PoP ]],WWWW[[#This Row],['# Functional hand washing stations during reporting period]]*100)</f>
        <v>0</v>
      </c>
      <c r="DI248" s="645" t="str">
        <f>IF(WWWW[[#This Row],['#_students at TLS_CFS]]="","No","Yes")</f>
        <v>No</v>
      </c>
      <c r="DJ248" s="643">
        <f>VLOOKUP(WWWW[[#This Row],[Site Name]],SiteDB6[[Site Name]:[CCCM Management]],6,FALSE)</f>
        <v>0</v>
      </c>
      <c r="DK248" s="643">
        <f>VLOOKUP(WWWW[[#This Row],[Site Name]],SiteDB6[[Site Name]:[CCCM Focal Agency]],7,FALSE)</f>
        <v>0</v>
      </c>
      <c r="DL248" s="643" t="str">
        <f>VLOOKUP(WWWW[[#This Row],[Site Name]],SiteDB6[[Site Name]:[Location Type 1]],9,FALSE)</f>
        <v>Village</v>
      </c>
      <c r="DM248" s="643" t="str">
        <f>VLOOKUP(WWWW[[#This Row],[Site Name]],SiteDB6[[Site Name]:[Type of Accommodation]],10,FALSE)</f>
        <v>Village</v>
      </c>
      <c r="DN248" s="643">
        <f>VLOOKUP(WWWW[[#This Row],[Site Name]],SiteDB6[[Site Name]:[Ethnic or GCA/NGCA]],11,FALSE)</f>
        <v>0</v>
      </c>
      <c r="DO248" s="643">
        <f>VLOOKUP(WWWW[[#This Row],[Site Name]],SiteDB6[[Site Name]:[Lat]],12,FALSE)</f>
        <v>20.187860488891602</v>
      </c>
      <c r="DP248" s="643">
        <f>VLOOKUP(WWWW[[#This Row],[Site Name]],SiteDB6[[Site Name]:[Long]],13,FALSE)</f>
        <v>92.903419494628906</v>
      </c>
      <c r="DQ248" s="643">
        <f>VLOOKUP(WWWW[[#This Row],[Site Name]],SiteDB6[[Site Name]:[Pcode]],3,FALSE)</f>
        <v>196134</v>
      </c>
      <c r="DR248" s="652" t="str">
        <f t="shared" si="8"/>
        <v>Covered</v>
      </c>
      <c r="DS248" s="652"/>
    </row>
    <row r="249" spans="1:123">
      <c r="A249" s="637" t="s">
        <v>2525</v>
      </c>
      <c r="B249" s="637" t="s">
        <v>332</v>
      </c>
      <c r="C249" s="644" t="s">
        <v>332</v>
      </c>
      <c r="D249" s="644" t="s">
        <v>345</v>
      </c>
      <c r="E249" s="663" t="s">
        <v>3014</v>
      </c>
      <c r="F249" s="644" t="s">
        <v>313</v>
      </c>
      <c r="G249" s="663" t="str">
        <f>VLOOKUP(WWWW[[#This Row],[Site Name]],SiteDB6[[Site Name]:[Location Type]],8,FALSE)</f>
        <v>Village</v>
      </c>
      <c r="H249" s="644" t="s">
        <v>2889</v>
      </c>
      <c r="I249" s="646">
        <v>88</v>
      </c>
      <c r="J249" s="646">
        <v>454</v>
      </c>
      <c r="K249" s="653">
        <v>42736</v>
      </c>
      <c r="L249" s="654">
        <v>44551</v>
      </c>
      <c r="M249" s="646"/>
      <c r="N249" s="646"/>
      <c r="O249" s="646"/>
      <c r="P249" s="646"/>
      <c r="Q249" s="645"/>
      <c r="R249" s="646"/>
      <c r="S249" s="646"/>
      <c r="T249" s="646"/>
      <c r="U249" s="646"/>
      <c r="V249" s="646"/>
      <c r="W249" s="646"/>
      <c r="X249" s="646"/>
      <c r="Y249" s="646"/>
      <c r="Z249" s="646"/>
      <c r="AA249" s="646"/>
      <c r="AB249" s="646"/>
      <c r="AC249" s="646"/>
      <c r="AD249" s="646"/>
      <c r="AE249" s="646"/>
      <c r="AF249" s="646"/>
      <c r="AG249" s="646"/>
      <c r="AH249" s="646"/>
      <c r="AI249" s="646"/>
      <c r="AJ249" s="646"/>
      <c r="AK249" s="646"/>
      <c r="AL249" s="646"/>
      <c r="AM249" s="646"/>
      <c r="AN249" s="646"/>
      <c r="AO249" s="652"/>
      <c r="AP249" s="646"/>
      <c r="AQ249" s="646"/>
      <c r="AR249" s="648"/>
      <c r="AS249" s="646"/>
      <c r="AT249" s="646"/>
      <c r="AU249" s="646"/>
      <c r="AV249" s="646"/>
      <c r="AW249" s="646"/>
      <c r="AX249" s="643"/>
      <c r="AY249" s="652"/>
      <c r="AZ249" s="646"/>
      <c r="BA249" s="646"/>
      <c r="BB249" s="646"/>
      <c r="BC249" s="643"/>
      <c r="BD249" s="646"/>
      <c r="BE249" s="646"/>
      <c r="BF249" s="646"/>
      <c r="BG249" s="646"/>
      <c r="BH249" s="646"/>
      <c r="BI249" s="646"/>
      <c r="BJ249" s="646"/>
      <c r="BK249" s="646"/>
      <c r="BL249" s="646"/>
      <c r="BM249" s="643"/>
      <c r="BN249" s="647"/>
      <c r="BO249" s="648"/>
      <c r="BP249" s="643"/>
      <c r="BQ249" s="649" t="str">
        <f>IFERROR(WWWW[[#This Row],['#_Water sources treated]]/WWWW[[#This Row],['#_Water sources tested for contamination]],"no test")</f>
        <v>no test</v>
      </c>
      <c r="BR249" s="648" t="str">
        <f>IFERROR(WWWW[[#This Row],['#_Household received remediation action due to contamination]]/WWWW[[#This Row],['#_Household water samples tested for contamination]],"no test")</f>
        <v>no test</v>
      </c>
      <c r="BS249" s="647" t="str">
        <f>IF(AND(WWWW[[#This Row],[% of water sources treated]]="no test",WWWW[[#This Row],[% Household received corrective actions]]="no test"),"No Test","Tested")</f>
        <v>No Test</v>
      </c>
      <c r="BT249" s="647">
        <f>WWWW[[#This Row],['#_Constructed/existing protected hand dug well]]-WWWW[[#This Row],['#_Non-functional protected hand dug well]]</f>
        <v>0</v>
      </c>
      <c r="BU249" s="647">
        <f>(WWWW[[#This Row],['#_Constructed/Existing tube wells/boreholes/handpumps_WASH_agency]]+WWWW[[#This Row],['#_Non-Cluster partner water tube-wells/boreholes/handpumps]])-WWWW[[#This Row],['#_Non-functional tube wells/boreholes/handpumps]]</f>
        <v>0</v>
      </c>
      <c r="BV249" s="647">
        <f>WWWW[[#This Row],['#_Constructed/Existingwater storage tank with gravity fed reticulation system]]-WWWW[[#This Row],['#_Non-functional storage tank gravity fed reticulation system]]</f>
        <v>0</v>
      </c>
      <c r="BW249" s="647">
        <f>WWWW[[#This Row],['#_Water boating or water trucking]]</f>
        <v>0</v>
      </c>
      <c r="BX249" s="647">
        <f>WWWW[[#This Row],['#_Constructed/Existing water distribution system from river or natural spring]]</f>
        <v>0</v>
      </c>
      <c r="BY249"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49"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49" s="648">
        <f>IF(WWWW[[#This Row],[Location Type 1]]="Village",WWWW[[#This Row],[Access to safe drinking water for Village]],WWWW[[#This Row],[Access to safe drinking water for Camp]])</f>
        <v>0</v>
      </c>
      <c r="CB249" s="645">
        <f>WWWW[[#This Row],[%Equitable and continuous access to sufficient quantity of safe drinking water]]*WWWW[[#This Row],[Total PoP ]]</f>
        <v>0</v>
      </c>
      <c r="CC249" s="648">
        <f>IF((WWWW[[#This Row],['#_Constructed/Existing protected/fenced ponds]]*250)/WWWW[[#This Row],[Total PoP ]]&gt;1,1,(WWWW[[#This Row],['#_Constructed/Existing protected/fenced ponds]]*250)/WWWW[[#This Row],[Total PoP ]])</f>
        <v>0</v>
      </c>
      <c r="CD249" s="645">
        <f>WWWW[[#This Row],[% Access to unimproved water points]]*WWWW[[#This Row],[Total PoP ]]</f>
        <v>0</v>
      </c>
      <c r="CE249"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49"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49" s="645">
        <f>WWWW[[#This Row],[HRP1]]/500</f>
        <v>0</v>
      </c>
      <c r="CH249" s="650">
        <f>1-WWWW[[#This Row],[% Equitable and continuous access to sufficient quantity of domestic water]]</f>
        <v>1</v>
      </c>
      <c r="CI249" s="645">
        <f>WWWW[[#This Row],[%equitable and continuous access to sufficient quantity of safe drinking and domestic water''s GAP]]*WWWW[[#This Row],[Total PoP ]]</f>
        <v>454</v>
      </c>
      <c r="CJ249" s="647">
        <f>IF(WWWW[[#This Row],[Total required water points]]-WWWW[[#This Row],['#Water points coverage]]&lt;0,0,WWWW[[#This Row],[Total required water points]]-WWWW[[#This Row],['#Water points coverage]])</f>
        <v>1</v>
      </c>
      <c r="CK249" s="647">
        <f>ROUND(IF(WWWW[[#This Row],[Total PoP ]]&lt;500,1,WWWW[[#This Row],[Total PoP ]]/500),0)</f>
        <v>1</v>
      </c>
      <c r="CL249" s="647">
        <f>(WWWW[[#This Row],['#_Constructed latrines_by_WASHAgencies]]+WWWW[[#This Row],['#_Non Cluster partner latrines]])-WWWW[[#This Row],['#_Non-functional latrines]]</f>
        <v>0</v>
      </c>
      <c r="CM249"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49"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49"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49" s="647" t="str">
        <f>IF(WWWW[[#This Row],[Location Type 1]]="Village","NA",IF(WWWW[[#This Row],['#_Constructed/Existing latrines in TLS]]*50&gt;WWWW[[#This Row],['#_students at TLS_CFS]],WWWW[[#This Row],['#_students at TLS_CFS]],(WWWW[[#This Row],['#_Constructed/Existing latrines in TLS]]*50)))</f>
        <v>NA</v>
      </c>
      <c r="CQ249" s="647">
        <f>ROUND(IF(WWWW[[#This Row],[Location Type 1]]="camp",WWWW[[#This Row],[Total PoP ]]/20,IF(WWWW[[#This Row],[Location Type 1]]="Temporary Location",WWWW[[#This Row],[Total PoP ]]/50,(WWWW[[#This Row],[Total PoP ]]/6))),0)</f>
        <v>76</v>
      </c>
      <c r="CR249" s="647">
        <f>IF(WWWW[[#This Row],[Total required Latrines]]-(WWWW[[#This Row],['#_Constructed latrines_by_WASHAgencies]]+WWWW[[#This Row],['#_Non Cluster partner latrines]])&lt;0,0,WWWW[[#This Row],[Total required Latrines]]-(WWWW[[#This Row],['#_Constructed latrines_by_WASHAgencies]]+WWWW[[#This Row],['#_Non Cluster partner latrines]]))</f>
        <v>76</v>
      </c>
      <c r="CS249" s="79">
        <f>1-WWWW[[#This Row],[% people access to functioning Latrine]]</f>
        <v>1</v>
      </c>
      <c r="CT249" s="649">
        <f>IF(OR(WWWW[[#This Row],['#_Non-functional latrines]]="",WWWW[[#This Row],['#_Non-functional latrines]]=0),0,WWWW[[#This Row],['#_Non-functional latrines]]/(WWWW[[#This Row],['#_Constructed latrines_by_WASHAgencies]]+WWWW[[#This Row],['#_Non Cluster partner latrines]]))</f>
        <v>0</v>
      </c>
      <c r="CU249" s="645">
        <f>IF(500*(WWWW[[#This Row],['#_male hygiene promoters]]+WWWW[[#This Row],['#_female hygiene promoters]])&gt;WWWW[[#This Row],[Total PoP ]],WWWW[[#This Row],[Total PoP ]],500*(WWWW[[#This Row],['#_male hygiene promoters]]+WWWW[[#This Row],['#_female hygiene promoters]]))</f>
        <v>0</v>
      </c>
      <c r="CV249"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49"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49" s="647">
        <f>IF(WWWW[[#This Row],['# People with access to soap]]&gt;WWWW[[#This Row],['# People with access to Sanity Pads]],WWWW[[#This Row],['# People with access to soap]],WWWW[[#This Row],['# People with access to Sanity Pads]])</f>
        <v>0</v>
      </c>
      <c r="CY249"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49" s="650">
        <f>IF(WWWW[[#This Row],[HRP3]]/WWWW[[#This Row],[Total PoP ]]&gt;100%,100%,WWWW[[#This Row],[HRP3]]/WWWW[[#This Row],[Total PoP ]])</f>
        <v>0</v>
      </c>
      <c r="DA249" s="649">
        <f>1-WWWW[[#This Row],[Hygiene Coverage%]]</f>
        <v>1</v>
      </c>
      <c r="DB249" s="648">
        <f>WWWW[[#This Row],['# people reached by regular dedicated hygiene promotion_5]]/WWWW[[#This Row],[Total PoP ]]</f>
        <v>0</v>
      </c>
      <c r="DC249" s="648">
        <f>IF(WWWW[[#This Row],['#_households that received standard amount of soap for this quarter]]/WWWW[[#This Row],[Total HH]]&gt;1,1,WWWW[[#This Row],['#_households that received standard amount of soap for this quarter]]/WWWW[[#This Row],[Total HH]])</f>
        <v>0</v>
      </c>
      <c r="DD249" s="648">
        <f>IF(WWWW[[#This Row],['#_households that received standard amount of sanitary pads for this quarter]]/WWWW[[#This Row],[Total HH]]&gt;1,1,WWWW[[#This Row],['#_households that received standard amount of sanitary pads for this quarter]]/WWWW[[#This Row],[Total HH]])</f>
        <v>0</v>
      </c>
      <c r="DE249" s="647">
        <f>WWWW[[#This Row],['#_Constructed/Existing hand washing stations]]-WWWW[[#This Row],['#_Non-Functional_hand_washing_stations]]</f>
        <v>0</v>
      </c>
      <c r="DF249" s="667">
        <f>IF(WWWW[[#This Row],['# Functional hand washing stations during reporting period]]*20&gt;WWWW[[#This Row],[Total HH]],WWWW[[#This Row],[Total HH]],WWWW[[#This Row],['# Functional hand washing stations during reporting period]]*20)</f>
        <v>0</v>
      </c>
      <c r="DG249" s="645">
        <f>IF(WWWW[[#This Row],[Is sufficient soap available for TLS? (Yes/No)]]="yes",WWWW[[#This Row],['#_Constructed/Existing hand washing stations at TLS]],0)</f>
        <v>0</v>
      </c>
      <c r="DH249" s="645">
        <f>IF(WWWW[[#This Row],['# Functional hand washing stations during reporting period]]*100&gt;WWWW[[#This Row],[Total PoP ]],WWWW[[#This Row],[Total PoP ]],WWWW[[#This Row],['# Functional hand washing stations during reporting period]]*100)</f>
        <v>0</v>
      </c>
      <c r="DI249" s="645" t="str">
        <f>IF(WWWW[[#This Row],['#_students at TLS_CFS]]="","No","Yes")</f>
        <v>No</v>
      </c>
      <c r="DJ249" s="643">
        <f>VLOOKUP(WWWW[[#This Row],[Site Name]],SiteDB6[[Site Name]:[CCCM Management]],6,FALSE)</f>
        <v>0</v>
      </c>
      <c r="DK249" s="643">
        <f>VLOOKUP(WWWW[[#This Row],[Site Name]],SiteDB6[[Site Name]:[CCCM Focal Agency]],7,FALSE)</f>
        <v>0</v>
      </c>
      <c r="DL249" s="643" t="str">
        <f>VLOOKUP(WWWW[[#This Row],[Site Name]],SiteDB6[[Site Name]:[Location Type 1]],9,FALSE)</f>
        <v>Village</v>
      </c>
      <c r="DM249" s="643" t="str">
        <f>VLOOKUP(WWWW[[#This Row],[Site Name]],SiteDB6[[Site Name]:[Type of Accommodation]],10,FALSE)</f>
        <v>Village</v>
      </c>
      <c r="DN249" s="643">
        <f>VLOOKUP(WWWW[[#This Row],[Site Name]],SiteDB6[[Site Name]:[Ethnic or GCA/NGCA]],11,FALSE)</f>
        <v>0</v>
      </c>
      <c r="DO249" s="643">
        <f>VLOOKUP(WWWW[[#This Row],[Site Name]],SiteDB6[[Site Name]:[Lat]],12,FALSE)</f>
        <v>20.1899604797363</v>
      </c>
      <c r="DP249" s="643">
        <f>VLOOKUP(WWWW[[#This Row],[Site Name]],SiteDB6[[Site Name]:[Long]],13,FALSE)</f>
        <v>92.895767211914105</v>
      </c>
      <c r="DQ249" s="643">
        <f>VLOOKUP(WWWW[[#This Row],[Site Name]],SiteDB6[[Site Name]:[Pcode]],3,FALSE)</f>
        <v>196136</v>
      </c>
      <c r="DR249" s="652" t="str">
        <f t="shared" si="8"/>
        <v>Covered</v>
      </c>
      <c r="DS249" s="652"/>
    </row>
    <row r="250" spans="1:123">
      <c r="A250" s="637" t="s">
        <v>2525</v>
      </c>
      <c r="B250" s="637" t="s">
        <v>332</v>
      </c>
      <c r="C250" s="644" t="s">
        <v>332</v>
      </c>
      <c r="D250" s="644" t="s">
        <v>325</v>
      </c>
      <c r="E250" s="663" t="s">
        <v>3014</v>
      </c>
      <c r="F250" s="644" t="s">
        <v>313</v>
      </c>
      <c r="G250" s="663" t="str">
        <f>VLOOKUP(WWWW[[#This Row],[Site Name]],SiteDB6[[Site Name]:[Location Type]],8,FALSE)</f>
        <v>Village</v>
      </c>
      <c r="H250" s="644" t="s">
        <v>2890</v>
      </c>
      <c r="I250" s="646">
        <v>218</v>
      </c>
      <c r="J250" s="646">
        <v>978</v>
      </c>
      <c r="K250" s="653">
        <v>42736</v>
      </c>
      <c r="L250" s="654">
        <v>44551</v>
      </c>
      <c r="M250" s="646"/>
      <c r="N250" s="646"/>
      <c r="O250" s="646"/>
      <c r="P250" s="646"/>
      <c r="Q250" s="645"/>
      <c r="R250" s="646"/>
      <c r="S250" s="646"/>
      <c r="T250" s="646"/>
      <c r="U250" s="646"/>
      <c r="V250" s="646"/>
      <c r="W250" s="646"/>
      <c r="X250" s="646"/>
      <c r="Y250" s="646"/>
      <c r="Z250" s="646"/>
      <c r="AA250" s="646"/>
      <c r="AB250" s="646"/>
      <c r="AC250" s="646"/>
      <c r="AD250" s="646"/>
      <c r="AE250" s="646"/>
      <c r="AF250" s="646"/>
      <c r="AG250" s="646"/>
      <c r="AH250" s="646"/>
      <c r="AI250" s="646"/>
      <c r="AJ250" s="646"/>
      <c r="AK250" s="646"/>
      <c r="AL250" s="646"/>
      <c r="AM250" s="646"/>
      <c r="AN250" s="646"/>
      <c r="AO250" s="652"/>
      <c r="AP250" s="646"/>
      <c r="AQ250" s="646"/>
      <c r="AR250" s="648"/>
      <c r="AS250" s="646"/>
      <c r="AT250" s="646"/>
      <c r="AU250" s="646"/>
      <c r="AV250" s="646"/>
      <c r="AW250" s="646"/>
      <c r="AX250" s="643"/>
      <c r="AY250" s="652"/>
      <c r="AZ250" s="646"/>
      <c r="BA250" s="646"/>
      <c r="BB250" s="646"/>
      <c r="BC250" s="643"/>
      <c r="BD250" s="646"/>
      <c r="BE250" s="646"/>
      <c r="BF250" s="646"/>
      <c r="BG250" s="646"/>
      <c r="BH250" s="646"/>
      <c r="BI250" s="646"/>
      <c r="BJ250" s="646"/>
      <c r="BK250" s="646"/>
      <c r="BL250" s="646"/>
      <c r="BM250" s="643"/>
      <c r="BN250" s="647"/>
      <c r="BO250" s="648"/>
      <c r="BP250" s="643"/>
      <c r="BQ250" s="649" t="str">
        <f>IFERROR(WWWW[[#This Row],['#_Water sources treated]]/WWWW[[#This Row],['#_Water sources tested for contamination]],"no test")</f>
        <v>no test</v>
      </c>
      <c r="BR250" s="648" t="str">
        <f>IFERROR(WWWW[[#This Row],['#_Household received remediation action due to contamination]]/WWWW[[#This Row],['#_Household water samples tested for contamination]],"no test")</f>
        <v>no test</v>
      </c>
      <c r="BS250" s="647" t="str">
        <f>IF(AND(WWWW[[#This Row],[% of water sources treated]]="no test",WWWW[[#This Row],[% Household received corrective actions]]="no test"),"No Test","Tested")</f>
        <v>No Test</v>
      </c>
      <c r="BT250" s="647">
        <f>WWWW[[#This Row],['#_Constructed/existing protected hand dug well]]-WWWW[[#This Row],['#_Non-functional protected hand dug well]]</f>
        <v>0</v>
      </c>
      <c r="BU250" s="647">
        <f>(WWWW[[#This Row],['#_Constructed/Existing tube wells/boreholes/handpumps_WASH_agency]]+WWWW[[#This Row],['#_Non-Cluster partner water tube-wells/boreholes/handpumps]])-WWWW[[#This Row],['#_Non-functional tube wells/boreholes/handpumps]]</f>
        <v>0</v>
      </c>
      <c r="BV250" s="647">
        <f>WWWW[[#This Row],['#_Constructed/Existingwater storage tank with gravity fed reticulation system]]-WWWW[[#This Row],['#_Non-functional storage tank gravity fed reticulation system]]</f>
        <v>0</v>
      </c>
      <c r="BW250" s="647">
        <f>WWWW[[#This Row],['#_Water boating or water trucking]]</f>
        <v>0</v>
      </c>
      <c r="BX250" s="647">
        <f>WWWW[[#This Row],['#_Constructed/Existing water distribution system from river or natural spring]]</f>
        <v>0</v>
      </c>
      <c r="BY250"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50"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50" s="648">
        <f>IF(WWWW[[#This Row],[Location Type 1]]="Village",WWWW[[#This Row],[Access to safe drinking water for Village]],WWWW[[#This Row],[Access to safe drinking water for Camp]])</f>
        <v>0</v>
      </c>
      <c r="CB250" s="645">
        <f>WWWW[[#This Row],[%Equitable and continuous access to sufficient quantity of safe drinking water]]*WWWW[[#This Row],[Total PoP ]]</f>
        <v>0</v>
      </c>
      <c r="CC250" s="648">
        <f>IF((WWWW[[#This Row],['#_Constructed/Existing protected/fenced ponds]]*250)/WWWW[[#This Row],[Total PoP ]]&gt;1,1,(WWWW[[#This Row],['#_Constructed/Existing protected/fenced ponds]]*250)/WWWW[[#This Row],[Total PoP ]])</f>
        <v>0</v>
      </c>
      <c r="CD250" s="645">
        <f>WWWW[[#This Row],[% Access to unimproved water points]]*WWWW[[#This Row],[Total PoP ]]</f>
        <v>0</v>
      </c>
      <c r="CE250"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50"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50" s="645">
        <f>WWWW[[#This Row],[HRP1]]/500</f>
        <v>0</v>
      </c>
      <c r="CH250" s="650">
        <f>1-WWWW[[#This Row],[% Equitable and continuous access to sufficient quantity of domestic water]]</f>
        <v>1</v>
      </c>
      <c r="CI250" s="645">
        <f>WWWW[[#This Row],[%equitable and continuous access to sufficient quantity of safe drinking and domestic water''s GAP]]*WWWW[[#This Row],[Total PoP ]]</f>
        <v>978</v>
      </c>
      <c r="CJ250" s="647">
        <f>IF(WWWW[[#This Row],[Total required water points]]-WWWW[[#This Row],['#Water points coverage]]&lt;0,0,WWWW[[#This Row],[Total required water points]]-WWWW[[#This Row],['#Water points coverage]])</f>
        <v>2</v>
      </c>
      <c r="CK250" s="647">
        <f>ROUND(IF(WWWW[[#This Row],[Total PoP ]]&lt;500,1,WWWW[[#This Row],[Total PoP ]]/500),0)</f>
        <v>2</v>
      </c>
      <c r="CL250" s="647">
        <f>(WWWW[[#This Row],['#_Constructed latrines_by_WASHAgencies]]+WWWW[[#This Row],['#_Non Cluster partner latrines]])-WWWW[[#This Row],['#_Non-functional latrines]]</f>
        <v>0</v>
      </c>
      <c r="CM250"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50"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50"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50" s="647" t="str">
        <f>IF(WWWW[[#This Row],[Location Type 1]]="Village","NA",IF(WWWW[[#This Row],['#_Constructed/Existing latrines in TLS]]*50&gt;WWWW[[#This Row],['#_students at TLS_CFS]],WWWW[[#This Row],['#_students at TLS_CFS]],(WWWW[[#This Row],['#_Constructed/Existing latrines in TLS]]*50)))</f>
        <v>NA</v>
      </c>
      <c r="CQ250" s="647">
        <f>ROUND(IF(WWWW[[#This Row],[Location Type 1]]="camp",WWWW[[#This Row],[Total PoP ]]/20,IF(WWWW[[#This Row],[Location Type 1]]="Temporary Location",WWWW[[#This Row],[Total PoP ]]/50,(WWWW[[#This Row],[Total PoP ]]/6))),0)</f>
        <v>163</v>
      </c>
      <c r="CR250" s="647">
        <f>IF(WWWW[[#This Row],[Total required Latrines]]-(WWWW[[#This Row],['#_Constructed latrines_by_WASHAgencies]]+WWWW[[#This Row],['#_Non Cluster partner latrines]])&lt;0,0,WWWW[[#This Row],[Total required Latrines]]-(WWWW[[#This Row],['#_Constructed latrines_by_WASHAgencies]]+WWWW[[#This Row],['#_Non Cluster partner latrines]]))</f>
        <v>163</v>
      </c>
      <c r="CS250" s="79">
        <f>1-WWWW[[#This Row],[% people access to functioning Latrine]]</f>
        <v>1</v>
      </c>
      <c r="CT250" s="649">
        <f>IF(OR(WWWW[[#This Row],['#_Non-functional latrines]]="",WWWW[[#This Row],['#_Non-functional latrines]]=0),0,WWWW[[#This Row],['#_Non-functional latrines]]/(WWWW[[#This Row],['#_Constructed latrines_by_WASHAgencies]]+WWWW[[#This Row],['#_Non Cluster partner latrines]]))</f>
        <v>0</v>
      </c>
      <c r="CU250" s="645">
        <f>IF(500*(WWWW[[#This Row],['#_male hygiene promoters]]+WWWW[[#This Row],['#_female hygiene promoters]])&gt;WWWW[[#This Row],[Total PoP ]],WWWW[[#This Row],[Total PoP ]],500*(WWWW[[#This Row],['#_male hygiene promoters]]+WWWW[[#This Row],['#_female hygiene promoters]]))</f>
        <v>0</v>
      </c>
      <c r="CV250"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50"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50" s="647">
        <f>IF(WWWW[[#This Row],['# People with access to soap]]&gt;WWWW[[#This Row],['# People with access to Sanity Pads]],WWWW[[#This Row],['# People with access to soap]],WWWW[[#This Row],['# People with access to Sanity Pads]])</f>
        <v>0</v>
      </c>
      <c r="CY250"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50" s="650">
        <f>IF(WWWW[[#This Row],[HRP3]]/WWWW[[#This Row],[Total PoP ]]&gt;100%,100%,WWWW[[#This Row],[HRP3]]/WWWW[[#This Row],[Total PoP ]])</f>
        <v>0</v>
      </c>
      <c r="DA250" s="649">
        <f>1-WWWW[[#This Row],[Hygiene Coverage%]]</f>
        <v>1</v>
      </c>
      <c r="DB250" s="648">
        <f>WWWW[[#This Row],['# people reached by regular dedicated hygiene promotion_5]]/WWWW[[#This Row],[Total PoP ]]</f>
        <v>0</v>
      </c>
      <c r="DC250" s="648">
        <f>IF(WWWW[[#This Row],['#_households that received standard amount of soap for this quarter]]/WWWW[[#This Row],[Total HH]]&gt;1,1,WWWW[[#This Row],['#_households that received standard amount of soap for this quarter]]/WWWW[[#This Row],[Total HH]])</f>
        <v>0</v>
      </c>
      <c r="DD250" s="648">
        <f>IF(WWWW[[#This Row],['#_households that received standard amount of sanitary pads for this quarter]]/WWWW[[#This Row],[Total HH]]&gt;1,1,WWWW[[#This Row],['#_households that received standard amount of sanitary pads for this quarter]]/WWWW[[#This Row],[Total HH]])</f>
        <v>0</v>
      </c>
      <c r="DE250" s="647">
        <f>WWWW[[#This Row],['#_Constructed/Existing hand washing stations]]-WWWW[[#This Row],['#_Non-Functional_hand_washing_stations]]</f>
        <v>0</v>
      </c>
      <c r="DF250" s="667">
        <f>IF(WWWW[[#This Row],['# Functional hand washing stations during reporting period]]*20&gt;WWWW[[#This Row],[Total HH]],WWWW[[#This Row],[Total HH]],WWWW[[#This Row],['# Functional hand washing stations during reporting period]]*20)</f>
        <v>0</v>
      </c>
      <c r="DG250" s="645">
        <f>IF(WWWW[[#This Row],[Is sufficient soap available for TLS? (Yes/No)]]="yes",WWWW[[#This Row],['#_Constructed/Existing hand washing stations at TLS]],0)</f>
        <v>0</v>
      </c>
      <c r="DH250" s="645">
        <f>IF(WWWW[[#This Row],['# Functional hand washing stations during reporting period]]*100&gt;WWWW[[#This Row],[Total PoP ]],WWWW[[#This Row],[Total PoP ]],WWWW[[#This Row],['# Functional hand washing stations during reporting period]]*100)</f>
        <v>0</v>
      </c>
      <c r="DI250" s="645" t="str">
        <f>IF(WWWW[[#This Row],['#_students at TLS_CFS]]="","No","Yes")</f>
        <v>No</v>
      </c>
      <c r="DJ250" s="643">
        <f>VLOOKUP(WWWW[[#This Row],[Site Name]],SiteDB6[[Site Name]:[CCCM Management]],6,FALSE)</f>
        <v>0</v>
      </c>
      <c r="DK250" s="643">
        <f>VLOOKUP(WWWW[[#This Row],[Site Name]],SiteDB6[[Site Name]:[CCCM Focal Agency]],7,FALSE)</f>
        <v>0</v>
      </c>
      <c r="DL250" s="643" t="str">
        <f>VLOOKUP(WWWW[[#This Row],[Site Name]],SiteDB6[[Site Name]:[Location Type 1]],9,FALSE)</f>
        <v>Village</v>
      </c>
      <c r="DM250" s="643" t="str">
        <f>VLOOKUP(WWWW[[#This Row],[Site Name]],SiteDB6[[Site Name]:[Type of Accommodation]],10,FALSE)</f>
        <v>Village</v>
      </c>
      <c r="DN250" s="643">
        <f>VLOOKUP(WWWW[[#This Row],[Site Name]],SiteDB6[[Site Name]:[Ethnic or GCA/NGCA]],11,FALSE)</f>
        <v>0</v>
      </c>
      <c r="DO250" s="643">
        <f>VLOOKUP(WWWW[[#This Row],[Site Name]],SiteDB6[[Site Name]:[Lat]],12,FALSE)</f>
        <v>20.2630290985107</v>
      </c>
      <c r="DP250" s="643">
        <f>VLOOKUP(WWWW[[#This Row],[Site Name]],SiteDB6[[Site Name]:[Long]],13,FALSE)</f>
        <v>92.858856201171903</v>
      </c>
      <c r="DQ250" s="643">
        <f>VLOOKUP(WWWW[[#This Row],[Site Name]],SiteDB6[[Site Name]:[Pcode]],3,FALSE)</f>
        <v>196166</v>
      </c>
      <c r="DR250" s="652" t="str">
        <f t="shared" si="8"/>
        <v>Covered</v>
      </c>
      <c r="DS250" s="652"/>
    </row>
    <row r="251" spans="1:123">
      <c r="A251" s="637" t="s">
        <v>2525</v>
      </c>
      <c r="B251" s="637" t="s">
        <v>332</v>
      </c>
      <c r="C251" s="644" t="s">
        <v>332</v>
      </c>
      <c r="D251" s="644" t="s">
        <v>325</v>
      </c>
      <c r="E251" s="663" t="s">
        <v>3014</v>
      </c>
      <c r="F251" s="644" t="s">
        <v>313</v>
      </c>
      <c r="G251" s="663" t="str">
        <f>VLOOKUP(WWWW[[#This Row],[Site Name]],SiteDB6[[Site Name]:[Location Type]],8,FALSE)</f>
        <v>Village</v>
      </c>
      <c r="H251" s="644" t="s">
        <v>2891</v>
      </c>
      <c r="I251" s="646">
        <v>147</v>
      </c>
      <c r="J251" s="646">
        <v>741</v>
      </c>
      <c r="K251" s="653">
        <v>42736</v>
      </c>
      <c r="L251" s="654">
        <v>44551</v>
      </c>
      <c r="M251" s="646"/>
      <c r="N251" s="646"/>
      <c r="O251" s="646"/>
      <c r="P251" s="646"/>
      <c r="Q251" s="645"/>
      <c r="R251" s="646"/>
      <c r="S251" s="646"/>
      <c r="T251" s="646"/>
      <c r="U251" s="646"/>
      <c r="V251" s="646"/>
      <c r="W251" s="646"/>
      <c r="X251" s="646"/>
      <c r="Y251" s="646"/>
      <c r="Z251" s="646"/>
      <c r="AA251" s="646"/>
      <c r="AB251" s="646"/>
      <c r="AC251" s="646"/>
      <c r="AD251" s="646"/>
      <c r="AE251" s="646"/>
      <c r="AF251" s="646"/>
      <c r="AG251" s="646"/>
      <c r="AH251" s="646"/>
      <c r="AI251" s="646"/>
      <c r="AJ251" s="646"/>
      <c r="AK251" s="646"/>
      <c r="AL251" s="646"/>
      <c r="AM251" s="646"/>
      <c r="AN251" s="646"/>
      <c r="AO251" s="652"/>
      <c r="AP251" s="646"/>
      <c r="AQ251" s="646"/>
      <c r="AR251" s="648"/>
      <c r="AS251" s="646"/>
      <c r="AT251" s="646"/>
      <c r="AU251" s="646"/>
      <c r="AV251" s="646"/>
      <c r="AW251" s="646"/>
      <c r="AX251" s="643"/>
      <c r="AY251" s="652"/>
      <c r="AZ251" s="646"/>
      <c r="BA251" s="646"/>
      <c r="BB251" s="646"/>
      <c r="BC251" s="643"/>
      <c r="BD251" s="646"/>
      <c r="BE251" s="646"/>
      <c r="BF251" s="646"/>
      <c r="BG251" s="646"/>
      <c r="BH251" s="646"/>
      <c r="BI251" s="646"/>
      <c r="BJ251" s="646"/>
      <c r="BK251" s="646"/>
      <c r="BL251" s="646"/>
      <c r="BM251" s="643"/>
      <c r="BN251" s="647"/>
      <c r="BO251" s="648"/>
      <c r="BP251" s="643"/>
      <c r="BQ251" s="649" t="str">
        <f>IFERROR(WWWW[[#This Row],['#_Water sources treated]]/WWWW[[#This Row],['#_Water sources tested for contamination]],"no test")</f>
        <v>no test</v>
      </c>
      <c r="BR251" s="648" t="str">
        <f>IFERROR(WWWW[[#This Row],['#_Household received remediation action due to contamination]]/WWWW[[#This Row],['#_Household water samples tested for contamination]],"no test")</f>
        <v>no test</v>
      </c>
      <c r="BS251" s="647" t="str">
        <f>IF(AND(WWWW[[#This Row],[% of water sources treated]]="no test",WWWW[[#This Row],[% Household received corrective actions]]="no test"),"No Test","Tested")</f>
        <v>No Test</v>
      </c>
      <c r="BT251" s="647">
        <f>WWWW[[#This Row],['#_Constructed/existing protected hand dug well]]-WWWW[[#This Row],['#_Non-functional protected hand dug well]]</f>
        <v>0</v>
      </c>
      <c r="BU251" s="647">
        <f>(WWWW[[#This Row],['#_Constructed/Existing tube wells/boreholes/handpumps_WASH_agency]]+WWWW[[#This Row],['#_Non-Cluster partner water tube-wells/boreholes/handpumps]])-WWWW[[#This Row],['#_Non-functional tube wells/boreholes/handpumps]]</f>
        <v>0</v>
      </c>
      <c r="BV251" s="647">
        <f>WWWW[[#This Row],['#_Constructed/Existingwater storage tank with gravity fed reticulation system]]-WWWW[[#This Row],['#_Non-functional storage tank gravity fed reticulation system]]</f>
        <v>0</v>
      </c>
      <c r="BW251" s="647">
        <f>WWWW[[#This Row],['#_Water boating or water trucking]]</f>
        <v>0</v>
      </c>
      <c r="BX251" s="647">
        <f>WWWW[[#This Row],['#_Constructed/Existing water distribution system from river or natural spring]]</f>
        <v>0</v>
      </c>
      <c r="BY251"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51"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51" s="648">
        <f>IF(WWWW[[#This Row],[Location Type 1]]="Village",WWWW[[#This Row],[Access to safe drinking water for Village]],WWWW[[#This Row],[Access to safe drinking water for Camp]])</f>
        <v>0</v>
      </c>
      <c r="CB251" s="645">
        <f>WWWW[[#This Row],[%Equitable and continuous access to sufficient quantity of safe drinking water]]*WWWW[[#This Row],[Total PoP ]]</f>
        <v>0</v>
      </c>
      <c r="CC251" s="648">
        <f>IF((WWWW[[#This Row],['#_Constructed/Existing protected/fenced ponds]]*250)/WWWW[[#This Row],[Total PoP ]]&gt;1,1,(WWWW[[#This Row],['#_Constructed/Existing protected/fenced ponds]]*250)/WWWW[[#This Row],[Total PoP ]])</f>
        <v>0</v>
      </c>
      <c r="CD251" s="645">
        <f>WWWW[[#This Row],[% Access to unimproved water points]]*WWWW[[#This Row],[Total PoP ]]</f>
        <v>0</v>
      </c>
      <c r="CE251"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51"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51" s="645">
        <f>WWWW[[#This Row],[HRP1]]/500</f>
        <v>0</v>
      </c>
      <c r="CH251" s="650">
        <f>1-WWWW[[#This Row],[% Equitable and continuous access to sufficient quantity of domestic water]]</f>
        <v>1</v>
      </c>
      <c r="CI251" s="645">
        <f>WWWW[[#This Row],[%equitable and continuous access to sufficient quantity of safe drinking and domestic water''s GAP]]*WWWW[[#This Row],[Total PoP ]]</f>
        <v>741</v>
      </c>
      <c r="CJ251" s="647">
        <f>IF(WWWW[[#This Row],[Total required water points]]-WWWW[[#This Row],['#Water points coverage]]&lt;0,0,WWWW[[#This Row],[Total required water points]]-WWWW[[#This Row],['#Water points coverage]])</f>
        <v>1</v>
      </c>
      <c r="CK251" s="647">
        <f>ROUND(IF(WWWW[[#This Row],[Total PoP ]]&lt;500,1,WWWW[[#This Row],[Total PoP ]]/500),0)</f>
        <v>1</v>
      </c>
      <c r="CL251" s="647">
        <f>(WWWW[[#This Row],['#_Constructed latrines_by_WASHAgencies]]+WWWW[[#This Row],['#_Non Cluster partner latrines]])-WWWW[[#This Row],['#_Non-functional latrines]]</f>
        <v>0</v>
      </c>
      <c r="CM251"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51"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51"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51" s="647" t="str">
        <f>IF(WWWW[[#This Row],[Location Type 1]]="Village","NA",IF(WWWW[[#This Row],['#_Constructed/Existing latrines in TLS]]*50&gt;WWWW[[#This Row],['#_students at TLS_CFS]],WWWW[[#This Row],['#_students at TLS_CFS]],(WWWW[[#This Row],['#_Constructed/Existing latrines in TLS]]*50)))</f>
        <v>NA</v>
      </c>
      <c r="CQ251" s="647">
        <f>ROUND(IF(WWWW[[#This Row],[Location Type 1]]="camp",WWWW[[#This Row],[Total PoP ]]/20,IF(WWWW[[#This Row],[Location Type 1]]="Temporary Location",WWWW[[#This Row],[Total PoP ]]/50,(WWWW[[#This Row],[Total PoP ]]/6))),0)</f>
        <v>124</v>
      </c>
      <c r="CR251" s="647">
        <f>IF(WWWW[[#This Row],[Total required Latrines]]-(WWWW[[#This Row],['#_Constructed latrines_by_WASHAgencies]]+WWWW[[#This Row],['#_Non Cluster partner latrines]])&lt;0,0,WWWW[[#This Row],[Total required Latrines]]-(WWWW[[#This Row],['#_Constructed latrines_by_WASHAgencies]]+WWWW[[#This Row],['#_Non Cluster partner latrines]]))</f>
        <v>124</v>
      </c>
      <c r="CS251" s="79">
        <f>1-WWWW[[#This Row],[% people access to functioning Latrine]]</f>
        <v>1</v>
      </c>
      <c r="CT251" s="649">
        <f>IF(OR(WWWW[[#This Row],['#_Non-functional latrines]]="",WWWW[[#This Row],['#_Non-functional latrines]]=0),0,WWWW[[#This Row],['#_Non-functional latrines]]/(WWWW[[#This Row],['#_Constructed latrines_by_WASHAgencies]]+WWWW[[#This Row],['#_Non Cluster partner latrines]]))</f>
        <v>0</v>
      </c>
      <c r="CU251" s="645">
        <f>IF(500*(WWWW[[#This Row],['#_male hygiene promoters]]+WWWW[[#This Row],['#_female hygiene promoters]])&gt;WWWW[[#This Row],[Total PoP ]],WWWW[[#This Row],[Total PoP ]],500*(WWWW[[#This Row],['#_male hygiene promoters]]+WWWW[[#This Row],['#_female hygiene promoters]]))</f>
        <v>0</v>
      </c>
      <c r="CV251"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51"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51" s="647">
        <f>IF(WWWW[[#This Row],['# People with access to soap]]&gt;WWWW[[#This Row],['# People with access to Sanity Pads]],WWWW[[#This Row],['# People with access to soap]],WWWW[[#This Row],['# People with access to Sanity Pads]])</f>
        <v>0</v>
      </c>
      <c r="CY251"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51" s="650">
        <f>IF(WWWW[[#This Row],[HRP3]]/WWWW[[#This Row],[Total PoP ]]&gt;100%,100%,WWWW[[#This Row],[HRP3]]/WWWW[[#This Row],[Total PoP ]])</f>
        <v>0</v>
      </c>
      <c r="DA251" s="649">
        <f>1-WWWW[[#This Row],[Hygiene Coverage%]]</f>
        <v>1</v>
      </c>
      <c r="DB251" s="648">
        <f>WWWW[[#This Row],['# people reached by regular dedicated hygiene promotion_5]]/WWWW[[#This Row],[Total PoP ]]</f>
        <v>0</v>
      </c>
      <c r="DC251" s="648">
        <f>IF(WWWW[[#This Row],['#_households that received standard amount of soap for this quarter]]/WWWW[[#This Row],[Total HH]]&gt;1,1,WWWW[[#This Row],['#_households that received standard amount of soap for this quarter]]/WWWW[[#This Row],[Total HH]])</f>
        <v>0</v>
      </c>
      <c r="DD251" s="648">
        <f>IF(WWWW[[#This Row],['#_households that received standard amount of sanitary pads for this quarter]]/WWWW[[#This Row],[Total HH]]&gt;1,1,WWWW[[#This Row],['#_households that received standard amount of sanitary pads for this quarter]]/WWWW[[#This Row],[Total HH]])</f>
        <v>0</v>
      </c>
      <c r="DE251" s="647">
        <f>WWWW[[#This Row],['#_Constructed/Existing hand washing stations]]-WWWW[[#This Row],['#_Non-Functional_hand_washing_stations]]</f>
        <v>0</v>
      </c>
      <c r="DF251" s="667">
        <f>IF(WWWW[[#This Row],['# Functional hand washing stations during reporting period]]*20&gt;WWWW[[#This Row],[Total HH]],WWWW[[#This Row],[Total HH]],WWWW[[#This Row],['# Functional hand washing stations during reporting period]]*20)</f>
        <v>0</v>
      </c>
      <c r="DG251" s="645">
        <f>IF(WWWW[[#This Row],[Is sufficient soap available for TLS? (Yes/No)]]="yes",WWWW[[#This Row],['#_Constructed/Existing hand washing stations at TLS]],0)</f>
        <v>0</v>
      </c>
      <c r="DH251" s="645">
        <f>IF(WWWW[[#This Row],['# Functional hand washing stations during reporting period]]*100&gt;WWWW[[#This Row],[Total PoP ]],WWWW[[#This Row],[Total PoP ]],WWWW[[#This Row],['# Functional hand washing stations during reporting period]]*100)</f>
        <v>0</v>
      </c>
      <c r="DI251" s="645" t="str">
        <f>IF(WWWW[[#This Row],['#_students at TLS_CFS]]="","No","Yes")</f>
        <v>No</v>
      </c>
      <c r="DJ251" s="643">
        <f>VLOOKUP(WWWW[[#This Row],[Site Name]],SiteDB6[[Site Name]:[CCCM Management]],6,FALSE)</f>
        <v>0</v>
      </c>
      <c r="DK251" s="643">
        <f>VLOOKUP(WWWW[[#This Row],[Site Name]],SiteDB6[[Site Name]:[CCCM Focal Agency]],7,FALSE)</f>
        <v>0</v>
      </c>
      <c r="DL251" s="643" t="str">
        <f>VLOOKUP(WWWW[[#This Row],[Site Name]],SiteDB6[[Site Name]:[Location Type 1]],9,FALSE)</f>
        <v>Village</v>
      </c>
      <c r="DM251" s="643" t="str">
        <f>VLOOKUP(WWWW[[#This Row],[Site Name]],SiteDB6[[Site Name]:[Type of Accommodation]],10,FALSE)</f>
        <v>Village</v>
      </c>
      <c r="DN251" s="643">
        <f>VLOOKUP(WWWW[[#This Row],[Site Name]],SiteDB6[[Site Name]:[Ethnic or GCA/NGCA]],11,FALSE)</f>
        <v>0</v>
      </c>
      <c r="DO251" s="643">
        <f>VLOOKUP(WWWW[[#This Row],[Site Name]],SiteDB6[[Site Name]:[Lat]],12,FALSE)</f>
        <v>20.248519897460898</v>
      </c>
      <c r="DP251" s="643">
        <f>VLOOKUP(WWWW[[#This Row],[Site Name]],SiteDB6[[Site Name]:[Long]],13,FALSE)</f>
        <v>92.8621826171875</v>
      </c>
      <c r="DQ251" s="643">
        <f>VLOOKUP(WWWW[[#This Row],[Site Name]],SiteDB6[[Site Name]:[Pcode]],3,FALSE)</f>
        <v>196170</v>
      </c>
      <c r="DR251" s="652" t="str">
        <f t="shared" si="8"/>
        <v>Covered</v>
      </c>
      <c r="DS251" s="652"/>
    </row>
    <row r="252" spans="1:123">
      <c r="A252" s="637" t="s">
        <v>2525</v>
      </c>
      <c r="B252" s="637" t="s">
        <v>332</v>
      </c>
      <c r="C252" s="644" t="s">
        <v>332</v>
      </c>
      <c r="D252" s="644" t="s">
        <v>325</v>
      </c>
      <c r="E252" s="663" t="s">
        <v>3014</v>
      </c>
      <c r="F252" s="644" t="s">
        <v>313</v>
      </c>
      <c r="G252" s="663" t="str">
        <f>VLOOKUP(WWWW[[#This Row],[Site Name]],SiteDB6[[Site Name]:[Location Type]],8,FALSE)</f>
        <v>Village</v>
      </c>
      <c r="H252" s="644" t="s">
        <v>2892</v>
      </c>
      <c r="I252" s="646">
        <v>235</v>
      </c>
      <c r="J252" s="646">
        <v>1117</v>
      </c>
      <c r="K252" s="653">
        <v>42736</v>
      </c>
      <c r="L252" s="654">
        <v>44551</v>
      </c>
      <c r="M252" s="646"/>
      <c r="N252" s="646"/>
      <c r="O252" s="646"/>
      <c r="P252" s="646"/>
      <c r="Q252" s="645"/>
      <c r="R252" s="646"/>
      <c r="S252" s="646"/>
      <c r="T252" s="646"/>
      <c r="U252" s="646"/>
      <c r="V252" s="646"/>
      <c r="W252" s="646"/>
      <c r="X252" s="646"/>
      <c r="Y252" s="646"/>
      <c r="Z252" s="646"/>
      <c r="AA252" s="646"/>
      <c r="AB252" s="646"/>
      <c r="AC252" s="646"/>
      <c r="AD252" s="646"/>
      <c r="AE252" s="646"/>
      <c r="AF252" s="646"/>
      <c r="AG252" s="646"/>
      <c r="AH252" s="646"/>
      <c r="AI252" s="646"/>
      <c r="AJ252" s="646"/>
      <c r="AK252" s="646"/>
      <c r="AL252" s="646"/>
      <c r="AM252" s="646"/>
      <c r="AN252" s="646"/>
      <c r="AO252" s="652"/>
      <c r="AP252" s="646"/>
      <c r="AQ252" s="646"/>
      <c r="AR252" s="648"/>
      <c r="AS252" s="646"/>
      <c r="AT252" s="646"/>
      <c r="AU252" s="646"/>
      <c r="AV252" s="646"/>
      <c r="AW252" s="646"/>
      <c r="AX252" s="643"/>
      <c r="AY252" s="652"/>
      <c r="AZ252" s="646"/>
      <c r="BA252" s="646"/>
      <c r="BB252" s="646"/>
      <c r="BC252" s="643"/>
      <c r="BD252" s="646"/>
      <c r="BE252" s="646"/>
      <c r="BF252" s="646"/>
      <c r="BG252" s="646"/>
      <c r="BH252" s="646"/>
      <c r="BI252" s="646"/>
      <c r="BJ252" s="646"/>
      <c r="BK252" s="646"/>
      <c r="BL252" s="646"/>
      <c r="BM252" s="643"/>
      <c r="BN252" s="647"/>
      <c r="BO252" s="648"/>
      <c r="BP252" s="643"/>
      <c r="BQ252" s="649" t="str">
        <f>IFERROR(WWWW[[#This Row],['#_Water sources treated]]/WWWW[[#This Row],['#_Water sources tested for contamination]],"no test")</f>
        <v>no test</v>
      </c>
      <c r="BR252" s="648" t="str">
        <f>IFERROR(WWWW[[#This Row],['#_Household received remediation action due to contamination]]/WWWW[[#This Row],['#_Household water samples tested for contamination]],"no test")</f>
        <v>no test</v>
      </c>
      <c r="BS252" s="647" t="str">
        <f>IF(AND(WWWW[[#This Row],[% of water sources treated]]="no test",WWWW[[#This Row],[% Household received corrective actions]]="no test"),"No Test","Tested")</f>
        <v>No Test</v>
      </c>
      <c r="BT252" s="647">
        <f>WWWW[[#This Row],['#_Constructed/existing protected hand dug well]]-WWWW[[#This Row],['#_Non-functional protected hand dug well]]</f>
        <v>0</v>
      </c>
      <c r="BU252" s="647">
        <f>(WWWW[[#This Row],['#_Constructed/Existing tube wells/boreholes/handpumps_WASH_agency]]+WWWW[[#This Row],['#_Non-Cluster partner water tube-wells/boreholes/handpumps]])-WWWW[[#This Row],['#_Non-functional tube wells/boreholes/handpumps]]</f>
        <v>0</v>
      </c>
      <c r="BV252" s="647">
        <f>WWWW[[#This Row],['#_Constructed/Existingwater storage tank with gravity fed reticulation system]]-WWWW[[#This Row],['#_Non-functional storage tank gravity fed reticulation system]]</f>
        <v>0</v>
      </c>
      <c r="BW252" s="647">
        <f>WWWW[[#This Row],['#_Water boating or water trucking]]</f>
        <v>0</v>
      </c>
      <c r="BX252" s="647">
        <f>WWWW[[#This Row],['#_Constructed/Existing water distribution system from river or natural spring]]</f>
        <v>0</v>
      </c>
      <c r="BY252"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52"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52" s="648">
        <f>IF(WWWW[[#This Row],[Location Type 1]]="Village",WWWW[[#This Row],[Access to safe drinking water for Village]],WWWW[[#This Row],[Access to safe drinking water for Camp]])</f>
        <v>0</v>
      </c>
      <c r="CB252" s="645">
        <f>WWWW[[#This Row],[%Equitable and continuous access to sufficient quantity of safe drinking water]]*WWWW[[#This Row],[Total PoP ]]</f>
        <v>0</v>
      </c>
      <c r="CC252" s="648">
        <f>IF((WWWW[[#This Row],['#_Constructed/Existing protected/fenced ponds]]*250)/WWWW[[#This Row],[Total PoP ]]&gt;1,1,(WWWW[[#This Row],['#_Constructed/Existing protected/fenced ponds]]*250)/WWWW[[#This Row],[Total PoP ]])</f>
        <v>0</v>
      </c>
      <c r="CD252" s="645">
        <f>WWWW[[#This Row],[% Access to unimproved water points]]*WWWW[[#This Row],[Total PoP ]]</f>
        <v>0</v>
      </c>
      <c r="CE252"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52"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52" s="645">
        <f>WWWW[[#This Row],[HRP1]]/500</f>
        <v>0</v>
      </c>
      <c r="CH252" s="650">
        <f>1-WWWW[[#This Row],[% Equitable and continuous access to sufficient quantity of domestic water]]</f>
        <v>1</v>
      </c>
      <c r="CI252" s="645">
        <f>WWWW[[#This Row],[%equitable and continuous access to sufficient quantity of safe drinking and domestic water''s GAP]]*WWWW[[#This Row],[Total PoP ]]</f>
        <v>1117</v>
      </c>
      <c r="CJ252" s="647">
        <f>IF(WWWW[[#This Row],[Total required water points]]-WWWW[[#This Row],['#Water points coverage]]&lt;0,0,WWWW[[#This Row],[Total required water points]]-WWWW[[#This Row],['#Water points coverage]])</f>
        <v>2</v>
      </c>
      <c r="CK252" s="647">
        <f>ROUND(IF(WWWW[[#This Row],[Total PoP ]]&lt;500,1,WWWW[[#This Row],[Total PoP ]]/500),0)</f>
        <v>2</v>
      </c>
      <c r="CL252" s="647">
        <f>(WWWW[[#This Row],['#_Constructed latrines_by_WASHAgencies]]+WWWW[[#This Row],['#_Non Cluster partner latrines]])-WWWW[[#This Row],['#_Non-functional latrines]]</f>
        <v>0</v>
      </c>
      <c r="CM252"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52"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52"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52" s="647" t="str">
        <f>IF(WWWW[[#This Row],[Location Type 1]]="Village","NA",IF(WWWW[[#This Row],['#_Constructed/Existing latrines in TLS]]*50&gt;WWWW[[#This Row],['#_students at TLS_CFS]],WWWW[[#This Row],['#_students at TLS_CFS]],(WWWW[[#This Row],['#_Constructed/Existing latrines in TLS]]*50)))</f>
        <v>NA</v>
      </c>
      <c r="CQ252" s="647">
        <f>ROUND(IF(WWWW[[#This Row],[Location Type 1]]="camp",WWWW[[#This Row],[Total PoP ]]/20,IF(WWWW[[#This Row],[Location Type 1]]="Temporary Location",WWWW[[#This Row],[Total PoP ]]/50,(WWWW[[#This Row],[Total PoP ]]/6))),0)</f>
        <v>186</v>
      </c>
      <c r="CR252" s="647">
        <f>IF(WWWW[[#This Row],[Total required Latrines]]-(WWWW[[#This Row],['#_Constructed latrines_by_WASHAgencies]]+WWWW[[#This Row],['#_Non Cluster partner latrines]])&lt;0,0,WWWW[[#This Row],[Total required Latrines]]-(WWWW[[#This Row],['#_Constructed latrines_by_WASHAgencies]]+WWWW[[#This Row],['#_Non Cluster partner latrines]]))</f>
        <v>186</v>
      </c>
      <c r="CS252" s="79">
        <f>1-WWWW[[#This Row],[% people access to functioning Latrine]]</f>
        <v>1</v>
      </c>
      <c r="CT252" s="649">
        <f>IF(OR(WWWW[[#This Row],['#_Non-functional latrines]]="",WWWW[[#This Row],['#_Non-functional latrines]]=0),0,WWWW[[#This Row],['#_Non-functional latrines]]/(WWWW[[#This Row],['#_Constructed latrines_by_WASHAgencies]]+WWWW[[#This Row],['#_Non Cluster partner latrines]]))</f>
        <v>0</v>
      </c>
      <c r="CU252" s="645">
        <f>IF(500*(WWWW[[#This Row],['#_male hygiene promoters]]+WWWW[[#This Row],['#_female hygiene promoters]])&gt;WWWW[[#This Row],[Total PoP ]],WWWW[[#This Row],[Total PoP ]],500*(WWWW[[#This Row],['#_male hygiene promoters]]+WWWW[[#This Row],['#_female hygiene promoters]]))</f>
        <v>0</v>
      </c>
      <c r="CV252"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52"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52" s="647">
        <f>IF(WWWW[[#This Row],['# People with access to soap]]&gt;WWWW[[#This Row],['# People with access to Sanity Pads]],WWWW[[#This Row],['# People with access to soap]],WWWW[[#This Row],['# People with access to Sanity Pads]])</f>
        <v>0</v>
      </c>
      <c r="CY252"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52" s="650">
        <f>IF(WWWW[[#This Row],[HRP3]]/WWWW[[#This Row],[Total PoP ]]&gt;100%,100%,WWWW[[#This Row],[HRP3]]/WWWW[[#This Row],[Total PoP ]])</f>
        <v>0</v>
      </c>
      <c r="DA252" s="649">
        <f>1-WWWW[[#This Row],[Hygiene Coverage%]]</f>
        <v>1</v>
      </c>
      <c r="DB252" s="648">
        <f>WWWW[[#This Row],['# people reached by regular dedicated hygiene promotion_5]]/WWWW[[#This Row],[Total PoP ]]</f>
        <v>0</v>
      </c>
      <c r="DC252" s="648">
        <f>IF(WWWW[[#This Row],['#_households that received standard amount of soap for this quarter]]/WWWW[[#This Row],[Total HH]]&gt;1,1,WWWW[[#This Row],['#_households that received standard amount of soap for this quarter]]/WWWW[[#This Row],[Total HH]])</f>
        <v>0</v>
      </c>
      <c r="DD252" s="648">
        <f>IF(WWWW[[#This Row],['#_households that received standard amount of sanitary pads for this quarter]]/WWWW[[#This Row],[Total HH]]&gt;1,1,WWWW[[#This Row],['#_households that received standard amount of sanitary pads for this quarter]]/WWWW[[#This Row],[Total HH]])</f>
        <v>0</v>
      </c>
      <c r="DE252" s="647">
        <f>WWWW[[#This Row],['#_Constructed/Existing hand washing stations]]-WWWW[[#This Row],['#_Non-Functional_hand_washing_stations]]</f>
        <v>0</v>
      </c>
      <c r="DF252" s="667">
        <f>IF(WWWW[[#This Row],['# Functional hand washing stations during reporting period]]*20&gt;WWWW[[#This Row],[Total HH]],WWWW[[#This Row],[Total HH]],WWWW[[#This Row],['# Functional hand washing stations during reporting period]]*20)</f>
        <v>0</v>
      </c>
      <c r="DG252" s="645">
        <f>IF(WWWW[[#This Row],[Is sufficient soap available for TLS? (Yes/No)]]="yes",WWWW[[#This Row],['#_Constructed/Existing hand washing stations at TLS]],0)</f>
        <v>0</v>
      </c>
      <c r="DH252" s="645">
        <f>IF(WWWW[[#This Row],['# Functional hand washing stations during reporting period]]*100&gt;WWWW[[#This Row],[Total PoP ]],WWWW[[#This Row],[Total PoP ]],WWWW[[#This Row],['# Functional hand washing stations during reporting period]]*100)</f>
        <v>0</v>
      </c>
      <c r="DI252" s="645" t="str">
        <f>IF(WWWW[[#This Row],['#_students at TLS_CFS]]="","No","Yes")</f>
        <v>No</v>
      </c>
      <c r="DJ252" s="643">
        <f>VLOOKUP(WWWW[[#This Row],[Site Name]],SiteDB6[[Site Name]:[CCCM Management]],6,FALSE)</f>
        <v>0</v>
      </c>
      <c r="DK252" s="643">
        <f>VLOOKUP(WWWW[[#This Row],[Site Name]],SiteDB6[[Site Name]:[CCCM Focal Agency]],7,FALSE)</f>
        <v>0</v>
      </c>
      <c r="DL252" s="643" t="str">
        <f>VLOOKUP(WWWW[[#This Row],[Site Name]],SiteDB6[[Site Name]:[Location Type 1]],9,FALSE)</f>
        <v>Village</v>
      </c>
      <c r="DM252" s="643" t="str">
        <f>VLOOKUP(WWWW[[#This Row],[Site Name]],SiteDB6[[Site Name]:[Type of Accommodation]],10,FALSE)</f>
        <v>Village</v>
      </c>
      <c r="DN252" s="643">
        <f>VLOOKUP(WWWW[[#This Row],[Site Name]],SiteDB6[[Site Name]:[Ethnic or GCA/NGCA]],11,FALSE)</f>
        <v>0</v>
      </c>
      <c r="DO252" s="643">
        <f>VLOOKUP(WWWW[[#This Row],[Site Name]],SiteDB6[[Site Name]:[Lat]],12,FALSE)</f>
        <v>20.2375602722168</v>
      </c>
      <c r="DP252" s="643">
        <f>VLOOKUP(WWWW[[#This Row],[Site Name]],SiteDB6[[Site Name]:[Long]],13,FALSE)</f>
        <v>92.861152648925795</v>
      </c>
      <c r="DQ252" s="643">
        <f>VLOOKUP(WWWW[[#This Row],[Site Name]],SiteDB6[[Site Name]:[Pcode]],3,FALSE)</f>
        <v>196169</v>
      </c>
      <c r="DR252" s="652" t="str">
        <f t="shared" si="8"/>
        <v>Covered</v>
      </c>
      <c r="DS252" s="652"/>
    </row>
    <row r="253" spans="1:123">
      <c r="A253" s="637" t="s">
        <v>2525</v>
      </c>
      <c r="B253" s="637" t="s">
        <v>332</v>
      </c>
      <c r="C253" s="644" t="s">
        <v>332</v>
      </c>
      <c r="D253" s="644" t="s">
        <v>325</v>
      </c>
      <c r="E253" s="663" t="s">
        <v>3014</v>
      </c>
      <c r="F253" s="644" t="s">
        <v>313</v>
      </c>
      <c r="G253" s="663" t="str">
        <f>VLOOKUP(WWWW[[#This Row],[Site Name]],SiteDB6[[Site Name]:[Location Type]],8,FALSE)</f>
        <v>Village</v>
      </c>
      <c r="H253" s="644" t="s">
        <v>464</v>
      </c>
      <c r="I253" s="646">
        <v>156</v>
      </c>
      <c r="J253" s="646">
        <v>658</v>
      </c>
      <c r="K253" s="653">
        <v>42736</v>
      </c>
      <c r="L253" s="654">
        <v>44551</v>
      </c>
      <c r="M253" s="646"/>
      <c r="N253" s="646"/>
      <c r="O253" s="646"/>
      <c r="P253" s="646"/>
      <c r="Q253" s="645"/>
      <c r="R253" s="646"/>
      <c r="S253" s="646"/>
      <c r="T253" s="646"/>
      <c r="U253" s="646"/>
      <c r="V253" s="646"/>
      <c r="W253" s="646"/>
      <c r="X253" s="646"/>
      <c r="Y253" s="646"/>
      <c r="Z253" s="646"/>
      <c r="AA253" s="646"/>
      <c r="AB253" s="646"/>
      <c r="AC253" s="646"/>
      <c r="AD253" s="646"/>
      <c r="AE253" s="646"/>
      <c r="AF253" s="646"/>
      <c r="AG253" s="646"/>
      <c r="AH253" s="646"/>
      <c r="AI253" s="646"/>
      <c r="AJ253" s="646"/>
      <c r="AK253" s="646"/>
      <c r="AL253" s="646"/>
      <c r="AM253" s="646"/>
      <c r="AN253" s="646"/>
      <c r="AO253" s="652"/>
      <c r="AP253" s="646"/>
      <c r="AQ253" s="646"/>
      <c r="AR253" s="648"/>
      <c r="AS253" s="646"/>
      <c r="AT253" s="646"/>
      <c r="AU253" s="646"/>
      <c r="AV253" s="646"/>
      <c r="AW253" s="646"/>
      <c r="AX253" s="643"/>
      <c r="AY253" s="652"/>
      <c r="AZ253" s="646"/>
      <c r="BA253" s="646"/>
      <c r="BB253" s="646"/>
      <c r="BC253" s="643"/>
      <c r="BD253" s="646"/>
      <c r="BE253" s="646"/>
      <c r="BF253" s="646"/>
      <c r="BG253" s="646"/>
      <c r="BH253" s="646"/>
      <c r="BI253" s="646"/>
      <c r="BJ253" s="646"/>
      <c r="BK253" s="646"/>
      <c r="BL253" s="646"/>
      <c r="BM253" s="643"/>
      <c r="BN253" s="647"/>
      <c r="BO253" s="648"/>
      <c r="BP253" s="643"/>
      <c r="BQ253" s="649" t="str">
        <f>IFERROR(WWWW[[#This Row],['#_Water sources treated]]/WWWW[[#This Row],['#_Water sources tested for contamination]],"no test")</f>
        <v>no test</v>
      </c>
      <c r="BR253" s="648" t="str">
        <f>IFERROR(WWWW[[#This Row],['#_Household received remediation action due to contamination]]/WWWW[[#This Row],['#_Household water samples tested for contamination]],"no test")</f>
        <v>no test</v>
      </c>
      <c r="BS253" s="647" t="str">
        <f>IF(AND(WWWW[[#This Row],[% of water sources treated]]="no test",WWWW[[#This Row],[% Household received corrective actions]]="no test"),"No Test","Tested")</f>
        <v>No Test</v>
      </c>
      <c r="BT253" s="647">
        <f>WWWW[[#This Row],['#_Constructed/existing protected hand dug well]]-WWWW[[#This Row],['#_Non-functional protected hand dug well]]</f>
        <v>0</v>
      </c>
      <c r="BU253" s="647">
        <f>(WWWW[[#This Row],['#_Constructed/Existing tube wells/boreholes/handpumps_WASH_agency]]+WWWW[[#This Row],['#_Non-Cluster partner water tube-wells/boreholes/handpumps]])-WWWW[[#This Row],['#_Non-functional tube wells/boreholes/handpumps]]</f>
        <v>0</v>
      </c>
      <c r="BV253" s="647">
        <f>WWWW[[#This Row],['#_Constructed/Existingwater storage tank with gravity fed reticulation system]]-WWWW[[#This Row],['#_Non-functional storage tank gravity fed reticulation system]]</f>
        <v>0</v>
      </c>
      <c r="BW253" s="647">
        <f>WWWW[[#This Row],['#_Water boating or water trucking]]</f>
        <v>0</v>
      </c>
      <c r="BX253" s="647">
        <f>WWWW[[#This Row],['#_Constructed/Existing water distribution system from river or natural spring]]</f>
        <v>0</v>
      </c>
      <c r="BY253"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53"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53" s="648">
        <f>IF(WWWW[[#This Row],[Location Type 1]]="Village",WWWW[[#This Row],[Access to safe drinking water for Village]],WWWW[[#This Row],[Access to safe drinking water for Camp]])</f>
        <v>0</v>
      </c>
      <c r="CB253" s="645">
        <f>WWWW[[#This Row],[%Equitable and continuous access to sufficient quantity of safe drinking water]]*WWWW[[#This Row],[Total PoP ]]</f>
        <v>0</v>
      </c>
      <c r="CC253" s="648">
        <f>IF((WWWW[[#This Row],['#_Constructed/Existing protected/fenced ponds]]*250)/WWWW[[#This Row],[Total PoP ]]&gt;1,1,(WWWW[[#This Row],['#_Constructed/Existing protected/fenced ponds]]*250)/WWWW[[#This Row],[Total PoP ]])</f>
        <v>0</v>
      </c>
      <c r="CD253" s="645">
        <f>WWWW[[#This Row],[% Access to unimproved water points]]*WWWW[[#This Row],[Total PoP ]]</f>
        <v>0</v>
      </c>
      <c r="CE253"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53"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53" s="645">
        <f>WWWW[[#This Row],[HRP1]]/500</f>
        <v>0</v>
      </c>
      <c r="CH253" s="650">
        <f>1-WWWW[[#This Row],[% Equitable and continuous access to sufficient quantity of domestic water]]</f>
        <v>1</v>
      </c>
      <c r="CI253" s="645">
        <f>WWWW[[#This Row],[%equitable and continuous access to sufficient quantity of safe drinking and domestic water''s GAP]]*WWWW[[#This Row],[Total PoP ]]</f>
        <v>658</v>
      </c>
      <c r="CJ253" s="647">
        <f>IF(WWWW[[#This Row],[Total required water points]]-WWWW[[#This Row],['#Water points coverage]]&lt;0,0,WWWW[[#This Row],[Total required water points]]-WWWW[[#This Row],['#Water points coverage]])</f>
        <v>1</v>
      </c>
      <c r="CK253" s="647">
        <f>ROUND(IF(WWWW[[#This Row],[Total PoP ]]&lt;500,1,WWWW[[#This Row],[Total PoP ]]/500),0)</f>
        <v>1</v>
      </c>
      <c r="CL253" s="647">
        <f>(WWWW[[#This Row],['#_Constructed latrines_by_WASHAgencies]]+WWWW[[#This Row],['#_Non Cluster partner latrines]])-WWWW[[#This Row],['#_Non-functional latrines]]</f>
        <v>0</v>
      </c>
      <c r="CM253"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53"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53"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53" s="647" t="str">
        <f>IF(WWWW[[#This Row],[Location Type 1]]="Village","NA",IF(WWWW[[#This Row],['#_Constructed/Existing latrines in TLS]]*50&gt;WWWW[[#This Row],['#_students at TLS_CFS]],WWWW[[#This Row],['#_students at TLS_CFS]],(WWWW[[#This Row],['#_Constructed/Existing latrines in TLS]]*50)))</f>
        <v>NA</v>
      </c>
      <c r="CQ253" s="647">
        <f>ROUND(IF(WWWW[[#This Row],[Location Type 1]]="camp",WWWW[[#This Row],[Total PoP ]]/20,IF(WWWW[[#This Row],[Location Type 1]]="Temporary Location",WWWW[[#This Row],[Total PoP ]]/50,(WWWW[[#This Row],[Total PoP ]]/6))),0)</f>
        <v>110</v>
      </c>
      <c r="CR253" s="647">
        <f>IF(WWWW[[#This Row],[Total required Latrines]]-(WWWW[[#This Row],['#_Constructed latrines_by_WASHAgencies]]+WWWW[[#This Row],['#_Non Cluster partner latrines]])&lt;0,0,WWWW[[#This Row],[Total required Latrines]]-(WWWW[[#This Row],['#_Constructed latrines_by_WASHAgencies]]+WWWW[[#This Row],['#_Non Cluster partner latrines]]))</f>
        <v>110</v>
      </c>
      <c r="CS253" s="79">
        <f>1-WWWW[[#This Row],[% people access to functioning Latrine]]</f>
        <v>1</v>
      </c>
      <c r="CT253" s="649">
        <f>IF(OR(WWWW[[#This Row],['#_Non-functional latrines]]="",WWWW[[#This Row],['#_Non-functional latrines]]=0),0,WWWW[[#This Row],['#_Non-functional latrines]]/(WWWW[[#This Row],['#_Constructed latrines_by_WASHAgencies]]+WWWW[[#This Row],['#_Non Cluster partner latrines]]))</f>
        <v>0</v>
      </c>
      <c r="CU253" s="645">
        <f>IF(500*(WWWW[[#This Row],['#_male hygiene promoters]]+WWWW[[#This Row],['#_female hygiene promoters]])&gt;WWWW[[#This Row],[Total PoP ]],WWWW[[#This Row],[Total PoP ]],500*(WWWW[[#This Row],['#_male hygiene promoters]]+WWWW[[#This Row],['#_female hygiene promoters]]))</f>
        <v>0</v>
      </c>
      <c r="CV253"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53"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53" s="647">
        <f>IF(WWWW[[#This Row],['# People with access to soap]]&gt;WWWW[[#This Row],['# People with access to Sanity Pads]],WWWW[[#This Row],['# People with access to soap]],WWWW[[#This Row],['# People with access to Sanity Pads]])</f>
        <v>0</v>
      </c>
      <c r="CY253"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53" s="650">
        <f>IF(WWWW[[#This Row],[HRP3]]/WWWW[[#This Row],[Total PoP ]]&gt;100%,100%,WWWW[[#This Row],[HRP3]]/WWWW[[#This Row],[Total PoP ]])</f>
        <v>0</v>
      </c>
      <c r="DA253" s="649">
        <f>1-WWWW[[#This Row],[Hygiene Coverage%]]</f>
        <v>1</v>
      </c>
      <c r="DB253" s="648">
        <f>WWWW[[#This Row],['# people reached by regular dedicated hygiene promotion_5]]/WWWW[[#This Row],[Total PoP ]]</f>
        <v>0</v>
      </c>
      <c r="DC253" s="648">
        <f>IF(WWWW[[#This Row],['#_households that received standard amount of soap for this quarter]]/WWWW[[#This Row],[Total HH]]&gt;1,1,WWWW[[#This Row],['#_households that received standard amount of soap for this quarter]]/WWWW[[#This Row],[Total HH]])</f>
        <v>0</v>
      </c>
      <c r="DD253" s="648">
        <f>IF(WWWW[[#This Row],['#_households that received standard amount of sanitary pads for this quarter]]/WWWW[[#This Row],[Total HH]]&gt;1,1,WWWW[[#This Row],['#_households that received standard amount of sanitary pads for this quarter]]/WWWW[[#This Row],[Total HH]])</f>
        <v>0</v>
      </c>
      <c r="DE253" s="647">
        <f>WWWW[[#This Row],['#_Constructed/Existing hand washing stations]]-WWWW[[#This Row],['#_Non-Functional_hand_washing_stations]]</f>
        <v>0</v>
      </c>
      <c r="DF253" s="667">
        <f>IF(WWWW[[#This Row],['# Functional hand washing stations during reporting period]]*20&gt;WWWW[[#This Row],[Total HH]],WWWW[[#This Row],[Total HH]],WWWW[[#This Row],['# Functional hand washing stations during reporting period]]*20)</f>
        <v>0</v>
      </c>
      <c r="DG253" s="645">
        <f>IF(WWWW[[#This Row],[Is sufficient soap available for TLS? (Yes/No)]]="yes",WWWW[[#This Row],['#_Constructed/Existing hand washing stations at TLS]],0)</f>
        <v>0</v>
      </c>
      <c r="DH253" s="645">
        <f>IF(WWWW[[#This Row],['# Functional hand washing stations during reporting period]]*100&gt;WWWW[[#This Row],[Total PoP ]],WWWW[[#This Row],[Total PoP ]],WWWW[[#This Row],['# Functional hand washing stations during reporting period]]*100)</f>
        <v>0</v>
      </c>
      <c r="DI253" s="645" t="str">
        <f>IF(WWWW[[#This Row],['#_students at TLS_CFS]]="","No","Yes")</f>
        <v>No</v>
      </c>
      <c r="DJ253" s="643">
        <f>VLOOKUP(WWWW[[#This Row],[Site Name]],SiteDB6[[Site Name]:[CCCM Management]],6,FALSE)</f>
        <v>0</v>
      </c>
      <c r="DK253" s="643">
        <f>VLOOKUP(WWWW[[#This Row],[Site Name]],SiteDB6[[Site Name]:[CCCM Focal Agency]],7,FALSE)</f>
        <v>0</v>
      </c>
      <c r="DL253" s="643" t="str">
        <f>VLOOKUP(WWWW[[#This Row],[Site Name]],SiteDB6[[Site Name]:[Location Type 1]],9,FALSE)</f>
        <v>Village</v>
      </c>
      <c r="DM253" s="643" t="str">
        <f>VLOOKUP(WWWW[[#This Row],[Site Name]],SiteDB6[[Site Name]:[Type of Accommodation]],10,FALSE)</f>
        <v>Village</v>
      </c>
      <c r="DN253" s="643" t="str">
        <f>VLOOKUP(WWWW[[#This Row],[Site Name]],SiteDB6[[Site Name]:[Ethnic or GCA/NGCA]],11,FALSE)</f>
        <v>Rakhine</v>
      </c>
      <c r="DO253" s="643">
        <f>VLOOKUP(WWWW[[#This Row],[Site Name]],SiteDB6[[Site Name]:[Lat]],12,FALSE)</f>
        <v>20.22929001</v>
      </c>
      <c r="DP253" s="643">
        <f>VLOOKUP(WWWW[[#This Row],[Site Name]],SiteDB6[[Site Name]:[Long]],13,FALSE)</f>
        <v>92.864669800000001</v>
      </c>
      <c r="DQ253" s="643">
        <f>VLOOKUP(WWWW[[#This Row],[Site Name]],SiteDB6[[Site Name]:[Pcode]],3,FALSE)</f>
        <v>196167</v>
      </c>
      <c r="DR253" s="652" t="str">
        <f t="shared" si="8"/>
        <v>Covered</v>
      </c>
      <c r="DS253" s="652"/>
    </row>
    <row r="254" spans="1:123">
      <c r="A254" s="637" t="s">
        <v>2525</v>
      </c>
      <c r="B254" s="637" t="s">
        <v>332</v>
      </c>
      <c r="C254" s="644" t="s">
        <v>332</v>
      </c>
      <c r="D254" s="644" t="s">
        <v>325</v>
      </c>
      <c r="E254" s="663" t="s">
        <v>3014</v>
      </c>
      <c r="F254" s="644" t="s">
        <v>313</v>
      </c>
      <c r="G254" s="663" t="str">
        <f>VLOOKUP(WWWW[[#This Row],[Site Name]],SiteDB6[[Site Name]:[Location Type]],8,FALSE)</f>
        <v>Village</v>
      </c>
      <c r="H254" s="644" t="s">
        <v>2076</v>
      </c>
      <c r="I254" s="646">
        <v>113</v>
      </c>
      <c r="J254" s="646">
        <v>656</v>
      </c>
      <c r="K254" s="653">
        <v>42736</v>
      </c>
      <c r="L254" s="654">
        <v>44551</v>
      </c>
      <c r="M254" s="646"/>
      <c r="N254" s="646"/>
      <c r="O254" s="646"/>
      <c r="P254" s="646"/>
      <c r="Q254" s="645"/>
      <c r="R254" s="646"/>
      <c r="S254" s="646"/>
      <c r="T254" s="646"/>
      <c r="U254" s="646"/>
      <c r="V254" s="646"/>
      <c r="W254" s="646"/>
      <c r="X254" s="646"/>
      <c r="Y254" s="646"/>
      <c r="Z254" s="646"/>
      <c r="AA254" s="646"/>
      <c r="AB254" s="646"/>
      <c r="AC254" s="646"/>
      <c r="AD254" s="646"/>
      <c r="AE254" s="646"/>
      <c r="AF254" s="646"/>
      <c r="AG254" s="646"/>
      <c r="AH254" s="646"/>
      <c r="AI254" s="646"/>
      <c r="AJ254" s="646"/>
      <c r="AK254" s="646"/>
      <c r="AL254" s="646"/>
      <c r="AM254" s="646"/>
      <c r="AN254" s="646"/>
      <c r="AO254" s="652"/>
      <c r="AP254" s="646"/>
      <c r="AQ254" s="646"/>
      <c r="AR254" s="648"/>
      <c r="AS254" s="646"/>
      <c r="AT254" s="646"/>
      <c r="AU254" s="646"/>
      <c r="AV254" s="646"/>
      <c r="AW254" s="646"/>
      <c r="AX254" s="643"/>
      <c r="AY254" s="652"/>
      <c r="AZ254" s="646"/>
      <c r="BA254" s="646"/>
      <c r="BB254" s="646"/>
      <c r="BC254" s="643"/>
      <c r="BD254" s="646"/>
      <c r="BE254" s="646"/>
      <c r="BF254" s="646"/>
      <c r="BG254" s="646"/>
      <c r="BH254" s="646"/>
      <c r="BI254" s="646"/>
      <c r="BJ254" s="646"/>
      <c r="BK254" s="646"/>
      <c r="BL254" s="646"/>
      <c r="BM254" s="643"/>
      <c r="BN254" s="647"/>
      <c r="BO254" s="648"/>
      <c r="BP254" s="643"/>
      <c r="BQ254" s="649" t="str">
        <f>IFERROR(WWWW[[#This Row],['#_Water sources treated]]/WWWW[[#This Row],['#_Water sources tested for contamination]],"no test")</f>
        <v>no test</v>
      </c>
      <c r="BR254" s="648" t="str">
        <f>IFERROR(WWWW[[#This Row],['#_Household received remediation action due to contamination]]/WWWW[[#This Row],['#_Household water samples tested for contamination]],"no test")</f>
        <v>no test</v>
      </c>
      <c r="BS254" s="647" t="str">
        <f>IF(AND(WWWW[[#This Row],[% of water sources treated]]="no test",WWWW[[#This Row],[% Household received corrective actions]]="no test"),"No Test","Tested")</f>
        <v>No Test</v>
      </c>
      <c r="BT254" s="647">
        <f>WWWW[[#This Row],['#_Constructed/existing protected hand dug well]]-WWWW[[#This Row],['#_Non-functional protected hand dug well]]</f>
        <v>0</v>
      </c>
      <c r="BU254" s="647">
        <f>(WWWW[[#This Row],['#_Constructed/Existing tube wells/boreholes/handpumps_WASH_agency]]+WWWW[[#This Row],['#_Non-Cluster partner water tube-wells/boreholes/handpumps]])-WWWW[[#This Row],['#_Non-functional tube wells/boreholes/handpumps]]</f>
        <v>0</v>
      </c>
      <c r="BV254" s="647">
        <f>WWWW[[#This Row],['#_Constructed/Existingwater storage tank with gravity fed reticulation system]]-WWWW[[#This Row],['#_Non-functional storage tank gravity fed reticulation system]]</f>
        <v>0</v>
      </c>
      <c r="BW254" s="647">
        <f>WWWW[[#This Row],['#_Water boating or water trucking]]</f>
        <v>0</v>
      </c>
      <c r="BX254" s="647">
        <f>WWWW[[#This Row],['#_Constructed/Existing water distribution system from river or natural spring]]</f>
        <v>0</v>
      </c>
      <c r="BY254"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54"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54" s="648">
        <f>IF(WWWW[[#This Row],[Location Type 1]]="Village",WWWW[[#This Row],[Access to safe drinking water for Village]],WWWW[[#This Row],[Access to safe drinking water for Camp]])</f>
        <v>0</v>
      </c>
      <c r="CB254" s="645">
        <f>WWWW[[#This Row],[%Equitable and continuous access to sufficient quantity of safe drinking water]]*WWWW[[#This Row],[Total PoP ]]</f>
        <v>0</v>
      </c>
      <c r="CC254" s="648">
        <f>IF((WWWW[[#This Row],['#_Constructed/Existing protected/fenced ponds]]*250)/WWWW[[#This Row],[Total PoP ]]&gt;1,1,(WWWW[[#This Row],['#_Constructed/Existing protected/fenced ponds]]*250)/WWWW[[#This Row],[Total PoP ]])</f>
        <v>0</v>
      </c>
      <c r="CD254" s="645">
        <f>WWWW[[#This Row],[% Access to unimproved water points]]*WWWW[[#This Row],[Total PoP ]]</f>
        <v>0</v>
      </c>
      <c r="CE254"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54"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54" s="645">
        <f>WWWW[[#This Row],[HRP1]]/500</f>
        <v>0</v>
      </c>
      <c r="CH254" s="650">
        <f>1-WWWW[[#This Row],[% Equitable and continuous access to sufficient quantity of domestic water]]</f>
        <v>1</v>
      </c>
      <c r="CI254" s="645">
        <f>WWWW[[#This Row],[%equitable and continuous access to sufficient quantity of safe drinking and domestic water''s GAP]]*WWWW[[#This Row],[Total PoP ]]</f>
        <v>656</v>
      </c>
      <c r="CJ254" s="647">
        <f>IF(WWWW[[#This Row],[Total required water points]]-WWWW[[#This Row],['#Water points coverage]]&lt;0,0,WWWW[[#This Row],[Total required water points]]-WWWW[[#This Row],['#Water points coverage]])</f>
        <v>1</v>
      </c>
      <c r="CK254" s="647">
        <f>ROUND(IF(WWWW[[#This Row],[Total PoP ]]&lt;500,1,WWWW[[#This Row],[Total PoP ]]/500),0)</f>
        <v>1</v>
      </c>
      <c r="CL254" s="647">
        <f>(WWWW[[#This Row],['#_Constructed latrines_by_WASHAgencies]]+WWWW[[#This Row],['#_Non Cluster partner latrines]])-WWWW[[#This Row],['#_Non-functional latrines]]</f>
        <v>0</v>
      </c>
      <c r="CM254"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54"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54"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54" s="647" t="str">
        <f>IF(WWWW[[#This Row],[Location Type 1]]="Village","NA",IF(WWWW[[#This Row],['#_Constructed/Existing latrines in TLS]]*50&gt;WWWW[[#This Row],['#_students at TLS_CFS]],WWWW[[#This Row],['#_students at TLS_CFS]],(WWWW[[#This Row],['#_Constructed/Existing latrines in TLS]]*50)))</f>
        <v>NA</v>
      </c>
      <c r="CQ254" s="647">
        <f>ROUND(IF(WWWW[[#This Row],[Location Type 1]]="camp",WWWW[[#This Row],[Total PoP ]]/20,IF(WWWW[[#This Row],[Location Type 1]]="Temporary Location",WWWW[[#This Row],[Total PoP ]]/50,(WWWW[[#This Row],[Total PoP ]]/6))),0)</f>
        <v>109</v>
      </c>
      <c r="CR254" s="647">
        <f>IF(WWWW[[#This Row],[Total required Latrines]]-(WWWW[[#This Row],['#_Constructed latrines_by_WASHAgencies]]+WWWW[[#This Row],['#_Non Cluster partner latrines]])&lt;0,0,WWWW[[#This Row],[Total required Latrines]]-(WWWW[[#This Row],['#_Constructed latrines_by_WASHAgencies]]+WWWW[[#This Row],['#_Non Cluster partner latrines]]))</f>
        <v>109</v>
      </c>
      <c r="CS254" s="79">
        <f>1-WWWW[[#This Row],[% people access to functioning Latrine]]</f>
        <v>1</v>
      </c>
      <c r="CT254" s="649">
        <f>IF(OR(WWWW[[#This Row],['#_Non-functional latrines]]="",WWWW[[#This Row],['#_Non-functional latrines]]=0),0,WWWW[[#This Row],['#_Non-functional latrines]]/(WWWW[[#This Row],['#_Constructed latrines_by_WASHAgencies]]+WWWW[[#This Row],['#_Non Cluster partner latrines]]))</f>
        <v>0</v>
      </c>
      <c r="CU254" s="645">
        <f>IF(500*(WWWW[[#This Row],['#_male hygiene promoters]]+WWWW[[#This Row],['#_female hygiene promoters]])&gt;WWWW[[#This Row],[Total PoP ]],WWWW[[#This Row],[Total PoP ]],500*(WWWW[[#This Row],['#_male hygiene promoters]]+WWWW[[#This Row],['#_female hygiene promoters]]))</f>
        <v>0</v>
      </c>
      <c r="CV254"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54"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54" s="647">
        <f>IF(WWWW[[#This Row],['# People with access to soap]]&gt;WWWW[[#This Row],['# People with access to Sanity Pads]],WWWW[[#This Row],['# People with access to soap]],WWWW[[#This Row],['# People with access to Sanity Pads]])</f>
        <v>0</v>
      </c>
      <c r="CY254"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54" s="650">
        <f>IF(WWWW[[#This Row],[HRP3]]/WWWW[[#This Row],[Total PoP ]]&gt;100%,100%,WWWW[[#This Row],[HRP3]]/WWWW[[#This Row],[Total PoP ]])</f>
        <v>0</v>
      </c>
      <c r="DA254" s="649">
        <f>1-WWWW[[#This Row],[Hygiene Coverage%]]</f>
        <v>1</v>
      </c>
      <c r="DB254" s="648">
        <f>WWWW[[#This Row],['# people reached by regular dedicated hygiene promotion_5]]/WWWW[[#This Row],[Total PoP ]]</f>
        <v>0</v>
      </c>
      <c r="DC254" s="648">
        <f>IF(WWWW[[#This Row],['#_households that received standard amount of soap for this quarter]]/WWWW[[#This Row],[Total HH]]&gt;1,1,WWWW[[#This Row],['#_households that received standard amount of soap for this quarter]]/WWWW[[#This Row],[Total HH]])</f>
        <v>0</v>
      </c>
      <c r="DD254" s="648">
        <f>IF(WWWW[[#This Row],['#_households that received standard amount of sanitary pads for this quarter]]/WWWW[[#This Row],[Total HH]]&gt;1,1,WWWW[[#This Row],['#_households that received standard amount of sanitary pads for this quarter]]/WWWW[[#This Row],[Total HH]])</f>
        <v>0</v>
      </c>
      <c r="DE254" s="647">
        <f>WWWW[[#This Row],['#_Constructed/Existing hand washing stations]]-WWWW[[#This Row],['#_Non-Functional_hand_washing_stations]]</f>
        <v>0</v>
      </c>
      <c r="DF254" s="667">
        <f>IF(WWWW[[#This Row],['# Functional hand washing stations during reporting period]]*20&gt;WWWW[[#This Row],[Total HH]],WWWW[[#This Row],[Total HH]],WWWW[[#This Row],['# Functional hand washing stations during reporting period]]*20)</f>
        <v>0</v>
      </c>
      <c r="DG254" s="645">
        <f>IF(WWWW[[#This Row],[Is sufficient soap available for TLS? (Yes/No)]]="yes",WWWW[[#This Row],['#_Constructed/Existing hand washing stations at TLS]],0)</f>
        <v>0</v>
      </c>
      <c r="DH254" s="645">
        <f>IF(WWWW[[#This Row],['# Functional hand washing stations during reporting period]]*100&gt;WWWW[[#This Row],[Total PoP ]],WWWW[[#This Row],[Total PoP ]],WWWW[[#This Row],['# Functional hand washing stations during reporting period]]*100)</f>
        <v>0</v>
      </c>
      <c r="DI254" s="645" t="str">
        <f>IF(WWWW[[#This Row],['#_students at TLS_CFS]]="","No","Yes")</f>
        <v>No</v>
      </c>
      <c r="DJ254" s="643">
        <f>VLOOKUP(WWWW[[#This Row],[Site Name]],SiteDB6[[Site Name]:[CCCM Management]],6,FALSE)</f>
        <v>0</v>
      </c>
      <c r="DK254" s="643">
        <f>VLOOKUP(WWWW[[#This Row],[Site Name]],SiteDB6[[Site Name]:[CCCM Focal Agency]],7,FALSE)</f>
        <v>0</v>
      </c>
      <c r="DL254" s="643" t="str">
        <f>VLOOKUP(WWWW[[#This Row],[Site Name]],SiteDB6[[Site Name]:[Location Type 1]],9,FALSE)</f>
        <v>Village</v>
      </c>
      <c r="DM254" s="643" t="str">
        <f>VLOOKUP(WWWW[[#This Row],[Site Name]],SiteDB6[[Site Name]:[Type of Accommodation]],10,FALSE)</f>
        <v>Village</v>
      </c>
      <c r="DN254" s="643" t="str">
        <f>VLOOKUP(WWWW[[#This Row],[Site Name]],SiteDB6[[Site Name]:[Ethnic or GCA/NGCA]],11,FALSE)</f>
        <v>rakhine</v>
      </c>
      <c r="DO254" s="643">
        <f>VLOOKUP(WWWW[[#This Row],[Site Name]],SiteDB6[[Site Name]:[Lat]],12,FALSE)</f>
        <v>20.2315197</v>
      </c>
      <c r="DP254" s="643">
        <f>VLOOKUP(WWWW[[#This Row],[Site Name]],SiteDB6[[Site Name]:[Long]],13,FALSE)</f>
        <v>92.876129149999997</v>
      </c>
      <c r="DQ254" s="643">
        <f>VLOOKUP(WWWW[[#This Row],[Site Name]],SiteDB6[[Site Name]:[Pcode]],3,FALSE)</f>
        <v>196180</v>
      </c>
      <c r="DR254" s="652" t="str">
        <f t="shared" si="8"/>
        <v>Covered</v>
      </c>
      <c r="DS254" s="652"/>
    </row>
    <row r="255" spans="1:123">
      <c r="A255" s="637" t="s">
        <v>2525</v>
      </c>
      <c r="B255" s="637" t="s">
        <v>332</v>
      </c>
      <c r="C255" s="644" t="s">
        <v>332</v>
      </c>
      <c r="D255" s="644" t="s">
        <v>325</v>
      </c>
      <c r="E255" s="663" t="s">
        <v>3014</v>
      </c>
      <c r="F255" s="644" t="s">
        <v>313</v>
      </c>
      <c r="G255" s="663" t="str">
        <f>VLOOKUP(WWWW[[#This Row],[Site Name]],SiteDB6[[Site Name]:[Location Type]],8,FALSE)</f>
        <v>Village</v>
      </c>
      <c r="H255" s="644" t="s">
        <v>455</v>
      </c>
      <c r="I255" s="646">
        <v>152</v>
      </c>
      <c r="J255" s="646">
        <v>1152</v>
      </c>
      <c r="K255" s="653">
        <v>42736</v>
      </c>
      <c r="L255" s="654">
        <v>44551</v>
      </c>
      <c r="M255" s="646"/>
      <c r="N255" s="646"/>
      <c r="O255" s="646"/>
      <c r="P255" s="646"/>
      <c r="Q255" s="645"/>
      <c r="R255" s="646"/>
      <c r="S255" s="646"/>
      <c r="T255" s="646"/>
      <c r="U255" s="646"/>
      <c r="V255" s="646"/>
      <c r="W255" s="646"/>
      <c r="X255" s="646"/>
      <c r="Y255" s="646"/>
      <c r="Z255" s="646"/>
      <c r="AA255" s="646"/>
      <c r="AB255" s="646"/>
      <c r="AC255" s="646"/>
      <c r="AD255" s="646"/>
      <c r="AE255" s="646"/>
      <c r="AF255" s="646"/>
      <c r="AG255" s="646"/>
      <c r="AH255" s="646"/>
      <c r="AI255" s="646"/>
      <c r="AJ255" s="646"/>
      <c r="AK255" s="646"/>
      <c r="AL255" s="646"/>
      <c r="AM255" s="646"/>
      <c r="AN255" s="646"/>
      <c r="AO255" s="652"/>
      <c r="AP255" s="646"/>
      <c r="AQ255" s="646"/>
      <c r="AR255" s="648"/>
      <c r="AS255" s="646"/>
      <c r="AT255" s="646"/>
      <c r="AU255" s="646"/>
      <c r="AV255" s="646"/>
      <c r="AW255" s="646"/>
      <c r="AX255" s="643"/>
      <c r="AY255" s="652"/>
      <c r="AZ255" s="646"/>
      <c r="BA255" s="646"/>
      <c r="BB255" s="646"/>
      <c r="BC255" s="643"/>
      <c r="BD255" s="646"/>
      <c r="BE255" s="646"/>
      <c r="BF255" s="646"/>
      <c r="BG255" s="646"/>
      <c r="BH255" s="646"/>
      <c r="BI255" s="646"/>
      <c r="BJ255" s="646"/>
      <c r="BK255" s="646"/>
      <c r="BL255" s="646"/>
      <c r="BM255" s="643"/>
      <c r="BN255" s="647"/>
      <c r="BO255" s="648"/>
      <c r="BP255" s="643"/>
      <c r="BQ255" s="649" t="str">
        <f>IFERROR(WWWW[[#This Row],['#_Water sources treated]]/WWWW[[#This Row],['#_Water sources tested for contamination]],"no test")</f>
        <v>no test</v>
      </c>
      <c r="BR255" s="648" t="str">
        <f>IFERROR(WWWW[[#This Row],['#_Household received remediation action due to contamination]]/WWWW[[#This Row],['#_Household water samples tested for contamination]],"no test")</f>
        <v>no test</v>
      </c>
      <c r="BS255" s="647" t="str">
        <f>IF(AND(WWWW[[#This Row],[% of water sources treated]]="no test",WWWW[[#This Row],[% Household received corrective actions]]="no test"),"No Test","Tested")</f>
        <v>No Test</v>
      </c>
      <c r="BT255" s="647">
        <f>WWWW[[#This Row],['#_Constructed/existing protected hand dug well]]-WWWW[[#This Row],['#_Non-functional protected hand dug well]]</f>
        <v>0</v>
      </c>
      <c r="BU255" s="647">
        <f>(WWWW[[#This Row],['#_Constructed/Existing tube wells/boreholes/handpumps_WASH_agency]]+WWWW[[#This Row],['#_Non-Cluster partner water tube-wells/boreholes/handpumps]])-WWWW[[#This Row],['#_Non-functional tube wells/boreholes/handpumps]]</f>
        <v>0</v>
      </c>
      <c r="BV255" s="647">
        <f>WWWW[[#This Row],['#_Constructed/Existingwater storage tank with gravity fed reticulation system]]-WWWW[[#This Row],['#_Non-functional storage tank gravity fed reticulation system]]</f>
        <v>0</v>
      </c>
      <c r="BW255" s="647">
        <f>WWWW[[#This Row],['#_Water boating or water trucking]]</f>
        <v>0</v>
      </c>
      <c r="BX255" s="647">
        <f>WWWW[[#This Row],['#_Constructed/Existing water distribution system from river or natural spring]]</f>
        <v>0</v>
      </c>
      <c r="BY255"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55"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55" s="648">
        <f>IF(WWWW[[#This Row],[Location Type 1]]="Village",WWWW[[#This Row],[Access to safe drinking water for Village]],WWWW[[#This Row],[Access to safe drinking water for Camp]])</f>
        <v>0</v>
      </c>
      <c r="CB255" s="645">
        <f>WWWW[[#This Row],[%Equitable and continuous access to sufficient quantity of safe drinking water]]*WWWW[[#This Row],[Total PoP ]]</f>
        <v>0</v>
      </c>
      <c r="CC255" s="648">
        <f>IF((WWWW[[#This Row],['#_Constructed/Existing protected/fenced ponds]]*250)/WWWW[[#This Row],[Total PoP ]]&gt;1,1,(WWWW[[#This Row],['#_Constructed/Existing protected/fenced ponds]]*250)/WWWW[[#This Row],[Total PoP ]])</f>
        <v>0</v>
      </c>
      <c r="CD255" s="645">
        <f>WWWW[[#This Row],[% Access to unimproved water points]]*WWWW[[#This Row],[Total PoP ]]</f>
        <v>0</v>
      </c>
      <c r="CE255"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55"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55" s="645">
        <f>WWWW[[#This Row],[HRP1]]/500</f>
        <v>0</v>
      </c>
      <c r="CH255" s="650">
        <f>1-WWWW[[#This Row],[% Equitable and continuous access to sufficient quantity of domestic water]]</f>
        <v>1</v>
      </c>
      <c r="CI255" s="645">
        <f>WWWW[[#This Row],[%equitable and continuous access to sufficient quantity of safe drinking and domestic water''s GAP]]*WWWW[[#This Row],[Total PoP ]]</f>
        <v>1152</v>
      </c>
      <c r="CJ255" s="647">
        <f>IF(WWWW[[#This Row],[Total required water points]]-WWWW[[#This Row],['#Water points coverage]]&lt;0,0,WWWW[[#This Row],[Total required water points]]-WWWW[[#This Row],['#Water points coverage]])</f>
        <v>2</v>
      </c>
      <c r="CK255" s="647">
        <f>ROUND(IF(WWWW[[#This Row],[Total PoP ]]&lt;500,1,WWWW[[#This Row],[Total PoP ]]/500),0)</f>
        <v>2</v>
      </c>
      <c r="CL255" s="647">
        <f>(WWWW[[#This Row],['#_Constructed latrines_by_WASHAgencies]]+WWWW[[#This Row],['#_Non Cluster partner latrines]])-WWWW[[#This Row],['#_Non-functional latrines]]</f>
        <v>0</v>
      </c>
      <c r="CM255"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55"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55"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55" s="647" t="str">
        <f>IF(WWWW[[#This Row],[Location Type 1]]="Village","NA",IF(WWWW[[#This Row],['#_Constructed/Existing latrines in TLS]]*50&gt;WWWW[[#This Row],['#_students at TLS_CFS]],WWWW[[#This Row],['#_students at TLS_CFS]],(WWWW[[#This Row],['#_Constructed/Existing latrines in TLS]]*50)))</f>
        <v>NA</v>
      </c>
      <c r="CQ255" s="647">
        <f>ROUND(IF(WWWW[[#This Row],[Location Type 1]]="camp",WWWW[[#This Row],[Total PoP ]]/20,IF(WWWW[[#This Row],[Location Type 1]]="Temporary Location",WWWW[[#This Row],[Total PoP ]]/50,(WWWW[[#This Row],[Total PoP ]]/6))),0)</f>
        <v>192</v>
      </c>
      <c r="CR255" s="647">
        <f>IF(WWWW[[#This Row],[Total required Latrines]]-(WWWW[[#This Row],['#_Constructed latrines_by_WASHAgencies]]+WWWW[[#This Row],['#_Non Cluster partner latrines]])&lt;0,0,WWWW[[#This Row],[Total required Latrines]]-(WWWW[[#This Row],['#_Constructed latrines_by_WASHAgencies]]+WWWW[[#This Row],['#_Non Cluster partner latrines]]))</f>
        <v>192</v>
      </c>
      <c r="CS255" s="79">
        <f>1-WWWW[[#This Row],[% people access to functioning Latrine]]</f>
        <v>1</v>
      </c>
      <c r="CT255" s="649">
        <f>IF(OR(WWWW[[#This Row],['#_Non-functional latrines]]="",WWWW[[#This Row],['#_Non-functional latrines]]=0),0,WWWW[[#This Row],['#_Non-functional latrines]]/(WWWW[[#This Row],['#_Constructed latrines_by_WASHAgencies]]+WWWW[[#This Row],['#_Non Cluster partner latrines]]))</f>
        <v>0</v>
      </c>
      <c r="CU255" s="645">
        <f>IF(500*(WWWW[[#This Row],['#_male hygiene promoters]]+WWWW[[#This Row],['#_female hygiene promoters]])&gt;WWWW[[#This Row],[Total PoP ]],WWWW[[#This Row],[Total PoP ]],500*(WWWW[[#This Row],['#_male hygiene promoters]]+WWWW[[#This Row],['#_female hygiene promoters]]))</f>
        <v>0</v>
      </c>
      <c r="CV255"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55"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55" s="647">
        <f>IF(WWWW[[#This Row],['# People with access to soap]]&gt;WWWW[[#This Row],['# People with access to Sanity Pads]],WWWW[[#This Row],['# People with access to soap]],WWWW[[#This Row],['# People with access to Sanity Pads]])</f>
        <v>0</v>
      </c>
      <c r="CY255"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55" s="650">
        <f>IF(WWWW[[#This Row],[HRP3]]/WWWW[[#This Row],[Total PoP ]]&gt;100%,100%,WWWW[[#This Row],[HRP3]]/WWWW[[#This Row],[Total PoP ]])</f>
        <v>0</v>
      </c>
      <c r="DA255" s="649">
        <f>1-WWWW[[#This Row],[Hygiene Coverage%]]</f>
        <v>1</v>
      </c>
      <c r="DB255" s="648">
        <f>WWWW[[#This Row],['# people reached by regular dedicated hygiene promotion_5]]/WWWW[[#This Row],[Total PoP ]]</f>
        <v>0</v>
      </c>
      <c r="DC255" s="648">
        <f>IF(WWWW[[#This Row],['#_households that received standard amount of soap for this quarter]]/WWWW[[#This Row],[Total HH]]&gt;1,1,WWWW[[#This Row],['#_households that received standard amount of soap for this quarter]]/WWWW[[#This Row],[Total HH]])</f>
        <v>0</v>
      </c>
      <c r="DD255" s="648">
        <f>IF(WWWW[[#This Row],['#_households that received standard amount of sanitary pads for this quarter]]/WWWW[[#This Row],[Total HH]]&gt;1,1,WWWW[[#This Row],['#_households that received standard amount of sanitary pads for this quarter]]/WWWW[[#This Row],[Total HH]])</f>
        <v>0</v>
      </c>
      <c r="DE255" s="647">
        <f>WWWW[[#This Row],['#_Constructed/Existing hand washing stations]]-WWWW[[#This Row],['#_Non-Functional_hand_washing_stations]]</f>
        <v>0</v>
      </c>
      <c r="DF255" s="667">
        <f>IF(WWWW[[#This Row],['# Functional hand washing stations during reporting period]]*20&gt;WWWW[[#This Row],[Total HH]],WWWW[[#This Row],[Total HH]],WWWW[[#This Row],['# Functional hand washing stations during reporting period]]*20)</f>
        <v>0</v>
      </c>
      <c r="DG255" s="645">
        <f>IF(WWWW[[#This Row],[Is sufficient soap available for TLS? (Yes/No)]]="yes",WWWW[[#This Row],['#_Constructed/Existing hand washing stations at TLS]],0)</f>
        <v>0</v>
      </c>
      <c r="DH255" s="645">
        <f>IF(WWWW[[#This Row],['# Functional hand washing stations during reporting period]]*100&gt;WWWW[[#This Row],[Total PoP ]],WWWW[[#This Row],[Total PoP ]],WWWW[[#This Row],['# Functional hand washing stations during reporting period]]*100)</f>
        <v>0</v>
      </c>
      <c r="DI255" s="645" t="str">
        <f>IF(WWWW[[#This Row],['#_students at TLS_CFS]]="","No","Yes")</f>
        <v>No</v>
      </c>
      <c r="DJ255" s="643">
        <f>VLOOKUP(WWWW[[#This Row],[Site Name]],SiteDB6[[Site Name]:[CCCM Management]],6,FALSE)</f>
        <v>0</v>
      </c>
      <c r="DK255" s="643">
        <f>VLOOKUP(WWWW[[#This Row],[Site Name]],SiteDB6[[Site Name]:[CCCM Focal Agency]],7,FALSE)</f>
        <v>0</v>
      </c>
      <c r="DL255" s="643" t="str">
        <f>VLOOKUP(WWWW[[#This Row],[Site Name]],SiteDB6[[Site Name]:[Location Type 1]],9,FALSE)</f>
        <v>Village</v>
      </c>
      <c r="DM255" s="643" t="str">
        <f>VLOOKUP(WWWW[[#This Row],[Site Name]],SiteDB6[[Site Name]:[Type of Accommodation]],10,FALSE)</f>
        <v>Village</v>
      </c>
      <c r="DN255" s="643">
        <f>VLOOKUP(WWWW[[#This Row],[Site Name]],SiteDB6[[Site Name]:[Ethnic or GCA/NGCA]],11,FALSE)</f>
        <v>0</v>
      </c>
      <c r="DO255" s="643">
        <f>VLOOKUP(WWWW[[#This Row],[Site Name]],SiteDB6[[Site Name]:[Lat]],12,FALSE)</f>
        <v>0</v>
      </c>
      <c r="DP255" s="643">
        <f>VLOOKUP(WWWW[[#This Row],[Site Name]],SiteDB6[[Site Name]:[Long]],13,FALSE)</f>
        <v>0</v>
      </c>
      <c r="DQ255" s="643">
        <f>VLOOKUP(WWWW[[#This Row],[Site Name]],SiteDB6[[Site Name]:[Pcode]],3,FALSE)</f>
        <v>196154</v>
      </c>
      <c r="DR255" s="652" t="str">
        <f t="shared" si="8"/>
        <v>Covered</v>
      </c>
      <c r="DS255" s="652"/>
    </row>
    <row r="256" spans="1:123">
      <c r="A256" s="637" t="s">
        <v>2525</v>
      </c>
      <c r="B256" s="637" t="s">
        <v>332</v>
      </c>
      <c r="C256" s="644" t="s">
        <v>332</v>
      </c>
      <c r="D256" s="644" t="s">
        <v>325</v>
      </c>
      <c r="E256" s="663" t="s">
        <v>3014</v>
      </c>
      <c r="F256" s="644" t="s">
        <v>313</v>
      </c>
      <c r="G256" s="663" t="str">
        <f>VLOOKUP(WWWW[[#This Row],[Site Name]],SiteDB6[[Site Name]:[Location Type]],8,FALSE)</f>
        <v>Village</v>
      </c>
      <c r="H256" s="644" t="s">
        <v>1107</v>
      </c>
      <c r="I256" s="646">
        <v>172</v>
      </c>
      <c r="J256" s="646">
        <v>1435</v>
      </c>
      <c r="K256" s="653">
        <v>42736</v>
      </c>
      <c r="L256" s="654">
        <v>44551</v>
      </c>
      <c r="M256" s="646"/>
      <c r="N256" s="646"/>
      <c r="O256" s="646"/>
      <c r="P256" s="646"/>
      <c r="Q256" s="645"/>
      <c r="R256" s="646"/>
      <c r="S256" s="646"/>
      <c r="T256" s="646"/>
      <c r="U256" s="646"/>
      <c r="V256" s="646"/>
      <c r="W256" s="646"/>
      <c r="X256" s="646"/>
      <c r="Y256" s="646"/>
      <c r="Z256" s="646"/>
      <c r="AA256" s="646"/>
      <c r="AB256" s="646"/>
      <c r="AC256" s="646"/>
      <c r="AD256" s="646"/>
      <c r="AE256" s="646"/>
      <c r="AF256" s="646"/>
      <c r="AG256" s="646"/>
      <c r="AH256" s="646"/>
      <c r="AI256" s="646"/>
      <c r="AJ256" s="646"/>
      <c r="AK256" s="646"/>
      <c r="AL256" s="646"/>
      <c r="AM256" s="646"/>
      <c r="AN256" s="646"/>
      <c r="AO256" s="652"/>
      <c r="AP256" s="646"/>
      <c r="AQ256" s="646"/>
      <c r="AR256" s="648"/>
      <c r="AS256" s="646"/>
      <c r="AT256" s="646"/>
      <c r="AU256" s="646"/>
      <c r="AV256" s="646"/>
      <c r="AW256" s="646"/>
      <c r="AX256" s="643"/>
      <c r="AY256" s="652"/>
      <c r="AZ256" s="646"/>
      <c r="BA256" s="646"/>
      <c r="BB256" s="646"/>
      <c r="BC256" s="643"/>
      <c r="BD256" s="646"/>
      <c r="BE256" s="646"/>
      <c r="BF256" s="646"/>
      <c r="BG256" s="646"/>
      <c r="BH256" s="646"/>
      <c r="BI256" s="646"/>
      <c r="BJ256" s="646"/>
      <c r="BK256" s="646"/>
      <c r="BL256" s="646"/>
      <c r="BM256" s="643"/>
      <c r="BN256" s="647"/>
      <c r="BO256" s="648"/>
      <c r="BP256" s="643"/>
      <c r="BQ256" s="649" t="str">
        <f>IFERROR(WWWW[[#This Row],['#_Water sources treated]]/WWWW[[#This Row],['#_Water sources tested for contamination]],"no test")</f>
        <v>no test</v>
      </c>
      <c r="BR256" s="648" t="str">
        <f>IFERROR(WWWW[[#This Row],['#_Household received remediation action due to contamination]]/WWWW[[#This Row],['#_Household water samples tested for contamination]],"no test")</f>
        <v>no test</v>
      </c>
      <c r="BS256" s="647" t="str">
        <f>IF(AND(WWWW[[#This Row],[% of water sources treated]]="no test",WWWW[[#This Row],[% Household received corrective actions]]="no test"),"No Test","Tested")</f>
        <v>No Test</v>
      </c>
      <c r="BT256" s="647">
        <f>WWWW[[#This Row],['#_Constructed/existing protected hand dug well]]-WWWW[[#This Row],['#_Non-functional protected hand dug well]]</f>
        <v>0</v>
      </c>
      <c r="BU256" s="647">
        <f>(WWWW[[#This Row],['#_Constructed/Existing tube wells/boreholes/handpumps_WASH_agency]]+WWWW[[#This Row],['#_Non-Cluster partner water tube-wells/boreholes/handpumps]])-WWWW[[#This Row],['#_Non-functional tube wells/boreholes/handpumps]]</f>
        <v>0</v>
      </c>
      <c r="BV256" s="647">
        <f>WWWW[[#This Row],['#_Constructed/Existingwater storage tank with gravity fed reticulation system]]-WWWW[[#This Row],['#_Non-functional storage tank gravity fed reticulation system]]</f>
        <v>0</v>
      </c>
      <c r="BW256" s="647">
        <f>WWWW[[#This Row],['#_Water boating or water trucking]]</f>
        <v>0</v>
      </c>
      <c r="BX256" s="647">
        <f>WWWW[[#This Row],['#_Constructed/Existing water distribution system from river or natural spring]]</f>
        <v>0</v>
      </c>
      <c r="BY256"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56"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56" s="648">
        <f>IF(WWWW[[#This Row],[Location Type 1]]="Village",WWWW[[#This Row],[Access to safe drinking water for Village]],WWWW[[#This Row],[Access to safe drinking water for Camp]])</f>
        <v>0</v>
      </c>
      <c r="CB256" s="645">
        <f>WWWW[[#This Row],[%Equitable and continuous access to sufficient quantity of safe drinking water]]*WWWW[[#This Row],[Total PoP ]]</f>
        <v>0</v>
      </c>
      <c r="CC256" s="648">
        <f>IF((WWWW[[#This Row],['#_Constructed/Existing protected/fenced ponds]]*250)/WWWW[[#This Row],[Total PoP ]]&gt;1,1,(WWWW[[#This Row],['#_Constructed/Existing protected/fenced ponds]]*250)/WWWW[[#This Row],[Total PoP ]])</f>
        <v>0</v>
      </c>
      <c r="CD256" s="645">
        <f>WWWW[[#This Row],[% Access to unimproved water points]]*WWWW[[#This Row],[Total PoP ]]</f>
        <v>0</v>
      </c>
      <c r="CE256"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56"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56" s="645">
        <f>WWWW[[#This Row],[HRP1]]/500</f>
        <v>0</v>
      </c>
      <c r="CH256" s="650">
        <f>1-WWWW[[#This Row],[% Equitable and continuous access to sufficient quantity of domestic water]]</f>
        <v>1</v>
      </c>
      <c r="CI256" s="645">
        <f>WWWW[[#This Row],[%equitable and continuous access to sufficient quantity of safe drinking and domestic water''s GAP]]*WWWW[[#This Row],[Total PoP ]]</f>
        <v>1435</v>
      </c>
      <c r="CJ256" s="647">
        <f>IF(WWWW[[#This Row],[Total required water points]]-WWWW[[#This Row],['#Water points coverage]]&lt;0,0,WWWW[[#This Row],[Total required water points]]-WWWW[[#This Row],['#Water points coverage]])</f>
        <v>3</v>
      </c>
      <c r="CK256" s="647">
        <f>ROUND(IF(WWWW[[#This Row],[Total PoP ]]&lt;500,1,WWWW[[#This Row],[Total PoP ]]/500),0)</f>
        <v>3</v>
      </c>
      <c r="CL256" s="647">
        <f>(WWWW[[#This Row],['#_Constructed latrines_by_WASHAgencies]]+WWWW[[#This Row],['#_Non Cluster partner latrines]])-WWWW[[#This Row],['#_Non-functional latrines]]</f>
        <v>0</v>
      </c>
      <c r="CM256"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56"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56"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56" s="647" t="str">
        <f>IF(WWWW[[#This Row],[Location Type 1]]="Village","NA",IF(WWWW[[#This Row],['#_Constructed/Existing latrines in TLS]]*50&gt;WWWW[[#This Row],['#_students at TLS_CFS]],WWWW[[#This Row],['#_students at TLS_CFS]],(WWWW[[#This Row],['#_Constructed/Existing latrines in TLS]]*50)))</f>
        <v>NA</v>
      </c>
      <c r="CQ256" s="647">
        <f>ROUND(IF(WWWW[[#This Row],[Location Type 1]]="camp",WWWW[[#This Row],[Total PoP ]]/20,IF(WWWW[[#This Row],[Location Type 1]]="Temporary Location",WWWW[[#This Row],[Total PoP ]]/50,(WWWW[[#This Row],[Total PoP ]]/6))),0)</f>
        <v>239</v>
      </c>
      <c r="CR256" s="647">
        <f>IF(WWWW[[#This Row],[Total required Latrines]]-(WWWW[[#This Row],['#_Constructed latrines_by_WASHAgencies]]+WWWW[[#This Row],['#_Non Cluster partner latrines]])&lt;0,0,WWWW[[#This Row],[Total required Latrines]]-(WWWW[[#This Row],['#_Constructed latrines_by_WASHAgencies]]+WWWW[[#This Row],['#_Non Cluster partner latrines]]))</f>
        <v>239</v>
      </c>
      <c r="CS256" s="79">
        <f>1-WWWW[[#This Row],[% people access to functioning Latrine]]</f>
        <v>1</v>
      </c>
      <c r="CT256" s="649">
        <f>IF(OR(WWWW[[#This Row],['#_Non-functional latrines]]="",WWWW[[#This Row],['#_Non-functional latrines]]=0),0,WWWW[[#This Row],['#_Non-functional latrines]]/(WWWW[[#This Row],['#_Constructed latrines_by_WASHAgencies]]+WWWW[[#This Row],['#_Non Cluster partner latrines]]))</f>
        <v>0</v>
      </c>
      <c r="CU256" s="645">
        <f>IF(500*(WWWW[[#This Row],['#_male hygiene promoters]]+WWWW[[#This Row],['#_female hygiene promoters]])&gt;WWWW[[#This Row],[Total PoP ]],WWWW[[#This Row],[Total PoP ]],500*(WWWW[[#This Row],['#_male hygiene promoters]]+WWWW[[#This Row],['#_female hygiene promoters]]))</f>
        <v>0</v>
      </c>
      <c r="CV256"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56"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56" s="647">
        <f>IF(WWWW[[#This Row],['# People with access to soap]]&gt;WWWW[[#This Row],['# People with access to Sanity Pads]],WWWW[[#This Row],['# People with access to soap]],WWWW[[#This Row],['# People with access to Sanity Pads]])</f>
        <v>0</v>
      </c>
      <c r="CY256"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56" s="650">
        <f>IF(WWWW[[#This Row],[HRP3]]/WWWW[[#This Row],[Total PoP ]]&gt;100%,100%,WWWW[[#This Row],[HRP3]]/WWWW[[#This Row],[Total PoP ]])</f>
        <v>0</v>
      </c>
      <c r="DA256" s="649">
        <f>1-WWWW[[#This Row],[Hygiene Coverage%]]</f>
        <v>1</v>
      </c>
      <c r="DB256" s="648">
        <f>WWWW[[#This Row],['# people reached by regular dedicated hygiene promotion_5]]/WWWW[[#This Row],[Total PoP ]]</f>
        <v>0</v>
      </c>
      <c r="DC256" s="648">
        <f>IF(WWWW[[#This Row],['#_households that received standard amount of soap for this quarter]]/WWWW[[#This Row],[Total HH]]&gt;1,1,WWWW[[#This Row],['#_households that received standard amount of soap for this quarter]]/WWWW[[#This Row],[Total HH]])</f>
        <v>0</v>
      </c>
      <c r="DD256" s="648">
        <f>IF(WWWW[[#This Row],['#_households that received standard amount of sanitary pads for this quarter]]/WWWW[[#This Row],[Total HH]]&gt;1,1,WWWW[[#This Row],['#_households that received standard amount of sanitary pads for this quarter]]/WWWW[[#This Row],[Total HH]])</f>
        <v>0</v>
      </c>
      <c r="DE256" s="647">
        <f>WWWW[[#This Row],['#_Constructed/Existing hand washing stations]]-WWWW[[#This Row],['#_Non-Functional_hand_washing_stations]]</f>
        <v>0</v>
      </c>
      <c r="DF256" s="667">
        <f>IF(WWWW[[#This Row],['# Functional hand washing stations during reporting period]]*20&gt;WWWW[[#This Row],[Total HH]],WWWW[[#This Row],[Total HH]],WWWW[[#This Row],['# Functional hand washing stations during reporting period]]*20)</f>
        <v>0</v>
      </c>
      <c r="DG256" s="645">
        <f>IF(WWWW[[#This Row],[Is sufficient soap available for TLS? (Yes/No)]]="yes",WWWW[[#This Row],['#_Constructed/Existing hand washing stations at TLS]],0)</f>
        <v>0</v>
      </c>
      <c r="DH256" s="645">
        <f>IF(WWWW[[#This Row],['# Functional hand washing stations during reporting period]]*100&gt;WWWW[[#This Row],[Total PoP ]],WWWW[[#This Row],[Total PoP ]],WWWW[[#This Row],['# Functional hand washing stations during reporting period]]*100)</f>
        <v>0</v>
      </c>
      <c r="DI256" s="645" t="str">
        <f>IF(WWWW[[#This Row],['#_students at TLS_CFS]]="","No","Yes")</f>
        <v>No</v>
      </c>
      <c r="DJ256" s="643">
        <f>VLOOKUP(WWWW[[#This Row],[Site Name]],SiteDB6[[Site Name]:[CCCM Management]],6,FALSE)</f>
        <v>0</v>
      </c>
      <c r="DK256" s="643">
        <f>VLOOKUP(WWWW[[#This Row],[Site Name]],SiteDB6[[Site Name]:[CCCM Focal Agency]],7,FALSE)</f>
        <v>0</v>
      </c>
      <c r="DL256" s="643" t="str">
        <f>VLOOKUP(WWWW[[#This Row],[Site Name]],SiteDB6[[Site Name]:[Location Type 1]],9,FALSE)</f>
        <v>Village</v>
      </c>
      <c r="DM256" s="643" t="str">
        <f>VLOOKUP(WWWW[[#This Row],[Site Name]],SiteDB6[[Site Name]:[Type of Accommodation]],10,FALSE)</f>
        <v>Village</v>
      </c>
      <c r="DN256" s="643" t="str">
        <f>VLOOKUP(WWWW[[#This Row],[Site Name]],SiteDB6[[Site Name]:[Ethnic or GCA/NGCA]],11,FALSE)</f>
        <v>Muslim</v>
      </c>
      <c r="DO256" s="643">
        <f>VLOOKUP(WWWW[[#This Row],[Site Name]],SiteDB6[[Site Name]:[Lat]],12,FALSE)</f>
        <v>0</v>
      </c>
      <c r="DP256" s="643">
        <f>VLOOKUP(WWWW[[#This Row],[Site Name]],SiteDB6[[Site Name]:[Long]],13,FALSE)</f>
        <v>0</v>
      </c>
      <c r="DQ256" s="643">
        <f>VLOOKUP(WWWW[[#This Row],[Site Name]],SiteDB6[[Site Name]:[Pcode]],3,FALSE)</f>
        <v>0</v>
      </c>
      <c r="DR256" s="652" t="str">
        <f t="shared" si="8"/>
        <v>Covered</v>
      </c>
      <c r="DS256" s="652"/>
    </row>
    <row r="257" spans="1:123">
      <c r="A257" s="637" t="s">
        <v>2525</v>
      </c>
      <c r="B257" s="637" t="s">
        <v>332</v>
      </c>
      <c r="C257" s="644" t="s">
        <v>332</v>
      </c>
      <c r="D257" s="644" t="s">
        <v>325</v>
      </c>
      <c r="E257" s="663" t="s">
        <v>3014</v>
      </c>
      <c r="F257" s="644" t="s">
        <v>313</v>
      </c>
      <c r="G257" s="663" t="str">
        <f>VLOOKUP(WWWW[[#This Row],[Site Name]],SiteDB6[[Site Name]:[Location Type]],8,FALSE)</f>
        <v>Village</v>
      </c>
      <c r="H257" s="644" t="s">
        <v>456</v>
      </c>
      <c r="I257" s="646">
        <v>73</v>
      </c>
      <c r="J257" s="646">
        <v>320</v>
      </c>
      <c r="K257" s="653">
        <v>42736</v>
      </c>
      <c r="L257" s="654">
        <v>44551</v>
      </c>
      <c r="M257" s="646"/>
      <c r="N257" s="646"/>
      <c r="O257" s="646"/>
      <c r="P257" s="646"/>
      <c r="Q257" s="645"/>
      <c r="R257" s="646"/>
      <c r="S257" s="646"/>
      <c r="T257" s="646"/>
      <c r="U257" s="646"/>
      <c r="V257" s="646"/>
      <c r="W257" s="646"/>
      <c r="X257" s="646"/>
      <c r="Y257" s="646"/>
      <c r="Z257" s="646"/>
      <c r="AA257" s="646"/>
      <c r="AB257" s="646"/>
      <c r="AC257" s="646"/>
      <c r="AD257" s="646"/>
      <c r="AE257" s="646"/>
      <c r="AF257" s="646"/>
      <c r="AG257" s="646"/>
      <c r="AH257" s="646"/>
      <c r="AI257" s="646"/>
      <c r="AJ257" s="646"/>
      <c r="AK257" s="646"/>
      <c r="AL257" s="646"/>
      <c r="AM257" s="646"/>
      <c r="AN257" s="646"/>
      <c r="AO257" s="652"/>
      <c r="AP257" s="646"/>
      <c r="AQ257" s="646"/>
      <c r="AR257" s="648"/>
      <c r="AS257" s="646"/>
      <c r="AT257" s="646"/>
      <c r="AU257" s="646"/>
      <c r="AV257" s="646"/>
      <c r="AW257" s="646"/>
      <c r="AX257" s="643"/>
      <c r="AY257" s="652"/>
      <c r="AZ257" s="646"/>
      <c r="BA257" s="646"/>
      <c r="BB257" s="646"/>
      <c r="BC257" s="643"/>
      <c r="BD257" s="646"/>
      <c r="BE257" s="646"/>
      <c r="BF257" s="646"/>
      <c r="BG257" s="646"/>
      <c r="BH257" s="646"/>
      <c r="BI257" s="646"/>
      <c r="BJ257" s="646"/>
      <c r="BK257" s="646"/>
      <c r="BL257" s="646"/>
      <c r="BM257" s="643"/>
      <c r="BN257" s="647"/>
      <c r="BO257" s="648"/>
      <c r="BP257" s="643"/>
      <c r="BQ257" s="649" t="str">
        <f>IFERROR(WWWW[[#This Row],['#_Water sources treated]]/WWWW[[#This Row],['#_Water sources tested for contamination]],"no test")</f>
        <v>no test</v>
      </c>
      <c r="BR257" s="648" t="str">
        <f>IFERROR(WWWW[[#This Row],['#_Household received remediation action due to contamination]]/WWWW[[#This Row],['#_Household water samples tested for contamination]],"no test")</f>
        <v>no test</v>
      </c>
      <c r="BS257" s="647" t="str">
        <f>IF(AND(WWWW[[#This Row],[% of water sources treated]]="no test",WWWW[[#This Row],[% Household received corrective actions]]="no test"),"No Test","Tested")</f>
        <v>No Test</v>
      </c>
      <c r="BT257" s="647">
        <f>WWWW[[#This Row],['#_Constructed/existing protected hand dug well]]-WWWW[[#This Row],['#_Non-functional protected hand dug well]]</f>
        <v>0</v>
      </c>
      <c r="BU257" s="647">
        <f>(WWWW[[#This Row],['#_Constructed/Existing tube wells/boreholes/handpumps_WASH_agency]]+WWWW[[#This Row],['#_Non-Cluster partner water tube-wells/boreholes/handpumps]])-WWWW[[#This Row],['#_Non-functional tube wells/boreholes/handpumps]]</f>
        <v>0</v>
      </c>
      <c r="BV257" s="647">
        <f>WWWW[[#This Row],['#_Constructed/Existingwater storage tank with gravity fed reticulation system]]-WWWW[[#This Row],['#_Non-functional storage tank gravity fed reticulation system]]</f>
        <v>0</v>
      </c>
      <c r="BW257" s="647">
        <f>WWWW[[#This Row],['#_Water boating or water trucking]]</f>
        <v>0</v>
      </c>
      <c r="BX257" s="647">
        <f>WWWW[[#This Row],['#_Constructed/Existing water distribution system from river or natural spring]]</f>
        <v>0</v>
      </c>
      <c r="BY257"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57"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57" s="648">
        <f>IF(WWWW[[#This Row],[Location Type 1]]="Village",WWWW[[#This Row],[Access to safe drinking water for Village]],WWWW[[#This Row],[Access to safe drinking water for Camp]])</f>
        <v>0</v>
      </c>
      <c r="CB257" s="645">
        <f>WWWW[[#This Row],[%Equitable and continuous access to sufficient quantity of safe drinking water]]*WWWW[[#This Row],[Total PoP ]]</f>
        <v>0</v>
      </c>
      <c r="CC257" s="648">
        <f>IF((WWWW[[#This Row],['#_Constructed/Existing protected/fenced ponds]]*250)/WWWW[[#This Row],[Total PoP ]]&gt;1,1,(WWWW[[#This Row],['#_Constructed/Existing protected/fenced ponds]]*250)/WWWW[[#This Row],[Total PoP ]])</f>
        <v>0</v>
      </c>
      <c r="CD257" s="645">
        <f>WWWW[[#This Row],[% Access to unimproved water points]]*WWWW[[#This Row],[Total PoP ]]</f>
        <v>0</v>
      </c>
      <c r="CE257"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57"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57" s="645">
        <f>WWWW[[#This Row],[HRP1]]/500</f>
        <v>0</v>
      </c>
      <c r="CH257" s="650">
        <f>1-WWWW[[#This Row],[% Equitable and continuous access to sufficient quantity of domestic water]]</f>
        <v>1</v>
      </c>
      <c r="CI257" s="645">
        <f>WWWW[[#This Row],[%equitable and continuous access to sufficient quantity of safe drinking and domestic water''s GAP]]*WWWW[[#This Row],[Total PoP ]]</f>
        <v>320</v>
      </c>
      <c r="CJ257" s="647">
        <f>IF(WWWW[[#This Row],[Total required water points]]-WWWW[[#This Row],['#Water points coverage]]&lt;0,0,WWWW[[#This Row],[Total required water points]]-WWWW[[#This Row],['#Water points coverage]])</f>
        <v>1</v>
      </c>
      <c r="CK257" s="647">
        <f>ROUND(IF(WWWW[[#This Row],[Total PoP ]]&lt;500,1,WWWW[[#This Row],[Total PoP ]]/500),0)</f>
        <v>1</v>
      </c>
      <c r="CL257" s="647">
        <f>(WWWW[[#This Row],['#_Constructed latrines_by_WASHAgencies]]+WWWW[[#This Row],['#_Non Cluster partner latrines]])-WWWW[[#This Row],['#_Non-functional latrines]]</f>
        <v>0</v>
      </c>
      <c r="CM257"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57"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57"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57" s="647" t="str">
        <f>IF(WWWW[[#This Row],[Location Type 1]]="Village","NA",IF(WWWW[[#This Row],['#_Constructed/Existing latrines in TLS]]*50&gt;WWWW[[#This Row],['#_students at TLS_CFS]],WWWW[[#This Row],['#_students at TLS_CFS]],(WWWW[[#This Row],['#_Constructed/Existing latrines in TLS]]*50)))</f>
        <v>NA</v>
      </c>
      <c r="CQ257" s="647">
        <f>ROUND(IF(WWWW[[#This Row],[Location Type 1]]="camp",WWWW[[#This Row],[Total PoP ]]/20,IF(WWWW[[#This Row],[Location Type 1]]="Temporary Location",WWWW[[#This Row],[Total PoP ]]/50,(WWWW[[#This Row],[Total PoP ]]/6))),0)</f>
        <v>53</v>
      </c>
      <c r="CR257" s="647">
        <f>IF(WWWW[[#This Row],[Total required Latrines]]-(WWWW[[#This Row],['#_Constructed latrines_by_WASHAgencies]]+WWWW[[#This Row],['#_Non Cluster partner latrines]])&lt;0,0,WWWW[[#This Row],[Total required Latrines]]-(WWWW[[#This Row],['#_Constructed latrines_by_WASHAgencies]]+WWWW[[#This Row],['#_Non Cluster partner latrines]]))</f>
        <v>53</v>
      </c>
      <c r="CS257" s="79">
        <f>1-WWWW[[#This Row],[% people access to functioning Latrine]]</f>
        <v>1</v>
      </c>
      <c r="CT257" s="649">
        <f>IF(OR(WWWW[[#This Row],['#_Non-functional latrines]]="",WWWW[[#This Row],['#_Non-functional latrines]]=0),0,WWWW[[#This Row],['#_Non-functional latrines]]/(WWWW[[#This Row],['#_Constructed latrines_by_WASHAgencies]]+WWWW[[#This Row],['#_Non Cluster partner latrines]]))</f>
        <v>0</v>
      </c>
      <c r="CU257" s="645">
        <f>IF(500*(WWWW[[#This Row],['#_male hygiene promoters]]+WWWW[[#This Row],['#_female hygiene promoters]])&gt;WWWW[[#This Row],[Total PoP ]],WWWW[[#This Row],[Total PoP ]],500*(WWWW[[#This Row],['#_male hygiene promoters]]+WWWW[[#This Row],['#_female hygiene promoters]]))</f>
        <v>0</v>
      </c>
      <c r="CV257"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57"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57" s="647">
        <f>IF(WWWW[[#This Row],['# People with access to soap]]&gt;WWWW[[#This Row],['# People with access to Sanity Pads]],WWWW[[#This Row],['# People with access to soap]],WWWW[[#This Row],['# People with access to Sanity Pads]])</f>
        <v>0</v>
      </c>
      <c r="CY257"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57" s="650">
        <f>IF(WWWW[[#This Row],[HRP3]]/WWWW[[#This Row],[Total PoP ]]&gt;100%,100%,WWWW[[#This Row],[HRP3]]/WWWW[[#This Row],[Total PoP ]])</f>
        <v>0</v>
      </c>
      <c r="DA257" s="649">
        <f>1-WWWW[[#This Row],[Hygiene Coverage%]]</f>
        <v>1</v>
      </c>
      <c r="DB257" s="648">
        <f>WWWW[[#This Row],['# people reached by regular dedicated hygiene promotion_5]]/WWWW[[#This Row],[Total PoP ]]</f>
        <v>0</v>
      </c>
      <c r="DC257" s="648">
        <f>IF(WWWW[[#This Row],['#_households that received standard amount of soap for this quarter]]/WWWW[[#This Row],[Total HH]]&gt;1,1,WWWW[[#This Row],['#_households that received standard amount of soap for this quarter]]/WWWW[[#This Row],[Total HH]])</f>
        <v>0</v>
      </c>
      <c r="DD257" s="648">
        <f>IF(WWWW[[#This Row],['#_households that received standard amount of sanitary pads for this quarter]]/WWWW[[#This Row],[Total HH]]&gt;1,1,WWWW[[#This Row],['#_households that received standard amount of sanitary pads for this quarter]]/WWWW[[#This Row],[Total HH]])</f>
        <v>0</v>
      </c>
      <c r="DE257" s="647">
        <f>WWWW[[#This Row],['#_Constructed/Existing hand washing stations]]-WWWW[[#This Row],['#_Non-Functional_hand_washing_stations]]</f>
        <v>0</v>
      </c>
      <c r="DF257" s="667">
        <f>IF(WWWW[[#This Row],['# Functional hand washing stations during reporting period]]*20&gt;WWWW[[#This Row],[Total HH]],WWWW[[#This Row],[Total HH]],WWWW[[#This Row],['# Functional hand washing stations during reporting period]]*20)</f>
        <v>0</v>
      </c>
      <c r="DG257" s="645">
        <f>IF(WWWW[[#This Row],[Is sufficient soap available for TLS? (Yes/No)]]="yes",WWWW[[#This Row],['#_Constructed/Existing hand washing stations at TLS]],0)</f>
        <v>0</v>
      </c>
      <c r="DH257" s="645">
        <f>IF(WWWW[[#This Row],['# Functional hand washing stations during reporting period]]*100&gt;WWWW[[#This Row],[Total PoP ]],WWWW[[#This Row],[Total PoP ]],WWWW[[#This Row],['# Functional hand washing stations during reporting period]]*100)</f>
        <v>0</v>
      </c>
      <c r="DI257" s="645" t="str">
        <f>IF(WWWW[[#This Row],['#_students at TLS_CFS]]="","No","Yes")</f>
        <v>No</v>
      </c>
      <c r="DJ257" s="643">
        <f>VLOOKUP(WWWW[[#This Row],[Site Name]],SiteDB6[[Site Name]:[CCCM Management]],6,FALSE)</f>
        <v>0</v>
      </c>
      <c r="DK257" s="643">
        <f>VLOOKUP(WWWW[[#This Row],[Site Name]],SiteDB6[[Site Name]:[CCCM Focal Agency]],7,FALSE)</f>
        <v>0</v>
      </c>
      <c r="DL257" s="643" t="str">
        <f>VLOOKUP(WWWW[[#This Row],[Site Name]],SiteDB6[[Site Name]:[Location Type 1]],9,FALSE)</f>
        <v>Village</v>
      </c>
      <c r="DM257" s="643" t="str">
        <f>VLOOKUP(WWWW[[#This Row],[Site Name]],SiteDB6[[Site Name]:[Type of Accommodation]],10,FALSE)</f>
        <v>Village</v>
      </c>
      <c r="DN257" s="643" t="str">
        <f>VLOOKUP(WWWW[[#This Row],[Site Name]],SiteDB6[[Site Name]:[Ethnic or GCA/NGCA]],11,FALSE)</f>
        <v>Rakhine</v>
      </c>
      <c r="DO257" s="643">
        <f>VLOOKUP(WWWW[[#This Row],[Site Name]],SiteDB6[[Site Name]:[Lat]],12,FALSE)</f>
        <v>20.2023601531982</v>
      </c>
      <c r="DP257" s="643">
        <f>VLOOKUP(WWWW[[#This Row],[Site Name]],SiteDB6[[Site Name]:[Long]],13,FALSE)</f>
        <v>92.812782287597699</v>
      </c>
      <c r="DQ257" s="643">
        <f>VLOOKUP(WWWW[[#This Row],[Site Name]],SiteDB6[[Site Name]:[Pcode]],3,FALSE)</f>
        <v>196159</v>
      </c>
      <c r="DR257" s="652" t="str">
        <f t="shared" si="8"/>
        <v>Covered</v>
      </c>
      <c r="DS257" s="652"/>
    </row>
    <row r="258" spans="1:123">
      <c r="A258" s="637" t="s">
        <v>2525</v>
      </c>
      <c r="B258" s="637" t="s">
        <v>332</v>
      </c>
      <c r="C258" s="644" t="s">
        <v>332</v>
      </c>
      <c r="D258" s="644" t="s">
        <v>325</v>
      </c>
      <c r="E258" s="663" t="s">
        <v>3014</v>
      </c>
      <c r="F258" s="644" t="s">
        <v>313</v>
      </c>
      <c r="G258" s="663" t="str">
        <f>VLOOKUP(WWWW[[#This Row],[Site Name]],SiteDB6[[Site Name]:[Location Type]],8,FALSE)</f>
        <v>Village</v>
      </c>
      <c r="H258" s="644" t="s">
        <v>2893</v>
      </c>
      <c r="I258" s="646">
        <v>266</v>
      </c>
      <c r="J258" s="646">
        <v>1416</v>
      </c>
      <c r="K258" s="653">
        <v>42736</v>
      </c>
      <c r="L258" s="654">
        <v>44551</v>
      </c>
      <c r="M258" s="646"/>
      <c r="N258" s="646"/>
      <c r="O258" s="646"/>
      <c r="P258" s="646"/>
      <c r="Q258" s="645"/>
      <c r="R258" s="646"/>
      <c r="S258" s="646"/>
      <c r="T258" s="646"/>
      <c r="U258" s="646"/>
      <c r="V258" s="646"/>
      <c r="W258" s="646"/>
      <c r="X258" s="646"/>
      <c r="Y258" s="646"/>
      <c r="Z258" s="646"/>
      <c r="AA258" s="646"/>
      <c r="AB258" s="646"/>
      <c r="AC258" s="646"/>
      <c r="AD258" s="646"/>
      <c r="AE258" s="646"/>
      <c r="AF258" s="646"/>
      <c r="AG258" s="646"/>
      <c r="AH258" s="646"/>
      <c r="AI258" s="646"/>
      <c r="AJ258" s="646"/>
      <c r="AK258" s="646"/>
      <c r="AL258" s="646"/>
      <c r="AM258" s="646"/>
      <c r="AN258" s="646"/>
      <c r="AO258" s="652"/>
      <c r="AP258" s="646"/>
      <c r="AQ258" s="646"/>
      <c r="AR258" s="648"/>
      <c r="AS258" s="646"/>
      <c r="AT258" s="646"/>
      <c r="AU258" s="646"/>
      <c r="AV258" s="646"/>
      <c r="AW258" s="646"/>
      <c r="AX258" s="643"/>
      <c r="AY258" s="652"/>
      <c r="AZ258" s="646"/>
      <c r="BA258" s="646"/>
      <c r="BB258" s="646"/>
      <c r="BC258" s="643"/>
      <c r="BD258" s="646"/>
      <c r="BE258" s="646"/>
      <c r="BF258" s="646"/>
      <c r="BG258" s="646"/>
      <c r="BH258" s="646"/>
      <c r="BI258" s="646"/>
      <c r="BJ258" s="646"/>
      <c r="BK258" s="646"/>
      <c r="BL258" s="646"/>
      <c r="BM258" s="643"/>
      <c r="BN258" s="647"/>
      <c r="BO258" s="648"/>
      <c r="BP258" s="643"/>
      <c r="BQ258" s="649" t="str">
        <f>IFERROR(WWWW[[#This Row],['#_Water sources treated]]/WWWW[[#This Row],['#_Water sources tested for contamination]],"no test")</f>
        <v>no test</v>
      </c>
      <c r="BR258" s="648" t="str">
        <f>IFERROR(WWWW[[#This Row],['#_Household received remediation action due to contamination]]/WWWW[[#This Row],['#_Household water samples tested for contamination]],"no test")</f>
        <v>no test</v>
      </c>
      <c r="BS258" s="647" t="str">
        <f>IF(AND(WWWW[[#This Row],[% of water sources treated]]="no test",WWWW[[#This Row],[% Household received corrective actions]]="no test"),"No Test","Tested")</f>
        <v>No Test</v>
      </c>
      <c r="BT258" s="647">
        <f>WWWW[[#This Row],['#_Constructed/existing protected hand dug well]]-WWWW[[#This Row],['#_Non-functional protected hand dug well]]</f>
        <v>0</v>
      </c>
      <c r="BU258" s="647">
        <f>(WWWW[[#This Row],['#_Constructed/Existing tube wells/boreholes/handpumps_WASH_agency]]+WWWW[[#This Row],['#_Non-Cluster partner water tube-wells/boreholes/handpumps]])-WWWW[[#This Row],['#_Non-functional tube wells/boreholes/handpumps]]</f>
        <v>0</v>
      </c>
      <c r="BV258" s="647">
        <f>WWWW[[#This Row],['#_Constructed/Existingwater storage tank with gravity fed reticulation system]]-WWWW[[#This Row],['#_Non-functional storage tank gravity fed reticulation system]]</f>
        <v>0</v>
      </c>
      <c r="BW258" s="647">
        <f>WWWW[[#This Row],['#_Water boating or water trucking]]</f>
        <v>0</v>
      </c>
      <c r="BX258" s="647">
        <f>WWWW[[#This Row],['#_Constructed/Existing water distribution system from river or natural spring]]</f>
        <v>0</v>
      </c>
      <c r="BY258"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58"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58" s="648">
        <f>IF(WWWW[[#This Row],[Location Type 1]]="Village",WWWW[[#This Row],[Access to safe drinking water for Village]],WWWW[[#This Row],[Access to safe drinking water for Camp]])</f>
        <v>0</v>
      </c>
      <c r="CB258" s="645">
        <f>WWWW[[#This Row],[%Equitable and continuous access to sufficient quantity of safe drinking water]]*WWWW[[#This Row],[Total PoP ]]</f>
        <v>0</v>
      </c>
      <c r="CC258" s="648">
        <f>IF((WWWW[[#This Row],['#_Constructed/Existing protected/fenced ponds]]*250)/WWWW[[#This Row],[Total PoP ]]&gt;1,1,(WWWW[[#This Row],['#_Constructed/Existing protected/fenced ponds]]*250)/WWWW[[#This Row],[Total PoP ]])</f>
        <v>0</v>
      </c>
      <c r="CD258" s="645">
        <f>WWWW[[#This Row],[% Access to unimproved water points]]*WWWW[[#This Row],[Total PoP ]]</f>
        <v>0</v>
      </c>
      <c r="CE258"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58"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58" s="645">
        <f>WWWW[[#This Row],[HRP1]]/500</f>
        <v>0</v>
      </c>
      <c r="CH258" s="650">
        <f>1-WWWW[[#This Row],[% Equitable and continuous access to sufficient quantity of domestic water]]</f>
        <v>1</v>
      </c>
      <c r="CI258" s="645">
        <f>WWWW[[#This Row],[%equitable and continuous access to sufficient quantity of safe drinking and domestic water''s GAP]]*WWWW[[#This Row],[Total PoP ]]</f>
        <v>1416</v>
      </c>
      <c r="CJ258" s="647">
        <f>IF(WWWW[[#This Row],[Total required water points]]-WWWW[[#This Row],['#Water points coverage]]&lt;0,0,WWWW[[#This Row],[Total required water points]]-WWWW[[#This Row],['#Water points coverage]])</f>
        <v>3</v>
      </c>
      <c r="CK258" s="647">
        <f>ROUND(IF(WWWW[[#This Row],[Total PoP ]]&lt;500,1,WWWW[[#This Row],[Total PoP ]]/500),0)</f>
        <v>3</v>
      </c>
      <c r="CL258" s="647">
        <f>(WWWW[[#This Row],['#_Constructed latrines_by_WASHAgencies]]+WWWW[[#This Row],['#_Non Cluster partner latrines]])-WWWW[[#This Row],['#_Non-functional latrines]]</f>
        <v>0</v>
      </c>
      <c r="CM258"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58"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58"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58" s="647" t="str">
        <f>IF(WWWW[[#This Row],[Location Type 1]]="Village","NA",IF(WWWW[[#This Row],['#_Constructed/Existing latrines in TLS]]*50&gt;WWWW[[#This Row],['#_students at TLS_CFS]],WWWW[[#This Row],['#_students at TLS_CFS]],(WWWW[[#This Row],['#_Constructed/Existing latrines in TLS]]*50)))</f>
        <v>NA</v>
      </c>
      <c r="CQ258" s="647">
        <f>ROUND(IF(WWWW[[#This Row],[Location Type 1]]="camp",WWWW[[#This Row],[Total PoP ]]/20,IF(WWWW[[#This Row],[Location Type 1]]="Temporary Location",WWWW[[#This Row],[Total PoP ]]/50,(WWWW[[#This Row],[Total PoP ]]/6))),0)</f>
        <v>236</v>
      </c>
      <c r="CR258" s="647">
        <f>IF(WWWW[[#This Row],[Total required Latrines]]-(WWWW[[#This Row],['#_Constructed latrines_by_WASHAgencies]]+WWWW[[#This Row],['#_Non Cluster partner latrines]])&lt;0,0,WWWW[[#This Row],[Total required Latrines]]-(WWWW[[#This Row],['#_Constructed latrines_by_WASHAgencies]]+WWWW[[#This Row],['#_Non Cluster partner latrines]]))</f>
        <v>236</v>
      </c>
      <c r="CS258" s="79">
        <f>1-WWWW[[#This Row],[% people access to functioning Latrine]]</f>
        <v>1</v>
      </c>
      <c r="CT258" s="649">
        <f>IF(OR(WWWW[[#This Row],['#_Non-functional latrines]]="",WWWW[[#This Row],['#_Non-functional latrines]]=0),0,WWWW[[#This Row],['#_Non-functional latrines]]/(WWWW[[#This Row],['#_Constructed latrines_by_WASHAgencies]]+WWWW[[#This Row],['#_Non Cluster partner latrines]]))</f>
        <v>0</v>
      </c>
      <c r="CU258" s="645">
        <f>IF(500*(WWWW[[#This Row],['#_male hygiene promoters]]+WWWW[[#This Row],['#_female hygiene promoters]])&gt;WWWW[[#This Row],[Total PoP ]],WWWW[[#This Row],[Total PoP ]],500*(WWWW[[#This Row],['#_male hygiene promoters]]+WWWW[[#This Row],['#_female hygiene promoters]]))</f>
        <v>0</v>
      </c>
      <c r="CV258"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58"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58" s="647">
        <f>IF(WWWW[[#This Row],['# People with access to soap]]&gt;WWWW[[#This Row],['# People with access to Sanity Pads]],WWWW[[#This Row],['# People with access to soap]],WWWW[[#This Row],['# People with access to Sanity Pads]])</f>
        <v>0</v>
      </c>
      <c r="CY258"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58" s="650">
        <f>IF(WWWW[[#This Row],[HRP3]]/WWWW[[#This Row],[Total PoP ]]&gt;100%,100%,WWWW[[#This Row],[HRP3]]/WWWW[[#This Row],[Total PoP ]])</f>
        <v>0</v>
      </c>
      <c r="DA258" s="649">
        <f>1-WWWW[[#This Row],[Hygiene Coverage%]]</f>
        <v>1</v>
      </c>
      <c r="DB258" s="648">
        <f>WWWW[[#This Row],['# people reached by regular dedicated hygiene promotion_5]]/WWWW[[#This Row],[Total PoP ]]</f>
        <v>0</v>
      </c>
      <c r="DC258" s="648">
        <f>IF(WWWW[[#This Row],['#_households that received standard amount of soap for this quarter]]/WWWW[[#This Row],[Total HH]]&gt;1,1,WWWW[[#This Row],['#_households that received standard amount of soap for this quarter]]/WWWW[[#This Row],[Total HH]])</f>
        <v>0</v>
      </c>
      <c r="DD258" s="648">
        <f>IF(WWWW[[#This Row],['#_households that received standard amount of sanitary pads for this quarter]]/WWWW[[#This Row],[Total HH]]&gt;1,1,WWWW[[#This Row],['#_households that received standard amount of sanitary pads for this quarter]]/WWWW[[#This Row],[Total HH]])</f>
        <v>0</v>
      </c>
      <c r="DE258" s="647">
        <f>WWWW[[#This Row],['#_Constructed/Existing hand washing stations]]-WWWW[[#This Row],['#_Non-Functional_hand_washing_stations]]</f>
        <v>0</v>
      </c>
      <c r="DF258" s="667">
        <f>IF(WWWW[[#This Row],['# Functional hand washing stations during reporting period]]*20&gt;WWWW[[#This Row],[Total HH]],WWWW[[#This Row],[Total HH]],WWWW[[#This Row],['# Functional hand washing stations during reporting period]]*20)</f>
        <v>0</v>
      </c>
      <c r="DG258" s="645">
        <f>IF(WWWW[[#This Row],[Is sufficient soap available for TLS? (Yes/No)]]="yes",WWWW[[#This Row],['#_Constructed/Existing hand washing stations at TLS]],0)</f>
        <v>0</v>
      </c>
      <c r="DH258" s="645">
        <f>IF(WWWW[[#This Row],['# Functional hand washing stations during reporting period]]*100&gt;WWWW[[#This Row],[Total PoP ]],WWWW[[#This Row],[Total PoP ]],WWWW[[#This Row],['# Functional hand washing stations during reporting period]]*100)</f>
        <v>0</v>
      </c>
      <c r="DI258" s="645" t="str">
        <f>IF(WWWW[[#This Row],['#_students at TLS_CFS]]="","No","Yes")</f>
        <v>No</v>
      </c>
      <c r="DJ258" s="643">
        <f>VLOOKUP(WWWW[[#This Row],[Site Name]],SiteDB6[[Site Name]:[CCCM Management]],6,FALSE)</f>
        <v>0</v>
      </c>
      <c r="DK258" s="643">
        <f>VLOOKUP(WWWW[[#This Row],[Site Name]],SiteDB6[[Site Name]:[CCCM Focal Agency]],7,FALSE)</f>
        <v>0</v>
      </c>
      <c r="DL258" s="643" t="str">
        <f>VLOOKUP(WWWW[[#This Row],[Site Name]],SiteDB6[[Site Name]:[Location Type 1]],9,FALSE)</f>
        <v>Village</v>
      </c>
      <c r="DM258" s="643" t="str">
        <f>VLOOKUP(WWWW[[#This Row],[Site Name]],SiteDB6[[Site Name]:[Type of Accommodation]],10,FALSE)</f>
        <v>Village</v>
      </c>
      <c r="DN258" s="643">
        <f>VLOOKUP(WWWW[[#This Row],[Site Name]],SiteDB6[[Site Name]:[Ethnic or GCA/NGCA]],11,FALSE)</f>
        <v>0</v>
      </c>
      <c r="DO258" s="643">
        <f>VLOOKUP(WWWW[[#This Row],[Site Name]],SiteDB6[[Site Name]:[Lat]],12,FALSE)</f>
        <v>20.199499130248999</v>
      </c>
      <c r="DP258" s="643">
        <f>VLOOKUP(WWWW[[#This Row],[Site Name]],SiteDB6[[Site Name]:[Long]],13,FALSE)</f>
        <v>92.834327697753906</v>
      </c>
      <c r="DQ258" s="643">
        <f>VLOOKUP(WWWW[[#This Row],[Site Name]],SiteDB6[[Site Name]:[Pcode]],3,FALSE)</f>
        <v>196126</v>
      </c>
      <c r="DR258" s="652" t="str">
        <f t="shared" si="8"/>
        <v>Covered</v>
      </c>
      <c r="DS258" s="652"/>
    </row>
    <row r="259" spans="1:123">
      <c r="A259" s="637" t="s">
        <v>2525</v>
      </c>
      <c r="B259" s="637" t="s">
        <v>332</v>
      </c>
      <c r="C259" s="644" t="s">
        <v>332</v>
      </c>
      <c r="D259" s="644" t="s">
        <v>325</v>
      </c>
      <c r="E259" s="663" t="s">
        <v>3014</v>
      </c>
      <c r="F259" s="644" t="s">
        <v>313</v>
      </c>
      <c r="G259" s="663" t="str">
        <f>VLOOKUP(WWWW[[#This Row],[Site Name]],SiteDB6[[Site Name]:[Location Type]],8,FALSE)</f>
        <v>Village</v>
      </c>
      <c r="H259" s="644" t="s">
        <v>2894</v>
      </c>
      <c r="I259" s="646">
        <v>179</v>
      </c>
      <c r="J259" s="646">
        <v>853</v>
      </c>
      <c r="K259" s="653">
        <v>42736</v>
      </c>
      <c r="L259" s="654">
        <v>44551</v>
      </c>
      <c r="M259" s="646"/>
      <c r="N259" s="646"/>
      <c r="O259" s="646"/>
      <c r="P259" s="646"/>
      <c r="Q259" s="645"/>
      <c r="R259" s="646"/>
      <c r="S259" s="646"/>
      <c r="T259" s="646"/>
      <c r="U259" s="646"/>
      <c r="V259" s="646"/>
      <c r="W259" s="646"/>
      <c r="X259" s="646"/>
      <c r="Y259" s="646"/>
      <c r="Z259" s="646"/>
      <c r="AA259" s="646"/>
      <c r="AB259" s="646"/>
      <c r="AC259" s="646"/>
      <c r="AD259" s="646"/>
      <c r="AE259" s="646"/>
      <c r="AF259" s="646"/>
      <c r="AG259" s="646"/>
      <c r="AH259" s="646"/>
      <c r="AI259" s="646"/>
      <c r="AJ259" s="646"/>
      <c r="AK259" s="646"/>
      <c r="AL259" s="646"/>
      <c r="AM259" s="646"/>
      <c r="AN259" s="646"/>
      <c r="AO259" s="652"/>
      <c r="AP259" s="646"/>
      <c r="AQ259" s="646"/>
      <c r="AR259" s="648"/>
      <c r="AS259" s="646"/>
      <c r="AT259" s="646"/>
      <c r="AU259" s="646"/>
      <c r="AV259" s="646"/>
      <c r="AW259" s="646"/>
      <c r="AX259" s="643"/>
      <c r="AY259" s="652"/>
      <c r="AZ259" s="646"/>
      <c r="BA259" s="646"/>
      <c r="BB259" s="646"/>
      <c r="BC259" s="643"/>
      <c r="BD259" s="646"/>
      <c r="BE259" s="646"/>
      <c r="BF259" s="646"/>
      <c r="BG259" s="646"/>
      <c r="BH259" s="646"/>
      <c r="BI259" s="646"/>
      <c r="BJ259" s="646"/>
      <c r="BK259" s="646"/>
      <c r="BL259" s="646"/>
      <c r="BM259" s="643"/>
      <c r="BN259" s="647"/>
      <c r="BO259" s="648"/>
      <c r="BP259" s="643"/>
      <c r="BQ259" s="649" t="str">
        <f>IFERROR(WWWW[[#This Row],['#_Water sources treated]]/WWWW[[#This Row],['#_Water sources tested for contamination]],"no test")</f>
        <v>no test</v>
      </c>
      <c r="BR259" s="648" t="str">
        <f>IFERROR(WWWW[[#This Row],['#_Household received remediation action due to contamination]]/WWWW[[#This Row],['#_Household water samples tested for contamination]],"no test")</f>
        <v>no test</v>
      </c>
      <c r="BS259" s="647" t="str">
        <f>IF(AND(WWWW[[#This Row],[% of water sources treated]]="no test",WWWW[[#This Row],[% Household received corrective actions]]="no test"),"No Test","Tested")</f>
        <v>No Test</v>
      </c>
      <c r="BT259" s="647">
        <f>WWWW[[#This Row],['#_Constructed/existing protected hand dug well]]-WWWW[[#This Row],['#_Non-functional protected hand dug well]]</f>
        <v>0</v>
      </c>
      <c r="BU259" s="647">
        <f>(WWWW[[#This Row],['#_Constructed/Existing tube wells/boreholes/handpumps_WASH_agency]]+WWWW[[#This Row],['#_Non-Cluster partner water tube-wells/boreholes/handpumps]])-WWWW[[#This Row],['#_Non-functional tube wells/boreholes/handpumps]]</f>
        <v>0</v>
      </c>
      <c r="BV259" s="647">
        <f>WWWW[[#This Row],['#_Constructed/Existingwater storage tank with gravity fed reticulation system]]-WWWW[[#This Row],['#_Non-functional storage tank gravity fed reticulation system]]</f>
        <v>0</v>
      </c>
      <c r="BW259" s="647">
        <f>WWWW[[#This Row],['#_Water boating or water trucking]]</f>
        <v>0</v>
      </c>
      <c r="BX259" s="647">
        <f>WWWW[[#This Row],['#_Constructed/Existing water distribution system from river or natural spring]]</f>
        <v>0</v>
      </c>
      <c r="BY259"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59"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59" s="648">
        <f>IF(WWWW[[#This Row],[Location Type 1]]="Village",WWWW[[#This Row],[Access to safe drinking water for Village]],WWWW[[#This Row],[Access to safe drinking water for Camp]])</f>
        <v>0</v>
      </c>
      <c r="CB259" s="645">
        <f>WWWW[[#This Row],[%Equitable and continuous access to sufficient quantity of safe drinking water]]*WWWW[[#This Row],[Total PoP ]]</f>
        <v>0</v>
      </c>
      <c r="CC259" s="648">
        <f>IF((WWWW[[#This Row],['#_Constructed/Existing protected/fenced ponds]]*250)/WWWW[[#This Row],[Total PoP ]]&gt;1,1,(WWWW[[#This Row],['#_Constructed/Existing protected/fenced ponds]]*250)/WWWW[[#This Row],[Total PoP ]])</f>
        <v>0</v>
      </c>
      <c r="CD259" s="645">
        <f>WWWW[[#This Row],[% Access to unimproved water points]]*WWWW[[#This Row],[Total PoP ]]</f>
        <v>0</v>
      </c>
      <c r="CE259"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59"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59" s="645">
        <f>WWWW[[#This Row],[HRP1]]/500</f>
        <v>0</v>
      </c>
      <c r="CH259" s="650">
        <f>1-WWWW[[#This Row],[% Equitable and continuous access to sufficient quantity of domestic water]]</f>
        <v>1</v>
      </c>
      <c r="CI259" s="645">
        <f>WWWW[[#This Row],[%equitable and continuous access to sufficient quantity of safe drinking and domestic water''s GAP]]*WWWW[[#This Row],[Total PoP ]]</f>
        <v>853</v>
      </c>
      <c r="CJ259" s="647">
        <f>IF(WWWW[[#This Row],[Total required water points]]-WWWW[[#This Row],['#Water points coverage]]&lt;0,0,WWWW[[#This Row],[Total required water points]]-WWWW[[#This Row],['#Water points coverage]])</f>
        <v>2</v>
      </c>
      <c r="CK259" s="647">
        <f>ROUND(IF(WWWW[[#This Row],[Total PoP ]]&lt;500,1,WWWW[[#This Row],[Total PoP ]]/500),0)</f>
        <v>2</v>
      </c>
      <c r="CL259" s="647">
        <f>(WWWW[[#This Row],['#_Constructed latrines_by_WASHAgencies]]+WWWW[[#This Row],['#_Non Cluster partner latrines]])-WWWW[[#This Row],['#_Non-functional latrines]]</f>
        <v>0</v>
      </c>
      <c r="CM259"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59"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59"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59" s="647" t="str">
        <f>IF(WWWW[[#This Row],[Location Type 1]]="Village","NA",IF(WWWW[[#This Row],['#_Constructed/Existing latrines in TLS]]*50&gt;WWWW[[#This Row],['#_students at TLS_CFS]],WWWW[[#This Row],['#_students at TLS_CFS]],(WWWW[[#This Row],['#_Constructed/Existing latrines in TLS]]*50)))</f>
        <v>NA</v>
      </c>
      <c r="CQ259" s="647">
        <f>ROUND(IF(WWWW[[#This Row],[Location Type 1]]="camp",WWWW[[#This Row],[Total PoP ]]/20,IF(WWWW[[#This Row],[Location Type 1]]="Temporary Location",WWWW[[#This Row],[Total PoP ]]/50,(WWWW[[#This Row],[Total PoP ]]/6))),0)</f>
        <v>142</v>
      </c>
      <c r="CR259" s="647">
        <f>IF(WWWW[[#This Row],[Total required Latrines]]-(WWWW[[#This Row],['#_Constructed latrines_by_WASHAgencies]]+WWWW[[#This Row],['#_Non Cluster partner latrines]])&lt;0,0,WWWW[[#This Row],[Total required Latrines]]-(WWWW[[#This Row],['#_Constructed latrines_by_WASHAgencies]]+WWWW[[#This Row],['#_Non Cluster partner latrines]]))</f>
        <v>142</v>
      </c>
      <c r="CS259" s="79">
        <f>1-WWWW[[#This Row],[% people access to functioning Latrine]]</f>
        <v>1</v>
      </c>
      <c r="CT259" s="649">
        <f>IF(OR(WWWW[[#This Row],['#_Non-functional latrines]]="",WWWW[[#This Row],['#_Non-functional latrines]]=0),0,WWWW[[#This Row],['#_Non-functional latrines]]/(WWWW[[#This Row],['#_Constructed latrines_by_WASHAgencies]]+WWWW[[#This Row],['#_Non Cluster partner latrines]]))</f>
        <v>0</v>
      </c>
      <c r="CU259" s="645">
        <f>IF(500*(WWWW[[#This Row],['#_male hygiene promoters]]+WWWW[[#This Row],['#_female hygiene promoters]])&gt;WWWW[[#This Row],[Total PoP ]],WWWW[[#This Row],[Total PoP ]],500*(WWWW[[#This Row],['#_male hygiene promoters]]+WWWW[[#This Row],['#_female hygiene promoters]]))</f>
        <v>0</v>
      </c>
      <c r="CV259"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59"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59" s="647">
        <f>IF(WWWW[[#This Row],['# People with access to soap]]&gt;WWWW[[#This Row],['# People with access to Sanity Pads]],WWWW[[#This Row],['# People with access to soap]],WWWW[[#This Row],['# People with access to Sanity Pads]])</f>
        <v>0</v>
      </c>
      <c r="CY259"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59" s="650">
        <f>IF(WWWW[[#This Row],[HRP3]]/WWWW[[#This Row],[Total PoP ]]&gt;100%,100%,WWWW[[#This Row],[HRP3]]/WWWW[[#This Row],[Total PoP ]])</f>
        <v>0</v>
      </c>
      <c r="DA259" s="649">
        <f>1-WWWW[[#This Row],[Hygiene Coverage%]]</f>
        <v>1</v>
      </c>
      <c r="DB259" s="648">
        <f>WWWW[[#This Row],['# people reached by regular dedicated hygiene promotion_5]]/WWWW[[#This Row],[Total PoP ]]</f>
        <v>0</v>
      </c>
      <c r="DC259" s="648">
        <f>IF(WWWW[[#This Row],['#_households that received standard amount of soap for this quarter]]/WWWW[[#This Row],[Total HH]]&gt;1,1,WWWW[[#This Row],['#_households that received standard amount of soap for this quarter]]/WWWW[[#This Row],[Total HH]])</f>
        <v>0</v>
      </c>
      <c r="DD259" s="648">
        <f>IF(WWWW[[#This Row],['#_households that received standard amount of sanitary pads for this quarter]]/WWWW[[#This Row],[Total HH]]&gt;1,1,WWWW[[#This Row],['#_households that received standard amount of sanitary pads for this quarter]]/WWWW[[#This Row],[Total HH]])</f>
        <v>0</v>
      </c>
      <c r="DE259" s="647">
        <f>WWWW[[#This Row],['#_Constructed/Existing hand washing stations]]-WWWW[[#This Row],['#_Non-Functional_hand_washing_stations]]</f>
        <v>0</v>
      </c>
      <c r="DF259" s="667">
        <f>IF(WWWW[[#This Row],['# Functional hand washing stations during reporting period]]*20&gt;WWWW[[#This Row],[Total HH]],WWWW[[#This Row],[Total HH]],WWWW[[#This Row],['# Functional hand washing stations during reporting period]]*20)</f>
        <v>0</v>
      </c>
      <c r="DG259" s="645">
        <f>IF(WWWW[[#This Row],[Is sufficient soap available for TLS? (Yes/No)]]="yes",WWWW[[#This Row],['#_Constructed/Existing hand washing stations at TLS]],0)</f>
        <v>0</v>
      </c>
      <c r="DH259" s="645">
        <f>IF(WWWW[[#This Row],['# Functional hand washing stations during reporting period]]*100&gt;WWWW[[#This Row],[Total PoP ]],WWWW[[#This Row],[Total PoP ]],WWWW[[#This Row],['# Functional hand washing stations during reporting period]]*100)</f>
        <v>0</v>
      </c>
      <c r="DI259" s="645" t="str">
        <f>IF(WWWW[[#This Row],['#_students at TLS_CFS]]="","No","Yes")</f>
        <v>No</v>
      </c>
      <c r="DJ259" s="643">
        <f>VLOOKUP(WWWW[[#This Row],[Site Name]],SiteDB6[[Site Name]:[CCCM Management]],6,FALSE)</f>
        <v>0</v>
      </c>
      <c r="DK259" s="643">
        <f>VLOOKUP(WWWW[[#This Row],[Site Name]],SiteDB6[[Site Name]:[CCCM Focal Agency]],7,FALSE)</f>
        <v>0</v>
      </c>
      <c r="DL259" s="643" t="str">
        <f>VLOOKUP(WWWW[[#This Row],[Site Name]],SiteDB6[[Site Name]:[Location Type 1]],9,FALSE)</f>
        <v>Village</v>
      </c>
      <c r="DM259" s="643" t="str">
        <f>VLOOKUP(WWWW[[#This Row],[Site Name]],SiteDB6[[Site Name]:[Type of Accommodation]],10,FALSE)</f>
        <v>Village</v>
      </c>
      <c r="DN259" s="643">
        <f>VLOOKUP(WWWW[[#This Row],[Site Name]],SiteDB6[[Site Name]:[Ethnic or GCA/NGCA]],11,FALSE)</f>
        <v>0</v>
      </c>
      <c r="DO259" s="643">
        <f>VLOOKUP(WWWW[[#This Row],[Site Name]],SiteDB6[[Site Name]:[Lat]],12,FALSE)</f>
        <v>20.194370269775401</v>
      </c>
      <c r="DP259" s="643">
        <f>VLOOKUP(WWWW[[#This Row],[Site Name]],SiteDB6[[Site Name]:[Long]],13,FALSE)</f>
        <v>92.834007263183594</v>
      </c>
      <c r="DQ259" s="643">
        <f>VLOOKUP(WWWW[[#This Row],[Site Name]],SiteDB6[[Site Name]:[Pcode]],3,FALSE)</f>
        <v>196128</v>
      </c>
      <c r="DR259" s="652" t="str">
        <f t="shared" si="8"/>
        <v>Covered</v>
      </c>
      <c r="DS259" s="652"/>
    </row>
    <row r="260" spans="1:123">
      <c r="A260" s="637" t="s">
        <v>2525</v>
      </c>
      <c r="B260" s="637" t="s">
        <v>332</v>
      </c>
      <c r="C260" s="644" t="s">
        <v>332</v>
      </c>
      <c r="D260" s="644" t="s">
        <v>325</v>
      </c>
      <c r="E260" s="663" t="s">
        <v>3014</v>
      </c>
      <c r="F260" s="644" t="s">
        <v>313</v>
      </c>
      <c r="G260" s="663" t="str">
        <f>VLOOKUP(WWWW[[#This Row],[Site Name]],SiteDB6[[Site Name]:[Location Type]],8,FALSE)</f>
        <v>Village</v>
      </c>
      <c r="H260" s="644" t="s">
        <v>2895</v>
      </c>
      <c r="I260" s="646">
        <v>241</v>
      </c>
      <c r="J260" s="646">
        <v>1027</v>
      </c>
      <c r="K260" s="653">
        <v>42736</v>
      </c>
      <c r="L260" s="654">
        <v>44551</v>
      </c>
      <c r="M260" s="646"/>
      <c r="N260" s="646"/>
      <c r="O260" s="646"/>
      <c r="P260" s="646"/>
      <c r="Q260" s="645"/>
      <c r="R260" s="646"/>
      <c r="S260" s="646"/>
      <c r="T260" s="646"/>
      <c r="U260" s="646"/>
      <c r="V260" s="646"/>
      <c r="W260" s="646"/>
      <c r="X260" s="646"/>
      <c r="Y260" s="646"/>
      <c r="Z260" s="646"/>
      <c r="AA260" s="646"/>
      <c r="AB260" s="646"/>
      <c r="AC260" s="646"/>
      <c r="AD260" s="646"/>
      <c r="AE260" s="646"/>
      <c r="AF260" s="646"/>
      <c r="AG260" s="646"/>
      <c r="AH260" s="646"/>
      <c r="AI260" s="646"/>
      <c r="AJ260" s="646"/>
      <c r="AK260" s="646"/>
      <c r="AL260" s="646"/>
      <c r="AM260" s="646"/>
      <c r="AN260" s="646"/>
      <c r="AO260" s="652"/>
      <c r="AP260" s="646"/>
      <c r="AQ260" s="646"/>
      <c r="AR260" s="648"/>
      <c r="AS260" s="646"/>
      <c r="AT260" s="646"/>
      <c r="AU260" s="646"/>
      <c r="AV260" s="646"/>
      <c r="AW260" s="646"/>
      <c r="AX260" s="643"/>
      <c r="AY260" s="652"/>
      <c r="AZ260" s="646"/>
      <c r="BA260" s="646"/>
      <c r="BB260" s="646"/>
      <c r="BC260" s="643"/>
      <c r="BD260" s="646"/>
      <c r="BE260" s="646"/>
      <c r="BF260" s="646"/>
      <c r="BG260" s="646"/>
      <c r="BH260" s="646"/>
      <c r="BI260" s="646"/>
      <c r="BJ260" s="646"/>
      <c r="BK260" s="646"/>
      <c r="BL260" s="646"/>
      <c r="BM260" s="643"/>
      <c r="BN260" s="647"/>
      <c r="BO260" s="648"/>
      <c r="BP260" s="643"/>
      <c r="BQ260" s="649" t="str">
        <f>IFERROR(WWWW[[#This Row],['#_Water sources treated]]/WWWW[[#This Row],['#_Water sources tested for contamination]],"no test")</f>
        <v>no test</v>
      </c>
      <c r="BR260" s="648" t="str">
        <f>IFERROR(WWWW[[#This Row],['#_Household received remediation action due to contamination]]/WWWW[[#This Row],['#_Household water samples tested for contamination]],"no test")</f>
        <v>no test</v>
      </c>
      <c r="BS260" s="647" t="str">
        <f>IF(AND(WWWW[[#This Row],[% of water sources treated]]="no test",WWWW[[#This Row],[% Household received corrective actions]]="no test"),"No Test","Tested")</f>
        <v>No Test</v>
      </c>
      <c r="BT260" s="647">
        <f>WWWW[[#This Row],['#_Constructed/existing protected hand dug well]]-WWWW[[#This Row],['#_Non-functional protected hand dug well]]</f>
        <v>0</v>
      </c>
      <c r="BU260" s="647">
        <f>(WWWW[[#This Row],['#_Constructed/Existing tube wells/boreholes/handpumps_WASH_agency]]+WWWW[[#This Row],['#_Non-Cluster partner water tube-wells/boreholes/handpumps]])-WWWW[[#This Row],['#_Non-functional tube wells/boreholes/handpumps]]</f>
        <v>0</v>
      </c>
      <c r="BV260" s="647">
        <f>WWWW[[#This Row],['#_Constructed/Existingwater storage tank with gravity fed reticulation system]]-WWWW[[#This Row],['#_Non-functional storage tank gravity fed reticulation system]]</f>
        <v>0</v>
      </c>
      <c r="BW260" s="647">
        <f>WWWW[[#This Row],['#_Water boating or water trucking]]</f>
        <v>0</v>
      </c>
      <c r="BX260" s="647">
        <f>WWWW[[#This Row],['#_Constructed/Existing water distribution system from river or natural spring]]</f>
        <v>0</v>
      </c>
      <c r="BY260"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60"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60" s="648">
        <f>IF(WWWW[[#This Row],[Location Type 1]]="Village",WWWW[[#This Row],[Access to safe drinking water for Village]],WWWW[[#This Row],[Access to safe drinking water for Camp]])</f>
        <v>0</v>
      </c>
      <c r="CB260" s="645">
        <f>WWWW[[#This Row],[%Equitable and continuous access to sufficient quantity of safe drinking water]]*WWWW[[#This Row],[Total PoP ]]</f>
        <v>0</v>
      </c>
      <c r="CC260" s="648">
        <f>IF((WWWW[[#This Row],['#_Constructed/Existing protected/fenced ponds]]*250)/WWWW[[#This Row],[Total PoP ]]&gt;1,1,(WWWW[[#This Row],['#_Constructed/Existing protected/fenced ponds]]*250)/WWWW[[#This Row],[Total PoP ]])</f>
        <v>0</v>
      </c>
      <c r="CD260" s="645">
        <f>WWWW[[#This Row],[% Access to unimproved water points]]*WWWW[[#This Row],[Total PoP ]]</f>
        <v>0</v>
      </c>
      <c r="CE260"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60"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60" s="645">
        <f>WWWW[[#This Row],[HRP1]]/500</f>
        <v>0</v>
      </c>
      <c r="CH260" s="650">
        <f>1-WWWW[[#This Row],[% Equitable and continuous access to sufficient quantity of domestic water]]</f>
        <v>1</v>
      </c>
      <c r="CI260" s="645">
        <f>WWWW[[#This Row],[%equitable and continuous access to sufficient quantity of safe drinking and domestic water''s GAP]]*WWWW[[#This Row],[Total PoP ]]</f>
        <v>1027</v>
      </c>
      <c r="CJ260" s="647">
        <f>IF(WWWW[[#This Row],[Total required water points]]-WWWW[[#This Row],['#Water points coverage]]&lt;0,0,WWWW[[#This Row],[Total required water points]]-WWWW[[#This Row],['#Water points coverage]])</f>
        <v>2</v>
      </c>
      <c r="CK260" s="647">
        <f>ROUND(IF(WWWW[[#This Row],[Total PoP ]]&lt;500,1,WWWW[[#This Row],[Total PoP ]]/500),0)</f>
        <v>2</v>
      </c>
      <c r="CL260" s="647">
        <f>(WWWW[[#This Row],['#_Constructed latrines_by_WASHAgencies]]+WWWW[[#This Row],['#_Non Cluster partner latrines]])-WWWW[[#This Row],['#_Non-functional latrines]]</f>
        <v>0</v>
      </c>
      <c r="CM260"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60"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60"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60" s="647" t="str">
        <f>IF(WWWW[[#This Row],[Location Type 1]]="Village","NA",IF(WWWW[[#This Row],['#_Constructed/Existing latrines in TLS]]*50&gt;WWWW[[#This Row],['#_students at TLS_CFS]],WWWW[[#This Row],['#_students at TLS_CFS]],(WWWW[[#This Row],['#_Constructed/Existing latrines in TLS]]*50)))</f>
        <v>NA</v>
      </c>
      <c r="CQ260" s="647">
        <f>ROUND(IF(WWWW[[#This Row],[Location Type 1]]="camp",WWWW[[#This Row],[Total PoP ]]/20,IF(WWWW[[#This Row],[Location Type 1]]="Temporary Location",WWWW[[#This Row],[Total PoP ]]/50,(WWWW[[#This Row],[Total PoP ]]/6))),0)</f>
        <v>171</v>
      </c>
      <c r="CR260" s="647">
        <f>IF(WWWW[[#This Row],[Total required Latrines]]-(WWWW[[#This Row],['#_Constructed latrines_by_WASHAgencies]]+WWWW[[#This Row],['#_Non Cluster partner latrines]])&lt;0,0,WWWW[[#This Row],[Total required Latrines]]-(WWWW[[#This Row],['#_Constructed latrines_by_WASHAgencies]]+WWWW[[#This Row],['#_Non Cluster partner latrines]]))</f>
        <v>171</v>
      </c>
      <c r="CS260" s="79">
        <f>1-WWWW[[#This Row],[% people access to functioning Latrine]]</f>
        <v>1</v>
      </c>
      <c r="CT260" s="649">
        <f>IF(OR(WWWW[[#This Row],['#_Non-functional latrines]]="",WWWW[[#This Row],['#_Non-functional latrines]]=0),0,WWWW[[#This Row],['#_Non-functional latrines]]/(WWWW[[#This Row],['#_Constructed latrines_by_WASHAgencies]]+WWWW[[#This Row],['#_Non Cluster partner latrines]]))</f>
        <v>0</v>
      </c>
      <c r="CU260" s="645">
        <f>IF(500*(WWWW[[#This Row],['#_male hygiene promoters]]+WWWW[[#This Row],['#_female hygiene promoters]])&gt;WWWW[[#This Row],[Total PoP ]],WWWW[[#This Row],[Total PoP ]],500*(WWWW[[#This Row],['#_male hygiene promoters]]+WWWW[[#This Row],['#_female hygiene promoters]]))</f>
        <v>0</v>
      </c>
      <c r="CV260"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60"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60" s="647">
        <f>IF(WWWW[[#This Row],['# People with access to soap]]&gt;WWWW[[#This Row],['# People with access to Sanity Pads]],WWWW[[#This Row],['# People with access to soap]],WWWW[[#This Row],['# People with access to Sanity Pads]])</f>
        <v>0</v>
      </c>
      <c r="CY260"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60" s="650">
        <f>IF(WWWW[[#This Row],[HRP3]]/WWWW[[#This Row],[Total PoP ]]&gt;100%,100%,WWWW[[#This Row],[HRP3]]/WWWW[[#This Row],[Total PoP ]])</f>
        <v>0</v>
      </c>
      <c r="DA260" s="649">
        <f>1-WWWW[[#This Row],[Hygiene Coverage%]]</f>
        <v>1</v>
      </c>
      <c r="DB260" s="648">
        <f>WWWW[[#This Row],['# people reached by regular dedicated hygiene promotion_5]]/WWWW[[#This Row],[Total PoP ]]</f>
        <v>0</v>
      </c>
      <c r="DC260" s="648">
        <f>IF(WWWW[[#This Row],['#_households that received standard amount of soap for this quarter]]/WWWW[[#This Row],[Total HH]]&gt;1,1,WWWW[[#This Row],['#_households that received standard amount of soap for this quarter]]/WWWW[[#This Row],[Total HH]])</f>
        <v>0</v>
      </c>
      <c r="DD260" s="648">
        <f>IF(WWWW[[#This Row],['#_households that received standard amount of sanitary pads for this quarter]]/WWWW[[#This Row],[Total HH]]&gt;1,1,WWWW[[#This Row],['#_households that received standard amount of sanitary pads for this quarter]]/WWWW[[#This Row],[Total HH]])</f>
        <v>0</v>
      </c>
      <c r="DE260" s="647">
        <f>WWWW[[#This Row],['#_Constructed/Existing hand washing stations]]-WWWW[[#This Row],['#_Non-Functional_hand_washing_stations]]</f>
        <v>0</v>
      </c>
      <c r="DF260" s="667">
        <f>IF(WWWW[[#This Row],['# Functional hand washing stations during reporting period]]*20&gt;WWWW[[#This Row],[Total HH]],WWWW[[#This Row],[Total HH]],WWWW[[#This Row],['# Functional hand washing stations during reporting period]]*20)</f>
        <v>0</v>
      </c>
      <c r="DG260" s="645">
        <f>IF(WWWW[[#This Row],[Is sufficient soap available for TLS? (Yes/No)]]="yes",WWWW[[#This Row],['#_Constructed/Existing hand washing stations at TLS]],0)</f>
        <v>0</v>
      </c>
      <c r="DH260" s="645">
        <f>IF(WWWW[[#This Row],['# Functional hand washing stations during reporting period]]*100&gt;WWWW[[#This Row],[Total PoP ]],WWWW[[#This Row],[Total PoP ]],WWWW[[#This Row],['# Functional hand washing stations during reporting period]]*100)</f>
        <v>0</v>
      </c>
      <c r="DI260" s="645" t="str">
        <f>IF(WWWW[[#This Row],['#_students at TLS_CFS]]="","No","Yes")</f>
        <v>No</v>
      </c>
      <c r="DJ260" s="643">
        <f>VLOOKUP(WWWW[[#This Row],[Site Name]],SiteDB6[[Site Name]:[CCCM Management]],6,FALSE)</f>
        <v>0</v>
      </c>
      <c r="DK260" s="643">
        <f>VLOOKUP(WWWW[[#This Row],[Site Name]],SiteDB6[[Site Name]:[CCCM Focal Agency]],7,FALSE)</f>
        <v>0</v>
      </c>
      <c r="DL260" s="643" t="str">
        <f>VLOOKUP(WWWW[[#This Row],[Site Name]],SiteDB6[[Site Name]:[Location Type 1]],9,FALSE)</f>
        <v>Village</v>
      </c>
      <c r="DM260" s="643" t="str">
        <f>VLOOKUP(WWWW[[#This Row],[Site Name]],SiteDB6[[Site Name]:[Type of Accommodation]],10,FALSE)</f>
        <v>Village</v>
      </c>
      <c r="DN260" s="643">
        <f>VLOOKUP(WWWW[[#This Row],[Site Name]],SiteDB6[[Site Name]:[Ethnic or GCA/NGCA]],11,FALSE)</f>
        <v>0</v>
      </c>
      <c r="DO260" s="643">
        <f>VLOOKUP(WWWW[[#This Row],[Site Name]],SiteDB6[[Site Name]:[Lat]],12,FALSE)</f>
        <v>20.2105598449707</v>
      </c>
      <c r="DP260" s="643">
        <f>VLOOKUP(WWWW[[#This Row],[Site Name]],SiteDB6[[Site Name]:[Long]],13,FALSE)</f>
        <v>92.836456298828097</v>
      </c>
      <c r="DQ260" s="643">
        <f>VLOOKUP(WWWW[[#This Row],[Site Name]],SiteDB6[[Site Name]:[Pcode]],3,FALSE)</f>
        <v>196125</v>
      </c>
      <c r="DR260" s="652" t="str">
        <f t="shared" si="8"/>
        <v>Covered</v>
      </c>
      <c r="DS260" s="652"/>
    </row>
    <row r="261" spans="1:123">
      <c r="A261" s="637" t="s">
        <v>2525</v>
      </c>
      <c r="B261" s="637" t="s">
        <v>332</v>
      </c>
      <c r="C261" s="644" t="s">
        <v>332</v>
      </c>
      <c r="D261" s="644" t="s">
        <v>325</v>
      </c>
      <c r="E261" s="663" t="s">
        <v>3014</v>
      </c>
      <c r="F261" s="644" t="s">
        <v>313</v>
      </c>
      <c r="G261" s="663" t="str">
        <f>VLOOKUP(WWWW[[#This Row],[Site Name]],SiteDB6[[Site Name]:[Location Type]],8,FALSE)</f>
        <v>Village</v>
      </c>
      <c r="H261" s="644" t="s">
        <v>2896</v>
      </c>
      <c r="I261" s="646">
        <v>77</v>
      </c>
      <c r="J261" s="646">
        <v>370</v>
      </c>
      <c r="K261" s="653">
        <v>42736</v>
      </c>
      <c r="L261" s="654">
        <v>44551</v>
      </c>
      <c r="M261" s="646"/>
      <c r="N261" s="646"/>
      <c r="O261" s="646"/>
      <c r="P261" s="646"/>
      <c r="Q261" s="645"/>
      <c r="R261" s="646"/>
      <c r="S261" s="646"/>
      <c r="T261" s="646"/>
      <c r="U261" s="646"/>
      <c r="V261" s="646"/>
      <c r="W261" s="646"/>
      <c r="X261" s="646"/>
      <c r="Y261" s="646"/>
      <c r="Z261" s="646"/>
      <c r="AA261" s="646"/>
      <c r="AB261" s="646"/>
      <c r="AC261" s="646"/>
      <c r="AD261" s="646"/>
      <c r="AE261" s="646"/>
      <c r="AF261" s="646"/>
      <c r="AG261" s="646"/>
      <c r="AH261" s="646"/>
      <c r="AI261" s="646"/>
      <c r="AJ261" s="646"/>
      <c r="AK261" s="646"/>
      <c r="AL261" s="646"/>
      <c r="AM261" s="646"/>
      <c r="AN261" s="646"/>
      <c r="AO261" s="652"/>
      <c r="AP261" s="646"/>
      <c r="AQ261" s="646"/>
      <c r="AR261" s="648"/>
      <c r="AS261" s="646"/>
      <c r="AT261" s="646"/>
      <c r="AU261" s="646"/>
      <c r="AV261" s="646"/>
      <c r="AW261" s="646"/>
      <c r="AX261" s="643"/>
      <c r="AY261" s="652"/>
      <c r="AZ261" s="646"/>
      <c r="BA261" s="646"/>
      <c r="BB261" s="646"/>
      <c r="BC261" s="643"/>
      <c r="BD261" s="646"/>
      <c r="BE261" s="646"/>
      <c r="BF261" s="646"/>
      <c r="BG261" s="646"/>
      <c r="BH261" s="646"/>
      <c r="BI261" s="646"/>
      <c r="BJ261" s="646"/>
      <c r="BK261" s="646"/>
      <c r="BL261" s="646"/>
      <c r="BM261" s="643"/>
      <c r="BN261" s="647"/>
      <c r="BO261" s="648"/>
      <c r="BP261" s="643"/>
      <c r="BQ261" s="649" t="str">
        <f>IFERROR(WWWW[[#This Row],['#_Water sources treated]]/WWWW[[#This Row],['#_Water sources tested for contamination]],"no test")</f>
        <v>no test</v>
      </c>
      <c r="BR261" s="648" t="str">
        <f>IFERROR(WWWW[[#This Row],['#_Household received remediation action due to contamination]]/WWWW[[#This Row],['#_Household water samples tested for contamination]],"no test")</f>
        <v>no test</v>
      </c>
      <c r="BS261" s="647" t="str">
        <f>IF(AND(WWWW[[#This Row],[% of water sources treated]]="no test",WWWW[[#This Row],[% Household received corrective actions]]="no test"),"No Test","Tested")</f>
        <v>No Test</v>
      </c>
      <c r="BT261" s="647">
        <f>WWWW[[#This Row],['#_Constructed/existing protected hand dug well]]-WWWW[[#This Row],['#_Non-functional protected hand dug well]]</f>
        <v>0</v>
      </c>
      <c r="BU261" s="647">
        <f>(WWWW[[#This Row],['#_Constructed/Existing tube wells/boreholes/handpumps_WASH_agency]]+WWWW[[#This Row],['#_Non-Cluster partner water tube-wells/boreholes/handpumps]])-WWWW[[#This Row],['#_Non-functional tube wells/boreholes/handpumps]]</f>
        <v>0</v>
      </c>
      <c r="BV261" s="647">
        <f>WWWW[[#This Row],['#_Constructed/Existingwater storage tank with gravity fed reticulation system]]-WWWW[[#This Row],['#_Non-functional storage tank gravity fed reticulation system]]</f>
        <v>0</v>
      </c>
      <c r="BW261" s="647">
        <f>WWWW[[#This Row],['#_Water boating or water trucking]]</f>
        <v>0</v>
      </c>
      <c r="BX261" s="647">
        <f>WWWW[[#This Row],['#_Constructed/Existing water distribution system from river or natural spring]]</f>
        <v>0</v>
      </c>
      <c r="BY261"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61"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61" s="648">
        <f>IF(WWWW[[#This Row],[Location Type 1]]="Village",WWWW[[#This Row],[Access to safe drinking water for Village]],WWWW[[#This Row],[Access to safe drinking water for Camp]])</f>
        <v>0</v>
      </c>
      <c r="CB261" s="645">
        <f>WWWW[[#This Row],[%Equitable and continuous access to sufficient quantity of safe drinking water]]*WWWW[[#This Row],[Total PoP ]]</f>
        <v>0</v>
      </c>
      <c r="CC261" s="648">
        <f>IF((WWWW[[#This Row],['#_Constructed/Existing protected/fenced ponds]]*250)/WWWW[[#This Row],[Total PoP ]]&gt;1,1,(WWWW[[#This Row],['#_Constructed/Existing protected/fenced ponds]]*250)/WWWW[[#This Row],[Total PoP ]])</f>
        <v>0</v>
      </c>
      <c r="CD261" s="645">
        <f>WWWW[[#This Row],[% Access to unimproved water points]]*WWWW[[#This Row],[Total PoP ]]</f>
        <v>0</v>
      </c>
      <c r="CE261"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61"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61" s="645">
        <f>WWWW[[#This Row],[HRP1]]/500</f>
        <v>0</v>
      </c>
      <c r="CH261" s="650">
        <f>1-WWWW[[#This Row],[% Equitable and continuous access to sufficient quantity of domestic water]]</f>
        <v>1</v>
      </c>
      <c r="CI261" s="645">
        <f>WWWW[[#This Row],[%equitable and continuous access to sufficient quantity of safe drinking and domestic water''s GAP]]*WWWW[[#This Row],[Total PoP ]]</f>
        <v>370</v>
      </c>
      <c r="CJ261" s="647">
        <f>IF(WWWW[[#This Row],[Total required water points]]-WWWW[[#This Row],['#Water points coverage]]&lt;0,0,WWWW[[#This Row],[Total required water points]]-WWWW[[#This Row],['#Water points coverage]])</f>
        <v>1</v>
      </c>
      <c r="CK261" s="647">
        <f>ROUND(IF(WWWW[[#This Row],[Total PoP ]]&lt;500,1,WWWW[[#This Row],[Total PoP ]]/500),0)</f>
        <v>1</v>
      </c>
      <c r="CL261" s="647">
        <f>(WWWW[[#This Row],['#_Constructed latrines_by_WASHAgencies]]+WWWW[[#This Row],['#_Non Cluster partner latrines]])-WWWW[[#This Row],['#_Non-functional latrines]]</f>
        <v>0</v>
      </c>
      <c r="CM261"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61"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61"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61" s="647" t="str">
        <f>IF(WWWW[[#This Row],[Location Type 1]]="Village","NA",IF(WWWW[[#This Row],['#_Constructed/Existing latrines in TLS]]*50&gt;WWWW[[#This Row],['#_students at TLS_CFS]],WWWW[[#This Row],['#_students at TLS_CFS]],(WWWW[[#This Row],['#_Constructed/Existing latrines in TLS]]*50)))</f>
        <v>NA</v>
      </c>
      <c r="CQ261" s="647">
        <f>ROUND(IF(WWWW[[#This Row],[Location Type 1]]="camp",WWWW[[#This Row],[Total PoP ]]/20,IF(WWWW[[#This Row],[Location Type 1]]="Temporary Location",WWWW[[#This Row],[Total PoP ]]/50,(WWWW[[#This Row],[Total PoP ]]/6))),0)</f>
        <v>62</v>
      </c>
      <c r="CR261" s="647">
        <f>IF(WWWW[[#This Row],[Total required Latrines]]-(WWWW[[#This Row],['#_Constructed latrines_by_WASHAgencies]]+WWWW[[#This Row],['#_Non Cluster partner latrines]])&lt;0,0,WWWW[[#This Row],[Total required Latrines]]-(WWWW[[#This Row],['#_Constructed latrines_by_WASHAgencies]]+WWWW[[#This Row],['#_Non Cluster partner latrines]]))</f>
        <v>62</v>
      </c>
      <c r="CS261" s="79">
        <f>1-WWWW[[#This Row],[% people access to functioning Latrine]]</f>
        <v>1</v>
      </c>
      <c r="CT261" s="649">
        <f>IF(OR(WWWW[[#This Row],['#_Non-functional latrines]]="",WWWW[[#This Row],['#_Non-functional latrines]]=0),0,WWWW[[#This Row],['#_Non-functional latrines]]/(WWWW[[#This Row],['#_Constructed latrines_by_WASHAgencies]]+WWWW[[#This Row],['#_Non Cluster partner latrines]]))</f>
        <v>0</v>
      </c>
      <c r="CU261" s="645">
        <f>IF(500*(WWWW[[#This Row],['#_male hygiene promoters]]+WWWW[[#This Row],['#_female hygiene promoters]])&gt;WWWW[[#This Row],[Total PoP ]],WWWW[[#This Row],[Total PoP ]],500*(WWWW[[#This Row],['#_male hygiene promoters]]+WWWW[[#This Row],['#_female hygiene promoters]]))</f>
        <v>0</v>
      </c>
      <c r="CV261"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61"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61" s="647">
        <f>IF(WWWW[[#This Row],['# People with access to soap]]&gt;WWWW[[#This Row],['# People with access to Sanity Pads]],WWWW[[#This Row],['# People with access to soap]],WWWW[[#This Row],['# People with access to Sanity Pads]])</f>
        <v>0</v>
      </c>
      <c r="CY261"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61" s="650">
        <f>IF(WWWW[[#This Row],[HRP3]]/WWWW[[#This Row],[Total PoP ]]&gt;100%,100%,WWWW[[#This Row],[HRP3]]/WWWW[[#This Row],[Total PoP ]])</f>
        <v>0</v>
      </c>
      <c r="DA261" s="649">
        <f>1-WWWW[[#This Row],[Hygiene Coverage%]]</f>
        <v>1</v>
      </c>
      <c r="DB261" s="648">
        <f>WWWW[[#This Row],['# people reached by regular dedicated hygiene promotion_5]]/WWWW[[#This Row],[Total PoP ]]</f>
        <v>0</v>
      </c>
      <c r="DC261" s="648">
        <f>IF(WWWW[[#This Row],['#_households that received standard amount of soap for this quarter]]/WWWW[[#This Row],[Total HH]]&gt;1,1,WWWW[[#This Row],['#_households that received standard amount of soap for this quarter]]/WWWW[[#This Row],[Total HH]])</f>
        <v>0</v>
      </c>
      <c r="DD261" s="648">
        <f>IF(WWWW[[#This Row],['#_households that received standard amount of sanitary pads for this quarter]]/WWWW[[#This Row],[Total HH]]&gt;1,1,WWWW[[#This Row],['#_households that received standard amount of sanitary pads for this quarter]]/WWWW[[#This Row],[Total HH]])</f>
        <v>0</v>
      </c>
      <c r="DE261" s="647">
        <f>WWWW[[#This Row],['#_Constructed/Existing hand washing stations]]-WWWW[[#This Row],['#_Non-Functional_hand_washing_stations]]</f>
        <v>0</v>
      </c>
      <c r="DF261" s="667">
        <f>IF(WWWW[[#This Row],['# Functional hand washing stations during reporting period]]*20&gt;WWWW[[#This Row],[Total HH]],WWWW[[#This Row],[Total HH]],WWWW[[#This Row],['# Functional hand washing stations during reporting period]]*20)</f>
        <v>0</v>
      </c>
      <c r="DG261" s="645">
        <f>IF(WWWW[[#This Row],[Is sufficient soap available for TLS? (Yes/No)]]="yes",WWWW[[#This Row],['#_Constructed/Existing hand washing stations at TLS]],0)</f>
        <v>0</v>
      </c>
      <c r="DH261" s="645">
        <f>IF(WWWW[[#This Row],['# Functional hand washing stations during reporting period]]*100&gt;WWWW[[#This Row],[Total PoP ]],WWWW[[#This Row],[Total PoP ]],WWWW[[#This Row],['# Functional hand washing stations during reporting period]]*100)</f>
        <v>0</v>
      </c>
      <c r="DI261" s="645" t="str">
        <f>IF(WWWW[[#This Row],['#_students at TLS_CFS]]="","No","Yes")</f>
        <v>No</v>
      </c>
      <c r="DJ261" s="643">
        <f>VLOOKUP(WWWW[[#This Row],[Site Name]],SiteDB6[[Site Name]:[CCCM Management]],6,FALSE)</f>
        <v>0</v>
      </c>
      <c r="DK261" s="643">
        <f>VLOOKUP(WWWW[[#This Row],[Site Name]],SiteDB6[[Site Name]:[CCCM Focal Agency]],7,FALSE)</f>
        <v>0</v>
      </c>
      <c r="DL261" s="643" t="str">
        <f>VLOOKUP(WWWW[[#This Row],[Site Name]],SiteDB6[[Site Name]:[Location Type 1]],9,FALSE)</f>
        <v>Village</v>
      </c>
      <c r="DM261" s="643" t="str">
        <f>VLOOKUP(WWWW[[#This Row],[Site Name]],SiteDB6[[Site Name]:[Type of Accommodation]],10,FALSE)</f>
        <v>Village</v>
      </c>
      <c r="DN261" s="643" t="str">
        <f>VLOOKUP(WWWW[[#This Row],[Site Name]],SiteDB6[[Site Name]:[Ethnic or GCA/NGCA]],11,FALSE)</f>
        <v>Rakhine</v>
      </c>
      <c r="DO261" s="643">
        <f>VLOOKUP(WWWW[[#This Row],[Site Name]],SiteDB6[[Site Name]:[Lat]],12,FALSE)</f>
        <v>20.142474</v>
      </c>
      <c r="DP261" s="643">
        <f>VLOOKUP(WWWW[[#This Row],[Site Name]],SiteDB6[[Site Name]:[Long]],13,FALSE)</f>
        <v>92.494243999999995</v>
      </c>
      <c r="DQ261" s="643">
        <f>VLOOKUP(WWWW[[#This Row],[Site Name]],SiteDB6[[Site Name]:[Pcode]],3,FALSE)</f>
        <v>196130</v>
      </c>
      <c r="DR261" s="652" t="str">
        <f t="shared" ref="DR261:DR292" si="9">IF(C261="none","Notcovered","Covered")</f>
        <v>Covered</v>
      </c>
      <c r="DS261" s="652"/>
    </row>
    <row r="262" spans="1:123">
      <c r="A262" s="637" t="s">
        <v>2525</v>
      </c>
      <c r="B262" s="637" t="s">
        <v>332</v>
      </c>
      <c r="C262" s="644" t="s">
        <v>332</v>
      </c>
      <c r="D262" s="644" t="s">
        <v>325</v>
      </c>
      <c r="E262" s="663" t="s">
        <v>3014</v>
      </c>
      <c r="F262" s="644" t="s">
        <v>313</v>
      </c>
      <c r="G262" s="663" t="str">
        <f>VLOOKUP(WWWW[[#This Row],[Site Name]],SiteDB6[[Site Name]:[Location Type]],8,FALSE)</f>
        <v>village</v>
      </c>
      <c r="H262" s="644" t="s">
        <v>892</v>
      </c>
      <c r="I262" s="646">
        <v>509</v>
      </c>
      <c r="J262" s="646">
        <v>1574</v>
      </c>
      <c r="K262" s="653">
        <v>42736</v>
      </c>
      <c r="L262" s="654">
        <v>44551</v>
      </c>
      <c r="M262" s="646"/>
      <c r="N262" s="646"/>
      <c r="O262" s="646"/>
      <c r="P262" s="646"/>
      <c r="Q262" s="645"/>
      <c r="R262" s="646"/>
      <c r="S262" s="646"/>
      <c r="T262" s="646"/>
      <c r="U262" s="646"/>
      <c r="V262" s="646"/>
      <c r="W262" s="646"/>
      <c r="X262" s="646"/>
      <c r="Y262" s="646"/>
      <c r="Z262" s="646"/>
      <c r="AA262" s="646"/>
      <c r="AB262" s="646"/>
      <c r="AC262" s="646"/>
      <c r="AD262" s="646"/>
      <c r="AE262" s="646"/>
      <c r="AF262" s="646"/>
      <c r="AG262" s="646"/>
      <c r="AH262" s="646"/>
      <c r="AI262" s="646"/>
      <c r="AJ262" s="646"/>
      <c r="AK262" s="646"/>
      <c r="AL262" s="646"/>
      <c r="AM262" s="646"/>
      <c r="AN262" s="646"/>
      <c r="AO262" s="652"/>
      <c r="AP262" s="646"/>
      <c r="AQ262" s="646"/>
      <c r="AR262" s="648"/>
      <c r="AS262" s="646"/>
      <c r="AT262" s="646"/>
      <c r="AU262" s="646"/>
      <c r="AV262" s="646"/>
      <c r="AW262" s="646"/>
      <c r="AX262" s="643"/>
      <c r="AY262" s="652"/>
      <c r="AZ262" s="646"/>
      <c r="BA262" s="646"/>
      <c r="BB262" s="646"/>
      <c r="BC262" s="643"/>
      <c r="BD262" s="646"/>
      <c r="BE262" s="646"/>
      <c r="BF262" s="646"/>
      <c r="BG262" s="646"/>
      <c r="BH262" s="646"/>
      <c r="BI262" s="646"/>
      <c r="BJ262" s="646"/>
      <c r="BK262" s="646"/>
      <c r="BL262" s="646"/>
      <c r="BM262" s="643"/>
      <c r="BN262" s="647"/>
      <c r="BO262" s="648"/>
      <c r="BP262" s="643"/>
      <c r="BQ262" s="649" t="str">
        <f>IFERROR(WWWW[[#This Row],['#_Water sources treated]]/WWWW[[#This Row],['#_Water sources tested for contamination]],"no test")</f>
        <v>no test</v>
      </c>
      <c r="BR262" s="648" t="str">
        <f>IFERROR(WWWW[[#This Row],['#_Household received remediation action due to contamination]]/WWWW[[#This Row],['#_Household water samples tested for contamination]],"no test")</f>
        <v>no test</v>
      </c>
      <c r="BS262" s="647" t="str">
        <f>IF(AND(WWWW[[#This Row],[% of water sources treated]]="no test",WWWW[[#This Row],[% Household received corrective actions]]="no test"),"No Test","Tested")</f>
        <v>No Test</v>
      </c>
      <c r="BT262" s="647">
        <f>WWWW[[#This Row],['#_Constructed/existing protected hand dug well]]-WWWW[[#This Row],['#_Non-functional protected hand dug well]]</f>
        <v>0</v>
      </c>
      <c r="BU262" s="647">
        <f>(WWWW[[#This Row],['#_Constructed/Existing tube wells/boreholes/handpumps_WASH_agency]]+WWWW[[#This Row],['#_Non-Cluster partner water tube-wells/boreholes/handpumps]])-WWWW[[#This Row],['#_Non-functional tube wells/boreholes/handpumps]]</f>
        <v>0</v>
      </c>
      <c r="BV262" s="647">
        <f>WWWW[[#This Row],['#_Constructed/Existingwater storage tank with gravity fed reticulation system]]-WWWW[[#This Row],['#_Non-functional storage tank gravity fed reticulation system]]</f>
        <v>0</v>
      </c>
      <c r="BW262" s="647">
        <f>WWWW[[#This Row],['#_Water boating or water trucking]]</f>
        <v>0</v>
      </c>
      <c r="BX262" s="647">
        <f>WWWW[[#This Row],['#_Constructed/Existing water distribution system from river or natural spring]]</f>
        <v>0</v>
      </c>
      <c r="BY262"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62"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62" s="648">
        <f>IF(WWWW[[#This Row],[Location Type 1]]="Village",WWWW[[#This Row],[Access to safe drinking water for Village]],WWWW[[#This Row],[Access to safe drinking water for Camp]])</f>
        <v>0</v>
      </c>
      <c r="CB262" s="645">
        <f>WWWW[[#This Row],[%Equitable and continuous access to sufficient quantity of safe drinking water]]*WWWW[[#This Row],[Total PoP ]]</f>
        <v>0</v>
      </c>
      <c r="CC262" s="648">
        <f>IF((WWWW[[#This Row],['#_Constructed/Existing protected/fenced ponds]]*250)/WWWW[[#This Row],[Total PoP ]]&gt;1,1,(WWWW[[#This Row],['#_Constructed/Existing protected/fenced ponds]]*250)/WWWW[[#This Row],[Total PoP ]])</f>
        <v>0</v>
      </c>
      <c r="CD262" s="645">
        <f>WWWW[[#This Row],[% Access to unimproved water points]]*WWWW[[#This Row],[Total PoP ]]</f>
        <v>0</v>
      </c>
      <c r="CE262"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62"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62" s="645">
        <f>WWWW[[#This Row],[HRP1]]/500</f>
        <v>0</v>
      </c>
      <c r="CH262" s="650">
        <f>1-WWWW[[#This Row],[% Equitable and continuous access to sufficient quantity of domestic water]]</f>
        <v>1</v>
      </c>
      <c r="CI262" s="645">
        <f>WWWW[[#This Row],[%equitable and continuous access to sufficient quantity of safe drinking and domestic water''s GAP]]*WWWW[[#This Row],[Total PoP ]]</f>
        <v>1574</v>
      </c>
      <c r="CJ262" s="647">
        <f>IF(WWWW[[#This Row],[Total required water points]]-WWWW[[#This Row],['#Water points coverage]]&lt;0,0,WWWW[[#This Row],[Total required water points]]-WWWW[[#This Row],['#Water points coverage]])</f>
        <v>3</v>
      </c>
      <c r="CK262" s="647">
        <f>ROUND(IF(WWWW[[#This Row],[Total PoP ]]&lt;500,1,WWWW[[#This Row],[Total PoP ]]/500),0)</f>
        <v>3</v>
      </c>
      <c r="CL262" s="647">
        <f>(WWWW[[#This Row],['#_Constructed latrines_by_WASHAgencies]]+WWWW[[#This Row],['#_Non Cluster partner latrines]])-WWWW[[#This Row],['#_Non-functional latrines]]</f>
        <v>0</v>
      </c>
      <c r="CM262"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62"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62"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62" s="647" t="str">
        <f>IF(WWWW[[#This Row],[Location Type 1]]="Village","NA",IF(WWWW[[#This Row],['#_Constructed/Existing latrines in TLS]]*50&gt;WWWW[[#This Row],['#_students at TLS_CFS]],WWWW[[#This Row],['#_students at TLS_CFS]],(WWWW[[#This Row],['#_Constructed/Existing latrines in TLS]]*50)))</f>
        <v>NA</v>
      </c>
      <c r="CQ262" s="647">
        <f>ROUND(IF(WWWW[[#This Row],[Location Type 1]]="camp",WWWW[[#This Row],[Total PoP ]]/20,IF(WWWW[[#This Row],[Location Type 1]]="Temporary Location",WWWW[[#This Row],[Total PoP ]]/50,(WWWW[[#This Row],[Total PoP ]]/6))),0)</f>
        <v>262</v>
      </c>
      <c r="CR262" s="647">
        <f>IF(WWWW[[#This Row],[Total required Latrines]]-(WWWW[[#This Row],['#_Constructed latrines_by_WASHAgencies]]+WWWW[[#This Row],['#_Non Cluster partner latrines]])&lt;0,0,WWWW[[#This Row],[Total required Latrines]]-(WWWW[[#This Row],['#_Constructed latrines_by_WASHAgencies]]+WWWW[[#This Row],['#_Non Cluster partner latrines]]))</f>
        <v>262</v>
      </c>
      <c r="CS262" s="79">
        <f>1-WWWW[[#This Row],[% people access to functioning Latrine]]</f>
        <v>1</v>
      </c>
      <c r="CT262" s="649">
        <f>IF(OR(WWWW[[#This Row],['#_Non-functional latrines]]="",WWWW[[#This Row],['#_Non-functional latrines]]=0),0,WWWW[[#This Row],['#_Non-functional latrines]]/(WWWW[[#This Row],['#_Constructed latrines_by_WASHAgencies]]+WWWW[[#This Row],['#_Non Cluster partner latrines]]))</f>
        <v>0</v>
      </c>
      <c r="CU262" s="645">
        <f>IF(500*(WWWW[[#This Row],['#_male hygiene promoters]]+WWWW[[#This Row],['#_female hygiene promoters]])&gt;WWWW[[#This Row],[Total PoP ]],WWWW[[#This Row],[Total PoP ]],500*(WWWW[[#This Row],['#_male hygiene promoters]]+WWWW[[#This Row],['#_female hygiene promoters]]))</f>
        <v>0</v>
      </c>
      <c r="CV262"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62"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62" s="647">
        <f>IF(WWWW[[#This Row],['# People with access to soap]]&gt;WWWW[[#This Row],['# People with access to Sanity Pads]],WWWW[[#This Row],['# People with access to soap]],WWWW[[#This Row],['# People with access to Sanity Pads]])</f>
        <v>0</v>
      </c>
      <c r="CY262"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62" s="650">
        <f>IF(WWWW[[#This Row],[HRP3]]/WWWW[[#This Row],[Total PoP ]]&gt;100%,100%,WWWW[[#This Row],[HRP3]]/WWWW[[#This Row],[Total PoP ]])</f>
        <v>0</v>
      </c>
      <c r="DA262" s="649">
        <f>1-WWWW[[#This Row],[Hygiene Coverage%]]</f>
        <v>1</v>
      </c>
      <c r="DB262" s="648">
        <f>WWWW[[#This Row],['# people reached by regular dedicated hygiene promotion_5]]/WWWW[[#This Row],[Total PoP ]]</f>
        <v>0</v>
      </c>
      <c r="DC262" s="648">
        <f>IF(WWWW[[#This Row],['#_households that received standard amount of soap for this quarter]]/WWWW[[#This Row],[Total HH]]&gt;1,1,WWWW[[#This Row],['#_households that received standard amount of soap for this quarter]]/WWWW[[#This Row],[Total HH]])</f>
        <v>0</v>
      </c>
      <c r="DD262" s="648">
        <f>IF(WWWW[[#This Row],['#_households that received standard amount of sanitary pads for this quarter]]/WWWW[[#This Row],[Total HH]]&gt;1,1,WWWW[[#This Row],['#_households that received standard amount of sanitary pads for this quarter]]/WWWW[[#This Row],[Total HH]])</f>
        <v>0</v>
      </c>
      <c r="DE262" s="647">
        <f>WWWW[[#This Row],['#_Constructed/Existing hand washing stations]]-WWWW[[#This Row],['#_Non-Functional_hand_washing_stations]]</f>
        <v>0</v>
      </c>
      <c r="DF262" s="667">
        <f>IF(WWWW[[#This Row],['# Functional hand washing stations during reporting period]]*20&gt;WWWW[[#This Row],[Total HH]],WWWW[[#This Row],[Total HH]],WWWW[[#This Row],['# Functional hand washing stations during reporting period]]*20)</f>
        <v>0</v>
      </c>
      <c r="DG262" s="645">
        <f>IF(WWWW[[#This Row],[Is sufficient soap available for TLS? (Yes/No)]]="yes",WWWW[[#This Row],['#_Constructed/Existing hand washing stations at TLS]],0)</f>
        <v>0</v>
      </c>
      <c r="DH262" s="645">
        <f>IF(WWWW[[#This Row],['# Functional hand washing stations during reporting period]]*100&gt;WWWW[[#This Row],[Total PoP ]],WWWW[[#This Row],[Total PoP ]],WWWW[[#This Row],['# Functional hand washing stations during reporting period]]*100)</f>
        <v>0</v>
      </c>
      <c r="DI262" s="645" t="str">
        <f>IF(WWWW[[#This Row],['#_students at TLS_CFS]]="","No","Yes")</f>
        <v>No</v>
      </c>
      <c r="DJ262" s="643">
        <f>VLOOKUP(WWWW[[#This Row],[Site Name]],SiteDB6[[Site Name]:[CCCM Management]],6,FALSE)</f>
        <v>0</v>
      </c>
      <c r="DK262" s="643">
        <f>VLOOKUP(WWWW[[#This Row],[Site Name]],SiteDB6[[Site Name]:[CCCM Focal Agency]],7,FALSE)</f>
        <v>0</v>
      </c>
      <c r="DL262" s="643" t="str">
        <f>VLOOKUP(WWWW[[#This Row],[Site Name]],SiteDB6[[Site Name]:[Location Type 1]],9,FALSE)</f>
        <v>Village</v>
      </c>
      <c r="DM262" s="643" t="str">
        <f>VLOOKUP(WWWW[[#This Row],[Site Name]],SiteDB6[[Site Name]:[Type of Accommodation]],10,FALSE)</f>
        <v>village</v>
      </c>
      <c r="DN262" s="643" t="str">
        <f>VLOOKUP(WWWW[[#This Row],[Site Name]],SiteDB6[[Site Name]:[Ethnic or GCA/NGCA]],11,FALSE)</f>
        <v>Rakhine</v>
      </c>
      <c r="DO262" s="643">
        <f>VLOOKUP(WWWW[[#This Row],[Site Name]],SiteDB6[[Site Name]:[Lat]],12,FALSE)</f>
        <v>20.226730346679702</v>
      </c>
      <c r="DP262" s="643">
        <f>VLOOKUP(WWWW[[#This Row],[Site Name]],SiteDB6[[Site Name]:[Long]],13,FALSE)</f>
        <v>92.836929321289105</v>
      </c>
      <c r="DQ262" s="643">
        <f>VLOOKUP(WWWW[[#This Row],[Site Name]],SiteDB6[[Site Name]:[Pcode]],3,FALSE)</f>
        <v>196129</v>
      </c>
      <c r="DR262" s="652" t="str">
        <f t="shared" si="9"/>
        <v>Covered</v>
      </c>
      <c r="DS262" s="652"/>
    </row>
    <row r="263" spans="1:123">
      <c r="A263" s="637" t="s">
        <v>2525</v>
      </c>
      <c r="B263" s="637" t="s">
        <v>332</v>
      </c>
      <c r="C263" s="644" t="s">
        <v>332</v>
      </c>
      <c r="D263" s="644" t="s">
        <v>325</v>
      </c>
      <c r="E263" s="663" t="s">
        <v>3014</v>
      </c>
      <c r="F263" s="644" t="s">
        <v>313</v>
      </c>
      <c r="G263" s="663" t="str">
        <f>VLOOKUP(WWWW[[#This Row],[Site Name]],SiteDB6[[Site Name]:[Location Type]],8,FALSE)</f>
        <v>Village</v>
      </c>
      <c r="H263" s="644" t="s">
        <v>2079</v>
      </c>
      <c r="I263" s="646">
        <v>301</v>
      </c>
      <c r="J263" s="646">
        <v>1529</v>
      </c>
      <c r="K263" s="653">
        <v>42736</v>
      </c>
      <c r="L263" s="654">
        <v>44551</v>
      </c>
      <c r="M263" s="646"/>
      <c r="N263" s="646"/>
      <c r="O263" s="646"/>
      <c r="P263" s="646"/>
      <c r="Q263" s="645"/>
      <c r="R263" s="646"/>
      <c r="S263" s="646"/>
      <c r="T263" s="646"/>
      <c r="U263" s="646"/>
      <c r="V263" s="646"/>
      <c r="W263" s="646"/>
      <c r="X263" s="646"/>
      <c r="Y263" s="646"/>
      <c r="Z263" s="646"/>
      <c r="AA263" s="646"/>
      <c r="AB263" s="646"/>
      <c r="AC263" s="646"/>
      <c r="AD263" s="646"/>
      <c r="AE263" s="646"/>
      <c r="AF263" s="646"/>
      <c r="AG263" s="646"/>
      <c r="AH263" s="646"/>
      <c r="AI263" s="646"/>
      <c r="AJ263" s="646"/>
      <c r="AK263" s="646"/>
      <c r="AL263" s="646"/>
      <c r="AM263" s="646"/>
      <c r="AN263" s="646"/>
      <c r="AO263" s="652"/>
      <c r="AP263" s="646"/>
      <c r="AQ263" s="646"/>
      <c r="AR263" s="648"/>
      <c r="AS263" s="646"/>
      <c r="AT263" s="646"/>
      <c r="AU263" s="646"/>
      <c r="AV263" s="646"/>
      <c r="AW263" s="646"/>
      <c r="AX263" s="643"/>
      <c r="AY263" s="652"/>
      <c r="AZ263" s="646"/>
      <c r="BA263" s="646"/>
      <c r="BB263" s="646"/>
      <c r="BC263" s="643"/>
      <c r="BD263" s="646"/>
      <c r="BE263" s="646"/>
      <c r="BF263" s="646"/>
      <c r="BG263" s="646"/>
      <c r="BH263" s="646"/>
      <c r="BI263" s="646"/>
      <c r="BJ263" s="646"/>
      <c r="BK263" s="646"/>
      <c r="BL263" s="646"/>
      <c r="BM263" s="643"/>
      <c r="BN263" s="647"/>
      <c r="BO263" s="648"/>
      <c r="BP263" s="643"/>
      <c r="BQ263" s="649" t="str">
        <f>IFERROR(WWWW[[#This Row],['#_Water sources treated]]/WWWW[[#This Row],['#_Water sources tested for contamination]],"no test")</f>
        <v>no test</v>
      </c>
      <c r="BR263" s="648" t="str">
        <f>IFERROR(WWWW[[#This Row],['#_Household received remediation action due to contamination]]/WWWW[[#This Row],['#_Household water samples tested for contamination]],"no test")</f>
        <v>no test</v>
      </c>
      <c r="BS263" s="647" t="str">
        <f>IF(AND(WWWW[[#This Row],[% of water sources treated]]="no test",WWWW[[#This Row],[% Household received corrective actions]]="no test"),"No Test","Tested")</f>
        <v>No Test</v>
      </c>
      <c r="BT263" s="647">
        <f>WWWW[[#This Row],['#_Constructed/existing protected hand dug well]]-WWWW[[#This Row],['#_Non-functional protected hand dug well]]</f>
        <v>0</v>
      </c>
      <c r="BU263" s="647">
        <f>(WWWW[[#This Row],['#_Constructed/Existing tube wells/boreholes/handpumps_WASH_agency]]+WWWW[[#This Row],['#_Non-Cluster partner water tube-wells/boreholes/handpumps]])-WWWW[[#This Row],['#_Non-functional tube wells/boreholes/handpumps]]</f>
        <v>0</v>
      </c>
      <c r="BV263" s="647">
        <f>WWWW[[#This Row],['#_Constructed/Existingwater storage tank with gravity fed reticulation system]]-WWWW[[#This Row],['#_Non-functional storage tank gravity fed reticulation system]]</f>
        <v>0</v>
      </c>
      <c r="BW263" s="647">
        <f>WWWW[[#This Row],['#_Water boating or water trucking]]</f>
        <v>0</v>
      </c>
      <c r="BX263" s="647">
        <f>WWWW[[#This Row],['#_Constructed/Existing water distribution system from river or natural spring]]</f>
        <v>0</v>
      </c>
      <c r="BY263"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63"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63" s="648">
        <f>IF(WWWW[[#This Row],[Location Type 1]]="Village",WWWW[[#This Row],[Access to safe drinking water for Village]],WWWW[[#This Row],[Access to safe drinking water for Camp]])</f>
        <v>0</v>
      </c>
      <c r="CB263" s="645">
        <f>WWWW[[#This Row],[%Equitable and continuous access to sufficient quantity of safe drinking water]]*WWWW[[#This Row],[Total PoP ]]</f>
        <v>0</v>
      </c>
      <c r="CC263" s="648">
        <f>IF((WWWW[[#This Row],['#_Constructed/Existing protected/fenced ponds]]*250)/WWWW[[#This Row],[Total PoP ]]&gt;1,1,(WWWW[[#This Row],['#_Constructed/Existing protected/fenced ponds]]*250)/WWWW[[#This Row],[Total PoP ]])</f>
        <v>0</v>
      </c>
      <c r="CD263" s="645">
        <f>WWWW[[#This Row],[% Access to unimproved water points]]*WWWW[[#This Row],[Total PoP ]]</f>
        <v>0</v>
      </c>
      <c r="CE263"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63"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63" s="645">
        <f>WWWW[[#This Row],[HRP1]]/500</f>
        <v>0</v>
      </c>
      <c r="CH263" s="650">
        <f>1-WWWW[[#This Row],[% Equitable and continuous access to sufficient quantity of domestic water]]</f>
        <v>1</v>
      </c>
      <c r="CI263" s="645">
        <f>WWWW[[#This Row],[%equitable and continuous access to sufficient quantity of safe drinking and domestic water''s GAP]]*WWWW[[#This Row],[Total PoP ]]</f>
        <v>1529</v>
      </c>
      <c r="CJ263" s="647">
        <f>IF(WWWW[[#This Row],[Total required water points]]-WWWW[[#This Row],['#Water points coverage]]&lt;0,0,WWWW[[#This Row],[Total required water points]]-WWWW[[#This Row],['#Water points coverage]])</f>
        <v>3</v>
      </c>
      <c r="CK263" s="647">
        <f>ROUND(IF(WWWW[[#This Row],[Total PoP ]]&lt;500,1,WWWW[[#This Row],[Total PoP ]]/500),0)</f>
        <v>3</v>
      </c>
      <c r="CL263" s="647">
        <f>(WWWW[[#This Row],['#_Constructed latrines_by_WASHAgencies]]+WWWW[[#This Row],['#_Non Cluster partner latrines]])-WWWW[[#This Row],['#_Non-functional latrines]]</f>
        <v>0</v>
      </c>
      <c r="CM263"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63"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63"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63" s="647" t="str">
        <f>IF(WWWW[[#This Row],[Location Type 1]]="Village","NA",IF(WWWW[[#This Row],['#_Constructed/Existing latrines in TLS]]*50&gt;WWWW[[#This Row],['#_students at TLS_CFS]],WWWW[[#This Row],['#_students at TLS_CFS]],(WWWW[[#This Row],['#_Constructed/Existing latrines in TLS]]*50)))</f>
        <v>NA</v>
      </c>
      <c r="CQ263" s="647">
        <f>ROUND(IF(WWWW[[#This Row],[Location Type 1]]="camp",WWWW[[#This Row],[Total PoP ]]/20,IF(WWWW[[#This Row],[Location Type 1]]="Temporary Location",WWWW[[#This Row],[Total PoP ]]/50,(WWWW[[#This Row],[Total PoP ]]/6))),0)</f>
        <v>255</v>
      </c>
      <c r="CR263" s="647">
        <f>IF(WWWW[[#This Row],[Total required Latrines]]-(WWWW[[#This Row],['#_Constructed latrines_by_WASHAgencies]]+WWWW[[#This Row],['#_Non Cluster partner latrines]])&lt;0,0,WWWW[[#This Row],[Total required Latrines]]-(WWWW[[#This Row],['#_Constructed latrines_by_WASHAgencies]]+WWWW[[#This Row],['#_Non Cluster partner latrines]]))</f>
        <v>255</v>
      </c>
      <c r="CS263" s="79">
        <f>1-WWWW[[#This Row],[% people access to functioning Latrine]]</f>
        <v>1</v>
      </c>
      <c r="CT263" s="649">
        <f>IF(OR(WWWW[[#This Row],['#_Non-functional latrines]]="",WWWW[[#This Row],['#_Non-functional latrines]]=0),0,WWWW[[#This Row],['#_Non-functional latrines]]/(WWWW[[#This Row],['#_Constructed latrines_by_WASHAgencies]]+WWWW[[#This Row],['#_Non Cluster partner latrines]]))</f>
        <v>0</v>
      </c>
      <c r="CU263" s="645">
        <f>IF(500*(WWWW[[#This Row],['#_male hygiene promoters]]+WWWW[[#This Row],['#_female hygiene promoters]])&gt;WWWW[[#This Row],[Total PoP ]],WWWW[[#This Row],[Total PoP ]],500*(WWWW[[#This Row],['#_male hygiene promoters]]+WWWW[[#This Row],['#_female hygiene promoters]]))</f>
        <v>0</v>
      </c>
      <c r="CV263"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63"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63" s="647">
        <f>IF(WWWW[[#This Row],['# People with access to soap]]&gt;WWWW[[#This Row],['# People with access to Sanity Pads]],WWWW[[#This Row],['# People with access to soap]],WWWW[[#This Row],['# People with access to Sanity Pads]])</f>
        <v>0</v>
      </c>
      <c r="CY263"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63" s="650">
        <f>IF(WWWW[[#This Row],[HRP3]]/WWWW[[#This Row],[Total PoP ]]&gt;100%,100%,WWWW[[#This Row],[HRP3]]/WWWW[[#This Row],[Total PoP ]])</f>
        <v>0</v>
      </c>
      <c r="DA263" s="649">
        <f>1-WWWW[[#This Row],[Hygiene Coverage%]]</f>
        <v>1</v>
      </c>
      <c r="DB263" s="648">
        <f>WWWW[[#This Row],['# people reached by regular dedicated hygiene promotion_5]]/WWWW[[#This Row],[Total PoP ]]</f>
        <v>0</v>
      </c>
      <c r="DC263" s="648">
        <f>IF(WWWW[[#This Row],['#_households that received standard amount of soap for this quarter]]/WWWW[[#This Row],[Total HH]]&gt;1,1,WWWW[[#This Row],['#_households that received standard amount of soap for this quarter]]/WWWW[[#This Row],[Total HH]])</f>
        <v>0</v>
      </c>
      <c r="DD263" s="648">
        <f>IF(WWWW[[#This Row],['#_households that received standard amount of sanitary pads for this quarter]]/WWWW[[#This Row],[Total HH]]&gt;1,1,WWWW[[#This Row],['#_households that received standard amount of sanitary pads for this quarter]]/WWWW[[#This Row],[Total HH]])</f>
        <v>0</v>
      </c>
      <c r="DE263" s="647">
        <f>WWWW[[#This Row],['#_Constructed/Existing hand washing stations]]-WWWW[[#This Row],['#_Non-Functional_hand_washing_stations]]</f>
        <v>0</v>
      </c>
      <c r="DF263" s="667">
        <f>IF(WWWW[[#This Row],['# Functional hand washing stations during reporting period]]*20&gt;WWWW[[#This Row],[Total HH]],WWWW[[#This Row],[Total HH]],WWWW[[#This Row],['# Functional hand washing stations during reporting period]]*20)</f>
        <v>0</v>
      </c>
      <c r="DG263" s="645">
        <f>IF(WWWW[[#This Row],[Is sufficient soap available for TLS? (Yes/No)]]="yes",WWWW[[#This Row],['#_Constructed/Existing hand washing stations at TLS]],0)</f>
        <v>0</v>
      </c>
      <c r="DH263" s="645">
        <f>IF(WWWW[[#This Row],['# Functional hand washing stations during reporting period]]*100&gt;WWWW[[#This Row],[Total PoP ]],WWWW[[#This Row],[Total PoP ]],WWWW[[#This Row],['# Functional hand washing stations during reporting period]]*100)</f>
        <v>0</v>
      </c>
      <c r="DI263" s="645" t="str">
        <f>IF(WWWW[[#This Row],['#_students at TLS_CFS]]="","No","Yes")</f>
        <v>No</v>
      </c>
      <c r="DJ263" s="643">
        <f>VLOOKUP(WWWW[[#This Row],[Site Name]],SiteDB6[[Site Name]:[CCCM Management]],6,FALSE)</f>
        <v>0</v>
      </c>
      <c r="DK263" s="643">
        <f>VLOOKUP(WWWW[[#This Row],[Site Name]],SiteDB6[[Site Name]:[CCCM Focal Agency]],7,FALSE)</f>
        <v>0</v>
      </c>
      <c r="DL263" s="643" t="str">
        <f>VLOOKUP(WWWW[[#This Row],[Site Name]],SiteDB6[[Site Name]:[Location Type 1]],9,FALSE)</f>
        <v>Village</v>
      </c>
      <c r="DM263" s="643" t="str">
        <f>VLOOKUP(WWWW[[#This Row],[Site Name]],SiteDB6[[Site Name]:[Type of Accommodation]],10,FALSE)</f>
        <v>Village</v>
      </c>
      <c r="DN263" s="643" t="str">
        <f>VLOOKUP(WWWW[[#This Row],[Site Name]],SiteDB6[[Site Name]:[Ethnic or GCA/NGCA]],11,FALSE)</f>
        <v>Rakhine</v>
      </c>
      <c r="DO263" s="643">
        <f>VLOOKUP(WWWW[[#This Row],[Site Name]],SiteDB6[[Site Name]:[Lat]],12,FALSE)</f>
        <v>20.257850650000002</v>
      </c>
      <c r="DP263" s="643">
        <f>VLOOKUP(WWWW[[#This Row],[Site Name]],SiteDB6[[Site Name]:[Long]],13,FALSE)</f>
        <v>92.811126709999996</v>
      </c>
      <c r="DQ263" s="643">
        <f>VLOOKUP(WWWW[[#This Row],[Site Name]],SiteDB6[[Site Name]:[Pcode]],3,FALSE)</f>
        <v>196161</v>
      </c>
      <c r="DR263" s="652" t="str">
        <f t="shared" si="9"/>
        <v>Covered</v>
      </c>
      <c r="DS263" s="652"/>
    </row>
    <row r="264" spans="1:123">
      <c r="A264" s="637" t="s">
        <v>2525</v>
      </c>
      <c r="B264" s="637" t="s">
        <v>332</v>
      </c>
      <c r="C264" s="644" t="s">
        <v>332</v>
      </c>
      <c r="D264" s="644" t="s">
        <v>325</v>
      </c>
      <c r="E264" s="663" t="s">
        <v>3014</v>
      </c>
      <c r="F264" s="644" t="s">
        <v>313</v>
      </c>
      <c r="G264" s="663" t="str">
        <f>VLOOKUP(WWWW[[#This Row],[Site Name]],SiteDB6[[Site Name]:[Location Type]],8,FALSE)</f>
        <v>Village</v>
      </c>
      <c r="H264" s="644" t="s">
        <v>2897</v>
      </c>
      <c r="I264" s="646">
        <v>85</v>
      </c>
      <c r="J264" s="646">
        <v>369</v>
      </c>
      <c r="K264" s="653">
        <v>42736</v>
      </c>
      <c r="L264" s="654">
        <v>44551</v>
      </c>
      <c r="M264" s="646"/>
      <c r="N264" s="646"/>
      <c r="O264" s="646"/>
      <c r="P264" s="646"/>
      <c r="Q264" s="645"/>
      <c r="R264" s="646"/>
      <c r="S264" s="646"/>
      <c r="T264" s="646"/>
      <c r="U264" s="646"/>
      <c r="V264" s="646"/>
      <c r="W264" s="646"/>
      <c r="X264" s="646"/>
      <c r="Y264" s="646"/>
      <c r="Z264" s="646"/>
      <c r="AA264" s="646"/>
      <c r="AB264" s="646"/>
      <c r="AC264" s="646"/>
      <c r="AD264" s="646"/>
      <c r="AE264" s="646"/>
      <c r="AF264" s="646"/>
      <c r="AG264" s="646"/>
      <c r="AH264" s="646"/>
      <c r="AI264" s="646"/>
      <c r="AJ264" s="646"/>
      <c r="AK264" s="646"/>
      <c r="AL264" s="646"/>
      <c r="AM264" s="646"/>
      <c r="AN264" s="646"/>
      <c r="AO264" s="652"/>
      <c r="AP264" s="646"/>
      <c r="AQ264" s="646"/>
      <c r="AR264" s="648"/>
      <c r="AS264" s="646"/>
      <c r="AT264" s="646"/>
      <c r="AU264" s="646"/>
      <c r="AV264" s="646"/>
      <c r="AW264" s="646"/>
      <c r="AX264" s="643"/>
      <c r="AY264" s="652"/>
      <c r="AZ264" s="646"/>
      <c r="BA264" s="646"/>
      <c r="BB264" s="646"/>
      <c r="BC264" s="643"/>
      <c r="BD264" s="646"/>
      <c r="BE264" s="646"/>
      <c r="BF264" s="646"/>
      <c r="BG264" s="646"/>
      <c r="BH264" s="646"/>
      <c r="BI264" s="646"/>
      <c r="BJ264" s="646"/>
      <c r="BK264" s="646"/>
      <c r="BL264" s="646"/>
      <c r="BM264" s="643"/>
      <c r="BN264" s="647"/>
      <c r="BO264" s="648"/>
      <c r="BP264" s="643"/>
      <c r="BQ264" s="649" t="str">
        <f>IFERROR(WWWW[[#This Row],['#_Water sources treated]]/WWWW[[#This Row],['#_Water sources tested for contamination]],"no test")</f>
        <v>no test</v>
      </c>
      <c r="BR264" s="648" t="str">
        <f>IFERROR(WWWW[[#This Row],['#_Household received remediation action due to contamination]]/WWWW[[#This Row],['#_Household water samples tested for contamination]],"no test")</f>
        <v>no test</v>
      </c>
      <c r="BS264" s="647" t="str">
        <f>IF(AND(WWWW[[#This Row],[% of water sources treated]]="no test",WWWW[[#This Row],[% Household received corrective actions]]="no test"),"No Test","Tested")</f>
        <v>No Test</v>
      </c>
      <c r="BT264" s="647">
        <f>WWWW[[#This Row],['#_Constructed/existing protected hand dug well]]-WWWW[[#This Row],['#_Non-functional protected hand dug well]]</f>
        <v>0</v>
      </c>
      <c r="BU264" s="647">
        <f>(WWWW[[#This Row],['#_Constructed/Existing tube wells/boreholes/handpumps_WASH_agency]]+WWWW[[#This Row],['#_Non-Cluster partner water tube-wells/boreholes/handpumps]])-WWWW[[#This Row],['#_Non-functional tube wells/boreholes/handpumps]]</f>
        <v>0</v>
      </c>
      <c r="BV264" s="647">
        <f>WWWW[[#This Row],['#_Constructed/Existingwater storage tank with gravity fed reticulation system]]-WWWW[[#This Row],['#_Non-functional storage tank gravity fed reticulation system]]</f>
        <v>0</v>
      </c>
      <c r="BW264" s="647">
        <f>WWWW[[#This Row],['#_Water boating or water trucking]]</f>
        <v>0</v>
      </c>
      <c r="BX264" s="647">
        <f>WWWW[[#This Row],['#_Constructed/Existing water distribution system from river or natural spring]]</f>
        <v>0</v>
      </c>
      <c r="BY264"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64"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64" s="648">
        <f>IF(WWWW[[#This Row],[Location Type 1]]="Village",WWWW[[#This Row],[Access to safe drinking water for Village]],WWWW[[#This Row],[Access to safe drinking water for Camp]])</f>
        <v>0</v>
      </c>
      <c r="CB264" s="645">
        <f>WWWW[[#This Row],[%Equitable and continuous access to sufficient quantity of safe drinking water]]*WWWW[[#This Row],[Total PoP ]]</f>
        <v>0</v>
      </c>
      <c r="CC264" s="648">
        <f>IF((WWWW[[#This Row],['#_Constructed/Existing protected/fenced ponds]]*250)/WWWW[[#This Row],[Total PoP ]]&gt;1,1,(WWWW[[#This Row],['#_Constructed/Existing protected/fenced ponds]]*250)/WWWW[[#This Row],[Total PoP ]])</f>
        <v>0</v>
      </c>
      <c r="CD264" s="645">
        <f>WWWW[[#This Row],[% Access to unimproved water points]]*WWWW[[#This Row],[Total PoP ]]</f>
        <v>0</v>
      </c>
      <c r="CE264"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64"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64" s="645">
        <f>WWWW[[#This Row],[HRP1]]/500</f>
        <v>0</v>
      </c>
      <c r="CH264" s="650">
        <f>1-WWWW[[#This Row],[% Equitable and continuous access to sufficient quantity of domestic water]]</f>
        <v>1</v>
      </c>
      <c r="CI264" s="645">
        <f>WWWW[[#This Row],[%equitable and continuous access to sufficient quantity of safe drinking and domestic water''s GAP]]*WWWW[[#This Row],[Total PoP ]]</f>
        <v>369</v>
      </c>
      <c r="CJ264" s="647">
        <f>IF(WWWW[[#This Row],[Total required water points]]-WWWW[[#This Row],['#Water points coverage]]&lt;0,0,WWWW[[#This Row],[Total required water points]]-WWWW[[#This Row],['#Water points coverage]])</f>
        <v>1</v>
      </c>
      <c r="CK264" s="647">
        <f>ROUND(IF(WWWW[[#This Row],[Total PoP ]]&lt;500,1,WWWW[[#This Row],[Total PoP ]]/500),0)</f>
        <v>1</v>
      </c>
      <c r="CL264" s="647">
        <f>(WWWW[[#This Row],['#_Constructed latrines_by_WASHAgencies]]+WWWW[[#This Row],['#_Non Cluster partner latrines]])-WWWW[[#This Row],['#_Non-functional latrines]]</f>
        <v>0</v>
      </c>
      <c r="CM264"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64"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64"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64" s="647" t="str">
        <f>IF(WWWW[[#This Row],[Location Type 1]]="Village","NA",IF(WWWW[[#This Row],['#_Constructed/Existing latrines in TLS]]*50&gt;WWWW[[#This Row],['#_students at TLS_CFS]],WWWW[[#This Row],['#_students at TLS_CFS]],(WWWW[[#This Row],['#_Constructed/Existing latrines in TLS]]*50)))</f>
        <v>NA</v>
      </c>
      <c r="CQ264" s="647">
        <f>ROUND(IF(WWWW[[#This Row],[Location Type 1]]="camp",WWWW[[#This Row],[Total PoP ]]/20,IF(WWWW[[#This Row],[Location Type 1]]="Temporary Location",WWWW[[#This Row],[Total PoP ]]/50,(WWWW[[#This Row],[Total PoP ]]/6))),0)</f>
        <v>62</v>
      </c>
      <c r="CR264" s="647">
        <f>IF(WWWW[[#This Row],[Total required Latrines]]-(WWWW[[#This Row],['#_Constructed latrines_by_WASHAgencies]]+WWWW[[#This Row],['#_Non Cluster partner latrines]])&lt;0,0,WWWW[[#This Row],[Total required Latrines]]-(WWWW[[#This Row],['#_Constructed latrines_by_WASHAgencies]]+WWWW[[#This Row],['#_Non Cluster partner latrines]]))</f>
        <v>62</v>
      </c>
      <c r="CS264" s="79">
        <f>1-WWWW[[#This Row],[% people access to functioning Latrine]]</f>
        <v>1</v>
      </c>
      <c r="CT264" s="649">
        <f>IF(OR(WWWW[[#This Row],['#_Non-functional latrines]]="",WWWW[[#This Row],['#_Non-functional latrines]]=0),0,WWWW[[#This Row],['#_Non-functional latrines]]/(WWWW[[#This Row],['#_Constructed latrines_by_WASHAgencies]]+WWWW[[#This Row],['#_Non Cluster partner latrines]]))</f>
        <v>0</v>
      </c>
      <c r="CU264" s="645">
        <f>IF(500*(WWWW[[#This Row],['#_male hygiene promoters]]+WWWW[[#This Row],['#_female hygiene promoters]])&gt;WWWW[[#This Row],[Total PoP ]],WWWW[[#This Row],[Total PoP ]],500*(WWWW[[#This Row],['#_male hygiene promoters]]+WWWW[[#This Row],['#_female hygiene promoters]]))</f>
        <v>0</v>
      </c>
      <c r="CV264"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64"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64" s="647">
        <f>IF(WWWW[[#This Row],['# People with access to soap]]&gt;WWWW[[#This Row],['# People with access to Sanity Pads]],WWWW[[#This Row],['# People with access to soap]],WWWW[[#This Row],['# People with access to Sanity Pads]])</f>
        <v>0</v>
      </c>
      <c r="CY264"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64" s="650">
        <f>IF(WWWW[[#This Row],[HRP3]]/WWWW[[#This Row],[Total PoP ]]&gt;100%,100%,WWWW[[#This Row],[HRP3]]/WWWW[[#This Row],[Total PoP ]])</f>
        <v>0</v>
      </c>
      <c r="DA264" s="649">
        <f>1-WWWW[[#This Row],[Hygiene Coverage%]]</f>
        <v>1</v>
      </c>
      <c r="DB264" s="648">
        <f>WWWW[[#This Row],['# people reached by regular dedicated hygiene promotion_5]]/WWWW[[#This Row],[Total PoP ]]</f>
        <v>0</v>
      </c>
      <c r="DC264" s="648">
        <f>IF(WWWW[[#This Row],['#_households that received standard amount of soap for this quarter]]/WWWW[[#This Row],[Total HH]]&gt;1,1,WWWW[[#This Row],['#_households that received standard amount of soap for this quarter]]/WWWW[[#This Row],[Total HH]])</f>
        <v>0</v>
      </c>
      <c r="DD264" s="648">
        <f>IF(WWWW[[#This Row],['#_households that received standard amount of sanitary pads for this quarter]]/WWWW[[#This Row],[Total HH]]&gt;1,1,WWWW[[#This Row],['#_households that received standard amount of sanitary pads for this quarter]]/WWWW[[#This Row],[Total HH]])</f>
        <v>0</v>
      </c>
      <c r="DE264" s="647">
        <f>WWWW[[#This Row],['#_Constructed/Existing hand washing stations]]-WWWW[[#This Row],['#_Non-Functional_hand_washing_stations]]</f>
        <v>0</v>
      </c>
      <c r="DF264" s="667">
        <f>IF(WWWW[[#This Row],['# Functional hand washing stations during reporting period]]*20&gt;WWWW[[#This Row],[Total HH]],WWWW[[#This Row],[Total HH]],WWWW[[#This Row],['# Functional hand washing stations during reporting period]]*20)</f>
        <v>0</v>
      </c>
      <c r="DG264" s="645">
        <f>IF(WWWW[[#This Row],[Is sufficient soap available for TLS? (Yes/No)]]="yes",WWWW[[#This Row],['#_Constructed/Existing hand washing stations at TLS]],0)</f>
        <v>0</v>
      </c>
      <c r="DH264" s="645">
        <f>IF(WWWW[[#This Row],['# Functional hand washing stations during reporting period]]*100&gt;WWWW[[#This Row],[Total PoP ]],WWWW[[#This Row],[Total PoP ]],WWWW[[#This Row],['# Functional hand washing stations during reporting period]]*100)</f>
        <v>0</v>
      </c>
      <c r="DI264" s="645" t="str">
        <f>IF(WWWW[[#This Row],['#_students at TLS_CFS]]="","No","Yes")</f>
        <v>No</v>
      </c>
      <c r="DJ264" s="643">
        <f>VLOOKUP(WWWW[[#This Row],[Site Name]],SiteDB6[[Site Name]:[CCCM Management]],6,FALSE)</f>
        <v>0</v>
      </c>
      <c r="DK264" s="643">
        <f>VLOOKUP(WWWW[[#This Row],[Site Name]],SiteDB6[[Site Name]:[CCCM Focal Agency]],7,FALSE)</f>
        <v>0</v>
      </c>
      <c r="DL264" s="643" t="str">
        <f>VLOOKUP(WWWW[[#This Row],[Site Name]],SiteDB6[[Site Name]:[Location Type 1]],9,FALSE)</f>
        <v>Village</v>
      </c>
      <c r="DM264" s="643" t="str">
        <f>VLOOKUP(WWWW[[#This Row],[Site Name]],SiteDB6[[Site Name]:[Type of Accommodation]],10,FALSE)</f>
        <v>Village</v>
      </c>
      <c r="DN264" s="643">
        <f>VLOOKUP(WWWW[[#This Row],[Site Name]],SiteDB6[[Site Name]:[Ethnic or GCA/NGCA]],11,FALSE)</f>
        <v>0</v>
      </c>
      <c r="DO264" s="643">
        <f>VLOOKUP(WWWW[[#This Row],[Site Name]],SiteDB6[[Site Name]:[Lat]],12,FALSE)</f>
        <v>20.261358000000001</v>
      </c>
      <c r="DP264" s="643">
        <f>VLOOKUP(WWWW[[#This Row],[Site Name]],SiteDB6[[Site Name]:[Long]],13,FALSE)</f>
        <v>92.805672999999999</v>
      </c>
      <c r="DQ264" s="643">
        <f>VLOOKUP(WWWW[[#This Row],[Site Name]],SiteDB6[[Site Name]:[Pcode]],3,FALSE)</f>
        <v>220593</v>
      </c>
      <c r="DR264" s="652" t="str">
        <f t="shared" si="9"/>
        <v>Covered</v>
      </c>
      <c r="DS264" s="652"/>
    </row>
    <row r="265" spans="1:123">
      <c r="A265" s="637" t="s">
        <v>2525</v>
      </c>
      <c r="B265" s="637" t="s">
        <v>332</v>
      </c>
      <c r="C265" s="644" t="s">
        <v>332</v>
      </c>
      <c r="D265" s="644" t="s">
        <v>325</v>
      </c>
      <c r="E265" s="663" t="s">
        <v>3014</v>
      </c>
      <c r="F265" s="644" t="s">
        <v>313</v>
      </c>
      <c r="G265" s="663" t="str">
        <f>VLOOKUP(WWWW[[#This Row],[Site Name]],SiteDB6[[Site Name]:[Location Type]],8,FALSE)</f>
        <v>Village</v>
      </c>
      <c r="H265" s="644" t="s">
        <v>468</v>
      </c>
      <c r="I265" s="646">
        <v>175</v>
      </c>
      <c r="J265" s="646">
        <v>811</v>
      </c>
      <c r="K265" s="653">
        <v>42736</v>
      </c>
      <c r="L265" s="654">
        <v>44551</v>
      </c>
      <c r="M265" s="646"/>
      <c r="N265" s="646"/>
      <c r="O265" s="646"/>
      <c r="P265" s="646"/>
      <c r="Q265" s="645"/>
      <c r="R265" s="646"/>
      <c r="S265" s="646"/>
      <c r="T265" s="646"/>
      <c r="U265" s="646"/>
      <c r="V265" s="646"/>
      <c r="W265" s="646"/>
      <c r="X265" s="646"/>
      <c r="Y265" s="646"/>
      <c r="Z265" s="646"/>
      <c r="AA265" s="646"/>
      <c r="AB265" s="646"/>
      <c r="AC265" s="646"/>
      <c r="AD265" s="646"/>
      <c r="AE265" s="646"/>
      <c r="AF265" s="646"/>
      <c r="AG265" s="646"/>
      <c r="AH265" s="646"/>
      <c r="AI265" s="646"/>
      <c r="AJ265" s="646"/>
      <c r="AK265" s="646"/>
      <c r="AL265" s="646"/>
      <c r="AM265" s="646"/>
      <c r="AN265" s="646"/>
      <c r="AO265" s="652"/>
      <c r="AP265" s="646"/>
      <c r="AQ265" s="646"/>
      <c r="AR265" s="648"/>
      <c r="AS265" s="646"/>
      <c r="AT265" s="646"/>
      <c r="AU265" s="646"/>
      <c r="AV265" s="646"/>
      <c r="AW265" s="646"/>
      <c r="AX265" s="643"/>
      <c r="AY265" s="652"/>
      <c r="AZ265" s="646"/>
      <c r="BA265" s="646"/>
      <c r="BB265" s="646"/>
      <c r="BC265" s="643"/>
      <c r="BD265" s="646"/>
      <c r="BE265" s="646"/>
      <c r="BF265" s="646"/>
      <c r="BG265" s="646"/>
      <c r="BH265" s="646"/>
      <c r="BI265" s="646"/>
      <c r="BJ265" s="646"/>
      <c r="BK265" s="646"/>
      <c r="BL265" s="646"/>
      <c r="BM265" s="643"/>
      <c r="BN265" s="647"/>
      <c r="BO265" s="648"/>
      <c r="BP265" s="643"/>
      <c r="BQ265" s="649" t="str">
        <f>IFERROR(WWWW[[#This Row],['#_Water sources treated]]/WWWW[[#This Row],['#_Water sources tested for contamination]],"no test")</f>
        <v>no test</v>
      </c>
      <c r="BR265" s="648" t="str">
        <f>IFERROR(WWWW[[#This Row],['#_Household received remediation action due to contamination]]/WWWW[[#This Row],['#_Household water samples tested for contamination]],"no test")</f>
        <v>no test</v>
      </c>
      <c r="BS265" s="647" t="str">
        <f>IF(AND(WWWW[[#This Row],[% of water sources treated]]="no test",WWWW[[#This Row],[% Household received corrective actions]]="no test"),"No Test","Tested")</f>
        <v>No Test</v>
      </c>
      <c r="BT265" s="647">
        <f>WWWW[[#This Row],['#_Constructed/existing protected hand dug well]]-WWWW[[#This Row],['#_Non-functional protected hand dug well]]</f>
        <v>0</v>
      </c>
      <c r="BU265" s="647">
        <f>(WWWW[[#This Row],['#_Constructed/Existing tube wells/boreholes/handpumps_WASH_agency]]+WWWW[[#This Row],['#_Non-Cluster partner water tube-wells/boreholes/handpumps]])-WWWW[[#This Row],['#_Non-functional tube wells/boreholes/handpumps]]</f>
        <v>0</v>
      </c>
      <c r="BV265" s="647">
        <f>WWWW[[#This Row],['#_Constructed/Existingwater storage tank with gravity fed reticulation system]]-WWWW[[#This Row],['#_Non-functional storage tank gravity fed reticulation system]]</f>
        <v>0</v>
      </c>
      <c r="BW265" s="647">
        <f>WWWW[[#This Row],['#_Water boating or water trucking]]</f>
        <v>0</v>
      </c>
      <c r="BX265" s="647">
        <f>WWWW[[#This Row],['#_Constructed/Existing water distribution system from river or natural spring]]</f>
        <v>0</v>
      </c>
      <c r="BY265"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65"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65" s="648">
        <f>IF(WWWW[[#This Row],[Location Type 1]]="Village",WWWW[[#This Row],[Access to safe drinking water for Village]],WWWW[[#This Row],[Access to safe drinking water for Camp]])</f>
        <v>0</v>
      </c>
      <c r="CB265" s="645">
        <f>WWWW[[#This Row],[%Equitable and continuous access to sufficient quantity of safe drinking water]]*WWWW[[#This Row],[Total PoP ]]</f>
        <v>0</v>
      </c>
      <c r="CC265" s="648">
        <f>IF((WWWW[[#This Row],['#_Constructed/Existing protected/fenced ponds]]*250)/WWWW[[#This Row],[Total PoP ]]&gt;1,1,(WWWW[[#This Row],['#_Constructed/Existing protected/fenced ponds]]*250)/WWWW[[#This Row],[Total PoP ]])</f>
        <v>0</v>
      </c>
      <c r="CD265" s="645">
        <f>WWWW[[#This Row],[% Access to unimproved water points]]*WWWW[[#This Row],[Total PoP ]]</f>
        <v>0</v>
      </c>
      <c r="CE265"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65"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65" s="645">
        <f>WWWW[[#This Row],[HRP1]]/500</f>
        <v>0</v>
      </c>
      <c r="CH265" s="650">
        <f>1-WWWW[[#This Row],[% Equitable and continuous access to sufficient quantity of domestic water]]</f>
        <v>1</v>
      </c>
      <c r="CI265" s="645">
        <f>WWWW[[#This Row],[%equitable and continuous access to sufficient quantity of safe drinking and domestic water''s GAP]]*WWWW[[#This Row],[Total PoP ]]</f>
        <v>811</v>
      </c>
      <c r="CJ265" s="647">
        <f>IF(WWWW[[#This Row],[Total required water points]]-WWWW[[#This Row],['#Water points coverage]]&lt;0,0,WWWW[[#This Row],[Total required water points]]-WWWW[[#This Row],['#Water points coverage]])</f>
        <v>2</v>
      </c>
      <c r="CK265" s="647">
        <f>ROUND(IF(WWWW[[#This Row],[Total PoP ]]&lt;500,1,WWWW[[#This Row],[Total PoP ]]/500),0)</f>
        <v>2</v>
      </c>
      <c r="CL265" s="647">
        <f>(WWWW[[#This Row],['#_Constructed latrines_by_WASHAgencies]]+WWWW[[#This Row],['#_Non Cluster partner latrines]])-WWWW[[#This Row],['#_Non-functional latrines]]</f>
        <v>0</v>
      </c>
      <c r="CM265"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65"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65"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65" s="647" t="str">
        <f>IF(WWWW[[#This Row],[Location Type 1]]="Village","NA",IF(WWWW[[#This Row],['#_Constructed/Existing latrines in TLS]]*50&gt;WWWW[[#This Row],['#_students at TLS_CFS]],WWWW[[#This Row],['#_students at TLS_CFS]],(WWWW[[#This Row],['#_Constructed/Existing latrines in TLS]]*50)))</f>
        <v>NA</v>
      </c>
      <c r="CQ265" s="647">
        <f>ROUND(IF(WWWW[[#This Row],[Location Type 1]]="camp",WWWW[[#This Row],[Total PoP ]]/20,IF(WWWW[[#This Row],[Location Type 1]]="Temporary Location",WWWW[[#This Row],[Total PoP ]]/50,(WWWW[[#This Row],[Total PoP ]]/6))),0)</f>
        <v>135</v>
      </c>
      <c r="CR265" s="647">
        <f>IF(WWWW[[#This Row],[Total required Latrines]]-(WWWW[[#This Row],['#_Constructed latrines_by_WASHAgencies]]+WWWW[[#This Row],['#_Non Cluster partner latrines]])&lt;0,0,WWWW[[#This Row],[Total required Latrines]]-(WWWW[[#This Row],['#_Constructed latrines_by_WASHAgencies]]+WWWW[[#This Row],['#_Non Cluster partner latrines]]))</f>
        <v>135</v>
      </c>
      <c r="CS265" s="79">
        <f>1-WWWW[[#This Row],[% people access to functioning Latrine]]</f>
        <v>1</v>
      </c>
      <c r="CT265" s="649">
        <f>IF(OR(WWWW[[#This Row],['#_Non-functional latrines]]="",WWWW[[#This Row],['#_Non-functional latrines]]=0),0,WWWW[[#This Row],['#_Non-functional latrines]]/(WWWW[[#This Row],['#_Constructed latrines_by_WASHAgencies]]+WWWW[[#This Row],['#_Non Cluster partner latrines]]))</f>
        <v>0</v>
      </c>
      <c r="CU265" s="645">
        <f>IF(500*(WWWW[[#This Row],['#_male hygiene promoters]]+WWWW[[#This Row],['#_female hygiene promoters]])&gt;WWWW[[#This Row],[Total PoP ]],WWWW[[#This Row],[Total PoP ]],500*(WWWW[[#This Row],['#_male hygiene promoters]]+WWWW[[#This Row],['#_female hygiene promoters]]))</f>
        <v>0</v>
      </c>
      <c r="CV265"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65"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65" s="647">
        <f>IF(WWWW[[#This Row],['# People with access to soap]]&gt;WWWW[[#This Row],['# People with access to Sanity Pads]],WWWW[[#This Row],['# People with access to soap]],WWWW[[#This Row],['# People with access to Sanity Pads]])</f>
        <v>0</v>
      </c>
      <c r="CY265"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65" s="650">
        <f>IF(WWWW[[#This Row],[HRP3]]/WWWW[[#This Row],[Total PoP ]]&gt;100%,100%,WWWW[[#This Row],[HRP3]]/WWWW[[#This Row],[Total PoP ]])</f>
        <v>0</v>
      </c>
      <c r="DA265" s="649">
        <f>1-WWWW[[#This Row],[Hygiene Coverage%]]</f>
        <v>1</v>
      </c>
      <c r="DB265" s="648">
        <f>WWWW[[#This Row],['# people reached by regular dedicated hygiene promotion_5]]/WWWW[[#This Row],[Total PoP ]]</f>
        <v>0</v>
      </c>
      <c r="DC265" s="648">
        <f>IF(WWWW[[#This Row],['#_households that received standard amount of soap for this quarter]]/WWWW[[#This Row],[Total HH]]&gt;1,1,WWWW[[#This Row],['#_households that received standard amount of soap for this quarter]]/WWWW[[#This Row],[Total HH]])</f>
        <v>0</v>
      </c>
      <c r="DD265" s="648">
        <f>IF(WWWW[[#This Row],['#_households that received standard amount of sanitary pads for this quarter]]/WWWW[[#This Row],[Total HH]]&gt;1,1,WWWW[[#This Row],['#_households that received standard amount of sanitary pads for this quarter]]/WWWW[[#This Row],[Total HH]])</f>
        <v>0</v>
      </c>
      <c r="DE265" s="647">
        <f>WWWW[[#This Row],['#_Constructed/Existing hand washing stations]]-WWWW[[#This Row],['#_Non-Functional_hand_washing_stations]]</f>
        <v>0</v>
      </c>
      <c r="DF265" s="667">
        <f>IF(WWWW[[#This Row],['# Functional hand washing stations during reporting period]]*20&gt;WWWW[[#This Row],[Total HH]],WWWW[[#This Row],[Total HH]],WWWW[[#This Row],['# Functional hand washing stations during reporting period]]*20)</f>
        <v>0</v>
      </c>
      <c r="DG265" s="645">
        <f>IF(WWWW[[#This Row],[Is sufficient soap available for TLS? (Yes/No)]]="yes",WWWW[[#This Row],['#_Constructed/Existing hand washing stations at TLS]],0)</f>
        <v>0</v>
      </c>
      <c r="DH265" s="645">
        <f>IF(WWWW[[#This Row],['# Functional hand washing stations during reporting period]]*100&gt;WWWW[[#This Row],[Total PoP ]],WWWW[[#This Row],[Total PoP ]],WWWW[[#This Row],['# Functional hand washing stations during reporting period]]*100)</f>
        <v>0</v>
      </c>
      <c r="DI265" s="645" t="str">
        <f>IF(WWWW[[#This Row],['#_students at TLS_CFS]]="","No","Yes")</f>
        <v>No</v>
      </c>
      <c r="DJ265" s="643">
        <f>VLOOKUP(WWWW[[#This Row],[Site Name]],SiteDB6[[Site Name]:[CCCM Management]],6,FALSE)</f>
        <v>0</v>
      </c>
      <c r="DK265" s="643">
        <f>VLOOKUP(WWWW[[#This Row],[Site Name]],SiteDB6[[Site Name]:[CCCM Focal Agency]],7,FALSE)</f>
        <v>0</v>
      </c>
      <c r="DL265" s="643" t="str">
        <f>VLOOKUP(WWWW[[#This Row],[Site Name]],SiteDB6[[Site Name]:[Location Type 1]],9,FALSE)</f>
        <v>Village</v>
      </c>
      <c r="DM265" s="643" t="str">
        <f>VLOOKUP(WWWW[[#This Row],[Site Name]],SiteDB6[[Site Name]:[Type of Accommodation]],10,FALSE)</f>
        <v>Village</v>
      </c>
      <c r="DN265" s="643" t="str">
        <f>VLOOKUP(WWWW[[#This Row],[Site Name]],SiteDB6[[Site Name]:[Ethnic or GCA/NGCA]],11,FALSE)</f>
        <v>Rakhine</v>
      </c>
      <c r="DO265" s="643">
        <f>VLOOKUP(WWWW[[#This Row],[Site Name]],SiteDB6[[Site Name]:[Lat]],12,FALSE)</f>
        <v>20.245159149999999</v>
      </c>
      <c r="DP265" s="643">
        <f>VLOOKUP(WWWW[[#This Row],[Site Name]],SiteDB6[[Site Name]:[Long]],13,FALSE)</f>
        <v>92.807418819999995</v>
      </c>
      <c r="DQ265" s="643">
        <f>VLOOKUP(WWWW[[#This Row],[Site Name]],SiteDB6[[Site Name]:[Pcode]],3,FALSE)</f>
        <v>196137</v>
      </c>
      <c r="DR265" s="652" t="str">
        <f t="shared" si="9"/>
        <v>Covered</v>
      </c>
      <c r="DS265" s="652"/>
    </row>
    <row r="266" spans="1:123">
      <c r="A266" s="637" t="s">
        <v>2525</v>
      </c>
      <c r="B266" s="637" t="s">
        <v>332</v>
      </c>
      <c r="C266" s="644" t="s">
        <v>332</v>
      </c>
      <c r="D266" s="644" t="s">
        <v>325</v>
      </c>
      <c r="E266" s="663" t="s">
        <v>3014</v>
      </c>
      <c r="F266" s="644" t="s">
        <v>313</v>
      </c>
      <c r="G266" s="663" t="str">
        <f>VLOOKUP(WWWW[[#This Row],[Site Name]],SiteDB6[[Site Name]:[Location Type]],8,FALSE)</f>
        <v>Village</v>
      </c>
      <c r="H266" s="644" t="s">
        <v>2080</v>
      </c>
      <c r="I266" s="646">
        <v>355</v>
      </c>
      <c r="J266" s="646">
        <v>2168</v>
      </c>
      <c r="K266" s="653">
        <v>42736</v>
      </c>
      <c r="L266" s="654">
        <v>44551</v>
      </c>
      <c r="M266" s="646"/>
      <c r="N266" s="646"/>
      <c r="O266" s="646"/>
      <c r="P266" s="646"/>
      <c r="Q266" s="645"/>
      <c r="R266" s="646"/>
      <c r="S266" s="646"/>
      <c r="T266" s="646"/>
      <c r="U266" s="646"/>
      <c r="V266" s="646"/>
      <c r="W266" s="646"/>
      <c r="X266" s="646"/>
      <c r="Y266" s="646"/>
      <c r="Z266" s="646"/>
      <c r="AA266" s="646"/>
      <c r="AB266" s="646"/>
      <c r="AC266" s="646"/>
      <c r="AD266" s="646"/>
      <c r="AE266" s="646"/>
      <c r="AF266" s="646"/>
      <c r="AG266" s="646"/>
      <c r="AH266" s="646"/>
      <c r="AI266" s="646"/>
      <c r="AJ266" s="646"/>
      <c r="AK266" s="646"/>
      <c r="AL266" s="646"/>
      <c r="AM266" s="646"/>
      <c r="AN266" s="646"/>
      <c r="AO266" s="652"/>
      <c r="AP266" s="646"/>
      <c r="AQ266" s="646"/>
      <c r="AR266" s="648"/>
      <c r="AS266" s="646"/>
      <c r="AT266" s="646"/>
      <c r="AU266" s="646"/>
      <c r="AV266" s="646"/>
      <c r="AW266" s="646"/>
      <c r="AX266" s="643"/>
      <c r="AY266" s="652"/>
      <c r="AZ266" s="646"/>
      <c r="BA266" s="646"/>
      <c r="BB266" s="646"/>
      <c r="BC266" s="643"/>
      <c r="BD266" s="646"/>
      <c r="BE266" s="646"/>
      <c r="BF266" s="646"/>
      <c r="BG266" s="646"/>
      <c r="BH266" s="646"/>
      <c r="BI266" s="646"/>
      <c r="BJ266" s="646"/>
      <c r="BK266" s="646"/>
      <c r="BL266" s="646"/>
      <c r="BM266" s="643"/>
      <c r="BN266" s="647"/>
      <c r="BO266" s="648"/>
      <c r="BP266" s="643"/>
      <c r="BQ266" s="649" t="str">
        <f>IFERROR(WWWW[[#This Row],['#_Water sources treated]]/WWWW[[#This Row],['#_Water sources tested for contamination]],"no test")</f>
        <v>no test</v>
      </c>
      <c r="BR266" s="648" t="str">
        <f>IFERROR(WWWW[[#This Row],['#_Household received remediation action due to contamination]]/WWWW[[#This Row],['#_Household water samples tested for contamination]],"no test")</f>
        <v>no test</v>
      </c>
      <c r="BS266" s="647" t="str">
        <f>IF(AND(WWWW[[#This Row],[% of water sources treated]]="no test",WWWW[[#This Row],[% Household received corrective actions]]="no test"),"No Test","Tested")</f>
        <v>No Test</v>
      </c>
      <c r="BT266" s="647">
        <f>WWWW[[#This Row],['#_Constructed/existing protected hand dug well]]-WWWW[[#This Row],['#_Non-functional protected hand dug well]]</f>
        <v>0</v>
      </c>
      <c r="BU266" s="647">
        <f>(WWWW[[#This Row],['#_Constructed/Existing tube wells/boreholes/handpumps_WASH_agency]]+WWWW[[#This Row],['#_Non-Cluster partner water tube-wells/boreholes/handpumps]])-WWWW[[#This Row],['#_Non-functional tube wells/boreholes/handpumps]]</f>
        <v>0</v>
      </c>
      <c r="BV266" s="647">
        <f>WWWW[[#This Row],['#_Constructed/Existingwater storage tank with gravity fed reticulation system]]-WWWW[[#This Row],['#_Non-functional storage tank gravity fed reticulation system]]</f>
        <v>0</v>
      </c>
      <c r="BW266" s="647">
        <f>WWWW[[#This Row],['#_Water boating or water trucking]]</f>
        <v>0</v>
      </c>
      <c r="BX266" s="647">
        <f>WWWW[[#This Row],['#_Constructed/Existing water distribution system from river or natural spring]]</f>
        <v>0</v>
      </c>
      <c r="BY266"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66"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66" s="648">
        <f>IF(WWWW[[#This Row],[Location Type 1]]="Village",WWWW[[#This Row],[Access to safe drinking water for Village]],WWWW[[#This Row],[Access to safe drinking water for Camp]])</f>
        <v>0</v>
      </c>
      <c r="CB266" s="645">
        <f>WWWW[[#This Row],[%Equitable and continuous access to sufficient quantity of safe drinking water]]*WWWW[[#This Row],[Total PoP ]]</f>
        <v>0</v>
      </c>
      <c r="CC266" s="648">
        <f>IF((WWWW[[#This Row],['#_Constructed/Existing protected/fenced ponds]]*250)/WWWW[[#This Row],[Total PoP ]]&gt;1,1,(WWWW[[#This Row],['#_Constructed/Existing protected/fenced ponds]]*250)/WWWW[[#This Row],[Total PoP ]])</f>
        <v>0</v>
      </c>
      <c r="CD266" s="645">
        <f>WWWW[[#This Row],[% Access to unimproved water points]]*WWWW[[#This Row],[Total PoP ]]</f>
        <v>0</v>
      </c>
      <c r="CE266"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66"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66" s="645">
        <f>WWWW[[#This Row],[HRP1]]/500</f>
        <v>0</v>
      </c>
      <c r="CH266" s="650">
        <f>1-WWWW[[#This Row],[% Equitable and continuous access to sufficient quantity of domestic water]]</f>
        <v>1</v>
      </c>
      <c r="CI266" s="645">
        <f>WWWW[[#This Row],[%equitable and continuous access to sufficient quantity of safe drinking and domestic water''s GAP]]*WWWW[[#This Row],[Total PoP ]]</f>
        <v>2168</v>
      </c>
      <c r="CJ266" s="647">
        <f>IF(WWWW[[#This Row],[Total required water points]]-WWWW[[#This Row],['#Water points coverage]]&lt;0,0,WWWW[[#This Row],[Total required water points]]-WWWW[[#This Row],['#Water points coverage]])</f>
        <v>4</v>
      </c>
      <c r="CK266" s="647">
        <f>ROUND(IF(WWWW[[#This Row],[Total PoP ]]&lt;500,1,WWWW[[#This Row],[Total PoP ]]/500),0)</f>
        <v>4</v>
      </c>
      <c r="CL266" s="647">
        <f>(WWWW[[#This Row],['#_Constructed latrines_by_WASHAgencies]]+WWWW[[#This Row],['#_Non Cluster partner latrines]])-WWWW[[#This Row],['#_Non-functional latrines]]</f>
        <v>0</v>
      </c>
      <c r="CM266"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66"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66"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66" s="647" t="str">
        <f>IF(WWWW[[#This Row],[Location Type 1]]="Village","NA",IF(WWWW[[#This Row],['#_Constructed/Existing latrines in TLS]]*50&gt;WWWW[[#This Row],['#_students at TLS_CFS]],WWWW[[#This Row],['#_students at TLS_CFS]],(WWWW[[#This Row],['#_Constructed/Existing latrines in TLS]]*50)))</f>
        <v>NA</v>
      </c>
      <c r="CQ266" s="647">
        <f>ROUND(IF(WWWW[[#This Row],[Location Type 1]]="camp",WWWW[[#This Row],[Total PoP ]]/20,IF(WWWW[[#This Row],[Location Type 1]]="Temporary Location",WWWW[[#This Row],[Total PoP ]]/50,(WWWW[[#This Row],[Total PoP ]]/6))),0)</f>
        <v>361</v>
      </c>
      <c r="CR266" s="647">
        <f>IF(WWWW[[#This Row],[Total required Latrines]]-(WWWW[[#This Row],['#_Constructed latrines_by_WASHAgencies]]+WWWW[[#This Row],['#_Non Cluster partner latrines]])&lt;0,0,WWWW[[#This Row],[Total required Latrines]]-(WWWW[[#This Row],['#_Constructed latrines_by_WASHAgencies]]+WWWW[[#This Row],['#_Non Cluster partner latrines]]))</f>
        <v>361</v>
      </c>
      <c r="CS266" s="79">
        <f>1-WWWW[[#This Row],[% people access to functioning Latrine]]</f>
        <v>1</v>
      </c>
      <c r="CT266" s="649">
        <f>IF(OR(WWWW[[#This Row],['#_Non-functional latrines]]="",WWWW[[#This Row],['#_Non-functional latrines]]=0),0,WWWW[[#This Row],['#_Non-functional latrines]]/(WWWW[[#This Row],['#_Constructed latrines_by_WASHAgencies]]+WWWW[[#This Row],['#_Non Cluster partner latrines]]))</f>
        <v>0</v>
      </c>
      <c r="CU266" s="645">
        <f>IF(500*(WWWW[[#This Row],['#_male hygiene promoters]]+WWWW[[#This Row],['#_female hygiene promoters]])&gt;WWWW[[#This Row],[Total PoP ]],WWWW[[#This Row],[Total PoP ]],500*(WWWW[[#This Row],['#_male hygiene promoters]]+WWWW[[#This Row],['#_female hygiene promoters]]))</f>
        <v>0</v>
      </c>
      <c r="CV266"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66"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66" s="647">
        <f>IF(WWWW[[#This Row],['# People with access to soap]]&gt;WWWW[[#This Row],['# People with access to Sanity Pads]],WWWW[[#This Row],['# People with access to soap]],WWWW[[#This Row],['# People with access to Sanity Pads]])</f>
        <v>0</v>
      </c>
      <c r="CY266"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66" s="650">
        <f>IF(WWWW[[#This Row],[HRP3]]/WWWW[[#This Row],[Total PoP ]]&gt;100%,100%,WWWW[[#This Row],[HRP3]]/WWWW[[#This Row],[Total PoP ]])</f>
        <v>0</v>
      </c>
      <c r="DA266" s="649">
        <f>1-WWWW[[#This Row],[Hygiene Coverage%]]</f>
        <v>1</v>
      </c>
      <c r="DB266" s="648">
        <f>WWWW[[#This Row],['# people reached by regular dedicated hygiene promotion_5]]/WWWW[[#This Row],[Total PoP ]]</f>
        <v>0</v>
      </c>
      <c r="DC266" s="648">
        <f>IF(WWWW[[#This Row],['#_households that received standard amount of soap for this quarter]]/WWWW[[#This Row],[Total HH]]&gt;1,1,WWWW[[#This Row],['#_households that received standard amount of soap for this quarter]]/WWWW[[#This Row],[Total HH]])</f>
        <v>0</v>
      </c>
      <c r="DD266" s="648">
        <f>IF(WWWW[[#This Row],['#_households that received standard amount of sanitary pads for this quarter]]/WWWW[[#This Row],[Total HH]]&gt;1,1,WWWW[[#This Row],['#_households that received standard amount of sanitary pads for this quarter]]/WWWW[[#This Row],[Total HH]])</f>
        <v>0</v>
      </c>
      <c r="DE266" s="647">
        <f>WWWW[[#This Row],['#_Constructed/Existing hand washing stations]]-WWWW[[#This Row],['#_Non-Functional_hand_washing_stations]]</f>
        <v>0</v>
      </c>
      <c r="DF266" s="667">
        <f>IF(WWWW[[#This Row],['# Functional hand washing stations during reporting period]]*20&gt;WWWW[[#This Row],[Total HH]],WWWW[[#This Row],[Total HH]],WWWW[[#This Row],['# Functional hand washing stations during reporting period]]*20)</f>
        <v>0</v>
      </c>
      <c r="DG266" s="645">
        <f>IF(WWWW[[#This Row],[Is sufficient soap available for TLS? (Yes/No)]]="yes",WWWW[[#This Row],['#_Constructed/Existing hand washing stations at TLS]],0)</f>
        <v>0</v>
      </c>
      <c r="DH266" s="645">
        <f>IF(WWWW[[#This Row],['# Functional hand washing stations during reporting period]]*100&gt;WWWW[[#This Row],[Total PoP ]],WWWW[[#This Row],[Total PoP ]],WWWW[[#This Row],['# Functional hand washing stations during reporting period]]*100)</f>
        <v>0</v>
      </c>
      <c r="DI266" s="645" t="str">
        <f>IF(WWWW[[#This Row],['#_students at TLS_CFS]]="","No","Yes")</f>
        <v>No</v>
      </c>
      <c r="DJ266" s="643">
        <f>VLOOKUP(WWWW[[#This Row],[Site Name]],SiteDB6[[Site Name]:[CCCM Management]],6,FALSE)</f>
        <v>0</v>
      </c>
      <c r="DK266" s="643">
        <f>VLOOKUP(WWWW[[#This Row],[Site Name]],SiteDB6[[Site Name]:[CCCM Focal Agency]],7,FALSE)</f>
        <v>0</v>
      </c>
      <c r="DL266" s="643" t="str">
        <f>VLOOKUP(WWWW[[#This Row],[Site Name]],SiteDB6[[Site Name]:[Location Type 1]],9,FALSE)</f>
        <v>Village</v>
      </c>
      <c r="DM266" s="643" t="str">
        <f>VLOOKUP(WWWW[[#This Row],[Site Name]],SiteDB6[[Site Name]:[Type of Accommodation]],10,FALSE)</f>
        <v>Village</v>
      </c>
      <c r="DN266" s="643">
        <f>VLOOKUP(WWWW[[#This Row],[Site Name]],SiteDB6[[Site Name]:[Ethnic or GCA/NGCA]],11,FALSE)</f>
        <v>0</v>
      </c>
      <c r="DO266" s="643">
        <f>VLOOKUP(WWWW[[#This Row],[Site Name]],SiteDB6[[Site Name]:[Lat]],12,FALSE)</f>
        <v>20.246250152587901</v>
      </c>
      <c r="DP266" s="643">
        <f>VLOOKUP(WWWW[[#This Row],[Site Name]],SiteDB6[[Site Name]:[Long]],13,FALSE)</f>
        <v>92.822059631347699</v>
      </c>
      <c r="DQ266" s="643">
        <f>VLOOKUP(WWWW[[#This Row],[Site Name]],SiteDB6[[Site Name]:[Pcode]],3,FALSE)</f>
        <v>196160</v>
      </c>
      <c r="DR266" s="652" t="str">
        <f t="shared" si="9"/>
        <v>Covered</v>
      </c>
      <c r="DS266" s="652"/>
    </row>
    <row r="267" spans="1:123">
      <c r="A267" s="637" t="s">
        <v>2525</v>
      </c>
      <c r="B267" s="637" t="s">
        <v>332</v>
      </c>
      <c r="C267" s="644" t="s">
        <v>332</v>
      </c>
      <c r="D267" s="644" t="s">
        <v>325</v>
      </c>
      <c r="E267" s="663" t="s">
        <v>3014</v>
      </c>
      <c r="F267" s="644" t="s">
        <v>313</v>
      </c>
      <c r="G267" s="663" t="str">
        <f>VLOOKUP(WWWW[[#This Row],[Site Name]],SiteDB6[[Site Name]:[Location Type]],8,FALSE)</f>
        <v>Village</v>
      </c>
      <c r="H267" s="644" t="s">
        <v>2898</v>
      </c>
      <c r="I267" s="646">
        <v>300</v>
      </c>
      <c r="J267" s="646">
        <v>1369</v>
      </c>
      <c r="K267" s="653">
        <v>42736</v>
      </c>
      <c r="L267" s="654">
        <v>44551</v>
      </c>
      <c r="M267" s="646"/>
      <c r="N267" s="646"/>
      <c r="O267" s="646"/>
      <c r="P267" s="646"/>
      <c r="Q267" s="645"/>
      <c r="R267" s="646"/>
      <c r="S267" s="646"/>
      <c r="T267" s="646"/>
      <c r="U267" s="646"/>
      <c r="V267" s="646"/>
      <c r="W267" s="646"/>
      <c r="X267" s="646"/>
      <c r="Y267" s="646"/>
      <c r="Z267" s="646"/>
      <c r="AA267" s="646"/>
      <c r="AB267" s="646"/>
      <c r="AC267" s="646"/>
      <c r="AD267" s="646"/>
      <c r="AE267" s="646"/>
      <c r="AF267" s="646"/>
      <c r="AG267" s="646"/>
      <c r="AH267" s="646"/>
      <c r="AI267" s="646"/>
      <c r="AJ267" s="646"/>
      <c r="AK267" s="646"/>
      <c r="AL267" s="646"/>
      <c r="AM267" s="646"/>
      <c r="AN267" s="646"/>
      <c r="AO267" s="652"/>
      <c r="AP267" s="646"/>
      <c r="AQ267" s="646"/>
      <c r="AR267" s="648"/>
      <c r="AS267" s="646"/>
      <c r="AT267" s="646"/>
      <c r="AU267" s="646"/>
      <c r="AV267" s="646"/>
      <c r="AW267" s="646"/>
      <c r="AX267" s="643"/>
      <c r="AY267" s="652"/>
      <c r="AZ267" s="646"/>
      <c r="BA267" s="646"/>
      <c r="BB267" s="646"/>
      <c r="BC267" s="643"/>
      <c r="BD267" s="646"/>
      <c r="BE267" s="646"/>
      <c r="BF267" s="646"/>
      <c r="BG267" s="646"/>
      <c r="BH267" s="646"/>
      <c r="BI267" s="646"/>
      <c r="BJ267" s="646"/>
      <c r="BK267" s="646"/>
      <c r="BL267" s="646"/>
      <c r="BM267" s="643"/>
      <c r="BN267" s="647"/>
      <c r="BO267" s="648"/>
      <c r="BP267" s="643"/>
      <c r="BQ267" s="649" t="str">
        <f>IFERROR(WWWW[[#This Row],['#_Water sources treated]]/WWWW[[#This Row],['#_Water sources tested for contamination]],"no test")</f>
        <v>no test</v>
      </c>
      <c r="BR267" s="648" t="str">
        <f>IFERROR(WWWW[[#This Row],['#_Household received remediation action due to contamination]]/WWWW[[#This Row],['#_Household water samples tested for contamination]],"no test")</f>
        <v>no test</v>
      </c>
      <c r="BS267" s="647" t="str">
        <f>IF(AND(WWWW[[#This Row],[% of water sources treated]]="no test",WWWW[[#This Row],[% Household received corrective actions]]="no test"),"No Test","Tested")</f>
        <v>No Test</v>
      </c>
      <c r="BT267" s="647">
        <f>WWWW[[#This Row],['#_Constructed/existing protected hand dug well]]-WWWW[[#This Row],['#_Non-functional protected hand dug well]]</f>
        <v>0</v>
      </c>
      <c r="BU267" s="647">
        <f>(WWWW[[#This Row],['#_Constructed/Existing tube wells/boreholes/handpumps_WASH_agency]]+WWWW[[#This Row],['#_Non-Cluster partner water tube-wells/boreholes/handpumps]])-WWWW[[#This Row],['#_Non-functional tube wells/boreholes/handpumps]]</f>
        <v>0</v>
      </c>
      <c r="BV267" s="647">
        <f>WWWW[[#This Row],['#_Constructed/Existingwater storage tank with gravity fed reticulation system]]-WWWW[[#This Row],['#_Non-functional storage tank gravity fed reticulation system]]</f>
        <v>0</v>
      </c>
      <c r="BW267" s="647">
        <f>WWWW[[#This Row],['#_Water boating or water trucking]]</f>
        <v>0</v>
      </c>
      <c r="BX267" s="647">
        <f>WWWW[[#This Row],['#_Constructed/Existing water distribution system from river or natural spring]]</f>
        <v>0</v>
      </c>
      <c r="BY267"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67"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67" s="648">
        <f>IF(WWWW[[#This Row],[Location Type 1]]="Village",WWWW[[#This Row],[Access to safe drinking water for Village]],WWWW[[#This Row],[Access to safe drinking water for Camp]])</f>
        <v>0</v>
      </c>
      <c r="CB267" s="645">
        <f>WWWW[[#This Row],[%Equitable and continuous access to sufficient quantity of safe drinking water]]*WWWW[[#This Row],[Total PoP ]]</f>
        <v>0</v>
      </c>
      <c r="CC267" s="648">
        <f>IF((WWWW[[#This Row],['#_Constructed/Existing protected/fenced ponds]]*250)/WWWW[[#This Row],[Total PoP ]]&gt;1,1,(WWWW[[#This Row],['#_Constructed/Existing protected/fenced ponds]]*250)/WWWW[[#This Row],[Total PoP ]])</f>
        <v>0</v>
      </c>
      <c r="CD267" s="645">
        <f>WWWW[[#This Row],[% Access to unimproved water points]]*WWWW[[#This Row],[Total PoP ]]</f>
        <v>0</v>
      </c>
      <c r="CE267"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67"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67" s="645">
        <f>WWWW[[#This Row],[HRP1]]/500</f>
        <v>0</v>
      </c>
      <c r="CH267" s="650">
        <f>1-WWWW[[#This Row],[% Equitable and continuous access to sufficient quantity of domestic water]]</f>
        <v>1</v>
      </c>
      <c r="CI267" s="645">
        <f>WWWW[[#This Row],[%equitable and continuous access to sufficient quantity of safe drinking and domestic water''s GAP]]*WWWW[[#This Row],[Total PoP ]]</f>
        <v>1369</v>
      </c>
      <c r="CJ267" s="647">
        <f>IF(WWWW[[#This Row],[Total required water points]]-WWWW[[#This Row],['#Water points coverage]]&lt;0,0,WWWW[[#This Row],[Total required water points]]-WWWW[[#This Row],['#Water points coverage]])</f>
        <v>3</v>
      </c>
      <c r="CK267" s="647">
        <f>ROUND(IF(WWWW[[#This Row],[Total PoP ]]&lt;500,1,WWWW[[#This Row],[Total PoP ]]/500),0)</f>
        <v>3</v>
      </c>
      <c r="CL267" s="647">
        <f>(WWWW[[#This Row],['#_Constructed latrines_by_WASHAgencies]]+WWWW[[#This Row],['#_Non Cluster partner latrines]])-WWWW[[#This Row],['#_Non-functional latrines]]</f>
        <v>0</v>
      </c>
      <c r="CM267"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67"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67"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67" s="647" t="str">
        <f>IF(WWWW[[#This Row],[Location Type 1]]="Village","NA",IF(WWWW[[#This Row],['#_Constructed/Existing latrines in TLS]]*50&gt;WWWW[[#This Row],['#_students at TLS_CFS]],WWWW[[#This Row],['#_students at TLS_CFS]],(WWWW[[#This Row],['#_Constructed/Existing latrines in TLS]]*50)))</f>
        <v>NA</v>
      </c>
      <c r="CQ267" s="647">
        <f>ROUND(IF(WWWW[[#This Row],[Location Type 1]]="camp",WWWW[[#This Row],[Total PoP ]]/20,IF(WWWW[[#This Row],[Location Type 1]]="Temporary Location",WWWW[[#This Row],[Total PoP ]]/50,(WWWW[[#This Row],[Total PoP ]]/6))),0)</f>
        <v>228</v>
      </c>
      <c r="CR267" s="647">
        <f>IF(WWWW[[#This Row],[Total required Latrines]]-(WWWW[[#This Row],['#_Constructed latrines_by_WASHAgencies]]+WWWW[[#This Row],['#_Non Cluster partner latrines]])&lt;0,0,WWWW[[#This Row],[Total required Latrines]]-(WWWW[[#This Row],['#_Constructed latrines_by_WASHAgencies]]+WWWW[[#This Row],['#_Non Cluster partner latrines]]))</f>
        <v>228</v>
      </c>
      <c r="CS267" s="79">
        <f>1-WWWW[[#This Row],[% people access to functioning Latrine]]</f>
        <v>1</v>
      </c>
      <c r="CT267" s="649">
        <f>IF(OR(WWWW[[#This Row],['#_Non-functional latrines]]="",WWWW[[#This Row],['#_Non-functional latrines]]=0),0,WWWW[[#This Row],['#_Non-functional latrines]]/(WWWW[[#This Row],['#_Constructed latrines_by_WASHAgencies]]+WWWW[[#This Row],['#_Non Cluster partner latrines]]))</f>
        <v>0</v>
      </c>
      <c r="CU267" s="645">
        <f>IF(500*(WWWW[[#This Row],['#_male hygiene promoters]]+WWWW[[#This Row],['#_female hygiene promoters]])&gt;WWWW[[#This Row],[Total PoP ]],WWWW[[#This Row],[Total PoP ]],500*(WWWW[[#This Row],['#_male hygiene promoters]]+WWWW[[#This Row],['#_female hygiene promoters]]))</f>
        <v>0</v>
      </c>
      <c r="CV267"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67"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67" s="647">
        <f>IF(WWWW[[#This Row],['# People with access to soap]]&gt;WWWW[[#This Row],['# People with access to Sanity Pads]],WWWW[[#This Row],['# People with access to soap]],WWWW[[#This Row],['# People with access to Sanity Pads]])</f>
        <v>0</v>
      </c>
      <c r="CY267"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67" s="650">
        <f>IF(WWWW[[#This Row],[HRP3]]/WWWW[[#This Row],[Total PoP ]]&gt;100%,100%,WWWW[[#This Row],[HRP3]]/WWWW[[#This Row],[Total PoP ]])</f>
        <v>0</v>
      </c>
      <c r="DA267" s="649">
        <f>1-WWWW[[#This Row],[Hygiene Coverage%]]</f>
        <v>1</v>
      </c>
      <c r="DB267" s="648">
        <f>WWWW[[#This Row],['# people reached by regular dedicated hygiene promotion_5]]/WWWW[[#This Row],[Total PoP ]]</f>
        <v>0</v>
      </c>
      <c r="DC267" s="648">
        <f>IF(WWWW[[#This Row],['#_households that received standard amount of soap for this quarter]]/WWWW[[#This Row],[Total HH]]&gt;1,1,WWWW[[#This Row],['#_households that received standard amount of soap for this quarter]]/WWWW[[#This Row],[Total HH]])</f>
        <v>0</v>
      </c>
      <c r="DD267" s="648">
        <f>IF(WWWW[[#This Row],['#_households that received standard amount of sanitary pads for this quarter]]/WWWW[[#This Row],[Total HH]]&gt;1,1,WWWW[[#This Row],['#_households that received standard amount of sanitary pads for this quarter]]/WWWW[[#This Row],[Total HH]])</f>
        <v>0</v>
      </c>
      <c r="DE267" s="647">
        <f>WWWW[[#This Row],['#_Constructed/Existing hand washing stations]]-WWWW[[#This Row],['#_Non-Functional_hand_washing_stations]]</f>
        <v>0</v>
      </c>
      <c r="DF267" s="667">
        <f>IF(WWWW[[#This Row],['# Functional hand washing stations during reporting period]]*20&gt;WWWW[[#This Row],[Total HH]],WWWW[[#This Row],[Total HH]],WWWW[[#This Row],['# Functional hand washing stations during reporting period]]*20)</f>
        <v>0</v>
      </c>
      <c r="DG267" s="645">
        <f>IF(WWWW[[#This Row],[Is sufficient soap available for TLS? (Yes/No)]]="yes",WWWW[[#This Row],['#_Constructed/Existing hand washing stations at TLS]],0)</f>
        <v>0</v>
      </c>
      <c r="DH267" s="645">
        <f>IF(WWWW[[#This Row],['# Functional hand washing stations during reporting period]]*100&gt;WWWW[[#This Row],[Total PoP ]],WWWW[[#This Row],[Total PoP ]],WWWW[[#This Row],['# Functional hand washing stations during reporting period]]*100)</f>
        <v>0</v>
      </c>
      <c r="DI267" s="645" t="str">
        <f>IF(WWWW[[#This Row],['#_students at TLS_CFS]]="","No","Yes")</f>
        <v>No</v>
      </c>
      <c r="DJ267" s="643">
        <f>VLOOKUP(WWWW[[#This Row],[Site Name]],SiteDB6[[Site Name]:[CCCM Management]],6,FALSE)</f>
        <v>0</v>
      </c>
      <c r="DK267" s="643">
        <f>VLOOKUP(WWWW[[#This Row],[Site Name]],SiteDB6[[Site Name]:[CCCM Focal Agency]],7,FALSE)</f>
        <v>0</v>
      </c>
      <c r="DL267" s="643" t="str">
        <f>VLOOKUP(WWWW[[#This Row],[Site Name]],SiteDB6[[Site Name]:[Location Type 1]],9,FALSE)</f>
        <v>Village</v>
      </c>
      <c r="DM267" s="643" t="str">
        <f>VLOOKUP(WWWW[[#This Row],[Site Name]],SiteDB6[[Site Name]:[Type of Accommodation]],10,FALSE)</f>
        <v>Village</v>
      </c>
      <c r="DN267" s="643">
        <f>VLOOKUP(WWWW[[#This Row],[Site Name]],SiteDB6[[Site Name]:[Ethnic or GCA/NGCA]],11,FALSE)</f>
        <v>0</v>
      </c>
      <c r="DO267" s="643">
        <f>VLOOKUP(WWWW[[#This Row],[Site Name]],SiteDB6[[Site Name]:[Lat]],12,FALSE)</f>
        <v>20.239799499511701</v>
      </c>
      <c r="DP267" s="643">
        <f>VLOOKUP(WWWW[[#This Row],[Site Name]],SiteDB6[[Site Name]:[Long]],13,FALSE)</f>
        <v>92.825088500976605</v>
      </c>
      <c r="DQ267" s="643">
        <f>VLOOKUP(WWWW[[#This Row],[Site Name]],SiteDB6[[Site Name]:[Pcode]],3,FALSE)</f>
        <v>196131</v>
      </c>
      <c r="DR267" s="652" t="str">
        <f t="shared" si="9"/>
        <v>Covered</v>
      </c>
      <c r="DS267" s="652"/>
    </row>
    <row r="268" spans="1:123">
      <c r="A268" s="637" t="s">
        <v>2525</v>
      </c>
      <c r="B268" s="637" t="s">
        <v>332</v>
      </c>
      <c r="C268" s="644" t="s">
        <v>332</v>
      </c>
      <c r="D268" s="644" t="s">
        <v>345</v>
      </c>
      <c r="E268" s="663" t="s">
        <v>3014</v>
      </c>
      <c r="F268" s="644" t="s">
        <v>313</v>
      </c>
      <c r="G268" s="663" t="str">
        <f>VLOOKUP(WWWW[[#This Row],[Site Name]],SiteDB6[[Site Name]:[Location Type]],8,FALSE)</f>
        <v>Village</v>
      </c>
      <c r="H268" s="644" t="s">
        <v>687</v>
      </c>
      <c r="I268" s="646">
        <v>331</v>
      </c>
      <c r="J268" s="646">
        <v>1473</v>
      </c>
      <c r="K268" s="653">
        <v>42736</v>
      </c>
      <c r="L268" s="654">
        <v>44551</v>
      </c>
      <c r="M268" s="646"/>
      <c r="N268" s="646"/>
      <c r="O268" s="646"/>
      <c r="P268" s="646"/>
      <c r="Q268" s="645"/>
      <c r="R268" s="646"/>
      <c r="S268" s="646"/>
      <c r="T268" s="646"/>
      <c r="U268" s="646"/>
      <c r="V268" s="646"/>
      <c r="W268" s="646"/>
      <c r="X268" s="646"/>
      <c r="Y268" s="646"/>
      <c r="Z268" s="646"/>
      <c r="AA268" s="646"/>
      <c r="AB268" s="646"/>
      <c r="AC268" s="646"/>
      <c r="AD268" s="646"/>
      <c r="AE268" s="646"/>
      <c r="AF268" s="646"/>
      <c r="AG268" s="646"/>
      <c r="AH268" s="646"/>
      <c r="AI268" s="646"/>
      <c r="AJ268" s="646"/>
      <c r="AK268" s="646"/>
      <c r="AL268" s="646"/>
      <c r="AM268" s="646"/>
      <c r="AN268" s="646"/>
      <c r="AO268" s="652"/>
      <c r="AP268" s="646"/>
      <c r="AQ268" s="646"/>
      <c r="AR268" s="648"/>
      <c r="AS268" s="646"/>
      <c r="AT268" s="646"/>
      <c r="AU268" s="646"/>
      <c r="AV268" s="646"/>
      <c r="AW268" s="646"/>
      <c r="AX268" s="643"/>
      <c r="AY268" s="652"/>
      <c r="AZ268" s="646"/>
      <c r="BA268" s="646"/>
      <c r="BB268" s="646"/>
      <c r="BC268" s="643"/>
      <c r="BD268" s="646"/>
      <c r="BE268" s="646"/>
      <c r="BF268" s="646"/>
      <c r="BG268" s="646"/>
      <c r="BH268" s="646"/>
      <c r="BI268" s="646"/>
      <c r="BJ268" s="646"/>
      <c r="BK268" s="646"/>
      <c r="BL268" s="646"/>
      <c r="BM268" s="643"/>
      <c r="BN268" s="647"/>
      <c r="BO268" s="648"/>
      <c r="BP268" s="643"/>
      <c r="BQ268" s="649" t="str">
        <f>IFERROR(WWWW[[#This Row],['#_Water sources treated]]/WWWW[[#This Row],['#_Water sources tested for contamination]],"no test")</f>
        <v>no test</v>
      </c>
      <c r="BR268" s="648" t="str">
        <f>IFERROR(WWWW[[#This Row],['#_Household received remediation action due to contamination]]/WWWW[[#This Row],['#_Household water samples tested for contamination]],"no test")</f>
        <v>no test</v>
      </c>
      <c r="BS268" s="647" t="str">
        <f>IF(AND(WWWW[[#This Row],[% of water sources treated]]="no test",WWWW[[#This Row],[% Household received corrective actions]]="no test"),"No Test","Tested")</f>
        <v>No Test</v>
      </c>
      <c r="BT268" s="647">
        <f>WWWW[[#This Row],['#_Constructed/existing protected hand dug well]]-WWWW[[#This Row],['#_Non-functional protected hand dug well]]</f>
        <v>0</v>
      </c>
      <c r="BU268" s="647">
        <f>(WWWW[[#This Row],['#_Constructed/Existing tube wells/boreholes/handpumps_WASH_agency]]+WWWW[[#This Row],['#_Non-Cluster partner water tube-wells/boreholes/handpumps]])-WWWW[[#This Row],['#_Non-functional tube wells/boreholes/handpumps]]</f>
        <v>0</v>
      </c>
      <c r="BV268" s="647">
        <f>WWWW[[#This Row],['#_Constructed/Existingwater storage tank with gravity fed reticulation system]]-WWWW[[#This Row],['#_Non-functional storage tank gravity fed reticulation system]]</f>
        <v>0</v>
      </c>
      <c r="BW268" s="647">
        <f>WWWW[[#This Row],['#_Water boating or water trucking]]</f>
        <v>0</v>
      </c>
      <c r="BX268" s="647">
        <f>WWWW[[#This Row],['#_Constructed/Existing water distribution system from river or natural spring]]</f>
        <v>0</v>
      </c>
      <c r="BY268"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68"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68" s="648">
        <f>IF(WWWW[[#This Row],[Location Type 1]]="Village",WWWW[[#This Row],[Access to safe drinking water for Village]],WWWW[[#This Row],[Access to safe drinking water for Camp]])</f>
        <v>0</v>
      </c>
      <c r="CB268" s="645">
        <f>WWWW[[#This Row],[%Equitable and continuous access to sufficient quantity of safe drinking water]]*WWWW[[#This Row],[Total PoP ]]</f>
        <v>0</v>
      </c>
      <c r="CC268" s="648">
        <f>IF((WWWW[[#This Row],['#_Constructed/Existing protected/fenced ponds]]*250)/WWWW[[#This Row],[Total PoP ]]&gt;1,1,(WWWW[[#This Row],['#_Constructed/Existing protected/fenced ponds]]*250)/WWWW[[#This Row],[Total PoP ]])</f>
        <v>0</v>
      </c>
      <c r="CD268" s="645">
        <f>WWWW[[#This Row],[% Access to unimproved water points]]*WWWW[[#This Row],[Total PoP ]]</f>
        <v>0</v>
      </c>
      <c r="CE268"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68"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68" s="645">
        <f>WWWW[[#This Row],[HRP1]]/500</f>
        <v>0</v>
      </c>
      <c r="CH268" s="650">
        <f>1-WWWW[[#This Row],[% Equitable and continuous access to sufficient quantity of domestic water]]</f>
        <v>1</v>
      </c>
      <c r="CI268" s="645">
        <f>WWWW[[#This Row],[%equitable and continuous access to sufficient quantity of safe drinking and domestic water''s GAP]]*WWWW[[#This Row],[Total PoP ]]</f>
        <v>1473</v>
      </c>
      <c r="CJ268" s="647">
        <f>IF(WWWW[[#This Row],[Total required water points]]-WWWW[[#This Row],['#Water points coverage]]&lt;0,0,WWWW[[#This Row],[Total required water points]]-WWWW[[#This Row],['#Water points coverage]])</f>
        <v>3</v>
      </c>
      <c r="CK268" s="647">
        <f>ROUND(IF(WWWW[[#This Row],[Total PoP ]]&lt;500,1,WWWW[[#This Row],[Total PoP ]]/500),0)</f>
        <v>3</v>
      </c>
      <c r="CL268" s="647">
        <f>(WWWW[[#This Row],['#_Constructed latrines_by_WASHAgencies]]+WWWW[[#This Row],['#_Non Cluster partner latrines]])-WWWW[[#This Row],['#_Non-functional latrines]]</f>
        <v>0</v>
      </c>
      <c r="CM268"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68"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68"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68" s="647" t="str">
        <f>IF(WWWW[[#This Row],[Location Type 1]]="Village","NA",IF(WWWW[[#This Row],['#_Constructed/Existing latrines in TLS]]*50&gt;WWWW[[#This Row],['#_students at TLS_CFS]],WWWW[[#This Row],['#_students at TLS_CFS]],(WWWW[[#This Row],['#_Constructed/Existing latrines in TLS]]*50)))</f>
        <v>NA</v>
      </c>
      <c r="CQ268" s="647">
        <f>ROUND(IF(WWWW[[#This Row],[Location Type 1]]="camp",WWWW[[#This Row],[Total PoP ]]/20,IF(WWWW[[#This Row],[Location Type 1]]="Temporary Location",WWWW[[#This Row],[Total PoP ]]/50,(WWWW[[#This Row],[Total PoP ]]/6))),0)</f>
        <v>246</v>
      </c>
      <c r="CR268" s="647">
        <f>IF(WWWW[[#This Row],[Total required Latrines]]-(WWWW[[#This Row],['#_Constructed latrines_by_WASHAgencies]]+WWWW[[#This Row],['#_Non Cluster partner latrines]])&lt;0,0,WWWW[[#This Row],[Total required Latrines]]-(WWWW[[#This Row],['#_Constructed latrines_by_WASHAgencies]]+WWWW[[#This Row],['#_Non Cluster partner latrines]]))</f>
        <v>246</v>
      </c>
      <c r="CS268" s="79">
        <f>1-WWWW[[#This Row],[% people access to functioning Latrine]]</f>
        <v>1</v>
      </c>
      <c r="CT268" s="649">
        <f>IF(OR(WWWW[[#This Row],['#_Non-functional latrines]]="",WWWW[[#This Row],['#_Non-functional latrines]]=0),0,WWWW[[#This Row],['#_Non-functional latrines]]/(WWWW[[#This Row],['#_Constructed latrines_by_WASHAgencies]]+WWWW[[#This Row],['#_Non Cluster partner latrines]]))</f>
        <v>0</v>
      </c>
      <c r="CU268" s="645">
        <f>IF(500*(WWWW[[#This Row],['#_male hygiene promoters]]+WWWW[[#This Row],['#_female hygiene promoters]])&gt;WWWW[[#This Row],[Total PoP ]],WWWW[[#This Row],[Total PoP ]],500*(WWWW[[#This Row],['#_male hygiene promoters]]+WWWW[[#This Row],['#_female hygiene promoters]]))</f>
        <v>0</v>
      </c>
      <c r="CV268"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68"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68" s="647">
        <f>IF(WWWW[[#This Row],['# People with access to soap]]&gt;WWWW[[#This Row],['# People with access to Sanity Pads]],WWWW[[#This Row],['# People with access to soap]],WWWW[[#This Row],['# People with access to Sanity Pads]])</f>
        <v>0</v>
      </c>
      <c r="CY268"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68" s="650">
        <f>IF(WWWW[[#This Row],[HRP3]]/WWWW[[#This Row],[Total PoP ]]&gt;100%,100%,WWWW[[#This Row],[HRP3]]/WWWW[[#This Row],[Total PoP ]])</f>
        <v>0</v>
      </c>
      <c r="DA268" s="649">
        <f>1-WWWW[[#This Row],[Hygiene Coverage%]]</f>
        <v>1</v>
      </c>
      <c r="DB268" s="648">
        <f>WWWW[[#This Row],['# people reached by regular dedicated hygiene promotion_5]]/WWWW[[#This Row],[Total PoP ]]</f>
        <v>0</v>
      </c>
      <c r="DC268" s="648">
        <f>IF(WWWW[[#This Row],['#_households that received standard amount of soap for this quarter]]/WWWW[[#This Row],[Total HH]]&gt;1,1,WWWW[[#This Row],['#_households that received standard amount of soap for this quarter]]/WWWW[[#This Row],[Total HH]])</f>
        <v>0</v>
      </c>
      <c r="DD268" s="648">
        <f>IF(WWWW[[#This Row],['#_households that received standard amount of sanitary pads for this quarter]]/WWWW[[#This Row],[Total HH]]&gt;1,1,WWWW[[#This Row],['#_households that received standard amount of sanitary pads for this quarter]]/WWWW[[#This Row],[Total HH]])</f>
        <v>0</v>
      </c>
      <c r="DE268" s="647">
        <f>WWWW[[#This Row],['#_Constructed/Existing hand washing stations]]-WWWW[[#This Row],['#_Non-Functional_hand_washing_stations]]</f>
        <v>0</v>
      </c>
      <c r="DF268" s="667">
        <f>IF(WWWW[[#This Row],['# Functional hand washing stations during reporting period]]*20&gt;WWWW[[#This Row],[Total HH]],WWWW[[#This Row],[Total HH]],WWWW[[#This Row],['# Functional hand washing stations during reporting period]]*20)</f>
        <v>0</v>
      </c>
      <c r="DG268" s="645">
        <f>IF(WWWW[[#This Row],[Is sufficient soap available for TLS? (Yes/No)]]="yes",WWWW[[#This Row],['#_Constructed/Existing hand washing stations at TLS]],0)</f>
        <v>0</v>
      </c>
      <c r="DH268" s="645">
        <f>IF(WWWW[[#This Row],['# Functional hand washing stations during reporting period]]*100&gt;WWWW[[#This Row],[Total PoP ]],WWWW[[#This Row],[Total PoP ]],WWWW[[#This Row],['# Functional hand washing stations during reporting period]]*100)</f>
        <v>0</v>
      </c>
      <c r="DI268" s="645" t="str">
        <f>IF(WWWW[[#This Row],['#_students at TLS_CFS]]="","No","Yes")</f>
        <v>No</v>
      </c>
      <c r="DJ268" s="643">
        <f>VLOOKUP(WWWW[[#This Row],[Site Name]],SiteDB6[[Site Name]:[CCCM Management]],6,FALSE)</f>
        <v>0</v>
      </c>
      <c r="DK268" s="643">
        <f>VLOOKUP(WWWW[[#This Row],[Site Name]],SiteDB6[[Site Name]:[CCCM Focal Agency]],7,FALSE)</f>
        <v>0</v>
      </c>
      <c r="DL268" s="643" t="str">
        <f>VLOOKUP(WWWW[[#This Row],[Site Name]],SiteDB6[[Site Name]:[Location Type 1]],9,FALSE)</f>
        <v>Village</v>
      </c>
      <c r="DM268" s="643" t="str">
        <f>VLOOKUP(WWWW[[#This Row],[Site Name]],SiteDB6[[Site Name]:[Type of Accommodation]],10,FALSE)</f>
        <v>Village</v>
      </c>
      <c r="DN268" s="643">
        <f>VLOOKUP(WWWW[[#This Row],[Site Name]],SiteDB6[[Site Name]:[Ethnic or GCA/NGCA]],11,FALSE)</f>
        <v>0</v>
      </c>
      <c r="DO268" s="643">
        <f>VLOOKUP(WWWW[[#This Row],[Site Name]],SiteDB6[[Site Name]:[Lat]],12,FALSE)</f>
        <v>20.128850936889599</v>
      </c>
      <c r="DP268" s="643">
        <f>VLOOKUP(WWWW[[#This Row],[Site Name]],SiteDB6[[Site Name]:[Long]],13,FALSE)</f>
        <v>92.872497558593807</v>
      </c>
      <c r="DQ268" s="643">
        <f>VLOOKUP(WWWW[[#This Row],[Site Name]],SiteDB6[[Site Name]:[Pcode]],3,FALSE)</f>
        <v>196208</v>
      </c>
      <c r="DR268" s="652" t="str">
        <f t="shared" si="9"/>
        <v>Covered</v>
      </c>
      <c r="DS268" s="652"/>
    </row>
    <row r="269" spans="1:123">
      <c r="A269" s="637" t="s">
        <v>2525</v>
      </c>
      <c r="B269" s="716" t="s">
        <v>2374</v>
      </c>
      <c r="C269" s="716" t="s">
        <v>2374</v>
      </c>
      <c r="D269" s="701" t="s">
        <v>42</v>
      </c>
      <c r="E269" s="663" t="s">
        <v>3014</v>
      </c>
      <c r="F269" s="644" t="s">
        <v>313</v>
      </c>
      <c r="G269" s="663" t="str">
        <f>VLOOKUP(WWWW[[#This Row],[Site Name]],SiteDB6[[Site Name]:[Location Type]],8,FALSE)</f>
        <v>Village</v>
      </c>
      <c r="H269" s="644" t="s">
        <v>454</v>
      </c>
      <c r="I269" s="646">
        <v>200</v>
      </c>
      <c r="J269" s="646">
        <v>1065</v>
      </c>
      <c r="K269" s="710"/>
      <c r="L269" s="58">
        <v>44104</v>
      </c>
      <c r="M269" s="646"/>
      <c r="N269" s="646"/>
      <c r="O269" s="646"/>
      <c r="P269" s="646" t="s">
        <v>2941</v>
      </c>
      <c r="Q269" s="645"/>
      <c r="R269" s="646"/>
      <c r="S269" s="646"/>
      <c r="T269" s="646"/>
      <c r="U269" s="646"/>
      <c r="V269" s="646"/>
      <c r="W269" s="646">
        <v>7</v>
      </c>
      <c r="X269" s="646"/>
      <c r="Y269" s="646"/>
      <c r="Z269" s="646" t="s">
        <v>2941</v>
      </c>
      <c r="AA269" s="646"/>
      <c r="AB269" s="646"/>
      <c r="AC269" s="646"/>
      <c r="AD269" s="646"/>
      <c r="AE269" s="646"/>
      <c r="AF269" s="646"/>
      <c r="AG269" s="646"/>
      <c r="AH269" s="646">
        <v>7</v>
      </c>
      <c r="AI269" s="646">
        <v>6</v>
      </c>
      <c r="AJ269" s="646"/>
      <c r="AK269" s="646">
        <v>9</v>
      </c>
      <c r="AL269" s="646"/>
      <c r="AM269" s="646"/>
      <c r="AN269" s="646"/>
      <c r="AO269" s="652"/>
      <c r="AP269" s="646"/>
      <c r="AQ269" s="646"/>
      <c r="AR269" s="648"/>
      <c r="AS269" s="646"/>
      <c r="AT269" s="646">
        <v>0</v>
      </c>
      <c r="AU269" s="646">
        <v>0</v>
      </c>
      <c r="AV269" s="646"/>
      <c r="AW269" s="646"/>
      <c r="AX269" s="643" t="s">
        <v>43</v>
      </c>
      <c r="AY269" s="652" t="s">
        <v>148</v>
      </c>
      <c r="AZ269" s="646"/>
      <c r="BA269" s="646"/>
      <c r="BB269" s="646"/>
      <c r="BC269" s="643"/>
      <c r="BD269" s="646"/>
      <c r="BE269" s="646"/>
      <c r="BF269" s="646"/>
      <c r="BG269" s="646"/>
      <c r="BH269" s="646"/>
      <c r="BI269" s="646"/>
      <c r="BJ269" s="646"/>
      <c r="BK269" s="646">
        <v>0</v>
      </c>
      <c r="BL269" s="646">
        <v>0</v>
      </c>
      <c r="BM269" s="643"/>
      <c r="BN269" s="647">
        <v>22</v>
      </c>
      <c r="BO269" s="648"/>
      <c r="BP269" s="643"/>
      <c r="BQ269" s="649">
        <f>IFERROR(WWWW[[#This Row],['#_Water sources treated]]/WWWW[[#This Row],['#_Water sources tested for contamination]],"no test")</f>
        <v>0</v>
      </c>
      <c r="BR269" s="648">
        <f>IFERROR(WWWW[[#This Row],['#_Household received remediation action due to contamination]]/WWWW[[#This Row],['#_Household water samples tested for contamination]],"no test")</f>
        <v>0</v>
      </c>
      <c r="BS269" s="647" t="str">
        <f>IF(AND(WWWW[[#This Row],[% of water sources treated]]="no test",WWWW[[#This Row],[% Household received corrective actions]]="no test"),"No Test","Tested")</f>
        <v>Tested</v>
      </c>
      <c r="BT269" s="647">
        <f>WWWW[[#This Row],['#_Constructed/existing protected hand dug well]]-WWWW[[#This Row],['#_Non-functional protected hand dug well]]</f>
        <v>0</v>
      </c>
      <c r="BU269" s="647">
        <f>(WWWW[[#This Row],['#_Constructed/Existing tube wells/boreholes/handpumps_WASH_agency]]+WWWW[[#This Row],['#_Non-Cluster partner water tube-wells/boreholes/handpumps]])-WWWW[[#This Row],['#_Non-functional tube wells/boreholes/handpumps]]</f>
        <v>7</v>
      </c>
      <c r="BV269" s="647">
        <f>WWWW[[#This Row],['#_Constructed/Existingwater storage tank with gravity fed reticulation system]]-WWWW[[#This Row],['#_Non-functional storage tank gravity fed reticulation system]]</f>
        <v>0</v>
      </c>
      <c r="BW269" s="647">
        <f>WWWW[[#This Row],['#_Water boating or water trucking]]</f>
        <v>0</v>
      </c>
      <c r="BX269" s="647">
        <f>WWWW[[#This Row],['#_Constructed/Existing water distribution system from river or natural spring]]</f>
        <v>0</v>
      </c>
      <c r="BY269"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269"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269" s="648">
        <f>IF(WWWW[[#This Row],[Location Type 1]]="Village",WWWW[[#This Row],[Access to safe drinking water for Village]],WWWW[[#This Row],[Access to safe drinking water for Camp]])</f>
        <v>1</v>
      </c>
      <c r="CB269" s="645">
        <f>WWWW[[#This Row],[%Equitable and continuous access to sufficient quantity of safe drinking water]]*WWWW[[#This Row],[Total PoP ]]</f>
        <v>1065</v>
      </c>
      <c r="CC269" s="648">
        <f>IF((WWWW[[#This Row],['#_Constructed/Existing protected/fenced ponds]]*250)/WWWW[[#This Row],[Total PoP ]]&gt;1,1,(WWWW[[#This Row],['#_Constructed/Existing protected/fenced ponds]]*250)/WWWW[[#This Row],[Total PoP ]])</f>
        <v>0</v>
      </c>
      <c r="CD269" s="645">
        <f>WWWW[[#This Row],[% Access to unimproved water points]]*WWWW[[#This Row],[Total PoP ]]</f>
        <v>0</v>
      </c>
      <c r="CE269"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269"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1065</v>
      </c>
      <c r="CG269" s="645">
        <f>WWWW[[#This Row],[HRP1]]/500</f>
        <v>2.13</v>
      </c>
      <c r="CH269" s="650">
        <f>1-WWWW[[#This Row],[% Equitable and continuous access to sufficient quantity of domestic water]]</f>
        <v>0</v>
      </c>
      <c r="CI269" s="645">
        <f>WWWW[[#This Row],[%equitable and continuous access to sufficient quantity of safe drinking and domestic water''s GAP]]*WWWW[[#This Row],[Total PoP ]]</f>
        <v>0</v>
      </c>
      <c r="CJ269" s="647">
        <f>IF(WWWW[[#This Row],[Total required water points]]-WWWW[[#This Row],['#Water points coverage]]&lt;0,0,WWWW[[#This Row],[Total required water points]]-WWWW[[#This Row],['#Water points coverage]])</f>
        <v>0</v>
      </c>
      <c r="CK269" s="647">
        <f>ROUND(IF(WWWW[[#This Row],[Total PoP ]]&lt;500,1,WWWW[[#This Row],[Total PoP ]]/500),0)</f>
        <v>2</v>
      </c>
      <c r="CL269" s="647">
        <f>(WWWW[[#This Row],['#_Constructed latrines_by_WASHAgencies]]+WWWW[[#This Row],['#_Non Cluster partner latrines]])-WWWW[[#This Row],['#_Non-functional latrines]]</f>
        <v>0</v>
      </c>
      <c r="CM269"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69"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69"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69" s="647" t="str">
        <f>IF(WWWW[[#This Row],[Location Type 1]]="Village","NA",IF(WWWW[[#This Row],['#_Constructed/Existing latrines in TLS]]*50&gt;WWWW[[#This Row],['#_students at TLS_CFS]],WWWW[[#This Row],['#_students at TLS_CFS]],(WWWW[[#This Row],['#_Constructed/Existing latrines in TLS]]*50)))</f>
        <v>NA</v>
      </c>
      <c r="CQ269" s="647">
        <f>ROUND(IF(WWWW[[#This Row],[Location Type 1]]="camp",WWWW[[#This Row],[Total PoP ]]/20,IF(WWWW[[#This Row],[Location Type 1]]="Temporary Location",WWWW[[#This Row],[Total PoP ]]/50,(WWWW[[#This Row],[Total PoP ]]/6))),0)</f>
        <v>178</v>
      </c>
      <c r="CR269" s="647">
        <f>IF(WWWW[[#This Row],[Total required Latrines]]-(WWWW[[#This Row],['#_Constructed latrines_by_WASHAgencies]]+WWWW[[#This Row],['#_Non Cluster partner latrines]])&lt;0,0,WWWW[[#This Row],[Total required Latrines]]-(WWWW[[#This Row],['#_Constructed latrines_by_WASHAgencies]]+WWWW[[#This Row],['#_Non Cluster partner latrines]]))</f>
        <v>178</v>
      </c>
      <c r="CS269" s="79">
        <f>1-WWWW[[#This Row],[% people access to functioning Latrine]]</f>
        <v>1</v>
      </c>
      <c r="CT269" s="649">
        <f>IF(OR(WWWW[[#This Row],['#_Non-functional latrines]]="",WWWW[[#This Row],['#_Non-functional latrines]]=0),0,WWWW[[#This Row],['#_Non-functional latrines]]/(WWWW[[#This Row],['#_Constructed latrines_by_WASHAgencies]]+WWWW[[#This Row],['#_Non Cluster partner latrines]]))</f>
        <v>0</v>
      </c>
      <c r="CU269" s="645">
        <f>IF(500*(WWWW[[#This Row],['#_male hygiene promoters]]+WWWW[[#This Row],['#_female hygiene promoters]])&gt;WWWW[[#This Row],[Total PoP ]],WWWW[[#This Row],[Total PoP ]],500*(WWWW[[#This Row],['#_male hygiene promoters]]+WWWW[[#This Row],['#_female hygiene promoters]]))</f>
        <v>0</v>
      </c>
      <c r="CV269"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69"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69" s="647">
        <f>IF(WWWW[[#This Row],['# People with access to soap]]&gt;WWWW[[#This Row],['# People with access to Sanity Pads]],WWWW[[#This Row],['# People with access to soap]],WWWW[[#This Row],['# People with access to Sanity Pads]])</f>
        <v>0</v>
      </c>
      <c r="CY269"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69" s="650">
        <f>IF(WWWW[[#This Row],[HRP3]]/WWWW[[#This Row],[Total PoP ]]&gt;100%,100%,WWWW[[#This Row],[HRP3]]/WWWW[[#This Row],[Total PoP ]])</f>
        <v>0</v>
      </c>
      <c r="DA269" s="649">
        <f>1-WWWW[[#This Row],[Hygiene Coverage%]]</f>
        <v>1</v>
      </c>
      <c r="DB269" s="648">
        <f>WWWW[[#This Row],['# people reached by regular dedicated hygiene promotion_5]]/WWWW[[#This Row],[Total PoP ]]</f>
        <v>0</v>
      </c>
      <c r="DC269" s="648">
        <f>IF(WWWW[[#This Row],['#_households that received standard amount of soap for this quarter]]/WWWW[[#This Row],[Total HH]]&gt;1,1,WWWW[[#This Row],['#_households that received standard amount of soap for this quarter]]/WWWW[[#This Row],[Total HH]])</f>
        <v>0</v>
      </c>
      <c r="DD269" s="648">
        <f>IF(WWWW[[#This Row],['#_households that received standard amount of sanitary pads for this quarter]]/WWWW[[#This Row],[Total HH]]&gt;1,1,WWWW[[#This Row],['#_households that received standard amount of sanitary pads for this quarter]]/WWWW[[#This Row],[Total HH]])</f>
        <v>0</v>
      </c>
      <c r="DE269" s="647">
        <f>WWWW[[#This Row],['#_Constructed/Existing hand washing stations]]-WWWW[[#This Row],['#_Non-Functional_hand_washing_stations]]</f>
        <v>0</v>
      </c>
      <c r="DF269" s="667">
        <f>IF(WWWW[[#This Row],['# Functional hand washing stations during reporting period]]*20&gt;WWWW[[#This Row],[Total HH]],WWWW[[#This Row],[Total HH]],WWWW[[#This Row],['# Functional hand washing stations during reporting period]]*20)</f>
        <v>0</v>
      </c>
      <c r="DG269" s="645">
        <f>IF(WWWW[[#This Row],[Is sufficient soap available for TLS? (Yes/No)]]="yes",WWWW[[#This Row],['#_Constructed/Existing hand washing stations at TLS]],0)</f>
        <v>0</v>
      </c>
      <c r="DH269" s="645">
        <f>IF(WWWW[[#This Row],['# Functional hand washing stations during reporting period]]*100&gt;WWWW[[#This Row],[Total PoP ]],WWWW[[#This Row],[Total PoP ]],WWWW[[#This Row],['# Functional hand washing stations during reporting period]]*100)</f>
        <v>0</v>
      </c>
      <c r="DI269" s="645" t="str">
        <f>IF(WWWW[[#This Row],['#_students at TLS_CFS]]="","No","Yes")</f>
        <v>No</v>
      </c>
      <c r="DJ269" s="643">
        <f>VLOOKUP(WWWW[[#This Row],[Site Name]],SiteDB6[[Site Name]:[CCCM Management]],6,FALSE)</f>
        <v>0</v>
      </c>
      <c r="DK269" s="643">
        <f>VLOOKUP(WWWW[[#This Row],[Site Name]],SiteDB6[[Site Name]:[CCCM Focal Agency]],7,FALSE)</f>
        <v>0</v>
      </c>
      <c r="DL269" s="643" t="str">
        <f>VLOOKUP(WWWW[[#This Row],[Site Name]],SiteDB6[[Site Name]:[Location Type 1]],9,FALSE)</f>
        <v>Village</v>
      </c>
      <c r="DM269" s="643" t="str">
        <f>VLOOKUP(WWWW[[#This Row],[Site Name]],SiteDB6[[Site Name]:[Type of Accommodation]],10,FALSE)</f>
        <v>Village</v>
      </c>
      <c r="DN269" s="643" t="str">
        <f>VLOOKUP(WWWW[[#This Row],[Site Name]],SiteDB6[[Site Name]:[Ethnic or GCA/NGCA]],11,FALSE)</f>
        <v>Muslim</v>
      </c>
      <c r="DO269" s="643">
        <f>VLOOKUP(WWWW[[#This Row],[Site Name]],SiteDB6[[Site Name]:[Lat]],12,FALSE)</f>
        <v>20.197549819999999</v>
      </c>
      <c r="DP269" s="643">
        <f>VLOOKUP(WWWW[[#This Row],[Site Name]],SiteDB6[[Site Name]:[Long]],13,FALSE)</f>
        <v>92.785682679999994</v>
      </c>
      <c r="DQ269" s="643">
        <f>VLOOKUP(WWWW[[#This Row],[Site Name]],SiteDB6[[Site Name]:[Pcode]],3,FALSE)</f>
        <v>196156</v>
      </c>
      <c r="DR269" s="652" t="str">
        <f t="shared" si="9"/>
        <v>Covered</v>
      </c>
      <c r="DS269" s="652"/>
    </row>
    <row r="270" spans="1:123">
      <c r="A270" s="637" t="s">
        <v>2525</v>
      </c>
      <c r="B270" s="637" t="s">
        <v>332</v>
      </c>
      <c r="C270" s="644" t="s">
        <v>332</v>
      </c>
      <c r="D270" s="644" t="s">
        <v>325</v>
      </c>
      <c r="E270" s="663" t="s">
        <v>3014</v>
      </c>
      <c r="F270" s="644" t="s">
        <v>313</v>
      </c>
      <c r="G270" s="663" t="str">
        <f>VLOOKUP(WWWW[[#This Row],[Site Name]],SiteDB6[[Site Name]:[Location Type]],8,FALSE)</f>
        <v>Village</v>
      </c>
      <c r="H270" s="644" t="s">
        <v>2899</v>
      </c>
      <c r="I270" s="646">
        <v>326</v>
      </c>
      <c r="J270" s="646">
        <v>4476</v>
      </c>
      <c r="K270" s="653">
        <v>42736</v>
      </c>
      <c r="L270" s="654">
        <v>44551</v>
      </c>
      <c r="M270" s="646"/>
      <c r="N270" s="646"/>
      <c r="O270" s="646"/>
      <c r="P270" s="646"/>
      <c r="Q270" s="645"/>
      <c r="R270" s="646"/>
      <c r="S270" s="646"/>
      <c r="T270" s="646"/>
      <c r="U270" s="646"/>
      <c r="V270" s="646"/>
      <c r="W270" s="646"/>
      <c r="X270" s="646"/>
      <c r="Y270" s="646"/>
      <c r="Z270" s="646"/>
      <c r="AA270" s="646"/>
      <c r="AB270" s="646"/>
      <c r="AC270" s="646"/>
      <c r="AD270" s="646"/>
      <c r="AE270" s="646"/>
      <c r="AF270" s="646"/>
      <c r="AG270" s="646"/>
      <c r="AH270" s="646"/>
      <c r="AI270" s="646"/>
      <c r="AJ270" s="646"/>
      <c r="AK270" s="646"/>
      <c r="AL270" s="646"/>
      <c r="AM270" s="646"/>
      <c r="AN270" s="646"/>
      <c r="AO270" s="652"/>
      <c r="AP270" s="646"/>
      <c r="AQ270" s="646"/>
      <c r="AR270" s="648"/>
      <c r="AS270" s="646"/>
      <c r="AT270" s="646"/>
      <c r="AU270" s="646"/>
      <c r="AV270" s="646"/>
      <c r="AW270" s="646"/>
      <c r="AX270" s="643"/>
      <c r="AY270" s="652"/>
      <c r="AZ270" s="646"/>
      <c r="BA270" s="646"/>
      <c r="BB270" s="646"/>
      <c r="BC270" s="643"/>
      <c r="BD270" s="646"/>
      <c r="BE270" s="646"/>
      <c r="BF270" s="646"/>
      <c r="BG270" s="646"/>
      <c r="BH270" s="646"/>
      <c r="BI270" s="646"/>
      <c r="BJ270" s="646"/>
      <c r="BK270" s="646"/>
      <c r="BL270" s="646"/>
      <c r="BM270" s="643"/>
      <c r="BN270" s="647"/>
      <c r="BO270" s="648"/>
      <c r="BP270" s="643"/>
      <c r="BQ270" s="649" t="str">
        <f>IFERROR(WWWW[[#This Row],['#_Water sources treated]]/WWWW[[#This Row],['#_Water sources tested for contamination]],"no test")</f>
        <v>no test</v>
      </c>
      <c r="BR270" s="648" t="str">
        <f>IFERROR(WWWW[[#This Row],['#_Household received remediation action due to contamination]]/WWWW[[#This Row],['#_Household water samples tested for contamination]],"no test")</f>
        <v>no test</v>
      </c>
      <c r="BS270" s="647" t="str">
        <f>IF(AND(WWWW[[#This Row],[% of water sources treated]]="no test",WWWW[[#This Row],[% Household received corrective actions]]="no test"),"No Test","Tested")</f>
        <v>No Test</v>
      </c>
      <c r="BT270" s="647">
        <f>WWWW[[#This Row],['#_Constructed/existing protected hand dug well]]-WWWW[[#This Row],['#_Non-functional protected hand dug well]]</f>
        <v>0</v>
      </c>
      <c r="BU270" s="647">
        <f>(WWWW[[#This Row],['#_Constructed/Existing tube wells/boreholes/handpumps_WASH_agency]]+WWWW[[#This Row],['#_Non-Cluster partner water tube-wells/boreholes/handpumps]])-WWWW[[#This Row],['#_Non-functional tube wells/boreholes/handpumps]]</f>
        <v>0</v>
      </c>
      <c r="BV270" s="647">
        <f>WWWW[[#This Row],['#_Constructed/Existingwater storage tank with gravity fed reticulation system]]-WWWW[[#This Row],['#_Non-functional storage tank gravity fed reticulation system]]</f>
        <v>0</v>
      </c>
      <c r="BW270" s="647">
        <f>WWWW[[#This Row],['#_Water boating or water trucking]]</f>
        <v>0</v>
      </c>
      <c r="BX270" s="647">
        <f>WWWW[[#This Row],['#_Constructed/Existing water distribution system from river or natural spring]]</f>
        <v>0</v>
      </c>
      <c r="BY270"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70"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70" s="648">
        <f>IF(WWWW[[#This Row],[Location Type 1]]="Village",WWWW[[#This Row],[Access to safe drinking water for Village]],WWWW[[#This Row],[Access to safe drinking water for Camp]])</f>
        <v>0</v>
      </c>
      <c r="CB270" s="645">
        <f>WWWW[[#This Row],[%Equitable and continuous access to sufficient quantity of safe drinking water]]*WWWW[[#This Row],[Total PoP ]]</f>
        <v>0</v>
      </c>
      <c r="CC270" s="648">
        <f>IF((WWWW[[#This Row],['#_Constructed/Existing protected/fenced ponds]]*250)/WWWW[[#This Row],[Total PoP ]]&gt;1,1,(WWWW[[#This Row],['#_Constructed/Existing protected/fenced ponds]]*250)/WWWW[[#This Row],[Total PoP ]])</f>
        <v>0</v>
      </c>
      <c r="CD270" s="645">
        <f>WWWW[[#This Row],[% Access to unimproved water points]]*WWWW[[#This Row],[Total PoP ]]</f>
        <v>0</v>
      </c>
      <c r="CE270"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70"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70" s="645">
        <f>WWWW[[#This Row],[HRP1]]/500</f>
        <v>0</v>
      </c>
      <c r="CH270" s="650">
        <f>1-WWWW[[#This Row],[% Equitable and continuous access to sufficient quantity of domestic water]]</f>
        <v>1</v>
      </c>
      <c r="CI270" s="645">
        <f>WWWW[[#This Row],[%equitable and continuous access to sufficient quantity of safe drinking and domestic water''s GAP]]*WWWW[[#This Row],[Total PoP ]]</f>
        <v>4476</v>
      </c>
      <c r="CJ270" s="647">
        <f>IF(WWWW[[#This Row],[Total required water points]]-WWWW[[#This Row],['#Water points coverage]]&lt;0,0,WWWW[[#This Row],[Total required water points]]-WWWW[[#This Row],['#Water points coverage]])</f>
        <v>9</v>
      </c>
      <c r="CK270" s="647">
        <f>ROUND(IF(WWWW[[#This Row],[Total PoP ]]&lt;500,1,WWWW[[#This Row],[Total PoP ]]/500),0)</f>
        <v>9</v>
      </c>
      <c r="CL270" s="647">
        <f>(WWWW[[#This Row],['#_Constructed latrines_by_WASHAgencies]]+WWWW[[#This Row],['#_Non Cluster partner latrines]])-WWWW[[#This Row],['#_Non-functional latrines]]</f>
        <v>0</v>
      </c>
      <c r="CM270"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70"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70"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70" s="647" t="str">
        <f>IF(WWWW[[#This Row],[Location Type 1]]="Village","NA",IF(WWWW[[#This Row],['#_Constructed/Existing latrines in TLS]]*50&gt;WWWW[[#This Row],['#_students at TLS_CFS]],WWWW[[#This Row],['#_students at TLS_CFS]],(WWWW[[#This Row],['#_Constructed/Existing latrines in TLS]]*50)))</f>
        <v>NA</v>
      </c>
      <c r="CQ270" s="647">
        <f>ROUND(IF(WWWW[[#This Row],[Location Type 1]]="camp",WWWW[[#This Row],[Total PoP ]]/20,IF(WWWW[[#This Row],[Location Type 1]]="Temporary Location",WWWW[[#This Row],[Total PoP ]]/50,(WWWW[[#This Row],[Total PoP ]]/6))),0)</f>
        <v>746</v>
      </c>
      <c r="CR270" s="647">
        <f>IF(WWWW[[#This Row],[Total required Latrines]]-(WWWW[[#This Row],['#_Constructed latrines_by_WASHAgencies]]+WWWW[[#This Row],['#_Non Cluster partner latrines]])&lt;0,0,WWWW[[#This Row],[Total required Latrines]]-(WWWW[[#This Row],['#_Constructed latrines_by_WASHAgencies]]+WWWW[[#This Row],['#_Non Cluster partner latrines]]))</f>
        <v>746</v>
      </c>
      <c r="CS270" s="79">
        <f>1-WWWW[[#This Row],[% people access to functioning Latrine]]</f>
        <v>1</v>
      </c>
      <c r="CT270" s="649">
        <f>IF(OR(WWWW[[#This Row],['#_Non-functional latrines]]="",WWWW[[#This Row],['#_Non-functional latrines]]=0),0,WWWW[[#This Row],['#_Non-functional latrines]]/(WWWW[[#This Row],['#_Constructed latrines_by_WASHAgencies]]+WWWW[[#This Row],['#_Non Cluster partner latrines]]))</f>
        <v>0</v>
      </c>
      <c r="CU270" s="645">
        <f>IF(500*(WWWW[[#This Row],['#_male hygiene promoters]]+WWWW[[#This Row],['#_female hygiene promoters]])&gt;WWWW[[#This Row],[Total PoP ]],WWWW[[#This Row],[Total PoP ]],500*(WWWW[[#This Row],['#_male hygiene promoters]]+WWWW[[#This Row],['#_female hygiene promoters]]))</f>
        <v>0</v>
      </c>
      <c r="CV270"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70"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70" s="647">
        <f>IF(WWWW[[#This Row],['# People with access to soap]]&gt;WWWW[[#This Row],['# People with access to Sanity Pads]],WWWW[[#This Row],['# People with access to soap]],WWWW[[#This Row],['# People with access to Sanity Pads]])</f>
        <v>0</v>
      </c>
      <c r="CY270"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70" s="650">
        <f>IF(WWWW[[#This Row],[HRP3]]/WWWW[[#This Row],[Total PoP ]]&gt;100%,100%,WWWW[[#This Row],[HRP3]]/WWWW[[#This Row],[Total PoP ]])</f>
        <v>0</v>
      </c>
      <c r="DA270" s="649">
        <f>1-WWWW[[#This Row],[Hygiene Coverage%]]</f>
        <v>1</v>
      </c>
      <c r="DB270" s="648">
        <f>WWWW[[#This Row],['# people reached by regular dedicated hygiene promotion_5]]/WWWW[[#This Row],[Total PoP ]]</f>
        <v>0</v>
      </c>
      <c r="DC270" s="648">
        <f>IF(WWWW[[#This Row],['#_households that received standard amount of soap for this quarter]]/WWWW[[#This Row],[Total HH]]&gt;1,1,WWWW[[#This Row],['#_households that received standard amount of soap for this quarter]]/WWWW[[#This Row],[Total HH]])</f>
        <v>0</v>
      </c>
      <c r="DD270" s="648">
        <f>IF(WWWW[[#This Row],['#_households that received standard amount of sanitary pads for this quarter]]/WWWW[[#This Row],[Total HH]]&gt;1,1,WWWW[[#This Row],['#_households that received standard amount of sanitary pads for this quarter]]/WWWW[[#This Row],[Total HH]])</f>
        <v>0</v>
      </c>
      <c r="DE270" s="647">
        <f>WWWW[[#This Row],['#_Constructed/Existing hand washing stations]]-WWWW[[#This Row],['#_Non-Functional_hand_washing_stations]]</f>
        <v>0</v>
      </c>
      <c r="DF270" s="667">
        <f>IF(WWWW[[#This Row],['# Functional hand washing stations during reporting period]]*20&gt;WWWW[[#This Row],[Total HH]],WWWW[[#This Row],[Total HH]],WWWW[[#This Row],['# Functional hand washing stations during reporting period]]*20)</f>
        <v>0</v>
      </c>
      <c r="DG270" s="645">
        <f>IF(WWWW[[#This Row],[Is sufficient soap available for TLS? (Yes/No)]]="yes",WWWW[[#This Row],['#_Constructed/Existing hand washing stations at TLS]],0)</f>
        <v>0</v>
      </c>
      <c r="DH270" s="645">
        <f>IF(WWWW[[#This Row],['# Functional hand washing stations during reporting period]]*100&gt;WWWW[[#This Row],[Total PoP ]],WWWW[[#This Row],[Total PoP ]],WWWW[[#This Row],['# Functional hand washing stations during reporting period]]*100)</f>
        <v>0</v>
      </c>
      <c r="DI270" s="645" t="str">
        <f>IF(WWWW[[#This Row],['#_students at TLS_CFS]]="","No","Yes")</f>
        <v>No</v>
      </c>
      <c r="DJ270" s="643">
        <f>VLOOKUP(WWWW[[#This Row],[Site Name]],SiteDB6[[Site Name]:[CCCM Management]],6,FALSE)</f>
        <v>0</v>
      </c>
      <c r="DK270" s="643">
        <f>VLOOKUP(WWWW[[#This Row],[Site Name]],SiteDB6[[Site Name]:[CCCM Focal Agency]],7,FALSE)</f>
        <v>0</v>
      </c>
      <c r="DL270" s="643" t="str">
        <f>VLOOKUP(WWWW[[#This Row],[Site Name]],SiteDB6[[Site Name]:[Location Type 1]],9,FALSE)</f>
        <v>Village</v>
      </c>
      <c r="DM270" s="643" t="str">
        <f>VLOOKUP(WWWW[[#This Row],[Site Name]],SiteDB6[[Site Name]:[Type of Accommodation]],10,FALSE)</f>
        <v>Village</v>
      </c>
      <c r="DN270" s="643">
        <f>VLOOKUP(WWWW[[#This Row],[Site Name]],SiteDB6[[Site Name]:[Ethnic or GCA/NGCA]],11,FALSE)</f>
        <v>0</v>
      </c>
      <c r="DO270" s="643">
        <f>VLOOKUP(WWWW[[#This Row],[Site Name]],SiteDB6[[Site Name]:[Lat]],12,FALSE)</f>
        <v>20.142469406127901</v>
      </c>
      <c r="DP270" s="643">
        <f>VLOOKUP(WWWW[[#This Row],[Site Name]],SiteDB6[[Site Name]:[Long]],13,FALSE)</f>
        <v>92.863967895507798</v>
      </c>
      <c r="DQ270" s="643">
        <f>VLOOKUP(WWWW[[#This Row],[Site Name]],SiteDB6[[Site Name]:[Pcode]],3,FALSE)</f>
        <v>196203</v>
      </c>
      <c r="DR270" s="652" t="str">
        <f t="shared" si="9"/>
        <v>Covered</v>
      </c>
      <c r="DS270" s="652"/>
    </row>
    <row r="271" spans="1:123">
      <c r="A271" s="637" t="s">
        <v>2525</v>
      </c>
      <c r="B271" s="637" t="s">
        <v>332</v>
      </c>
      <c r="C271" s="644" t="s">
        <v>332</v>
      </c>
      <c r="D271" s="644" t="s">
        <v>325</v>
      </c>
      <c r="E271" s="663" t="s">
        <v>3014</v>
      </c>
      <c r="F271" s="644" t="s">
        <v>313</v>
      </c>
      <c r="G271" s="663" t="str">
        <f>VLOOKUP(WWWW[[#This Row],[Site Name]],SiteDB6[[Site Name]:[Location Type]],8,FALSE)</f>
        <v>Village</v>
      </c>
      <c r="H271" s="644" t="s">
        <v>2900</v>
      </c>
      <c r="I271" s="646">
        <v>335</v>
      </c>
      <c r="J271" s="646">
        <v>1867</v>
      </c>
      <c r="K271" s="653">
        <v>42736</v>
      </c>
      <c r="L271" s="654">
        <v>44551</v>
      </c>
      <c r="M271" s="646"/>
      <c r="N271" s="646"/>
      <c r="O271" s="646"/>
      <c r="P271" s="646"/>
      <c r="Q271" s="645"/>
      <c r="R271" s="646"/>
      <c r="S271" s="646"/>
      <c r="T271" s="646"/>
      <c r="U271" s="646"/>
      <c r="V271" s="646"/>
      <c r="W271" s="646"/>
      <c r="X271" s="646"/>
      <c r="Y271" s="646"/>
      <c r="Z271" s="646"/>
      <c r="AA271" s="646"/>
      <c r="AB271" s="646"/>
      <c r="AC271" s="646"/>
      <c r="AD271" s="646"/>
      <c r="AE271" s="646"/>
      <c r="AF271" s="646"/>
      <c r="AG271" s="646"/>
      <c r="AH271" s="646"/>
      <c r="AI271" s="646"/>
      <c r="AJ271" s="646"/>
      <c r="AK271" s="646"/>
      <c r="AL271" s="646"/>
      <c r="AM271" s="646"/>
      <c r="AN271" s="646"/>
      <c r="AO271" s="652"/>
      <c r="AP271" s="646"/>
      <c r="AQ271" s="646"/>
      <c r="AR271" s="648"/>
      <c r="AS271" s="646"/>
      <c r="AT271" s="646"/>
      <c r="AU271" s="646"/>
      <c r="AV271" s="646"/>
      <c r="AW271" s="646"/>
      <c r="AX271" s="643"/>
      <c r="AY271" s="652"/>
      <c r="AZ271" s="646"/>
      <c r="BA271" s="646"/>
      <c r="BB271" s="646"/>
      <c r="BC271" s="643"/>
      <c r="BD271" s="646"/>
      <c r="BE271" s="646"/>
      <c r="BF271" s="646"/>
      <c r="BG271" s="646"/>
      <c r="BH271" s="646"/>
      <c r="BI271" s="646"/>
      <c r="BJ271" s="646"/>
      <c r="BK271" s="646"/>
      <c r="BL271" s="646"/>
      <c r="BM271" s="643"/>
      <c r="BN271" s="647"/>
      <c r="BO271" s="648"/>
      <c r="BP271" s="643"/>
      <c r="BQ271" s="649" t="str">
        <f>IFERROR(WWWW[[#This Row],['#_Water sources treated]]/WWWW[[#This Row],['#_Water sources tested for contamination]],"no test")</f>
        <v>no test</v>
      </c>
      <c r="BR271" s="648" t="str">
        <f>IFERROR(WWWW[[#This Row],['#_Household received remediation action due to contamination]]/WWWW[[#This Row],['#_Household water samples tested for contamination]],"no test")</f>
        <v>no test</v>
      </c>
      <c r="BS271" s="647" t="str">
        <f>IF(AND(WWWW[[#This Row],[% of water sources treated]]="no test",WWWW[[#This Row],[% Household received corrective actions]]="no test"),"No Test","Tested")</f>
        <v>No Test</v>
      </c>
      <c r="BT271" s="647">
        <f>WWWW[[#This Row],['#_Constructed/existing protected hand dug well]]-WWWW[[#This Row],['#_Non-functional protected hand dug well]]</f>
        <v>0</v>
      </c>
      <c r="BU271" s="647">
        <f>(WWWW[[#This Row],['#_Constructed/Existing tube wells/boreholes/handpumps_WASH_agency]]+WWWW[[#This Row],['#_Non-Cluster partner water tube-wells/boreholes/handpumps]])-WWWW[[#This Row],['#_Non-functional tube wells/boreholes/handpumps]]</f>
        <v>0</v>
      </c>
      <c r="BV271" s="647">
        <f>WWWW[[#This Row],['#_Constructed/Existingwater storage tank with gravity fed reticulation system]]-WWWW[[#This Row],['#_Non-functional storage tank gravity fed reticulation system]]</f>
        <v>0</v>
      </c>
      <c r="BW271" s="647">
        <f>WWWW[[#This Row],['#_Water boating or water trucking]]</f>
        <v>0</v>
      </c>
      <c r="BX271" s="647">
        <f>WWWW[[#This Row],['#_Constructed/Existing water distribution system from river or natural spring]]</f>
        <v>0</v>
      </c>
      <c r="BY271"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71"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71" s="648">
        <f>IF(WWWW[[#This Row],[Location Type 1]]="Village",WWWW[[#This Row],[Access to safe drinking water for Village]],WWWW[[#This Row],[Access to safe drinking water for Camp]])</f>
        <v>0</v>
      </c>
      <c r="CB271" s="645">
        <f>WWWW[[#This Row],[%Equitable and continuous access to sufficient quantity of safe drinking water]]*WWWW[[#This Row],[Total PoP ]]</f>
        <v>0</v>
      </c>
      <c r="CC271" s="648">
        <f>IF((WWWW[[#This Row],['#_Constructed/Existing protected/fenced ponds]]*250)/WWWW[[#This Row],[Total PoP ]]&gt;1,1,(WWWW[[#This Row],['#_Constructed/Existing protected/fenced ponds]]*250)/WWWW[[#This Row],[Total PoP ]])</f>
        <v>0</v>
      </c>
      <c r="CD271" s="645">
        <f>WWWW[[#This Row],[% Access to unimproved water points]]*WWWW[[#This Row],[Total PoP ]]</f>
        <v>0</v>
      </c>
      <c r="CE271"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71"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71" s="645">
        <f>WWWW[[#This Row],[HRP1]]/500</f>
        <v>0</v>
      </c>
      <c r="CH271" s="650">
        <f>1-WWWW[[#This Row],[% Equitable and continuous access to sufficient quantity of domestic water]]</f>
        <v>1</v>
      </c>
      <c r="CI271" s="645">
        <f>WWWW[[#This Row],[%equitable and continuous access to sufficient quantity of safe drinking and domestic water''s GAP]]*WWWW[[#This Row],[Total PoP ]]</f>
        <v>1867</v>
      </c>
      <c r="CJ271" s="647">
        <f>IF(WWWW[[#This Row],[Total required water points]]-WWWW[[#This Row],['#Water points coverage]]&lt;0,0,WWWW[[#This Row],[Total required water points]]-WWWW[[#This Row],['#Water points coverage]])</f>
        <v>4</v>
      </c>
      <c r="CK271" s="647">
        <f>ROUND(IF(WWWW[[#This Row],[Total PoP ]]&lt;500,1,WWWW[[#This Row],[Total PoP ]]/500),0)</f>
        <v>4</v>
      </c>
      <c r="CL271" s="647">
        <f>(WWWW[[#This Row],['#_Constructed latrines_by_WASHAgencies]]+WWWW[[#This Row],['#_Non Cluster partner latrines]])-WWWW[[#This Row],['#_Non-functional latrines]]</f>
        <v>0</v>
      </c>
      <c r="CM271"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71"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71"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71" s="647" t="str">
        <f>IF(WWWW[[#This Row],[Location Type 1]]="Village","NA",IF(WWWW[[#This Row],['#_Constructed/Existing latrines in TLS]]*50&gt;WWWW[[#This Row],['#_students at TLS_CFS]],WWWW[[#This Row],['#_students at TLS_CFS]],(WWWW[[#This Row],['#_Constructed/Existing latrines in TLS]]*50)))</f>
        <v>NA</v>
      </c>
      <c r="CQ271" s="647">
        <f>ROUND(IF(WWWW[[#This Row],[Location Type 1]]="camp",WWWW[[#This Row],[Total PoP ]]/20,IF(WWWW[[#This Row],[Location Type 1]]="Temporary Location",WWWW[[#This Row],[Total PoP ]]/50,(WWWW[[#This Row],[Total PoP ]]/6))),0)</f>
        <v>311</v>
      </c>
      <c r="CR271" s="647">
        <f>IF(WWWW[[#This Row],[Total required Latrines]]-(WWWW[[#This Row],['#_Constructed latrines_by_WASHAgencies]]+WWWW[[#This Row],['#_Non Cluster partner latrines]])&lt;0,0,WWWW[[#This Row],[Total required Latrines]]-(WWWW[[#This Row],['#_Constructed latrines_by_WASHAgencies]]+WWWW[[#This Row],['#_Non Cluster partner latrines]]))</f>
        <v>311</v>
      </c>
      <c r="CS271" s="79">
        <f>1-WWWW[[#This Row],[% people access to functioning Latrine]]</f>
        <v>1</v>
      </c>
      <c r="CT271" s="649">
        <f>IF(OR(WWWW[[#This Row],['#_Non-functional latrines]]="",WWWW[[#This Row],['#_Non-functional latrines]]=0),0,WWWW[[#This Row],['#_Non-functional latrines]]/(WWWW[[#This Row],['#_Constructed latrines_by_WASHAgencies]]+WWWW[[#This Row],['#_Non Cluster partner latrines]]))</f>
        <v>0</v>
      </c>
      <c r="CU271" s="645">
        <f>IF(500*(WWWW[[#This Row],['#_male hygiene promoters]]+WWWW[[#This Row],['#_female hygiene promoters]])&gt;WWWW[[#This Row],[Total PoP ]],WWWW[[#This Row],[Total PoP ]],500*(WWWW[[#This Row],['#_male hygiene promoters]]+WWWW[[#This Row],['#_female hygiene promoters]]))</f>
        <v>0</v>
      </c>
      <c r="CV271"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71"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71" s="647">
        <f>IF(WWWW[[#This Row],['# People with access to soap]]&gt;WWWW[[#This Row],['# People with access to Sanity Pads]],WWWW[[#This Row],['# People with access to soap]],WWWW[[#This Row],['# People with access to Sanity Pads]])</f>
        <v>0</v>
      </c>
      <c r="CY271"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71" s="650">
        <f>IF(WWWW[[#This Row],[HRP3]]/WWWW[[#This Row],[Total PoP ]]&gt;100%,100%,WWWW[[#This Row],[HRP3]]/WWWW[[#This Row],[Total PoP ]])</f>
        <v>0</v>
      </c>
      <c r="DA271" s="649">
        <f>1-WWWW[[#This Row],[Hygiene Coverage%]]</f>
        <v>1</v>
      </c>
      <c r="DB271" s="648">
        <f>WWWW[[#This Row],['# people reached by regular dedicated hygiene promotion_5]]/WWWW[[#This Row],[Total PoP ]]</f>
        <v>0</v>
      </c>
      <c r="DC271" s="648">
        <f>IF(WWWW[[#This Row],['#_households that received standard amount of soap for this quarter]]/WWWW[[#This Row],[Total HH]]&gt;1,1,WWWW[[#This Row],['#_households that received standard amount of soap for this quarter]]/WWWW[[#This Row],[Total HH]])</f>
        <v>0</v>
      </c>
      <c r="DD271" s="648">
        <f>IF(WWWW[[#This Row],['#_households that received standard amount of sanitary pads for this quarter]]/WWWW[[#This Row],[Total HH]]&gt;1,1,WWWW[[#This Row],['#_households that received standard amount of sanitary pads for this quarter]]/WWWW[[#This Row],[Total HH]])</f>
        <v>0</v>
      </c>
      <c r="DE271" s="647">
        <f>WWWW[[#This Row],['#_Constructed/Existing hand washing stations]]-WWWW[[#This Row],['#_Non-Functional_hand_washing_stations]]</f>
        <v>0</v>
      </c>
      <c r="DF271" s="667">
        <f>IF(WWWW[[#This Row],['# Functional hand washing stations during reporting period]]*20&gt;WWWW[[#This Row],[Total HH]],WWWW[[#This Row],[Total HH]],WWWW[[#This Row],['# Functional hand washing stations during reporting period]]*20)</f>
        <v>0</v>
      </c>
      <c r="DG271" s="645">
        <f>IF(WWWW[[#This Row],[Is sufficient soap available for TLS? (Yes/No)]]="yes",WWWW[[#This Row],['#_Constructed/Existing hand washing stations at TLS]],0)</f>
        <v>0</v>
      </c>
      <c r="DH271" s="645">
        <f>IF(WWWW[[#This Row],['# Functional hand washing stations during reporting period]]*100&gt;WWWW[[#This Row],[Total PoP ]],WWWW[[#This Row],[Total PoP ]],WWWW[[#This Row],['# Functional hand washing stations during reporting period]]*100)</f>
        <v>0</v>
      </c>
      <c r="DI271" s="645" t="str">
        <f>IF(WWWW[[#This Row],['#_students at TLS_CFS]]="","No","Yes")</f>
        <v>No</v>
      </c>
      <c r="DJ271" s="643">
        <f>VLOOKUP(WWWW[[#This Row],[Site Name]],SiteDB6[[Site Name]:[CCCM Management]],6,FALSE)</f>
        <v>0</v>
      </c>
      <c r="DK271" s="643">
        <f>VLOOKUP(WWWW[[#This Row],[Site Name]],SiteDB6[[Site Name]:[CCCM Focal Agency]],7,FALSE)</f>
        <v>0</v>
      </c>
      <c r="DL271" s="643" t="str">
        <f>VLOOKUP(WWWW[[#This Row],[Site Name]],SiteDB6[[Site Name]:[Location Type 1]],9,FALSE)</f>
        <v>Village</v>
      </c>
      <c r="DM271" s="643" t="str">
        <f>VLOOKUP(WWWW[[#This Row],[Site Name]],SiteDB6[[Site Name]:[Type of Accommodation]],10,FALSE)</f>
        <v>Village</v>
      </c>
      <c r="DN271" s="643">
        <f>VLOOKUP(WWWW[[#This Row],[Site Name]],SiteDB6[[Site Name]:[Ethnic or GCA/NGCA]],11,FALSE)</f>
        <v>0</v>
      </c>
      <c r="DO271" s="643">
        <f>VLOOKUP(WWWW[[#This Row],[Site Name]],SiteDB6[[Site Name]:[Lat]],12,FALSE)</f>
        <v>20.170469284057599</v>
      </c>
      <c r="DP271" s="643">
        <f>VLOOKUP(WWWW[[#This Row],[Site Name]],SiteDB6[[Site Name]:[Long]],13,FALSE)</f>
        <v>92.8343505859375</v>
      </c>
      <c r="DQ271" s="643">
        <f>VLOOKUP(WWWW[[#This Row],[Site Name]],SiteDB6[[Site Name]:[Pcode]],3,FALSE)</f>
        <v>196202</v>
      </c>
      <c r="DR271" s="652" t="str">
        <f t="shared" si="9"/>
        <v>Covered</v>
      </c>
      <c r="DS271" s="652"/>
    </row>
    <row r="272" spans="1:123">
      <c r="A272" s="637" t="s">
        <v>2525</v>
      </c>
      <c r="B272" s="637" t="s">
        <v>332</v>
      </c>
      <c r="C272" s="644" t="s">
        <v>332</v>
      </c>
      <c r="D272" s="644" t="s">
        <v>325</v>
      </c>
      <c r="E272" s="663" t="s">
        <v>3014</v>
      </c>
      <c r="F272" s="644" t="s">
        <v>313</v>
      </c>
      <c r="G272" s="663" t="str">
        <f>VLOOKUP(WWWW[[#This Row],[Site Name]],SiteDB6[[Site Name]:[Location Type]],8,FALSE)</f>
        <v>Village</v>
      </c>
      <c r="H272" s="644" t="s">
        <v>1780</v>
      </c>
      <c r="I272" s="646">
        <v>863</v>
      </c>
      <c r="J272" s="646">
        <v>3768</v>
      </c>
      <c r="K272" s="653">
        <v>42736</v>
      </c>
      <c r="L272" s="654">
        <v>44551</v>
      </c>
      <c r="M272" s="646"/>
      <c r="N272" s="646"/>
      <c r="O272" s="646"/>
      <c r="P272" s="646"/>
      <c r="Q272" s="645"/>
      <c r="R272" s="646"/>
      <c r="S272" s="646"/>
      <c r="T272" s="646"/>
      <c r="U272" s="646"/>
      <c r="V272" s="646"/>
      <c r="W272" s="646"/>
      <c r="X272" s="646"/>
      <c r="Y272" s="646"/>
      <c r="Z272" s="646"/>
      <c r="AA272" s="646"/>
      <c r="AB272" s="646"/>
      <c r="AC272" s="646"/>
      <c r="AD272" s="646"/>
      <c r="AE272" s="646"/>
      <c r="AF272" s="646"/>
      <c r="AG272" s="646"/>
      <c r="AH272" s="646"/>
      <c r="AI272" s="646"/>
      <c r="AJ272" s="646"/>
      <c r="AK272" s="646"/>
      <c r="AL272" s="646"/>
      <c r="AM272" s="646"/>
      <c r="AN272" s="646"/>
      <c r="AO272" s="652"/>
      <c r="AP272" s="646"/>
      <c r="AQ272" s="646"/>
      <c r="AR272" s="648"/>
      <c r="AS272" s="646"/>
      <c r="AT272" s="646"/>
      <c r="AU272" s="646"/>
      <c r="AV272" s="646"/>
      <c r="AW272" s="646"/>
      <c r="AX272" s="643"/>
      <c r="AY272" s="652"/>
      <c r="AZ272" s="646"/>
      <c r="BA272" s="646"/>
      <c r="BB272" s="646"/>
      <c r="BC272" s="643"/>
      <c r="BD272" s="646"/>
      <c r="BE272" s="646"/>
      <c r="BF272" s="646"/>
      <c r="BG272" s="646"/>
      <c r="BH272" s="646"/>
      <c r="BI272" s="646"/>
      <c r="BJ272" s="646"/>
      <c r="BK272" s="646"/>
      <c r="BL272" s="646"/>
      <c r="BM272" s="643"/>
      <c r="BN272" s="647"/>
      <c r="BO272" s="648"/>
      <c r="BP272" s="643"/>
      <c r="BQ272" s="649" t="str">
        <f>IFERROR(WWWW[[#This Row],['#_Water sources treated]]/WWWW[[#This Row],['#_Water sources tested for contamination]],"no test")</f>
        <v>no test</v>
      </c>
      <c r="BR272" s="648" t="str">
        <f>IFERROR(WWWW[[#This Row],['#_Household received remediation action due to contamination]]/WWWW[[#This Row],['#_Household water samples tested for contamination]],"no test")</f>
        <v>no test</v>
      </c>
      <c r="BS272" s="647" t="str">
        <f>IF(AND(WWWW[[#This Row],[% of water sources treated]]="no test",WWWW[[#This Row],[% Household received corrective actions]]="no test"),"No Test","Tested")</f>
        <v>No Test</v>
      </c>
      <c r="BT272" s="647">
        <f>WWWW[[#This Row],['#_Constructed/existing protected hand dug well]]-WWWW[[#This Row],['#_Non-functional protected hand dug well]]</f>
        <v>0</v>
      </c>
      <c r="BU272" s="647">
        <f>(WWWW[[#This Row],['#_Constructed/Existing tube wells/boreholes/handpumps_WASH_agency]]+WWWW[[#This Row],['#_Non-Cluster partner water tube-wells/boreholes/handpumps]])-WWWW[[#This Row],['#_Non-functional tube wells/boreholes/handpumps]]</f>
        <v>0</v>
      </c>
      <c r="BV272" s="647">
        <f>WWWW[[#This Row],['#_Constructed/Existingwater storage tank with gravity fed reticulation system]]-WWWW[[#This Row],['#_Non-functional storage tank gravity fed reticulation system]]</f>
        <v>0</v>
      </c>
      <c r="BW272" s="647">
        <f>WWWW[[#This Row],['#_Water boating or water trucking]]</f>
        <v>0</v>
      </c>
      <c r="BX272" s="647">
        <f>WWWW[[#This Row],['#_Constructed/Existing water distribution system from river or natural spring]]</f>
        <v>0</v>
      </c>
      <c r="BY272"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72"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72" s="648">
        <f>IF(WWWW[[#This Row],[Location Type 1]]="Village",WWWW[[#This Row],[Access to safe drinking water for Village]],WWWW[[#This Row],[Access to safe drinking water for Camp]])</f>
        <v>0</v>
      </c>
      <c r="CB272" s="645">
        <f>WWWW[[#This Row],[%Equitable and continuous access to sufficient quantity of safe drinking water]]*WWWW[[#This Row],[Total PoP ]]</f>
        <v>0</v>
      </c>
      <c r="CC272" s="648">
        <f>IF((WWWW[[#This Row],['#_Constructed/Existing protected/fenced ponds]]*250)/WWWW[[#This Row],[Total PoP ]]&gt;1,1,(WWWW[[#This Row],['#_Constructed/Existing protected/fenced ponds]]*250)/WWWW[[#This Row],[Total PoP ]])</f>
        <v>0</v>
      </c>
      <c r="CD272" s="645">
        <f>WWWW[[#This Row],[% Access to unimproved water points]]*WWWW[[#This Row],[Total PoP ]]</f>
        <v>0</v>
      </c>
      <c r="CE272"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72"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72" s="645">
        <f>WWWW[[#This Row],[HRP1]]/500</f>
        <v>0</v>
      </c>
      <c r="CH272" s="650">
        <f>1-WWWW[[#This Row],[% Equitable and continuous access to sufficient quantity of domestic water]]</f>
        <v>1</v>
      </c>
      <c r="CI272" s="645">
        <f>WWWW[[#This Row],[%equitable and continuous access to sufficient quantity of safe drinking and domestic water''s GAP]]*WWWW[[#This Row],[Total PoP ]]</f>
        <v>3768</v>
      </c>
      <c r="CJ272" s="647">
        <f>IF(WWWW[[#This Row],[Total required water points]]-WWWW[[#This Row],['#Water points coverage]]&lt;0,0,WWWW[[#This Row],[Total required water points]]-WWWW[[#This Row],['#Water points coverage]])</f>
        <v>8</v>
      </c>
      <c r="CK272" s="647">
        <f>ROUND(IF(WWWW[[#This Row],[Total PoP ]]&lt;500,1,WWWW[[#This Row],[Total PoP ]]/500),0)</f>
        <v>8</v>
      </c>
      <c r="CL272" s="647">
        <f>(WWWW[[#This Row],['#_Constructed latrines_by_WASHAgencies]]+WWWW[[#This Row],['#_Non Cluster partner latrines]])-WWWW[[#This Row],['#_Non-functional latrines]]</f>
        <v>0</v>
      </c>
      <c r="CM272"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72"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72"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72" s="647" t="str">
        <f>IF(WWWW[[#This Row],[Location Type 1]]="Village","NA",IF(WWWW[[#This Row],['#_Constructed/Existing latrines in TLS]]*50&gt;WWWW[[#This Row],['#_students at TLS_CFS]],WWWW[[#This Row],['#_students at TLS_CFS]],(WWWW[[#This Row],['#_Constructed/Existing latrines in TLS]]*50)))</f>
        <v>NA</v>
      </c>
      <c r="CQ272" s="647">
        <f>ROUND(IF(WWWW[[#This Row],[Location Type 1]]="camp",WWWW[[#This Row],[Total PoP ]]/20,IF(WWWW[[#This Row],[Location Type 1]]="Temporary Location",WWWW[[#This Row],[Total PoP ]]/50,(WWWW[[#This Row],[Total PoP ]]/6))),0)</f>
        <v>628</v>
      </c>
      <c r="CR272" s="647">
        <f>IF(WWWW[[#This Row],[Total required Latrines]]-(WWWW[[#This Row],['#_Constructed latrines_by_WASHAgencies]]+WWWW[[#This Row],['#_Non Cluster partner latrines]])&lt;0,0,WWWW[[#This Row],[Total required Latrines]]-(WWWW[[#This Row],['#_Constructed latrines_by_WASHAgencies]]+WWWW[[#This Row],['#_Non Cluster partner latrines]]))</f>
        <v>628</v>
      </c>
      <c r="CS272" s="79">
        <f>1-WWWW[[#This Row],[% people access to functioning Latrine]]</f>
        <v>1</v>
      </c>
      <c r="CT272" s="649">
        <f>IF(OR(WWWW[[#This Row],['#_Non-functional latrines]]="",WWWW[[#This Row],['#_Non-functional latrines]]=0),0,WWWW[[#This Row],['#_Non-functional latrines]]/(WWWW[[#This Row],['#_Constructed latrines_by_WASHAgencies]]+WWWW[[#This Row],['#_Non Cluster partner latrines]]))</f>
        <v>0</v>
      </c>
      <c r="CU272" s="645">
        <f>IF(500*(WWWW[[#This Row],['#_male hygiene promoters]]+WWWW[[#This Row],['#_female hygiene promoters]])&gt;WWWW[[#This Row],[Total PoP ]],WWWW[[#This Row],[Total PoP ]],500*(WWWW[[#This Row],['#_male hygiene promoters]]+WWWW[[#This Row],['#_female hygiene promoters]]))</f>
        <v>0</v>
      </c>
      <c r="CV272"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72"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72" s="647">
        <f>IF(WWWW[[#This Row],['# People with access to soap]]&gt;WWWW[[#This Row],['# People with access to Sanity Pads]],WWWW[[#This Row],['# People with access to soap]],WWWW[[#This Row],['# People with access to Sanity Pads]])</f>
        <v>0</v>
      </c>
      <c r="CY272"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72" s="650">
        <f>IF(WWWW[[#This Row],[HRP3]]/WWWW[[#This Row],[Total PoP ]]&gt;100%,100%,WWWW[[#This Row],[HRP3]]/WWWW[[#This Row],[Total PoP ]])</f>
        <v>0</v>
      </c>
      <c r="DA272" s="649">
        <f>1-WWWW[[#This Row],[Hygiene Coverage%]]</f>
        <v>1</v>
      </c>
      <c r="DB272" s="648">
        <f>WWWW[[#This Row],['# people reached by regular dedicated hygiene promotion_5]]/WWWW[[#This Row],[Total PoP ]]</f>
        <v>0</v>
      </c>
      <c r="DC272" s="648">
        <f>IF(WWWW[[#This Row],['#_households that received standard amount of soap for this quarter]]/WWWW[[#This Row],[Total HH]]&gt;1,1,WWWW[[#This Row],['#_households that received standard amount of soap for this quarter]]/WWWW[[#This Row],[Total HH]])</f>
        <v>0</v>
      </c>
      <c r="DD272" s="648">
        <f>IF(WWWW[[#This Row],['#_households that received standard amount of sanitary pads for this quarter]]/WWWW[[#This Row],[Total HH]]&gt;1,1,WWWW[[#This Row],['#_households that received standard amount of sanitary pads for this quarter]]/WWWW[[#This Row],[Total HH]])</f>
        <v>0</v>
      </c>
      <c r="DE272" s="647">
        <f>WWWW[[#This Row],['#_Constructed/Existing hand washing stations]]-WWWW[[#This Row],['#_Non-Functional_hand_washing_stations]]</f>
        <v>0</v>
      </c>
      <c r="DF272" s="667">
        <f>IF(WWWW[[#This Row],['# Functional hand washing stations during reporting period]]*20&gt;WWWW[[#This Row],[Total HH]],WWWW[[#This Row],[Total HH]],WWWW[[#This Row],['# Functional hand washing stations during reporting period]]*20)</f>
        <v>0</v>
      </c>
      <c r="DG272" s="645">
        <f>IF(WWWW[[#This Row],[Is sufficient soap available for TLS? (Yes/No)]]="yes",WWWW[[#This Row],['#_Constructed/Existing hand washing stations at TLS]],0)</f>
        <v>0</v>
      </c>
      <c r="DH272" s="645">
        <f>IF(WWWW[[#This Row],['# Functional hand washing stations during reporting period]]*100&gt;WWWW[[#This Row],[Total PoP ]],WWWW[[#This Row],[Total PoP ]],WWWW[[#This Row],['# Functional hand washing stations during reporting period]]*100)</f>
        <v>0</v>
      </c>
      <c r="DI272" s="645" t="str">
        <f>IF(WWWW[[#This Row],['#_students at TLS_CFS]]="","No","Yes")</f>
        <v>No</v>
      </c>
      <c r="DJ272" s="643">
        <f>VLOOKUP(WWWW[[#This Row],[Site Name]],SiteDB6[[Site Name]:[CCCM Management]],6,FALSE)</f>
        <v>0</v>
      </c>
      <c r="DK272" s="643">
        <f>VLOOKUP(WWWW[[#This Row],[Site Name]],SiteDB6[[Site Name]:[CCCM Focal Agency]],7,FALSE)</f>
        <v>0</v>
      </c>
      <c r="DL272" s="643" t="str">
        <f>VLOOKUP(WWWW[[#This Row],[Site Name]],SiteDB6[[Site Name]:[Location Type 1]],9,FALSE)</f>
        <v>Village</v>
      </c>
      <c r="DM272" s="643" t="str">
        <f>VLOOKUP(WWWW[[#This Row],[Site Name]],SiteDB6[[Site Name]:[Type of Accommodation]],10,FALSE)</f>
        <v>Village</v>
      </c>
      <c r="DN272" s="643">
        <f>VLOOKUP(WWWW[[#This Row],[Site Name]],SiteDB6[[Site Name]:[Ethnic or GCA/NGCA]],11,FALSE)</f>
        <v>0</v>
      </c>
      <c r="DO272" s="643">
        <f>VLOOKUP(WWWW[[#This Row],[Site Name]],SiteDB6[[Site Name]:[Lat]],12,FALSE)</f>
        <v>20.168970108032202</v>
      </c>
      <c r="DP272" s="643">
        <f>VLOOKUP(WWWW[[#This Row],[Site Name]],SiteDB6[[Site Name]:[Long]],13,FALSE)</f>
        <v>92.826896667480497</v>
      </c>
      <c r="DQ272" s="643">
        <f>VLOOKUP(WWWW[[#This Row],[Site Name]],SiteDB6[[Site Name]:[Pcode]],3,FALSE)</f>
        <v>196206</v>
      </c>
      <c r="DR272" s="652" t="str">
        <f t="shared" si="9"/>
        <v>Covered</v>
      </c>
      <c r="DS272" s="652"/>
    </row>
    <row r="273" spans="1:123">
      <c r="A273" s="637" t="s">
        <v>2525</v>
      </c>
      <c r="B273" s="637" t="s">
        <v>332</v>
      </c>
      <c r="C273" s="644" t="s">
        <v>332</v>
      </c>
      <c r="D273" s="644" t="s">
        <v>325</v>
      </c>
      <c r="E273" s="663" t="s">
        <v>3014</v>
      </c>
      <c r="F273" s="644" t="s">
        <v>313</v>
      </c>
      <c r="G273" s="663" t="str">
        <f>VLOOKUP(WWWW[[#This Row],[Site Name]],SiteDB6[[Site Name]:[Location Type]],8,FALSE)</f>
        <v>Village</v>
      </c>
      <c r="H273" s="644" t="s">
        <v>2901</v>
      </c>
      <c r="I273" s="646">
        <v>310</v>
      </c>
      <c r="J273" s="646">
        <v>1750</v>
      </c>
      <c r="K273" s="653">
        <v>42736</v>
      </c>
      <c r="L273" s="654">
        <v>44551</v>
      </c>
      <c r="M273" s="646"/>
      <c r="N273" s="646"/>
      <c r="O273" s="646"/>
      <c r="P273" s="646"/>
      <c r="Q273" s="645"/>
      <c r="R273" s="646"/>
      <c r="S273" s="646"/>
      <c r="T273" s="646"/>
      <c r="U273" s="646"/>
      <c r="V273" s="646"/>
      <c r="W273" s="646"/>
      <c r="X273" s="646"/>
      <c r="Y273" s="646"/>
      <c r="Z273" s="646"/>
      <c r="AA273" s="646"/>
      <c r="AB273" s="646"/>
      <c r="AC273" s="646"/>
      <c r="AD273" s="646"/>
      <c r="AE273" s="646"/>
      <c r="AF273" s="646"/>
      <c r="AG273" s="646"/>
      <c r="AH273" s="646"/>
      <c r="AI273" s="646"/>
      <c r="AJ273" s="646"/>
      <c r="AK273" s="646"/>
      <c r="AL273" s="646"/>
      <c r="AM273" s="646"/>
      <c r="AN273" s="646"/>
      <c r="AO273" s="652"/>
      <c r="AP273" s="646"/>
      <c r="AQ273" s="646"/>
      <c r="AR273" s="648"/>
      <c r="AS273" s="646"/>
      <c r="AT273" s="646"/>
      <c r="AU273" s="646"/>
      <c r="AV273" s="646"/>
      <c r="AW273" s="646"/>
      <c r="AX273" s="643"/>
      <c r="AY273" s="652"/>
      <c r="AZ273" s="646"/>
      <c r="BA273" s="646"/>
      <c r="BB273" s="646"/>
      <c r="BC273" s="643"/>
      <c r="BD273" s="646"/>
      <c r="BE273" s="646"/>
      <c r="BF273" s="646"/>
      <c r="BG273" s="646"/>
      <c r="BH273" s="646"/>
      <c r="BI273" s="646"/>
      <c r="BJ273" s="646"/>
      <c r="BK273" s="646"/>
      <c r="BL273" s="646"/>
      <c r="BM273" s="643"/>
      <c r="BN273" s="647"/>
      <c r="BO273" s="648"/>
      <c r="BP273" s="643"/>
      <c r="BQ273" s="649" t="str">
        <f>IFERROR(WWWW[[#This Row],['#_Water sources treated]]/WWWW[[#This Row],['#_Water sources tested for contamination]],"no test")</f>
        <v>no test</v>
      </c>
      <c r="BR273" s="648" t="str">
        <f>IFERROR(WWWW[[#This Row],['#_Household received remediation action due to contamination]]/WWWW[[#This Row],['#_Household water samples tested for contamination]],"no test")</f>
        <v>no test</v>
      </c>
      <c r="BS273" s="647" t="str">
        <f>IF(AND(WWWW[[#This Row],[% of water sources treated]]="no test",WWWW[[#This Row],[% Household received corrective actions]]="no test"),"No Test","Tested")</f>
        <v>No Test</v>
      </c>
      <c r="BT273" s="647">
        <f>WWWW[[#This Row],['#_Constructed/existing protected hand dug well]]-WWWW[[#This Row],['#_Non-functional protected hand dug well]]</f>
        <v>0</v>
      </c>
      <c r="BU273" s="647">
        <f>(WWWW[[#This Row],['#_Constructed/Existing tube wells/boreholes/handpumps_WASH_agency]]+WWWW[[#This Row],['#_Non-Cluster partner water tube-wells/boreholes/handpumps]])-WWWW[[#This Row],['#_Non-functional tube wells/boreholes/handpumps]]</f>
        <v>0</v>
      </c>
      <c r="BV273" s="647">
        <f>WWWW[[#This Row],['#_Constructed/Existingwater storage tank with gravity fed reticulation system]]-WWWW[[#This Row],['#_Non-functional storage tank gravity fed reticulation system]]</f>
        <v>0</v>
      </c>
      <c r="BW273" s="647">
        <f>WWWW[[#This Row],['#_Water boating or water trucking]]</f>
        <v>0</v>
      </c>
      <c r="BX273" s="647">
        <f>WWWW[[#This Row],['#_Constructed/Existing water distribution system from river or natural spring]]</f>
        <v>0</v>
      </c>
      <c r="BY273"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73"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73" s="648">
        <f>IF(WWWW[[#This Row],[Location Type 1]]="Village",WWWW[[#This Row],[Access to safe drinking water for Village]],WWWW[[#This Row],[Access to safe drinking water for Camp]])</f>
        <v>0</v>
      </c>
      <c r="CB273" s="645">
        <f>WWWW[[#This Row],[%Equitable and continuous access to sufficient quantity of safe drinking water]]*WWWW[[#This Row],[Total PoP ]]</f>
        <v>0</v>
      </c>
      <c r="CC273" s="648">
        <f>IF((WWWW[[#This Row],['#_Constructed/Existing protected/fenced ponds]]*250)/WWWW[[#This Row],[Total PoP ]]&gt;1,1,(WWWW[[#This Row],['#_Constructed/Existing protected/fenced ponds]]*250)/WWWW[[#This Row],[Total PoP ]])</f>
        <v>0</v>
      </c>
      <c r="CD273" s="645">
        <f>WWWW[[#This Row],[% Access to unimproved water points]]*WWWW[[#This Row],[Total PoP ]]</f>
        <v>0</v>
      </c>
      <c r="CE273"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73"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73" s="645">
        <f>WWWW[[#This Row],[HRP1]]/500</f>
        <v>0</v>
      </c>
      <c r="CH273" s="650">
        <f>1-WWWW[[#This Row],[% Equitable and continuous access to sufficient quantity of domestic water]]</f>
        <v>1</v>
      </c>
      <c r="CI273" s="645">
        <f>WWWW[[#This Row],[%equitable and continuous access to sufficient quantity of safe drinking and domestic water''s GAP]]*WWWW[[#This Row],[Total PoP ]]</f>
        <v>1750</v>
      </c>
      <c r="CJ273" s="647">
        <f>IF(WWWW[[#This Row],[Total required water points]]-WWWW[[#This Row],['#Water points coverage]]&lt;0,0,WWWW[[#This Row],[Total required water points]]-WWWW[[#This Row],['#Water points coverage]])</f>
        <v>4</v>
      </c>
      <c r="CK273" s="647">
        <f>ROUND(IF(WWWW[[#This Row],[Total PoP ]]&lt;500,1,WWWW[[#This Row],[Total PoP ]]/500),0)</f>
        <v>4</v>
      </c>
      <c r="CL273" s="647">
        <f>(WWWW[[#This Row],['#_Constructed latrines_by_WASHAgencies]]+WWWW[[#This Row],['#_Non Cluster partner latrines]])-WWWW[[#This Row],['#_Non-functional latrines]]</f>
        <v>0</v>
      </c>
      <c r="CM273"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73"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73"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73" s="647" t="str">
        <f>IF(WWWW[[#This Row],[Location Type 1]]="Village","NA",IF(WWWW[[#This Row],['#_Constructed/Existing latrines in TLS]]*50&gt;WWWW[[#This Row],['#_students at TLS_CFS]],WWWW[[#This Row],['#_students at TLS_CFS]],(WWWW[[#This Row],['#_Constructed/Existing latrines in TLS]]*50)))</f>
        <v>NA</v>
      </c>
      <c r="CQ273" s="647">
        <f>ROUND(IF(WWWW[[#This Row],[Location Type 1]]="camp",WWWW[[#This Row],[Total PoP ]]/20,IF(WWWW[[#This Row],[Location Type 1]]="Temporary Location",WWWW[[#This Row],[Total PoP ]]/50,(WWWW[[#This Row],[Total PoP ]]/6))),0)</f>
        <v>292</v>
      </c>
      <c r="CR273" s="647">
        <f>IF(WWWW[[#This Row],[Total required Latrines]]-(WWWW[[#This Row],['#_Constructed latrines_by_WASHAgencies]]+WWWW[[#This Row],['#_Non Cluster partner latrines]])&lt;0,0,WWWW[[#This Row],[Total required Latrines]]-(WWWW[[#This Row],['#_Constructed latrines_by_WASHAgencies]]+WWWW[[#This Row],['#_Non Cluster partner latrines]]))</f>
        <v>292</v>
      </c>
      <c r="CS273" s="79">
        <f>1-WWWW[[#This Row],[% people access to functioning Latrine]]</f>
        <v>1</v>
      </c>
      <c r="CT273" s="649">
        <f>IF(OR(WWWW[[#This Row],['#_Non-functional latrines]]="",WWWW[[#This Row],['#_Non-functional latrines]]=0),0,WWWW[[#This Row],['#_Non-functional latrines]]/(WWWW[[#This Row],['#_Constructed latrines_by_WASHAgencies]]+WWWW[[#This Row],['#_Non Cluster partner latrines]]))</f>
        <v>0</v>
      </c>
      <c r="CU273" s="645">
        <f>IF(500*(WWWW[[#This Row],['#_male hygiene promoters]]+WWWW[[#This Row],['#_female hygiene promoters]])&gt;WWWW[[#This Row],[Total PoP ]],WWWW[[#This Row],[Total PoP ]],500*(WWWW[[#This Row],['#_male hygiene promoters]]+WWWW[[#This Row],['#_female hygiene promoters]]))</f>
        <v>0</v>
      </c>
      <c r="CV273"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73"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73" s="647">
        <f>IF(WWWW[[#This Row],['# People with access to soap]]&gt;WWWW[[#This Row],['# People with access to Sanity Pads]],WWWW[[#This Row],['# People with access to soap]],WWWW[[#This Row],['# People with access to Sanity Pads]])</f>
        <v>0</v>
      </c>
      <c r="CY273"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73" s="650">
        <f>IF(WWWW[[#This Row],[HRP3]]/WWWW[[#This Row],[Total PoP ]]&gt;100%,100%,WWWW[[#This Row],[HRP3]]/WWWW[[#This Row],[Total PoP ]])</f>
        <v>0</v>
      </c>
      <c r="DA273" s="649">
        <f>1-WWWW[[#This Row],[Hygiene Coverage%]]</f>
        <v>1</v>
      </c>
      <c r="DB273" s="648">
        <f>WWWW[[#This Row],['# people reached by regular dedicated hygiene promotion_5]]/WWWW[[#This Row],[Total PoP ]]</f>
        <v>0</v>
      </c>
      <c r="DC273" s="648">
        <f>IF(WWWW[[#This Row],['#_households that received standard amount of soap for this quarter]]/WWWW[[#This Row],[Total HH]]&gt;1,1,WWWW[[#This Row],['#_households that received standard amount of soap for this quarter]]/WWWW[[#This Row],[Total HH]])</f>
        <v>0</v>
      </c>
      <c r="DD273" s="648">
        <f>IF(WWWW[[#This Row],['#_households that received standard amount of sanitary pads for this quarter]]/WWWW[[#This Row],[Total HH]]&gt;1,1,WWWW[[#This Row],['#_households that received standard amount of sanitary pads for this quarter]]/WWWW[[#This Row],[Total HH]])</f>
        <v>0</v>
      </c>
      <c r="DE273" s="647">
        <f>WWWW[[#This Row],['#_Constructed/Existing hand washing stations]]-WWWW[[#This Row],['#_Non-Functional_hand_washing_stations]]</f>
        <v>0</v>
      </c>
      <c r="DF273" s="667">
        <f>IF(WWWW[[#This Row],['# Functional hand washing stations during reporting period]]*20&gt;WWWW[[#This Row],[Total HH]],WWWW[[#This Row],[Total HH]],WWWW[[#This Row],['# Functional hand washing stations during reporting period]]*20)</f>
        <v>0</v>
      </c>
      <c r="DG273" s="645">
        <f>IF(WWWW[[#This Row],[Is sufficient soap available for TLS? (Yes/No)]]="yes",WWWW[[#This Row],['#_Constructed/Existing hand washing stations at TLS]],0)</f>
        <v>0</v>
      </c>
      <c r="DH273" s="645">
        <f>IF(WWWW[[#This Row],['# Functional hand washing stations during reporting period]]*100&gt;WWWW[[#This Row],[Total PoP ]],WWWW[[#This Row],[Total PoP ]],WWWW[[#This Row],['# Functional hand washing stations during reporting period]]*100)</f>
        <v>0</v>
      </c>
      <c r="DI273" s="645" t="str">
        <f>IF(WWWW[[#This Row],['#_students at TLS_CFS]]="","No","Yes")</f>
        <v>No</v>
      </c>
      <c r="DJ273" s="643">
        <f>VLOOKUP(WWWW[[#This Row],[Site Name]],SiteDB6[[Site Name]:[CCCM Management]],6,FALSE)</f>
        <v>0</v>
      </c>
      <c r="DK273" s="643">
        <f>VLOOKUP(WWWW[[#This Row],[Site Name]],SiteDB6[[Site Name]:[CCCM Focal Agency]],7,FALSE)</f>
        <v>0</v>
      </c>
      <c r="DL273" s="643" t="str">
        <f>VLOOKUP(WWWW[[#This Row],[Site Name]],SiteDB6[[Site Name]:[Location Type 1]],9,FALSE)</f>
        <v>Village</v>
      </c>
      <c r="DM273" s="643" t="str">
        <f>VLOOKUP(WWWW[[#This Row],[Site Name]],SiteDB6[[Site Name]:[Type of Accommodation]],10,FALSE)</f>
        <v>Village</v>
      </c>
      <c r="DN273" s="643">
        <f>VLOOKUP(WWWW[[#This Row],[Site Name]],SiteDB6[[Site Name]:[Ethnic or GCA/NGCA]],11,FALSE)</f>
        <v>0</v>
      </c>
      <c r="DO273" s="643">
        <f>VLOOKUP(WWWW[[#This Row],[Site Name]],SiteDB6[[Site Name]:[Lat]],12,FALSE)</f>
        <v>0</v>
      </c>
      <c r="DP273" s="643">
        <f>VLOOKUP(WWWW[[#This Row],[Site Name]],SiteDB6[[Site Name]:[Long]],13,FALSE)</f>
        <v>0</v>
      </c>
      <c r="DQ273" s="643">
        <f>VLOOKUP(WWWW[[#This Row],[Site Name]],SiteDB6[[Site Name]:[Pcode]],3,FALSE)</f>
        <v>0</v>
      </c>
      <c r="DR273" s="652" t="str">
        <f t="shared" si="9"/>
        <v>Covered</v>
      </c>
      <c r="DS273" s="652"/>
    </row>
    <row r="274" spans="1:123">
      <c r="A274" s="637" t="s">
        <v>2525</v>
      </c>
      <c r="B274" s="637" t="s">
        <v>332</v>
      </c>
      <c r="C274" s="644" t="s">
        <v>332</v>
      </c>
      <c r="D274" s="644" t="s">
        <v>325</v>
      </c>
      <c r="E274" s="663" t="s">
        <v>3014</v>
      </c>
      <c r="F274" s="644" t="s">
        <v>330</v>
      </c>
      <c r="G274" s="663" t="str">
        <f>VLOOKUP(WWWW[[#This Row],[Site Name]],SiteDB6[[Site Name]:[Location Type]],8,FALSE)</f>
        <v>Village</v>
      </c>
      <c r="H274" s="644" t="s">
        <v>483</v>
      </c>
      <c r="I274" s="646">
        <v>125</v>
      </c>
      <c r="J274" s="646">
        <v>513</v>
      </c>
      <c r="K274" s="653">
        <v>42736</v>
      </c>
      <c r="L274" s="654">
        <v>44551</v>
      </c>
      <c r="M274" s="646"/>
      <c r="N274" s="646"/>
      <c r="O274" s="646"/>
      <c r="P274" s="646"/>
      <c r="Q274" s="645"/>
      <c r="R274" s="646"/>
      <c r="S274" s="646"/>
      <c r="T274" s="646"/>
      <c r="U274" s="646"/>
      <c r="V274" s="646"/>
      <c r="W274" s="646"/>
      <c r="X274" s="646"/>
      <c r="Y274" s="646"/>
      <c r="Z274" s="646"/>
      <c r="AA274" s="646"/>
      <c r="AB274" s="646"/>
      <c r="AC274" s="646"/>
      <c r="AD274" s="646"/>
      <c r="AE274" s="646"/>
      <c r="AF274" s="646"/>
      <c r="AG274" s="646"/>
      <c r="AH274" s="646"/>
      <c r="AI274" s="646"/>
      <c r="AJ274" s="646"/>
      <c r="AK274" s="646"/>
      <c r="AL274" s="646"/>
      <c r="AM274" s="646"/>
      <c r="AN274" s="646"/>
      <c r="AO274" s="652"/>
      <c r="AP274" s="646"/>
      <c r="AQ274" s="646"/>
      <c r="AR274" s="648"/>
      <c r="AS274" s="646"/>
      <c r="AT274" s="646"/>
      <c r="AU274" s="646"/>
      <c r="AV274" s="646"/>
      <c r="AW274" s="646"/>
      <c r="AX274" s="643"/>
      <c r="AY274" s="652"/>
      <c r="AZ274" s="646"/>
      <c r="BA274" s="646"/>
      <c r="BB274" s="646"/>
      <c r="BC274" s="643"/>
      <c r="BD274" s="646"/>
      <c r="BE274" s="646"/>
      <c r="BF274" s="646"/>
      <c r="BG274" s="646"/>
      <c r="BH274" s="646"/>
      <c r="BI274" s="646"/>
      <c r="BJ274" s="646"/>
      <c r="BK274" s="646"/>
      <c r="BL274" s="646"/>
      <c r="BM274" s="643"/>
      <c r="BN274" s="647"/>
      <c r="BO274" s="648"/>
      <c r="BP274" s="643"/>
      <c r="BQ274" s="649" t="str">
        <f>IFERROR(WWWW[[#This Row],['#_Water sources treated]]/WWWW[[#This Row],['#_Water sources tested for contamination]],"no test")</f>
        <v>no test</v>
      </c>
      <c r="BR274" s="648" t="str">
        <f>IFERROR(WWWW[[#This Row],['#_Household received remediation action due to contamination]]/WWWW[[#This Row],['#_Household water samples tested for contamination]],"no test")</f>
        <v>no test</v>
      </c>
      <c r="BS274" s="647" t="str">
        <f>IF(AND(WWWW[[#This Row],[% of water sources treated]]="no test",WWWW[[#This Row],[% Household received corrective actions]]="no test"),"No Test","Tested")</f>
        <v>No Test</v>
      </c>
      <c r="BT274" s="647">
        <f>WWWW[[#This Row],['#_Constructed/existing protected hand dug well]]-WWWW[[#This Row],['#_Non-functional protected hand dug well]]</f>
        <v>0</v>
      </c>
      <c r="BU274" s="647">
        <f>(WWWW[[#This Row],['#_Constructed/Existing tube wells/boreholes/handpumps_WASH_agency]]+WWWW[[#This Row],['#_Non-Cluster partner water tube-wells/boreholes/handpumps]])-WWWW[[#This Row],['#_Non-functional tube wells/boreholes/handpumps]]</f>
        <v>0</v>
      </c>
      <c r="BV274" s="647">
        <f>WWWW[[#This Row],['#_Constructed/Existingwater storage tank with gravity fed reticulation system]]-WWWW[[#This Row],['#_Non-functional storage tank gravity fed reticulation system]]</f>
        <v>0</v>
      </c>
      <c r="BW274" s="647">
        <f>WWWW[[#This Row],['#_Water boating or water trucking]]</f>
        <v>0</v>
      </c>
      <c r="BX274" s="647">
        <f>WWWW[[#This Row],['#_Constructed/Existing water distribution system from river or natural spring]]</f>
        <v>0</v>
      </c>
      <c r="BY274"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74"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74" s="648">
        <f>IF(WWWW[[#This Row],[Location Type 1]]="Village",WWWW[[#This Row],[Access to safe drinking water for Village]],WWWW[[#This Row],[Access to safe drinking water for Camp]])</f>
        <v>0</v>
      </c>
      <c r="CB274" s="645">
        <f>WWWW[[#This Row],[%Equitable and continuous access to sufficient quantity of safe drinking water]]*WWWW[[#This Row],[Total PoP ]]</f>
        <v>0</v>
      </c>
      <c r="CC274" s="648">
        <f>IF((WWWW[[#This Row],['#_Constructed/Existing protected/fenced ponds]]*250)/WWWW[[#This Row],[Total PoP ]]&gt;1,1,(WWWW[[#This Row],['#_Constructed/Existing protected/fenced ponds]]*250)/WWWW[[#This Row],[Total PoP ]])</f>
        <v>0</v>
      </c>
      <c r="CD274" s="645">
        <f>WWWW[[#This Row],[% Access to unimproved water points]]*WWWW[[#This Row],[Total PoP ]]</f>
        <v>0</v>
      </c>
      <c r="CE274"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74"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74" s="645">
        <f>WWWW[[#This Row],[HRP1]]/500</f>
        <v>0</v>
      </c>
      <c r="CH274" s="650">
        <f>1-WWWW[[#This Row],[% Equitable and continuous access to sufficient quantity of domestic water]]</f>
        <v>1</v>
      </c>
      <c r="CI274" s="645">
        <f>WWWW[[#This Row],[%equitable and continuous access to sufficient quantity of safe drinking and domestic water''s GAP]]*WWWW[[#This Row],[Total PoP ]]</f>
        <v>513</v>
      </c>
      <c r="CJ274" s="647">
        <f>IF(WWWW[[#This Row],[Total required water points]]-WWWW[[#This Row],['#Water points coverage]]&lt;0,0,WWWW[[#This Row],[Total required water points]]-WWWW[[#This Row],['#Water points coverage]])</f>
        <v>1</v>
      </c>
      <c r="CK274" s="647">
        <f>ROUND(IF(WWWW[[#This Row],[Total PoP ]]&lt;500,1,WWWW[[#This Row],[Total PoP ]]/500),0)</f>
        <v>1</v>
      </c>
      <c r="CL274" s="647">
        <f>(WWWW[[#This Row],['#_Constructed latrines_by_WASHAgencies]]+WWWW[[#This Row],['#_Non Cluster partner latrines]])-WWWW[[#This Row],['#_Non-functional latrines]]</f>
        <v>0</v>
      </c>
      <c r="CM274"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74"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74"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74" s="647" t="str">
        <f>IF(WWWW[[#This Row],[Location Type 1]]="Village","NA",IF(WWWW[[#This Row],['#_Constructed/Existing latrines in TLS]]*50&gt;WWWW[[#This Row],['#_students at TLS_CFS]],WWWW[[#This Row],['#_students at TLS_CFS]],(WWWW[[#This Row],['#_Constructed/Existing latrines in TLS]]*50)))</f>
        <v>NA</v>
      </c>
      <c r="CQ274" s="647">
        <f>ROUND(IF(WWWW[[#This Row],[Location Type 1]]="camp",WWWW[[#This Row],[Total PoP ]]/20,IF(WWWW[[#This Row],[Location Type 1]]="Temporary Location",WWWW[[#This Row],[Total PoP ]]/50,(WWWW[[#This Row],[Total PoP ]]/6))),0)</f>
        <v>86</v>
      </c>
      <c r="CR274" s="647">
        <f>IF(WWWW[[#This Row],[Total required Latrines]]-(WWWW[[#This Row],['#_Constructed latrines_by_WASHAgencies]]+WWWW[[#This Row],['#_Non Cluster partner latrines]])&lt;0,0,WWWW[[#This Row],[Total required Latrines]]-(WWWW[[#This Row],['#_Constructed latrines_by_WASHAgencies]]+WWWW[[#This Row],['#_Non Cluster partner latrines]]))</f>
        <v>86</v>
      </c>
      <c r="CS274" s="79">
        <f>1-WWWW[[#This Row],[% people access to functioning Latrine]]</f>
        <v>1</v>
      </c>
      <c r="CT274" s="649">
        <f>IF(OR(WWWW[[#This Row],['#_Non-functional latrines]]="",WWWW[[#This Row],['#_Non-functional latrines]]=0),0,WWWW[[#This Row],['#_Non-functional latrines]]/(WWWW[[#This Row],['#_Constructed latrines_by_WASHAgencies]]+WWWW[[#This Row],['#_Non Cluster partner latrines]]))</f>
        <v>0</v>
      </c>
      <c r="CU274" s="645">
        <f>IF(500*(WWWW[[#This Row],['#_male hygiene promoters]]+WWWW[[#This Row],['#_female hygiene promoters]])&gt;WWWW[[#This Row],[Total PoP ]],WWWW[[#This Row],[Total PoP ]],500*(WWWW[[#This Row],['#_male hygiene promoters]]+WWWW[[#This Row],['#_female hygiene promoters]]))</f>
        <v>0</v>
      </c>
      <c r="CV274"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74"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74" s="647">
        <f>IF(WWWW[[#This Row],['# People with access to soap]]&gt;WWWW[[#This Row],['# People with access to Sanity Pads]],WWWW[[#This Row],['# People with access to soap]],WWWW[[#This Row],['# People with access to Sanity Pads]])</f>
        <v>0</v>
      </c>
      <c r="CY274"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74" s="650">
        <f>IF(WWWW[[#This Row],[HRP3]]/WWWW[[#This Row],[Total PoP ]]&gt;100%,100%,WWWW[[#This Row],[HRP3]]/WWWW[[#This Row],[Total PoP ]])</f>
        <v>0</v>
      </c>
      <c r="DA274" s="649">
        <f>1-WWWW[[#This Row],[Hygiene Coverage%]]</f>
        <v>1</v>
      </c>
      <c r="DB274" s="648">
        <f>WWWW[[#This Row],['# people reached by regular dedicated hygiene promotion_5]]/WWWW[[#This Row],[Total PoP ]]</f>
        <v>0</v>
      </c>
      <c r="DC274" s="648">
        <f>IF(WWWW[[#This Row],['#_households that received standard amount of soap for this quarter]]/WWWW[[#This Row],[Total HH]]&gt;1,1,WWWW[[#This Row],['#_households that received standard amount of soap for this quarter]]/WWWW[[#This Row],[Total HH]])</f>
        <v>0</v>
      </c>
      <c r="DD274" s="648">
        <f>IF(WWWW[[#This Row],['#_households that received standard amount of sanitary pads for this quarter]]/WWWW[[#This Row],[Total HH]]&gt;1,1,WWWW[[#This Row],['#_households that received standard amount of sanitary pads for this quarter]]/WWWW[[#This Row],[Total HH]])</f>
        <v>0</v>
      </c>
      <c r="DE274" s="647">
        <f>WWWW[[#This Row],['#_Constructed/Existing hand washing stations]]-WWWW[[#This Row],['#_Non-Functional_hand_washing_stations]]</f>
        <v>0</v>
      </c>
      <c r="DF274" s="667">
        <f>IF(WWWW[[#This Row],['# Functional hand washing stations during reporting period]]*20&gt;WWWW[[#This Row],[Total HH]],WWWW[[#This Row],[Total HH]],WWWW[[#This Row],['# Functional hand washing stations during reporting period]]*20)</f>
        <v>0</v>
      </c>
      <c r="DG274" s="645">
        <f>IF(WWWW[[#This Row],[Is sufficient soap available for TLS? (Yes/No)]]="yes",WWWW[[#This Row],['#_Constructed/Existing hand washing stations at TLS]],0)</f>
        <v>0</v>
      </c>
      <c r="DH274" s="645">
        <f>IF(WWWW[[#This Row],['# Functional hand washing stations during reporting period]]*100&gt;WWWW[[#This Row],[Total PoP ]],WWWW[[#This Row],[Total PoP ]],WWWW[[#This Row],['# Functional hand washing stations during reporting period]]*100)</f>
        <v>0</v>
      </c>
      <c r="DI274" s="645" t="str">
        <f>IF(WWWW[[#This Row],['#_students at TLS_CFS]]="","No","Yes")</f>
        <v>No</v>
      </c>
      <c r="DJ274" s="643">
        <f>VLOOKUP(WWWW[[#This Row],[Site Name]],SiteDB6[[Site Name]:[CCCM Management]],6,FALSE)</f>
        <v>0</v>
      </c>
      <c r="DK274" s="643">
        <f>VLOOKUP(WWWW[[#This Row],[Site Name]],SiteDB6[[Site Name]:[CCCM Focal Agency]],7,FALSE)</f>
        <v>0</v>
      </c>
      <c r="DL274" s="643" t="str">
        <f>VLOOKUP(WWWW[[#This Row],[Site Name]],SiteDB6[[Site Name]:[Location Type 1]],9,FALSE)</f>
        <v>Village</v>
      </c>
      <c r="DM274" s="643" t="str">
        <f>VLOOKUP(WWWW[[#This Row],[Site Name]],SiteDB6[[Site Name]:[Type of Accommodation]],10,FALSE)</f>
        <v>Returned</v>
      </c>
      <c r="DN274" s="643" t="str">
        <f>VLOOKUP(WWWW[[#This Row],[Site Name]],SiteDB6[[Site Name]:[Ethnic or GCA/NGCA]],11,FALSE)</f>
        <v>Muslim</v>
      </c>
      <c r="DO274" s="643">
        <f>VLOOKUP(WWWW[[#This Row],[Site Name]],SiteDB6[[Site Name]:[Lat]],12,FALSE)</f>
        <v>20.39902</v>
      </c>
      <c r="DP274" s="643">
        <f>VLOOKUP(WWWW[[#This Row],[Site Name]],SiteDB6[[Site Name]:[Long]],13,FALSE)</f>
        <v>93.249669999999995</v>
      </c>
      <c r="DQ274" s="643" t="str">
        <f>VLOOKUP(WWWW[[#This Row],[Site Name]],SiteDB6[[Site Name]:[Pcode]],3,FALSE)</f>
        <v>MMR012CMP003</v>
      </c>
      <c r="DR274" s="652" t="str">
        <f t="shared" si="9"/>
        <v>Covered</v>
      </c>
      <c r="DS274" s="652"/>
    </row>
    <row r="275" spans="1:123">
      <c r="A275" s="637" t="s">
        <v>2525</v>
      </c>
      <c r="B275" s="637" t="s">
        <v>332</v>
      </c>
      <c r="C275" s="644" t="s">
        <v>332</v>
      </c>
      <c r="D275" s="644" t="s">
        <v>345</v>
      </c>
      <c r="E275" s="663" t="s">
        <v>3014</v>
      </c>
      <c r="F275" s="644" t="s">
        <v>313</v>
      </c>
      <c r="G275" s="663" t="str">
        <f>VLOOKUP(WWWW[[#This Row],[Site Name]],SiteDB6[[Site Name]:[Location Type]],8,FALSE)</f>
        <v>Village</v>
      </c>
      <c r="H275" s="644" t="s">
        <v>2902</v>
      </c>
      <c r="I275" s="646">
        <v>92</v>
      </c>
      <c r="J275" s="646">
        <v>715</v>
      </c>
      <c r="K275" s="653">
        <v>42736</v>
      </c>
      <c r="L275" s="654">
        <v>44551</v>
      </c>
      <c r="M275" s="646"/>
      <c r="N275" s="646"/>
      <c r="O275" s="646"/>
      <c r="P275" s="646"/>
      <c r="Q275" s="645"/>
      <c r="R275" s="646"/>
      <c r="S275" s="646"/>
      <c r="T275" s="646"/>
      <c r="U275" s="646"/>
      <c r="V275" s="646"/>
      <c r="W275" s="646"/>
      <c r="X275" s="646"/>
      <c r="Y275" s="646"/>
      <c r="Z275" s="646"/>
      <c r="AA275" s="646"/>
      <c r="AB275" s="646"/>
      <c r="AC275" s="646"/>
      <c r="AD275" s="646"/>
      <c r="AE275" s="646"/>
      <c r="AF275" s="646"/>
      <c r="AG275" s="646"/>
      <c r="AH275" s="646"/>
      <c r="AI275" s="646"/>
      <c r="AJ275" s="646"/>
      <c r="AK275" s="646"/>
      <c r="AL275" s="646"/>
      <c r="AM275" s="646"/>
      <c r="AN275" s="646"/>
      <c r="AO275" s="652"/>
      <c r="AP275" s="646"/>
      <c r="AQ275" s="646"/>
      <c r="AR275" s="648"/>
      <c r="AS275" s="646"/>
      <c r="AT275" s="646"/>
      <c r="AU275" s="646"/>
      <c r="AV275" s="646"/>
      <c r="AW275" s="646"/>
      <c r="AX275" s="643"/>
      <c r="AY275" s="652"/>
      <c r="AZ275" s="646"/>
      <c r="BA275" s="646"/>
      <c r="BB275" s="646"/>
      <c r="BC275" s="643"/>
      <c r="BD275" s="646"/>
      <c r="BE275" s="646"/>
      <c r="BF275" s="646"/>
      <c r="BG275" s="646"/>
      <c r="BH275" s="646"/>
      <c r="BI275" s="646"/>
      <c r="BJ275" s="646"/>
      <c r="BK275" s="646"/>
      <c r="BL275" s="646"/>
      <c r="BM275" s="643"/>
      <c r="BN275" s="647"/>
      <c r="BO275" s="648"/>
      <c r="BP275" s="643"/>
      <c r="BQ275" s="649" t="str">
        <f>IFERROR(WWWW[[#This Row],['#_Water sources treated]]/WWWW[[#This Row],['#_Water sources tested for contamination]],"no test")</f>
        <v>no test</v>
      </c>
      <c r="BR275" s="648" t="str">
        <f>IFERROR(WWWW[[#This Row],['#_Household received remediation action due to contamination]]/WWWW[[#This Row],['#_Household water samples tested for contamination]],"no test")</f>
        <v>no test</v>
      </c>
      <c r="BS275" s="647" t="str">
        <f>IF(AND(WWWW[[#This Row],[% of water sources treated]]="no test",WWWW[[#This Row],[% Household received corrective actions]]="no test"),"No Test","Tested")</f>
        <v>No Test</v>
      </c>
      <c r="BT275" s="647">
        <f>WWWW[[#This Row],['#_Constructed/existing protected hand dug well]]-WWWW[[#This Row],['#_Non-functional protected hand dug well]]</f>
        <v>0</v>
      </c>
      <c r="BU275" s="647">
        <f>(WWWW[[#This Row],['#_Constructed/Existing tube wells/boreholes/handpumps_WASH_agency]]+WWWW[[#This Row],['#_Non-Cluster partner water tube-wells/boreholes/handpumps]])-WWWW[[#This Row],['#_Non-functional tube wells/boreholes/handpumps]]</f>
        <v>0</v>
      </c>
      <c r="BV275" s="647">
        <f>WWWW[[#This Row],['#_Constructed/Existingwater storage tank with gravity fed reticulation system]]-WWWW[[#This Row],['#_Non-functional storage tank gravity fed reticulation system]]</f>
        <v>0</v>
      </c>
      <c r="BW275" s="647">
        <f>WWWW[[#This Row],['#_Water boating or water trucking]]</f>
        <v>0</v>
      </c>
      <c r="BX275" s="647">
        <f>WWWW[[#This Row],['#_Constructed/Existing water distribution system from river or natural spring]]</f>
        <v>0</v>
      </c>
      <c r="BY275"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75"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75" s="648">
        <f>IF(WWWW[[#This Row],[Location Type 1]]="Village",WWWW[[#This Row],[Access to safe drinking water for Village]],WWWW[[#This Row],[Access to safe drinking water for Camp]])</f>
        <v>0</v>
      </c>
      <c r="CB275" s="645">
        <f>WWWW[[#This Row],[%Equitable and continuous access to sufficient quantity of safe drinking water]]*WWWW[[#This Row],[Total PoP ]]</f>
        <v>0</v>
      </c>
      <c r="CC275" s="648">
        <f>IF((WWWW[[#This Row],['#_Constructed/Existing protected/fenced ponds]]*250)/WWWW[[#This Row],[Total PoP ]]&gt;1,1,(WWWW[[#This Row],['#_Constructed/Existing protected/fenced ponds]]*250)/WWWW[[#This Row],[Total PoP ]])</f>
        <v>0</v>
      </c>
      <c r="CD275" s="645">
        <f>WWWW[[#This Row],[% Access to unimproved water points]]*WWWW[[#This Row],[Total PoP ]]</f>
        <v>0</v>
      </c>
      <c r="CE275"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75"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75" s="645">
        <f>WWWW[[#This Row],[HRP1]]/500</f>
        <v>0</v>
      </c>
      <c r="CH275" s="650">
        <f>1-WWWW[[#This Row],[% Equitable and continuous access to sufficient quantity of domestic water]]</f>
        <v>1</v>
      </c>
      <c r="CI275" s="645">
        <f>WWWW[[#This Row],[%equitable and continuous access to sufficient quantity of safe drinking and domestic water''s GAP]]*WWWW[[#This Row],[Total PoP ]]</f>
        <v>715</v>
      </c>
      <c r="CJ275" s="647">
        <f>IF(WWWW[[#This Row],[Total required water points]]-WWWW[[#This Row],['#Water points coverage]]&lt;0,0,WWWW[[#This Row],[Total required water points]]-WWWW[[#This Row],['#Water points coverage]])</f>
        <v>1</v>
      </c>
      <c r="CK275" s="647">
        <f>ROUND(IF(WWWW[[#This Row],[Total PoP ]]&lt;500,1,WWWW[[#This Row],[Total PoP ]]/500),0)</f>
        <v>1</v>
      </c>
      <c r="CL275" s="647">
        <f>(WWWW[[#This Row],['#_Constructed latrines_by_WASHAgencies]]+WWWW[[#This Row],['#_Non Cluster partner latrines]])-WWWW[[#This Row],['#_Non-functional latrines]]</f>
        <v>0</v>
      </c>
      <c r="CM275"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75"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75"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75" s="647" t="str">
        <f>IF(WWWW[[#This Row],[Location Type 1]]="Village","NA",IF(WWWW[[#This Row],['#_Constructed/Existing latrines in TLS]]*50&gt;WWWW[[#This Row],['#_students at TLS_CFS]],WWWW[[#This Row],['#_students at TLS_CFS]],(WWWW[[#This Row],['#_Constructed/Existing latrines in TLS]]*50)))</f>
        <v>NA</v>
      </c>
      <c r="CQ275" s="647">
        <f>ROUND(IF(WWWW[[#This Row],[Location Type 1]]="camp",WWWW[[#This Row],[Total PoP ]]/20,IF(WWWW[[#This Row],[Location Type 1]]="Temporary Location",WWWW[[#This Row],[Total PoP ]]/50,(WWWW[[#This Row],[Total PoP ]]/6))),0)</f>
        <v>119</v>
      </c>
      <c r="CR275" s="647">
        <f>IF(WWWW[[#This Row],[Total required Latrines]]-(WWWW[[#This Row],['#_Constructed latrines_by_WASHAgencies]]+WWWW[[#This Row],['#_Non Cluster partner latrines]])&lt;0,0,WWWW[[#This Row],[Total required Latrines]]-(WWWW[[#This Row],['#_Constructed latrines_by_WASHAgencies]]+WWWW[[#This Row],['#_Non Cluster partner latrines]]))</f>
        <v>119</v>
      </c>
      <c r="CS275" s="79">
        <f>1-WWWW[[#This Row],[% people access to functioning Latrine]]</f>
        <v>1</v>
      </c>
      <c r="CT275" s="649">
        <f>IF(OR(WWWW[[#This Row],['#_Non-functional latrines]]="",WWWW[[#This Row],['#_Non-functional latrines]]=0),0,WWWW[[#This Row],['#_Non-functional latrines]]/(WWWW[[#This Row],['#_Constructed latrines_by_WASHAgencies]]+WWWW[[#This Row],['#_Non Cluster partner latrines]]))</f>
        <v>0</v>
      </c>
      <c r="CU275" s="645">
        <f>IF(500*(WWWW[[#This Row],['#_male hygiene promoters]]+WWWW[[#This Row],['#_female hygiene promoters]])&gt;WWWW[[#This Row],[Total PoP ]],WWWW[[#This Row],[Total PoP ]],500*(WWWW[[#This Row],['#_male hygiene promoters]]+WWWW[[#This Row],['#_female hygiene promoters]]))</f>
        <v>0</v>
      </c>
      <c r="CV275"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75"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75" s="647">
        <f>IF(WWWW[[#This Row],['# People with access to soap]]&gt;WWWW[[#This Row],['# People with access to Sanity Pads]],WWWW[[#This Row],['# People with access to soap]],WWWW[[#This Row],['# People with access to Sanity Pads]])</f>
        <v>0</v>
      </c>
      <c r="CY275"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75" s="650">
        <f>IF(WWWW[[#This Row],[HRP3]]/WWWW[[#This Row],[Total PoP ]]&gt;100%,100%,WWWW[[#This Row],[HRP3]]/WWWW[[#This Row],[Total PoP ]])</f>
        <v>0</v>
      </c>
      <c r="DA275" s="649">
        <f>1-WWWW[[#This Row],[Hygiene Coverage%]]</f>
        <v>1</v>
      </c>
      <c r="DB275" s="648">
        <f>WWWW[[#This Row],['# people reached by regular dedicated hygiene promotion_5]]/WWWW[[#This Row],[Total PoP ]]</f>
        <v>0</v>
      </c>
      <c r="DC275" s="648">
        <f>IF(WWWW[[#This Row],['#_households that received standard amount of soap for this quarter]]/WWWW[[#This Row],[Total HH]]&gt;1,1,WWWW[[#This Row],['#_households that received standard amount of soap for this quarter]]/WWWW[[#This Row],[Total HH]])</f>
        <v>0</v>
      </c>
      <c r="DD275" s="648">
        <f>IF(WWWW[[#This Row],['#_households that received standard amount of sanitary pads for this quarter]]/WWWW[[#This Row],[Total HH]]&gt;1,1,WWWW[[#This Row],['#_households that received standard amount of sanitary pads for this quarter]]/WWWW[[#This Row],[Total HH]])</f>
        <v>0</v>
      </c>
      <c r="DE275" s="647">
        <f>WWWW[[#This Row],['#_Constructed/Existing hand washing stations]]-WWWW[[#This Row],['#_Non-Functional_hand_washing_stations]]</f>
        <v>0</v>
      </c>
      <c r="DF275" s="667">
        <f>IF(WWWW[[#This Row],['# Functional hand washing stations during reporting period]]*20&gt;WWWW[[#This Row],[Total HH]],WWWW[[#This Row],[Total HH]],WWWW[[#This Row],['# Functional hand washing stations during reporting period]]*20)</f>
        <v>0</v>
      </c>
      <c r="DG275" s="645">
        <f>IF(WWWW[[#This Row],[Is sufficient soap available for TLS? (Yes/No)]]="yes",WWWW[[#This Row],['#_Constructed/Existing hand washing stations at TLS]],0)</f>
        <v>0</v>
      </c>
      <c r="DH275" s="645">
        <f>IF(WWWW[[#This Row],['# Functional hand washing stations during reporting period]]*100&gt;WWWW[[#This Row],[Total PoP ]],WWWW[[#This Row],[Total PoP ]],WWWW[[#This Row],['# Functional hand washing stations during reporting period]]*100)</f>
        <v>0</v>
      </c>
      <c r="DI275" s="645" t="str">
        <f>IF(WWWW[[#This Row],['#_students at TLS_CFS]]="","No","Yes")</f>
        <v>No</v>
      </c>
      <c r="DJ275" s="643">
        <f>VLOOKUP(WWWW[[#This Row],[Site Name]],SiteDB6[[Site Name]:[CCCM Management]],6,FALSE)</f>
        <v>0</v>
      </c>
      <c r="DK275" s="643">
        <f>VLOOKUP(WWWW[[#This Row],[Site Name]],SiteDB6[[Site Name]:[CCCM Focal Agency]],7,FALSE)</f>
        <v>0</v>
      </c>
      <c r="DL275" s="643" t="str">
        <f>VLOOKUP(WWWW[[#This Row],[Site Name]],SiteDB6[[Site Name]:[Location Type 1]],9,FALSE)</f>
        <v>Village</v>
      </c>
      <c r="DM275" s="643" t="str">
        <f>VLOOKUP(WWWW[[#This Row],[Site Name]],SiteDB6[[Site Name]:[Type of Accommodation]],10,FALSE)</f>
        <v>Village</v>
      </c>
      <c r="DN275" s="643">
        <f>VLOOKUP(WWWW[[#This Row],[Site Name]],SiteDB6[[Site Name]:[Ethnic or GCA/NGCA]],11,FALSE)</f>
        <v>0</v>
      </c>
      <c r="DO275" s="643">
        <f>VLOOKUP(WWWW[[#This Row],[Site Name]],SiteDB6[[Site Name]:[Lat]],12,FALSE)</f>
        <v>20.172649383544901</v>
      </c>
      <c r="DP275" s="643">
        <f>VLOOKUP(WWWW[[#This Row],[Site Name]],SiteDB6[[Site Name]:[Long]],13,FALSE)</f>
        <v>92.874351501464801</v>
      </c>
      <c r="DQ275" s="643">
        <f>VLOOKUP(WWWW[[#This Row],[Site Name]],SiteDB6[[Site Name]:[Pcode]],3,FALSE)</f>
        <v>196195</v>
      </c>
      <c r="DR275" s="652" t="str">
        <f t="shared" si="9"/>
        <v>Covered</v>
      </c>
      <c r="DS275" s="652"/>
    </row>
    <row r="276" spans="1:123">
      <c r="A276" s="637" t="s">
        <v>2525</v>
      </c>
      <c r="B276" s="637" t="s">
        <v>332</v>
      </c>
      <c r="C276" s="644" t="s">
        <v>332</v>
      </c>
      <c r="D276" s="644" t="s">
        <v>345</v>
      </c>
      <c r="E276" s="663" t="s">
        <v>3014</v>
      </c>
      <c r="F276" s="644" t="s">
        <v>313</v>
      </c>
      <c r="G276" s="663" t="str">
        <f>VLOOKUP(WWWW[[#This Row],[Site Name]],SiteDB6[[Site Name]:[Location Type]],8,FALSE)</f>
        <v>Village</v>
      </c>
      <c r="H276" s="644" t="s">
        <v>447</v>
      </c>
      <c r="I276" s="646">
        <v>381</v>
      </c>
      <c r="J276" s="646">
        <v>2256</v>
      </c>
      <c r="K276" s="653">
        <v>42736</v>
      </c>
      <c r="L276" s="654">
        <v>44551</v>
      </c>
      <c r="M276" s="646"/>
      <c r="N276" s="646"/>
      <c r="O276" s="646"/>
      <c r="P276" s="646"/>
      <c r="Q276" s="645"/>
      <c r="R276" s="646"/>
      <c r="S276" s="646"/>
      <c r="T276" s="646"/>
      <c r="U276" s="646"/>
      <c r="V276" s="646"/>
      <c r="W276" s="646"/>
      <c r="X276" s="646"/>
      <c r="Y276" s="646"/>
      <c r="Z276" s="646"/>
      <c r="AA276" s="646"/>
      <c r="AB276" s="646"/>
      <c r="AC276" s="646"/>
      <c r="AD276" s="646"/>
      <c r="AE276" s="646"/>
      <c r="AF276" s="646"/>
      <c r="AG276" s="646"/>
      <c r="AH276" s="646"/>
      <c r="AI276" s="646"/>
      <c r="AJ276" s="646"/>
      <c r="AK276" s="646"/>
      <c r="AL276" s="646"/>
      <c r="AM276" s="646"/>
      <c r="AN276" s="646"/>
      <c r="AO276" s="652"/>
      <c r="AP276" s="646"/>
      <c r="AQ276" s="646"/>
      <c r="AR276" s="648"/>
      <c r="AS276" s="646"/>
      <c r="AT276" s="646"/>
      <c r="AU276" s="646"/>
      <c r="AV276" s="646"/>
      <c r="AW276" s="646"/>
      <c r="AX276" s="643"/>
      <c r="AY276" s="652"/>
      <c r="AZ276" s="646"/>
      <c r="BA276" s="646"/>
      <c r="BB276" s="646"/>
      <c r="BC276" s="643"/>
      <c r="BD276" s="646"/>
      <c r="BE276" s="646"/>
      <c r="BF276" s="646"/>
      <c r="BG276" s="646"/>
      <c r="BH276" s="646"/>
      <c r="BI276" s="646"/>
      <c r="BJ276" s="646"/>
      <c r="BK276" s="646"/>
      <c r="BL276" s="646"/>
      <c r="BM276" s="643"/>
      <c r="BN276" s="647"/>
      <c r="BO276" s="648"/>
      <c r="BP276" s="643"/>
      <c r="BQ276" s="649" t="str">
        <f>IFERROR(WWWW[[#This Row],['#_Water sources treated]]/WWWW[[#This Row],['#_Water sources tested for contamination]],"no test")</f>
        <v>no test</v>
      </c>
      <c r="BR276" s="648" t="str">
        <f>IFERROR(WWWW[[#This Row],['#_Household received remediation action due to contamination]]/WWWW[[#This Row],['#_Household water samples tested for contamination]],"no test")</f>
        <v>no test</v>
      </c>
      <c r="BS276" s="647" t="str">
        <f>IF(AND(WWWW[[#This Row],[% of water sources treated]]="no test",WWWW[[#This Row],[% Household received corrective actions]]="no test"),"No Test","Tested")</f>
        <v>No Test</v>
      </c>
      <c r="BT276" s="647">
        <f>WWWW[[#This Row],['#_Constructed/existing protected hand dug well]]-WWWW[[#This Row],['#_Non-functional protected hand dug well]]</f>
        <v>0</v>
      </c>
      <c r="BU276" s="647">
        <f>(WWWW[[#This Row],['#_Constructed/Existing tube wells/boreholes/handpumps_WASH_agency]]+WWWW[[#This Row],['#_Non-Cluster partner water tube-wells/boreholes/handpumps]])-WWWW[[#This Row],['#_Non-functional tube wells/boreholes/handpumps]]</f>
        <v>0</v>
      </c>
      <c r="BV276" s="647">
        <f>WWWW[[#This Row],['#_Constructed/Existingwater storage tank with gravity fed reticulation system]]-WWWW[[#This Row],['#_Non-functional storage tank gravity fed reticulation system]]</f>
        <v>0</v>
      </c>
      <c r="BW276" s="647">
        <f>WWWW[[#This Row],['#_Water boating or water trucking]]</f>
        <v>0</v>
      </c>
      <c r="BX276" s="647">
        <f>WWWW[[#This Row],['#_Constructed/Existing water distribution system from river or natural spring]]</f>
        <v>0</v>
      </c>
      <c r="BY276"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76"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76" s="648">
        <f>IF(WWWW[[#This Row],[Location Type 1]]="Village",WWWW[[#This Row],[Access to safe drinking water for Village]],WWWW[[#This Row],[Access to safe drinking water for Camp]])</f>
        <v>0</v>
      </c>
      <c r="CB276" s="645">
        <f>WWWW[[#This Row],[%Equitable and continuous access to sufficient quantity of safe drinking water]]*WWWW[[#This Row],[Total PoP ]]</f>
        <v>0</v>
      </c>
      <c r="CC276" s="648">
        <f>IF((WWWW[[#This Row],['#_Constructed/Existing protected/fenced ponds]]*250)/WWWW[[#This Row],[Total PoP ]]&gt;1,1,(WWWW[[#This Row],['#_Constructed/Existing protected/fenced ponds]]*250)/WWWW[[#This Row],[Total PoP ]])</f>
        <v>0</v>
      </c>
      <c r="CD276" s="645">
        <f>WWWW[[#This Row],[% Access to unimproved water points]]*WWWW[[#This Row],[Total PoP ]]</f>
        <v>0</v>
      </c>
      <c r="CE276"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76"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76" s="645">
        <f>WWWW[[#This Row],[HRP1]]/500</f>
        <v>0</v>
      </c>
      <c r="CH276" s="650">
        <f>1-WWWW[[#This Row],[% Equitable and continuous access to sufficient quantity of domestic water]]</f>
        <v>1</v>
      </c>
      <c r="CI276" s="645">
        <f>WWWW[[#This Row],[%equitable and continuous access to sufficient quantity of safe drinking and domestic water''s GAP]]*WWWW[[#This Row],[Total PoP ]]</f>
        <v>2256</v>
      </c>
      <c r="CJ276" s="647">
        <f>IF(WWWW[[#This Row],[Total required water points]]-WWWW[[#This Row],['#Water points coverage]]&lt;0,0,WWWW[[#This Row],[Total required water points]]-WWWW[[#This Row],['#Water points coverage]])</f>
        <v>5</v>
      </c>
      <c r="CK276" s="647">
        <f>ROUND(IF(WWWW[[#This Row],[Total PoP ]]&lt;500,1,WWWW[[#This Row],[Total PoP ]]/500),0)</f>
        <v>5</v>
      </c>
      <c r="CL276" s="647">
        <f>(WWWW[[#This Row],['#_Constructed latrines_by_WASHAgencies]]+WWWW[[#This Row],['#_Non Cluster partner latrines]])-WWWW[[#This Row],['#_Non-functional latrines]]</f>
        <v>0</v>
      </c>
      <c r="CM276"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76"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76"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76" s="647" t="str">
        <f>IF(WWWW[[#This Row],[Location Type 1]]="Village","NA",IF(WWWW[[#This Row],['#_Constructed/Existing latrines in TLS]]*50&gt;WWWW[[#This Row],['#_students at TLS_CFS]],WWWW[[#This Row],['#_students at TLS_CFS]],(WWWW[[#This Row],['#_Constructed/Existing latrines in TLS]]*50)))</f>
        <v>NA</v>
      </c>
      <c r="CQ276" s="647">
        <f>ROUND(IF(WWWW[[#This Row],[Location Type 1]]="camp",WWWW[[#This Row],[Total PoP ]]/20,IF(WWWW[[#This Row],[Location Type 1]]="Temporary Location",WWWW[[#This Row],[Total PoP ]]/50,(WWWW[[#This Row],[Total PoP ]]/6))),0)</f>
        <v>376</v>
      </c>
      <c r="CR276" s="647">
        <f>IF(WWWW[[#This Row],[Total required Latrines]]-(WWWW[[#This Row],['#_Constructed latrines_by_WASHAgencies]]+WWWW[[#This Row],['#_Non Cluster partner latrines]])&lt;0,0,WWWW[[#This Row],[Total required Latrines]]-(WWWW[[#This Row],['#_Constructed latrines_by_WASHAgencies]]+WWWW[[#This Row],['#_Non Cluster partner latrines]]))</f>
        <v>376</v>
      </c>
      <c r="CS276" s="79">
        <f>1-WWWW[[#This Row],[% people access to functioning Latrine]]</f>
        <v>1</v>
      </c>
      <c r="CT276" s="649">
        <f>IF(OR(WWWW[[#This Row],['#_Non-functional latrines]]="",WWWW[[#This Row],['#_Non-functional latrines]]=0),0,WWWW[[#This Row],['#_Non-functional latrines]]/(WWWW[[#This Row],['#_Constructed latrines_by_WASHAgencies]]+WWWW[[#This Row],['#_Non Cluster partner latrines]]))</f>
        <v>0</v>
      </c>
      <c r="CU276" s="645">
        <f>IF(500*(WWWW[[#This Row],['#_male hygiene promoters]]+WWWW[[#This Row],['#_female hygiene promoters]])&gt;WWWW[[#This Row],[Total PoP ]],WWWW[[#This Row],[Total PoP ]],500*(WWWW[[#This Row],['#_male hygiene promoters]]+WWWW[[#This Row],['#_female hygiene promoters]]))</f>
        <v>0</v>
      </c>
      <c r="CV276"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76"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76" s="647">
        <f>IF(WWWW[[#This Row],['# People with access to soap]]&gt;WWWW[[#This Row],['# People with access to Sanity Pads]],WWWW[[#This Row],['# People with access to soap]],WWWW[[#This Row],['# People with access to Sanity Pads]])</f>
        <v>0</v>
      </c>
      <c r="CY276"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76" s="650">
        <f>IF(WWWW[[#This Row],[HRP3]]/WWWW[[#This Row],[Total PoP ]]&gt;100%,100%,WWWW[[#This Row],[HRP3]]/WWWW[[#This Row],[Total PoP ]])</f>
        <v>0</v>
      </c>
      <c r="DA276" s="649">
        <f>1-WWWW[[#This Row],[Hygiene Coverage%]]</f>
        <v>1</v>
      </c>
      <c r="DB276" s="648">
        <f>WWWW[[#This Row],['# people reached by regular dedicated hygiene promotion_5]]/WWWW[[#This Row],[Total PoP ]]</f>
        <v>0</v>
      </c>
      <c r="DC276" s="648">
        <f>IF(WWWW[[#This Row],['#_households that received standard amount of soap for this quarter]]/WWWW[[#This Row],[Total HH]]&gt;1,1,WWWW[[#This Row],['#_households that received standard amount of soap for this quarter]]/WWWW[[#This Row],[Total HH]])</f>
        <v>0</v>
      </c>
      <c r="DD276" s="648">
        <f>IF(WWWW[[#This Row],['#_households that received standard amount of sanitary pads for this quarter]]/WWWW[[#This Row],[Total HH]]&gt;1,1,WWWW[[#This Row],['#_households that received standard amount of sanitary pads for this quarter]]/WWWW[[#This Row],[Total HH]])</f>
        <v>0</v>
      </c>
      <c r="DE276" s="647">
        <f>WWWW[[#This Row],['#_Constructed/Existing hand washing stations]]-WWWW[[#This Row],['#_Non-Functional_hand_washing_stations]]</f>
        <v>0</v>
      </c>
      <c r="DF276" s="667">
        <f>IF(WWWW[[#This Row],['# Functional hand washing stations during reporting period]]*20&gt;WWWW[[#This Row],[Total HH]],WWWW[[#This Row],[Total HH]],WWWW[[#This Row],['# Functional hand washing stations during reporting period]]*20)</f>
        <v>0</v>
      </c>
      <c r="DG276" s="645">
        <f>IF(WWWW[[#This Row],[Is sufficient soap available for TLS? (Yes/No)]]="yes",WWWW[[#This Row],['#_Constructed/Existing hand washing stations at TLS]],0)</f>
        <v>0</v>
      </c>
      <c r="DH276" s="645">
        <f>IF(WWWW[[#This Row],['# Functional hand washing stations during reporting period]]*100&gt;WWWW[[#This Row],[Total PoP ]],WWWW[[#This Row],[Total PoP ]],WWWW[[#This Row],['# Functional hand washing stations during reporting period]]*100)</f>
        <v>0</v>
      </c>
      <c r="DI276" s="645" t="str">
        <f>IF(WWWW[[#This Row],['#_students at TLS_CFS]]="","No","Yes")</f>
        <v>No</v>
      </c>
      <c r="DJ276" s="643">
        <f>VLOOKUP(WWWW[[#This Row],[Site Name]],SiteDB6[[Site Name]:[CCCM Management]],6,FALSE)</f>
        <v>0</v>
      </c>
      <c r="DK276" s="643">
        <f>VLOOKUP(WWWW[[#This Row],[Site Name]],SiteDB6[[Site Name]:[CCCM Focal Agency]],7,FALSE)</f>
        <v>0</v>
      </c>
      <c r="DL276" s="643" t="str">
        <f>VLOOKUP(WWWW[[#This Row],[Site Name]],SiteDB6[[Site Name]:[Location Type 1]],9,FALSE)</f>
        <v>Village</v>
      </c>
      <c r="DM276" s="643" t="str">
        <f>VLOOKUP(WWWW[[#This Row],[Site Name]],SiteDB6[[Site Name]:[Type of Accommodation]],10,FALSE)</f>
        <v>Village</v>
      </c>
      <c r="DN276" s="643">
        <f>VLOOKUP(WWWW[[#This Row],[Site Name]],SiteDB6[[Site Name]:[Ethnic or GCA/NGCA]],11,FALSE)</f>
        <v>0</v>
      </c>
      <c r="DO276" s="643">
        <f>VLOOKUP(WWWW[[#This Row],[Site Name]],SiteDB6[[Site Name]:[Lat]],12,FALSE)</f>
        <v>20.183790210000002</v>
      </c>
      <c r="DP276" s="643">
        <f>VLOOKUP(WWWW[[#This Row],[Site Name]],SiteDB6[[Site Name]:[Long]],13,FALSE)</f>
        <v>92.864143369999994</v>
      </c>
      <c r="DQ276" s="643">
        <f>VLOOKUP(WWWW[[#This Row],[Site Name]],SiteDB6[[Site Name]:[Pcode]],3,FALSE)</f>
        <v>196197</v>
      </c>
      <c r="DR276" s="652" t="str">
        <f t="shared" si="9"/>
        <v>Covered</v>
      </c>
      <c r="DS276" s="652"/>
    </row>
    <row r="277" spans="1:123">
      <c r="A277" s="637" t="s">
        <v>2525</v>
      </c>
      <c r="B277" s="637" t="s">
        <v>332</v>
      </c>
      <c r="C277" s="644" t="s">
        <v>332</v>
      </c>
      <c r="D277" s="644" t="s">
        <v>345</v>
      </c>
      <c r="E277" s="663" t="s">
        <v>3014</v>
      </c>
      <c r="F277" s="644" t="s">
        <v>313</v>
      </c>
      <c r="G277" s="663" t="str">
        <f>VLOOKUP(WWWW[[#This Row],[Site Name]],SiteDB6[[Site Name]:[Location Type]],8,FALSE)</f>
        <v>Village</v>
      </c>
      <c r="H277" s="644" t="s">
        <v>2904</v>
      </c>
      <c r="I277" s="646">
        <v>2100</v>
      </c>
      <c r="J277" s="646">
        <v>12993</v>
      </c>
      <c r="K277" s="653">
        <v>42736</v>
      </c>
      <c r="L277" s="654">
        <v>44551</v>
      </c>
      <c r="M277" s="646"/>
      <c r="N277" s="646"/>
      <c r="O277" s="646"/>
      <c r="P277" s="646"/>
      <c r="Q277" s="645"/>
      <c r="R277" s="646"/>
      <c r="S277" s="646"/>
      <c r="T277" s="646"/>
      <c r="U277" s="646"/>
      <c r="V277" s="646"/>
      <c r="W277" s="646"/>
      <c r="X277" s="646"/>
      <c r="Y277" s="646"/>
      <c r="Z277" s="646"/>
      <c r="AA277" s="646"/>
      <c r="AB277" s="646"/>
      <c r="AC277" s="646"/>
      <c r="AD277" s="646"/>
      <c r="AE277" s="646"/>
      <c r="AF277" s="646"/>
      <c r="AG277" s="646"/>
      <c r="AH277" s="646"/>
      <c r="AI277" s="646"/>
      <c r="AJ277" s="646"/>
      <c r="AK277" s="646"/>
      <c r="AL277" s="646"/>
      <c r="AM277" s="646"/>
      <c r="AN277" s="646"/>
      <c r="AO277" s="652"/>
      <c r="AP277" s="646"/>
      <c r="AQ277" s="646"/>
      <c r="AR277" s="648"/>
      <c r="AS277" s="646"/>
      <c r="AT277" s="646"/>
      <c r="AU277" s="646"/>
      <c r="AV277" s="646"/>
      <c r="AW277" s="646"/>
      <c r="AX277" s="643"/>
      <c r="AY277" s="652"/>
      <c r="AZ277" s="646"/>
      <c r="BA277" s="646"/>
      <c r="BB277" s="646"/>
      <c r="BC277" s="643"/>
      <c r="BD277" s="646"/>
      <c r="BE277" s="646"/>
      <c r="BF277" s="646"/>
      <c r="BG277" s="646"/>
      <c r="BH277" s="646"/>
      <c r="BI277" s="646"/>
      <c r="BJ277" s="646"/>
      <c r="BK277" s="646"/>
      <c r="BL277" s="646"/>
      <c r="BM277" s="643"/>
      <c r="BN277" s="647"/>
      <c r="BO277" s="648"/>
      <c r="BP277" s="643"/>
      <c r="BQ277" s="649" t="str">
        <f>IFERROR(WWWW[[#This Row],['#_Water sources treated]]/WWWW[[#This Row],['#_Water sources tested for contamination]],"no test")</f>
        <v>no test</v>
      </c>
      <c r="BR277" s="648" t="str">
        <f>IFERROR(WWWW[[#This Row],['#_Household received remediation action due to contamination]]/WWWW[[#This Row],['#_Household water samples tested for contamination]],"no test")</f>
        <v>no test</v>
      </c>
      <c r="BS277" s="647" t="str">
        <f>IF(AND(WWWW[[#This Row],[% of water sources treated]]="no test",WWWW[[#This Row],[% Household received corrective actions]]="no test"),"No Test","Tested")</f>
        <v>No Test</v>
      </c>
      <c r="BT277" s="647">
        <f>WWWW[[#This Row],['#_Constructed/existing protected hand dug well]]-WWWW[[#This Row],['#_Non-functional protected hand dug well]]</f>
        <v>0</v>
      </c>
      <c r="BU277" s="647">
        <f>(WWWW[[#This Row],['#_Constructed/Existing tube wells/boreholes/handpumps_WASH_agency]]+WWWW[[#This Row],['#_Non-Cluster partner water tube-wells/boreholes/handpumps]])-WWWW[[#This Row],['#_Non-functional tube wells/boreholes/handpumps]]</f>
        <v>0</v>
      </c>
      <c r="BV277" s="647">
        <f>WWWW[[#This Row],['#_Constructed/Existingwater storage tank with gravity fed reticulation system]]-WWWW[[#This Row],['#_Non-functional storage tank gravity fed reticulation system]]</f>
        <v>0</v>
      </c>
      <c r="BW277" s="647">
        <f>WWWW[[#This Row],['#_Water boating or water trucking]]</f>
        <v>0</v>
      </c>
      <c r="BX277" s="647">
        <f>WWWW[[#This Row],['#_Constructed/Existing water distribution system from river or natural spring]]</f>
        <v>0</v>
      </c>
      <c r="BY277"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77"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77" s="648">
        <f>IF(WWWW[[#This Row],[Location Type 1]]="Village",WWWW[[#This Row],[Access to safe drinking water for Village]],WWWW[[#This Row],[Access to safe drinking water for Camp]])</f>
        <v>0</v>
      </c>
      <c r="CB277" s="645">
        <f>WWWW[[#This Row],[%Equitable and continuous access to sufficient quantity of safe drinking water]]*WWWW[[#This Row],[Total PoP ]]</f>
        <v>0</v>
      </c>
      <c r="CC277" s="648">
        <f>IF((WWWW[[#This Row],['#_Constructed/Existing protected/fenced ponds]]*250)/WWWW[[#This Row],[Total PoP ]]&gt;1,1,(WWWW[[#This Row],['#_Constructed/Existing protected/fenced ponds]]*250)/WWWW[[#This Row],[Total PoP ]])</f>
        <v>0</v>
      </c>
      <c r="CD277" s="645">
        <f>WWWW[[#This Row],[% Access to unimproved water points]]*WWWW[[#This Row],[Total PoP ]]</f>
        <v>0</v>
      </c>
      <c r="CE277"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77"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77" s="645">
        <f>WWWW[[#This Row],[HRP1]]/500</f>
        <v>0</v>
      </c>
      <c r="CH277" s="650">
        <f>1-WWWW[[#This Row],[% Equitable and continuous access to sufficient quantity of domestic water]]</f>
        <v>1</v>
      </c>
      <c r="CI277" s="645">
        <f>WWWW[[#This Row],[%equitable and continuous access to sufficient quantity of safe drinking and domestic water''s GAP]]*WWWW[[#This Row],[Total PoP ]]</f>
        <v>12993</v>
      </c>
      <c r="CJ277" s="647">
        <f>IF(WWWW[[#This Row],[Total required water points]]-WWWW[[#This Row],['#Water points coverage]]&lt;0,0,WWWW[[#This Row],[Total required water points]]-WWWW[[#This Row],['#Water points coverage]])</f>
        <v>26</v>
      </c>
      <c r="CK277" s="647">
        <f>ROUND(IF(WWWW[[#This Row],[Total PoP ]]&lt;500,1,WWWW[[#This Row],[Total PoP ]]/500),0)</f>
        <v>26</v>
      </c>
      <c r="CL277" s="647">
        <f>(WWWW[[#This Row],['#_Constructed latrines_by_WASHAgencies]]+WWWW[[#This Row],['#_Non Cluster partner latrines]])-WWWW[[#This Row],['#_Non-functional latrines]]</f>
        <v>0</v>
      </c>
      <c r="CM277"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77"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77"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77" s="647" t="str">
        <f>IF(WWWW[[#This Row],[Location Type 1]]="Village","NA",IF(WWWW[[#This Row],['#_Constructed/Existing latrines in TLS]]*50&gt;WWWW[[#This Row],['#_students at TLS_CFS]],WWWW[[#This Row],['#_students at TLS_CFS]],(WWWW[[#This Row],['#_Constructed/Existing latrines in TLS]]*50)))</f>
        <v>NA</v>
      </c>
      <c r="CQ277" s="647">
        <f>ROUND(IF(WWWW[[#This Row],[Location Type 1]]="camp",WWWW[[#This Row],[Total PoP ]]/20,IF(WWWW[[#This Row],[Location Type 1]]="Temporary Location",WWWW[[#This Row],[Total PoP ]]/50,(WWWW[[#This Row],[Total PoP ]]/6))),0)</f>
        <v>2166</v>
      </c>
      <c r="CR277" s="647">
        <f>IF(WWWW[[#This Row],[Total required Latrines]]-(WWWW[[#This Row],['#_Constructed latrines_by_WASHAgencies]]+WWWW[[#This Row],['#_Non Cluster partner latrines]])&lt;0,0,WWWW[[#This Row],[Total required Latrines]]-(WWWW[[#This Row],['#_Constructed latrines_by_WASHAgencies]]+WWWW[[#This Row],['#_Non Cluster partner latrines]]))</f>
        <v>2166</v>
      </c>
      <c r="CS277" s="79">
        <f>1-WWWW[[#This Row],[% people access to functioning Latrine]]</f>
        <v>1</v>
      </c>
      <c r="CT277" s="649">
        <f>IF(OR(WWWW[[#This Row],['#_Non-functional latrines]]="",WWWW[[#This Row],['#_Non-functional latrines]]=0),0,WWWW[[#This Row],['#_Non-functional latrines]]/(WWWW[[#This Row],['#_Constructed latrines_by_WASHAgencies]]+WWWW[[#This Row],['#_Non Cluster partner latrines]]))</f>
        <v>0</v>
      </c>
      <c r="CU277" s="645">
        <f>IF(500*(WWWW[[#This Row],['#_male hygiene promoters]]+WWWW[[#This Row],['#_female hygiene promoters]])&gt;WWWW[[#This Row],[Total PoP ]],WWWW[[#This Row],[Total PoP ]],500*(WWWW[[#This Row],['#_male hygiene promoters]]+WWWW[[#This Row],['#_female hygiene promoters]]))</f>
        <v>0</v>
      </c>
      <c r="CV277"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77"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77" s="647">
        <f>IF(WWWW[[#This Row],['# People with access to soap]]&gt;WWWW[[#This Row],['# People with access to Sanity Pads]],WWWW[[#This Row],['# People with access to soap]],WWWW[[#This Row],['# People with access to Sanity Pads]])</f>
        <v>0</v>
      </c>
      <c r="CY277"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77" s="650">
        <f>IF(WWWW[[#This Row],[HRP3]]/WWWW[[#This Row],[Total PoP ]]&gt;100%,100%,WWWW[[#This Row],[HRP3]]/WWWW[[#This Row],[Total PoP ]])</f>
        <v>0</v>
      </c>
      <c r="DA277" s="649">
        <f>1-WWWW[[#This Row],[Hygiene Coverage%]]</f>
        <v>1</v>
      </c>
      <c r="DB277" s="648">
        <f>WWWW[[#This Row],['# people reached by regular dedicated hygiene promotion_5]]/WWWW[[#This Row],[Total PoP ]]</f>
        <v>0</v>
      </c>
      <c r="DC277" s="648">
        <f>IF(WWWW[[#This Row],['#_households that received standard amount of soap for this quarter]]/WWWW[[#This Row],[Total HH]]&gt;1,1,WWWW[[#This Row],['#_households that received standard amount of soap for this quarter]]/WWWW[[#This Row],[Total HH]])</f>
        <v>0</v>
      </c>
      <c r="DD277" s="648">
        <f>IF(WWWW[[#This Row],['#_households that received standard amount of sanitary pads for this quarter]]/WWWW[[#This Row],[Total HH]]&gt;1,1,WWWW[[#This Row],['#_households that received standard amount of sanitary pads for this quarter]]/WWWW[[#This Row],[Total HH]])</f>
        <v>0</v>
      </c>
      <c r="DE277" s="647">
        <f>WWWW[[#This Row],['#_Constructed/Existing hand washing stations]]-WWWW[[#This Row],['#_Non-Functional_hand_washing_stations]]</f>
        <v>0</v>
      </c>
      <c r="DF277" s="667">
        <f>IF(WWWW[[#This Row],['# Functional hand washing stations during reporting period]]*20&gt;WWWW[[#This Row],[Total HH]],WWWW[[#This Row],[Total HH]],WWWW[[#This Row],['# Functional hand washing stations during reporting period]]*20)</f>
        <v>0</v>
      </c>
      <c r="DG277" s="645">
        <f>IF(WWWW[[#This Row],[Is sufficient soap available for TLS? (Yes/No)]]="yes",WWWW[[#This Row],['#_Constructed/Existing hand washing stations at TLS]],0)</f>
        <v>0</v>
      </c>
      <c r="DH277" s="645">
        <f>IF(WWWW[[#This Row],['# Functional hand washing stations during reporting period]]*100&gt;WWWW[[#This Row],[Total PoP ]],WWWW[[#This Row],[Total PoP ]],WWWW[[#This Row],['# Functional hand washing stations during reporting period]]*100)</f>
        <v>0</v>
      </c>
      <c r="DI277" s="645" t="str">
        <f>IF(WWWW[[#This Row],['#_students at TLS_CFS]]="","No","Yes")</f>
        <v>No</v>
      </c>
      <c r="DJ277" s="643">
        <f>VLOOKUP(WWWW[[#This Row],[Site Name]],SiteDB6[[Site Name]:[CCCM Management]],6,FALSE)</f>
        <v>0</v>
      </c>
      <c r="DK277" s="643">
        <f>VLOOKUP(WWWW[[#This Row],[Site Name]],SiteDB6[[Site Name]:[CCCM Focal Agency]],7,FALSE)</f>
        <v>0</v>
      </c>
      <c r="DL277" s="643" t="str">
        <f>VLOOKUP(WWWW[[#This Row],[Site Name]],SiteDB6[[Site Name]:[Location Type 1]],9,FALSE)</f>
        <v>Village</v>
      </c>
      <c r="DM277" s="643" t="str">
        <f>VLOOKUP(WWWW[[#This Row],[Site Name]],SiteDB6[[Site Name]:[Type of Accommodation]],10,FALSE)</f>
        <v>Village</v>
      </c>
      <c r="DN277" s="643" t="str">
        <f>VLOOKUP(WWWW[[#This Row],[Site Name]],SiteDB6[[Site Name]:[Ethnic or GCA/NGCA]],11,FALSE)</f>
        <v>Muslim</v>
      </c>
      <c r="DO277" s="643">
        <f>VLOOKUP(WWWW[[#This Row],[Site Name]],SiteDB6[[Site Name]:[Lat]],12,FALSE)</f>
        <v>0</v>
      </c>
      <c r="DP277" s="643">
        <f>VLOOKUP(WWWW[[#This Row],[Site Name]],SiteDB6[[Site Name]:[Long]],13,FALSE)</f>
        <v>0</v>
      </c>
      <c r="DQ277" s="643">
        <f>VLOOKUP(WWWW[[#This Row],[Site Name]],SiteDB6[[Site Name]:[Pcode]],3,FALSE)</f>
        <v>0</v>
      </c>
      <c r="DR277" s="652" t="str">
        <f t="shared" si="9"/>
        <v>Covered</v>
      </c>
      <c r="DS277" s="652"/>
    </row>
    <row r="278" spans="1:123">
      <c r="A278" s="637" t="s">
        <v>2525</v>
      </c>
      <c r="B278" s="637" t="s">
        <v>332</v>
      </c>
      <c r="C278" s="644" t="s">
        <v>332</v>
      </c>
      <c r="D278" s="644" t="s">
        <v>325</v>
      </c>
      <c r="E278" s="663" t="s">
        <v>3014</v>
      </c>
      <c r="F278" s="644" t="s">
        <v>330</v>
      </c>
      <c r="G278" s="663" t="str">
        <f>VLOOKUP(WWWW[[#This Row],[Site Name]],SiteDB6[[Site Name]:[Location Type]],8,FALSE)</f>
        <v>Village</v>
      </c>
      <c r="H278" s="644" t="s">
        <v>1151</v>
      </c>
      <c r="I278" s="646">
        <v>325</v>
      </c>
      <c r="J278" s="646">
        <v>1923</v>
      </c>
      <c r="K278" s="653">
        <v>42736</v>
      </c>
      <c r="L278" s="654">
        <v>44551</v>
      </c>
      <c r="M278" s="646"/>
      <c r="N278" s="646"/>
      <c r="O278" s="646"/>
      <c r="P278" s="646"/>
      <c r="Q278" s="645"/>
      <c r="R278" s="646"/>
      <c r="S278" s="646"/>
      <c r="T278" s="646"/>
      <c r="U278" s="646"/>
      <c r="V278" s="646"/>
      <c r="W278" s="646"/>
      <c r="X278" s="646"/>
      <c r="Y278" s="646"/>
      <c r="Z278" s="646"/>
      <c r="AA278" s="646"/>
      <c r="AB278" s="646"/>
      <c r="AC278" s="646"/>
      <c r="AD278" s="646"/>
      <c r="AE278" s="646"/>
      <c r="AF278" s="646"/>
      <c r="AG278" s="646"/>
      <c r="AH278" s="646"/>
      <c r="AI278" s="646"/>
      <c r="AJ278" s="646"/>
      <c r="AK278" s="646"/>
      <c r="AL278" s="646"/>
      <c r="AM278" s="646"/>
      <c r="AN278" s="646"/>
      <c r="AO278" s="652"/>
      <c r="AP278" s="646"/>
      <c r="AQ278" s="646"/>
      <c r="AR278" s="648"/>
      <c r="AS278" s="646"/>
      <c r="AT278" s="646"/>
      <c r="AU278" s="646"/>
      <c r="AV278" s="646"/>
      <c r="AW278" s="646"/>
      <c r="AX278" s="643"/>
      <c r="AY278" s="652"/>
      <c r="AZ278" s="646"/>
      <c r="BA278" s="646"/>
      <c r="BB278" s="646"/>
      <c r="BC278" s="643"/>
      <c r="BD278" s="646"/>
      <c r="BE278" s="646"/>
      <c r="BF278" s="646"/>
      <c r="BG278" s="646"/>
      <c r="BH278" s="646"/>
      <c r="BI278" s="646"/>
      <c r="BJ278" s="646"/>
      <c r="BK278" s="646"/>
      <c r="BL278" s="646"/>
      <c r="BM278" s="643"/>
      <c r="BN278" s="647"/>
      <c r="BO278" s="648"/>
      <c r="BP278" s="643"/>
      <c r="BQ278" s="649" t="str">
        <f>IFERROR(WWWW[[#This Row],['#_Water sources treated]]/WWWW[[#This Row],['#_Water sources tested for contamination]],"no test")</f>
        <v>no test</v>
      </c>
      <c r="BR278" s="648" t="str">
        <f>IFERROR(WWWW[[#This Row],['#_Household received remediation action due to contamination]]/WWWW[[#This Row],['#_Household water samples tested for contamination]],"no test")</f>
        <v>no test</v>
      </c>
      <c r="BS278" s="647" t="str">
        <f>IF(AND(WWWW[[#This Row],[% of water sources treated]]="no test",WWWW[[#This Row],[% Household received corrective actions]]="no test"),"No Test","Tested")</f>
        <v>No Test</v>
      </c>
      <c r="BT278" s="647">
        <f>WWWW[[#This Row],['#_Constructed/existing protected hand dug well]]-WWWW[[#This Row],['#_Non-functional protected hand dug well]]</f>
        <v>0</v>
      </c>
      <c r="BU278" s="647">
        <f>(WWWW[[#This Row],['#_Constructed/Existing tube wells/boreholes/handpumps_WASH_agency]]+WWWW[[#This Row],['#_Non-Cluster partner water tube-wells/boreholes/handpumps]])-WWWW[[#This Row],['#_Non-functional tube wells/boreholes/handpumps]]</f>
        <v>0</v>
      </c>
      <c r="BV278" s="647">
        <f>WWWW[[#This Row],['#_Constructed/Existingwater storage tank with gravity fed reticulation system]]-WWWW[[#This Row],['#_Non-functional storage tank gravity fed reticulation system]]</f>
        <v>0</v>
      </c>
      <c r="BW278" s="647">
        <f>WWWW[[#This Row],['#_Water boating or water trucking]]</f>
        <v>0</v>
      </c>
      <c r="BX278" s="647">
        <f>WWWW[[#This Row],['#_Constructed/Existing water distribution system from river or natural spring]]</f>
        <v>0</v>
      </c>
      <c r="BY278"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78"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78" s="648">
        <f>IF(WWWW[[#This Row],[Location Type 1]]="Village",WWWW[[#This Row],[Access to safe drinking water for Village]],WWWW[[#This Row],[Access to safe drinking water for Camp]])</f>
        <v>0</v>
      </c>
      <c r="CB278" s="645">
        <f>WWWW[[#This Row],[%Equitable and continuous access to sufficient quantity of safe drinking water]]*WWWW[[#This Row],[Total PoP ]]</f>
        <v>0</v>
      </c>
      <c r="CC278" s="648">
        <f>IF((WWWW[[#This Row],['#_Constructed/Existing protected/fenced ponds]]*250)/WWWW[[#This Row],[Total PoP ]]&gt;1,1,(WWWW[[#This Row],['#_Constructed/Existing protected/fenced ponds]]*250)/WWWW[[#This Row],[Total PoP ]])</f>
        <v>0</v>
      </c>
      <c r="CD278" s="645">
        <f>WWWW[[#This Row],[% Access to unimproved water points]]*WWWW[[#This Row],[Total PoP ]]</f>
        <v>0</v>
      </c>
      <c r="CE278"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78"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78" s="645">
        <f>WWWW[[#This Row],[HRP1]]/500</f>
        <v>0</v>
      </c>
      <c r="CH278" s="650">
        <f>1-WWWW[[#This Row],[% Equitable and continuous access to sufficient quantity of domestic water]]</f>
        <v>1</v>
      </c>
      <c r="CI278" s="645">
        <f>WWWW[[#This Row],[%equitable and continuous access to sufficient quantity of safe drinking and domestic water''s GAP]]*WWWW[[#This Row],[Total PoP ]]</f>
        <v>1923</v>
      </c>
      <c r="CJ278" s="647">
        <f>IF(WWWW[[#This Row],[Total required water points]]-WWWW[[#This Row],['#Water points coverage]]&lt;0,0,WWWW[[#This Row],[Total required water points]]-WWWW[[#This Row],['#Water points coverage]])</f>
        <v>4</v>
      </c>
      <c r="CK278" s="647">
        <f>ROUND(IF(WWWW[[#This Row],[Total PoP ]]&lt;500,1,WWWW[[#This Row],[Total PoP ]]/500),0)</f>
        <v>4</v>
      </c>
      <c r="CL278" s="647">
        <f>(WWWW[[#This Row],['#_Constructed latrines_by_WASHAgencies]]+WWWW[[#This Row],['#_Non Cluster partner latrines]])-WWWW[[#This Row],['#_Non-functional latrines]]</f>
        <v>0</v>
      </c>
      <c r="CM278"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78"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78"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78" s="647" t="str">
        <f>IF(WWWW[[#This Row],[Location Type 1]]="Village","NA",IF(WWWW[[#This Row],['#_Constructed/Existing latrines in TLS]]*50&gt;WWWW[[#This Row],['#_students at TLS_CFS]],WWWW[[#This Row],['#_students at TLS_CFS]],(WWWW[[#This Row],['#_Constructed/Existing latrines in TLS]]*50)))</f>
        <v>NA</v>
      </c>
      <c r="CQ278" s="647">
        <f>ROUND(IF(WWWW[[#This Row],[Location Type 1]]="camp",WWWW[[#This Row],[Total PoP ]]/20,IF(WWWW[[#This Row],[Location Type 1]]="Temporary Location",WWWW[[#This Row],[Total PoP ]]/50,(WWWW[[#This Row],[Total PoP ]]/6))),0)</f>
        <v>321</v>
      </c>
      <c r="CR278" s="647">
        <f>IF(WWWW[[#This Row],[Total required Latrines]]-(WWWW[[#This Row],['#_Constructed latrines_by_WASHAgencies]]+WWWW[[#This Row],['#_Non Cluster partner latrines]])&lt;0,0,WWWW[[#This Row],[Total required Latrines]]-(WWWW[[#This Row],['#_Constructed latrines_by_WASHAgencies]]+WWWW[[#This Row],['#_Non Cluster partner latrines]]))</f>
        <v>321</v>
      </c>
      <c r="CS278" s="79">
        <f>1-WWWW[[#This Row],[% people access to functioning Latrine]]</f>
        <v>1</v>
      </c>
      <c r="CT278" s="649">
        <f>IF(OR(WWWW[[#This Row],['#_Non-functional latrines]]="",WWWW[[#This Row],['#_Non-functional latrines]]=0),0,WWWW[[#This Row],['#_Non-functional latrines]]/(WWWW[[#This Row],['#_Constructed latrines_by_WASHAgencies]]+WWWW[[#This Row],['#_Non Cluster partner latrines]]))</f>
        <v>0</v>
      </c>
      <c r="CU278" s="645">
        <f>IF(500*(WWWW[[#This Row],['#_male hygiene promoters]]+WWWW[[#This Row],['#_female hygiene promoters]])&gt;WWWW[[#This Row],[Total PoP ]],WWWW[[#This Row],[Total PoP ]],500*(WWWW[[#This Row],['#_male hygiene promoters]]+WWWW[[#This Row],['#_female hygiene promoters]]))</f>
        <v>0</v>
      </c>
      <c r="CV278"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78"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78" s="647">
        <f>IF(WWWW[[#This Row],['# People with access to soap]]&gt;WWWW[[#This Row],['# People with access to Sanity Pads]],WWWW[[#This Row],['# People with access to soap]],WWWW[[#This Row],['# People with access to Sanity Pads]])</f>
        <v>0</v>
      </c>
      <c r="CY278"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78" s="650">
        <f>IF(WWWW[[#This Row],[HRP3]]/WWWW[[#This Row],[Total PoP ]]&gt;100%,100%,WWWW[[#This Row],[HRP3]]/WWWW[[#This Row],[Total PoP ]])</f>
        <v>0</v>
      </c>
      <c r="DA278" s="649">
        <f>1-WWWW[[#This Row],[Hygiene Coverage%]]</f>
        <v>1</v>
      </c>
      <c r="DB278" s="648">
        <f>WWWW[[#This Row],['# people reached by regular dedicated hygiene promotion_5]]/WWWW[[#This Row],[Total PoP ]]</f>
        <v>0</v>
      </c>
      <c r="DC278" s="648">
        <f>IF(WWWW[[#This Row],['#_households that received standard amount of soap for this quarter]]/WWWW[[#This Row],[Total HH]]&gt;1,1,WWWW[[#This Row],['#_households that received standard amount of soap for this quarter]]/WWWW[[#This Row],[Total HH]])</f>
        <v>0</v>
      </c>
      <c r="DD278" s="648">
        <f>IF(WWWW[[#This Row],['#_households that received standard amount of sanitary pads for this quarter]]/WWWW[[#This Row],[Total HH]]&gt;1,1,WWWW[[#This Row],['#_households that received standard amount of sanitary pads for this quarter]]/WWWW[[#This Row],[Total HH]])</f>
        <v>0</v>
      </c>
      <c r="DE278" s="647">
        <f>WWWW[[#This Row],['#_Constructed/Existing hand washing stations]]-WWWW[[#This Row],['#_Non-Functional_hand_washing_stations]]</f>
        <v>0</v>
      </c>
      <c r="DF278" s="667">
        <f>IF(WWWW[[#This Row],['# Functional hand washing stations during reporting period]]*20&gt;WWWW[[#This Row],[Total HH]],WWWW[[#This Row],[Total HH]],WWWW[[#This Row],['# Functional hand washing stations during reporting period]]*20)</f>
        <v>0</v>
      </c>
      <c r="DG278" s="645">
        <f>IF(WWWW[[#This Row],[Is sufficient soap available for TLS? (Yes/No)]]="yes",WWWW[[#This Row],['#_Constructed/Existing hand washing stations at TLS]],0)</f>
        <v>0</v>
      </c>
      <c r="DH278" s="645">
        <f>IF(WWWW[[#This Row],['# Functional hand washing stations during reporting period]]*100&gt;WWWW[[#This Row],[Total PoP ]],WWWW[[#This Row],[Total PoP ]],WWWW[[#This Row],['# Functional hand washing stations during reporting period]]*100)</f>
        <v>0</v>
      </c>
      <c r="DI278" s="645" t="str">
        <f>IF(WWWW[[#This Row],['#_students at TLS_CFS]]="","No","Yes")</f>
        <v>No</v>
      </c>
      <c r="DJ278" s="643">
        <f>VLOOKUP(WWWW[[#This Row],[Site Name]],SiteDB6[[Site Name]:[CCCM Management]],6,FALSE)</f>
        <v>0</v>
      </c>
      <c r="DK278" s="643">
        <f>VLOOKUP(WWWW[[#This Row],[Site Name]],SiteDB6[[Site Name]:[CCCM Focal Agency]],7,FALSE)</f>
        <v>0</v>
      </c>
      <c r="DL278" s="643" t="str">
        <f>VLOOKUP(WWWW[[#This Row],[Site Name]],SiteDB6[[Site Name]:[Location Type 1]],9,FALSE)</f>
        <v>Village</v>
      </c>
      <c r="DM278" s="643" t="str">
        <f>VLOOKUP(WWWW[[#This Row],[Site Name]],SiteDB6[[Site Name]:[Type of Accommodation]],10,FALSE)</f>
        <v>Village</v>
      </c>
      <c r="DN278" s="643" t="str">
        <f>VLOOKUP(WWWW[[#This Row],[Site Name]],SiteDB6[[Site Name]:[Ethnic or GCA/NGCA]],11,FALSE)</f>
        <v>Muslim</v>
      </c>
      <c r="DO278" s="643">
        <f>VLOOKUP(WWWW[[#This Row],[Site Name]],SiteDB6[[Site Name]:[Lat]],12,FALSE)</f>
        <v>0</v>
      </c>
      <c r="DP278" s="643">
        <f>VLOOKUP(WWWW[[#This Row],[Site Name]],SiteDB6[[Site Name]:[Long]],13,FALSE)</f>
        <v>0</v>
      </c>
      <c r="DQ278" s="643">
        <f>VLOOKUP(WWWW[[#This Row],[Site Name]],SiteDB6[[Site Name]:[Pcode]],3,FALSE)</f>
        <v>196999</v>
      </c>
      <c r="DR278" s="652" t="str">
        <f t="shared" si="9"/>
        <v>Covered</v>
      </c>
      <c r="DS278" s="652"/>
    </row>
    <row r="279" spans="1:123">
      <c r="A279" s="637" t="s">
        <v>2525</v>
      </c>
      <c r="B279" s="637" t="s">
        <v>332</v>
      </c>
      <c r="C279" s="644" t="s">
        <v>332</v>
      </c>
      <c r="D279" s="644" t="s">
        <v>325</v>
      </c>
      <c r="E279" s="663" t="s">
        <v>3014</v>
      </c>
      <c r="F279" s="644" t="s">
        <v>330</v>
      </c>
      <c r="G279" s="663" t="str">
        <f>VLOOKUP(WWWW[[#This Row],[Site Name]],SiteDB6[[Site Name]:[Location Type]],8,FALSE)</f>
        <v>Village</v>
      </c>
      <c r="H279" s="644" t="s">
        <v>2905</v>
      </c>
      <c r="I279" s="646">
        <v>146</v>
      </c>
      <c r="J279" s="646">
        <v>801</v>
      </c>
      <c r="K279" s="653">
        <v>42736</v>
      </c>
      <c r="L279" s="654">
        <v>44551</v>
      </c>
      <c r="M279" s="646"/>
      <c r="N279" s="646"/>
      <c r="O279" s="646"/>
      <c r="P279" s="646"/>
      <c r="Q279" s="645"/>
      <c r="R279" s="646"/>
      <c r="S279" s="646"/>
      <c r="T279" s="646"/>
      <c r="U279" s="646"/>
      <c r="V279" s="646"/>
      <c r="W279" s="646"/>
      <c r="X279" s="646"/>
      <c r="Y279" s="646"/>
      <c r="Z279" s="646"/>
      <c r="AA279" s="646"/>
      <c r="AB279" s="646"/>
      <c r="AC279" s="646"/>
      <c r="AD279" s="646"/>
      <c r="AE279" s="646"/>
      <c r="AF279" s="646"/>
      <c r="AG279" s="646"/>
      <c r="AH279" s="646"/>
      <c r="AI279" s="646"/>
      <c r="AJ279" s="646"/>
      <c r="AK279" s="646"/>
      <c r="AL279" s="646"/>
      <c r="AM279" s="646"/>
      <c r="AN279" s="646"/>
      <c r="AO279" s="652"/>
      <c r="AP279" s="646"/>
      <c r="AQ279" s="646"/>
      <c r="AR279" s="648"/>
      <c r="AS279" s="646"/>
      <c r="AT279" s="646"/>
      <c r="AU279" s="646"/>
      <c r="AV279" s="646"/>
      <c r="AW279" s="646"/>
      <c r="AX279" s="643"/>
      <c r="AY279" s="652"/>
      <c r="AZ279" s="646"/>
      <c r="BA279" s="646"/>
      <c r="BB279" s="646"/>
      <c r="BC279" s="643"/>
      <c r="BD279" s="646"/>
      <c r="BE279" s="646"/>
      <c r="BF279" s="646"/>
      <c r="BG279" s="646"/>
      <c r="BH279" s="646"/>
      <c r="BI279" s="646"/>
      <c r="BJ279" s="646"/>
      <c r="BK279" s="646"/>
      <c r="BL279" s="646"/>
      <c r="BM279" s="643"/>
      <c r="BN279" s="647"/>
      <c r="BO279" s="648"/>
      <c r="BP279" s="643"/>
      <c r="BQ279" s="649" t="str">
        <f>IFERROR(WWWW[[#This Row],['#_Water sources treated]]/WWWW[[#This Row],['#_Water sources tested for contamination]],"no test")</f>
        <v>no test</v>
      </c>
      <c r="BR279" s="648" t="str">
        <f>IFERROR(WWWW[[#This Row],['#_Household received remediation action due to contamination]]/WWWW[[#This Row],['#_Household water samples tested for contamination]],"no test")</f>
        <v>no test</v>
      </c>
      <c r="BS279" s="647" t="str">
        <f>IF(AND(WWWW[[#This Row],[% of water sources treated]]="no test",WWWW[[#This Row],[% Household received corrective actions]]="no test"),"No Test","Tested")</f>
        <v>No Test</v>
      </c>
      <c r="BT279" s="647">
        <f>WWWW[[#This Row],['#_Constructed/existing protected hand dug well]]-WWWW[[#This Row],['#_Non-functional protected hand dug well]]</f>
        <v>0</v>
      </c>
      <c r="BU279" s="647">
        <f>(WWWW[[#This Row],['#_Constructed/Existing tube wells/boreholes/handpumps_WASH_agency]]+WWWW[[#This Row],['#_Non-Cluster partner water tube-wells/boreholes/handpumps]])-WWWW[[#This Row],['#_Non-functional tube wells/boreholes/handpumps]]</f>
        <v>0</v>
      </c>
      <c r="BV279" s="647">
        <f>WWWW[[#This Row],['#_Constructed/Existingwater storage tank with gravity fed reticulation system]]-WWWW[[#This Row],['#_Non-functional storage tank gravity fed reticulation system]]</f>
        <v>0</v>
      </c>
      <c r="BW279" s="647">
        <f>WWWW[[#This Row],['#_Water boating or water trucking]]</f>
        <v>0</v>
      </c>
      <c r="BX279" s="647">
        <f>WWWW[[#This Row],['#_Constructed/Existing water distribution system from river or natural spring]]</f>
        <v>0</v>
      </c>
      <c r="BY279"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79"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79" s="648">
        <f>IF(WWWW[[#This Row],[Location Type 1]]="Village",WWWW[[#This Row],[Access to safe drinking water for Village]],WWWW[[#This Row],[Access to safe drinking water for Camp]])</f>
        <v>0</v>
      </c>
      <c r="CB279" s="645">
        <f>WWWW[[#This Row],[%Equitable and continuous access to sufficient quantity of safe drinking water]]*WWWW[[#This Row],[Total PoP ]]</f>
        <v>0</v>
      </c>
      <c r="CC279" s="648">
        <f>IF((WWWW[[#This Row],['#_Constructed/Existing protected/fenced ponds]]*250)/WWWW[[#This Row],[Total PoP ]]&gt;1,1,(WWWW[[#This Row],['#_Constructed/Existing protected/fenced ponds]]*250)/WWWW[[#This Row],[Total PoP ]])</f>
        <v>0</v>
      </c>
      <c r="CD279" s="645">
        <f>WWWW[[#This Row],[% Access to unimproved water points]]*WWWW[[#This Row],[Total PoP ]]</f>
        <v>0</v>
      </c>
      <c r="CE279"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79"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79" s="645">
        <f>WWWW[[#This Row],[HRP1]]/500</f>
        <v>0</v>
      </c>
      <c r="CH279" s="650">
        <f>1-WWWW[[#This Row],[% Equitable and continuous access to sufficient quantity of domestic water]]</f>
        <v>1</v>
      </c>
      <c r="CI279" s="645">
        <f>WWWW[[#This Row],[%equitable and continuous access to sufficient quantity of safe drinking and domestic water''s GAP]]*WWWW[[#This Row],[Total PoP ]]</f>
        <v>801</v>
      </c>
      <c r="CJ279" s="647">
        <f>IF(WWWW[[#This Row],[Total required water points]]-WWWW[[#This Row],['#Water points coverage]]&lt;0,0,WWWW[[#This Row],[Total required water points]]-WWWW[[#This Row],['#Water points coverage]])</f>
        <v>2</v>
      </c>
      <c r="CK279" s="647">
        <f>ROUND(IF(WWWW[[#This Row],[Total PoP ]]&lt;500,1,WWWW[[#This Row],[Total PoP ]]/500),0)</f>
        <v>2</v>
      </c>
      <c r="CL279" s="647">
        <f>(WWWW[[#This Row],['#_Constructed latrines_by_WASHAgencies]]+WWWW[[#This Row],['#_Non Cluster partner latrines]])-WWWW[[#This Row],['#_Non-functional latrines]]</f>
        <v>0</v>
      </c>
      <c r="CM279"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79"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79"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79" s="647" t="str">
        <f>IF(WWWW[[#This Row],[Location Type 1]]="Village","NA",IF(WWWW[[#This Row],['#_Constructed/Existing latrines in TLS]]*50&gt;WWWW[[#This Row],['#_students at TLS_CFS]],WWWW[[#This Row],['#_students at TLS_CFS]],(WWWW[[#This Row],['#_Constructed/Existing latrines in TLS]]*50)))</f>
        <v>NA</v>
      </c>
      <c r="CQ279" s="647">
        <f>ROUND(IF(WWWW[[#This Row],[Location Type 1]]="camp",WWWW[[#This Row],[Total PoP ]]/20,IF(WWWW[[#This Row],[Location Type 1]]="Temporary Location",WWWW[[#This Row],[Total PoP ]]/50,(WWWW[[#This Row],[Total PoP ]]/6))),0)</f>
        <v>134</v>
      </c>
      <c r="CR279" s="647">
        <f>IF(WWWW[[#This Row],[Total required Latrines]]-(WWWW[[#This Row],['#_Constructed latrines_by_WASHAgencies]]+WWWW[[#This Row],['#_Non Cluster partner latrines]])&lt;0,0,WWWW[[#This Row],[Total required Latrines]]-(WWWW[[#This Row],['#_Constructed latrines_by_WASHAgencies]]+WWWW[[#This Row],['#_Non Cluster partner latrines]]))</f>
        <v>134</v>
      </c>
      <c r="CS279" s="79">
        <f>1-WWWW[[#This Row],[% people access to functioning Latrine]]</f>
        <v>1</v>
      </c>
      <c r="CT279" s="649">
        <f>IF(OR(WWWW[[#This Row],['#_Non-functional latrines]]="",WWWW[[#This Row],['#_Non-functional latrines]]=0),0,WWWW[[#This Row],['#_Non-functional latrines]]/(WWWW[[#This Row],['#_Constructed latrines_by_WASHAgencies]]+WWWW[[#This Row],['#_Non Cluster partner latrines]]))</f>
        <v>0</v>
      </c>
      <c r="CU279" s="645">
        <f>IF(500*(WWWW[[#This Row],['#_male hygiene promoters]]+WWWW[[#This Row],['#_female hygiene promoters]])&gt;WWWW[[#This Row],[Total PoP ]],WWWW[[#This Row],[Total PoP ]],500*(WWWW[[#This Row],['#_male hygiene promoters]]+WWWW[[#This Row],['#_female hygiene promoters]]))</f>
        <v>0</v>
      </c>
      <c r="CV279"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79"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79" s="647">
        <f>IF(WWWW[[#This Row],['# People with access to soap]]&gt;WWWW[[#This Row],['# People with access to Sanity Pads]],WWWW[[#This Row],['# People with access to soap]],WWWW[[#This Row],['# People with access to Sanity Pads]])</f>
        <v>0</v>
      </c>
      <c r="CY279"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79" s="650">
        <f>IF(WWWW[[#This Row],[HRP3]]/WWWW[[#This Row],[Total PoP ]]&gt;100%,100%,WWWW[[#This Row],[HRP3]]/WWWW[[#This Row],[Total PoP ]])</f>
        <v>0</v>
      </c>
      <c r="DA279" s="649">
        <f>1-WWWW[[#This Row],[Hygiene Coverage%]]</f>
        <v>1</v>
      </c>
      <c r="DB279" s="648">
        <f>WWWW[[#This Row],['# people reached by regular dedicated hygiene promotion_5]]/WWWW[[#This Row],[Total PoP ]]</f>
        <v>0</v>
      </c>
      <c r="DC279" s="648">
        <f>IF(WWWW[[#This Row],['#_households that received standard amount of soap for this quarter]]/WWWW[[#This Row],[Total HH]]&gt;1,1,WWWW[[#This Row],['#_households that received standard amount of soap for this quarter]]/WWWW[[#This Row],[Total HH]])</f>
        <v>0</v>
      </c>
      <c r="DD279" s="648">
        <f>IF(WWWW[[#This Row],['#_households that received standard amount of sanitary pads for this quarter]]/WWWW[[#This Row],[Total HH]]&gt;1,1,WWWW[[#This Row],['#_households that received standard amount of sanitary pads for this quarter]]/WWWW[[#This Row],[Total HH]])</f>
        <v>0</v>
      </c>
      <c r="DE279" s="647">
        <f>WWWW[[#This Row],['#_Constructed/Existing hand washing stations]]-WWWW[[#This Row],['#_Non-Functional_hand_washing_stations]]</f>
        <v>0</v>
      </c>
      <c r="DF279" s="667">
        <f>IF(WWWW[[#This Row],['# Functional hand washing stations during reporting period]]*20&gt;WWWW[[#This Row],[Total HH]],WWWW[[#This Row],[Total HH]],WWWW[[#This Row],['# Functional hand washing stations during reporting period]]*20)</f>
        <v>0</v>
      </c>
      <c r="DG279" s="645">
        <f>IF(WWWW[[#This Row],[Is sufficient soap available for TLS? (Yes/No)]]="yes",WWWW[[#This Row],['#_Constructed/Existing hand washing stations at TLS]],0)</f>
        <v>0</v>
      </c>
      <c r="DH279" s="645">
        <f>IF(WWWW[[#This Row],['# Functional hand washing stations during reporting period]]*100&gt;WWWW[[#This Row],[Total PoP ]],WWWW[[#This Row],[Total PoP ]],WWWW[[#This Row],['# Functional hand washing stations during reporting period]]*100)</f>
        <v>0</v>
      </c>
      <c r="DI279" s="645" t="str">
        <f>IF(WWWW[[#This Row],['#_students at TLS_CFS]]="","No","Yes")</f>
        <v>No</v>
      </c>
      <c r="DJ279" s="643">
        <f>VLOOKUP(WWWW[[#This Row],[Site Name]],SiteDB6[[Site Name]:[CCCM Management]],6,FALSE)</f>
        <v>0</v>
      </c>
      <c r="DK279" s="643">
        <f>VLOOKUP(WWWW[[#This Row],[Site Name]],SiteDB6[[Site Name]:[CCCM Focal Agency]],7,FALSE)</f>
        <v>0</v>
      </c>
      <c r="DL279" s="643" t="str">
        <f>VLOOKUP(WWWW[[#This Row],[Site Name]],SiteDB6[[Site Name]:[Location Type 1]],9,FALSE)</f>
        <v>Village</v>
      </c>
      <c r="DM279" s="643" t="str">
        <f>VLOOKUP(WWWW[[#This Row],[Site Name]],SiteDB6[[Site Name]:[Type of Accommodation]],10,FALSE)</f>
        <v>Village</v>
      </c>
      <c r="DN279" s="643">
        <f>VLOOKUP(WWWW[[#This Row],[Site Name]],SiteDB6[[Site Name]:[Ethnic or GCA/NGCA]],11,FALSE)</f>
        <v>0</v>
      </c>
      <c r="DO279" s="643">
        <f>VLOOKUP(WWWW[[#This Row],[Site Name]],SiteDB6[[Site Name]:[Lat]],12,FALSE)</f>
        <v>0</v>
      </c>
      <c r="DP279" s="643">
        <f>VLOOKUP(WWWW[[#This Row],[Site Name]],SiteDB6[[Site Name]:[Long]],13,FALSE)</f>
        <v>0</v>
      </c>
      <c r="DQ279" s="643">
        <f>VLOOKUP(WWWW[[#This Row],[Site Name]],SiteDB6[[Site Name]:[Pcode]],3,FALSE)</f>
        <v>197017</v>
      </c>
      <c r="DR279" s="652" t="str">
        <f t="shared" si="9"/>
        <v>Covered</v>
      </c>
      <c r="DS279" s="652"/>
    </row>
    <row r="280" spans="1:123">
      <c r="A280" s="637" t="s">
        <v>2525</v>
      </c>
      <c r="B280" s="637" t="s">
        <v>332</v>
      </c>
      <c r="C280" s="644" t="s">
        <v>332</v>
      </c>
      <c r="D280" s="644" t="s">
        <v>325</v>
      </c>
      <c r="E280" s="663" t="s">
        <v>3014</v>
      </c>
      <c r="F280" s="644" t="s">
        <v>330</v>
      </c>
      <c r="G280" s="663" t="str">
        <f>VLOOKUP(WWWW[[#This Row],[Site Name]],SiteDB6[[Site Name]:[Location Type]],8,FALSE)</f>
        <v>Village</v>
      </c>
      <c r="H280" s="644" t="s">
        <v>2906</v>
      </c>
      <c r="I280" s="646">
        <v>31</v>
      </c>
      <c r="J280" s="646">
        <v>156</v>
      </c>
      <c r="K280" s="653">
        <v>42736</v>
      </c>
      <c r="L280" s="654">
        <v>44551</v>
      </c>
      <c r="M280" s="646"/>
      <c r="N280" s="646"/>
      <c r="O280" s="646"/>
      <c r="P280" s="646"/>
      <c r="Q280" s="645"/>
      <c r="R280" s="646"/>
      <c r="S280" s="646"/>
      <c r="T280" s="646"/>
      <c r="U280" s="646"/>
      <c r="V280" s="646"/>
      <c r="W280" s="646"/>
      <c r="X280" s="646"/>
      <c r="Y280" s="646"/>
      <c r="Z280" s="646"/>
      <c r="AA280" s="646"/>
      <c r="AB280" s="646"/>
      <c r="AC280" s="646"/>
      <c r="AD280" s="646"/>
      <c r="AE280" s="646"/>
      <c r="AF280" s="646"/>
      <c r="AG280" s="646"/>
      <c r="AH280" s="646"/>
      <c r="AI280" s="646"/>
      <c r="AJ280" s="646"/>
      <c r="AK280" s="646"/>
      <c r="AL280" s="646"/>
      <c r="AM280" s="646"/>
      <c r="AN280" s="646"/>
      <c r="AO280" s="652"/>
      <c r="AP280" s="646"/>
      <c r="AQ280" s="646"/>
      <c r="AR280" s="648"/>
      <c r="AS280" s="646"/>
      <c r="AT280" s="646"/>
      <c r="AU280" s="646"/>
      <c r="AV280" s="646"/>
      <c r="AW280" s="646"/>
      <c r="AX280" s="643"/>
      <c r="AY280" s="652"/>
      <c r="AZ280" s="646"/>
      <c r="BA280" s="646"/>
      <c r="BB280" s="646"/>
      <c r="BC280" s="643"/>
      <c r="BD280" s="646"/>
      <c r="BE280" s="646"/>
      <c r="BF280" s="646"/>
      <c r="BG280" s="646"/>
      <c r="BH280" s="646"/>
      <c r="BI280" s="646"/>
      <c r="BJ280" s="646"/>
      <c r="BK280" s="646"/>
      <c r="BL280" s="646"/>
      <c r="BM280" s="643"/>
      <c r="BN280" s="647"/>
      <c r="BO280" s="648"/>
      <c r="BP280" s="643"/>
      <c r="BQ280" s="649" t="str">
        <f>IFERROR(WWWW[[#This Row],['#_Water sources treated]]/WWWW[[#This Row],['#_Water sources tested for contamination]],"no test")</f>
        <v>no test</v>
      </c>
      <c r="BR280" s="648" t="str">
        <f>IFERROR(WWWW[[#This Row],['#_Household received remediation action due to contamination]]/WWWW[[#This Row],['#_Household water samples tested for contamination]],"no test")</f>
        <v>no test</v>
      </c>
      <c r="BS280" s="647" t="str">
        <f>IF(AND(WWWW[[#This Row],[% of water sources treated]]="no test",WWWW[[#This Row],[% Household received corrective actions]]="no test"),"No Test","Tested")</f>
        <v>No Test</v>
      </c>
      <c r="BT280" s="647">
        <f>WWWW[[#This Row],['#_Constructed/existing protected hand dug well]]-WWWW[[#This Row],['#_Non-functional protected hand dug well]]</f>
        <v>0</v>
      </c>
      <c r="BU280" s="647">
        <f>(WWWW[[#This Row],['#_Constructed/Existing tube wells/boreholes/handpumps_WASH_agency]]+WWWW[[#This Row],['#_Non-Cluster partner water tube-wells/boreholes/handpumps]])-WWWW[[#This Row],['#_Non-functional tube wells/boreholes/handpumps]]</f>
        <v>0</v>
      </c>
      <c r="BV280" s="647">
        <f>WWWW[[#This Row],['#_Constructed/Existingwater storage tank with gravity fed reticulation system]]-WWWW[[#This Row],['#_Non-functional storage tank gravity fed reticulation system]]</f>
        <v>0</v>
      </c>
      <c r="BW280" s="647">
        <f>WWWW[[#This Row],['#_Water boating or water trucking]]</f>
        <v>0</v>
      </c>
      <c r="BX280" s="647">
        <f>WWWW[[#This Row],['#_Constructed/Existing water distribution system from river or natural spring]]</f>
        <v>0</v>
      </c>
      <c r="BY280"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80"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80" s="648">
        <f>IF(WWWW[[#This Row],[Location Type 1]]="Village",WWWW[[#This Row],[Access to safe drinking water for Village]],WWWW[[#This Row],[Access to safe drinking water for Camp]])</f>
        <v>0</v>
      </c>
      <c r="CB280" s="645">
        <f>WWWW[[#This Row],[%Equitable and continuous access to sufficient quantity of safe drinking water]]*WWWW[[#This Row],[Total PoP ]]</f>
        <v>0</v>
      </c>
      <c r="CC280" s="648">
        <f>IF((WWWW[[#This Row],['#_Constructed/Existing protected/fenced ponds]]*250)/WWWW[[#This Row],[Total PoP ]]&gt;1,1,(WWWW[[#This Row],['#_Constructed/Existing protected/fenced ponds]]*250)/WWWW[[#This Row],[Total PoP ]])</f>
        <v>0</v>
      </c>
      <c r="CD280" s="645">
        <f>WWWW[[#This Row],[% Access to unimproved water points]]*WWWW[[#This Row],[Total PoP ]]</f>
        <v>0</v>
      </c>
      <c r="CE280"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80"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80" s="645">
        <f>WWWW[[#This Row],[HRP1]]/500</f>
        <v>0</v>
      </c>
      <c r="CH280" s="650">
        <f>1-WWWW[[#This Row],[% Equitable and continuous access to sufficient quantity of domestic water]]</f>
        <v>1</v>
      </c>
      <c r="CI280" s="645">
        <f>WWWW[[#This Row],[%equitable and continuous access to sufficient quantity of safe drinking and domestic water''s GAP]]*WWWW[[#This Row],[Total PoP ]]</f>
        <v>156</v>
      </c>
      <c r="CJ280" s="647">
        <f>IF(WWWW[[#This Row],[Total required water points]]-WWWW[[#This Row],['#Water points coverage]]&lt;0,0,WWWW[[#This Row],[Total required water points]]-WWWW[[#This Row],['#Water points coverage]])</f>
        <v>1</v>
      </c>
      <c r="CK280" s="647">
        <f>ROUND(IF(WWWW[[#This Row],[Total PoP ]]&lt;500,1,WWWW[[#This Row],[Total PoP ]]/500),0)</f>
        <v>1</v>
      </c>
      <c r="CL280" s="647">
        <f>(WWWW[[#This Row],['#_Constructed latrines_by_WASHAgencies]]+WWWW[[#This Row],['#_Non Cluster partner latrines]])-WWWW[[#This Row],['#_Non-functional latrines]]</f>
        <v>0</v>
      </c>
      <c r="CM280"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80"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80"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80" s="647" t="str">
        <f>IF(WWWW[[#This Row],[Location Type 1]]="Village","NA",IF(WWWW[[#This Row],['#_Constructed/Existing latrines in TLS]]*50&gt;WWWW[[#This Row],['#_students at TLS_CFS]],WWWW[[#This Row],['#_students at TLS_CFS]],(WWWW[[#This Row],['#_Constructed/Existing latrines in TLS]]*50)))</f>
        <v>NA</v>
      </c>
      <c r="CQ280" s="647">
        <f>ROUND(IF(WWWW[[#This Row],[Location Type 1]]="camp",WWWW[[#This Row],[Total PoP ]]/20,IF(WWWW[[#This Row],[Location Type 1]]="Temporary Location",WWWW[[#This Row],[Total PoP ]]/50,(WWWW[[#This Row],[Total PoP ]]/6))),0)</f>
        <v>26</v>
      </c>
      <c r="CR280" s="647">
        <f>IF(WWWW[[#This Row],[Total required Latrines]]-(WWWW[[#This Row],['#_Constructed latrines_by_WASHAgencies]]+WWWW[[#This Row],['#_Non Cluster partner latrines]])&lt;0,0,WWWW[[#This Row],[Total required Latrines]]-(WWWW[[#This Row],['#_Constructed latrines_by_WASHAgencies]]+WWWW[[#This Row],['#_Non Cluster partner latrines]]))</f>
        <v>26</v>
      </c>
      <c r="CS280" s="79">
        <f>1-WWWW[[#This Row],[% people access to functioning Latrine]]</f>
        <v>1</v>
      </c>
      <c r="CT280" s="649">
        <f>IF(OR(WWWW[[#This Row],['#_Non-functional latrines]]="",WWWW[[#This Row],['#_Non-functional latrines]]=0),0,WWWW[[#This Row],['#_Non-functional latrines]]/(WWWW[[#This Row],['#_Constructed latrines_by_WASHAgencies]]+WWWW[[#This Row],['#_Non Cluster partner latrines]]))</f>
        <v>0</v>
      </c>
      <c r="CU280" s="645">
        <f>IF(500*(WWWW[[#This Row],['#_male hygiene promoters]]+WWWW[[#This Row],['#_female hygiene promoters]])&gt;WWWW[[#This Row],[Total PoP ]],WWWW[[#This Row],[Total PoP ]],500*(WWWW[[#This Row],['#_male hygiene promoters]]+WWWW[[#This Row],['#_female hygiene promoters]]))</f>
        <v>0</v>
      </c>
      <c r="CV280"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80"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80" s="647">
        <f>IF(WWWW[[#This Row],['# People with access to soap]]&gt;WWWW[[#This Row],['# People with access to Sanity Pads]],WWWW[[#This Row],['# People with access to soap]],WWWW[[#This Row],['# People with access to Sanity Pads]])</f>
        <v>0</v>
      </c>
      <c r="CY280"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80" s="650">
        <f>IF(WWWW[[#This Row],[HRP3]]/WWWW[[#This Row],[Total PoP ]]&gt;100%,100%,WWWW[[#This Row],[HRP3]]/WWWW[[#This Row],[Total PoP ]])</f>
        <v>0</v>
      </c>
      <c r="DA280" s="649">
        <f>1-WWWW[[#This Row],[Hygiene Coverage%]]</f>
        <v>1</v>
      </c>
      <c r="DB280" s="648">
        <f>WWWW[[#This Row],['# people reached by regular dedicated hygiene promotion_5]]/WWWW[[#This Row],[Total PoP ]]</f>
        <v>0</v>
      </c>
      <c r="DC280" s="648">
        <f>IF(WWWW[[#This Row],['#_households that received standard amount of soap for this quarter]]/WWWW[[#This Row],[Total HH]]&gt;1,1,WWWW[[#This Row],['#_households that received standard amount of soap for this quarter]]/WWWW[[#This Row],[Total HH]])</f>
        <v>0</v>
      </c>
      <c r="DD280" s="648">
        <f>IF(WWWW[[#This Row],['#_households that received standard amount of sanitary pads for this quarter]]/WWWW[[#This Row],[Total HH]]&gt;1,1,WWWW[[#This Row],['#_households that received standard amount of sanitary pads for this quarter]]/WWWW[[#This Row],[Total HH]])</f>
        <v>0</v>
      </c>
      <c r="DE280" s="647">
        <f>WWWW[[#This Row],['#_Constructed/Existing hand washing stations]]-WWWW[[#This Row],['#_Non-Functional_hand_washing_stations]]</f>
        <v>0</v>
      </c>
      <c r="DF280" s="667">
        <f>IF(WWWW[[#This Row],['# Functional hand washing stations during reporting period]]*20&gt;WWWW[[#This Row],[Total HH]],WWWW[[#This Row],[Total HH]],WWWW[[#This Row],['# Functional hand washing stations during reporting period]]*20)</f>
        <v>0</v>
      </c>
      <c r="DG280" s="645">
        <f>IF(WWWW[[#This Row],[Is sufficient soap available for TLS? (Yes/No)]]="yes",WWWW[[#This Row],['#_Constructed/Existing hand washing stations at TLS]],0)</f>
        <v>0</v>
      </c>
      <c r="DH280" s="645">
        <f>IF(WWWW[[#This Row],['# Functional hand washing stations during reporting period]]*100&gt;WWWW[[#This Row],[Total PoP ]],WWWW[[#This Row],[Total PoP ]],WWWW[[#This Row],['# Functional hand washing stations during reporting period]]*100)</f>
        <v>0</v>
      </c>
      <c r="DI280" s="645" t="str">
        <f>IF(WWWW[[#This Row],['#_students at TLS_CFS]]="","No","Yes")</f>
        <v>No</v>
      </c>
      <c r="DJ280" s="643">
        <f>VLOOKUP(WWWW[[#This Row],[Site Name]],SiteDB6[[Site Name]:[CCCM Management]],6,FALSE)</f>
        <v>0</v>
      </c>
      <c r="DK280" s="643">
        <f>VLOOKUP(WWWW[[#This Row],[Site Name]],SiteDB6[[Site Name]:[CCCM Focal Agency]],7,FALSE)</f>
        <v>0</v>
      </c>
      <c r="DL280" s="643" t="str">
        <f>VLOOKUP(WWWW[[#This Row],[Site Name]],SiteDB6[[Site Name]:[Location Type 1]],9,FALSE)</f>
        <v>Village</v>
      </c>
      <c r="DM280" s="643" t="str">
        <f>VLOOKUP(WWWW[[#This Row],[Site Name]],SiteDB6[[Site Name]:[Type of Accommodation]],10,FALSE)</f>
        <v>Village</v>
      </c>
      <c r="DN280" s="643">
        <f>VLOOKUP(WWWW[[#This Row],[Site Name]],SiteDB6[[Site Name]:[Ethnic or GCA/NGCA]],11,FALSE)</f>
        <v>0</v>
      </c>
      <c r="DO280" s="643">
        <f>VLOOKUP(WWWW[[#This Row],[Site Name]],SiteDB6[[Site Name]:[Lat]],12,FALSE)</f>
        <v>0</v>
      </c>
      <c r="DP280" s="643">
        <f>VLOOKUP(WWWW[[#This Row],[Site Name]],SiteDB6[[Site Name]:[Long]],13,FALSE)</f>
        <v>0</v>
      </c>
      <c r="DQ280" s="643">
        <f>VLOOKUP(WWWW[[#This Row],[Site Name]],SiteDB6[[Site Name]:[Pcode]],3,FALSE)</f>
        <v>197022</v>
      </c>
      <c r="DR280" s="652" t="str">
        <f t="shared" si="9"/>
        <v>Covered</v>
      </c>
      <c r="DS280" s="652"/>
    </row>
    <row r="281" spans="1:123">
      <c r="A281" s="637" t="s">
        <v>2525</v>
      </c>
      <c r="B281" s="637" t="s">
        <v>332</v>
      </c>
      <c r="C281" s="644" t="s">
        <v>332</v>
      </c>
      <c r="D281" s="644" t="s">
        <v>325</v>
      </c>
      <c r="E281" s="663" t="s">
        <v>3014</v>
      </c>
      <c r="F281" s="644" t="s">
        <v>330</v>
      </c>
      <c r="G281" s="663" t="str">
        <f>VLOOKUP(WWWW[[#This Row],[Site Name]],SiteDB6[[Site Name]:[Location Type]],8,FALSE)</f>
        <v>Village</v>
      </c>
      <c r="H281" s="644" t="s">
        <v>2907</v>
      </c>
      <c r="I281" s="646">
        <v>96</v>
      </c>
      <c r="J281" s="646">
        <v>329</v>
      </c>
      <c r="K281" s="653">
        <v>42736</v>
      </c>
      <c r="L281" s="654">
        <v>44551</v>
      </c>
      <c r="M281" s="646"/>
      <c r="N281" s="646"/>
      <c r="O281" s="646"/>
      <c r="P281" s="646"/>
      <c r="Q281" s="645"/>
      <c r="R281" s="646"/>
      <c r="S281" s="646"/>
      <c r="T281" s="646"/>
      <c r="U281" s="646"/>
      <c r="V281" s="646"/>
      <c r="W281" s="646"/>
      <c r="X281" s="646"/>
      <c r="Y281" s="646"/>
      <c r="Z281" s="646"/>
      <c r="AA281" s="646"/>
      <c r="AB281" s="646"/>
      <c r="AC281" s="646"/>
      <c r="AD281" s="646"/>
      <c r="AE281" s="646"/>
      <c r="AF281" s="646"/>
      <c r="AG281" s="646"/>
      <c r="AH281" s="646"/>
      <c r="AI281" s="646"/>
      <c r="AJ281" s="646"/>
      <c r="AK281" s="646"/>
      <c r="AL281" s="646"/>
      <c r="AM281" s="646"/>
      <c r="AN281" s="646"/>
      <c r="AO281" s="652"/>
      <c r="AP281" s="646"/>
      <c r="AQ281" s="646"/>
      <c r="AR281" s="648"/>
      <c r="AS281" s="646"/>
      <c r="AT281" s="646"/>
      <c r="AU281" s="646"/>
      <c r="AV281" s="646"/>
      <c r="AW281" s="646"/>
      <c r="AX281" s="643"/>
      <c r="AY281" s="652"/>
      <c r="AZ281" s="646"/>
      <c r="BA281" s="646"/>
      <c r="BB281" s="646"/>
      <c r="BC281" s="643"/>
      <c r="BD281" s="646"/>
      <c r="BE281" s="646"/>
      <c r="BF281" s="646"/>
      <c r="BG281" s="646"/>
      <c r="BH281" s="646"/>
      <c r="BI281" s="646"/>
      <c r="BJ281" s="646"/>
      <c r="BK281" s="646"/>
      <c r="BL281" s="646"/>
      <c r="BM281" s="643"/>
      <c r="BN281" s="647"/>
      <c r="BO281" s="648"/>
      <c r="BP281" s="643"/>
      <c r="BQ281" s="649" t="str">
        <f>IFERROR(WWWW[[#This Row],['#_Water sources treated]]/WWWW[[#This Row],['#_Water sources tested for contamination]],"no test")</f>
        <v>no test</v>
      </c>
      <c r="BR281" s="648" t="str">
        <f>IFERROR(WWWW[[#This Row],['#_Household received remediation action due to contamination]]/WWWW[[#This Row],['#_Household water samples tested for contamination]],"no test")</f>
        <v>no test</v>
      </c>
      <c r="BS281" s="647" t="str">
        <f>IF(AND(WWWW[[#This Row],[% of water sources treated]]="no test",WWWW[[#This Row],[% Household received corrective actions]]="no test"),"No Test","Tested")</f>
        <v>No Test</v>
      </c>
      <c r="BT281" s="647">
        <f>WWWW[[#This Row],['#_Constructed/existing protected hand dug well]]-WWWW[[#This Row],['#_Non-functional protected hand dug well]]</f>
        <v>0</v>
      </c>
      <c r="BU281" s="647">
        <f>(WWWW[[#This Row],['#_Constructed/Existing tube wells/boreholes/handpumps_WASH_agency]]+WWWW[[#This Row],['#_Non-Cluster partner water tube-wells/boreholes/handpumps]])-WWWW[[#This Row],['#_Non-functional tube wells/boreholes/handpumps]]</f>
        <v>0</v>
      </c>
      <c r="BV281" s="647">
        <f>WWWW[[#This Row],['#_Constructed/Existingwater storage tank with gravity fed reticulation system]]-WWWW[[#This Row],['#_Non-functional storage tank gravity fed reticulation system]]</f>
        <v>0</v>
      </c>
      <c r="BW281" s="647">
        <f>WWWW[[#This Row],['#_Water boating or water trucking]]</f>
        <v>0</v>
      </c>
      <c r="BX281" s="647">
        <f>WWWW[[#This Row],['#_Constructed/Existing water distribution system from river or natural spring]]</f>
        <v>0</v>
      </c>
      <c r="BY281"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81"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81" s="648">
        <f>IF(WWWW[[#This Row],[Location Type 1]]="Village",WWWW[[#This Row],[Access to safe drinking water for Village]],WWWW[[#This Row],[Access to safe drinking water for Camp]])</f>
        <v>0</v>
      </c>
      <c r="CB281" s="645">
        <f>WWWW[[#This Row],[%Equitable and continuous access to sufficient quantity of safe drinking water]]*WWWW[[#This Row],[Total PoP ]]</f>
        <v>0</v>
      </c>
      <c r="CC281" s="648">
        <f>IF((WWWW[[#This Row],['#_Constructed/Existing protected/fenced ponds]]*250)/WWWW[[#This Row],[Total PoP ]]&gt;1,1,(WWWW[[#This Row],['#_Constructed/Existing protected/fenced ponds]]*250)/WWWW[[#This Row],[Total PoP ]])</f>
        <v>0</v>
      </c>
      <c r="CD281" s="645">
        <f>WWWW[[#This Row],[% Access to unimproved water points]]*WWWW[[#This Row],[Total PoP ]]</f>
        <v>0</v>
      </c>
      <c r="CE281"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81"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81" s="645">
        <f>WWWW[[#This Row],[HRP1]]/500</f>
        <v>0</v>
      </c>
      <c r="CH281" s="650">
        <f>1-WWWW[[#This Row],[% Equitable and continuous access to sufficient quantity of domestic water]]</f>
        <v>1</v>
      </c>
      <c r="CI281" s="645">
        <f>WWWW[[#This Row],[%equitable and continuous access to sufficient quantity of safe drinking and domestic water''s GAP]]*WWWW[[#This Row],[Total PoP ]]</f>
        <v>329</v>
      </c>
      <c r="CJ281" s="647">
        <f>IF(WWWW[[#This Row],[Total required water points]]-WWWW[[#This Row],['#Water points coverage]]&lt;0,0,WWWW[[#This Row],[Total required water points]]-WWWW[[#This Row],['#Water points coverage]])</f>
        <v>1</v>
      </c>
      <c r="CK281" s="647">
        <f>ROUND(IF(WWWW[[#This Row],[Total PoP ]]&lt;500,1,WWWW[[#This Row],[Total PoP ]]/500),0)</f>
        <v>1</v>
      </c>
      <c r="CL281" s="647">
        <f>(WWWW[[#This Row],['#_Constructed latrines_by_WASHAgencies]]+WWWW[[#This Row],['#_Non Cluster partner latrines]])-WWWW[[#This Row],['#_Non-functional latrines]]</f>
        <v>0</v>
      </c>
      <c r="CM281"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81"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81"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81" s="647" t="str">
        <f>IF(WWWW[[#This Row],[Location Type 1]]="Village","NA",IF(WWWW[[#This Row],['#_Constructed/Existing latrines in TLS]]*50&gt;WWWW[[#This Row],['#_students at TLS_CFS]],WWWW[[#This Row],['#_students at TLS_CFS]],(WWWW[[#This Row],['#_Constructed/Existing latrines in TLS]]*50)))</f>
        <v>NA</v>
      </c>
      <c r="CQ281" s="647">
        <f>ROUND(IF(WWWW[[#This Row],[Location Type 1]]="camp",WWWW[[#This Row],[Total PoP ]]/20,IF(WWWW[[#This Row],[Location Type 1]]="Temporary Location",WWWW[[#This Row],[Total PoP ]]/50,(WWWW[[#This Row],[Total PoP ]]/6))),0)</f>
        <v>55</v>
      </c>
      <c r="CR281" s="647">
        <f>IF(WWWW[[#This Row],[Total required Latrines]]-(WWWW[[#This Row],['#_Constructed latrines_by_WASHAgencies]]+WWWW[[#This Row],['#_Non Cluster partner latrines]])&lt;0,0,WWWW[[#This Row],[Total required Latrines]]-(WWWW[[#This Row],['#_Constructed latrines_by_WASHAgencies]]+WWWW[[#This Row],['#_Non Cluster partner latrines]]))</f>
        <v>55</v>
      </c>
      <c r="CS281" s="79">
        <f>1-WWWW[[#This Row],[% people access to functioning Latrine]]</f>
        <v>1</v>
      </c>
      <c r="CT281" s="649">
        <f>IF(OR(WWWW[[#This Row],['#_Non-functional latrines]]="",WWWW[[#This Row],['#_Non-functional latrines]]=0),0,WWWW[[#This Row],['#_Non-functional latrines]]/(WWWW[[#This Row],['#_Constructed latrines_by_WASHAgencies]]+WWWW[[#This Row],['#_Non Cluster partner latrines]]))</f>
        <v>0</v>
      </c>
      <c r="CU281" s="645">
        <f>IF(500*(WWWW[[#This Row],['#_male hygiene promoters]]+WWWW[[#This Row],['#_female hygiene promoters]])&gt;WWWW[[#This Row],[Total PoP ]],WWWW[[#This Row],[Total PoP ]],500*(WWWW[[#This Row],['#_male hygiene promoters]]+WWWW[[#This Row],['#_female hygiene promoters]]))</f>
        <v>0</v>
      </c>
      <c r="CV281"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81"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81" s="647">
        <f>IF(WWWW[[#This Row],['# People with access to soap]]&gt;WWWW[[#This Row],['# People with access to Sanity Pads]],WWWW[[#This Row],['# People with access to soap]],WWWW[[#This Row],['# People with access to Sanity Pads]])</f>
        <v>0</v>
      </c>
      <c r="CY281"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81" s="650">
        <f>IF(WWWW[[#This Row],[HRP3]]/WWWW[[#This Row],[Total PoP ]]&gt;100%,100%,WWWW[[#This Row],[HRP3]]/WWWW[[#This Row],[Total PoP ]])</f>
        <v>0</v>
      </c>
      <c r="DA281" s="649">
        <f>1-WWWW[[#This Row],[Hygiene Coverage%]]</f>
        <v>1</v>
      </c>
      <c r="DB281" s="648">
        <f>WWWW[[#This Row],['# people reached by regular dedicated hygiene promotion_5]]/WWWW[[#This Row],[Total PoP ]]</f>
        <v>0</v>
      </c>
      <c r="DC281" s="648">
        <f>IF(WWWW[[#This Row],['#_households that received standard amount of soap for this quarter]]/WWWW[[#This Row],[Total HH]]&gt;1,1,WWWW[[#This Row],['#_households that received standard amount of soap for this quarter]]/WWWW[[#This Row],[Total HH]])</f>
        <v>0</v>
      </c>
      <c r="DD281" s="648">
        <f>IF(WWWW[[#This Row],['#_households that received standard amount of sanitary pads for this quarter]]/WWWW[[#This Row],[Total HH]]&gt;1,1,WWWW[[#This Row],['#_households that received standard amount of sanitary pads for this quarter]]/WWWW[[#This Row],[Total HH]])</f>
        <v>0</v>
      </c>
      <c r="DE281" s="647">
        <f>WWWW[[#This Row],['#_Constructed/Existing hand washing stations]]-WWWW[[#This Row],['#_Non-Functional_hand_washing_stations]]</f>
        <v>0</v>
      </c>
      <c r="DF281" s="667">
        <f>IF(WWWW[[#This Row],['# Functional hand washing stations during reporting period]]*20&gt;WWWW[[#This Row],[Total HH]],WWWW[[#This Row],[Total HH]],WWWW[[#This Row],['# Functional hand washing stations during reporting period]]*20)</f>
        <v>0</v>
      </c>
      <c r="DG281" s="645">
        <f>IF(WWWW[[#This Row],[Is sufficient soap available for TLS? (Yes/No)]]="yes",WWWW[[#This Row],['#_Constructed/Existing hand washing stations at TLS]],0)</f>
        <v>0</v>
      </c>
      <c r="DH281" s="645">
        <f>IF(WWWW[[#This Row],['# Functional hand washing stations during reporting period]]*100&gt;WWWW[[#This Row],[Total PoP ]],WWWW[[#This Row],[Total PoP ]],WWWW[[#This Row],['# Functional hand washing stations during reporting period]]*100)</f>
        <v>0</v>
      </c>
      <c r="DI281" s="645" t="str">
        <f>IF(WWWW[[#This Row],['#_students at TLS_CFS]]="","No","Yes")</f>
        <v>No</v>
      </c>
      <c r="DJ281" s="643">
        <f>VLOOKUP(WWWW[[#This Row],[Site Name]],SiteDB6[[Site Name]:[CCCM Management]],6,FALSE)</f>
        <v>0</v>
      </c>
      <c r="DK281" s="643">
        <f>VLOOKUP(WWWW[[#This Row],[Site Name]],SiteDB6[[Site Name]:[CCCM Focal Agency]],7,FALSE)</f>
        <v>0</v>
      </c>
      <c r="DL281" s="643" t="str">
        <f>VLOOKUP(WWWW[[#This Row],[Site Name]],SiteDB6[[Site Name]:[Location Type 1]],9,FALSE)</f>
        <v>Village</v>
      </c>
      <c r="DM281" s="643" t="str">
        <f>VLOOKUP(WWWW[[#This Row],[Site Name]],SiteDB6[[Site Name]:[Type of Accommodation]],10,FALSE)</f>
        <v>Village</v>
      </c>
      <c r="DN281" s="643">
        <f>VLOOKUP(WWWW[[#This Row],[Site Name]],SiteDB6[[Site Name]:[Ethnic or GCA/NGCA]],11,FALSE)</f>
        <v>0</v>
      </c>
      <c r="DO281" s="643">
        <f>VLOOKUP(WWWW[[#This Row],[Site Name]],SiteDB6[[Site Name]:[Lat]],12,FALSE)</f>
        <v>0</v>
      </c>
      <c r="DP281" s="643">
        <f>VLOOKUP(WWWW[[#This Row],[Site Name]],SiteDB6[[Site Name]:[Long]],13,FALSE)</f>
        <v>0</v>
      </c>
      <c r="DQ281" s="643">
        <f>VLOOKUP(WWWW[[#This Row],[Site Name]],SiteDB6[[Site Name]:[Pcode]],3,FALSE)</f>
        <v>197020</v>
      </c>
      <c r="DR281" s="652" t="str">
        <f t="shared" si="9"/>
        <v>Covered</v>
      </c>
      <c r="DS281" s="652"/>
    </row>
    <row r="282" spans="1:123">
      <c r="A282" s="637" t="s">
        <v>2525</v>
      </c>
      <c r="B282" s="637" t="s">
        <v>332</v>
      </c>
      <c r="C282" s="644" t="s">
        <v>332</v>
      </c>
      <c r="D282" s="644" t="s">
        <v>325</v>
      </c>
      <c r="E282" s="663" t="s">
        <v>3014</v>
      </c>
      <c r="F282" s="644" t="s">
        <v>330</v>
      </c>
      <c r="G282" s="663" t="str">
        <f>VLOOKUP(WWWW[[#This Row],[Site Name]],SiteDB6[[Site Name]:[Location Type]],8,FALSE)</f>
        <v>Village</v>
      </c>
      <c r="H282" s="644" t="s">
        <v>2908</v>
      </c>
      <c r="I282" s="646">
        <v>37</v>
      </c>
      <c r="J282" s="646">
        <v>119</v>
      </c>
      <c r="K282" s="653">
        <v>42736</v>
      </c>
      <c r="L282" s="654">
        <v>44551</v>
      </c>
      <c r="M282" s="646"/>
      <c r="N282" s="646"/>
      <c r="O282" s="646"/>
      <c r="P282" s="646"/>
      <c r="Q282" s="645"/>
      <c r="R282" s="646"/>
      <c r="S282" s="646"/>
      <c r="T282" s="646"/>
      <c r="U282" s="646"/>
      <c r="V282" s="646"/>
      <c r="W282" s="646"/>
      <c r="X282" s="646"/>
      <c r="Y282" s="646"/>
      <c r="Z282" s="646"/>
      <c r="AA282" s="646"/>
      <c r="AB282" s="646"/>
      <c r="AC282" s="646"/>
      <c r="AD282" s="646"/>
      <c r="AE282" s="646"/>
      <c r="AF282" s="646"/>
      <c r="AG282" s="646"/>
      <c r="AH282" s="646"/>
      <c r="AI282" s="646"/>
      <c r="AJ282" s="646"/>
      <c r="AK282" s="646"/>
      <c r="AL282" s="646"/>
      <c r="AM282" s="646"/>
      <c r="AN282" s="646"/>
      <c r="AO282" s="652"/>
      <c r="AP282" s="646"/>
      <c r="AQ282" s="646"/>
      <c r="AR282" s="648"/>
      <c r="AS282" s="646"/>
      <c r="AT282" s="646"/>
      <c r="AU282" s="646"/>
      <c r="AV282" s="646"/>
      <c r="AW282" s="646"/>
      <c r="AX282" s="643"/>
      <c r="AY282" s="652"/>
      <c r="AZ282" s="646"/>
      <c r="BA282" s="646"/>
      <c r="BB282" s="646"/>
      <c r="BC282" s="643"/>
      <c r="BD282" s="646"/>
      <c r="BE282" s="646"/>
      <c r="BF282" s="646"/>
      <c r="BG282" s="646"/>
      <c r="BH282" s="646"/>
      <c r="BI282" s="646"/>
      <c r="BJ282" s="646"/>
      <c r="BK282" s="646"/>
      <c r="BL282" s="646"/>
      <c r="BM282" s="643"/>
      <c r="BN282" s="647"/>
      <c r="BO282" s="648"/>
      <c r="BP282" s="643"/>
      <c r="BQ282" s="649" t="str">
        <f>IFERROR(WWWW[[#This Row],['#_Water sources treated]]/WWWW[[#This Row],['#_Water sources tested for contamination]],"no test")</f>
        <v>no test</v>
      </c>
      <c r="BR282" s="648" t="str">
        <f>IFERROR(WWWW[[#This Row],['#_Household received remediation action due to contamination]]/WWWW[[#This Row],['#_Household water samples tested for contamination]],"no test")</f>
        <v>no test</v>
      </c>
      <c r="BS282" s="647" t="str">
        <f>IF(AND(WWWW[[#This Row],[% of water sources treated]]="no test",WWWW[[#This Row],[% Household received corrective actions]]="no test"),"No Test","Tested")</f>
        <v>No Test</v>
      </c>
      <c r="BT282" s="647">
        <f>WWWW[[#This Row],['#_Constructed/existing protected hand dug well]]-WWWW[[#This Row],['#_Non-functional protected hand dug well]]</f>
        <v>0</v>
      </c>
      <c r="BU282" s="647">
        <f>(WWWW[[#This Row],['#_Constructed/Existing tube wells/boreholes/handpumps_WASH_agency]]+WWWW[[#This Row],['#_Non-Cluster partner water tube-wells/boreholes/handpumps]])-WWWW[[#This Row],['#_Non-functional tube wells/boreholes/handpumps]]</f>
        <v>0</v>
      </c>
      <c r="BV282" s="647">
        <f>WWWW[[#This Row],['#_Constructed/Existingwater storage tank with gravity fed reticulation system]]-WWWW[[#This Row],['#_Non-functional storage tank gravity fed reticulation system]]</f>
        <v>0</v>
      </c>
      <c r="BW282" s="647">
        <f>WWWW[[#This Row],['#_Water boating or water trucking]]</f>
        <v>0</v>
      </c>
      <c r="BX282" s="647">
        <f>WWWW[[#This Row],['#_Constructed/Existing water distribution system from river or natural spring]]</f>
        <v>0</v>
      </c>
      <c r="BY282"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82"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82" s="648">
        <f>IF(WWWW[[#This Row],[Location Type 1]]="Village",WWWW[[#This Row],[Access to safe drinking water for Village]],WWWW[[#This Row],[Access to safe drinking water for Camp]])</f>
        <v>0</v>
      </c>
      <c r="CB282" s="645">
        <f>WWWW[[#This Row],[%Equitable and continuous access to sufficient quantity of safe drinking water]]*WWWW[[#This Row],[Total PoP ]]</f>
        <v>0</v>
      </c>
      <c r="CC282" s="648">
        <f>IF((WWWW[[#This Row],['#_Constructed/Existing protected/fenced ponds]]*250)/WWWW[[#This Row],[Total PoP ]]&gt;1,1,(WWWW[[#This Row],['#_Constructed/Existing protected/fenced ponds]]*250)/WWWW[[#This Row],[Total PoP ]])</f>
        <v>0</v>
      </c>
      <c r="CD282" s="645">
        <f>WWWW[[#This Row],[% Access to unimproved water points]]*WWWW[[#This Row],[Total PoP ]]</f>
        <v>0</v>
      </c>
      <c r="CE282"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82"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82" s="645">
        <f>WWWW[[#This Row],[HRP1]]/500</f>
        <v>0</v>
      </c>
      <c r="CH282" s="650">
        <f>1-WWWW[[#This Row],[% Equitable and continuous access to sufficient quantity of domestic water]]</f>
        <v>1</v>
      </c>
      <c r="CI282" s="645">
        <f>WWWW[[#This Row],[%equitable and continuous access to sufficient quantity of safe drinking and domestic water''s GAP]]*WWWW[[#This Row],[Total PoP ]]</f>
        <v>119</v>
      </c>
      <c r="CJ282" s="647">
        <f>IF(WWWW[[#This Row],[Total required water points]]-WWWW[[#This Row],['#Water points coverage]]&lt;0,0,WWWW[[#This Row],[Total required water points]]-WWWW[[#This Row],['#Water points coverage]])</f>
        <v>1</v>
      </c>
      <c r="CK282" s="647">
        <f>ROUND(IF(WWWW[[#This Row],[Total PoP ]]&lt;500,1,WWWW[[#This Row],[Total PoP ]]/500),0)</f>
        <v>1</v>
      </c>
      <c r="CL282" s="647">
        <f>(WWWW[[#This Row],['#_Constructed latrines_by_WASHAgencies]]+WWWW[[#This Row],['#_Non Cluster partner latrines]])-WWWW[[#This Row],['#_Non-functional latrines]]</f>
        <v>0</v>
      </c>
      <c r="CM282"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82"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82"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82" s="647" t="str">
        <f>IF(WWWW[[#This Row],[Location Type 1]]="Village","NA",IF(WWWW[[#This Row],['#_Constructed/Existing latrines in TLS]]*50&gt;WWWW[[#This Row],['#_students at TLS_CFS]],WWWW[[#This Row],['#_students at TLS_CFS]],(WWWW[[#This Row],['#_Constructed/Existing latrines in TLS]]*50)))</f>
        <v>NA</v>
      </c>
      <c r="CQ282" s="647">
        <f>ROUND(IF(WWWW[[#This Row],[Location Type 1]]="camp",WWWW[[#This Row],[Total PoP ]]/20,IF(WWWW[[#This Row],[Location Type 1]]="Temporary Location",WWWW[[#This Row],[Total PoP ]]/50,(WWWW[[#This Row],[Total PoP ]]/6))),0)</f>
        <v>20</v>
      </c>
      <c r="CR282" s="647">
        <f>IF(WWWW[[#This Row],[Total required Latrines]]-(WWWW[[#This Row],['#_Constructed latrines_by_WASHAgencies]]+WWWW[[#This Row],['#_Non Cluster partner latrines]])&lt;0,0,WWWW[[#This Row],[Total required Latrines]]-(WWWW[[#This Row],['#_Constructed latrines_by_WASHAgencies]]+WWWW[[#This Row],['#_Non Cluster partner latrines]]))</f>
        <v>20</v>
      </c>
      <c r="CS282" s="79">
        <f>1-WWWW[[#This Row],[% people access to functioning Latrine]]</f>
        <v>1</v>
      </c>
      <c r="CT282" s="649">
        <f>IF(OR(WWWW[[#This Row],['#_Non-functional latrines]]="",WWWW[[#This Row],['#_Non-functional latrines]]=0),0,WWWW[[#This Row],['#_Non-functional latrines]]/(WWWW[[#This Row],['#_Constructed latrines_by_WASHAgencies]]+WWWW[[#This Row],['#_Non Cluster partner latrines]]))</f>
        <v>0</v>
      </c>
      <c r="CU282" s="645">
        <f>IF(500*(WWWW[[#This Row],['#_male hygiene promoters]]+WWWW[[#This Row],['#_female hygiene promoters]])&gt;WWWW[[#This Row],[Total PoP ]],WWWW[[#This Row],[Total PoP ]],500*(WWWW[[#This Row],['#_male hygiene promoters]]+WWWW[[#This Row],['#_female hygiene promoters]]))</f>
        <v>0</v>
      </c>
      <c r="CV282"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82"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82" s="647">
        <f>IF(WWWW[[#This Row],['# People with access to soap]]&gt;WWWW[[#This Row],['# People with access to Sanity Pads]],WWWW[[#This Row],['# People with access to soap]],WWWW[[#This Row],['# People with access to Sanity Pads]])</f>
        <v>0</v>
      </c>
      <c r="CY282"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82" s="650">
        <f>IF(WWWW[[#This Row],[HRP3]]/WWWW[[#This Row],[Total PoP ]]&gt;100%,100%,WWWW[[#This Row],[HRP3]]/WWWW[[#This Row],[Total PoP ]])</f>
        <v>0</v>
      </c>
      <c r="DA282" s="649">
        <f>1-WWWW[[#This Row],[Hygiene Coverage%]]</f>
        <v>1</v>
      </c>
      <c r="DB282" s="648">
        <f>WWWW[[#This Row],['# people reached by regular dedicated hygiene promotion_5]]/WWWW[[#This Row],[Total PoP ]]</f>
        <v>0</v>
      </c>
      <c r="DC282" s="648">
        <f>IF(WWWW[[#This Row],['#_households that received standard amount of soap for this quarter]]/WWWW[[#This Row],[Total HH]]&gt;1,1,WWWW[[#This Row],['#_households that received standard amount of soap for this quarter]]/WWWW[[#This Row],[Total HH]])</f>
        <v>0</v>
      </c>
      <c r="DD282" s="648">
        <f>IF(WWWW[[#This Row],['#_households that received standard amount of sanitary pads for this quarter]]/WWWW[[#This Row],[Total HH]]&gt;1,1,WWWW[[#This Row],['#_households that received standard amount of sanitary pads for this quarter]]/WWWW[[#This Row],[Total HH]])</f>
        <v>0</v>
      </c>
      <c r="DE282" s="647">
        <f>WWWW[[#This Row],['#_Constructed/Existing hand washing stations]]-WWWW[[#This Row],['#_Non-Functional_hand_washing_stations]]</f>
        <v>0</v>
      </c>
      <c r="DF282" s="667">
        <f>IF(WWWW[[#This Row],['# Functional hand washing stations during reporting period]]*20&gt;WWWW[[#This Row],[Total HH]],WWWW[[#This Row],[Total HH]],WWWW[[#This Row],['# Functional hand washing stations during reporting period]]*20)</f>
        <v>0</v>
      </c>
      <c r="DG282" s="645">
        <f>IF(WWWW[[#This Row],[Is sufficient soap available for TLS? (Yes/No)]]="yes",WWWW[[#This Row],['#_Constructed/Existing hand washing stations at TLS]],0)</f>
        <v>0</v>
      </c>
      <c r="DH282" s="645">
        <f>IF(WWWW[[#This Row],['# Functional hand washing stations during reporting period]]*100&gt;WWWW[[#This Row],[Total PoP ]],WWWW[[#This Row],[Total PoP ]],WWWW[[#This Row],['# Functional hand washing stations during reporting period]]*100)</f>
        <v>0</v>
      </c>
      <c r="DI282" s="645" t="str">
        <f>IF(WWWW[[#This Row],['#_students at TLS_CFS]]="","No","Yes")</f>
        <v>No</v>
      </c>
      <c r="DJ282" s="643">
        <f>VLOOKUP(WWWW[[#This Row],[Site Name]],SiteDB6[[Site Name]:[CCCM Management]],6,FALSE)</f>
        <v>0</v>
      </c>
      <c r="DK282" s="643">
        <f>VLOOKUP(WWWW[[#This Row],[Site Name]],SiteDB6[[Site Name]:[CCCM Focal Agency]],7,FALSE)</f>
        <v>0</v>
      </c>
      <c r="DL282" s="643" t="str">
        <f>VLOOKUP(WWWW[[#This Row],[Site Name]],SiteDB6[[Site Name]:[Location Type 1]],9,FALSE)</f>
        <v>Village</v>
      </c>
      <c r="DM282" s="643" t="str">
        <f>VLOOKUP(WWWW[[#This Row],[Site Name]],SiteDB6[[Site Name]:[Type of Accommodation]],10,FALSE)</f>
        <v>Village</v>
      </c>
      <c r="DN282" s="643">
        <f>VLOOKUP(WWWW[[#This Row],[Site Name]],SiteDB6[[Site Name]:[Ethnic or GCA/NGCA]],11,FALSE)</f>
        <v>0</v>
      </c>
      <c r="DO282" s="643">
        <f>VLOOKUP(WWWW[[#This Row],[Site Name]],SiteDB6[[Site Name]:[Lat]],12,FALSE)</f>
        <v>0</v>
      </c>
      <c r="DP282" s="643">
        <f>VLOOKUP(WWWW[[#This Row],[Site Name]],SiteDB6[[Site Name]:[Long]],13,FALSE)</f>
        <v>0</v>
      </c>
      <c r="DQ282" s="643">
        <f>VLOOKUP(WWWW[[#This Row],[Site Name]],SiteDB6[[Site Name]:[Pcode]],3,FALSE)</f>
        <v>197027</v>
      </c>
      <c r="DR282" s="652" t="str">
        <f t="shared" si="9"/>
        <v>Covered</v>
      </c>
      <c r="DS282" s="652"/>
    </row>
    <row r="283" spans="1:123">
      <c r="A283" s="637" t="s">
        <v>2525</v>
      </c>
      <c r="B283" s="637" t="s">
        <v>332</v>
      </c>
      <c r="C283" s="644" t="s">
        <v>332</v>
      </c>
      <c r="D283" s="644" t="s">
        <v>325</v>
      </c>
      <c r="E283" s="663" t="s">
        <v>3014</v>
      </c>
      <c r="F283" s="644" t="s">
        <v>330</v>
      </c>
      <c r="G283" s="663" t="str">
        <f>VLOOKUP(WWWW[[#This Row],[Site Name]],SiteDB6[[Site Name]:[Location Type]],8,FALSE)</f>
        <v>Village</v>
      </c>
      <c r="H283" s="644" t="s">
        <v>2909</v>
      </c>
      <c r="I283" s="646">
        <v>167</v>
      </c>
      <c r="J283" s="646">
        <v>1027</v>
      </c>
      <c r="K283" s="653">
        <v>42736</v>
      </c>
      <c r="L283" s="654">
        <v>44551</v>
      </c>
      <c r="M283" s="646"/>
      <c r="N283" s="646"/>
      <c r="O283" s="646"/>
      <c r="P283" s="646"/>
      <c r="Q283" s="645"/>
      <c r="R283" s="646"/>
      <c r="S283" s="646"/>
      <c r="T283" s="646"/>
      <c r="U283" s="646"/>
      <c r="V283" s="646"/>
      <c r="W283" s="646"/>
      <c r="X283" s="646"/>
      <c r="Y283" s="646"/>
      <c r="Z283" s="646"/>
      <c r="AA283" s="646"/>
      <c r="AB283" s="646"/>
      <c r="AC283" s="646"/>
      <c r="AD283" s="646"/>
      <c r="AE283" s="646"/>
      <c r="AF283" s="646"/>
      <c r="AG283" s="646"/>
      <c r="AH283" s="646"/>
      <c r="AI283" s="646"/>
      <c r="AJ283" s="646"/>
      <c r="AK283" s="646"/>
      <c r="AL283" s="646"/>
      <c r="AM283" s="646"/>
      <c r="AN283" s="646"/>
      <c r="AO283" s="652"/>
      <c r="AP283" s="646"/>
      <c r="AQ283" s="646"/>
      <c r="AR283" s="648"/>
      <c r="AS283" s="646"/>
      <c r="AT283" s="646"/>
      <c r="AU283" s="646"/>
      <c r="AV283" s="646"/>
      <c r="AW283" s="646"/>
      <c r="AX283" s="643"/>
      <c r="AY283" s="652"/>
      <c r="AZ283" s="646"/>
      <c r="BA283" s="646"/>
      <c r="BB283" s="646"/>
      <c r="BC283" s="643"/>
      <c r="BD283" s="646"/>
      <c r="BE283" s="646"/>
      <c r="BF283" s="646"/>
      <c r="BG283" s="646"/>
      <c r="BH283" s="646"/>
      <c r="BI283" s="646"/>
      <c r="BJ283" s="646"/>
      <c r="BK283" s="646"/>
      <c r="BL283" s="646"/>
      <c r="BM283" s="643"/>
      <c r="BN283" s="647"/>
      <c r="BO283" s="648"/>
      <c r="BP283" s="643"/>
      <c r="BQ283" s="649" t="str">
        <f>IFERROR(WWWW[[#This Row],['#_Water sources treated]]/WWWW[[#This Row],['#_Water sources tested for contamination]],"no test")</f>
        <v>no test</v>
      </c>
      <c r="BR283" s="648" t="str">
        <f>IFERROR(WWWW[[#This Row],['#_Household received remediation action due to contamination]]/WWWW[[#This Row],['#_Household water samples tested for contamination]],"no test")</f>
        <v>no test</v>
      </c>
      <c r="BS283" s="647" t="str">
        <f>IF(AND(WWWW[[#This Row],[% of water sources treated]]="no test",WWWW[[#This Row],[% Household received corrective actions]]="no test"),"No Test","Tested")</f>
        <v>No Test</v>
      </c>
      <c r="BT283" s="647">
        <f>WWWW[[#This Row],['#_Constructed/existing protected hand dug well]]-WWWW[[#This Row],['#_Non-functional protected hand dug well]]</f>
        <v>0</v>
      </c>
      <c r="BU283" s="647">
        <f>(WWWW[[#This Row],['#_Constructed/Existing tube wells/boreholes/handpumps_WASH_agency]]+WWWW[[#This Row],['#_Non-Cluster partner water tube-wells/boreholes/handpumps]])-WWWW[[#This Row],['#_Non-functional tube wells/boreholes/handpumps]]</f>
        <v>0</v>
      </c>
      <c r="BV283" s="647">
        <f>WWWW[[#This Row],['#_Constructed/Existingwater storage tank with gravity fed reticulation system]]-WWWW[[#This Row],['#_Non-functional storage tank gravity fed reticulation system]]</f>
        <v>0</v>
      </c>
      <c r="BW283" s="647">
        <f>WWWW[[#This Row],['#_Water boating or water trucking]]</f>
        <v>0</v>
      </c>
      <c r="BX283" s="647">
        <f>WWWW[[#This Row],['#_Constructed/Existing water distribution system from river or natural spring]]</f>
        <v>0</v>
      </c>
      <c r="BY283"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83"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83" s="648">
        <f>IF(WWWW[[#This Row],[Location Type 1]]="Village",WWWW[[#This Row],[Access to safe drinking water for Village]],WWWW[[#This Row],[Access to safe drinking water for Camp]])</f>
        <v>0</v>
      </c>
      <c r="CB283" s="645">
        <f>WWWW[[#This Row],[%Equitable and continuous access to sufficient quantity of safe drinking water]]*WWWW[[#This Row],[Total PoP ]]</f>
        <v>0</v>
      </c>
      <c r="CC283" s="648">
        <f>IF((WWWW[[#This Row],['#_Constructed/Existing protected/fenced ponds]]*250)/WWWW[[#This Row],[Total PoP ]]&gt;1,1,(WWWW[[#This Row],['#_Constructed/Existing protected/fenced ponds]]*250)/WWWW[[#This Row],[Total PoP ]])</f>
        <v>0</v>
      </c>
      <c r="CD283" s="645">
        <f>WWWW[[#This Row],[% Access to unimproved water points]]*WWWW[[#This Row],[Total PoP ]]</f>
        <v>0</v>
      </c>
      <c r="CE283"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83"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83" s="645">
        <f>WWWW[[#This Row],[HRP1]]/500</f>
        <v>0</v>
      </c>
      <c r="CH283" s="650">
        <f>1-WWWW[[#This Row],[% Equitable and continuous access to sufficient quantity of domestic water]]</f>
        <v>1</v>
      </c>
      <c r="CI283" s="645">
        <f>WWWW[[#This Row],[%equitable and continuous access to sufficient quantity of safe drinking and domestic water''s GAP]]*WWWW[[#This Row],[Total PoP ]]</f>
        <v>1027</v>
      </c>
      <c r="CJ283" s="647">
        <f>IF(WWWW[[#This Row],[Total required water points]]-WWWW[[#This Row],['#Water points coverage]]&lt;0,0,WWWW[[#This Row],[Total required water points]]-WWWW[[#This Row],['#Water points coverage]])</f>
        <v>2</v>
      </c>
      <c r="CK283" s="647">
        <f>ROUND(IF(WWWW[[#This Row],[Total PoP ]]&lt;500,1,WWWW[[#This Row],[Total PoP ]]/500),0)</f>
        <v>2</v>
      </c>
      <c r="CL283" s="647">
        <f>(WWWW[[#This Row],['#_Constructed latrines_by_WASHAgencies]]+WWWW[[#This Row],['#_Non Cluster partner latrines]])-WWWW[[#This Row],['#_Non-functional latrines]]</f>
        <v>0</v>
      </c>
      <c r="CM283"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83"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83"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83" s="647" t="str">
        <f>IF(WWWW[[#This Row],[Location Type 1]]="Village","NA",IF(WWWW[[#This Row],['#_Constructed/Existing latrines in TLS]]*50&gt;WWWW[[#This Row],['#_students at TLS_CFS]],WWWW[[#This Row],['#_students at TLS_CFS]],(WWWW[[#This Row],['#_Constructed/Existing latrines in TLS]]*50)))</f>
        <v>NA</v>
      </c>
      <c r="CQ283" s="647">
        <f>ROUND(IF(WWWW[[#This Row],[Location Type 1]]="camp",WWWW[[#This Row],[Total PoP ]]/20,IF(WWWW[[#This Row],[Location Type 1]]="Temporary Location",WWWW[[#This Row],[Total PoP ]]/50,(WWWW[[#This Row],[Total PoP ]]/6))),0)</f>
        <v>171</v>
      </c>
      <c r="CR283" s="647">
        <f>IF(WWWW[[#This Row],[Total required Latrines]]-(WWWW[[#This Row],['#_Constructed latrines_by_WASHAgencies]]+WWWW[[#This Row],['#_Non Cluster partner latrines]])&lt;0,0,WWWW[[#This Row],[Total required Latrines]]-(WWWW[[#This Row],['#_Constructed latrines_by_WASHAgencies]]+WWWW[[#This Row],['#_Non Cluster partner latrines]]))</f>
        <v>171</v>
      </c>
      <c r="CS283" s="79">
        <f>1-WWWW[[#This Row],[% people access to functioning Latrine]]</f>
        <v>1</v>
      </c>
      <c r="CT283" s="649">
        <f>IF(OR(WWWW[[#This Row],['#_Non-functional latrines]]="",WWWW[[#This Row],['#_Non-functional latrines]]=0),0,WWWW[[#This Row],['#_Non-functional latrines]]/(WWWW[[#This Row],['#_Constructed latrines_by_WASHAgencies]]+WWWW[[#This Row],['#_Non Cluster partner latrines]]))</f>
        <v>0</v>
      </c>
      <c r="CU283" s="645">
        <f>IF(500*(WWWW[[#This Row],['#_male hygiene promoters]]+WWWW[[#This Row],['#_female hygiene promoters]])&gt;WWWW[[#This Row],[Total PoP ]],WWWW[[#This Row],[Total PoP ]],500*(WWWW[[#This Row],['#_male hygiene promoters]]+WWWW[[#This Row],['#_female hygiene promoters]]))</f>
        <v>0</v>
      </c>
      <c r="CV283"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83"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83" s="647">
        <f>IF(WWWW[[#This Row],['# People with access to soap]]&gt;WWWW[[#This Row],['# People with access to Sanity Pads]],WWWW[[#This Row],['# People with access to soap]],WWWW[[#This Row],['# People with access to Sanity Pads]])</f>
        <v>0</v>
      </c>
      <c r="CY283"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83" s="650">
        <f>IF(WWWW[[#This Row],[HRP3]]/WWWW[[#This Row],[Total PoP ]]&gt;100%,100%,WWWW[[#This Row],[HRP3]]/WWWW[[#This Row],[Total PoP ]])</f>
        <v>0</v>
      </c>
      <c r="DA283" s="649">
        <f>1-WWWW[[#This Row],[Hygiene Coverage%]]</f>
        <v>1</v>
      </c>
      <c r="DB283" s="648">
        <f>WWWW[[#This Row],['# people reached by regular dedicated hygiene promotion_5]]/WWWW[[#This Row],[Total PoP ]]</f>
        <v>0</v>
      </c>
      <c r="DC283" s="648">
        <f>IF(WWWW[[#This Row],['#_households that received standard amount of soap for this quarter]]/WWWW[[#This Row],[Total HH]]&gt;1,1,WWWW[[#This Row],['#_households that received standard amount of soap for this quarter]]/WWWW[[#This Row],[Total HH]])</f>
        <v>0</v>
      </c>
      <c r="DD283" s="648">
        <f>IF(WWWW[[#This Row],['#_households that received standard amount of sanitary pads for this quarter]]/WWWW[[#This Row],[Total HH]]&gt;1,1,WWWW[[#This Row],['#_households that received standard amount of sanitary pads for this quarter]]/WWWW[[#This Row],[Total HH]])</f>
        <v>0</v>
      </c>
      <c r="DE283" s="647">
        <f>WWWW[[#This Row],['#_Constructed/Existing hand washing stations]]-WWWW[[#This Row],['#_Non-Functional_hand_washing_stations]]</f>
        <v>0</v>
      </c>
      <c r="DF283" s="667">
        <f>IF(WWWW[[#This Row],['# Functional hand washing stations during reporting period]]*20&gt;WWWW[[#This Row],[Total HH]],WWWW[[#This Row],[Total HH]],WWWW[[#This Row],['# Functional hand washing stations during reporting period]]*20)</f>
        <v>0</v>
      </c>
      <c r="DG283" s="645">
        <f>IF(WWWW[[#This Row],[Is sufficient soap available for TLS? (Yes/No)]]="yes",WWWW[[#This Row],['#_Constructed/Existing hand washing stations at TLS]],0)</f>
        <v>0</v>
      </c>
      <c r="DH283" s="645">
        <f>IF(WWWW[[#This Row],['# Functional hand washing stations during reporting period]]*100&gt;WWWW[[#This Row],[Total PoP ]],WWWW[[#This Row],[Total PoP ]],WWWW[[#This Row],['# Functional hand washing stations during reporting period]]*100)</f>
        <v>0</v>
      </c>
      <c r="DI283" s="645" t="str">
        <f>IF(WWWW[[#This Row],['#_students at TLS_CFS]]="","No","Yes")</f>
        <v>No</v>
      </c>
      <c r="DJ283" s="643">
        <f>VLOOKUP(WWWW[[#This Row],[Site Name]],SiteDB6[[Site Name]:[CCCM Management]],6,FALSE)</f>
        <v>0</v>
      </c>
      <c r="DK283" s="643">
        <f>VLOOKUP(WWWW[[#This Row],[Site Name]],SiteDB6[[Site Name]:[CCCM Focal Agency]],7,FALSE)</f>
        <v>0</v>
      </c>
      <c r="DL283" s="643" t="str">
        <f>VLOOKUP(WWWW[[#This Row],[Site Name]],SiteDB6[[Site Name]:[Location Type 1]],9,FALSE)</f>
        <v>Village</v>
      </c>
      <c r="DM283" s="643" t="str">
        <f>VLOOKUP(WWWW[[#This Row],[Site Name]],SiteDB6[[Site Name]:[Type of Accommodation]],10,FALSE)</f>
        <v>Village</v>
      </c>
      <c r="DN283" s="643">
        <f>VLOOKUP(WWWW[[#This Row],[Site Name]],SiteDB6[[Site Name]:[Ethnic or GCA/NGCA]],11,FALSE)</f>
        <v>0</v>
      </c>
      <c r="DO283" s="643">
        <f>VLOOKUP(WWWW[[#This Row],[Site Name]],SiteDB6[[Site Name]:[Lat]],12,FALSE)</f>
        <v>0</v>
      </c>
      <c r="DP283" s="643">
        <f>VLOOKUP(WWWW[[#This Row],[Site Name]],SiteDB6[[Site Name]:[Long]],13,FALSE)</f>
        <v>0</v>
      </c>
      <c r="DQ283" s="643">
        <f>VLOOKUP(WWWW[[#This Row],[Site Name]],SiteDB6[[Site Name]:[Pcode]],3,FALSE)</f>
        <v>197028</v>
      </c>
      <c r="DR283" s="652" t="str">
        <f t="shared" si="9"/>
        <v>Covered</v>
      </c>
      <c r="DS283" s="652"/>
    </row>
    <row r="284" spans="1:123">
      <c r="A284" s="637" t="s">
        <v>2525</v>
      </c>
      <c r="B284" s="637" t="s">
        <v>332</v>
      </c>
      <c r="C284" s="644" t="s">
        <v>332</v>
      </c>
      <c r="D284" s="644" t="s">
        <v>325</v>
      </c>
      <c r="E284" s="663" t="s">
        <v>3014</v>
      </c>
      <c r="F284" s="644" t="s">
        <v>330</v>
      </c>
      <c r="G284" s="663" t="str">
        <f>VLOOKUP(WWWW[[#This Row],[Site Name]],SiteDB6[[Site Name]:[Location Type]],8,FALSE)</f>
        <v>Village</v>
      </c>
      <c r="H284" s="644" t="s">
        <v>2910</v>
      </c>
      <c r="I284" s="646">
        <v>90</v>
      </c>
      <c r="J284" s="646">
        <v>414</v>
      </c>
      <c r="K284" s="653">
        <v>42736</v>
      </c>
      <c r="L284" s="654">
        <v>44551</v>
      </c>
      <c r="M284" s="646"/>
      <c r="N284" s="646"/>
      <c r="O284" s="646"/>
      <c r="P284" s="646"/>
      <c r="Q284" s="645"/>
      <c r="R284" s="646"/>
      <c r="S284" s="646"/>
      <c r="T284" s="646"/>
      <c r="U284" s="646"/>
      <c r="V284" s="646"/>
      <c r="W284" s="646"/>
      <c r="X284" s="646"/>
      <c r="Y284" s="646"/>
      <c r="Z284" s="646"/>
      <c r="AA284" s="646"/>
      <c r="AB284" s="646"/>
      <c r="AC284" s="646"/>
      <c r="AD284" s="646"/>
      <c r="AE284" s="646"/>
      <c r="AF284" s="646"/>
      <c r="AG284" s="646"/>
      <c r="AH284" s="646"/>
      <c r="AI284" s="646"/>
      <c r="AJ284" s="646"/>
      <c r="AK284" s="646"/>
      <c r="AL284" s="646"/>
      <c r="AM284" s="646"/>
      <c r="AN284" s="646"/>
      <c r="AO284" s="652"/>
      <c r="AP284" s="646"/>
      <c r="AQ284" s="646"/>
      <c r="AR284" s="648"/>
      <c r="AS284" s="646"/>
      <c r="AT284" s="646"/>
      <c r="AU284" s="646"/>
      <c r="AV284" s="646"/>
      <c r="AW284" s="646"/>
      <c r="AX284" s="643"/>
      <c r="AY284" s="652"/>
      <c r="AZ284" s="646"/>
      <c r="BA284" s="646"/>
      <c r="BB284" s="646"/>
      <c r="BC284" s="643"/>
      <c r="BD284" s="646"/>
      <c r="BE284" s="646"/>
      <c r="BF284" s="646"/>
      <c r="BG284" s="646"/>
      <c r="BH284" s="646"/>
      <c r="BI284" s="646"/>
      <c r="BJ284" s="646"/>
      <c r="BK284" s="646"/>
      <c r="BL284" s="646"/>
      <c r="BM284" s="643"/>
      <c r="BN284" s="647"/>
      <c r="BO284" s="648"/>
      <c r="BP284" s="643"/>
      <c r="BQ284" s="649" t="str">
        <f>IFERROR(WWWW[[#This Row],['#_Water sources treated]]/WWWW[[#This Row],['#_Water sources tested for contamination]],"no test")</f>
        <v>no test</v>
      </c>
      <c r="BR284" s="648" t="str">
        <f>IFERROR(WWWW[[#This Row],['#_Household received remediation action due to contamination]]/WWWW[[#This Row],['#_Household water samples tested for contamination]],"no test")</f>
        <v>no test</v>
      </c>
      <c r="BS284" s="647" t="str">
        <f>IF(AND(WWWW[[#This Row],[% of water sources treated]]="no test",WWWW[[#This Row],[% Household received corrective actions]]="no test"),"No Test","Tested")</f>
        <v>No Test</v>
      </c>
      <c r="BT284" s="647">
        <f>WWWW[[#This Row],['#_Constructed/existing protected hand dug well]]-WWWW[[#This Row],['#_Non-functional protected hand dug well]]</f>
        <v>0</v>
      </c>
      <c r="BU284" s="647">
        <f>(WWWW[[#This Row],['#_Constructed/Existing tube wells/boreholes/handpumps_WASH_agency]]+WWWW[[#This Row],['#_Non-Cluster partner water tube-wells/boreholes/handpumps]])-WWWW[[#This Row],['#_Non-functional tube wells/boreholes/handpumps]]</f>
        <v>0</v>
      </c>
      <c r="BV284" s="647">
        <f>WWWW[[#This Row],['#_Constructed/Existingwater storage tank with gravity fed reticulation system]]-WWWW[[#This Row],['#_Non-functional storage tank gravity fed reticulation system]]</f>
        <v>0</v>
      </c>
      <c r="BW284" s="647">
        <f>WWWW[[#This Row],['#_Water boating or water trucking]]</f>
        <v>0</v>
      </c>
      <c r="BX284" s="647">
        <f>WWWW[[#This Row],['#_Constructed/Existing water distribution system from river or natural spring]]</f>
        <v>0</v>
      </c>
      <c r="BY284"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84"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84" s="648">
        <f>IF(WWWW[[#This Row],[Location Type 1]]="Village",WWWW[[#This Row],[Access to safe drinking water for Village]],WWWW[[#This Row],[Access to safe drinking water for Camp]])</f>
        <v>0</v>
      </c>
      <c r="CB284" s="645">
        <f>WWWW[[#This Row],[%Equitable and continuous access to sufficient quantity of safe drinking water]]*WWWW[[#This Row],[Total PoP ]]</f>
        <v>0</v>
      </c>
      <c r="CC284" s="648">
        <f>IF((WWWW[[#This Row],['#_Constructed/Existing protected/fenced ponds]]*250)/WWWW[[#This Row],[Total PoP ]]&gt;1,1,(WWWW[[#This Row],['#_Constructed/Existing protected/fenced ponds]]*250)/WWWW[[#This Row],[Total PoP ]])</f>
        <v>0</v>
      </c>
      <c r="CD284" s="645">
        <f>WWWW[[#This Row],[% Access to unimproved water points]]*WWWW[[#This Row],[Total PoP ]]</f>
        <v>0</v>
      </c>
      <c r="CE284"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84"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84" s="645">
        <f>WWWW[[#This Row],[HRP1]]/500</f>
        <v>0</v>
      </c>
      <c r="CH284" s="650">
        <f>1-WWWW[[#This Row],[% Equitable and continuous access to sufficient quantity of domestic water]]</f>
        <v>1</v>
      </c>
      <c r="CI284" s="645">
        <f>WWWW[[#This Row],[%equitable and continuous access to sufficient quantity of safe drinking and domestic water''s GAP]]*WWWW[[#This Row],[Total PoP ]]</f>
        <v>414</v>
      </c>
      <c r="CJ284" s="647">
        <f>IF(WWWW[[#This Row],[Total required water points]]-WWWW[[#This Row],['#Water points coverage]]&lt;0,0,WWWW[[#This Row],[Total required water points]]-WWWW[[#This Row],['#Water points coverage]])</f>
        <v>1</v>
      </c>
      <c r="CK284" s="647">
        <f>ROUND(IF(WWWW[[#This Row],[Total PoP ]]&lt;500,1,WWWW[[#This Row],[Total PoP ]]/500),0)</f>
        <v>1</v>
      </c>
      <c r="CL284" s="647">
        <f>(WWWW[[#This Row],['#_Constructed latrines_by_WASHAgencies]]+WWWW[[#This Row],['#_Non Cluster partner latrines]])-WWWW[[#This Row],['#_Non-functional latrines]]</f>
        <v>0</v>
      </c>
      <c r="CM284"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84"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84"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84" s="647" t="str">
        <f>IF(WWWW[[#This Row],[Location Type 1]]="Village","NA",IF(WWWW[[#This Row],['#_Constructed/Existing latrines in TLS]]*50&gt;WWWW[[#This Row],['#_students at TLS_CFS]],WWWW[[#This Row],['#_students at TLS_CFS]],(WWWW[[#This Row],['#_Constructed/Existing latrines in TLS]]*50)))</f>
        <v>NA</v>
      </c>
      <c r="CQ284" s="647">
        <f>ROUND(IF(WWWW[[#This Row],[Location Type 1]]="camp",WWWW[[#This Row],[Total PoP ]]/20,IF(WWWW[[#This Row],[Location Type 1]]="Temporary Location",WWWW[[#This Row],[Total PoP ]]/50,(WWWW[[#This Row],[Total PoP ]]/6))),0)</f>
        <v>69</v>
      </c>
      <c r="CR284" s="647">
        <f>IF(WWWW[[#This Row],[Total required Latrines]]-(WWWW[[#This Row],['#_Constructed latrines_by_WASHAgencies]]+WWWW[[#This Row],['#_Non Cluster partner latrines]])&lt;0,0,WWWW[[#This Row],[Total required Latrines]]-(WWWW[[#This Row],['#_Constructed latrines_by_WASHAgencies]]+WWWW[[#This Row],['#_Non Cluster partner latrines]]))</f>
        <v>69</v>
      </c>
      <c r="CS284" s="79">
        <f>1-WWWW[[#This Row],[% people access to functioning Latrine]]</f>
        <v>1</v>
      </c>
      <c r="CT284" s="649">
        <f>IF(OR(WWWW[[#This Row],['#_Non-functional latrines]]="",WWWW[[#This Row],['#_Non-functional latrines]]=0),0,WWWW[[#This Row],['#_Non-functional latrines]]/(WWWW[[#This Row],['#_Constructed latrines_by_WASHAgencies]]+WWWW[[#This Row],['#_Non Cluster partner latrines]]))</f>
        <v>0</v>
      </c>
      <c r="CU284" s="645">
        <f>IF(500*(WWWW[[#This Row],['#_male hygiene promoters]]+WWWW[[#This Row],['#_female hygiene promoters]])&gt;WWWW[[#This Row],[Total PoP ]],WWWW[[#This Row],[Total PoP ]],500*(WWWW[[#This Row],['#_male hygiene promoters]]+WWWW[[#This Row],['#_female hygiene promoters]]))</f>
        <v>0</v>
      </c>
      <c r="CV284"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84"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84" s="647">
        <f>IF(WWWW[[#This Row],['# People with access to soap]]&gt;WWWW[[#This Row],['# People with access to Sanity Pads]],WWWW[[#This Row],['# People with access to soap]],WWWW[[#This Row],['# People with access to Sanity Pads]])</f>
        <v>0</v>
      </c>
      <c r="CY284"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84" s="650">
        <f>IF(WWWW[[#This Row],[HRP3]]/WWWW[[#This Row],[Total PoP ]]&gt;100%,100%,WWWW[[#This Row],[HRP3]]/WWWW[[#This Row],[Total PoP ]])</f>
        <v>0</v>
      </c>
      <c r="DA284" s="649">
        <f>1-WWWW[[#This Row],[Hygiene Coverage%]]</f>
        <v>1</v>
      </c>
      <c r="DB284" s="648">
        <f>WWWW[[#This Row],['# people reached by regular dedicated hygiene promotion_5]]/WWWW[[#This Row],[Total PoP ]]</f>
        <v>0</v>
      </c>
      <c r="DC284" s="648">
        <f>IF(WWWW[[#This Row],['#_households that received standard amount of soap for this quarter]]/WWWW[[#This Row],[Total HH]]&gt;1,1,WWWW[[#This Row],['#_households that received standard amount of soap for this quarter]]/WWWW[[#This Row],[Total HH]])</f>
        <v>0</v>
      </c>
      <c r="DD284" s="648">
        <f>IF(WWWW[[#This Row],['#_households that received standard amount of sanitary pads for this quarter]]/WWWW[[#This Row],[Total HH]]&gt;1,1,WWWW[[#This Row],['#_households that received standard amount of sanitary pads for this quarter]]/WWWW[[#This Row],[Total HH]])</f>
        <v>0</v>
      </c>
      <c r="DE284" s="647">
        <f>WWWW[[#This Row],['#_Constructed/Existing hand washing stations]]-WWWW[[#This Row],['#_Non-Functional_hand_washing_stations]]</f>
        <v>0</v>
      </c>
      <c r="DF284" s="667">
        <f>IF(WWWW[[#This Row],['# Functional hand washing stations during reporting period]]*20&gt;WWWW[[#This Row],[Total HH]],WWWW[[#This Row],[Total HH]],WWWW[[#This Row],['# Functional hand washing stations during reporting period]]*20)</f>
        <v>0</v>
      </c>
      <c r="DG284" s="645">
        <f>IF(WWWW[[#This Row],[Is sufficient soap available for TLS? (Yes/No)]]="yes",WWWW[[#This Row],['#_Constructed/Existing hand washing stations at TLS]],0)</f>
        <v>0</v>
      </c>
      <c r="DH284" s="645">
        <f>IF(WWWW[[#This Row],['# Functional hand washing stations during reporting period]]*100&gt;WWWW[[#This Row],[Total PoP ]],WWWW[[#This Row],[Total PoP ]],WWWW[[#This Row],['# Functional hand washing stations during reporting period]]*100)</f>
        <v>0</v>
      </c>
      <c r="DI284" s="645" t="str">
        <f>IF(WWWW[[#This Row],['#_students at TLS_CFS]]="","No","Yes")</f>
        <v>No</v>
      </c>
      <c r="DJ284" s="643">
        <f>VLOOKUP(WWWW[[#This Row],[Site Name]],SiteDB6[[Site Name]:[CCCM Management]],6,FALSE)</f>
        <v>0</v>
      </c>
      <c r="DK284" s="643">
        <f>VLOOKUP(WWWW[[#This Row],[Site Name]],SiteDB6[[Site Name]:[CCCM Focal Agency]],7,FALSE)</f>
        <v>0</v>
      </c>
      <c r="DL284" s="643" t="str">
        <f>VLOOKUP(WWWW[[#This Row],[Site Name]],SiteDB6[[Site Name]:[Location Type 1]],9,FALSE)</f>
        <v>Village</v>
      </c>
      <c r="DM284" s="643" t="str">
        <f>VLOOKUP(WWWW[[#This Row],[Site Name]],SiteDB6[[Site Name]:[Type of Accommodation]],10,FALSE)</f>
        <v>Village</v>
      </c>
      <c r="DN284" s="643">
        <f>VLOOKUP(WWWW[[#This Row],[Site Name]],SiteDB6[[Site Name]:[Ethnic or GCA/NGCA]],11,FALSE)</f>
        <v>0</v>
      </c>
      <c r="DO284" s="643">
        <f>VLOOKUP(WWWW[[#This Row],[Site Name]],SiteDB6[[Site Name]:[Lat]],12,FALSE)</f>
        <v>0</v>
      </c>
      <c r="DP284" s="643">
        <f>VLOOKUP(WWWW[[#This Row],[Site Name]],SiteDB6[[Site Name]:[Long]],13,FALSE)</f>
        <v>0</v>
      </c>
      <c r="DQ284" s="643">
        <f>VLOOKUP(WWWW[[#This Row],[Site Name]],SiteDB6[[Site Name]:[Pcode]],3,FALSE)</f>
        <v>197034</v>
      </c>
      <c r="DR284" s="652" t="str">
        <f t="shared" si="9"/>
        <v>Covered</v>
      </c>
      <c r="DS284" s="652"/>
    </row>
    <row r="285" spans="1:123">
      <c r="A285" s="637" t="s">
        <v>2525</v>
      </c>
      <c r="B285" s="637" t="s">
        <v>332</v>
      </c>
      <c r="C285" s="644" t="s">
        <v>332</v>
      </c>
      <c r="D285" s="644" t="s">
        <v>325</v>
      </c>
      <c r="E285" s="663" t="s">
        <v>3014</v>
      </c>
      <c r="F285" s="644" t="s">
        <v>330</v>
      </c>
      <c r="G285" s="663" t="str">
        <f>VLOOKUP(WWWW[[#This Row],[Site Name]],SiteDB6[[Site Name]:[Location Type]],8,FALSE)</f>
        <v>Village</v>
      </c>
      <c r="H285" s="644" t="s">
        <v>2911</v>
      </c>
      <c r="I285" s="646">
        <v>78</v>
      </c>
      <c r="J285" s="646">
        <v>308</v>
      </c>
      <c r="K285" s="653">
        <v>42736</v>
      </c>
      <c r="L285" s="654">
        <v>44551</v>
      </c>
      <c r="M285" s="646"/>
      <c r="N285" s="646"/>
      <c r="O285" s="646"/>
      <c r="P285" s="646"/>
      <c r="Q285" s="645"/>
      <c r="R285" s="646"/>
      <c r="S285" s="646"/>
      <c r="T285" s="646"/>
      <c r="U285" s="646"/>
      <c r="V285" s="646"/>
      <c r="W285" s="646"/>
      <c r="X285" s="646"/>
      <c r="Y285" s="646"/>
      <c r="Z285" s="646"/>
      <c r="AA285" s="646"/>
      <c r="AB285" s="646"/>
      <c r="AC285" s="646"/>
      <c r="AD285" s="646"/>
      <c r="AE285" s="646"/>
      <c r="AF285" s="646"/>
      <c r="AG285" s="646"/>
      <c r="AH285" s="646"/>
      <c r="AI285" s="646"/>
      <c r="AJ285" s="646"/>
      <c r="AK285" s="646"/>
      <c r="AL285" s="646"/>
      <c r="AM285" s="646"/>
      <c r="AN285" s="646"/>
      <c r="AO285" s="652"/>
      <c r="AP285" s="646"/>
      <c r="AQ285" s="646"/>
      <c r="AR285" s="648"/>
      <c r="AS285" s="646"/>
      <c r="AT285" s="646"/>
      <c r="AU285" s="646"/>
      <c r="AV285" s="646"/>
      <c r="AW285" s="646"/>
      <c r="AX285" s="643"/>
      <c r="AY285" s="652"/>
      <c r="AZ285" s="646"/>
      <c r="BA285" s="646"/>
      <c r="BB285" s="646"/>
      <c r="BC285" s="643"/>
      <c r="BD285" s="646"/>
      <c r="BE285" s="646"/>
      <c r="BF285" s="646"/>
      <c r="BG285" s="646"/>
      <c r="BH285" s="646"/>
      <c r="BI285" s="646"/>
      <c r="BJ285" s="646"/>
      <c r="BK285" s="646"/>
      <c r="BL285" s="646"/>
      <c r="BM285" s="643"/>
      <c r="BN285" s="647"/>
      <c r="BO285" s="648"/>
      <c r="BP285" s="643"/>
      <c r="BQ285" s="649" t="str">
        <f>IFERROR(WWWW[[#This Row],['#_Water sources treated]]/WWWW[[#This Row],['#_Water sources tested for contamination]],"no test")</f>
        <v>no test</v>
      </c>
      <c r="BR285" s="648" t="str">
        <f>IFERROR(WWWW[[#This Row],['#_Household received remediation action due to contamination]]/WWWW[[#This Row],['#_Household water samples tested for contamination]],"no test")</f>
        <v>no test</v>
      </c>
      <c r="BS285" s="647" t="str">
        <f>IF(AND(WWWW[[#This Row],[% of water sources treated]]="no test",WWWW[[#This Row],[% Household received corrective actions]]="no test"),"No Test","Tested")</f>
        <v>No Test</v>
      </c>
      <c r="BT285" s="647">
        <f>WWWW[[#This Row],['#_Constructed/existing protected hand dug well]]-WWWW[[#This Row],['#_Non-functional protected hand dug well]]</f>
        <v>0</v>
      </c>
      <c r="BU285" s="647">
        <f>(WWWW[[#This Row],['#_Constructed/Existing tube wells/boreholes/handpumps_WASH_agency]]+WWWW[[#This Row],['#_Non-Cluster partner water tube-wells/boreholes/handpumps]])-WWWW[[#This Row],['#_Non-functional tube wells/boreholes/handpumps]]</f>
        <v>0</v>
      </c>
      <c r="BV285" s="647">
        <f>WWWW[[#This Row],['#_Constructed/Existingwater storage tank with gravity fed reticulation system]]-WWWW[[#This Row],['#_Non-functional storage tank gravity fed reticulation system]]</f>
        <v>0</v>
      </c>
      <c r="BW285" s="647">
        <f>WWWW[[#This Row],['#_Water boating or water trucking]]</f>
        <v>0</v>
      </c>
      <c r="BX285" s="647">
        <f>WWWW[[#This Row],['#_Constructed/Existing water distribution system from river or natural spring]]</f>
        <v>0</v>
      </c>
      <c r="BY285"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85"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85" s="648">
        <f>IF(WWWW[[#This Row],[Location Type 1]]="Village",WWWW[[#This Row],[Access to safe drinking water for Village]],WWWW[[#This Row],[Access to safe drinking water for Camp]])</f>
        <v>0</v>
      </c>
      <c r="CB285" s="645">
        <f>WWWW[[#This Row],[%Equitable and continuous access to sufficient quantity of safe drinking water]]*WWWW[[#This Row],[Total PoP ]]</f>
        <v>0</v>
      </c>
      <c r="CC285" s="648">
        <f>IF((WWWW[[#This Row],['#_Constructed/Existing protected/fenced ponds]]*250)/WWWW[[#This Row],[Total PoP ]]&gt;1,1,(WWWW[[#This Row],['#_Constructed/Existing protected/fenced ponds]]*250)/WWWW[[#This Row],[Total PoP ]])</f>
        <v>0</v>
      </c>
      <c r="CD285" s="645">
        <f>WWWW[[#This Row],[% Access to unimproved water points]]*WWWW[[#This Row],[Total PoP ]]</f>
        <v>0</v>
      </c>
      <c r="CE285"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85"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85" s="645">
        <f>WWWW[[#This Row],[HRP1]]/500</f>
        <v>0</v>
      </c>
      <c r="CH285" s="650">
        <f>1-WWWW[[#This Row],[% Equitable and continuous access to sufficient quantity of domestic water]]</f>
        <v>1</v>
      </c>
      <c r="CI285" s="645">
        <f>WWWW[[#This Row],[%equitable and continuous access to sufficient quantity of safe drinking and domestic water''s GAP]]*WWWW[[#This Row],[Total PoP ]]</f>
        <v>308</v>
      </c>
      <c r="CJ285" s="647">
        <f>IF(WWWW[[#This Row],[Total required water points]]-WWWW[[#This Row],['#Water points coverage]]&lt;0,0,WWWW[[#This Row],[Total required water points]]-WWWW[[#This Row],['#Water points coverage]])</f>
        <v>1</v>
      </c>
      <c r="CK285" s="647">
        <f>ROUND(IF(WWWW[[#This Row],[Total PoP ]]&lt;500,1,WWWW[[#This Row],[Total PoP ]]/500),0)</f>
        <v>1</v>
      </c>
      <c r="CL285" s="647">
        <f>(WWWW[[#This Row],['#_Constructed latrines_by_WASHAgencies]]+WWWW[[#This Row],['#_Non Cluster partner latrines]])-WWWW[[#This Row],['#_Non-functional latrines]]</f>
        <v>0</v>
      </c>
      <c r="CM285"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85"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85"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85" s="647" t="str">
        <f>IF(WWWW[[#This Row],[Location Type 1]]="Village","NA",IF(WWWW[[#This Row],['#_Constructed/Existing latrines in TLS]]*50&gt;WWWW[[#This Row],['#_students at TLS_CFS]],WWWW[[#This Row],['#_students at TLS_CFS]],(WWWW[[#This Row],['#_Constructed/Existing latrines in TLS]]*50)))</f>
        <v>NA</v>
      </c>
      <c r="CQ285" s="647">
        <f>ROUND(IF(WWWW[[#This Row],[Location Type 1]]="camp",WWWW[[#This Row],[Total PoP ]]/20,IF(WWWW[[#This Row],[Location Type 1]]="Temporary Location",WWWW[[#This Row],[Total PoP ]]/50,(WWWW[[#This Row],[Total PoP ]]/6))),0)</f>
        <v>51</v>
      </c>
      <c r="CR285" s="647">
        <f>IF(WWWW[[#This Row],[Total required Latrines]]-(WWWW[[#This Row],['#_Constructed latrines_by_WASHAgencies]]+WWWW[[#This Row],['#_Non Cluster partner latrines]])&lt;0,0,WWWW[[#This Row],[Total required Latrines]]-(WWWW[[#This Row],['#_Constructed latrines_by_WASHAgencies]]+WWWW[[#This Row],['#_Non Cluster partner latrines]]))</f>
        <v>51</v>
      </c>
      <c r="CS285" s="79">
        <f>1-WWWW[[#This Row],[% people access to functioning Latrine]]</f>
        <v>1</v>
      </c>
      <c r="CT285" s="649">
        <f>IF(OR(WWWW[[#This Row],['#_Non-functional latrines]]="",WWWW[[#This Row],['#_Non-functional latrines]]=0),0,WWWW[[#This Row],['#_Non-functional latrines]]/(WWWW[[#This Row],['#_Constructed latrines_by_WASHAgencies]]+WWWW[[#This Row],['#_Non Cluster partner latrines]]))</f>
        <v>0</v>
      </c>
      <c r="CU285" s="645">
        <f>IF(500*(WWWW[[#This Row],['#_male hygiene promoters]]+WWWW[[#This Row],['#_female hygiene promoters]])&gt;WWWW[[#This Row],[Total PoP ]],WWWW[[#This Row],[Total PoP ]],500*(WWWW[[#This Row],['#_male hygiene promoters]]+WWWW[[#This Row],['#_female hygiene promoters]]))</f>
        <v>0</v>
      </c>
      <c r="CV285"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85"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85" s="647">
        <f>IF(WWWW[[#This Row],['# People with access to soap]]&gt;WWWW[[#This Row],['# People with access to Sanity Pads]],WWWW[[#This Row],['# People with access to soap]],WWWW[[#This Row],['# People with access to Sanity Pads]])</f>
        <v>0</v>
      </c>
      <c r="CY285"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85" s="650">
        <f>IF(WWWW[[#This Row],[HRP3]]/WWWW[[#This Row],[Total PoP ]]&gt;100%,100%,WWWW[[#This Row],[HRP3]]/WWWW[[#This Row],[Total PoP ]])</f>
        <v>0</v>
      </c>
      <c r="DA285" s="649">
        <f>1-WWWW[[#This Row],[Hygiene Coverage%]]</f>
        <v>1</v>
      </c>
      <c r="DB285" s="648">
        <f>WWWW[[#This Row],['# people reached by regular dedicated hygiene promotion_5]]/WWWW[[#This Row],[Total PoP ]]</f>
        <v>0</v>
      </c>
      <c r="DC285" s="648">
        <f>IF(WWWW[[#This Row],['#_households that received standard amount of soap for this quarter]]/WWWW[[#This Row],[Total HH]]&gt;1,1,WWWW[[#This Row],['#_households that received standard amount of soap for this quarter]]/WWWW[[#This Row],[Total HH]])</f>
        <v>0</v>
      </c>
      <c r="DD285" s="648">
        <f>IF(WWWW[[#This Row],['#_households that received standard amount of sanitary pads for this quarter]]/WWWW[[#This Row],[Total HH]]&gt;1,1,WWWW[[#This Row],['#_households that received standard amount of sanitary pads for this quarter]]/WWWW[[#This Row],[Total HH]])</f>
        <v>0</v>
      </c>
      <c r="DE285" s="647">
        <f>WWWW[[#This Row],['#_Constructed/Existing hand washing stations]]-WWWW[[#This Row],['#_Non-Functional_hand_washing_stations]]</f>
        <v>0</v>
      </c>
      <c r="DF285" s="667">
        <f>IF(WWWW[[#This Row],['# Functional hand washing stations during reporting period]]*20&gt;WWWW[[#This Row],[Total HH]],WWWW[[#This Row],[Total HH]],WWWW[[#This Row],['# Functional hand washing stations during reporting period]]*20)</f>
        <v>0</v>
      </c>
      <c r="DG285" s="645">
        <f>IF(WWWW[[#This Row],[Is sufficient soap available for TLS? (Yes/No)]]="yes",WWWW[[#This Row],['#_Constructed/Existing hand washing stations at TLS]],0)</f>
        <v>0</v>
      </c>
      <c r="DH285" s="645">
        <f>IF(WWWW[[#This Row],['# Functional hand washing stations during reporting period]]*100&gt;WWWW[[#This Row],[Total PoP ]],WWWW[[#This Row],[Total PoP ]],WWWW[[#This Row],['# Functional hand washing stations during reporting period]]*100)</f>
        <v>0</v>
      </c>
      <c r="DI285" s="645" t="str">
        <f>IF(WWWW[[#This Row],['#_students at TLS_CFS]]="","No","Yes")</f>
        <v>No</v>
      </c>
      <c r="DJ285" s="643">
        <f>VLOOKUP(WWWW[[#This Row],[Site Name]],SiteDB6[[Site Name]:[CCCM Management]],6,FALSE)</f>
        <v>0</v>
      </c>
      <c r="DK285" s="643">
        <f>VLOOKUP(WWWW[[#This Row],[Site Name]],SiteDB6[[Site Name]:[CCCM Focal Agency]],7,FALSE)</f>
        <v>0</v>
      </c>
      <c r="DL285" s="643" t="str">
        <f>VLOOKUP(WWWW[[#This Row],[Site Name]],SiteDB6[[Site Name]:[Location Type 1]],9,FALSE)</f>
        <v>Village</v>
      </c>
      <c r="DM285" s="643" t="str">
        <f>VLOOKUP(WWWW[[#This Row],[Site Name]],SiteDB6[[Site Name]:[Type of Accommodation]],10,FALSE)</f>
        <v>Village</v>
      </c>
      <c r="DN285" s="643">
        <f>VLOOKUP(WWWW[[#This Row],[Site Name]],SiteDB6[[Site Name]:[Ethnic or GCA/NGCA]],11,FALSE)</f>
        <v>0</v>
      </c>
      <c r="DO285" s="643">
        <f>VLOOKUP(WWWW[[#This Row],[Site Name]],SiteDB6[[Site Name]:[Lat]],12,FALSE)</f>
        <v>0</v>
      </c>
      <c r="DP285" s="643">
        <f>VLOOKUP(WWWW[[#This Row],[Site Name]],SiteDB6[[Site Name]:[Long]],13,FALSE)</f>
        <v>0</v>
      </c>
      <c r="DQ285" s="643">
        <f>VLOOKUP(WWWW[[#This Row],[Site Name]],SiteDB6[[Site Name]:[Pcode]],3,FALSE)</f>
        <v>197036</v>
      </c>
      <c r="DR285" s="652" t="str">
        <f t="shared" si="9"/>
        <v>Covered</v>
      </c>
      <c r="DS285" s="652"/>
    </row>
    <row r="286" spans="1:123">
      <c r="A286" s="637" t="s">
        <v>2525</v>
      </c>
      <c r="B286" s="637" t="s">
        <v>332</v>
      </c>
      <c r="C286" s="644" t="s">
        <v>332</v>
      </c>
      <c r="D286" s="644" t="s">
        <v>325</v>
      </c>
      <c r="E286" s="663" t="s">
        <v>3014</v>
      </c>
      <c r="F286" s="644" t="s">
        <v>330</v>
      </c>
      <c r="G286" s="663" t="str">
        <f>VLOOKUP(WWWW[[#This Row],[Site Name]],SiteDB6[[Site Name]:[Location Type]],8,FALSE)</f>
        <v>Village</v>
      </c>
      <c r="H286" s="644" t="s">
        <v>2912</v>
      </c>
      <c r="I286" s="646">
        <v>85</v>
      </c>
      <c r="J286" s="646">
        <v>413</v>
      </c>
      <c r="K286" s="653">
        <v>42736</v>
      </c>
      <c r="L286" s="654">
        <v>44551</v>
      </c>
      <c r="M286" s="646"/>
      <c r="N286" s="646"/>
      <c r="O286" s="646"/>
      <c r="P286" s="646"/>
      <c r="Q286" s="645"/>
      <c r="R286" s="646"/>
      <c r="S286" s="646"/>
      <c r="T286" s="646"/>
      <c r="U286" s="646"/>
      <c r="V286" s="646"/>
      <c r="W286" s="646"/>
      <c r="X286" s="646"/>
      <c r="Y286" s="646"/>
      <c r="Z286" s="646"/>
      <c r="AA286" s="646"/>
      <c r="AB286" s="646"/>
      <c r="AC286" s="646"/>
      <c r="AD286" s="646"/>
      <c r="AE286" s="646"/>
      <c r="AF286" s="646"/>
      <c r="AG286" s="646"/>
      <c r="AH286" s="646"/>
      <c r="AI286" s="646"/>
      <c r="AJ286" s="646"/>
      <c r="AK286" s="646"/>
      <c r="AL286" s="646"/>
      <c r="AM286" s="646"/>
      <c r="AN286" s="646"/>
      <c r="AO286" s="652"/>
      <c r="AP286" s="646"/>
      <c r="AQ286" s="646"/>
      <c r="AR286" s="648"/>
      <c r="AS286" s="646"/>
      <c r="AT286" s="646"/>
      <c r="AU286" s="646"/>
      <c r="AV286" s="646"/>
      <c r="AW286" s="646"/>
      <c r="AX286" s="643"/>
      <c r="AY286" s="652"/>
      <c r="AZ286" s="646"/>
      <c r="BA286" s="646"/>
      <c r="BB286" s="646"/>
      <c r="BC286" s="643"/>
      <c r="BD286" s="646"/>
      <c r="BE286" s="646"/>
      <c r="BF286" s="646"/>
      <c r="BG286" s="646"/>
      <c r="BH286" s="646"/>
      <c r="BI286" s="646"/>
      <c r="BJ286" s="646"/>
      <c r="BK286" s="646"/>
      <c r="BL286" s="646"/>
      <c r="BM286" s="643"/>
      <c r="BN286" s="647"/>
      <c r="BO286" s="648"/>
      <c r="BP286" s="643"/>
      <c r="BQ286" s="649" t="str">
        <f>IFERROR(WWWW[[#This Row],['#_Water sources treated]]/WWWW[[#This Row],['#_Water sources tested for contamination]],"no test")</f>
        <v>no test</v>
      </c>
      <c r="BR286" s="648" t="str">
        <f>IFERROR(WWWW[[#This Row],['#_Household received remediation action due to contamination]]/WWWW[[#This Row],['#_Household water samples tested for contamination]],"no test")</f>
        <v>no test</v>
      </c>
      <c r="BS286" s="647" t="str">
        <f>IF(AND(WWWW[[#This Row],[% of water sources treated]]="no test",WWWW[[#This Row],[% Household received corrective actions]]="no test"),"No Test","Tested")</f>
        <v>No Test</v>
      </c>
      <c r="BT286" s="647">
        <f>WWWW[[#This Row],['#_Constructed/existing protected hand dug well]]-WWWW[[#This Row],['#_Non-functional protected hand dug well]]</f>
        <v>0</v>
      </c>
      <c r="BU286" s="647">
        <f>(WWWW[[#This Row],['#_Constructed/Existing tube wells/boreholes/handpumps_WASH_agency]]+WWWW[[#This Row],['#_Non-Cluster partner water tube-wells/boreholes/handpumps]])-WWWW[[#This Row],['#_Non-functional tube wells/boreholes/handpumps]]</f>
        <v>0</v>
      </c>
      <c r="BV286" s="647">
        <f>WWWW[[#This Row],['#_Constructed/Existingwater storage tank with gravity fed reticulation system]]-WWWW[[#This Row],['#_Non-functional storage tank gravity fed reticulation system]]</f>
        <v>0</v>
      </c>
      <c r="BW286" s="647">
        <f>WWWW[[#This Row],['#_Water boating or water trucking]]</f>
        <v>0</v>
      </c>
      <c r="BX286" s="647">
        <f>WWWW[[#This Row],['#_Constructed/Existing water distribution system from river or natural spring]]</f>
        <v>0</v>
      </c>
      <c r="BY286"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86"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86" s="648">
        <f>IF(WWWW[[#This Row],[Location Type 1]]="Village",WWWW[[#This Row],[Access to safe drinking water for Village]],WWWW[[#This Row],[Access to safe drinking water for Camp]])</f>
        <v>0</v>
      </c>
      <c r="CB286" s="645">
        <f>WWWW[[#This Row],[%Equitable and continuous access to sufficient quantity of safe drinking water]]*WWWW[[#This Row],[Total PoP ]]</f>
        <v>0</v>
      </c>
      <c r="CC286" s="648">
        <f>IF((WWWW[[#This Row],['#_Constructed/Existing protected/fenced ponds]]*250)/WWWW[[#This Row],[Total PoP ]]&gt;1,1,(WWWW[[#This Row],['#_Constructed/Existing protected/fenced ponds]]*250)/WWWW[[#This Row],[Total PoP ]])</f>
        <v>0</v>
      </c>
      <c r="CD286" s="645">
        <f>WWWW[[#This Row],[% Access to unimproved water points]]*WWWW[[#This Row],[Total PoP ]]</f>
        <v>0</v>
      </c>
      <c r="CE286"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86"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86" s="645">
        <f>WWWW[[#This Row],[HRP1]]/500</f>
        <v>0</v>
      </c>
      <c r="CH286" s="650">
        <f>1-WWWW[[#This Row],[% Equitable and continuous access to sufficient quantity of domestic water]]</f>
        <v>1</v>
      </c>
      <c r="CI286" s="645">
        <f>WWWW[[#This Row],[%equitable and continuous access to sufficient quantity of safe drinking and domestic water''s GAP]]*WWWW[[#This Row],[Total PoP ]]</f>
        <v>413</v>
      </c>
      <c r="CJ286" s="647">
        <f>IF(WWWW[[#This Row],[Total required water points]]-WWWW[[#This Row],['#Water points coverage]]&lt;0,0,WWWW[[#This Row],[Total required water points]]-WWWW[[#This Row],['#Water points coverage]])</f>
        <v>1</v>
      </c>
      <c r="CK286" s="647">
        <f>ROUND(IF(WWWW[[#This Row],[Total PoP ]]&lt;500,1,WWWW[[#This Row],[Total PoP ]]/500),0)</f>
        <v>1</v>
      </c>
      <c r="CL286" s="647">
        <f>(WWWW[[#This Row],['#_Constructed latrines_by_WASHAgencies]]+WWWW[[#This Row],['#_Non Cluster partner latrines]])-WWWW[[#This Row],['#_Non-functional latrines]]</f>
        <v>0</v>
      </c>
      <c r="CM286"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86"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86"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86" s="647" t="str">
        <f>IF(WWWW[[#This Row],[Location Type 1]]="Village","NA",IF(WWWW[[#This Row],['#_Constructed/Existing latrines in TLS]]*50&gt;WWWW[[#This Row],['#_students at TLS_CFS]],WWWW[[#This Row],['#_students at TLS_CFS]],(WWWW[[#This Row],['#_Constructed/Existing latrines in TLS]]*50)))</f>
        <v>NA</v>
      </c>
      <c r="CQ286" s="647">
        <f>ROUND(IF(WWWW[[#This Row],[Location Type 1]]="camp",WWWW[[#This Row],[Total PoP ]]/20,IF(WWWW[[#This Row],[Location Type 1]]="Temporary Location",WWWW[[#This Row],[Total PoP ]]/50,(WWWW[[#This Row],[Total PoP ]]/6))),0)</f>
        <v>69</v>
      </c>
      <c r="CR286" s="647">
        <f>IF(WWWW[[#This Row],[Total required Latrines]]-(WWWW[[#This Row],['#_Constructed latrines_by_WASHAgencies]]+WWWW[[#This Row],['#_Non Cluster partner latrines]])&lt;0,0,WWWW[[#This Row],[Total required Latrines]]-(WWWW[[#This Row],['#_Constructed latrines_by_WASHAgencies]]+WWWW[[#This Row],['#_Non Cluster partner latrines]]))</f>
        <v>69</v>
      </c>
      <c r="CS286" s="79">
        <f>1-WWWW[[#This Row],[% people access to functioning Latrine]]</f>
        <v>1</v>
      </c>
      <c r="CT286" s="649">
        <f>IF(OR(WWWW[[#This Row],['#_Non-functional latrines]]="",WWWW[[#This Row],['#_Non-functional latrines]]=0),0,WWWW[[#This Row],['#_Non-functional latrines]]/(WWWW[[#This Row],['#_Constructed latrines_by_WASHAgencies]]+WWWW[[#This Row],['#_Non Cluster partner latrines]]))</f>
        <v>0</v>
      </c>
      <c r="CU286" s="645">
        <f>IF(500*(WWWW[[#This Row],['#_male hygiene promoters]]+WWWW[[#This Row],['#_female hygiene promoters]])&gt;WWWW[[#This Row],[Total PoP ]],WWWW[[#This Row],[Total PoP ]],500*(WWWW[[#This Row],['#_male hygiene promoters]]+WWWW[[#This Row],['#_female hygiene promoters]]))</f>
        <v>0</v>
      </c>
      <c r="CV286"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86"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86" s="647">
        <f>IF(WWWW[[#This Row],['# People with access to soap]]&gt;WWWW[[#This Row],['# People with access to Sanity Pads]],WWWW[[#This Row],['# People with access to soap]],WWWW[[#This Row],['# People with access to Sanity Pads]])</f>
        <v>0</v>
      </c>
      <c r="CY286"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86" s="650">
        <f>IF(WWWW[[#This Row],[HRP3]]/WWWW[[#This Row],[Total PoP ]]&gt;100%,100%,WWWW[[#This Row],[HRP3]]/WWWW[[#This Row],[Total PoP ]])</f>
        <v>0</v>
      </c>
      <c r="DA286" s="649">
        <f>1-WWWW[[#This Row],[Hygiene Coverage%]]</f>
        <v>1</v>
      </c>
      <c r="DB286" s="648">
        <f>WWWW[[#This Row],['# people reached by regular dedicated hygiene promotion_5]]/WWWW[[#This Row],[Total PoP ]]</f>
        <v>0</v>
      </c>
      <c r="DC286" s="648">
        <f>IF(WWWW[[#This Row],['#_households that received standard amount of soap for this quarter]]/WWWW[[#This Row],[Total HH]]&gt;1,1,WWWW[[#This Row],['#_households that received standard amount of soap for this quarter]]/WWWW[[#This Row],[Total HH]])</f>
        <v>0</v>
      </c>
      <c r="DD286" s="648">
        <f>IF(WWWW[[#This Row],['#_households that received standard amount of sanitary pads for this quarter]]/WWWW[[#This Row],[Total HH]]&gt;1,1,WWWW[[#This Row],['#_households that received standard amount of sanitary pads for this quarter]]/WWWW[[#This Row],[Total HH]])</f>
        <v>0</v>
      </c>
      <c r="DE286" s="647">
        <f>WWWW[[#This Row],['#_Constructed/Existing hand washing stations]]-WWWW[[#This Row],['#_Non-Functional_hand_washing_stations]]</f>
        <v>0</v>
      </c>
      <c r="DF286" s="667">
        <f>IF(WWWW[[#This Row],['# Functional hand washing stations during reporting period]]*20&gt;WWWW[[#This Row],[Total HH]],WWWW[[#This Row],[Total HH]],WWWW[[#This Row],['# Functional hand washing stations during reporting period]]*20)</f>
        <v>0</v>
      </c>
      <c r="DG286" s="645">
        <f>IF(WWWW[[#This Row],[Is sufficient soap available for TLS? (Yes/No)]]="yes",WWWW[[#This Row],['#_Constructed/Existing hand washing stations at TLS]],0)</f>
        <v>0</v>
      </c>
      <c r="DH286" s="645">
        <f>IF(WWWW[[#This Row],['# Functional hand washing stations during reporting period]]*100&gt;WWWW[[#This Row],[Total PoP ]],WWWW[[#This Row],[Total PoP ]],WWWW[[#This Row],['# Functional hand washing stations during reporting period]]*100)</f>
        <v>0</v>
      </c>
      <c r="DI286" s="645" t="str">
        <f>IF(WWWW[[#This Row],['#_students at TLS_CFS]]="","No","Yes")</f>
        <v>No</v>
      </c>
      <c r="DJ286" s="643">
        <f>VLOOKUP(WWWW[[#This Row],[Site Name]],SiteDB6[[Site Name]:[CCCM Management]],6,FALSE)</f>
        <v>0</v>
      </c>
      <c r="DK286" s="643">
        <f>VLOOKUP(WWWW[[#This Row],[Site Name]],SiteDB6[[Site Name]:[CCCM Focal Agency]],7,FALSE)</f>
        <v>0</v>
      </c>
      <c r="DL286" s="643" t="str">
        <f>VLOOKUP(WWWW[[#This Row],[Site Name]],SiteDB6[[Site Name]:[Location Type 1]],9,FALSE)</f>
        <v>Village</v>
      </c>
      <c r="DM286" s="643" t="str">
        <f>VLOOKUP(WWWW[[#This Row],[Site Name]],SiteDB6[[Site Name]:[Type of Accommodation]],10,FALSE)</f>
        <v>Village</v>
      </c>
      <c r="DN286" s="643">
        <f>VLOOKUP(WWWW[[#This Row],[Site Name]],SiteDB6[[Site Name]:[Ethnic or GCA/NGCA]],11,FALSE)</f>
        <v>0</v>
      </c>
      <c r="DO286" s="643">
        <f>VLOOKUP(WWWW[[#This Row],[Site Name]],SiteDB6[[Site Name]:[Lat]],12,FALSE)</f>
        <v>0</v>
      </c>
      <c r="DP286" s="643">
        <f>VLOOKUP(WWWW[[#This Row],[Site Name]],SiteDB6[[Site Name]:[Long]],13,FALSE)</f>
        <v>0</v>
      </c>
      <c r="DQ286" s="643">
        <f>VLOOKUP(WWWW[[#This Row],[Site Name]],SiteDB6[[Site Name]:[Pcode]],3,FALSE)</f>
        <v>197033</v>
      </c>
      <c r="DR286" s="652" t="str">
        <f t="shared" si="9"/>
        <v>Covered</v>
      </c>
      <c r="DS286" s="652"/>
    </row>
    <row r="287" spans="1:123">
      <c r="A287" s="637" t="s">
        <v>2525</v>
      </c>
      <c r="B287" s="637" t="s">
        <v>332</v>
      </c>
      <c r="C287" s="644" t="s">
        <v>332</v>
      </c>
      <c r="D287" s="644" t="s">
        <v>325</v>
      </c>
      <c r="E287" s="663" t="s">
        <v>3014</v>
      </c>
      <c r="F287" s="644" t="s">
        <v>330</v>
      </c>
      <c r="G287" s="663" t="str">
        <f>VLOOKUP(WWWW[[#This Row],[Site Name]],SiteDB6[[Site Name]:[Location Type]],8,FALSE)</f>
        <v>Village</v>
      </c>
      <c r="H287" s="644" t="s">
        <v>2913</v>
      </c>
      <c r="I287" s="646">
        <v>353</v>
      </c>
      <c r="J287" s="646">
        <v>2111</v>
      </c>
      <c r="K287" s="653">
        <v>42736</v>
      </c>
      <c r="L287" s="654">
        <v>44551</v>
      </c>
      <c r="M287" s="646"/>
      <c r="N287" s="646"/>
      <c r="O287" s="646"/>
      <c r="P287" s="646"/>
      <c r="Q287" s="645"/>
      <c r="R287" s="646"/>
      <c r="S287" s="646"/>
      <c r="T287" s="646"/>
      <c r="U287" s="646"/>
      <c r="V287" s="646"/>
      <c r="W287" s="646"/>
      <c r="X287" s="646"/>
      <c r="Y287" s="646"/>
      <c r="Z287" s="646"/>
      <c r="AA287" s="646"/>
      <c r="AB287" s="646"/>
      <c r="AC287" s="646"/>
      <c r="AD287" s="646"/>
      <c r="AE287" s="646"/>
      <c r="AF287" s="646"/>
      <c r="AG287" s="646"/>
      <c r="AH287" s="646"/>
      <c r="AI287" s="646"/>
      <c r="AJ287" s="646"/>
      <c r="AK287" s="646"/>
      <c r="AL287" s="646"/>
      <c r="AM287" s="646"/>
      <c r="AN287" s="646"/>
      <c r="AO287" s="652"/>
      <c r="AP287" s="646"/>
      <c r="AQ287" s="646"/>
      <c r="AR287" s="648"/>
      <c r="AS287" s="646"/>
      <c r="AT287" s="646"/>
      <c r="AU287" s="646"/>
      <c r="AV287" s="646"/>
      <c r="AW287" s="646"/>
      <c r="AX287" s="643"/>
      <c r="AY287" s="652"/>
      <c r="AZ287" s="646"/>
      <c r="BA287" s="646"/>
      <c r="BB287" s="646"/>
      <c r="BC287" s="643"/>
      <c r="BD287" s="646"/>
      <c r="BE287" s="646"/>
      <c r="BF287" s="646"/>
      <c r="BG287" s="646"/>
      <c r="BH287" s="646"/>
      <c r="BI287" s="646"/>
      <c r="BJ287" s="646"/>
      <c r="BK287" s="646"/>
      <c r="BL287" s="646"/>
      <c r="BM287" s="643"/>
      <c r="BN287" s="647"/>
      <c r="BO287" s="648"/>
      <c r="BP287" s="643"/>
      <c r="BQ287" s="649" t="str">
        <f>IFERROR(WWWW[[#This Row],['#_Water sources treated]]/WWWW[[#This Row],['#_Water sources tested for contamination]],"no test")</f>
        <v>no test</v>
      </c>
      <c r="BR287" s="648" t="str">
        <f>IFERROR(WWWW[[#This Row],['#_Household received remediation action due to contamination]]/WWWW[[#This Row],['#_Household water samples tested for contamination]],"no test")</f>
        <v>no test</v>
      </c>
      <c r="BS287" s="647" t="str">
        <f>IF(AND(WWWW[[#This Row],[% of water sources treated]]="no test",WWWW[[#This Row],[% Household received corrective actions]]="no test"),"No Test","Tested")</f>
        <v>No Test</v>
      </c>
      <c r="BT287" s="647">
        <f>WWWW[[#This Row],['#_Constructed/existing protected hand dug well]]-WWWW[[#This Row],['#_Non-functional protected hand dug well]]</f>
        <v>0</v>
      </c>
      <c r="BU287" s="647">
        <f>(WWWW[[#This Row],['#_Constructed/Existing tube wells/boreholes/handpumps_WASH_agency]]+WWWW[[#This Row],['#_Non-Cluster partner water tube-wells/boreholes/handpumps]])-WWWW[[#This Row],['#_Non-functional tube wells/boreholes/handpumps]]</f>
        <v>0</v>
      </c>
      <c r="BV287" s="647">
        <f>WWWW[[#This Row],['#_Constructed/Existingwater storage tank with gravity fed reticulation system]]-WWWW[[#This Row],['#_Non-functional storage tank gravity fed reticulation system]]</f>
        <v>0</v>
      </c>
      <c r="BW287" s="647">
        <f>WWWW[[#This Row],['#_Water boating or water trucking]]</f>
        <v>0</v>
      </c>
      <c r="BX287" s="647">
        <f>WWWW[[#This Row],['#_Constructed/Existing water distribution system from river or natural spring]]</f>
        <v>0</v>
      </c>
      <c r="BY287"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87"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87" s="648">
        <f>IF(WWWW[[#This Row],[Location Type 1]]="Village",WWWW[[#This Row],[Access to safe drinking water for Village]],WWWW[[#This Row],[Access to safe drinking water for Camp]])</f>
        <v>0</v>
      </c>
      <c r="CB287" s="645">
        <f>WWWW[[#This Row],[%Equitable and continuous access to sufficient quantity of safe drinking water]]*WWWW[[#This Row],[Total PoP ]]</f>
        <v>0</v>
      </c>
      <c r="CC287" s="648">
        <f>IF((WWWW[[#This Row],['#_Constructed/Existing protected/fenced ponds]]*250)/WWWW[[#This Row],[Total PoP ]]&gt;1,1,(WWWW[[#This Row],['#_Constructed/Existing protected/fenced ponds]]*250)/WWWW[[#This Row],[Total PoP ]])</f>
        <v>0</v>
      </c>
      <c r="CD287" s="645">
        <f>WWWW[[#This Row],[% Access to unimproved water points]]*WWWW[[#This Row],[Total PoP ]]</f>
        <v>0</v>
      </c>
      <c r="CE287"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87"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87" s="645">
        <f>WWWW[[#This Row],[HRP1]]/500</f>
        <v>0</v>
      </c>
      <c r="CH287" s="650">
        <f>1-WWWW[[#This Row],[% Equitable and continuous access to sufficient quantity of domestic water]]</f>
        <v>1</v>
      </c>
      <c r="CI287" s="645">
        <f>WWWW[[#This Row],[%equitable and continuous access to sufficient quantity of safe drinking and domestic water''s GAP]]*WWWW[[#This Row],[Total PoP ]]</f>
        <v>2111</v>
      </c>
      <c r="CJ287" s="647">
        <f>IF(WWWW[[#This Row],[Total required water points]]-WWWW[[#This Row],['#Water points coverage]]&lt;0,0,WWWW[[#This Row],[Total required water points]]-WWWW[[#This Row],['#Water points coverage]])</f>
        <v>4</v>
      </c>
      <c r="CK287" s="647">
        <f>ROUND(IF(WWWW[[#This Row],[Total PoP ]]&lt;500,1,WWWW[[#This Row],[Total PoP ]]/500),0)</f>
        <v>4</v>
      </c>
      <c r="CL287" s="647">
        <f>(WWWW[[#This Row],['#_Constructed latrines_by_WASHAgencies]]+WWWW[[#This Row],['#_Non Cluster partner latrines]])-WWWW[[#This Row],['#_Non-functional latrines]]</f>
        <v>0</v>
      </c>
      <c r="CM287"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87"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87"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87" s="647" t="str">
        <f>IF(WWWW[[#This Row],[Location Type 1]]="Village","NA",IF(WWWW[[#This Row],['#_Constructed/Existing latrines in TLS]]*50&gt;WWWW[[#This Row],['#_students at TLS_CFS]],WWWW[[#This Row],['#_students at TLS_CFS]],(WWWW[[#This Row],['#_Constructed/Existing latrines in TLS]]*50)))</f>
        <v>NA</v>
      </c>
      <c r="CQ287" s="647">
        <f>ROUND(IF(WWWW[[#This Row],[Location Type 1]]="camp",WWWW[[#This Row],[Total PoP ]]/20,IF(WWWW[[#This Row],[Location Type 1]]="Temporary Location",WWWW[[#This Row],[Total PoP ]]/50,(WWWW[[#This Row],[Total PoP ]]/6))),0)</f>
        <v>352</v>
      </c>
      <c r="CR287" s="647">
        <f>IF(WWWW[[#This Row],[Total required Latrines]]-(WWWW[[#This Row],['#_Constructed latrines_by_WASHAgencies]]+WWWW[[#This Row],['#_Non Cluster partner latrines]])&lt;0,0,WWWW[[#This Row],[Total required Latrines]]-(WWWW[[#This Row],['#_Constructed latrines_by_WASHAgencies]]+WWWW[[#This Row],['#_Non Cluster partner latrines]]))</f>
        <v>352</v>
      </c>
      <c r="CS287" s="79">
        <f>1-WWWW[[#This Row],[% people access to functioning Latrine]]</f>
        <v>1</v>
      </c>
      <c r="CT287" s="649">
        <f>IF(OR(WWWW[[#This Row],['#_Non-functional latrines]]="",WWWW[[#This Row],['#_Non-functional latrines]]=0),0,WWWW[[#This Row],['#_Non-functional latrines]]/(WWWW[[#This Row],['#_Constructed latrines_by_WASHAgencies]]+WWWW[[#This Row],['#_Non Cluster partner latrines]]))</f>
        <v>0</v>
      </c>
      <c r="CU287" s="645">
        <f>IF(500*(WWWW[[#This Row],['#_male hygiene promoters]]+WWWW[[#This Row],['#_female hygiene promoters]])&gt;WWWW[[#This Row],[Total PoP ]],WWWW[[#This Row],[Total PoP ]],500*(WWWW[[#This Row],['#_male hygiene promoters]]+WWWW[[#This Row],['#_female hygiene promoters]]))</f>
        <v>0</v>
      </c>
      <c r="CV287"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87"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87" s="647">
        <f>IF(WWWW[[#This Row],['# People with access to soap]]&gt;WWWW[[#This Row],['# People with access to Sanity Pads]],WWWW[[#This Row],['# People with access to soap]],WWWW[[#This Row],['# People with access to Sanity Pads]])</f>
        <v>0</v>
      </c>
      <c r="CY287"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87" s="650">
        <f>IF(WWWW[[#This Row],[HRP3]]/WWWW[[#This Row],[Total PoP ]]&gt;100%,100%,WWWW[[#This Row],[HRP3]]/WWWW[[#This Row],[Total PoP ]])</f>
        <v>0</v>
      </c>
      <c r="DA287" s="649">
        <f>1-WWWW[[#This Row],[Hygiene Coverage%]]</f>
        <v>1</v>
      </c>
      <c r="DB287" s="648">
        <f>WWWW[[#This Row],['# people reached by regular dedicated hygiene promotion_5]]/WWWW[[#This Row],[Total PoP ]]</f>
        <v>0</v>
      </c>
      <c r="DC287" s="648">
        <f>IF(WWWW[[#This Row],['#_households that received standard amount of soap for this quarter]]/WWWW[[#This Row],[Total HH]]&gt;1,1,WWWW[[#This Row],['#_households that received standard amount of soap for this quarter]]/WWWW[[#This Row],[Total HH]])</f>
        <v>0</v>
      </c>
      <c r="DD287" s="648">
        <f>IF(WWWW[[#This Row],['#_households that received standard amount of sanitary pads for this quarter]]/WWWW[[#This Row],[Total HH]]&gt;1,1,WWWW[[#This Row],['#_households that received standard amount of sanitary pads for this quarter]]/WWWW[[#This Row],[Total HH]])</f>
        <v>0</v>
      </c>
      <c r="DE287" s="647">
        <f>WWWW[[#This Row],['#_Constructed/Existing hand washing stations]]-WWWW[[#This Row],['#_Non-Functional_hand_washing_stations]]</f>
        <v>0</v>
      </c>
      <c r="DF287" s="667">
        <f>IF(WWWW[[#This Row],['# Functional hand washing stations during reporting period]]*20&gt;WWWW[[#This Row],[Total HH]],WWWW[[#This Row],[Total HH]],WWWW[[#This Row],['# Functional hand washing stations during reporting period]]*20)</f>
        <v>0</v>
      </c>
      <c r="DG287" s="645">
        <f>IF(WWWW[[#This Row],[Is sufficient soap available for TLS? (Yes/No)]]="yes",WWWW[[#This Row],['#_Constructed/Existing hand washing stations at TLS]],0)</f>
        <v>0</v>
      </c>
      <c r="DH287" s="645">
        <f>IF(WWWW[[#This Row],['# Functional hand washing stations during reporting period]]*100&gt;WWWW[[#This Row],[Total PoP ]],WWWW[[#This Row],[Total PoP ]],WWWW[[#This Row],['# Functional hand washing stations during reporting period]]*100)</f>
        <v>0</v>
      </c>
      <c r="DI287" s="645" t="str">
        <f>IF(WWWW[[#This Row],['#_students at TLS_CFS]]="","No","Yes")</f>
        <v>No</v>
      </c>
      <c r="DJ287" s="643">
        <f>VLOOKUP(WWWW[[#This Row],[Site Name]],SiteDB6[[Site Name]:[CCCM Management]],6,FALSE)</f>
        <v>0</v>
      </c>
      <c r="DK287" s="643">
        <f>VLOOKUP(WWWW[[#This Row],[Site Name]],SiteDB6[[Site Name]:[CCCM Focal Agency]],7,FALSE)</f>
        <v>0</v>
      </c>
      <c r="DL287" s="643" t="str">
        <f>VLOOKUP(WWWW[[#This Row],[Site Name]],SiteDB6[[Site Name]:[Location Type 1]],9,FALSE)</f>
        <v>Village</v>
      </c>
      <c r="DM287" s="643" t="str">
        <f>VLOOKUP(WWWW[[#This Row],[Site Name]],SiteDB6[[Site Name]:[Type of Accommodation]],10,FALSE)</f>
        <v>Village</v>
      </c>
      <c r="DN287" s="643">
        <f>VLOOKUP(WWWW[[#This Row],[Site Name]],SiteDB6[[Site Name]:[Ethnic or GCA/NGCA]],11,FALSE)</f>
        <v>0</v>
      </c>
      <c r="DO287" s="643">
        <f>VLOOKUP(WWWW[[#This Row],[Site Name]],SiteDB6[[Site Name]:[Lat]],12,FALSE)</f>
        <v>0</v>
      </c>
      <c r="DP287" s="643">
        <f>VLOOKUP(WWWW[[#This Row],[Site Name]],SiteDB6[[Site Name]:[Long]],13,FALSE)</f>
        <v>0</v>
      </c>
      <c r="DQ287" s="643">
        <f>VLOOKUP(WWWW[[#This Row],[Site Name]],SiteDB6[[Site Name]:[Pcode]],3,FALSE)</f>
        <v>197040</v>
      </c>
      <c r="DR287" s="652" t="str">
        <f t="shared" si="9"/>
        <v>Covered</v>
      </c>
      <c r="DS287" s="652"/>
    </row>
    <row r="288" spans="1:123">
      <c r="A288" s="637" t="s">
        <v>2525</v>
      </c>
      <c r="B288" s="637" t="s">
        <v>332</v>
      </c>
      <c r="C288" s="644" t="s">
        <v>332</v>
      </c>
      <c r="D288" s="644" t="s">
        <v>325</v>
      </c>
      <c r="E288" s="663" t="s">
        <v>3014</v>
      </c>
      <c r="F288" s="644" t="s">
        <v>330</v>
      </c>
      <c r="G288" s="663" t="str">
        <f>VLOOKUP(WWWW[[#This Row],[Site Name]],SiteDB6[[Site Name]:[Location Type]],8,FALSE)</f>
        <v>Village</v>
      </c>
      <c r="H288" s="644" t="s">
        <v>2914</v>
      </c>
      <c r="I288" s="646">
        <v>295</v>
      </c>
      <c r="J288" s="646">
        <v>1698</v>
      </c>
      <c r="K288" s="653">
        <v>42736</v>
      </c>
      <c r="L288" s="654">
        <v>44551</v>
      </c>
      <c r="M288" s="646"/>
      <c r="N288" s="646"/>
      <c r="O288" s="646"/>
      <c r="P288" s="646"/>
      <c r="Q288" s="645"/>
      <c r="R288" s="646"/>
      <c r="S288" s="646"/>
      <c r="T288" s="646"/>
      <c r="U288" s="646"/>
      <c r="V288" s="646"/>
      <c r="W288" s="646"/>
      <c r="X288" s="646"/>
      <c r="Y288" s="646"/>
      <c r="Z288" s="646"/>
      <c r="AA288" s="646"/>
      <c r="AB288" s="646"/>
      <c r="AC288" s="646"/>
      <c r="AD288" s="646"/>
      <c r="AE288" s="646"/>
      <c r="AF288" s="646"/>
      <c r="AG288" s="646"/>
      <c r="AH288" s="646"/>
      <c r="AI288" s="646"/>
      <c r="AJ288" s="646"/>
      <c r="AK288" s="646"/>
      <c r="AL288" s="646"/>
      <c r="AM288" s="646"/>
      <c r="AN288" s="646"/>
      <c r="AO288" s="652"/>
      <c r="AP288" s="646"/>
      <c r="AQ288" s="646"/>
      <c r="AR288" s="648"/>
      <c r="AS288" s="646"/>
      <c r="AT288" s="646"/>
      <c r="AU288" s="646"/>
      <c r="AV288" s="646"/>
      <c r="AW288" s="646"/>
      <c r="AX288" s="643"/>
      <c r="AY288" s="652"/>
      <c r="AZ288" s="646"/>
      <c r="BA288" s="646"/>
      <c r="BB288" s="646"/>
      <c r="BC288" s="643"/>
      <c r="BD288" s="646"/>
      <c r="BE288" s="646"/>
      <c r="BF288" s="646"/>
      <c r="BG288" s="646"/>
      <c r="BH288" s="646"/>
      <c r="BI288" s="646"/>
      <c r="BJ288" s="646"/>
      <c r="BK288" s="646"/>
      <c r="BL288" s="646"/>
      <c r="BM288" s="643"/>
      <c r="BN288" s="647"/>
      <c r="BO288" s="648"/>
      <c r="BP288" s="643"/>
      <c r="BQ288" s="649" t="str">
        <f>IFERROR(WWWW[[#This Row],['#_Water sources treated]]/WWWW[[#This Row],['#_Water sources tested for contamination]],"no test")</f>
        <v>no test</v>
      </c>
      <c r="BR288" s="648" t="str">
        <f>IFERROR(WWWW[[#This Row],['#_Household received remediation action due to contamination]]/WWWW[[#This Row],['#_Household water samples tested for contamination]],"no test")</f>
        <v>no test</v>
      </c>
      <c r="BS288" s="647" t="str">
        <f>IF(AND(WWWW[[#This Row],[% of water sources treated]]="no test",WWWW[[#This Row],[% Household received corrective actions]]="no test"),"No Test","Tested")</f>
        <v>No Test</v>
      </c>
      <c r="BT288" s="647">
        <f>WWWW[[#This Row],['#_Constructed/existing protected hand dug well]]-WWWW[[#This Row],['#_Non-functional protected hand dug well]]</f>
        <v>0</v>
      </c>
      <c r="BU288" s="647">
        <f>(WWWW[[#This Row],['#_Constructed/Existing tube wells/boreholes/handpumps_WASH_agency]]+WWWW[[#This Row],['#_Non-Cluster partner water tube-wells/boreholes/handpumps]])-WWWW[[#This Row],['#_Non-functional tube wells/boreholes/handpumps]]</f>
        <v>0</v>
      </c>
      <c r="BV288" s="647">
        <f>WWWW[[#This Row],['#_Constructed/Existingwater storage tank with gravity fed reticulation system]]-WWWW[[#This Row],['#_Non-functional storage tank gravity fed reticulation system]]</f>
        <v>0</v>
      </c>
      <c r="BW288" s="647">
        <f>WWWW[[#This Row],['#_Water boating or water trucking]]</f>
        <v>0</v>
      </c>
      <c r="BX288" s="647">
        <f>WWWW[[#This Row],['#_Constructed/Existing water distribution system from river or natural spring]]</f>
        <v>0</v>
      </c>
      <c r="BY288"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88"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88" s="648">
        <f>IF(WWWW[[#This Row],[Location Type 1]]="Village",WWWW[[#This Row],[Access to safe drinking water for Village]],WWWW[[#This Row],[Access to safe drinking water for Camp]])</f>
        <v>0</v>
      </c>
      <c r="CB288" s="645">
        <f>WWWW[[#This Row],[%Equitable and continuous access to sufficient quantity of safe drinking water]]*WWWW[[#This Row],[Total PoP ]]</f>
        <v>0</v>
      </c>
      <c r="CC288" s="648">
        <f>IF((WWWW[[#This Row],['#_Constructed/Existing protected/fenced ponds]]*250)/WWWW[[#This Row],[Total PoP ]]&gt;1,1,(WWWW[[#This Row],['#_Constructed/Existing protected/fenced ponds]]*250)/WWWW[[#This Row],[Total PoP ]])</f>
        <v>0</v>
      </c>
      <c r="CD288" s="645">
        <f>WWWW[[#This Row],[% Access to unimproved water points]]*WWWW[[#This Row],[Total PoP ]]</f>
        <v>0</v>
      </c>
      <c r="CE288"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88"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88" s="645">
        <f>WWWW[[#This Row],[HRP1]]/500</f>
        <v>0</v>
      </c>
      <c r="CH288" s="650">
        <f>1-WWWW[[#This Row],[% Equitable and continuous access to sufficient quantity of domestic water]]</f>
        <v>1</v>
      </c>
      <c r="CI288" s="645">
        <f>WWWW[[#This Row],[%equitable and continuous access to sufficient quantity of safe drinking and domestic water''s GAP]]*WWWW[[#This Row],[Total PoP ]]</f>
        <v>1698</v>
      </c>
      <c r="CJ288" s="647">
        <f>IF(WWWW[[#This Row],[Total required water points]]-WWWW[[#This Row],['#Water points coverage]]&lt;0,0,WWWW[[#This Row],[Total required water points]]-WWWW[[#This Row],['#Water points coverage]])</f>
        <v>3</v>
      </c>
      <c r="CK288" s="647">
        <f>ROUND(IF(WWWW[[#This Row],[Total PoP ]]&lt;500,1,WWWW[[#This Row],[Total PoP ]]/500),0)</f>
        <v>3</v>
      </c>
      <c r="CL288" s="647">
        <f>(WWWW[[#This Row],['#_Constructed latrines_by_WASHAgencies]]+WWWW[[#This Row],['#_Non Cluster partner latrines]])-WWWW[[#This Row],['#_Non-functional latrines]]</f>
        <v>0</v>
      </c>
      <c r="CM288"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88"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88"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88" s="647" t="str">
        <f>IF(WWWW[[#This Row],[Location Type 1]]="Village","NA",IF(WWWW[[#This Row],['#_Constructed/Existing latrines in TLS]]*50&gt;WWWW[[#This Row],['#_students at TLS_CFS]],WWWW[[#This Row],['#_students at TLS_CFS]],(WWWW[[#This Row],['#_Constructed/Existing latrines in TLS]]*50)))</f>
        <v>NA</v>
      </c>
      <c r="CQ288" s="647">
        <f>ROUND(IF(WWWW[[#This Row],[Location Type 1]]="camp",WWWW[[#This Row],[Total PoP ]]/20,IF(WWWW[[#This Row],[Location Type 1]]="Temporary Location",WWWW[[#This Row],[Total PoP ]]/50,(WWWW[[#This Row],[Total PoP ]]/6))),0)</f>
        <v>283</v>
      </c>
      <c r="CR288" s="647">
        <f>IF(WWWW[[#This Row],[Total required Latrines]]-(WWWW[[#This Row],['#_Constructed latrines_by_WASHAgencies]]+WWWW[[#This Row],['#_Non Cluster partner latrines]])&lt;0,0,WWWW[[#This Row],[Total required Latrines]]-(WWWW[[#This Row],['#_Constructed latrines_by_WASHAgencies]]+WWWW[[#This Row],['#_Non Cluster partner latrines]]))</f>
        <v>283</v>
      </c>
      <c r="CS288" s="79">
        <f>1-WWWW[[#This Row],[% people access to functioning Latrine]]</f>
        <v>1</v>
      </c>
      <c r="CT288" s="649">
        <f>IF(OR(WWWW[[#This Row],['#_Non-functional latrines]]="",WWWW[[#This Row],['#_Non-functional latrines]]=0),0,WWWW[[#This Row],['#_Non-functional latrines]]/(WWWW[[#This Row],['#_Constructed latrines_by_WASHAgencies]]+WWWW[[#This Row],['#_Non Cluster partner latrines]]))</f>
        <v>0</v>
      </c>
      <c r="CU288" s="645">
        <f>IF(500*(WWWW[[#This Row],['#_male hygiene promoters]]+WWWW[[#This Row],['#_female hygiene promoters]])&gt;WWWW[[#This Row],[Total PoP ]],WWWW[[#This Row],[Total PoP ]],500*(WWWW[[#This Row],['#_male hygiene promoters]]+WWWW[[#This Row],['#_female hygiene promoters]]))</f>
        <v>0</v>
      </c>
      <c r="CV288"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88"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88" s="647">
        <f>IF(WWWW[[#This Row],['# People with access to soap]]&gt;WWWW[[#This Row],['# People with access to Sanity Pads]],WWWW[[#This Row],['# People with access to soap]],WWWW[[#This Row],['# People with access to Sanity Pads]])</f>
        <v>0</v>
      </c>
      <c r="CY288"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88" s="650">
        <f>IF(WWWW[[#This Row],[HRP3]]/WWWW[[#This Row],[Total PoP ]]&gt;100%,100%,WWWW[[#This Row],[HRP3]]/WWWW[[#This Row],[Total PoP ]])</f>
        <v>0</v>
      </c>
      <c r="DA288" s="649">
        <f>1-WWWW[[#This Row],[Hygiene Coverage%]]</f>
        <v>1</v>
      </c>
      <c r="DB288" s="648">
        <f>WWWW[[#This Row],['# people reached by regular dedicated hygiene promotion_5]]/WWWW[[#This Row],[Total PoP ]]</f>
        <v>0</v>
      </c>
      <c r="DC288" s="648">
        <f>IF(WWWW[[#This Row],['#_households that received standard amount of soap for this quarter]]/WWWW[[#This Row],[Total HH]]&gt;1,1,WWWW[[#This Row],['#_households that received standard amount of soap for this quarter]]/WWWW[[#This Row],[Total HH]])</f>
        <v>0</v>
      </c>
      <c r="DD288" s="648">
        <f>IF(WWWW[[#This Row],['#_households that received standard amount of sanitary pads for this quarter]]/WWWW[[#This Row],[Total HH]]&gt;1,1,WWWW[[#This Row],['#_households that received standard amount of sanitary pads for this quarter]]/WWWW[[#This Row],[Total HH]])</f>
        <v>0</v>
      </c>
      <c r="DE288" s="647">
        <f>WWWW[[#This Row],['#_Constructed/Existing hand washing stations]]-WWWW[[#This Row],['#_Non-Functional_hand_washing_stations]]</f>
        <v>0</v>
      </c>
      <c r="DF288" s="667">
        <f>IF(WWWW[[#This Row],['# Functional hand washing stations during reporting period]]*20&gt;WWWW[[#This Row],[Total HH]],WWWW[[#This Row],[Total HH]],WWWW[[#This Row],['# Functional hand washing stations during reporting period]]*20)</f>
        <v>0</v>
      </c>
      <c r="DG288" s="645">
        <f>IF(WWWW[[#This Row],[Is sufficient soap available for TLS? (Yes/No)]]="yes",WWWW[[#This Row],['#_Constructed/Existing hand washing stations at TLS]],0)</f>
        <v>0</v>
      </c>
      <c r="DH288" s="645">
        <f>IF(WWWW[[#This Row],['# Functional hand washing stations during reporting period]]*100&gt;WWWW[[#This Row],[Total PoP ]],WWWW[[#This Row],[Total PoP ]],WWWW[[#This Row],['# Functional hand washing stations during reporting period]]*100)</f>
        <v>0</v>
      </c>
      <c r="DI288" s="645" t="str">
        <f>IF(WWWW[[#This Row],['#_students at TLS_CFS]]="","No","Yes")</f>
        <v>No</v>
      </c>
      <c r="DJ288" s="643">
        <f>VLOOKUP(WWWW[[#This Row],[Site Name]],SiteDB6[[Site Name]:[CCCM Management]],6,FALSE)</f>
        <v>0</v>
      </c>
      <c r="DK288" s="643">
        <f>VLOOKUP(WWWW[[#This Row],[Site Name]],SiteDB6[[Site Name]:[CCCM Focal Agency]],7,FALSE)</f>
        <v>0</v>
      </c>
      <c r="DL288" s="643" t="str">
        <f>VLOOKUP(WWWW[[#This Row],[Site Name]],SiteDB6[[Site Name]:[Location Type 1]],9,FALSE)</f>
        <v>Village</v>
      </c>
      <c r="DM288" s="643" t="str">
        <f>VLOOKUP(WWWW[[#This Row],[Site Name]],SiteDB6[[Site Name]:[Type of Accommodation]],10,FALSE)</f>
        <v>Village</v>
      </c>
      <c r="DN288" s="643">
        <f>VLOOKUP(WWWW[[#This Row],[Site Name]],SiteDB6[[Site Name]:[Ethnic or GCA/NGCA]],11,FALSE)</f>
        <v>0</v>
      </c>
      <c r="DO288" s="643">
        <f>VLOOKUP(WWWW[[#This Row],[Site Name]],SiteDB6[[Site Name]:[Lat]],12,FALSE)</f>
        <v>0</v>
      </c>
      <c r="DP288" s="643">
        <f>VLOOKUP(WWWW[[#This Row],[Site Name]],SiteDB6[[Site Name]:[Long]],13,FALSE)</f>
        <v>0</v>
      </c>
      <c r="DQ288" s="643">
        <f>VLOOKUP(WWWW[[#This Row],[Site Name]],SiteDB6[[Site Name]:[Pcode]],3,FALSE)</f>
        <v>197039</v>
      </c>
      <c r="DR288" s="652" t="str">
        <f t="shared" si="9"/>
        <v>Covered</v>
      </c>
      <c r="DS288" s="652"/>
    </row>
    <row r="289" spans="1:123">
      <c r="A289" s="637" t="s">
        <v>2525</v>
      </c>
      <c r="B289" s="637" t="s">
        <v>332</v>
      </c>
      <c r="C289" s="644" t="s">
        <v>332</v>
      </c>
      <c r="D289" s="644" t="s">
        <v>325</v>
      </c>
      <c r="E289" s="663" t="s">
        <v>3014</v>
      </c>
      <c r="F289" s="644" t="s">
        <v>330</v>
      </c>
      <c r="G289" s="663" t="str">
        <f>VLOOKUP(WWWW[[#This Row],[Site Name]],SiteDB6[[Site Name]:[Location Type]],8,FALSE)</f>
        <v>Village</v>
      </c>
      <c r="H289" s="644" t="s">
        <v>2915</v>
      </c>
      <c r="I289" s="646">
        <v>140</v>
      </c>
      <c r="J289" s="646">
        <v>985</v>
      </c>
      <c r="K289" s="653">
        <v>42736</v>
      </c>
      <c r="L289" s="654">
        <v>44551</v>
      </c>
      <c r="M289" s="646"/>
      <c r="N289" s="646"/>
      <c r="O289" s="646"/>
      <c r="P289" s="646"/>
      <c r="Q289" s="645"/>
      <c r="R289" s="646"/>
      <c r="S289" s="646"/>
      <c r="T289" s="646"/>
      <c r="U289" s="646"/>
      <c r="V289" s="646"/>
      <c r="W289" s="646"/>
      <c r="X289" s="646"/>
      <c r="Y289" s="646"/>
      <c r="Z289" s="646"/>
      <c r="AA289" s="646"/>
      <c r="AB289" s="646"/>
      <c r="AC289" s="646"/>
      <c r="AD289" s="646"/>
      <c r="AE289" s="646"/>
      <c r="AF289" s="646"/>
      <c r="AG289" s="646"/>
      <c r="AH289" s="646"/>
      <c r="AI289" s="646"/>
      <c r="AJ289" s="646"/>
      <c r="AK289" s="646"/>
      <c r="AL289" s="646"/>
      <c r="AM289" s="646"/>
      <c r="AN289" s="646"/>
      <c r="AO289" s="652"/>
      <c r="AP289" s="646"/>
      <c r="AQ289" s="646"/>
      <c r="AR289" s="648"/>
      <c r="AS289" s="646"/>
      <c r="AT289" s="646"/>
      <c r="AU289" s="646"/>
      <c r="AV289" s="646"/>
      <c r="AW289" s="646"/>
      <c r="AX289" s="643"/>
      <c r="AY289" s="652"/>
      <c r="AZ289" s="646"/>
      <c r="BA289" s="646"/>
      <c r="BB289" s="646"/>
      <c r="BC289" s="643"/>
      <c r="BD289" s="646"/>
      <c r="BE289" s="646"/>
      <c r="BF289" s="646"/>
      <c r="BG289" s="646"/>
      <c r="BH289" s="646"/>
      <c r="BI289" s="646"/>
      <c r="BJ289" s="646"/>
      <c r="BK289" s="646"/>
      <c r="BL289" s="646"/>
      <c r="BM289" s="643"/>
      <c r="BN289" s="647"/>
      <c r="BO289" s="648"/>
      <c r="BP289" s="643"/>
      <c r="BQ289" s="649" t="str">
        <f>IFERROR(WWWW[[#This Row],['#_Water sources treated]]/WWWW[[#This Row],['#_Water sources tested for contamination]],"no test")</f>
        <v>no test</v>
      </c>
      <c r="BR289" s="648" t="str">
        <f>IFERROR(WWWW[[#This Row],['#_Household received remediation action due to contamination]]/WWWW[[#This Row],['#_Household water samples tested for contamination]],"no test")</f>
        <v>no test</v>
      </c>
      <c r="BS289" s="647" t="str">
        <f>IF(AND(WWWW[[#This Row],[% of water sources treated]]="no test",WWWW[[#This Row],[% Household received corrective actions]]="no test"),"No Test","Tested")</f>
        <v>No Test</v>
      </c>
      <c r="BT289" s="647">
        <f>WWWW[[#This Row],['#_Constructed/existing protected hand dug well]]-WWWW[[#This Row],['#_Non-functional protected hand dug well]]</f>
        <v>0</v>
      </c>
      <c r="BU289" s="647">
        <f>(WWWW[[#This Row],['#_Constructed/Existing tube wells/boreholes/handpumps_WASH_agency]]+WWWW[[#This Row],['#_Non-Cluster partner water tube-wells/boreholes/handpumps]])-WWWW[[#This Row],['#_Non-functional tube wells/boreholes/handpumps]]</f>
        <v>0</v>
      </c>
      <c r="BV289" s="647">
        <f>WWWW[[#This Row],['#_Constructed/Existingwater storage tank with gravity fed reticulation system]]-WWWW[[#This Row],['#_Non-functional storage tank gravity fed reticulation system]]</f>
        <v>0</v>
      </c>
      <c r="BW289" s="647">
        <f>WWWW[[#This Row],['#_Water boating or water trucking]]</f>
        <v>0</v>
      </c>
      <c r="BX289" s="647">
        <f>WWWW[[#This Row],['#_Constructed/Existing water distribution system from river or natural spring]]</f>
        <v>0</v>
      </c>
      <c r="BY289"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89"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89" s="648">
        <f>IF(WWWW[[#This Row],[Location Type 1]]="Village",WWWW[[#This Row],[Access to safe drinking water for Village]],WWWW[[#This Row],[Access to safe drinking water for Camp]])</f>
        <v>0</v>
      </c>
      <c r="CB289" s="645">
        <f>WWWW[[#This Row],[%Equitable and continuous access to sufficient quantity of safe drinking water]]*WWWW[[#This Row],[Total PoP ]]</f>
        <v>0</v>
      </c>
      <c r="CC289" s="648">
        <f>IF((WWWW[[#This Row],['#_Constructed/Existing protected/fenced ponds]]*250)/WWWW[[#This Row],[Total PoP ]]&gt;1,1,(WWWW[[#This Row],['#_Constructed/Existing protected/fenced ponds]]*250)/WWWW[[#This Row],[Total PoP ]])</f>
        <v>0</v>
      </c>
      <c r="CD289" s="645">
        <f>WWWW[[#This Row],[% Access to unimproved water points]]*WWWW[[#This Row],[Total PoP ]]</f>
        <v>0</v>
      </c>
      <c r="CE289"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89"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89" s="645">
        <f>WWWW[[#This Row],[HRP1]]/500</f>
        <v>0</v>
      </c>
      <c r="CH289" s="650">
        <f>1-WWWW[[#This Row],[% Equitable and continuous access to sufficient quantity of domestic water]]</f>
        <v>1</v>
      </c>
      <c r="CI289" s="645">
        <f>WWWW[[#This Row],[%equitable and continuous access to sufficient quantity of safe drinking and domestic water''s GAP]]*WWWW[[#This Row],[Total PoP ]]</f>
        <v>985</v>
      </c>
      <c r="CJ289" s="647">
        <f>IF(WWWW[[#This Row],[Total required water points]]-WWWW[[#This Row],['#Water points coverage]]&lt;0,0,WWWW[[#This Row],[Total required water points]]-WWWW[[#This Row],['#Water points coverage]])</f>
        <v>2</v>
      </c>
      <c r="CK289" s="647">
        <f>ROUND(IF(WWWW[[#This Row],[Total PoP ]]&lt;500,1,WWWW[[#This Row],[Total PoP ]]/500),0)</f>
        <v>2</v>
      </c>
      <c r="CL289" s="647">
        <f>(WWWW[[#This Row],['#_Constructed latrines_by_WASHAgencies]]+WWWW[[#This Row],['#_Non Cluster partner latrines]])-WWWW[[#This Row],['#_Non-functional latrines]]</f>
        <v>0</v>
      </c>
      <c r="CM289"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89"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89"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89" s="647" t="str">
        <f>IF(WWWW[[#This Row],[Location Type 1]]="Village","NA",IF(WWWW[[#This Row],['#_Constructed/Existing latrines in TLS]]*50&gt;WWWW[[#This Row],['#_students at TLS_CFS]],WWWW[[#This Row],['#_students at TLS_CFS]],(WWWW[[#This Row],['#_Constructed/Existing latrines in TLS]]*50)))</f>
        <v>NA</v>
      </c>
      <c r="CQ289" s="647">
        <f>ROUND(IF(WWWW[[#This Row],[Location Type 1]]="camp",WWWW[[#This Row],[Total PoP ]]/20,IF(WWWW[[#This Row],[Location Type 1]]="Temporary Location",WWWW[[#This Row],[Total PoP ]]/50,(WWWW[[#This Row],[Total PoP ]]/6))),0)</f>
        <v>164</v>
      </c>
      <c r="CR289" s="647">
        <f>IF(WWWW[[#This Row],[Total required Latrines]]-(WWWW[[#This Row],['#_Constructed latrines_by_WASHAgencies]]+WWWW[[#This Row],['#_Non Cluster partner latrines]])&lt;0,0,WWWW[[#This Row],[Total required Latrines]]-(WWWW[[#This Row],['#_Constructed latrines_by_WASHAgencies]]+WWWW[[#This Row],['#_Non Cluster partner latrines]]))</f>
        <v>164</v>
      </c>
      <c r="CS289" s="79">
        <f>1-WWWW[[#This Row],[% people access to functioning Latrine]]</f>
        <v>1</v>
      </c>
      <c r="CT289" s="649">
        <f>IF(OR(WWWW[[#This Row],['#_Non-functional latrines]]="",WWWW[[#This Row],['#_Non-functional latrines]]=0),0,WWWW[[#This Row],['#_Non-functional latrines]]/(WWWW[[#This Row],['#_Constructed latrines_by_WASHAgencies]]+WWWW[[#This Row],['#_Non Cluster partner latrines]]))</f>
        <v>0</v>
      </c>
      <c r="CU289" s="645">
        <f>IF(500*(WWWW[[#This Row],['#_male hygiene promoters]]+WWWW[[#This Row],['#_female hygiene promoters]])&gt;WWWW[[#This Row],[Total PoP ]],WWWW[[#This Row],[Total PoP ]],500*(WWWW[[#This Row],['#_male hygiene promoters]]+WWWW[[#This Row],['#_female hygiene promoters]]))</f>
        <v>0</v>
      </c>
      <c r="CV289"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89"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89" s="647">
        <f>IF(WWWW[[#This Row],['# People with access to soap]]&gt;WWWW[[#This Row],['# People with access to Sanity Pads]],WWWW[[#This Row],['# People with access to soap]],WWWW[[#This Row],['# People with access to Sanity Pads]])</f>
        <v>0</v>
      </c>
      <c r="CY289"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89" s="650">
        <f>IF(WWWW[[#This Row],[HRP3]]/WWWW[[#This Row],[Total PoP ]]&gt;100%,100%,WWWW[[#This Row],[HRP3]]/WWWW[[#This Row],[Total PoP ]])</f>
        <v>0</v>
      </c>
      <c r="DA289" s="649">
        <f>1-WWWW[[#This Row],[Hygiene Coverage%]]</f>
        <v>1</v>
      </c>
      <c r="DB289" s="648">
        <f>WWWW[[#This Row],['# people reached by regular dedicated hygiene promotion_5]]/WWWW[[#This Row],[Total PoP ]]</f>
        <v>0</v>
      </c>
      <c r="DC289" s="648">
        <f>IF(WWWW[[#This Row],['#_households that received standard amount of soap for this quarter]]/WWWW[[#This Row],[Total HH]]&gt;1,1,WWWW[[#This Row],['#_households that received standard amount of soap for this quarter]]/WWWW[[#This Row],[Total HH]])</f>
        <v>0</v>
      </c>
      <c r="DD289" s="648">
        <f>IF(WWWW[[#This Row],['#_households that received standard amount of sanitary pads for this quarter]]/WWWW[[#This Row],[Total HH]]&gt;1,1,WWWW[[#This Row],['#_households that received standard amount of sanitary pads for this quarter]]/WWWW[[#This Row],[Total HH]])</f>
        <v>0</v>
      </c>
      <c r="DE289" s="647">
        <f>WWWW[[#This Row],['#_Constructed/Existing hand washing stations]]-WWWW[[#This Row],['#_Non-Functional_hand_washing_stations]]</f>
        <v>0</v>
      </c>
      <c r="DF289" s="667">
        <f>IF(WWWW[[#This Row],['# Functional hand washing stations during reporting period]]*20&gt;WWWW[[#This Row],[Total HH]],WWWW[[#This Row],[Total HH]],WWWW[[#This Row],['# Functional hand washing stations during reporting period]]*20)</f>
        <v>0</v>
      </c>
      <c r="DG289" s="645">
        <f>IF(WWWW[[#This Row],[Is sufficient soap available for TLS? (Yes/No)]]="yes",WWWW[[#This Row],['#_Constructed/Existing hand washing stations at TLS]],0)</f>
        <v>0</v>
      </c>
      <c r="DH289" s="645">
        <f>IF(WWWW[[#This Row],['# Functional hand washing stations during reporting period]]*100&gt;WWWW[[#This Row],[Total PoP ]],WWWW[[#This Row],[Total PoP ]],WWWW[[#This Row],['# Functional hand washing stations during reporting period]]*100)</f>
        <v>0</v>
      </c>
      <c r="DI289" s="645" t="str">
        <f>IF(WWWW[[#This Row],['#_students at TLS_CFS]]="","No","Yes")</f>
        <v>No</v>
      </c>
      <c r="DJ289" s="643">
        <f>VLOOKUP(WWWW[[#This Row],[Site Name]],SiteDB6[[Site Name]:[CCCM Management]],6,FALSE)</f>
        <v>0</v>
      </c>
      <c r="DK289" s="643">
        <f>VLOOKUP(WWWW[[#This Row],[Site Name]],SiteDB6[[Site Name]:[CCCM Focal Agency]],7,FALSE)</f>
        <v>0</v>
      </c>
      <c r="DL289" s="643" t="str">
        <f>VLOOKUP(WWWW[[#This Row],[Site Name]],SiteDB6[[Site Name]:[Location Type 1]],9,FALSE)</f>
        <v>Village</v>
      </c>
      <c r="DM289" s="643" t="str">
        <f>VLOOKUP(WWWW[[#This Row],[Site Name]],SiteDB6[[Site Name]:[Type of Accommodation]],10,FALSE)</f>
        <v>Village</v>
      </c>
      <c r="DN289" s="643">
        <f>VLOOKUP(WWWW[[#This Row],[Site Name]],SiteDB6[[Site Name]:[Ethnic or GCA/NGCA]],11,FALSE)</f>
        <v>0</v>
      </c>
      <c r="DO289" s="643">
        <f>VLOOKUP(WWWW[[#This Row],[Site Name]],SiteDB6[[Site Name]:[Lat]],12,FALSE)</f>
        <v>0</v>
      </c>
      <c r="DP289" s="643">
        <f>VLOOKUP(WWWW[[#This Row],[Site Name]],SiteDB6[[Site Name]:[Long]],13,FALSE)</f>
        <v>0</v>
      </c>
      <c r="DQ289" s="643">
        <f>VLOOKUP(WWWW[[#This Row],[Site Name]],SiteDB6[[Site Name]:[Pcode]],3,FALSE)</f>
        <v>197041</v>
      </c>
      <c r="DR289" s="652" t="str">
        <f t="shared" si="9"/>
        <v>Covered</v>
      </c>
      <c r="DS289" s="652"/>
    </row>
    <row r="290" spans="1:123">
      <c r="A290" s="637" t="s">
        <v>2525</v>
      </c>
      <c r="B290" s="637" t="s">
        <v>332</v>
      </c>
      <c r="C290" s="644" t="s">
        <v>332</v>
      </c>
      <c r="D290" s="644" t="s">
        <v>325</v>
      </c>
      <c r="E290" s="663" t="s">
        <v>3014</v>
      </c>
      <c r="F290" s="644" t="s">
        <v>330</v>
      </c>
      <c r="G290" s="663" t="str">
        <f>VLOOKUP(WWWW[[#This Row],[Site Name]],SiteDB6[[Site Name]:[Location Type]],8,FALSE)</f>
        <v>Village</v>
      </c>
      <c r="H290" s="644" t="s">
        <v>2916</v>
      </c>
      <c r="I290" s="646">
        <v>157</v>
      </c>
      <c r="J290" s="646">
        <v>735</v>
      </c>
      <c r="K290" s="653">
        <v>42736</v>
      </c>
      <c r="L290" s="654">
        <v>44551</v>
      </c>
      <c r="M290" s="646"/>
      <c r="N290" s="646"/>
      <c r="O290" s="646"/>
      <c r="P290" s="646"/>
      <c r="Q290" s="645"/>
      <c r="R290" s="646"/>
      <c r="S290" s="646"/>
      <c r="T290" s="646"/>
      <c r="U290" s="646"/>
      <c r="V290" s="646"/>
      <c r="W290" s="646"/>
      <c r="X290" s="646"/>
      <c r="Y290" s="646"/>
      <c r="Z290" s="646"/>
      <c r="AA290" s="646"/>
      <c r="AB290" s="646"/>
      <c r="AC290" s="646"/>
      <c r="AD290" s="646"/>
      <c r="AE290" s="646"/>
      <c r="AF290" s="646"/>
      <c r="AG290" s="646"/>
      <c r="AH290" s="646"/>
      <c r="AI290" s="646"/>
      <c r="AJ290" s="646"/>
      <c r="AK290" s="646"/>
      <c r="AL290" s="646"/>
      <c r="AM290" s="646"/>
      <c r="AN290" s="646"/>
      <c r="AO290" s="652"/>
      <c r="AP290" s="646"/>
      <c r="AQ290" s="646"/>
      <c r="AR290" s="648"/>
      <c r="AS290" s="646"/>
      <c r="AT290" s="646"/>
      <c r="AU290" s="646"/>
      <c r="AV290" s="646"/>
      <c r="AW290" s="646"/>
      <c r="AX290" s="643"/>
      <c r="AY290" s="652"/>
      <c r="AZ290" s="646"/>
      <c r="BA290" s="646"/>
      <c r="BB290" s="646"/>
      <c r="BC290" s="643"/>
      <c r="BD290" s="646"/>
      <c r="BE290" s="646"/>
      <c r="BF290" s="646"/>
      <c r="BG290" s="646"/>
      <c r="BH290" s="646"/>
      <c r="BI290" s="646"/>
      <c r="BJ290" s="646"/>
      <c r="BK290" s="646"/>
      <c r="BL290" s="646"/>
      <c r="BM290" s="643"/>
      <c r="BN290" s="647"/>
      <c r="BO290" s="648"/>
      <c r="BP290" s="643"/>
      <c r="BQ290" s="649" t="str">
        <f>IFERROR(WWWW[[#This Row],['#_Water sources treated]]/WWWW[[#This Row],['#_Water sources tested for contamination]],"no test")</f>
        <v>no test</v>
      </c>
      <c r="BR290" s="648" t="str">
        <f>IFERROR(WWWW[[#This Row],['#_Household received remediation action due to contamination]]/WWWW[[#This Row],['#_Household water samples tested for contamination]],"no test")</f>
        <v>no test</v>
      </c>
      <c r="BS290" s="647" t="str">
        <f>IF(AND(WWWW[[#This Row],[% of water sources treated]]="no test",WWWW[[#This Row],[% Household received corrective actions]]="no test"),"No Test","Tested")</f>
        <v>No Test</v>
      </c>
      <c r="BT290" s="647">
        <f>WWWW[[#This Row],['#_Constructed/existing protected hand dug well]]-WWWW[[#This Row],['#_Non-functional protected hand dug well]]</f>
        <v>0</v>
      </c>
      <c r="BU290" s="647">
        <f>(WWWW[[#This Row],['#_Constructed/Existing tube wells/boreholes/handpumps_WASH_agency]]+WWWW[[#This Row],['#_Non-Cluster partner water tube-wells/boreholes/handpumps]])-WWWW[[#This Row],['#_Non-functional tube wells/boreholes/handpumps]]</f>
        <v>0</v>
      </c>
      <c r="BV290" s="647">
        <f>WWWW[[#This Row],['#_Constructed/Existingwater storage tank with gravity fed reticulation system]]-WWWW[[#This Row],['#_Non-functional storage tank gravity fed reticulation system]]</f>
        <v>0</v>
      </c>
      <c r="BW290" s="647">
        <f>WWWW[[#This Row],['#_Water boating or water trucking]]</f>
        <v>0</v>
      </c>
      <c r="BX290" s="647">
        <f>WWWW[[#This Row],['#_Constructed/Existing water distribution system from river or natural spring]]</f>
        <v>0</v>
      </c>
      <c r="BY290"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90"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90" s="648">
        <f>IF(WWWW[[#This Row],[Location Type 1]]="Village",WWWW[[#This Row],[Access to safe drinking water for Village]],WWWW[[#This Row],[Access to safe drinking water for Camp]])</f>
        <v>0</v>
      </c>
      <c r="CB290" s="645">
        <f>WWWW[[#This Row],[%Equitable and continuous access to sufficient quantity of safe drinking water]]*WWWW[[#This Row],[Total PoP ]]</f>
        <v>0</v>
      </c>
      <c r="CC290" s="648">
        <f>IF((WWWW[[#This Row],['#_Constructed/Existing protected/fenced ponds]]*250)/WWWW[[#This Row],[Total PoP ]]&gt;1,1,(WWWW[[#This Row],['#_Constructed/Existing protected/fenced ponds]]*250)/WWWW[[#This Row],[Total PoP ]])</f>
        <v>0</v>
      </c>
      <c r="CD290" s="645">
        <f>WWWW[[#This Row],[% Access to unimproved water points]]*WWWW[[#This Row],[Total PoP ]]</f>
        <v>0</v>
      </c>
      <c r="CE290"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90"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90" s="645">
        <f>WWWW[[#This Row],[HRP1]]/500</f>
        <v>0</v>
      </c>
      <c r="CH290" s="650">
        <f>1-WWWW[[#This Row],[% Equitable and continuous access to sufficient quantity of domestic water]]</f>
        <v>1</v>
      </c>
      <c r="CI290" s="645">
        <f>WWWW[[#This Row],[%equitable and continuous access to sufficient quantity of safe drinking and domestic water''s GAP]]*WWWW[[#This Row],[Total PoP ]]</f>
        <v>735</v>
      </c>
      <c r="CJ290" s="647">
        <f>IF(WWWW[[#This Row],[Total required water points]]-WWWW[[#This Row],['#Water points coverage]]&lt;0,0,WWWW[[#This Row],[Total required water points]]-WWWW[[#This Row],['#Water points coverage]])</f>
        <v>1</v>
      </c>
      <c r="CK290" s="647">
        <f>ROUND(IF(WWWW[[#This Row],[Total PoP ]]&lt;500,1,WWWW[[#This Row],[Total PoP ]]/500),0)</f>
        <v>1</v>
      </c>
      <c r="CL290" s="647">
        <f>(WWWW[[#This Row],['#_Constructed latrines_by_WASHAgencies]]+WWWW[[#This Row],['#_Non Cluster partner latrines]])-WWWW[[#This Row],['#_Non-functional latrines]]</f>
        <v>0</v>
      </c>
      <c r="CM290"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90"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90"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90" s="647" t="str">
        <f>IF(WWWW[[#This Row],[Location Type 1]]="Village","NA",IF(WWWW[[#This Row],['#_Constructed/Existing latrines in TLS]]*50&gt;WWWW[[#This Row],['#_students at TLS_CFS]],WWWW[[#This Row],['#_students at TLS_CFS]],(WWWW[[#This Row],['#_Constructed/Existing latrines in TLS]]*50)))</f>
        <v>NA</v>
      </c>
      <c r="CQ290" s="647">
        <f>ROUND(IF(WWWW[[#This Row],[Location Type 1]]="camp",WWWW[[#This Row],[Total PoP ]]/20,IF(WWWW[[#This Row],[Location Type 1]]="Temporary Location",WWWW[[#This Row],[Total PoP ]]/50,(WWWW[[#This Row],[Total PoP ]]/6))),0)</f>
        <v>123</v>
      </c>
      <c r="CR290" s="647">
        <f>IF(WWWW[[#This Row],[Total required Latrines]]-(WWWW[[#This Row],['#_Constructed latrines_by_WASHAgencies]]+WWWW[[#This Row],['#_Non Cluster partner latrines]])&lt;0,0,WWWW[[#This Row],[Total required Latrines]]-(WWWW[[#This Row],['#_Constructed latrines_by_WASHAgencies]]+WWWW[[#This Row],['#_Non Cluster partner latrines]]))</f>
        <v>123</v>
      </c>
      <c r="CS290" s="79">
        <f>1-WWWW[[#This Row],[% people access to functioning Latrine]]</f>
        <v>1</v>
      </c>
      <c r="CT290" s="649">
        <f>IF(OR(WWWW[[#This Row],['#_Non-functional latrines]]="",WWWW[[#This Row],['#_Non-functional latrines]]=0),0,WWWW[[#This Row],['#_Non-functional latrines]]/(WWWW[[#This Row],['#_Constructed latrines_by_WASHAgencies]]+WWWW[[#This Row],['#_Non Cluster partner latrines]]))</f>
        <v>0</v>
      </c>
      <c r="CU290" s="645">
        <f>IF(500*(WWWW[[#This Row],['#_male hygiene promoters]]+WWWW[[#This Row],['#_female hygiene promoters]])&gt;WWWW[[#This Row],[Total PoP ]],WWWW[[#This Row],[Total PoP ]],500*(WWWW[[#This Row],['#_male hygiene promoters]]+WWWW[[#This Row],['#_female hygiene promoters]]))</f>
        <v>0</v>
      </c>
      <c r="CV290"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90"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90" s="647">
        <f>IF(WWWW[[#This Row],['# People with access to soap]]&gt;WWWW[[#This Row],['# People with access to Sanity Pads]],WWWW[[#This Row],['# People with access to soap]],WWWW[[#This Row],['# People with access to Sanity Pads]])</f>
        <v>0</v>
      </c>
      <c r="CY290"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90" s="650">
        <f>IF(WWWW[[#This Row],[HRP3]]/WWWW[[#This Row],[Total PoP ]]&gt;100%,100%,WWWW[[#This Row],[HRP3]]/WWWW[[#This Row],[Total PoP ]])</f>
        <v>0</v>
      </c>
      <c r="DA290" s="649">
        <f>1-WWWW[[#This Row],[Hygiene Coverage%]]</f>
        <v>1</v>
      </c>
      <c r="DB290" s="648">
        <f>WWWW[[#This Row],['# people reached by regular dedicated hygiene promotion_5]]/WWWW[[#This Row],[Total PoP ]]</f>
        <v>0</v>
      </c>
      <c r="DC290" s="648">
        <f>IF(WWWW[[#This Row],['#_households that received standard amount of soap for this quarter]]/WWWW[[#This Row],[Total HH]]&gt;1,1,WWWW[[#This Row],['#_households that received standard amount of soap for this quarter]]/WWWW[[#This Row],[Total HH]])</f>
        <v>0</v>
      </c>
      <c r="DD290" s="648">
        <f>IF(WWWW[[#This Row],['#_households that received standard amount of sanitary pads for this quarter]]/WWWW[[#This Row],[Total HH]]&gt;1,1,WWWW[[#This Row],['#_households that received standard amount of sanitary pads for this quarter]]/WWWW[[#This Row],[Total HH]])</f>
        <v>0</v>
      </c>
      <c r="DE290" s="647">
        <f>WWWW[[#This Row],['#_Constructed/Existing hand washing stations]]-WWWW[[#This Row],['#_Non-Functional_hand_washing_stations]]</f>
        <v>0</v>
      </c>
      <c r="DF290" s="667">
        <f>IF(WWWW[[#This Row],['# Functional hand washing stations during reporting period]]*20&gt;WWWW[[#This Row],[Total HH]],WWWW[[#This Row],[Total HH]],WWWW[[#This Row],['# Functional hand washing stations during reporting period]]*20)</f>
        <v>0</v>
      </c>
      <c r="DG290" s="645">
        <f>IF(WWWW[[#This Row],[Is sufficient soap available for TLS? (Yes/No)]]="yes",WWWW[[#This Row],['#_Constructed/Existing hand washing stations at TLS]],0)</f>
        <v>0</v>
      </c>
      <c r="DH290" s="645">
        <f>IF(WWWW[[#This Row],['# Functional hand washing stations during reporting period]]*100&gt;WWWW[[#This Row],[Total PoP ]],WWWW[[#This Row],[Total PoP ]],WWWW[[#This Row],['# Functional hand washing stations during reporting period]]*100)</f>
        <v>0</v>
      </c>
      <c r="DI290" s="645" t="str">
        <f>IF(WWWW[[#This Row],['#_students at TLS_CFS]]="","No","Yes")</f>
        <v>No</v>
      </c>
      <c r="DJ290" s="643">
        <f>VLOOKUP(WWWW[[#This Row],[Site Name]],SiteDB6[[Site Name]:[CCCM Management]],6,FALSE)</f>
        <v>0</v>
      </c>
      <c r="DK290" s="643">
        <f>VLOOKUP(WWWW[[#This Row],[Site Name]],SiteDB6[[Site Name]:[CCCM Focal Agency]],7,FALSE)</f>
        <v>0</v>
      </c>
      <c r="DL290" s="643" t="str">
        <f>VLOOKUP(WWWW[[#This Row],[Site Name]],SiteDB6[[Site Name]:[Location Type 1]],9,FALSE)</f>
        <v>Village</v>
      </c>
      <c r="DM290" s="643" t="str">
        <f>VLOOKUP(WWWW[[#This Row],[Site Name]],SiteDB6[[Site Name]:[Type of Accommodation]],10,FALSE)</f>
        <v>Village</v>
      </c>
      <c r="DN290" s="643">
        <f>VLOOKUP(WWWW[[#This Row],[Site Name]],SiteDB6[[Site Name]:[Ethnic or GCA/NGCA]],11,FALSE)</f>
        <v>0</v>
      </c>
      <c r="DO290" s="643">
        <f>VLOOKUP(WWWW[[#This Row],[Site Name]],SiteDB6[[Site Name]:[Lat]],12,FALSE)</f>
        <v>0</v>
      </c>
      <c r="DP290" s="643">
        <f>VLOOKUP(WWWW[[#This Row],[Site Name]],SiteDB6[[Site Name]:[Long]],13,FALSE)</f>
        <v>0</v>
      </c>
      <c r="DQ290" s="643">
        <f>VLOOKUP(WWWW[[#This Row],[Site Name]],SiteDB6[[Site Name]:[Pcode]],3,FALSE)</f>
        <v>197042</v>
      </c>
      <c r="DR290" s="652" t="str">
        <f t="shared" si="9"/>
        <v>Covered</v>
      </c>
      <c r="DS290" s="652"/>
    </row>
    <row r="291" spans="1:123">
      <c r="A291" s="637" t="s">
        <v>2525</v>
      </c>
      <c r="B291" s="637" t="s">
        <v>332</v>
      </c>
      <c r="C291" s="644" t="s">
        <v>332</v>
      </c>
      <c r="D291" s="644" t="s">
        <v>325</v>
      </c>
      <c r="E291" s="663" t="s">
        <v>3014</v>
      </c>
      <c r="F291" s="644" t="s">
        <v>330</v>
      </c>
      <c r="G291" s="663" t="str">
        <f>VLOOKUP(WWWW[[#This Row],[Site Name]],SiteDB6[[Site Name]:[Location Type]],8,FALSE)</f>
        <v>Village</v>
      </c>
      <c r="H291" s="644" t="s">
        <v>2917</v>
      </c>
      <c r="I291" s="646">
        <v>35</v>
      </c>
      <c r="J291" s="646">
        <v>142</v>
      </c>
      <c r="K291" s="653">
        <v>42736</v>
      </c>
      <c r="L291" s="654">
        <v>44551</v>
      </c>
      <c r="M291" s="646"/>
      <c r="N291" s="646"/>
      <c r="O291" s="646"/>
      <c r="P291" s="646"/>
      <c r="Q291" s="645"/>
      <c r="R291" s="646"/>
      <c r="S291" s="646"/>
      <c r="T291" s="646"/>
      <c r="U291" s="646"/>
      <c r="V291" s="646"/>
      <c r="W291" s="646"/>
      <c r="X291" s="646"/>
      <c r="Y291" s="646"/>
      <c r="Z291" s="646"/>
      <c r="AA291" s="646"/>
      <c r="AB291" s="646"/>
      <c r="AC291" s="646"/>
      <c r="AD291" s="646"/>
      <c r="AE291" s="646"/>
      <c r="AF291" s="646"/>
      <c r="AG291" s="646"/>
      <c r="AH291" s="646"/>
      <c r="AI291" s="646"/>
      <c r="AJ291" s="646"/>
      <c r="AK291" s="646"/>
      <c r="AL291" s="646"/>
      <c r="AM291" s="646"/>
      <c r="AN291" s="646"/>
      <c r="AO291" s="652"/>
      <c r="AP291" s="646"/>
      <c r="AQ291" s="646"/>
      <c r="AR291" s="648"/>
      <c r="AS291" s="646"/>
      <c r="AT291" s="646"/>
      <c r="AU291" s="646"/>
      <c r="AV291" s="646"/>
      <c r="AW291" s="646"/>
      <c r="AX291" s="643"/>
      <c r="AY291" s="652"/>
      <c r="AZ291" s="646"/>
      <c r="BA291" s="646"/>
      <c r="BB291" s="646"/>
      <c r="BC291" s="643"/>
      <c r="BD291" s="646"/>
      <c r="BE291" s="646"/>
      <c r="BF291" s="646"/>
      <c r="BG291" s="646"/>
      <c r="BH291" s="646"/>
      <c r="BI291" s="646"/>
      <c r="BJ291" s="646"/>
      <c r="BK291" s="646"/>
      <c r="BL291" s="646"/>
      <c r="BM291" s="643"/>
      <c r="BN291" s="647"/>
      <c r="BO291" s="648"/>
      <c r="BP291" s="643"/>
      <c r="BQ291" s="649" t="str">
        <f>IFERROR(WWWW[[#This Row],['#_Water sources treated]]/WWWW[[#This Row],['#_Water sources tested for contamination]],"no test")</f>
        <v>no test</v>
      </c>
      <c r="BR291" s="648" t="str">
        <f>IFERROR(WWWW[[#This Row],['#_Household received remediation action due to contamination]]/WWWW[[#This Row],['#_Household water samples tested for contamination]],"no test")</f>
        <v>no test</v>
      </c>
      <c r="BS291" s="647" t="str">
        <f>IF(AND(WWWW[[#This Row],[% of water sources treated]]="no test",WWWW[[#This Row],[% Household received corrective actions]]="no test"),"No Test","Tested")</f>
        <v>No Test</v>
      </c>
      <c r="BT291" s="647">
        <f>WWWW[[#This Row],['#_Constructed/existing protected hand dug well]]-WWWW[[#This Row],['#_Non-functional protected hand dug well]]</f>
        <v>0</v>
      </c>
      <c r="BU291" s="647">
        <f>(WWWW[[#This Row],['#_Constructed/Existing tube wells/boreholes/handpumps_WASH_agency]]+WWWW[[#This Row],['#_Non-Cluster partner water tube-wells/boreholes/handpumps]])-WWWW[[#This Row],['#_Non-functional tube wells/boreholes/handpumps]]</f>
        <v>0</v>
      </c>
      <c r="BV291" s="647">
        <f>WWWW[[#This Row],['#_Constructed/Existingwater storage tank with gravity fed reticulation system]]-WWWW[[#This Row],['#_Non-functional storage tank gravity fed reticulation system]]</f>
        <v>0</v>
      </c>
      <c r="BW291" s="647">
        <f>WWWW[[#This Row],['#_Water boating or water trucking]]</f>
        <v>0</v>
      </c>
      <c r="BX291" s="647">
        <f>WWWW[[#This Row],['#_Constructed/Existing water distribution system from river or natural spring]]</f>
        <v>0</v>
      </c>
      <c r="BY291"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91"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91" s="648">
        <f>IF(WWWW[[#This Row],[Location Type 1]]="Village",WWWW[[#This Row],[Access to safe drinking water for Village]],WWWW[[#This Row],[Access to safe drinking water for Camp]])</f>
        <v>0</v>
      </c>
      <c r="CB291" s="645">
        <f>WWWW[[#This Row],[%Equitable and continuous access to sufficient quantity of safe drinking water]]*WWWW[[#This Row],[Total PoP ]]</f>
        <v>0</v>
      </c>
      <c r="CC291" s="648">
        <f>IF((WWWW[[#This Row],['#_Constructed/Existing protected/fenced ponds]]*250)/WWWW[[#This Row],[Total PoP ]]&gt;1,1,(WWWW[[#This Row],['#_Constructed/Existing protected/fenced ponds]]*250)/WWWW[[#This Row],[Total PoP ]])</f>
        <v>0</v>
      </c>
      <c r="CD291" s="645">
        <f>WWWW[[#This Row],[% Access to unimproved water points]]*WWWW[[#This Row],[Total PoP ]]</f>
        <v>0</v>
      </c>
      <c r="CE291"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91"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91" s="645">
        <f>WWWW[[#This Row],[HRP1]]/500</f>
        <v>0</v>
      </c>
      <c r="CH291" s="650">
        <f>1-WWWW[[#This Row],[% Equitable and continuous access to sufficient quantity of domestic water]]</f>
        <v>1</v>
      </c>
      <c r="CI291" s="645">
        <f>WWWW[[#This Row],[%equitable and continuous access to sufficient quantity of safe drinking and domestic water''s GAP]]*WWWW[[#This Row],[Total PoP ]]</f>
        <v>142</v>
      </c>
      <c r="CJ291" s="647">
        <f>IF(WWWW[[#This Row],[Total required water points]]-WWWW[[#This Row],['#Water points coverage]]&lt;0,0,WWWW[[#This Row],[Total required water points]]-WWWW[[#This Row],['#Water points coverage]])</f>
        <v>1</v>
      </c>
      <c r="CK291" s="647">
        <f>ROUND(IF(WWWW[[#This Row],[Total PoP ]]&lt;500,1,WWWW[[#This Row],[Total PoP ]]/500),0)</f>
        <v>1</v>
      </c>
      <c r="CL291" s="647">
        <f>(WWWW[[#This Row],['#_Constructed latrines_by_WASHAgencies]]+WWWW[[#This Row],['#_Non Cluster partner latrines]])-WWWW[[#This Row],['#_Non-functional latrines]]</f>
        <v>0</v>
      </c>
      <c r="CM291"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91"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91"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91" s="647" t="str">
        <f>IF(WWWW[[#This Row],[Location Type 1]]="Village","NA",IF(WWWW[[#This Row],['#_Constructed/Existing latrines in TLS]]*50&gt;WWWW[[#This Row],['#_students at TLS_CFS]],WWWW[[#This Row],['#_students at TLS_CFS]],(WWWW[[#This Row],['#_Constructed/Existing latrines in TLS]]*50)))</f>
        <v>NA</v>
      </c>
      <c r="CQ291" s="647">
        <f>ROUND(IF(WWWW[[#This Row],[Location Type 1]]="camp",WWWW[[#This Row],[Total PoP ]]/20,IF(WWWW[[#This Row],[Location Type 1]]="Temporary Location",WWWW[[#This Row],[Total PoP ]]/50,(WWWW[[#This Row],[Total PoP ]]/6))),0)</f>
        <v>24</v>
      </c>
      <c r="CR291" s="647">
        <f>IF(WWWW[[#This Row],[Total required Latrines]]-(WWWW[[#This Row],['#_Constructed latrines_by_WASHAgencies]]+WWWW[[#This Row],['#_Non Cluster partner latrines]])&lt;0,0,WWWW[[#This Row],[Total required Latrines]]-(WWWW[[#This Row],['#_Constructed latrines_by_WASHAgencies]]+WWWW[[#This Row],['#_Non Cluster partner latrines]]))</f>
        <v>24</v>
      </c>
      <c r="CS291" s="79">
        <f>1-WWWW[[#This Row],[% people access to functioning Latrine]]</f>
        <v>1</v>
      </c>
      <c r="CT291" s="649">
        <f>IF(OR(WWWW[[#This Row],['#_Non-functional latrines]]="",WWWW[[#This Row],['#_Non-functional latrines]]=0),0,WWWW[[#This Row],['#_Non-functional latrines]]/(WWWW[[#This Row],['#_Constructed latrines_by_WASHAgencies]]+WWWW[[#This Row],['#_Non Cluster partner latrines]]))</f>
        <v>0</v>
      </c>
      <c r="CU291" s="645">
        <f>IF(500*(WWWW[[#This Row],['#_male hygiene promoters]]+WWWW[[#This Row],['#_female hygiene promoters]])&gt;WWWW[[#This Row],[Total PoP ]],WWWW[[#This Row],[Total PoP ]],500*(WWWW[[#This Row],['#_male hygiene promoters]]+WWWW[[#This Row],['#_female hygiene promoters]]))</f>
        <v>0</v>
      </c>
      <c r="CV291"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91"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91" s="647">
        <f>IF(WWWW[[#This Row],['# People with access to soap]]&gt;WWWW[[#This Row],['# People with access to Sanity Pads]],WWWW[[#This Row],['# People with access to soap]],WWWW[[#This Row],['# People with access to Sanity Pads]])</f>
        <v>0</v>
      </c>
      <c r="CY291"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91" s="650">
        <f>IF(WWWW[[#This Row],[HRP3]]/WWWW[[#This Row],[Total PoP ]]&gt;100%,100%,WWWW[[#This Row],[HRP3]]/WWWW[[#This Row],[Total PoP ]])</f>
        <v>0</v>
      </c>
      <c r="DA291" s="649">
        <f>1-WWWW[[#This Row],[Hygiene Coverage%]]</f>
        <v>1</v>
      </c>
      <c r="DB291" s="648">
        <f>WWWW[[#This Row],['# people reached by regular dedicated hygiene promotion_5]]/WWWW[[#This Row],[Total PoP ]]</f>
        <v>0</v>
      </c>
      <c r="DC291" s="648">
        <f>IF(WWWW[[#This Row],['#_households that received standard amount of soap for this quarter]]/WWWW[[#This Row],[Total HH]]&gt;1,1,WWWW[[#This Row],['#_households that received standard amount of soap for this quarter]]/WWWW[[#This Row],[Total HH]])</f>
        <v>0</v>
      </c>
      <c r="DD291" s="648">
        <f>IF(WWWW[[#This Row],['#_households that received standard amount of sanitary pads for this quarter]]/WWWW[[#This Row],[Total HH]]&gt;1,1,WWWW[[#This Row],['#_households that received standard amount of sanitary pads for this quarter]]/WWWW[[#This Row],[Total HH]])</f>
        <v>0</v>
      </c>
      <c r="DE291" s="647">
        <f>WWWW[[#This Row],['#_Constructed/Existing hand washing stations]]-WWWW[[#This Row],['#_Non-Functional_hand_washing_stations]]</f>
        <v>0</v>
      </c>
      <c r="DF291" s="667">
        <f>IF(WWWW[[#This Row],['# Functional hand washing stations during reporting period]]*20&gt;WWWW[[#This Row],[Total HH]],WWWW[[#This Row],[Total HH]],WWWW[[#This Row],['# Functional hand washing stations during reporting period]]*20)</f>
        <v>0</v>
      </c>
      <c r="DG291" s="645">
        <f>IF(WWWW[[#This Row],[Is sufficient soap available for TLS? (Yes/No)]]="yes",WWWW[[#This Row],['#_Constructed/Existing hand washing stations at TLS]],0)</f>
        <v>0</v>
      </c>
      <c r="DH291" s="645">
        <f>IF(WWWW[[#This Row],['# Functional hand washing stations during reporting period]]*100&gt;WWWW[[#This Row],[Total PoP ]],WWWW[[#This Row],[Total PoP ]],WWWW[[#This Row],['# Functional hand washing stations during reporting period]]*100)</f>
        <v>0</v>
      </c>
      <c r="DI291" s="645" t="str">
        <f>IF(WWWW[[#This Row],['#_students at TLS_CFS]]="","No","Yes")</f>
        <v>No</v>
      </c>
      <c r="DJ291" s="643">
        <f>VLOOKUP(WWWW[[#This Row],[Site Name]],SiteDB6[[Site Name]:[CCCM Management]],6,FALSE)</f>
        <v>0</v>
      </c>
      <c r="DK291" s="643">
        <f>VLOOKUP(WWWW[[#This Row],[Site Name]],SiteDB6[[Site Name]:[CCCM Focal Agency]],7,FALSE)</f>
        <v>0</v>
      </c>
      <c r="DL291" s="643" t="str">
        <f>VLOOKUP(WWWW[[#This Row],[Site Name]],SiteDB6[[Site Name]:[Location Type 1]],9,FALSE)</f>
        <v>Village</v>
      </c>
      <c r="DM291" s="643" t="str">
        <f>VLOOKUP(WWWW[[#This Row],[Site Name]],SiteDB6[[Site Name]:[Type of Accommodation]],10,FALSE)</f>
        <v>Village</v>
      </c>
      <c r="DN291" s="643">
        <f>VLOOKUP(WWWW[[#This Row],[Site Name]],SiteDB6[[Site Name]:[Ethnic or GCA/NGCA]],11,FALSE)</f>
        <v>0</v>
      </c>
      <c r="DO291" s="643">
        <f>VLOOKUP(WWWW[[#This Row],[Site Name]],SiteDB6[[Site Name]:[Lat]],12,FALSE)</f>
        <v>0</v>
      </c>
      <c r="DP291" s="643">
        <f>VLOOKUP(WWWW[[#This Row],[Site Name]],SiteDB6[[Site Name]:[Long]],13,FALSE)</f>
        <v>0</v>
      </c>
      <c r="DQ291" s="643">
        <f>VLOOKUP(WWWW[[#This Row],[Site Name]],SiteDB6[[Site Name]:[Pcode]],3,FALSE)</f>
        <v>197043</v>
      </c>
      <c r="DR291" s="652" t="str">
        <f t="shared" si="9"/>
        <v>Covered</v>
      </c>
      <c r="DS291" s="652"/>
    </row>
    <row r="292" spans="1:123">
      <c r="A292" s="637" t="s">
        <v>2525</v>
      </c>
      <c r="B292" s="637" t="s">
        <v>332</v>
      </c>
      <c r="C292" s="644" t="s">
        <v>332</v>
      </c>
      <c r="D292" s="644" t="s">
        <v>325</v>
      </c>
      <c r="E292" s="663" t="s">
        <v>3014</v>
      </c>
      <c r="F292" s="644" t="s">
        <v>330</v>
      </c>
      <c r="G292" s="663" t="str">
        <f>VLOOKUP(WWWW[[#This Row],[Site Name]],SiteDB6[[Site Name]:[Location Type]],8,FALSE)</f>
        <v>Village</v>
      </c>
      <c r="H292" s="644" t="s">
        <v>2918</v>
      </c>
      <c r="I292" s="646">
        <v>148</v>
      </c>
      <c r="J292" s="646">
        <v>630</v>
      </c>
      <c r="K292" s="653">
        <v>42736</v>
      </c>
      <c r="L292" s="654">
        <v>44551</v>
      </c>
      <c r="M292" s="646"/>
      <c r="N292" s="646"/>
      <c r="O292" s="646"/>
      <c r="P292" s="646"/>
      <c r="Q292" s="645"/>
      <c r="R292" s="646"/>
      <c r="S292" s="646"/>
      <c r="T292" s="646"/>
      <c r="U292" s="646"/>
      <c r="V292" s="646"/>
      <c r="W292" s="646"/>
      <c r="X292" s="646"/>
      <c r="Y292" s="646"/>
      <c r="Z292" s="646"/>
      <c r="AA292" s="646"/>
      <c r="AB292" s="646"/>
      <c r="AC292" s="646"/>
      <c r="AD292" s="646"/>
      <c r="AE292" s="646"/>
      <c r="AF292" s="646"/>
      <c r="AG292" s="646"/>
      <c r="AH292" s="646"/>
      <c r="AI292" s="646"/>
      <c r="AJ292" s="646"/>
      <c r="AK292" s="646"/>
      <c r="AL292" s="646"/>
      <c r="AM292" s="646"/>
      <c r="AN292" s="646"/>
      <c r="AO292" s="652"/>
      <c r="AP292" s="646"/>
      <c r="AQ292" s="646"/>
      <c r="AR292" s="648"/>
      <c r="AS292" s="646"/>
      <c r="AT292" s="646"/>
      <c r="AU292" s="646"/>
      <c r="AV292" s="646"/>
      <c r="AW292" s="646"/>
      <c r="AX292" s="643"/>
      <c r="AY292" s="652"/>
      <c r="AZ292" s="646"/>
      <c r="BA292" s="646"/>
      <c r="BB292" s="646"/>
      <c r="BC292" s="643"/>
      <c r="BD292" s="646"/>
      <c r="BE292" s="646"/>
      <c r="BF292" s="646"/>
      <c r="BG292" s="646"/>
      <c r="BH292" s="646"/>
      <c r="BI292" s="646"/>
      <c r="BJ292" s="646"/>
      <c r="BK292" s="646"/>
      <c r="BL292" s="646"/>
      <c r="BM292" s="643"/>
      <c r="BN292" s="647"/>
      <c r="BO292" s="648"/>
      <c r="BP292" s="643"/>
      <c r="BQ292" s="649" t="str">
        <f>IFERROR(WWWW[[#This Row],['#_Water sources treated]]/WWWW[[#This Row],['#_Water sources tested for contamination]],"no test")</f>
        <v>no test</v>
      </c>
      <c r="BR292" s="648" t="str">
        <f>IFERROR(WWWW[[#This Row],['#_Household received remediation action due to contamination]]/WWWW[[#This Row],['#_Household water samples tested for contamination]],"no test")</f>
        <v>no test</v>
      </c>
      <c r="BS292" s="647" t="str">
        <f>IF(AND(WWWW[[#This Row],[% of water sources treated]]="no test",WWWW[[#This Row],[% Household received corrective actions]]="no test"),"No Test","Tested")</f>
        <v>No Test</v>
      </c>
      <c r="BT292" s="647">
        <f>WWWW[[#This Row],['#_Constructed/existing protected hand dug well]]-WWWW[[#This Row],['#_Non-functional protected hand dug well]]</f>
        <v>0</v>
      </c>
      <c r="BU292" s="647">
        <f>(WWWW[[#This Row],['#_Constructed/Existing tube wells/boreholes/handpumps_WASH_agency]]+WWWW[[#This Row],['#_Non-Cluster partner water tube-wells/boreholes/handpumps]])-WWWW[[#This Row],['#_Non-functional tube wells/boreholes/handpumps]]</f>
        <v>0</v>
      </c>
      <c r="BV292" s="647">
        <f>WWWW[[#This Row],['#_Constructed/Existingwater storage tank with gravity fed reticulation system]]-WWWW[[#This Row],['#_Non-functional storage tank gravity fed reticulation system]]</f>
        <v>0</v>
      </c>
      <c r="BW292" s="647">
        <f>WWWW[[#This Row],['#_Water boating or water trucking]]</f>
        <v>0</v>
      </c>
      <c r="BX292" s="647">
        <f>WWWW[[#This Row],['#_Constructed/Existing water distribution system from river or natural spring]]</f>
        <v>0</v>
      </c>
      <c r="BY292"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92"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92" s="648">
        <f>IF(WWWW[[#This Row],[Location Type 1]]="Village",WWWW[[#This Row],[Access to safe drinking water for Village]],WWWW[[#This Row],[Access to safe drinking water for Camp]])</f>
        <v>0</v>
      </c>
      <c r="CB292" s="645">
        <f>WWWW[[#This Row],[%Equitable and continuous access to sufficient quantity of safe drinking water]]*WWWW[[#This Row],[Total PoP ]]</f>
        <v>0</v>
      </c>
      <c r="CC292" s="648">
        <f>IF((WWWW[[#This Row],['#_Constructed/Existing protected/fenced ponds]]*250)/WWWW[[#This Row],[Total PoP ]]&gt;1,1,(WWWW[[#This Row],['#_Constructed/Existing protected/fenced ponds]]*250)/WWWW[[#This Row],[Total PoP ]])</f>
        <v>0</v>
      </c>
      <c r="CD292" s="645">
        <f>WWWW[[#This Row],[% Access to unimproved water points]]*WWWW[[#This Row],[Total PoP ]]</f>
        <v>0</v>
      </c>
      <c r="CE292"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92"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92" s="645">
        <f>WWWW[[#This Row],[HRP1]]/500</f>
        <v>0</v>
      </c>
      <c r="CH292" s="650">
        <f>1-WWWW[[#This Row],[% Equitable and continuous access to sufficient quantity of domestic water]]</f>
        <v>1</v>
      </c>
      <c r="CI292" s="645">
        <f>WWWW[[#This Row],[%equitable and continuous access to sufficient quantity of safe drinking and domestic water''s GAP]]*WWWW[[#This Row],[Total PoP ]]</f>
        <v>630</v>
      </c>
      <c r="CJ292" s="647">
        <f>IF(WWWW[[#This Row],[Total required water points]]-WWWW[[#This Row],['#Water points coverage]]&lt;0,0,WWWW[[#This Row],[Total required water points]]-WWWW[[#This Row],['#Water points coverage]])</f>
        <v>1</v>
      </c>
      <c r="CK292" s="647">
        <f>ROUND(IF(WWWW[[#This Row],[Total PoP ]]&lt;500,1,WWWW[[#This Row],[Total PoP ]]/500),0)</f>
        <v>1</v>
      </c>
      <c r="CL292" s="647">
        <f>(WWWW[[#This Row],['#_Constructed latrines_by_WASHAgencies]]+WWWW[[#This Row],['#_Non Cluster partner latrines]])-WWWW[[#This Row],['#_Non-functional latrines]]</f>
        <v>0</v>
      </c>
      <c r="CM292"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92"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92"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92" s="647" t="str">
        <f>IF(WWWW[[#This Row],[Location Type 1]]="Village","NA",IF(WWWW[[#This Row],['#_Constructed/Existing latrines in TLS]]*50&gt;WWWW[[#This Row],['#_students at TLS_CFS]],WWWW[[#This Row],['#_students at TLS_CFS]],(WWWW[[#This Row],['#_Constructed/Existing latrines in TLS]]*50)))</f>
        <v>NA</v>
      </c>
      <c r="CQ292" s="647">
        <f>ROUND(IF(WWWW[[#This Row],[Location Type 1]]="camp",WWWW[[#This Row],[Total PoP ]]/20,IF(WWWW[[#This Row],[Location Type 1]]="Temporary Location",WWWW[[#This Row],[Total PoP ]]/50,(WWWW[[#This Row],[Total PoP ]]/6))),0)</f>
        <v>105</v>
      </c>
      <c r="CR292" s="647">
        <f>IF(WWWW[[#This Row],[Total required Latrines]]-(WWWW[[#This Row],['#_Constructed latrines_by_WASHAgencies]]+WWWW[[#This Row],['#_Non Cluster partner latrines]])&lt;0,0,WWWW[[#This Row],[Total required Latrines]]-(WWWW[[#This Row],['#_Constructed latrines_by_WASHAgencies]]+WWWW[[#This Row],['#_Non Cluster partner latrines]]))</f>
        <v>105</v>
      </c>
      <c r="CS292" s="79">
        <f>1-WWWW[[#This Row],[% people access to functioning Latrine]]</f>
        <v>1</v>
      </c>
      <c r="CT292" s="649">
        <f>IF(OR(WWWW[[#This Row],['#_Non-functional latrines]]="",WWWW[[#This Row],['#_Non-functional latrines]]=0),0,WWWW[[#This Row],['#_Non-functional latrines]]/(WWWW[[#This Row],['#_Constructed latrines_by_WASHAgencies]]+WWWW[[#This Row],['#_Non Cluster partner latrines]]))</f>
        <v>0</v>
      </c>
      <c r="CU292" s="645">
        <f>IF(500*(WWWW[[#This Row],['#_male hygiene promoters]]+WWWW[[#This Row],['#_female hygiene promoters]])&gt;WWWW[[#This Row],[Total PoP ]],WWWW[[#This Row],[Total PoP ]],500*(WWWW[[#This Row],['#_male hygiene promoters]]+WWWW[[#This Row],['#_female hygiene promoters]]))</f>
        <v>0</v>
      </c>
      <c r="CV292"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92"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92" s="647">
        <f>IF(WWWW[[#This Row],['# People with access to soap]]&gt;WWWW[[#This Row],['# People with access to Sanity Pads]],WWWW[[#This Row],['# People with access to soap]],WWWW[[#This Row],['# People with access to Sanity Pads]])</f>
        <v>0</v>
      </c>
      <c r="CY292"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92" s="650">
        <f>IF(WWWW[[#This Row],[HRP3]]/WWWW[[#This Row],[Total PoP ]]&gt;100%,100%,WWWW[[#This Row],[HRP3]]/WWWW[[#This Row],[Total PoP ]])</f>
        <v>0</v>
      </c>
      <c r="DA292" s="649">
        <f>1-WWWW[[#This Row],[Hygiene Coverage%]]</f>
        <v>1</v>
      </c>
      <c r="DB292" s="648">
        <f>WWWW[[#This Row],['# people reached by regular dedicated hygiene promotion_5]]/WWWW[[#This Row],[Total PoP ]]</f>
        <v>0</v>
      </c>
      <c r="DC292" s="648">
        <f>IF(WWWW[[#This Row],['#_households that received standard amount of soap for this quarter]]/WWWW[[#This Row],[Total HH]]&gt;1,1,WWWW[[#This Row],['#_households that received standard amount of soap for this quarter]]/WWWW[[#This Row],[Total HH]])</f>
        <v>0</v>
      </c>
      <c r="DD292" s="648">
        <f>IF(WWWW[[#This Row],['#_households that received standard amount of sanitary pads for this quarter]]/WWWW[[#This Row],[Total HH]]&gt;1,1,WWWW[[#This Row],['#_households that received standard amount of sanitary pads for this quarter]]/WWWW[[#This Row],[Total HH]])</f>
        <v>0</v>
      </c>
      <c r="DE292" s="647">
        <f>WWWW[[#This Row],['#_Constructed/Existing hand washing stations]]-WWWW[[#This Row],['#_Non-Functional_hand_washing_stations]]</f>
        <v>0</v>
      </c>
      <c r="DF292" s="667">
        <f>IF(WWWW[[#This Row],['# Functional hand washing stations during reporting period]]*20&gt;WWWW[[#This Row],[Total HH]],WWWW[[#This Row],[Total HH]],WWWW[[#This Row],['# Functional hand washing stations during reporting period]]*20)</f>
        <v>0</v>
      </c>
      <c r="DG292" s="645">
        <f>IF(WWWW[[#This Row],[Is sufficient soap available for TLS? (Yes/No)]]="yes",WWWW[[#This Row],['#_Constructed/Existing hand washing stations at TLS]],0)</f>
        <v>0</v>
      </c>
      <c r="DH292" s="645">
        <f>IF(WWWW[[#This Row],['# Functional hand washing stations during reporting period]]*100&gt;WWWW[[#This Row],[Total PoP ]],WWWW[[#This Row],[Total PoP ]],WWWW[[#This Row],['# Functional hand washing stations during reporting period]]*100)</f>
        <v>0</v>
      </c>
      <c r="DI292" s="645" t="str">
        <f>IF(WWWW[[#This Row],['#_students at TLS_CFS]]="","No","Yes")</f>
        <v>No</v>
      </c>
      <c r="DJ292" s="643">
        <f>VLOOKUP(WWWW[[#This Row],[Site Name]],SiteDB6[[Site Name]:[CCCM Management]],6,FALSE)</f>
        <v>0</v>
      </c>
      <c r="DK292" s="643">
        <f>VLOOKUP(WWWW[[#This Row],[Site Name]],SiteDB6[[Site Name]:[CCCM Focal Agency]],7,FALSE)</f>
        <v>0</v>
      </c>
      <c r="DL292" s="643" t="str">
        <f>VLOOKUP(WWWW[[#This Row],[Site Name]],SiteDB6[[Site Name]:[Location Type 1]],9,FALSE)</f>
        <v>Village</v>
      </c>
      <c r="DM292" s="643" t="str">
        <f>VLOOKUP(WWWW[[#This Row],[Site Name]],SiteDB6[[Site Name]:[Type of Accommodation]],10,FALSE)</f>
        <v>Village</v>
      </c>
      <c r="DN292" s="643">
        <f>VLOOKUP(WWWW[[#This Row],[Site Name]],SiteDB6[[Site Name]:[Ethnic or GCA/NGCA]],11,FALSE)</f>
        <v>0</v>
      </c>
      <c r="DO292" s="643">
        <f>VLOOKUP(WWWW[[#This Row],[Site Name]],SiteDB6[[Site Name]:[Lat]],12,FALSE)</f>
        <v>0</v>
      </c>
      <c r="DP292" s="643">
        <f>VLOOKUP(WWWW[[#This Row],[Site Name]],SiteDB6[[Site Name]:[Long]],13,FALSE)</f>
        <v>0</v>
      </c>
      <c r="DQ292" s="643">
        <f>VLOOKUP(WWWW[[#This Row],[Site Name]],SiteDB6[[Site Name]:[Pcode]],3,FALSE)</f>
        <v>197089</v>
      </c>
      <c r="DR292" s="652" t="str">
        <f t="shared" si="9"/>
        <v>Covered</v>
      </c>
      <c r="DS292" s="652"/>
    </row>
    <row r="293" spans="1:123">
      <c r="A293" s="637" t="s">
        <v>2525</v>
      </c>
      <c r="B293" s="637" t="s">
        <v>332</v>
      </c>
      <c r="C293" s="644" t="s">
        <v>332</v>
      </c>
      <c r="D293" s="644" t="s">
        <v>325</v>
      </c>
      <c r="E293" s="663" t="s">
        <v>3014</v>
      </c>
      <c r="F293" s="644" t="s">
        <v>330</v>
      </c>
      <c r="G293" s="663" t="str">
        <f>VLOOKUP(WWWW[[#This Row],[Site Name]],SiteDB6[[Site Name]:[Location Type]],8,FALSE)</f>
        <v>Village</v>
      </c>
      <c r="H293" s="644" t="s">
        <v>2919</v>
      </c>
      <c r="I293" s="646">
        <v>135</v>
      </c>
      <c r="J293" s="646">
        <v>593</v>
      </c>
      <c r="K293" s="653">
        <v>42736</v>
      </c>
      <c r="L293" s="654">
        <v>44551</v>
      </c>
      <c r="M293" s="646"/>
      <c r="N293" s="646"/>
      <c r="O293" s="646"/>
      <c r="P293" s="646"/>
      <c r="Q293" s="645"/>
      <c r="R293" s="646"/>
      <c r="S293" s="646"/>
      <c r="T293" s="646"/>
      <c r="U293" s="646"/>
      <c r="V293" s="646"/>
      <c r="W293" s="646"/>
      <c r="X293" s="646"/>
      <c r="Y293" s="646"/>
      <c r="Z293" s="646"/>
      <c r="AA293" s="646"/>
      <c r="AB293" s="646"/>
      <c r="AC293" s="646"/>
      <c r="AD293" s="646"/>
      <c r="AE293" s="646"/>
      <c r="AF293" s="646"/>
      <c r="AG293" s="646"/>
      <c r="AH293" s="646"/>
      <c r="AI293" s="646"/>
      <c r="AJ293" s="646"/>
      <c r="AK293" s="646"/>
      <c r="AL293" s="646"/>
      <c r="AM293" s="646"/>
      <c r="AN293" s="646"/>
      <c r="AO293" s="652"/>
      <c r="AP293" s="646"/>
      <c r="AQ293" s="646"/>
      <c r="AR293" s="648"/>
      <c r="AS293" s="646"/>
      <c r="AT293" s="646"/>
      <c r="AU293" s="646"/>
      <c r="AV293" s="646"/>
      <c r="AW293" s="646"/>
      <c r="AX293" s="643"/>
      <c r="AY293" s="652"/>
      <c r="AZ293" s="646"/>
      <c r="BA293" s="646"/>
      <c r="BB293" s="646"/>
      <c r="BC293" s="643"/>
      <c r="BD293" s="646"/>
      <c r="BE293" s="646"/>
      <c r="BF293" s="646"/>
      <c r="BG293" s="646"/>
      <c r="BH293" s="646"/>
      <c r="BI293" s="646"/>
      <c r="BJ293" s="646"/>
      <c r="BK293" s="646"/>
      <c r="BL293" s="646"/>
      <c r="BM293" s="643"/>
      <c r="BN293" s="647"/>
      <c r="BO293" s="648"/>
      <c r="BP293" s="643"/>
      <c r="BQ293" s="649" t="str">
        <f>IFERROR(WWWW[[#This Row],['#_Water sources treated]]/WWWW[[#This Row],['#_Water sources tested for contamination]],"no test")</f>
        <v>no test</v>
      </c>
      <c r="BR293" s="648" t="str">
        <f>IFERROR(WWWW[[#This Row],['#_Household received remediation action due to contamination]]/WWWW[[#This Row],['#_Household water samples tested for contamination]],"no test")</f>
        <v>no test</v>
      </c>
      <c r="BS293" s="647" t="str">
        <f>IF(AND(WWWW[[#This Row],[% of water sources treated]]="no test",WWWW[[#This Row],[% Household received corrective actions]]="no test"),"No Test","Tested")</f>
        <v>No Test</v>
      </c>
      <c r="BT293" s="647">
        <f>WWWW[[#This Row],['#_Constructed/existing protected hand dug well]]-WWWW[[#This Row],['#_Non-functional protected hand dug well]]</f>
        <v>0</v>
      </c>
      <c r="BU293" s="647">
        <f>(WWWW[[#This Row],['#_Constructed/Existing tube wells/boreholes/handpumps_WASH_agency]]+WWWW[[#This Row],['#_Non-Cluster partner water tube-wells/boreholes/handpumps]])-WWWW[[#This Row],['#_Non-functional tube wells/boreholes/handpumps]]</f>
        <v>0</v>
      </c>
      <c r="BV293" s="647">
        <f>WWWW[[#This Row],['#_Constructed/Existingwater storage tank with gravity fed reticulation system]]-WWWW[[#This Row],['#_Non-functional storage tank gravity fed reticulation system]]</f>
        <v>0</v>
      </c>
      <c r="BW293" s="647">
        <f>WWWW[[#This Row],['#_Water boating or water trucking]]</f>
        <v>0</v>
      </c>
      <c r="BX293" s="647">
        <f>WWWW[[#This Row],['#_Constructed/Existing water distribution system from river or natural spring]]</f>
        <v>0</v>
      </c>
      <c r="BY293"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93"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93" s="648">
        <f>IF(WWWW[[#This Row],[Location Type 1]]="Village",WWWW[[#This Row],[Access to safe drinking water for Village]],WWWW[[#This Row],[Access to safe drinking water for Camp]])</f>
        <v>0</v>
      </c>
      <c r="CB293" s="645">
        <f>WWWW[[#This Row],[%Equitable and continuous access to sufficient quantity of safe drinking water]]*WWWW[[#This Row],[Total PoP ]]</f>
        <v>0</v>
      </c>
      <c r="CC293" s="648">
        <f>IF((WWWW[[#This Row],['#_Constructed/Existing protected/fenced ponds]]*250)/WWWW[[#This Row],[Total PoP ]]&gt;1,1,(WWWW[[#This Row],['#_Constructed/Existing protected/fenced ponds]]*250)/WWWW[[#This Row],[Total PoP ]])</f>
        <v>0</v>
      </c>
      <c r="CD293" s="645">
        <f>WWWW[[#This Row],[% Access to unimproved water points]]*WWWW[[#This Row],[Total PoP ]]</f>
        <v>0</v>
      </c>
      <c r="CE293"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93"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93" s="645">
        <f>WWWW[[#This Row],[HRP1]]/500</f>
        <v>0</v>
      </c>
      <c r="CH293" s="650">
        <f>1-WWWW[[#This Row],[% Equitable and continuous access to sufficient quantity of domestic water]]</f>
        <v>1</v>
      </c>
      <c r="CI293" s="645">
        <f>WWWW[[#This Row],[%equitable and continuous access to sufficient quantity of safe drinking and domestic water''s GAP]]*WWWW[[#This Row],[Total PoP ]]</f>
        <v>593</v>
      </c>
      <c r="CJ293" s="647">
        <f>IF(WWWW[[#This Row],[Total required water points]]-WWWW[[#This Row],['#Water points coverage]]&lt;0,0,WWWW[[#This Row],[Total required water points]]-WWWW[[#This Row],['#Water points coverage]])</f>
        <v>1</v>
      </c>
      <c r="CK293" s="647">
        <f>ROUND(IF(WWWW[[#This Row],[Total PoP ]]&lt;500,1,WWWW[[#This Row],[Total PoP ]]/500),0)</f>
        <v>1</v>
      </c>
      <c r="CL293" s="647">
        <f>(WWWW[[#This Row],['#_Constructed latrines_by_WASHAgencies]]+WWWW[[#This Row],['#_Non Cluster partner latrines]])-WWWW[[#This Row],['#_Non-functional latrines]]</f>
        <v>0</v>
      </c>
      <c r="CM293"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93"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93"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93" s="647" t="str">
        <f>IF(WWWW[[#This Row],[Location Type 1]]="Village","NA",IF(WWWW[[#This Row],['#_Constructed/Existing latrines in TLS]]*50&gt;WWWW[[#This Row],['#_students at TLS_CFS]],WWWW[[#This Row],['#_students at TLS_CFS]],(WWWW[[#This Row],['#_Constructed/Existing latrines in TLS]]*50)))</f>
        <v>NA</v>
      </c>
      <c r="CQ293" s="647">
        <f>ROUND(IF(WWWW[[#This Row],[Location Type 1]]="camp",WWWW[[#This Row],[Total PoP ]]/20,IF(WWWW[[#This Row],[Location Type 1]]="Temporary Location",WWWW[[#This Row],[Total PoP ]]/50,(WWWW[[#This Row],[Total PoP ]]/6))),0)</f>
        <v>99</v>
      </c>
      <c r="CR293" s="647">
        <f>IF(WWWW[[#This Row],[Total required Latrines]]-(WWWW[[#This Row],['#_Constructed latrines_by_WASHAgencies]]+WWWW[[#This Row],['#_Non Cluster partner latrines]])&lt;0,0,WWWW[[#This Row],[Total required Latrines]]-(WWWW[[#This Row],['#_Constructed latrines_by_WASHAgencies]]+WWWW[[#This Row],['#_Non Cluster partner latrines]]))</f>
        <v>99</v>
      </c>
      <c r="CS293" s="79">
        <f>1-WWWW[[#This Row],[% people access to functioning Latrine]]</f>
        <v>1</v>
      </c>
      <c r="CT293" s="649">
        <f>IF(OR(WWWW[[#This Row],['#_Non-functional latrines]]="",WWWW[[#This Row],['#_Non-functional latrines]]=0),0,WWWW[[#This Row],['#_Non-functional latrines]]/(WWWW[[#This Row],['#_Constructed latrines_by_WASHAgencies]]+WWWW[[#This Row],['#_Non Cluster partner latrines]]))</f>
        <v>0</v>
      </c>
      <c r="CU293" s="645">
        <f>IF(500*(WWWW[[#This Row],['#_male hygiene promoters]]+WWWW[[#This Row],['#_female hygiene promoters]])&gt;WWWW[[#This Row],[Total PoP ]],WWWW[[#This Row],[Total PoP ]],500*(WWWW[[#This Row],['#_male hygiene promoters]]+WWWW[[#This Row],['#_female hygiene promoters]]))</f>
        <v>0</v>
      </c>
      <c r="CV293"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93"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93" s="647">
        <f>IF(WWWW[[#This Row],['# People with access to soap]]&gt;WWWW[[#This Row],['# People with access to Sanity Pads]],WWWW[[#This Row],['# People with access to soap]],WWWW[[#This Row],['# People with access to Sanity Pads]])</f>
        <v>0</v>
      </c>
      <c r="CY293"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93" s="650">
        <f>IF(WWWW[[#This Row],[HRP3]]/WWWW[[#This Row],[Total PoP ]]&gt;100%,100%,WWWW[[#This Row],[HRP3]]/WWWW[[#This Row],[Total PoP ]])</f>
        <v>0</v>
      </c>
      <c r="DA293" s="649">
        <f>1-WWWW[[#This Row],[Hygiene Coverage%]]</f>
        <v>1</v>
      </c>
      <c r="DB293" s="648">
        <f>WWWW[[#This Row],['# people reached by regular dedicated hygiene promotion_5]]/WWWW[[#This Row],[Total PoP ]]</f>
        <v>0</v>
      </c>
      <c r="DC293" s="648">
        <f>IF(WWWW[[#This Row],['#_households that received standard amount of soap for this quarter]]/WWWW[[#This Row],[Total HH]]&gt;1,1,WWWW[[#This Row],['#_households that received standard amount of soap for this quarter]]/WWWW[[#This Row],[Total HH]])</f>
        <v>0</v>
      </c>
      <c r="DD293" s="648">
        <f>IF(WWWW[[#This Row],['#_households that received standard amount of sanitary pads for this quarter]]/WWWW[[#This Row],[Total HH]]&gt;1,1,WWWW[[#This Row],['#_households that received standard amount of sanitary pads for this quarter]]/WWWW[[#This Row],[Total HH]])</f>
        <v>0</v>
      </c>
      <c r="DE293" s="647">
        <f>WWWW[[#This Row],['#_Constructed/Existing hand washing stations]]-WWWW[[#This Row],['#_Non-Functional_hand_washing_stations]]</f>
        <v>0</v>
      </c>
      <c r="DF293" s="667">
        <f>IF(WWWW[[#This Row],['# Functional hand washing stations during reporting period]]*20&gt;WWWW[[#This Row],[Total HH]],WWWW[[#This Row],[Total HH]],WWWW[[#This Row],['# Functional hand washing stations during reporting period]]*20)</f>
        <v>0</v>
      </c>
      <c r="DG293" s="645">
        <f>IF(WWWW[[#This Row],[Is sufficient soap available for TLS? (Yes/No)]]="yes",WWWW[[#This Row],['#_Constructed/Existing hand washing stations at TLS]],0)</f>
        <v>0</v>
      </c>
      <c r="DH293" s="645">
        <f>IF(WWWW[[#This Row],['# Functional hand washing stations during reporting period]]*100&gt;WWWW[[#This Row],[Total PoP ]],WWWW[[#This Row],[Total PoP ]],WWWW[[#This Row],['# Functional hand washing stations during reporting period]]*100)</f>
        <v>0</v>
      </c>
      <c r="DI293" s="645" t="str">
        <f>IF(WWWW[[#This Row],['#_students at TLS_CFS]]="","No","Yes")</f>
        <v>No</v>
      </c>
      <c r="DJ293" s="643">
        <f>VLOOKUP(WWWW[[#This Row],[Site Name]],SiteDB6[[Site Name]:[CCCM Management]],6,FALSE)</f>
        <v>0</v>
      </c>
      <c r="DK293" s="643">
        <f>VLOOKUP(WWWW[[#This Row],[Site Name]],SiteDB6[[Site Name]:[CCCM Focal Agency]],7,FALSE)</f>
        <v>0</v>
      </c>
      <c r="DL293" s="643" t="str">
        <f>VLOOKUP(WWWW[[#This Row],[Site Name]],SiteDB6[[Site Name]:[Location Type 1]],9,FALSE)</f>
        <v>Village</v>
      </c>
      <c r="DM293" s="643" t="str">
        <f>VLOOKUP(WWWW[[#This Row],[Site Name]],SiteDB6[[Site Name]:[Type of Accommodation]],10,FALSE)</f>
        <v>Village</v>
      </c>
      <c r="DN293" s="643">
        <f>VLOOKUP(WWWW[[#This Row],[Site Name]],SiteDB6[[Site Name]:[Ethnic or GCA/NGCA]],11,FALSE)</f>
        <v>0</v>
      </c>
      <c r="DO293" s="643">
        <f>VLOOKUP(WWWW[[#This Row],[Site Name]],SiteDB6[[Site Name]:[Lat]],12,FALSE)</f>
        <v>0</v>
      </c>
      <c r="DP293" s="643">
        <f>VLOOKUP(WWWW[[#This Row],[Site Name]],SiteDB6[[Site Name]:[Long]],13,FALSE)</f>
        <v>0</v>
      </c>
      <c r="DQ293" s="643">
        <f>VLOOKUP(WWWW[[#This Row],[Site Name]],SiteDB6[[Site Name]:[Pcode]],3,FALSE)</f>
        <v>197090</v>
      </c>
      <c r="DR293" s="652" t="str">
        <f t="shared" ref="DR293:DR324" si="10">IF(C293="none","Notcovered","Covered")</f>
        <v>Covered</v>
      </c>
      <c r="DS293" s="652"/>
    </row>
    <row r="294" spans="1:123">
      <c r="A294" s="637" t="s">
        <v>2525</v>
      </c>
      <c r="B294" s="637" t="s">
        <v>332</v>
      </c>
      <c r="C294" s="644" t="s">
        <v>332</v>
      </c>
      <c r="D294" s="644" t="s">
        <v>325</v>
      </c>
      <c r="E294" s="663" t="s">
        <v>3014</v>
      </c>
      <c r="F294" s="644" t="s">
        <v>330</v>
      </c>
      <c r="G294" s="663" t="str">
        <f>VLOOKUP(WWWW[[#This Row],[Site Name]],SiteDB6[[Site Name]:[Location Type]],8,FALSE)</f>
        <v>Village</v>
      </c>
      <c r="H294" s="644" t="s">
        <v>894</v>
      </c>
      <c r="I294" s="646">
        <v>139</v>
      </c>
      <c r="J294" s="646">
        <v>585</v>
      </c>
      <c r="K294" s="653">
        <v>42736</v>
      </c>
      <c r="L294" s="654">
        <v>44551</v>
      </c>
      <c r="M294" s="646"/>
      <c r="N294" s="646"/>
      <c r="O294" s="646"/>
      <c r="P294" s="646"/>
      <c r="Q294" s="645"/>
      <c r="R294" s="646"/>
      <c r="S294" s="646"/>
      <c r="T294" s="646"/>
      <c r="U294" s="646"/>
      <c r="V294" s="646"/>
      <c r="W294" s="646"/>
      <c r="X294" s="646"/>
      <c r="Y294" s="646"/>
      <c r="Z294" s="646"/>
      <c r="AA294" s="646"/>
      <c r="AB294" s="646"/>
      <c r="AC294" s="646"/>
      <c r="AD294" s="646"/>
      <c r="AE294" s="646"/>
      <c r="AF294" s="646"/>
      <c r="AG294" s="646"/>
      <c r="AH294" s="646"/>
      <c r="AI294" s="646"/>
      <c r="AJ294" s="646"/>
      <c r="AK294" s="646"/>
      <c r="AL294" s="646"/>
      <c r="AM294" s="646"/>
      <c r="AN294" s="646"/>
      <c r="AO294" s="652"/>
      <c r="AP294" s="646"/>
      <c r="AQ294" s="646"/>
      <c r="AR294" s="648"/>
      <c r="AS294" s="646"/>
      <c r="AT294" s="646"/>
      <c r="AU294" s="646"/>
      <c r="AV294" s="646"/>
      <c r="AW294" s="646"/>
      <c r="AX294" s="643"/>
      <c r="AY294" s="652"/>
      <c r="AZ294" s="646"/>
      <c r="BA294" s="646"/>
      <c r="BB294" s="646"/>
      <c r="BC294" s="643"/>
      <c r="BD294" s="646"/>
      <c r="BE294" s="646"/>
      <c r="BF294" s="646"/>
      <c r="BG294" s="646"/>
      <c r="BH294" s="646"/>
      <c r="BI294" s="646"/>
      <c r="BJ294" s="646"/>
      <c r="BK294" s="646"/>
      <c r="BL294" s="646"/>
      <c r="BM294" s="643"/>
      <c r="BN294" s="647"/>
      <c r="BO294" s="648"/>
      <c r="BP294" s="643"/>
      <c r="BQ294" s="649" t="str">
        <f>IFERROR(WWWW[[#This Row],['#_Water sources treated]]/WWWW[[#This Row],['#_Water sources tested for contamination]],"no test")</f>
        <v>no test</v>
      </c>
      <c r="BR294" s="648" t="str">
        <f>IFERROR(WWWW[[#This Row],['#_Household received remediation action due to contamination]]/WWWW[[#This Row],['#_Household water samples tested for contamination]],"no test")</f>
        <v>no test</v>
      </c>
      <c r="BS294" s="647" t="str">
        <f>IF(AND(WWWW[[#This Row],[% of water sources treated]]="no test",WWWW[[#This Row],[% Household received corrective actions]]="no test"),"No Test","Tested")</f>
        <v>No Test</v>
      </c>
      <c r="BT294" s="647">
        <f>WWWW[[#This Row],['#_Constructed/existing protected hand dug well]]-WWWW[[#This Row],['#_Non-functional protected hand dug well]]</f>
        <v>0</v>
      </c>
      <c r="BU294" s="647">
        <f>(WWWW[[#This Row],['#_Constructed/Existing tube wells/boreholes/handpumps_WASH_agency]]+WWWW[[#This Row],['#_Non-Cluster partner water tube-wells/boreholes/handpumps]])-WWWW[[#This Row],['#_Non-functional tube wells/boreholes/handpumps]]</f>
        <v>0</v>
      </c>
      <c r="BV294" s="647">
        <f>WWWW[[#This Row],['#_Constructed/Existingwater storage tank with gravity fed reticulation system]]-WWWW[[#This Row],['#_Non-functional storage tank gravity fed reticulation system]]</f>
        <v>0</v>
      </c>
      <c r="BW294" s="647">
        <f>WWWW[[#This Row],['#_Water boating or water trucking]]</f>
        <v>0</v>
      </c>
      <c r="BX294" s="647">
        <f>WWWW[[#This Row],['#_Constructed/Existing water distribution system from river or natural spring]]</f>
        <v>0</v>
      </c>
      <c r="BY294"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94"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94" s="648">
        <f>IF(WWWW[[#This Row],[Location Type 1]]="Village",WWWW[[#This Row],[Access to safe drinking water for Village]],WWWW[[#This Row],[Access to safe drinking water for Camp]])</f>
        <v>0</v>
      </c>
      <c r="CB294" s="645">
        <f>WWWW[[#This Row],[%Equitable and continuous access to sufficient quantity of safe drinking water]]*WWWW[[#This Row],[Total PoP ]]</f>
        <v>0</v>
      </c>
      <c r="CC294" s="648">
        <f>IF((WWWW[[#This Row],['#_Constructed/Existing protected/fenced ponds]]*250)/WWWW[[#This Row],[Total PoP ]]&gt;1,1,(WWWW[[#This Row],['#_Constructed/Existing protected/fenced ponds]]*250)/WWWW[[#This Row],[Total PoP ]])</f>
        <v>0</v>
      </c>
      <c r="CD294" s="645">
        <f>WWWW[[#This Row],[% Access to unimproved water points]]*WWWW[[#This Row],[Total PoP ]]</f>
        <v>0</v>
      </c>
      <c r="CE294"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94"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94" s="645">
        <f>WWWW[[#This Row],[HRP1]]/500</f>
        <v>0</v>
      </c>
      <c r="CH294" s="650">
        <f>1-WWWW[[#This Row],[% Equitable and continuous access to sufficient quantity of domestic water]]</f>
        <v>1</v>
      </c>
      <c r="CI294" s="645">
        <f>WWWW[[#This Row],[%equitable and continuous access to sufficient quantity of safe drinking and domestic water''s GAP]]*WWWW[[#This Row],[Total PoP ]]</f>
        <v>585</v>
      </c>
      <c r="CJ294" s="647">
        <f>IF(WWWW[[#This Row],[Total required water points]]-WWWW[[#This Row],['#Water points coverage]]&lt;0,0,WWWW[[#This Row],[Total required water points]]-WWWW[[#This Row],['#Water points coverage]])</f>
        <v>1</v>
      </c>
      <c r="CK294" s="647">
        <f>ROUND(IF(WWWW[[#This Row],[Total PoP ]]&lt;500,1,WWWW[[#This Row],[Total PoP ]]/500),0)</f>
        <v>1</v>
      </c>
      <c r="CL294" s="647">
        <f>(WWWW[[#This Row],['#_Constructed latrines_by_WASHAgencies]]+WWWW[[#This Row],['#_Non Cluster partner latrines]])-WWWW[[#This Row],['#_Non-functional latrines]]</f>
        <v>0</v>
      </c>
      <c r="CM294"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94"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94"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94" s="647" t="str">
        <f>IF(WWWW[[#This Row],[Location Type 1]]="Village","NA",IF(WWWW[[#This Row],['#_Constructed/Existing latrines in TLS]]*50&gt;WWWW[[#This Row],['#_students at TLS_CFS]],WWWW[[#This Row],['#_students at TLS_CFS]],(WWWW[[#This Row],['#_Constructed/Existing latrines in TLS]]*50)))</f>
        <v>NA</v>
      </c>
      <c r="CQ294" s="647">
        <f>ROUND(IF(WWWW[[#This Row],[Location Type 1]]="camp",WWWW[[#This Row],[Total PoP ]]/20,IF(WWWW[[#This Row],[Location Type 1]]="Temporary Location",WWWW[[#This Row],[Total PoP ]]/50,(WWWW[[#This Row],[Total PoP ]]/6))),0)</f>
        <v>98</v>
      </c>
      <c r="CR294" s="647">
        <f>IF(WWWW[[#This Row],[Total required Latrines]]-(WWWW[[#This Row],['#_Constructed latrines_by_WASHAgencies]]+WWWW[[#This Row],['#_Non Cluster partner latrines]])&lt;0,0,WWWW[[#This Row],[Total required Latrines]]-(WWWW[[#This Row],['#_Constructed latrines_by_WASHAgencies]]+WWWW[[#This Row],['#_Non Cluster partner latrines]]))</f>
        <v>98</v>
      </c>
      <c r="CS294" s="79">
        <f>1-WWWW[[#This Row],[% people access to functioning Latrine]]</f>
        <v>1</v>
      </c>
      <c r="CT294" s="649">
        <f>IF(OR(WWWW[[#This Row],['#_Non-functional latrines]]="",WWWW[[#This Row],['#_Non-functional latrines]]=0),0,WWWW[[#This Row],['#_Non-functional latrines]]/(WWWW[[#This Row],['#_Constructed latrines_by_WASHAgencies]]+WWWW[[#This Row],['#_Non Cluster partner latrines]]))</f>
        <v>0</v>
      </c>
      <c r="CU294" s="645">
        <f>IF(500*(WWWW[[#This Row],['#_male hygiene promoters]]+WWWW[[#This Row],['#_female hygiene promoters]])&gt;WWWW[[#This Row],[Total PoP ]],WWWW[[#This Row],[Total PoP ]],500*(WWWW[[#This Row],['#_male hygiene promoters]]+WWWW[[#This Row],['#_female hygiene promoters]]))</f>
        <v>0</v>
      </c>
      <c r="CV294"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94"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94" s="647">
        <f>IF(WWWW[[#This Row],['# People with access to soap]]&gt;WWWW[[#This Row],['# People with access to Sanity Pads]],WWWW[[#This Row],['# People with access to soap]],WWWW[[#This Row],['# People with access to Sanity Pads]])</f>
        <v>0</v>
      </c>
      <c r="CY294"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94" s="650">
        <f>IF(WWWW[[#This Row],[HRP3]]/WWWW[[#This Row],[Total PoP ]]&gt;100%,100%,WWWW[[#This Row],[HRP3]]/WWWW[[#This Row],[Total PoP ]])</f>
        <v>0</v>
      </c>
      <c r="DA294" s="649">
        <f>1-WWWW[[#This Row],[Hygiene Coverage%]]</f>
        <v>1</v>
      </c>
      <c r="DB294" s="648">
        <f>WWWW[[#This Row],['# people reached by regular dedicated hygiene promotion_5]]/WWWW[[#This Row],[Total PoP ]]</f>
        <v>0</v>
      </c>
      <c r="DC294" s="648">
        <f>IF(WWWW[[#This Row],['#_households that received standard amount of soap for this quarter]]/WWWW[[#This Row],[Total HH]]&gt;1,1,WWWW[[#This Row],['#_households that received standard amount of soap for this quarter]]/WWWW[[#This Row],[Total HH]])</f>
        <v>0</v>
      </c>
      <c r="DD294" s="648">
        <f>IF(WWWW[[#This Row],['#_households that received standard amount of sanitary pads for this quarter]]/WWWW[[#This Row],[Total HH]]&gt;1,1,WWWW[[#This Row],['#_households that received standard amount of sanitary pads for this quarter]]/WWWW[[#This Row],[Total HH]])</f>
        <v>0</v>
      </c>
      <c r="DE294" s="647">
        <f>WWWW[[#This Row],['#_Constructed/Existing hand washing stations]]-WWWW[[#This Row],['#_Non-Functional_hand_washing_stations]]</f>
        <v>0</v>
      </c>
      <c r="DF294" s="667">
        <f>IF(WWWW[[#This Row],['# Functional hand washing stations during reporting period]]*20&gt;WWWW[[#This Row],[Total HH]],WWWW[[#This Row],[Total HH]],WWWW[[#This Row],['# Functional hand washing stations during reporting period]]*20)</f>
        <v>0</v>
      </c>
      <c r="DG294" s="645">
        <f>IF(WWWW[[#This Row],[Is sufficient soap available for TLS? (Yes/No)]]="yes",WWWW[[#This Row],['#_Constructed/Existing hand washing stations at TLS]],0)</f>
        <v>0</v>
      </c>
      <c r="DH294" s="645">
        <f>IF(WWWW[[#This Row],['# Functional hand washing stations during reporting period]]*100&gt;WWWW[[#This Row],[Total PoP ]],WWWW[[#This Row],[Total PoP ]],WWWW[[#This Row],['# Functional hand washing stations during reporting period]]*100)</f>
        <v>0</v>
      </c>
      <c r="DI294" s="645" t="str">
        <f>IF(WWWW[[#This Row],['#_students at TLS_CFS]]="","No","Yes")</f>
        <v>No</v>
      </c>
      <c r="DJ294" s="643">
        <f>VLOOKUP(WWWW[[#This Row],[Site Name]],SiteDB6[[Site Name]:[CCCM Management]],6,FALSE)</f>
        <v>0</v>
      </c>
      <c r="DK294" s="643">
        <f>VLOOKUP(WWWW[[#This Row],[Site Name]],SiteDB6[[Site Name]:[CCCM Focal Agency]],7,FALSE)</f>
        <v>0</v>
      </c>
      <c r="DL294" s="643" t="str">
        <f>VLOOKUP(WWWW[[#This Row],[Site Name]],SiteDB6[[Site Name]:[Location Type 1]],9,FALSE)</f>
        <v>Village</v>
      </c>
      <c r="DM294" s="643" t="str">
        <f>VLOOKUP(WWWW[[#This Row],[Site Name]],SiteDB6[[Site Name]:[Type of Accommodation]],10,FALSE)</f>
        <v>Village</v>
      </c>
      <c r="DN294" s="643">
        <f>VLOOKUP(WWWW[[#This Row],[Site Name]],SiteDB6[[Site Name]:[Ethnic or GCA/NGCA]],11,FALSE)</f>
        <v>0</v>
      </c>
      <c r="DO294" s="643">
        <f>VLOOKUP(WWWW[[#This Row],[Site Name]],SiteDB6[[Site Name]:[Lat]],12,FALSE)</f>
        <v>0</v>
      </c>
      <c r="DP294" s="643">
        <f>VLOOKUP(WWWW[[#This Row],[Site Name]],SiteDB6[[Site Name]:[Long]],13,FALSE)</f>
        <v>0</v>
      </c>
      <c r="DQ294" s="643">
        <f>VLOOKUP(WWWW[[#This Row],[Site Name]],SiteDB6[[Site Name]:[Pcode]],3,FALSE)</f>
        <v>197149</v>
      </c>
      <c r="DR294" s="652" t="str">
        <f t="shared" si="10"/>
        <v>Covered</v>
      </c>
      <c r="DS294" s="652"/>
    </row>
    <row r="295" spans="1:123">
      <c r="A295" s="637" t="s">
        <v>2525</v>
      </c>
      <c r="B295" s="637" t="s">
        <v>332</v>
      </c>
      <c r="C295" s="644" t="s">
        <v>332</v>
      </c>
      <c r="D295" s="644" t="s">
        <v>325</v>
      </c>
      <c r="E295" s="663" t="s">
        <v>3014</v>
      </c>
      <c r="F295" s="644" t="s">
        <v>330</v>
      </c>
      <c r="G295" s="663" t="str">
        <f>VLOOKUP(WWWW[[#This Row],[Site Name]],SiteDB6[[Site Name]:[Location Type]],8,FALSE)</f>
        <v>Village</v>
      </c>
      <c r="H295" s="644" t="s">
        <v>913</v>
      </c>
      <c r="I295" s="646">
        <v>408</v>
      </c>
      <c r="J295" s="646">
        <v>2009</v>
      </c>
      <c r="K295" s="653">
        <v>42736</v>
      </c>
      <c r="L295" s="654">
        <v>44551</v>
      </c>
      <c r="M295" s="646"/>
      <c r="N295" s="646"/>
      <c r="O295" s="646"/>
      <c r="P295" s="646"/>
      <c r="Q295" s="645"/>
      <c r="R295" s="646"/>
      <c r="S295" s="646"/>
      <c r="T295" s="646"/>
      <c r="U295" s="646"/>
      <c r="V295" s="646"/>
      <c r="W295" s="646"/>
      <c r="X295" s="646"/>
      <c r="Y295" s="646"/>
      <c r="Z295" s="646"/>
      <c r="AA295" s="646"/>
      <c r="AB295" s="646"/>
      <c r="AC295" s="646"/>
      <c r="AD295" s="646"/>
      <c r="AE295" s="646"/>
      <c r="AF295" s="646"/>
      <c r="AG295" s="646"/>
      <c r="AH295" s="646"/>
      <c r="AI295" s="646"/>
      <c r="AJ295" s="646"/>
      <c r="AK295" s="646"/>
      <c r="AL295" s="646"/>
      <c r="AM295" s="646"/>
      <c r="AN295" s="646"/>
      <c r="AO295" s="652"/>
      <c r="AP295" s="646"/>
      <c r="AQ295" s="646"/>
      <c r="AR295" s="648"/>
      <c r="AS295" s="646"/>
      <c r="AT295" s="646"/>
      <c r="AU295" s="646"/>
      <c r="AV295" s="646"/>
      <c r="AW295" s="646"/>
      <c r="AX295" s="643"/>
      <c r="AY295" s="652"/>
      <c r="AZ295" s="646"/>
      <c r="BA295" s="646"/>
      <c r="BB295" s="646"/>
      <c r="BC295" s="643"/>
      <c r="BD295" s="646"/>
      <c r="BE295" s="646"/>
      <c r="BF295" s="646"/>
      <c r="BG295" s="646"/>
      <c r="BH295" s="646"/>
      <c r="BI295" s="646"/>
      <c r="BJ295" s="646"/>
      <c r="BK295" s="646"/>
      <c r="BL295" s="646"/>
      <c r="BM295" s="643"/>
      <c r="BN295" s="647"/>
      <c r="BO295" s="648"/>
      <c r="BP295" s="643"/>
      <c r="BQ295" s="649" t="str">
        <f>IFERROR(WWWW[[#This Row],['#_Water sources treated]]/WWWW[[#This Row],['#_Water sources tested for contamination]],"no test")</f>
        <v>no test</v>
      </c>
      <c r="BR295" s="648" t="str">
        <f>IFERROR(WWWW[[#This Row],['#_Household received remediation action due to contamination]]/WWWW[[#This Row],['#_Household water samples tested for contamination]],"no test")</f>
        <v>no test</v>
      </c>
      <c r="BS295" s="647" t="str">
        <f>IF(AND(WWWW[[#This Row],[% of water sources treated]]="no test",WWWW[[#This Row],[% Household received corrective actions]]="no test"),"No Test","Tested")</f>
        <v>No Test</v>
      </c>
      <c r="BT295" s="647">
        <f>WWWW[[#This Row],['#_Constructed/existing protected hand dug well]]-WWWW[[#This Row],['#_Non-functional protected hand dug well]]</f>
        <v>0</v>
      </c>
      <c r="BU295" s="647">
        <f>(WWWW[[#This Row],['#_Constructed/Existing tube wells/boreholes/handpumps_WASH_agency]]+WWWW[[#This Row],['#_Non-Cluster partner water tube-wells/boreholes/handpumps]])-WWWW[[#This Row],['#_Non-functional tube wells/boreholes/handpumps]]</f>
        <v>0</v>
      </c>
      <c r="BV295" s="647">
        <f>WWWW[[#This Row],['#_Constructed/Existingwater storage tank with gravity fed reticulation system]]-WWWW[[#This Row],['#_Non-functional storage tank gravity fed reticulation system]]</f>
        <v>0</v>
      </c>
      <c r="BW295" s="647">
        <f>WWWW[[#This Row],['#_Water boating or water trucking]]</f>
        <v>0</v>
      </c>
      <c r="BX295" s="647">
        <f>WWWW[[#This Row],['#_Constructed/Existing water distribution system from river or natural spring]]</f>
        <v>0</v>
      </c>
      <c r="BY295"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95"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95" s="648">
        <f>IF(WWWW[[#This Row],[Location Type 1]]="Village",WWWW[[#This Row],[Access to safe drinking water for Village]],WWWW[[#This Row],[Access to safe drinking water for Camp]])</f>
        <v>0</v>
      </c>
      <c r="CB295" s="645">
        <f>WWWW[[#This Row],[%Equitable and continuous access to sufficient quantity of safe drinking water]]*WWWW[[#This Row],[Total PoP ]]</f>
        <v>0</v>
      </c>
      <c r="CC295" s="648">
        <f>IF((WWWW[[#This Row],['#_Constructed/Existing protected/fenced ponds]]*250)/WWWW[[#This Row],[Total PoP ]]&gt;1,1,(WWWW[[#This Row],['#_Constructed/Existing protected/fenced ponds]]*250)/WWWW[[#This Row],[Total PoP ]])</f>
        <v>0</v>
      </c>
      <c r="CD295" s="645">
        <f>WWWW[[#This Row],[% Access to unimproved water points]]*WWWW[[#This Row],[Total PoP ]]</f>
        <v>0</v>
      </c>
      <c r="CE295"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95"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95" s="645">
        <f>WWWW[[#This Row],[HRP1]]/500</f>
        <v>0</v>
      </c>
      <c r="CH295" s="650">
        <f>1-WWWW[[#This Row],[% Equitable and continuous access to sufficient quantity of domestic water]]</f>
        <v>1</v>
      </c>
      <c r="CI295" s="645">
        <f>WWWW[[#This Row],[%equitable and continuous access to sufficient quantity of safe drinking and domestic water''s GAP]]*WWWW[[#This Row],[Total PoP ]]</f>
        <v>2009</v>
      </c>
      <c r="CJ295" s="647">
        <f>IF(WWWW[[#This Row],[Total required water points]]-WWWW[[#This Row],['#Water points coverage]]&lt;0,0,WWWW[[#This Row],[Total required water points]]-WWWW[[#This Row],['#Water points coverage]])</f>
        <v>4</v>
      </c>
      <c r="CK295" s="647">
        <f>ROUND(IF(WWWW[[#This Row],[Total PoP ]]&lt;500,1,WWWW[[#This Row],[Total PoP ]]/500),0)</f>
        <v>4</v>
      </c>
      <c r="CL295" s="647">
        <f>(WWWW[[#This Row],['#_Constructed latrines_by_WASHAgencies]]+WWWW[[#This Row],['#_Non Cluster partner latrines]])-WWWW[[#This Row],['#_Non-functional latrines]]</f>
        <v>0</v>
      </c>
      <c r="CM295"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95"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95"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95" s="647" t="str">
        <f>IF(WWWW[[#This Row],[Location Type 1]]="Village","NA",IF(WWWW[[#This Row],['#_Constructed/Existing latrines in TLS]]*50&gt;WWWW[[#This Row],['#_students at TLS_CFS]],WWWW[[#This Row],['#_students at TLS_CFS]],(WWWW[[#This Row],['#_Constructed/Existing latrines in TLS]]*50)))</f>
        <v>NA</v>
      </c>
      <c r="CQ295" s="647">
        <f>ROUND(IF(WWWW[[#This Row],[Location Type 1]]="camp",WWWW[[#This Row],[Total PoP ]]/20,IF(WWWW[[#This Row],[Location Type 1]]="Temporary Location",WWWW[[#This Row],[Total PoP ]]/50,(WWWW[[#This Row],[Total PoP ]]/6))),0)</f>
        <v>335</v>
      </c>
      <c r="CR295" s="647">
        <f>IF(WWWW[[#This Row],[Total required Latrines]]-(WWWW[[#This Row],['#_Constructed latrines_by_WASHAgencies]]+WWWW[[#This Row],['#_Non Cluster partner latrines]])&lt;0,0,WWWW[[#This Row],[Total required Latrines]]-(WWWW[[#This Row],['#_Constructed latrines_by_WASHAgencies]]+WWWW[[#This Row],['#_Non Cluster partner latrines]]))</f>
        <v>335</v>
      </c>
      <c r="CS295" s="79">
        <f>1-WWWW[[#This Row],[% people access to functioning Latrine]]</f>
        <v>1</v>
      </c>
      <c r="CT295" s="649">
        <f>IF(OR(WWWW[[#This Row],['#_Non-functional latrines]]="",WWWW[[#This Row],['#_Non-functional latrines]]=0),0,WWWW[[#This Row],['#_Non-functional latrines]]/(WWWW[[#This Row],['#_Constructed latrines_by_WASHAgencies]]+WWWW[[#This Row],['#_Non Cluster partner latrines]]))</f>
        <v>0</v>
      </c>
      <c r="CU295" s="645">
        <f>IF(500*(WWWW[[#This Row],['#_male hygiene promoters]]+WWWW[[#This Row],['#_female hygiene promoters]])&gt;WWWW[[#This Row],[Total PoP ]],WWWW[[#This Row],[Total PoP ]],500*(WWWW[[#This Row],['#_male hygiene promoters]]+WWWW[[#This Row],['#_female hygiene promoters]]))</f>
        <v>0</v>
      </c>
      <c r="CV295"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95"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95" s="647">
        <f>IF(WWWW[[#This Row],['# People with access to soap]]&gt;WWWW[[#This Row],['# People with access to Sanity Pads]],WWWW[[#This Row],['# People with access to soap]],WWWW[[#This Row],['# People with access to Sanity Pads]])</f>
        <v>0</v>
      </c>
      <c r="CY295"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95" s="650">
        <f>IF(WWWW[[#This Row],[HRP3]]/WWWW[[#This Row],[Total PoP ]]&gt;100%,100%,WWWW[[#This Row],[HRP3]]/WWWW[[#This Row],[Total PoP ]])</f>
        <v>0</v>
      </c>
      <c r="DA295" s="649">
        <f>1-WWWW[[#This Row],[Hygiene Coverage%]]</f>
        <v>1</v>
      </c>
      <c r="DB295" s="648">
        <f>WWWW[[#This Row],['# people reached by regular dedicated hygiene promotion_5]]/WWWW[[#This Row],[Total PoP ]]</f>
        <v>0</v>
      </c>
      <c r="DC295" s="648">
        <f>IF(WWWW[[#This Row],['#_households that received standard amount of soap for this quarter]]/WWWW[[#This Row],[Total HH]]&gt;1,1,WWWW[[#This Row],['#_households that received standard amount of soap for this quarter]]/WWWW[[#This Row],[Total HH]])</f>
        <v>0</v>
      </c>
      <c r="DD295" s="648">
        <f>IF(WWWW[[#This Row],['#_households that received standard amount of sanitary pads for this quarter]]/WWWW[[#This Row],[Total HH]]&gt;1,1,WWWW[[#This Row],['#_households that received standard amount of sanitary pads for this quarter]]/WWWW[[#This Row],[Total HH]])</f>
        <v>0</v>
      </c>
      <c r="DE295" s="647">
        <f>WWWW[[#This Row],['#_Constructed/Existing hand washing stations]]-WWWW[[#This Row],['#_Non-Functional_hand_washing_stations]]</f>
        <v>0</v>
      </c>
      <c r="DF295" s="667">
        <f>IF(WWWW[[#This Row],['# Functional hand washing stations during reporting period]]*20&gt;WWWW[[#This Row],[Total HH]],WWWW[[#This Row],[Total HH]],WWWW[[#This Row],['# Functional hand washing stations during reporting period]]*20)</f>
        <v>0</v>
      </c>
      <c r="DG295" s="645">
        <f>IF(WWWW[[#This Row],[Is sufficient soap available for TLS? (Yes/No)]]="yes",WWWW[[#This Row],['#_Constructed/Existing hand washing stations at TLS]],0)</f>
        <v>0</v>
      </c>
      <c r="DH295" s="645">
        <f>IF(WWWW[[#This Row],['# Functional hand washing stations during reporting period]]*100&gt;WWWW[[#This Row],[Total PoP ]],WWWW[[#This Row],[Total PoP ]],WWWW[[#This Row],['# Functional hand washing stations during reporting period]]*100)</f>
        <v>0</v>
      </c>
      <c r="DI295" s="645" t="str">
        <f>IF(WWWW[[#This Row],['#_students at TLS_CFS]]="","No","Yes")</f>
        <v>No</v>
      </c>
      <c r="DJ295" s="643">
        <f>VLOOKUP(WWWW[[#This Row],[Site Name]],SiteDB6[[Site Name]:[CCCM Management]],6,FALSE)</f>
        <v>0</v>
      </c>
      <c r="DK295" s="643">
        <f>VLOOKUP(WWWW[[#This Row],[Site Name]],SiteDB6[[Site Name]:[CCCM Focal Agency]],7,FALSE)</f>
        <v>0</v>
      </c>
      <c r="DL295" s="643" t="str">
        <f>VLOOKUP(WWWW[[#This Row],[Site Name]],SiteDB6[[Site Name]:[Location Type 1]],9,FALSE)</f>
        <v>Village</v>
      </c>
      <c r="DM295" s="643" t="str">
        <f>VLOOKUP(WWWW[[#This Row],[Site Name]],SiteDB6[[Site Name]:[Type of Accommodation]],10,FALSE)</f>
        <v>Returned</v>
      </c>
      <c r="DN295" s="643" t="str">
        <f>VLOOKUP(WWWW[[#This Row],[Site Name]],SiteDB6[[Site Name]:[Ethnic or GCA/NGCA]],11,FALSE)</f>
        <v>Muslim</v>
      </c>
      <c r="DO295" s="643">
        <f>VLOOKUP(WWWW[[#This Row],[Site Name]],SiteDB6[[Site Name]:[Lat]],12,FALSE)</f>
        <v>20.480898</v>
      </c>
      <c r="DP295" s="643">
        <f>VLOOKUP(WWWW[[#This Row],[Site Name]],SiteDB6[[Site Name]:[Long]],13,FALSE)</f>
        <v>93.299485000000004</v>
      </c>
      <c r="DQ295" s="643" t="str">
        <f>VLOOKUP(WWWW[[#This Row],[Site Name]],SiteDB6[[Site Name]:[Pcode]],3,FALSE)</f>
        <v>MMR012CMP006</v>
      </c>
      <c r="DR295" s="652" t="str">
        <f t="shared" si="10"/>
        <v>Covered</v>
      </c>
      <c r="DS295" s="652"/>
    </row>
    <row r="296" spans="1:123">
      <c r="A296" s="637" t="s">
        <v>2525</v>
      </c>
      <c r="B296" s="637" t="s">
        <v>332</v>
      </c>
      <c r="C296" s="644" t="s">
        <v>332</v>
      </c>
      <c r="D296" s="644" t="s">
        <v>325</v>
      </c>
      <c r="E296" s="663" t="s">
        <v>3014</v>
      </c>
      <c r="F296" s="644" t="s">
        <v>330</v>
      </c>
      <c r="G296" s="663" t="str">
        <f>VLOOKUP(WWWW[[#This Row],[Site Name]],SiteDB6[[Site Name]:[Location Type]],8,FALSE)</f>
        <v>Village</v>
      </c>
      <c r="H296" s="644" t="s">
        <v>2920</v>
      </c>
      <c r="I296" s="646">
        <v>47</v>
      </c>
      <c r="J296" s="646">
        <v>190</v>
      </c>
      <c r="K296" s="653">
        <v>42736</v>
      </c>
      <c r="L296" s="654">
        <v>44551</v>
      </c>
      <c r="M296" s="646"/>
      <c r="N296" s="646"/>
      <c r="O296" s="646"/>
      <c r="P296" s="646"/>
      <c r="Q296" s="645"/>
      <c r="R296" s="646"/>
      <c r="S296" s="646"/>
      <c r="T296" s="646"/>
      <c r="U296" s="646"/>
      <c r="V296" s="646"/>
      <c r="W296" s="646"/>
      <c r="X296" s="646"/>
      <c r="Y296" s="646"/>
      <c r="Z296" s="646"/>
      <c r="AA296" s="646"/>
      <c r="AB296" s="646"/>
      <c r="AC296" s="646"/>
      <c r="AD296" s="646"/>
      <c r="AE296" s="646"/>
      <c r="AF296" s="646"/>
      <c r="AG296" s="646"/>
      <c r="AH296" s="646"/>
      <c r="AI296" s="646"/>
      <c r="AJ296" s="646"/>
      <c r="AK296" s="646"/>
      <c r="AL296" s="646"/>
      <c r="AM296" s="646"/>
      <c r="AN296" s="646"/>
      <c r="AO296" s="652"/>
      <c r="AP296" s="646"/>
      <c r="AQ296" s="646"/>
      <c r="AR296" s="648"/>
      <c r="AS296" s="646"/>
      <c r="AT296" s="646"/>
      <c r="AU296" s="646"/>
      <c r="AV296" s="646"/>
      <c r="AW296" s="646"/>
      <c r="AX296" s="643"/>
      <c r="AY296" s="652"/>
      <c r="AZ296" s="646"/>
      <c r="BA296" s="646"/>
      <c r="BB296" s="646"/>
      <c r="BC296" s="643"/>
      <c r="BD296" s="646"/>
      <c r="BE296" s="646"/>
      <c r="BF296" s="646"/>
      <c r="BG296" s="646"/>
      <c r="BH296" s="646"/>
      <c r="BI296" s="646"/>
      <c r="BJ296" s="646"/>
      <c r="BK296" s="646"/>
      <c r="BL296" s="646"/>
      <c r="BM296" s="643"/>
      <c r="BN296" s="647"/>
      <c r="BO296" s="648"/>
      <c r="BP296" s="643"/>
      <c r="BQ296" s="649" t="str">
        <f>IFERROR(WWWW[[#This Row],['#_Water sources treated]]/WWWW[[#This Row],['#_Water sources tested for contamination]],"no test")</f>
        <v>no test</v>
      </c>
      <c r="BR296" s="648" t="str">
        <f>IFERROR(WWWW[[#This Row],['#_Household received remediation action due to contamination]]/WWWW[[#This Row],['#_Household water samples tested for contamination]],"no test")</f>
        <v>no test</v>
      </c>
      <c r="BS296" s="647" t="str">
        <f>IF(AND(WWWW[[#This Row],[% of water sources treated]]="no test",WWWW[[#This Row],[% Household received corrective actions]]="no test"),"No Test","Tested")</f>
        <v>No Test</v>
      </c>
      <c r="BT296" s="647">
        <f>WWWW[[#This Row],['#_Constructed/existing protected hand dug well]]-WWWW[[#This Row],['#_Non-functional protected hand dug well]]</f>
        <v>0</v>
      </c>
      <c r="BU296" s="647">
        <f>(WWWW[[#This Row],['#_Constructed/Existing tube wells/boreholes/handpumps_WASH_agency]]+WWWW[[#This Row],['#_Non-Cluster partner water tube-wells/boreholes/handpumps]])-WWWW[[#This Row],['#_Non-functional tube wells/boreholes/handpumps]]</f>
        <v>0</v>
      </c>
      <c r="BV296" s="647">
        <f>WWWW[[#This Row],['#_Constructed/Existingwater storage tank with gravity fed reticulation system]]-WWWW[[#This Row],['#_Non-functional storage tank gravity fed reticulation system]]</f>
        <v>0</v>
      </c>
      <c r="BW296" s="647">
        <f>WWWW[[#This Row],['#_Water boating or water trucking]]</f>
        <v>0</v>
      </c>
      <c r="BX296" s="647">
        <f>WWWW[[#This Row],['#_Constructed/Existing water distribution system from river or natural spring]]</f>
        <v>0</v>
      </c>
      <c r="BY296"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96"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96" s="648">
        <f>IF(WWWW[[#This Row],[Location Type 1]]="Village",WWWW[[#This Row],[Access to safe drinking water for Village]],WWWW[[#This Row],[Access to safe drinking water for Camp]])</f>
        <v>0</v>
      </c>
      <c r="CB296" s="645">
        <f>WWWW[[#This Row],[%Equitable and continuous access to sufficient quantity of safe drinking water]]*WWWW[[#This Row],[Total PoP ]]</f>
        <v>0</v>
      </c>
      <c r="CC296" s="648">
        <f>IF((WWWW[[#This Row],['#_Constructed/Existing protected/fenced ponds]]*250)/WWWW[[#This Row],[Total PoP ]]&gt;1,1,(WWWW[[#This Row],['#_Constructed/Existing protected/fenced ponds]]*250)/WWWW[[#This Row],[Total PoP ]])</f>
        <v>0</v>
      </c>
      <c r="CD296" s="645">
        <f>WWWW[[#This Row],[% Access to unimproved water points]]*WWWW[[#This Row],[Total PoP ]]</f>
        <v>0</v>
      </c>
      <c r="CE296"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96"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96" s="645">
        <f>WWWW[[#This Row],[HRP1]]/500</f>
        <v>0</v>
      </c>
      <c r="CH296" s="650">
        <f>1-WWWW[[#This Row],[% Equitable and continuous access to sufficient quantity of domestic water]]</f>
        <v>1</v>
      </c>
      <c r="CI296" s="645">
        <f>WWWW[[#This Row],[%equitable and continuous access to sufficient quantity of safe drinking and domestic water''s GAP]]*WWWW[[#This Row],[Total PoP ]]</f>
        <v>190</v>
      </c>
      <c r="CJ296" s="647">
        <f>IF(WWWW[[#This Row],[Total required water points]]-WWWW[[#This Row],['#Water points coverage]]&lt;0,0,WWWW[[#This Row],[Total required water points]]-WWWW[[#This Row],['#Water points coverage]])</f>
        <v>1</v>
      </c>
      <c r="CK296" s="647">
        <f>ROUND(IF(WWWW[[#This Row],[Total PoP ]]&lt;500,1,WWWW[[#This Row],[Total PoP ]]/500),0)</f>
        <v>1</v>
      </c>
      <c r="CL296" s="647">
        <f>(WWWW[[#This Row],['#_Constructed latrines_by_WASHAgencies]]+WWWW[[#This Row],['#_Non Cluster partner latrines]])-WWWW[[#This Row],['#_Non-functional latrines]]</f>
        <v>0</v>
      </c>
      <c r="CM296"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96"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96"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96" s="647" t="str">
        <f>IF(WWWW[[#This Row],[Location Type 1]]="Village","NA",IF(WWWW[[#This Row],['#_Constructed/Existing latrines in TLS]]*50&gt;WWWW[[#This Row],['#_students at TLS_CFS]],WWWW[[#This Row],['#_students at TLS_CFS]],(WWWW[[#This Row],['#_Constructed/Existing latrines in TLS]]*50)))</f>
        <v>NA</v>
      </c>
      <c r="CQ296" s="647">
        <f>ROUND(IF(WWWW[[#This Row],[Location Type 1]]="camp",WWWW[[#This Row],[Total PoP ]]/20,IF(WWWW[[#This Row],[Location Type 1]]="Temporary Location",WWWW[[#This Row],[Total PoP ]]/50,(WWWW[[#This Row],[Total PoP ]]/6))),0)</f>
        <v>32</v>
      </c>
      <c r="CR296" s="647">
        <f>IF(WWWW[[#This Row],[Total required Latrines]]-(WWWW[[#This Row],['#_Constructed latrines_by_WASHAgencies]]+WWWW[[#This Row],['#_Non Cluster partner latrines]])&lt;0,0,WWWW[[#This Row],[Total required Latrines]]-(WWWW[[#This Row],['#_Constructed latrines_by_WASHAgencies]]+WWWW[[#This Row],['#_Non Cluster partner latrines]]))</f>
        <v>32</v>
      </c>
      <c r="CS296" s="79">
        <f>1-WWWW[[#This Row],[% people access to functioning Latrine]]</f>
        <v>1</v>
      </c>
      <c r="CT296" s="649">
        <f>IF(OR(WWWW[[#This Row],['#_Non-functional latrines]]="",WWWW[[#This Row],['#_Non-functional latrines]]=0),0,WWWW[[#This Row],['#_Non-functional latrines]]/(WWWW[[#This Row],['#_Constructed latrines_by_WASHAgencies]]+WWWW[[#This Row],['#_Non Cluster partner latrines]]))</f>
        <v>0</v>
      </c>
      <c r="CU296" s="645">
        <f>IF(500*(WWWW[[#This Row],['#_male hygiene promoters]]+WWWW[[#This Row],['#_female hygiene promoters]])&gt;WWWW[[#This Row],[Total PoP ]],WWWW[[#This Row],[Total PoP ]],500*(WWWW[[#This Row],['#_male hygiene promoters]]+WWWW[[#This Row],['#_female hygiene promoters]]))</f>
        <v>0</v>
      </c>
      <c r="CV296"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96"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96" s="647">
        <f>IF(WWWW[[#This Row],['# People with access to soap]]&gt;WWWW[[#This Row],['# People with access to Sanity Pads]],WWWW[[#This Row],['# People with access to soap]],WWWW[[#This Row],['# People with access to Sanity Pads]])</f>
        <v>0</v>
      </c>
      <c r="CY296"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96" s="650">
        <f>IF(WWWW[[#This Row],[HRP3]]/WWWW[[#This Row],[Total PoP ]]&gt;100%,100%,WWWW[[#This Row],[HRP3]]/WWWW[[#This Row],[Total PoP ]])</f>
        <v>0</v>
      </c>
      <c r="DA296" s="649">
        <f>1-WWWW[[#This Row],[Hygiene Coverage%]]</f>
        <v>1</v>
      </c>
      <c r="DB296" s="648">
        <f>WWWW[[#This Row],['# people reached by regular dedicated hygiene promotion_5]]/WWWW[[#This Row],[Total PoP ]]</f>
        <v>0</v>
      </c>
      <c r="DC296" s="648">
        <f>IF(WWWW[[#This Row],['#_households that received standard amount of soap for this quarter]]/WWWW[[#This Row],[Total HH]]&gt;1,1,WWWW[[#This Row],['#_households that received standard amount of soap for this quarter]]/WWWW[[#This Row],[Total HH]])</f>
        <v>0</v>
      </c>
      <c r="DD296" s="648">
        <f>IF(WWWW[[#This Row],['#_households that received standard amount of sanitary pads for this quarter]]/WWWW[[#This Row],[Total HH]]&gt;1,1,WWWW[[#This Row],['#_households that received standard amount of sanitary pads for this quarter]]/WWWW[[#This Row],[Total HH]])</f>
        <v>0</v>
      </c>
      <c r="DE296" s="647">
        <f>WWWW[[#This Row],['#_Constructed/Existing hand washing stations]]-WWWW[[#This Row],['#_Non-Functional_hand_washing_stations]]</f>
        <v>0</v>
      </c>
      <c r="DF296" s="667">
        <f>IF(WWWW[[#This Row],['# Functional hand washing stations during reporting period]]*20&gt;WWWW[[#This Row],[Total HH]],WWWW[[#This Row],[Total HH]],WWWW[[#This Row],['# Functional hand washing stations during reporting period]]*20)</f>
        <v>0</v>
      </c>
      <c r="DG296" s="645">
        <f>IF(WWWW[[#This Row],[Is sufficient soap available for TLS? (Yes/No)]]="yes",WWWW[[#This Row],['#_Constructed/Existing hand washing stations at TLS]],0)</f>
        <v>0</v>
      </c>
      <c r="DH296" s="645">
        <f>IF(WWWW[[#This Row],['# Functional hand washing stations during reporting period]]*100&gt;WWWW[[#This Row],[Total PoP ]],WWWW[[#This Row],[Total PoP ]],WWWW[[#This Row],['# Functional hand washing stations during reporting period]]*100)</f>
        <v>0</v>
      </c>
      <c r="DI296" s="645" t="str">
        <f>IF(WWWW[[#This Row],['#_students at TLS_CFS]]="","No","Yes")</f>
        <v>No</v>
      </c>
      <c r="DJ296" s="643">
        <f>VLOOKUP(WWWW[[#This Row],[Site Name]],SiteDB6[[Site Name]:[CCCM Management]],6,FALSE)</f>
        <v>0</v>
      </c>
      <c r="DK296" s="643">
        <f>VLOOKUP(WWWW[[#This Row],[Site Name]],SiteDB6[[Site Name]:[CCCM Focal Agency]],7,FALSE)</f>
        <v>0</v>
      </c>
      <c r="DL296" s="643" t="str">
        <f>VLOOKUP(WWWW[[#This Row],[Site Name]],SiteDB6[[Site Name]:[Location Type 1]],9,FALSE)</f>
        <v>Village</v>
      </c>
      <c r="DM296" s="643" t="str">
        <f>VLOOKUP(WWWW[[#This Row],[Site Name]],SiteDB6[[Site Name]:[Type of Accommodation]],10,FALSE)</f>
        <v>Village</v>
      </c>
      <c r="DN296" s="643">
        <f>VLOOKUP(WWWW[[#This Row],[Site Name]],SiteDB6[[Site Name]:[Ethnic or GCA/NGCA]],11,FALSE)</f>
        <v>0</v>
      </c>
      <c r="DO296" s="643">
        <f>VLOOKUP(WWWW[[#This Row],[Site Name]],SiteDB6[[Site Name]:[Lat]],12,FALSE)</f>
        <v>0</v>
      </c>
      <c r="DP296" s="643">
        <f>VLOOKUP(WWWW[[#This Row],[Site Name]],SiteDB6[[Site Name]:[Long]],13,FALSE)</f>
        <v>0</v>
      </c>
      <c r="DQ296" s="643">
        <f>VLOOKUP(WWWW[[#This Row],[Site Name]],SiteDB6[[Site Name]:[Pcode]],3,FALSE)</f>
        <v>0</v>
      </c>
      <c r="DR296" s="652" t="str">
        <f t="shared" si="10"/>
        <v>Covered</v>
      </c>
      <c r="DS296" s="652"/>
    </row>
    <row r="297" spans="1:123">
      <c r="A297" s="637" t="s">
        <v>2525</v>
      </c>
      <c r="B297" s="637" t="s">
        <v>332</v>
      </c>
      <c r="C297" s="644" t="s">
        <v>332</v>
      </c>
      <c r="D297" s="644" t="s">
        <v>325</v>
      </c>
      <c r="E297" s="663" t="s">
        <v>3014</v>
      </c>
      <c r="F297" s="644" t="s">
        <v>330</v>
      </c>
      <c r="G297" s="663" t="str">
        <f>VLOOKUP(WWWW[[#This Row],[Site Name]],SiteDB6[[Site Name]:[Location Type]],8,FALSE)</f>
        <v>Village</v>
      </c>
      <c r="H297" s="644" t="s">
        <v>2921</v>
      </c>
      <c r="I297" s="646">
        <v>150</v>
      </c>
      <c r="J297" s="646">
        <v>532</v>
      </c>
      <c r="K297" s="653">
        <v>42736</v>
      </c>
      <c r="L297" s="654">
        <v>44551</v>
      </c>
      <c r="M297" s="646"/>
      <c r="N297" s="646"/>
      <c r="O297" s="646"/>
      <c r="P297" s="646"/>
      <c r="Q297" s="645"/>
      <c r="R297" s="646"/>
      <c r="S297" s="646"/>
      <c r="T297" s="646"/>
      <c r="U297" s="646"/>
      <c r="V297" s="646"/>
      <c r="W297" s="646"/>
      <c r="X297" s="646"/>
      <c r="Y297" s="646"/>
      <c r="Z297" s="646"/>
      <c r="AA297" s="646"/>
      <c r="AB297" s="646"/>
      <c r="AC297" s="646"/>
      <c r="AD297" s="646"/>
      <c r="AE297" s="646"/>
      <c r="AF297" s="646"/>
      <c r="AG297" s="646"/>
      <c r="AH297" s="646"/>
      <c r="AI297" s="646"/>
      <c r="AJ297" s="646"/>
      <c r="AK297" s="646"/>
      <c r="AL297" s="646"/>
      <c r="AM297" s="646"/>
      <c r="AN297" s="646"/>
      <c r="AO297" s="652"/>
      <c r="AP297" s="646"/>
      <c r="AQ297" s="646"/>
      <c r="AR297" s="648"/>
      <c r="AS297" s="646"/>
      <c r="AT297" s="646"/>
      <c r="AU297" s="646"/>
      <c r="AV297" s="646"/>
      <c r="AW297" s="646"/>
      <c r="AX297" s="643"/>
      <c r="AY297" s="652"/>
      <c r="AZ297" s="646"/>
      <c r="BA297" s="646"/>
      <c r="BB297" s="646"/>
      <c r="BC297" s="643"/>
      <c r="BD297" s="646"/>
      <c r="BE297" s="646"/>
      <c r="BF297" s="646"/>
      <c r="BG297" s="646"/>
      <c r="BH297" s="646"/>
      <c r="BI297" s="646"/>
      <c r="BJ297" s="646"/>
      <c r="BK297" s="646"/>
      <c r="BL297" s="646"/>
      <c r="BM297" s="643"/>
      <c r="BN297" s="647"/>
      <c r="BO297" s="648"/>
      <c r="BP297" s="643"/>
      <c r="BQ297" s="649" t="str">
        <f>IFERROR(WWWW[[#This Row],['#_Water sources treated]]/WWWW[[#This Row],['#_Water sources tested for contamination]],"no test")</f>
        <v>no test</v>
      </c>
      <c r="BR297" s="648" t="str">
        <f>IFERROR(WWWW[[#This Row],['#_Household received remediation action due to contamination]]/WWWW[[#This Row],['#_Household water samples tested for contamination]],"no test")</f>
        <v>no test</v>
      </c>
      <c r="BS297" s="647" t="str">
        <f>IF(AND(WWWW[[#This Row],[% of water sources treated]]="no test",WWWW[[#This Row],[% Household received corrective actions]]="no test"),"No Test","Tested")</f>
        <v>No Test</v>
      </c>
      <c r="BT297" s="647">
        <f>WWWW[[#This Row],['#_Constructed/existing protected hand dug well]]-WWWW[[#This Row],['#_Non-functional protected hand dug well]]</f>
        <v>0</v>
      </c>
      <c r="BU297" s="647">
        <f>(WWWW[[#This Row],['#_Constructed/Existing tube wells/boreholes/handpumps_WASH_agency]]+WWWW[[#This Row],['#_Non-Cluster partner water tube-wells/boreholes/handpumps]])-WWWW[[#This Row],['#_Non-functional tube wells/boreholes/handpumps]]</f>
        <v>0</v>
      </c>
      <c r="BV297" s="647">
        <f>WWWW[[#This Row],['#_Constructed/Existingwater storage tank with gravity fed reticulation system]]-WWWW[[#This Row],['#_Non-functional storage tank gravity fed reticulation system]]</f>
        <v>0</v>
      </c>
      <c r="BW297" s="647">
        <f>WWWW[[#This Row],['#_Water boating or water trucking]]</f>
        <v>0</v>
      </c>
      <c r="BX297" s="647">
        <f>WWWW[[#This Row],['#_Constructed/Existing water distribution system from river or natural spring]]</f>
        <v>0</v>
      </c>
      <c r="BY297"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97"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97" s="648">
        <f>IF(WWWW[[#This Row],[Location Type 1]]="Village",WWWW[[#This Row],[Access to safe drinking water for Village]],WWWW[[#This Row],[Access to safe drinking water for Camp]])</f>
        <v>0</v>
      </c>
      <c r="CB297" s="645">
        <f>WWWW[[#This Row],[%Equitable and continuous access to sufficient quantity of safe drinking water]]*WWWW[[#This Row],[Total PoP ]]</f>
        <v>0</v>
      </c>
      <c r="CC297" s="648">
        <f>IF((WWWW[[#This Row],['#_Constructed/Existing protected/fenced ponds]]*250)/WWWW[[#This Row],[Total PoP ]]&gt;1,1,(WWWW[[#This Row],['#_Constructed/Existing protected/fenced ponds]]*250)/WWWW[[#This Row],[Total PoP ]])</f>
        <v>0</v>
      </c>
      <c r="CD297" s="645">
        <f>WWWW[[#This Row],[% Access to unimproved water points]]*WWWW[[#This Row],[Total PoP ]]</f>
        <v>0</v>
      </c>
      <c r="CE297"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97"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97" s="645">
        <f>WWWW[[#This Row],[HRP1]]/500</f>
        <v>0</v>
      </c>
      <c r="CH297" s="650">
        <f>1-WWWW[[#This Row],[% Equitable and continuous access to sufficient quantity of domestic water]]</f>
        <v>1</v>
      </c>
      <c r="CI297" s="645">
        <f>WWWW[[#This Row],[%equitable and continuous access to sufficient quantity of safe drinking and domestic water''s GAP]]*WWWW[[#This Row],[Total PoP ]]</f>
        <v>532</v>
      </c>
      <c r="CJ297" s="647">
        <f>IF(WWWW[[#This Row],[Total required water points]]-WWWW[[#This Row],['#Water points coverage]]&lt;0,0,WWWW[[#This Row],[Total required water points]]-WWWW[[#This Row],['#Water points coverage]])</f>
        <v>1</v>
      </c>
      <c r="CK297" s="647">
        <f>ROUND(IF(WWWW[[#This Row],[Total PoP ]]&lt;500,1,WWWW[[#This Row],[Total PoP ]]/500),0)</f>
        <v>1</v>
      </c>
      <c r="CL297" s="647">
        <f>(WWWW[[#This Row],['#_Constructed latrines_by_WASHAgencies]]+WWWW[[#This Row],['#_Non Cluster partner latrines]])-WWWW[[#This Row],['#_Non-functional latrines]]</f>
        <v>0</v>
      </c>
      <c r="CM297"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97"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97"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97" s="647" t="str">
        <f>IF(WWWW[[#This Row],[Location Type 1]]="Village","NA",IF(WWWW[[#This Row],['#_Constructed/Existing latrines in TLS]]*50&gt;WWWW[[#This Row],['#_students at TLS_CFS]],WWWW[[#This Row],['#_students at TLS_CFS]],(WWWW[[#This Row],['#_Constructed/Existing latrines in TLS]]*50)))</f>
        <v>NA</v>
      </c>
      <c r="CQ297" s="647">
        <f>ROUND(IF(WWWW[[#This Row],[Location Type 1]]="camp",WWWW[[#This Row],[Total PoP ]]/20,IF(WWWW[[#This Row],[Location Type 1]]="Temporary Location",WWWW[[#This Row],[Total PoP ]]/50,(WWWW[[#This Row],[Total PoP ]]/6))),0)</f>
        <v>89</v>
      </c>
      <c r="CR297" s="647">
        <f>IF(WWWW[[#This Row],[Total required Latrines]]-(WWWW[[#This Row],['#_Constructed latrines_by_WASHAgencies]]+WWWW[[#This Row],['#_Non Cluster partner latrines]])&lt;0,0,WWWW[[#This Row],[Total required Latrines]]-(WWWW[[#This Row],['#_Constructed latrines_by_WASHAgencies]]+WWWW[[#This Row],['#_Non Cluster partner latrines]]))</f>
        <v>89</v>
      </c>
      <c r="CS297" s="79">
        <f>1-WWWW[[#This Row],[% people access to functioning Latrine]]</f>
        <v>1</v>
      </c>
      <c r="CT297" s="649">
        <f>IF(OR(WWWW[[#This Row],['#_Non-functional latrines]]="",WWWW[[#This Row],['#_Non-functional latrines]]=0),0,WWWW[[#This Row],['#_Non-functional latrines]]/(WWWW[[#This Row],['#_Constructed latrines_by_WASHAgencies]]+WWWW[[#This Row],['#_Non Cluster partner latrines]]))</f>
        <v>0</v>
      </c>
      <c r="CU297" s="645">
        <f>IF(500*(WWWW[[#This Row],['#_male hygiene promoters]]+WWWW[[#This Row],['#_female hygiene promoters]])&gt;WWWW[[#This Row],[Total PoP ]],WWWW[[#This Row],[Total PoP ]],500*(WWWW[[#This Row],['#_male hygiene promoters]]+WWWW[[#This Row],['#_female hygiene promoters]]))</f>
        <v>0</v>
      </c>
      <c r="CV297"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97"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97" s="647">
        <f>IF(WWWW[[#This Row],['# People with access to soap]]&gt;WWWW[[#This Row],['# People with access to Sanity Pads]],WWWW[[#This Row],['# People with access to soap]],WWWW[[#This Row],['# People with access to Sanity Pads]])</f>
        <v>0</v>
      </c>
      <c r="CY297"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97" s="650">
        <f>IF(WWWW[[#This Row],[HRP3]]/WWWW[[#This Row],[Total PoP ]]&gt;100%,100%,WWWW[[#This Row],[HRP3]]/WWWW[[#This Row],[Total PoP ]])</f>
        <v>0</v>
      </c>
      <c r="DA297" s="649">
        <f>1-WWWW[[#This Row],[Hygiene Coverage%]]</f>
        <v>1</v>
      </c>
      <c r="DB297" s="648">
        <f>WWWW[[#This Row],['# people reached by regular dedicated hygiene promotion_5]]/WWWW[[#This Row],[Total PoP ]]</f>
        <v>0</v>
      </c>
      <c r="DC297" s="648">
        <f>IF(WWWW[[#This Row],['#_households that received standard amount of soap for this quarter]]/WWWW[[#This Row],[Total HH]]&gt;1,1,WWWW[[#This Row],['#_households that received standard amount of soap for this quarter]]/WWWW[[#This Row],[Total HH]])</f>
        <v>0</v>
      </c>
      <c r="DD297" s="648">
        <f>IF(WWWW[[#This Row],['#_households that received standard amount of sanitary pads for this quarter]]/WWWW[[#This Row],[Total HH]]&gt;1,1,WWWW[[#This Row],['#_households that received standard amount of sanitary pads for this quarter]]/WWWW[[#This Row],[Total HH]])</f>
        <v>0</v>
      </c>
      <c r="DE297" s="647">
        <f>WWWW[[#This Row],['#_Constructed/Existing hand washing stations]]-WWWW[[#This Row],['#_Non-Functional_hand_washing_stations]]</f>
        <v>0</v>
      </c>
      <c r="DF297" s="667">
        <f>IF(WWWW[[#This Row],['# Functional hand washing stations during reporting period]]*20&gt;WWWW[[#This Row],[Total HH]],WWWW[[#This Row],[Total HH]],WWWW[[#This Row],['# Functional hand washing stations during reporting period]]*20)</f>
        <v>0</v>
      </c>
      <c r="DG297" s="645">
        <f>IF(WWWW[[#This Row],[Is sufficient soap available for TLS? (Yes/No)]]="yes",WWWW[[#This Row],['#_Constructed/Existing hand washing stations at TLS]],0)</f>
        <v>0</v>
      </c>
      <c r="DH297" s="645">
        <f>IF(WWWW[[#This Row],['# Functional hand washing stations during reporting period]]*100&gt;WWWW[[#This Row],[Total PoP ]],WWWW[[#This Row],[Total PoP ]],WWWW[[#This Row],['# Functional hand washing stations during reporting period]]*100)</f>
        <v>0</v>
      </c>
      <c r="DI297" s="645" t="str">
        <f>IF(WWWW[[#This Row],['#_students at TLS_CFS]]="","No","Yes")</f>
        <v>No</v>
      </c>
      <c r="DJ297" s="643">
        <f>VLOOKUP(WWWW[[#This Row],[Site Name]],SiteDB6[[Site Name]:[CCCM Management]],6,FALSE)</f>
        <v>0</v>
      </c>
      <c r="DK297" s="643">
        <f>VLOOKUP(WWWW[[#This Row],[Site Name]],SiteDB6[[Site Name]:[CCCM Focal Agency]],7,FALSE)</f>
        <v>0</v>
      </c>
      <c r="DL297" s="643" t="str">
        <f>VLOOKUP(WWWW[[#This Row],[Site Name]],SiteDB6[[Site Name]:[Location Type 1]],9,FALSE)</f>
        <v>Village</v>
      </c>
      <c r="DM297" s="643" t="str">
        <f>VLOOKUP(WWWW[[#This Row],[Site Name]],SiteDB6[[Site Name]:[Type of Accommodation]],10,FALSE)</f>
        <v>Village</v>
      </c>
      <c r="DN297" s="643">
        <f>VLOOKUP(WWWW[[#This Row],[Site Name]],SiteDB6[[Site Name]:[Ethnic or GCA/NGCA]],11,FALSE)</f>
        <v>0</v>
      </c>
      <c r="DO297" s="643">
        <f>VLOOKUP(WWWW[[#This Row],[Site Name]],SiteDB6[[Site Name]:[Lat]],12,FALSE)</f>
        <v>0</v>
      </c>
      <c r="DP297" s="643">
        <f>VLOOKUP(WWWW[[#This Row],[Site Name]],SiteDB6[[Site Name]:[Long]],13,FALSE)</f>
        <v>0</v>
      </c>
      <c r="DQ297" s="643">
        <f>VLOOKUP(WWWW[[#This Row],[Site Name]],SiteDB6[[Site Name]:[Pcode]],3,FALSE)</f>
        <v>197092</v>
      </c>
      <c r="DR297" s="652" t="str">
        <f t="shared" si="10"/>
        <v>Covered</v>
      </c>
      <c r="DS297" s="652"/>
    </row>
    <row r="298" spans="1:123">
      <c r="A298" s="637" t="s">
        <v>2525</v>
      </c>
      <c r="B298" s="637" t="s">
        <v>332</v>
      </c>
      <c r="C298" s="644" t="s">
        <v>332</v>
      </c>
      <c r="D298" s="644" t="s">
        <v>325</v>
      </c>
      <c r="E298" s="663" t="s">
        <v>3014</v>
      </c>
      <c r="F298" s="644" t="s">
        <v>330</v>
      </c>
      <c r="G298" s="663" t="str">
        <f>VLOOKUP(WWWW[[#This Row],[Site Name]],SiteDB6[[Site Name]:[Location Type]],8,FALSE)</f>
        <v>Village</v>
      </c>
      <c r="H298" s="644" t="s">
        <v>2922</v>
      </c>
      <c r="I298" s="646">
        <v>142</v>
      </c>
      <c r="J298" s="646">
        <v>542</v>
      </c>
      <c r="K298" s="653">
        <v>42736</v>
      </c>
      <c r="L298" s="654">
        <v>44551</v>
      </c>
      <c r="M298" s="646"/>
      <c r="N298" s="646"/>
      <c r="O298" s="646"/>
      <c r="P298" s="646"/>
      <c r="Q298" s="645"/>
      <c r="R298" s="646"/>
      <c r="S298" s="646"/>
      <c r="T298" s="646"/>
      <c r="U298" s="646"/>
      <c r="V298" s="646"/>
      <c r="W298" s="646"/>
      <c r="X298" s="646"/>
      <c r="Y298" s="646"/>
      <c r="Z298" s="646"/>
      <c r="AA298" s="646"/>
      <c r="AB298" s="646"/>
      <c r="AC298" s="646"/>
      <c r="AD298" s="646"/>
      <c r="AE298" s="646"/>
      <c r="AF298" s="646"/>
      <c r="AG298" s="646"/>
      <c r="AH298" s="646"/>
      <c r="AI298" s="646"/>
      <c r="AJ298" s="646"/>
      <c r="AK298" s="646"/>
      <c r="AL298" s="646"/>
      <c r="AM298" s="646"/>
      <c r="AN298" s="646"/>
      <c r="AO298" s="652"/>
      <c r="AP298" s="646"/>
      <c r="AQ298" s="646"/>
      <c r="AR298" s="648"/>
      <c r="AS298" s="646"/>
      <c r="AT298" s="646"/>
      <c r="AU298" s="646"/>
      <c r="AV298" s="646"/>
      <c r="AW298" s="646"/>
      <c r="AX298" s="643"/>
      <c r="AY298" s="652"/>
      <c r="AZ298" s="646"/>
      <c r="BA298" s="646"/>
      <c r="BB298" s="646"/>
      <c r="BC298" s="643"/>
      <c r="BD298" s="646"/>
      <c r="BE298" s="646"/>
      <c r="BF298" s="646"/>
      <c r="BG298" s="646"/>
      <c r="BH298" s="646"/>
      <c r="BI298" s="646"/>
      <c r="BJ298" s="646"/>
      <c r="BK298" s="646"/>
      <c r="BL298" s="646"/>
      <c r="BM298" s="643"/>
      <c r="BN298" s="647"/>
      <c r="BO298" s="648"/>
      <c r="BP298" s="643"/>
      <c r="BQ298" s="649" t="str">
        <f>IFERROR(WWWW[[#This Row],['#_Water sources treated]]/WWWW[[#This Row],['#_Water sources tested for contamination]],"no test")</f>
        <v>no test</v>
      </c>
      <c r="BR298" s="648" t="str">
        <f>IFERROR(WWWW[[#This Row],['#_Household received remediation action due to contamination]]/WWWW[[#This Row],['#_Household water samples tested for contamination]],"no test")</f>
        <v>no test</v>
      </c>
      <c r="BS298" s="647" t="str">
        <f>IF(AND(WWWW[[#This Row],[% of water sources treated]]="no test",WWWW[[#This Row],[% Household received corrective actions]]="no test"),"No Test","Tested")</f>
        <v>No Test</v>
      </c>
      <c r="BT298" s="647">
        <f>WWWW[[#This Row],['#_Constructed/existing protected hand dug well]]-WWWW[[#This Row],['#_Non-functional protected hand dug well]]</f>
        <v>0</v>
      </c>
      <c r="BU298" s="647">
        <f>(WWWW[[#This Row],['#_Constructed/Existing tube wells/boreholes/handpumps_WASH_agency]]+WWWW[[#This Row],['#_Non-Cluster partner water tube-wells/boreholes/handpumps]])-WWWW[[#This Row],['#_Non-functional tube wells/boreholes/handpumps]]</f>
        <v>0</v>
      </c>
      <c r="BV298" s="647">
        <f>WWWW[[#This Row],['#_Constructed/Existingwater storage tank with gravity fed reticulation system]]-WWWW[[#This Row],['#_Non-functional storage tank gravity fed reticulation system]]</f>
        <v>0</v>
      </c>
      <c r="BW298" s="647">
        <f>WWWW[[#This Row],['#_Water boating or water trucking]]</f>
        <v>0</v>
      </c>
      <c r="BX298" s="647">
        <f>WWWW[[#This Row],['#_Constructed/Existing water distribution system from river or natural spring]]</f>
        <v>0</v>
      </c>
      <c r="BY298"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98"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98" s="648">
        <f>IF(WWWW[[#This Row],[Location Type 1]]="Village",WWWW[[#This Row],[Access to safe drinking water for Village]],WWWW[[#This Row],[Access to safe drinking water for Camp]])</f>
        <v>0</v>
      </c>
      <c r="CB298" s="645">
        <f>WWWW[[#This Row],[%Equitable and continuous access to sufficient quantity of safe drinking water]]*WWWW[[#This Row],[Total PoP ]]</f>
        <v>0</v>
      </c>
      <c r="CC298" s="648">
        <f>IF((WWWW[[#This Row],['#_Constructed/Existing protected/fenced ponds]]*250)/WWWW[[#This Row],[Total PoP ]]&gt;1,1,(WWWW[[#This Row],['#_Constructed/Existing protected/fenced ponds]]*250)/WWWW[[#This Row],[Total PoP ]])</f>
        <v>0</v>
      </c>
      <c r="CD298" s="645">
        <f>WWWW[[#This Row],[% Access to unimproved water points]]*WWWW[[#This Row],[Total PoP ]]</f>
        <v>0</v>
      </c>
      <c r="CE298"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98"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98" s="645">
        <f>WWWW[[#This Row],[HRP1]]/500</f>
        <v>0</v>
      </c>
      <c r="CH298" s="650">
        <f>1-WWWW[[#This Row],[% Equitable and continuous access to sufficient quantity of domestic water]]</f>
        <v>1</v>
      </c>
      <c r="CI298" s="645">
        <f>WWWW[[#This Row],[%equitable and continuous access to sufficient quantity of safe drinking and domestic water''s GAP]]*WWWW[[#This Row],[Total PoP ]]</f>
        <v>542</v>
      </c>
      <c r="CJ298" s="647">
        <f>IF(WWWW[[#This Row],[Total required water points]]-WWWW[[#This Row],['#Water points coverage]]&lt;0,0,WWWW[[#This Row],[Total required water points]]-WWWW[[#This Row],['#Water points coverage]])</f>
        <v>1</v>
      </c>
      <c r="CK298" s="647">
        <f>ROUND(IF(WWWW[[#This Row],[Total PoP ]]&lt;500,1,WWWW[[#This Row],[Total PoP ]]/500),0)</f>
        <v>1</v>
      </c>
      <c r="CL298" s="647">
        <f>(WWWW[[#This Row],['#_Constructed latrines_by_WASHAgencies]]+WWWW[[#This Row],['#_Non Cluster partner latrines]])-WWWW[[#This Row],['#_Non-functional latrines]]</f>
        <v>0</v>
      </c>
      <c r="CM298"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98"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98"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98" s="647" t="str">
        <f>IF(WWWW[[#This Row],[Location Type 1]]="Village","NA",IF(WWWW[[#This Row],['#_Constructed/Existing latrines in TLS]]*50&gt;WWWW[[#This Row],['#_students at TLS_CFS]],WWWW[[#This Row],['#_students at TLS_CFS]],(WWWW[[#This Row],['#_Constructed/Existing latrines in TLS]]*50)))</f>
        <v>NA</v>
      </c>
      <c r="CQ298" s="647">
        <f>ROUND(IF(WWWW[[#This Row],[Location Type 1]]="camp",WWWW[[#This Row],[Total PoP ]]/20,IF(WWWW[[#This Row],[Location Type 1]]="Temporary Location",WWWW[[#This Row],[Total PoP ]]/50,(WWWW[[#This Row],[Total PoP ]]/6))),0)</f>
        <v>90</v>
      </c>
      <c r="CR298" s="647">
        <f>IF(WWWW[[#This Row],[Total required Latrines]]-(WWWW[[#This Row],['#_Constructed latrines_by_WASHAgencies]]+WWWW[[#This Row],['#_Non Cluster partner latrines]])&lt;0,0,WWWW[[#This Row],[Total required Latrines]]-(WWWW[[#This Row],['#_Constructed latrines_by_WASHAgencies]]+WWWW[[#This Row],['#_Non Cluster partner latrines]]))</f>
        <v>90</v>
      </c>
      <c r="CS298" s="79">
        <f>1-WWWW[[#This Row],[% people access to functioning Latrine]]</f>
        <v>1</v>
      </c>
      <c r="CT298" s="649">
        <f>IF(OR(WWWW[[#This Row],['#_Non-functional latrines]]="",WWWW[[#This Row],['#_Non-functional latrines]]=0),0,WWWW[[#This Row],['#_Non-functional latrines]]/(WWWW[[#This Row],['#_Constructed latrines_by_WASHAgencies]]+WWWW[[#This Row],['#_Non Cluster partner latrines]]))</f>
        <v>0</v>
      </c>
      <c r="CU298" s="645">
        <f>IF(500*(WWWW[[#This Row],['#_male hygiene promoters]]+WWWW[[#This Row],['#_female hygiene promoters]])&gt;WWWW[[#This Row],[Total PoP ]],WWWW[[#This Row],[Total PoP ]],500*(WWWW[[#This Row],['#_male hygiene promoters]]+WWWW[[#This Row],['#_female hygiene promoters]]))</f>
        <v>0</v>
      </c>
      <c r="CV298"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98"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98" s="647">
        <f>IF(WWWW[[#This Row],['# People with access to soap]]&gt;WWWW[[#This Row],['# People with access to Sanity Pads]],WWWW[[#This Row],['# People with access to soap]],WWWW[[#This Row],['# People with access to Sanity Pads]])</f>
        <v>0</v>
      </c>
      <c r="CY298"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98" s="650">
        <f>IF(WWWW[[#This Row],[HRP3]]/WWWW[[#This Row],[Total PoP ]]&gt;100%,100%,WWWW[[#This Row],[HRP3]]/WWWW[[#This Row],[Total PoP ]])</f>
        <v>0</v>
      </c>
      <c r="DA298" s="649">
        <f>1-WWWW[[#This Row],[Hygiene Coverage%]]</f>
        <v>1</v>
      </c>
      <c r="DB298" s="648">
        <f>WWWW[[#This Row],['# people reached by regular dedicated hygiene promotion_5]]/WWWW[[#This Row],[Total PoP ]]</f>
        <v>0</v>
      </c>
      <c r="DC298" s="648">
        <f>IF(WWWW[[#This Row],['#_households that received standard amount of soap for this quarter]]/WWWW[[#This Row],[Total HH]]&gt;1,1,WWWW[[#This Row],['#_households that received standard amount of soap for this quarter]]/WWWW[[#This Row],[Total HH]])</f>
        <v>0</v>
      </c>
      <c r="DD298" s="648">
        <f>IF(WWWW[[#This Row],['#_households that received standard amount of sanitary pads for this quarter]]/WWWW[[#This Row],[Total HH]]&gt;1,1,WWWW[[#This Row],['#_households that received standard amount of sanitary pads for this quarter]]/WWWW[[#This Row],[Total HH]])</f>
        <v>0</v>
      </c>
      <c r="DE298" s="647">
        <f>WWWW[[#This Row],['#_Constructed/Existing hand washing stations]]-WWWW[[#This Row],['#_Non-Functional_hand_washing_stations]]</f>
        <v>0</v>
      </c>
      <c r="DF298" s="667">
        <f>IF(WWWW[[#This Row],['# Functional hand washing stations during reporting period]]*20&gt;WWWW[[#This Row],[Total HH]],WWWW[[#This Row],[Total HH]],WWWW[[#This Row],['# Functional hand washing stations during reporting period]]*20)</f>
        <v>0</v>
      </c>
      <c r="DG298" s="645">
        <f>IF(WWWW[[#This Row],[Is sufficient soap available for TLS? (Yes/No)]]="yes",WWWW[[#This Row],['#_Constructed/Existing hand washing stations at TLS]],0)</f>
        <v>0</v>
      </c>
      <c r="DH298" s="645">
        <f>IF(WWWW[[#This Row],['# Functional hand washing stations during reporting period]]*100&gt;WWWW[[#This Row],[Total PoP ]],WWWW[[#This Row],[Total PoP ]],WWWW[[#This Row],['# Functional hand washing stations during reporting period]]*100)</f>
        <v>0</v>
      </c>
      <c r="DI298" s="645" t="str">
        <f>IF(WWWW[[#This Row],['#_students at TLS_CFS]]="","No","Yes")</f>
        <v>No</v>
      </c>
      <c r="DJ298" s="643">
        <f>VLOOKUP(WWWW[[#This Row],[Site Name]],SiteDB6[[Site Name]:[CCCM Management]],6,FALSE)</f>
        <v>0</v>
      </c>
      <c r="DK298" s="643">
        <f>VLOOKUP(WWWW[[#This Row],[Site Name]],SiteDB6[[Site Name]:[CCCM Focal Agency]],7,FALSE)</f>
        <v>0</v>
      </c>
      <c r="DL298" s="643" t="str">
        <f>VLOOKUP(WWWW[[#This Row],[Site Name]],SiteDB6[[Site Name]:[Location Type 1]],9,FALSE)</f>
        <v>Village</v>
      </c>
      <c r="DM298" s="643" t="str">
        <f>VLOOKUP(WWWW[[#This Row],[Site Name]],SiteDB6[[Site Name]:[Type of Accommodation]],10,FALSE)</f>
        <v>Village</v>
      </c>
      <c r="DN298" s="643">
        <f>VLOOKUP(WWWW[[#This Row],[Site Name]],SiteDB6[[Site Name]:[Ethnic or GCA/NGCA]],11,FALSE)</f>
        <v>0</v>
      </c>
      <c r="DO298" s="643">
        <f>VLOOKUP(WWWW[[#This Row],[Site Name]],SiteDB6[[Site Name]:[Lat]],12,FALSE)</f>
        <v>0</v>
      </c>
      <c r="DP298" s="643">
        <f>VLOOKUP(WWWW[[#This Row],[Site Name]],SiteDB6[[Site Name]:[Long]],13,FALSE)</f>
        <v>0</v>
      </c>
      <c r="DQ298" s="643">
        <f>VLOOKUP(WWWW[[#This Row],[Site Name]],SiteDB6[[Site Name]:[Pcode]],3,FALSE)</f>
        <v>197100</v>
      </c>
      <c r="DR298" s="652" t="str">
        <f t="shared" si="10"/>
        <v>Covered</v>
      </c>
      <c r="DS298" s="652"/>
    </row>
    <row r="299" spans="1:123">
      <c r="A299" s="637" t="s">
        <v>2525</v>
      </c>
      <c r="B299" s="637" t="s">
        <v>332</v>
      </c>
      <c r="C299" s="644" t="s">
        <v>332</v>
      </c>
      <c r="D299" s="644" t="s">
        <v>325</v>
      </c>
      <c r="E299" s="663" t="s">
        <v>3014</v>
      </c>
      <c r="F299" s="644" t="s">
        <v>330</v>
      </c>
      <c r="G299" s="663" t="str">
        <f>VLOOKUP(WWWW[[#This Row],[Site Name]],SiteDB6[[Site Name]:[Location Type]],8,FALSE)</f>
        <v>Village</v>
      </c>
      <c r="H299" s="644" t="s">
        <v>2923</v>
      </c>
      <c r="I299" s="646">
        <v>290</v>
      </c>
      <c r="J299" s="646">
        <v>1314</v>
      </c>
      <c r="K299" s="653">
        <v>42736</v>
      </c>
      <c r="L299" s="654">
        <v>44551</v>
      </c>
      <c r="M299" s="646"/>
      <c r="N299" s="646"/>
      <c r="O299" s="646"/>
      <c r="P299" s="646"/>
      <c r="Q299" s="645"/>
      <c r="R299" s="646"/>
      <c r="S299" s="646"/>
      <c r="T299" s="646"/>
      <c r="U299" s="646"/>
      <c r="V299" s="646"/>
      <c r="W299" s="646"/>
      <c r="X299" s="646"/>
      <c r="Y299" s="646"/>
      <c r="Z299" s="646"/>
      <c r="AA299" s="646"/>
      <c r="AB299" s="646"/>
      <c r="AC299" s="646"/>
      <c r="AD299" s="646"/>
      <c r="AE299" s="646"/>
      <c r="AF299" s="646"/>
      <c r="AG299" s="646"/>
      <c r="AH299" s="646"/>
      <c r="AI299" s="646"/>
      <c r="AJ299" s="646"/>
      <c r="AK299" s="646"/>
      <c r="AL299" s="646"/>
      <c r="AM299" s="646"/>
      <c r="AN299" s="646"/>
      <c r="AO299" s="652"/>
      <c r="AP299" s="646"/>
      <c r="AQ299" s="646"/>
      <c r="AR299" s="648"/>
      <c r="AS299" s="646"/>
      <c r="AT299" s="646"/>
      <c r="AU299" s="646"/>
      <c r="AV299" s="646"/>
      <c r="AW299" s="646"/>
      <c r="AX299" s="643"/>
      <c r="AY299" s="652"/>
      <c r="AZ299" s="646"/>
      <c r="BA299" s="646"/>
      <c r="BB299" s="646"/>
      <c r="BC299" s="643"/>
      <c r="BD299" s="646"/>
      <c r="BE299" s="646"/>
      <c r="BF299" s="646"/>
      <c r="BG299" s="646"/>
      <c r="BH299" s="646"/>
      <c r="BI299" s="646"/>
      <c r="BJ299" s="646"/>
      <c r="BK299" s="646"/>
      <c r="BL299" s="646"/>
      <c r="BM299" s="643"/>
      <c r="BN299" s="647"/>
      <c r="BO299" s="648"/>
      <c r="BP299" s="643"/>
      <c r="BQ299" s="649" t="str">
        <f>IFERROR(WWWW[[#This Row],['#_Water sources treated]]/WWWW[[#This Row],['#_Water sources tested for contamination]],"no test")</f>
        <v>no test</v>
      </c>
      <c r="BR299" s="648" t="str">
        <f>IFERROR(WWWW[[#This Row],['#_Household received remediation action due to contamination]]/WWWW[[#This Row],['#_Household water samples tested for contamination]],"no test")</f>
        <v>no test</v>
      </c>
      <c r="BS299" s="647" t="str">
        <f>IF(AND(WWWW[[#This Row],[% of water sources treated]]="no test",WWWW[[#This Row],[% Household received corrective actions]]="no test"),"No Test","Tested")</f>
        <v>No Test</v>
      </c>
      <c r="BT299" s="647">
        <f>WWWW[[#This Row],['#_Constructed/existing protected hand dug well]]-WWWW[[#This Row],['#_Non-functional protected hand dug well]]</f>
        <v>0</v>
      </c>
      <c r="BU299" s="647">
        <f>(WWWW[[#This Row],['#_Constructed/Existing tube wells/boreholes/handpumps_WASH_agency]]+WWWW[[#This Row],['#_Non-Cluster partner water tube-wells/boreholes/handpumps]])-WWWW[[#This Row],['#_Non-functional tube wells/boreholes/handpumps]]</f>
        <v>0</v>
      </c>
      <c r="BV299" s="647">
        <f>WWWW[[#This Row],['#_Constructed/Existingwater storage tank with gravity fed reticulation system]]-WWWW[[#This Row],['#_Non-functional storage tank gravity fed reticulation system]]</f>
        <v>0</v>
      </c>
      <c r="BW299" s="647">
        <f>WWWW[[#This Row],['#_Water boating or water trucking]]</f>
        <v>0</v>
      </c>
      <c r="BX299" s="647">
        <f>WWWW[[#This Row],['#_Constructed/Existing water distribution system from river or natural spring]]</f>
        <v>0</v>
      </c>
      <c r="BY299"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299"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299" s="648">
        <f>IF(WWWW[[#This Row],[Location Type 1]]="Village",WWWW[[#This Row],[Access to safe drinking water for Village]],WWWW[[#This Row],[Access to safe drinking water for Camp]])</f>
        <v>0</v>
      </c>
      <c r="CB299" s="645">
        <f>WWWW[[#This Row],[%Equitable and continuous access to sufficient quantity of safe drinking water]]*WWWW[[#This Row],[Total PoP ]]</f>
        <v>0</v>
      </c>
      <c r="CC299" s="648">
        <f>IF((WWWW[[#This Row],['#_Constructed/Existing protected/fenced ponds]]*250)/WWWW[[#This Row],[Total PoP ]]&gt;1,1,(WWWW[[#This Row],['#_Constructed/Existing protected/fenced ponds]]*250)/WWWW[[#This Row],[Total PoP ]])</f>
        <v>0</v>
      </c>
      <c r="CD299" s="645">
        <f>WWWW[[#This Row],[% Access to unimproved water points]]*WWWW[[#This Row],[Total PoP ]]</f>
        <v>0</v>
      </c>
      <c r="CE299"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299"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299" s="645">
        <f>WWWW[[#This Row],[HRP1]]/500</f>
        <v>0</v>
      </c>
      <c r="CH299" s="650">
        <f>1-WWWW[[#This Row],[% Equitable and continuous access to sufficient quantity of domestic water]]</f>
        <v>1</v>
      </c>
      <c r="CI299" s="645">
        <f>WWWW[[#This Row],[%equitable and continuous access to sufficient quantity of safe drinking and domestic water''s GAP]]*WWWW[[#This Row],[Total PoP ]]</f>
        <v>1314</v>
      </c>
      <c r="CJ299" s="647">
        <f>IF(WWWW[[#This Row],[Total required water points]]-WWWW[[#This Row],['#Water points coverage]]&lt;0,0,WWWW[[#This Row],[Total required water points]]-WWWW[[#This Row],['#Water points coverage]])</f>
        <v>3</v>
      </c>
      <c r="CK299" s="647">
        <f>ROUND(IF(WWWW[[#This Row],[Total PoP ]]&lt;500,1,WWWW[[#This Row],[Total PoP ]]/500),0)</f>
        <v>3</v>
      </c>
      <c r="CL299" s="647">
        <f>(WWWW[[#This Row],['#_Constructed latrines_by_WASHAgencies]]+WWWW[[#This Row],['#_Non Cluster partner latrines]])-WWWW[[#This Row],['#_Non-functional latrines]]</f>
        <v>0</v>
      </c>
      <c r="CM299"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299"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299"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299" s="647" t="str">
        <f>IF(WWWW[[#This Row],[Location Type 1]]="Village","NA",IF(WWWW[[#This Row],['#_Constructed/Existing latrines in TLS]]*50&gt;WWWW[[#This Row],['#_students at TLS_CFS]],WWWW[[#This Row],['#_students at TLS_CFS]],(WWWW[[#This Row],['#_Constructed/Existing latrines in TLS]]*50)))</f>
        <v>NA</v>
      </c>
      <c r="CQ299" s="647">
        <f>ROUND(IF(WWWW[[#This Row],[Location Type 1]]="camp",WWWW[[#This Row],[Total PoP ]]/20,IF(WWWW[[#This Row],[Location Type 1]]="Temporary Location",WWWW[[#This Row],[Total PoP ]]/50,(WWWW[[#This Row],[Total PoP ]]/6))),0)</f>
        <v>219</v>
      </c>
      <c r="CR299" s="647">
        <f>IF(WWWW[[#This Row],[Total required Latrines]]-(WWWW[[#This Row],['#_Constructed latrines_by_WASHAgencies]]+WWWW[[#This Row],['#_Non Cluster partner latrines]])&lt;0,0,WWWW[[#This Row],[Total required Latrines]]-(WWWW[[#This Row],['#_Constructed latrines_by_WASHAgencies]]+WWWW[[#This Row],['#_Non Cluster partner latrines]]))</f>
        <v>219</v>
      </c>
      <c r="CS299" s="79">
        <f>1-WWWW[[#This Row],[% people access to functioning Latrine]]</f>
        <v>1</v>
      </c>
      <c r="CT299" s="649">
        <f>IF(OR(WWWW[[#This Row],['#_Non-functional latrines]]="",WWWW[[#This Row],['#_Non-functional latrines]]=0),0,WWWW[[#This Row],['#_Non-functional latrines]]/(WWWW[[#This Row],['#_Constructed latrines_by_WASHAgencies]]+WWWW[[#This Row],['#_Non Cluster partner latrines]]))</f>
        <v>0</v>
      </c>
      <c r="CU299" s="645">
        <f>IF(500*(WWWW[[#This Row],['#_male hygiene promoters]]+WWWW[[#This Row],['#_female hygiene promoters]])&gt;WWWW[[#This Row],[Total PoP ]],WWWW[[#This Row],[Total PoP ]],500*(WWWW[[#This Row],['#_male hygiene promoters]]+WWWW[[#This Row],['#_female hygiene promoters]]))</f>
        <v>0</v>
      </c>
      <c r="CV299"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299"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299" s="647">
        <f>IF(WWWW[[#This Row],['# People with access to soap]]&gt;WWWW[[#This Row],['# People with access to Sanity Pads]],WWWW[[#This Row],['# People with access to soap]],WWWW[[#This Row],['# People with access to Sanity Pads]])</f>
        <v>0</v>
      </c>
      <c r="CY299"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299" s="650">
        <f>IF(WWWW[[#This Row],[HRP3]]/WWWW[[#This Row],[Total PoP ]]&gt;100%,100%,WWWW[[#This Row],[HRP3]]/WWWW[[#This Row],[Total PoP ]])</f>
        <v>0</v>
      </c>
      <c r="DA299" s="649">
        <f>1-WWWW[[#This Row],[Hygiene Coverage%]]</f>
        <v>1</v>
      </c>
      <c r="DB299" s="648">
        <f>WWWW[[#This Row],['# people reached by regular dedicated hygiene promotion_5]]/WWWW[[#This Row],[Total PoP ]]</f>
        <v>0</v>
      </c>
      <c r="DC299" s="648">
        <f>IF(WWWW[[#This Row],['#_households that received standard amount of soap for this quarter]]/WWWW[[#This Row],[Total HH]]&gt;1,1,WWWW[[#This Row],['#_households that received standard amount of soap for this quarter]]/WWWW[[#This Row],[Total HH]])</f>
        <v>0</v>
      </c>
      <c r="DD299" s="648">
        <f>IF(WWWW[[#This Row],['#_households that received standard amount of sanitary pads for this quarter]]/WWWW[[#This Row],[Total HH]]&gt;1,1,WWWW[[#This Row],['#_households that received standard amount of sanitary pads for this quarter]]/WWWW[[#This Row],[Total HH]])</f>
        <v>0</v>
      </c>
      <c r="DE299" s="647">
        <f>WWWW[[#This Row],['#_Constructed/Existing hand washing stations]]-WWWW[[#This Row],['#_Non-Functional_hand_washing_stations]]</f>
        <v>0</v>
      </c>
      <c r="DF299" s="667">
        <f>IF(WWWW[[#This Row],['# Functional hand washing stations during reporting period]]*20&gt;WWWW[[#This Row],[Total HH]],WWWW[[#This Row],[Total HH]],WWWW[[#This Row],['# Functional hand washing stations during reporting period]]*20)</f>
        <v>0</v>
      </c>
      <c r="DG299" s="645">
        <f>IF(WWWW[[#This Row],[Is sufficient soap available for TLS? (Yes/No)]]="yes",WWWW[[#This Row],['#_Constructed/Existing hand washing stations at TLS]],0)</f>
        <v>0</v>
      </c>
      <c r="DH299" s="645">
        <f>IF(WWWW[[#This Row],['# Functional hand washing stations during reporting period]]*100&gt;WWWW[[#This Row],[Total PoP ]],WWWW[[#This Row],[Total PoP ]],WWWW[[#This Row],['# Functional hand washing stations during reporting period]]*100)</f>
        <v>0</v>
      </c>
      <c r="DI299" s="645" t="str">
        <f>IF(WWWW[[#This Row],['#_students at TLS_CFS]]="","No","Yes")</f>
        <v>No</v>
      </c>
      <c r="DJ299" s="643">
        <f>VLOOKUP(WWWW[[#This Row],[Site Name]],SiteDB6[[Site Name]:[CCCM Management]],6,FALSE)</f>
        <v>0</v>
      </c>
      <c r="DK299" s="643">
        <f>VLOOKUP(WWWW[[#This Row],[Site Name]],SiteDB6[[Site Name]:[CCCM Focal Agency]],7,FALSE)</f>
        <v>0</v>
      </c>
      <c r="DL299" s="643" t="str">
        <f>VLOOKUP(WWWW[[#This Row],[Site Name]],SiteDB6[[Site Name]:[Location Type 1]],9,FALSE)</f>
        <v>Village</v>
      </c>
      <c r="DM299" s="643" t="str">
        <f>VLOOKUP(WWWW[[#This Row],[Site Name]],SiteDB6[[Site Name]:[Type of Accommodation]],10,FALSE)</f>
        <v>Village</v>
      </c>
      <c r="DN299" s="643">
        <f>VLOOKUP(WWWW[[#This Row],[Site Name]],SiteDB6[[Site Name]:[Ethnic or GCA/NGCA]],11,FALSE)</f>
        <v>0</v>
      </c>
      <c r="DO299" s="643">
        <f>VLOOKUP(WWWW[[#This Row],[Site Name]],SiteDB6[[Site Name]:[Lat]],12,FALSE)</f>
        <v>0</v>
      </c>
      <c r="DP299" s="643">
        <f>VLOOKUP(WWWW[[#This Row],[Site Name]],SiteDB6[[Site Name]:[Long]],13,FALSE)</f>
        <v>0</v>
      </c>
      <c r="DQ299" s="643">
        <f>VLOOKUP(WWWW[[#This Row],[Site Name]],SiteDB6[[Site Name]:[Pcode]],3,FALSE)</f>
        <v>197099</v>
      </c>
      <c r="DR299" s="652" t="str">
        <f t="shared" si="10"/>
        <v>Covered</v>
      </c>
      <c r="DS299" s="652"/>
    </row>
    <row r="300" spans="1:123">
      <c r="A300" s="637" t="s">
        <v>2525</v>
      </c>
      <c r="B300" s="637" t="s">
        <v>332</v>
      </c>
      <c r="C300" s="644" t="s">
        <v>332</v>
      </c>
      <c r="D300" s="644" t="s">
        <v>325</v>
      </c>
      <c r="E300" s="663" t="s">
        <v>3014</v>
      </c>
      <c r="F300" s="644" t="s">
        <v>330</v>
      </c>
      <c r="G300" s="663" t="str">
        <f>VLOOKUP(WWWW[[#This Row],[Site Name]],SiteDB6[[Site Name]:[Location Type]],8,FALSE)</f>
        <v>Village</v>
      </c>
      <c r="H300" s="644" t="s">
        <v>2924</v>
      </c>
      <c r="I300" s="646">
        <v>215</v>
      </c>
      <c r="J300" s="646">
        <v>1125</v>
      </c>
      <c r="K300" s="653">
        <v>42736</v>
      </c>
      <c r="L300" s="654">
        <v>44551</v>
      </c>
      <c r="M300" s="646"/>
      <c r="N300" s="646"/>
      <c r="O300" s="646"/>
      <c r="P300" s="646"/>
      <c r="Q300" s="645"/>
      <c r="R300" s="646"/>
      <c r="S300" s="646"/>
      <c r="T300" s="646"/>
      <c r="U300" s="646"/>
      <c r="V300" s="646"/>
      <c r="W300" s="646"/>
      <c r="X300" s="646"/>
      <c r="Y300" s="646"/>
      <c r="Z300" s="646"/>
      <c r="AA300" s="646"/>
      <c r="AB300" s="646"/>
      <c r="AC300" s="646"/>
      <c r="AD300" s="646"/>
      <c r="AE300" s="646"/>
      <c r="AF300" s="646"/>
      <c r="AG300" s="646"/>
      <c r="AH300" s="646"/>
      <c r="AI300" s="646"/>
      <c r="AJ300" s="646"/>
      <c r="AK300" s="646"/>
      <c r="AL300" s="646"/>
      <c r="AM300" s="646"/>
      <c r="AN300" s="646"/>
      <c r="AO300" s="652"/>
      <c r="AP300" s="646"/>
      <c r="AQ300" s="646"/>
      <c r="AR300" s="648"/>
      <c r="AS300" s="646"/>
      <c r="AT300" s="646"/>
      <c r="AU300" s="646"/>
      <c r="AV300" s="646"/>
      <c r="AW300" s="646"/>
      <c r="AX300" s="643"/>
      <c r="AY300" s="652"/>
      <c r="AZ300" s="646"/>
      <c r="BA300" s="646"/>
      <c r="BB300" s="646"/>
      <c r="BC300" s="643"/>
      <c r="BD300" s="646"/>
      <c r="BE300" s="646"/>
      <c r="BF300" s="646"/>
      <c r="BG300" s="646"/>
      <c r="BH300" s="646"/>
      <c r="BI300" s="646"/>
      <c r="BJ300" s="646"/>
      <c r="BK300" s="646"/>
      <c r="BL300" s="646"/>
      <c r="BM300" s="643"/>
      <c r="BN300" s="647"/>
      <c r="BO300" s="648"/>
      <c r="BP300" s="643"/>
      <c r="BQ300" s="649" t="str">
        <f>IFERROR(WWWW[[#This Row],['#_Water sources treated]]/WWWW[[#This Row],['#_Water sources tested for contamination]],"no test")</f>
        <v>no test</v>
      </c>
      <c r="BR300" s="648" t="str">
        <f>IFERROR(WWWW[[#This Row],['#_Household received remediation action due to contamination]]/WWWW[[#This Row],['#_Household water samples tested for contamination]],"no test")</f>
        <v>no test</v>
      </c>
      <c r="BS300" s="647" t="str">
        <f>IF(AND(WWWW[[#This Row],[% of water sources treated]]="no test",WWWW[[#This Row],[% Household received corrective actions]]="no test"),"No Test","Tested")</f>
        <v>No Test</v>
      </c>
      <c r="BT300" s="647">
        <f>WWWW[[#This Row],['#_Constructed/existing protected hand dug well]]-WWWW[[#This Row],['#_Non-functional protected hand dug well]]</f>
        <v>0</v>
      </c>
      <c r="BU300" s="647">
        <f>(WWWW[[#This Row],['#_Constructed/Existing tube wells/boreholes/handpumps_WASH_agency]]+WWWW[[#This Row],['#_Non-Cluster partner water tube-wells/boreholes/handpumps]])-WWWW[[#This Row],['#_Non-functional tube wells/boreholes/handpumps]]</f>
        <v>0</v>
      </c>
      <c r="BV300" s="647">
        <f>WWWW[[#This Row],['#_Constructed/Existingwater storage tank with gravity fed reticulation system]]-WWWW[[#This Row],['#_Non-functional storage tank gravity fed reticulation system]]</f>
        <v>0</v>
      </c>
      <c r="BW300" s="647">
        <f>WWWW[[#This Row],['#_Water boating or water trucking]]</f>
        <v>0</v>
      </c>
      <c r="BX300" s="647">
        <f>WWWW[[#This Row],['#_Constructed/Existing water distribution system from river or natural spring]]</f>
        <v>0</v>
      </c>
      <c r="BY300"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00"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00" s="648">
        <f>IF(WWWW[[#This Row],[Location Type 1]]="Village",WWWW[[#This Row],[Access to safe drinking water for Village]],WWWW[[#This Row],[Access to safe drinking water for Camp]])</f>
        <v>0</v>
      </c>
      <c r="CB300" s="645">
        <f>WWWW[[#This Row],[%Equitable and continuous access to sufficient quantity of safe drinking water]]*WWWW[[#This Row],[Total PoP ]]</f>
        <v>0</v>
      </c>
      <c r="CC300" s="648">
        <f>IF((WWWW[[#This Row],['#_Constructed/Existing protected/fenced ponds]]*250)/WWWW[[#This Row],[Total PoP ]]&gt;1,1,(WWWW[[#This Row],['#_Constructed/Existing protected/fenced ponds]]*250)/WWWW[[#This Row],[Total PoP ]])</f>
        <v>0</v>
      </c>
      <c r="CD300" s="645">
        <f>WWWW[[#This Row],[% Access to unimproved water points]]*WWWW[[#This Row],[Total PoP ]]</f>
        <v>0</v>
      </c>
      <c r="CE300"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00"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00" s="645">
        <f>WWWW[[#This Row],[HRP1]]/500</f>
        <v>0</v>
      </c>
      <c r="CH300" s="650">
        <f>1-WWWW[[#This Row],[% Equitable and continuous access to sufficient quantity of domestic water]]</f>
        <v>1</v>
      </c>
      <c r="CI300" s="645">
        <f>WWWW[[#This Row],[%equitable and continuous access to sufficient quantity of safe drinking and domestic water''s GAP]]*WWWW[[#This Row],[Total PoP ]]</f>
        <v>1125</v>
      </c>
      <c r="CJ300" s="647">
        <f>IF(WWWW[[#This Row],[Total required water points]]-WWWW[[#This Row],['#Water points coverage]]&lt;0,0,WWWW[[#This Row],[Total required water points]]-WWWW[[#This Row],['#Water points coverage]])</f>
        <v>2</v>
      </c>
      <c r="CK300" s="647">
        <f>ROUND(IF(WWWW[[#This Row],[Total PoP ]]&lt;500,1,WWWW[[#This Row],[Total PoP ]]/500),0)</f>
        <v>2</v>
      </c>
      <c r="CL300" s="647">
        <f>(WWWW[[#This Row],['#_Constructed latrines_by_WASHAgencies]]+WWWW[[#This Row],['#_Non Cluster partner latrines]])-WWWW[[#This Row],['#_Non-functional latrines]]</f>
        <v>0</v>
      </c>
      <c r="CM300"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00"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00"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00" s="647" t="str">
        <f>IF(WWWW[[#This Row],[Location Type 1]]="Village","NA",IF(WWWW[[#This Row],['#_Constructed/Existing latrines in TLS]]*50&gt;WWWW[[#This Row],['#_students at TLS_CFS]],WWWW[[#This Row],['#_students at TLS_CFS]],(WWWW[[#This Row],['#_Constructed/Existing latrines in TLS]]*50)))</f>
        <v>NA</v>
      </c>
      <c r="CQ300" s="647">
        <f>ROUND(IF(WWWW[[#This Row],[Location Type 1]]="camp",WWWW[[#This Row],[Total PoP ]]/20,IF(WWWW[[#This Row],[Location Type 1]]="Temporary Location",WWWW[[#This Row],[Total PoP ]]/50,(WWWW[[#This Row],[Total PoP ]]/6))),0)</f>
        <v>188</v>
      </c>
      <c r="CR300" s="647">
        <f>IF(WWWW[[#This Row],[Total required Latrines]]-(WWWW[[#This Row],['#_Constructed latrines_by_WASHAgencies]]+WWWW[[#This Row],['#_Non Cluster partner latrines]])&lt;0,0,WWWW[[#This Row],[Total required Latrines]]-(WWWW[[#This Row],['#_Constructed latrines_by_WASHAgencies]]+WWWW[[#This Row],['#_Non Cluster partner latrines]]))</f>
        <v>188</v>
      </c>
      <c r="CS300" s="79">
        <f>1-WWWW[[#This Row],[% people access to functioning Latrine]]</f>
        <v>1</v>
      </c>
      <c r="CT300" s="649">
        <f>IF(OR(WWWW[[#This Row],['#_Non-functional latrines]]="",WWWW[[#This Row],['#_Non-functional latrines]]=0),0,WWWW[[#This Row],['#_Non-functional latrines]]/(WWWW[[#This Row],['#_Constructed latrines_by_WASHAgencies]]+WWWW[[#This Row],['#_Non Cluster partner latrines]]))</f>
        <v>0</v>
      </c>
      <c r="CU300" s="645">
        <f>IF(500*(WWWW[[#This Row],['#_male hygiene promoters]]+WWWW[[#This Row],['#_female hygiene promoters]])&gt;WWWW[[#This Row],[Total PoP ]],WWWW[[#This Row],[Total PoP ]],500*(WWWW[[#This Row],['#_male hygiene promoters]]+WWWW[[#This Row],['#_female hygiene promoters]]))</f>
        <v>0</v>
      </c>
      <c r="CV300"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00"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00" s="647">
        <f>IF(WWWW[[#This Row],['# People with access to soap]]&gt;WWWW[[#This Row],['# People with access to Sanity Pads]],WWWW[[#This Row],['# People with access to soap]],WWWW[[#This Row],['# People with access to Sanity Pads]])</f>
        <v>0</v>
      </c>
      <c r="CY300"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00" s="650">
        <f>IF(WWWW[[#This Row],[HRP3]]/WWWW[[#This Row],[Total PoP ]]&gt;100%,100%,WWWW[[#This Row],[HRP3]]/WWWW[[#This Row],[Total PoP ]])</f>
        <v>0</v>
      </c>
      <c r="DA300" s="649">
        <f>1-WWWW[[#This Row],[Hygiene Coverage%]]</f>
        <v>1</v>
      </c>
      <c r="DB300" s="648">
        <f>WWWW[[#This Row],['# people reached by regular dedicated hygiene promotion_5]]/WWWW[[#This Row],[Total PoP ]]</f>
        <v>0</v>
      </c>
      <c r="DC300" s="648">
        <f>IF(WWWW[[#This Row],['#_households that received standard amount of soap for this quarter]]/WWWW[[#This Row],[Total HH]]&gt;1,1,WWWW[[#This Row],['#_households that received standard amount of soap for this quarter]]/WWWW[[#This Row],[Total HH]])</f>
        <v>0</v>
      </c>
      <c r="DD300" s="648">
        <f>IF(WWWW[[#This Row],['#_households that received standard amount of sanitary pads for this quarter]]/WWWW[[#This Row],[Total HH]]&gt;1,1,WWWW[[#This Row],['#_households that received standard amount of sanitary pads for this quarter]]/WWWW[[#This Row],[Total HH]])</f>
        <v>0</v>
      </c>
      <c r="DE300" s="647">
        <f>WWWW[[#This Row],['#_Constructed/Existing hand washing stations]]-WWWW[[#This Row],['#_Non-Functional_hand_washing_stations]]</f>
        <v>0</v>
      </c>
      <c r="DF300" s="667">
        <f>IF(WWWW[[#This Row],['# Functional hand washing stations during reporting period]]*20&gt;WWWW[[#This Row],[Total HH]],WWWW[[#This Row],[Total HH]],WWWW[[#This Row],['# Functional hand washing stations during reporting period]]*20)</f>
        <v>0</v>
      </c>
      <c r="DG300" s="645">
        <f>IF(WWWW[[#This Row],[Is sufficient soap available for TLS? (Yes/No)]]="yes",WWWW[[#This Row],['#_Constructed/Existing hand washing stations at TLS]],0)</f>
        <v>0</v>
      </c>
      <c r="DH300" s="645">
        <f>IF(WWWW[[#This Row],['# Functional hand washing stations during reporting period]]*100&gt;WWWW[[#This Row],[Total PoP ]],WWWW[[#This Row],[Total PoP ]],WWWW[[#This Row],['# Functional hand washing stations during reporting period]]*100)</f>
        <v>0</v>
      </c>
      <c r="DI300" s="645" t="str">
        <f>IF(WWWW[[#This Row],['#_students at TLS_CFS]]="","No","Yes")</f>
        <v>No</v>
      </c>
      <c r="DJ300" s="643">
        <f>VLOOKUP(WWWW[[#This Row],[Site Name]],SiteDB6[[Site Name]:[CCCM Management]],6,FALSE)</f>
        <v>0</v>
      </c>
      <c r="DK300" s="643">
        <f>VLOOKUP(WWWW[[#This Row],[Site Name]],SiteDB6[[Site Name]:[CCCM Focal Agency]],7,FALSE)</f>
        <v>0</v>
      </c>
      <c r="DL300" s="643" t="str">
        <f>VLOOKUP(WWWW[[#This Row],[Site Name]],SiteDB6[[Site Name]:[Location Type 1]],9,FALSE)</f>
        <v>Village</v>
      </c>
      <c r="DM300" s="643" t="str">
        <f>VLOOKUP(WWWW[[#This Row],[Site Name]],SiteDB6[[Site Name]:[Type of Accommodation]],10,FALSE)</f>
        <v>Village</v>
      </c>
      <c r="DN300" s="643">
        <f>VLOOKUP(WWWW[[#This Row],[Site Name]],SiteDB6[[Site Name]:[Ethnic or GCA/NGCA]],11,FALSE)</f>
        <v>0</v>
      </c>
      <c r="DO300" s="643">
        <f>VLOOKUP(WWWW[[#This Row],[Site Name]],SiteDB6[[Site Name]:[Lat]],12,FALSE)</f>
        <v>0</v>
      </c>
      <c r="DP300" s="643">
        <f>VLOOKUP(WWWW[[#This Row],[Site Name]],SiteDB6[[Site Name]:[Long]],13,FALSE)</f>
        <v>0</v>
      </c>
      <c r="DQ300" s="643">
        <f>VLOOKUP(WWWW[[#This Row],[Site Name]],SiteDB6[[Site Name]:[Pcode]],3,FALSE)</f>
        <v>197102</v>
      </c>
      <c r="DR300" s="652" t="str">
        <f t="shared" si="10"/>
        <v>Covered</v>
      </c>
      <c r="DS300" s="652"/>
    </row>
    <row r="301" spans="1:123">
      <c r="A301" s="637" t="s">
        <v>2525</v>
      </c>
      <c r="B301" s="637" t="s">
        <v>332</v>
      </c>
      <c r="C301" s="644" t="s">
        <v>332</v>
      </c>
      <c r="D301" s="644" t="s">
        <v>325</v>
      </c>
      <c r="E301" s="663" t="s">
        <v>3014</v>
      </c>
      <c r="F301" s="644" t="s">
        <v>330</v>
      </c>
      <c r="G301" s="663" t="str">
        <f>VLOOKUP(WWWW[[#This Row],[Site Name]],SiteDB6[[Site Name]:[Location Type]],8,FALSE)</f>
        <v>Village</v>
      </c>
      <c r="H301" s="644" t="s">
        <v>2925</v>
      </c>
      <c r="I301" s="646">
        <v>181</v>
      </c>
      <c r="J301" s="646">
        <v>940</v>
      </c>
      <c r="K301" s="653">
        <v>42736</v>
      </c>
      <c r="L301" s="654">
        <v>44551</v>
      </c>
      <c r="M301" s="646"/>
      <c r="N301" s="646"/>
      <c r="O301" s="646"/>
      <c r="P301" s="646"/>
      <c r="Q301" s="645"/>
      <c r="R301" s="646"/>
      <c r="S301" s="646"/>
      <c r="T301" s="646"/>
      <c r="U301" s="646"/>
      <c r="V301" s="646"/>
      <c r="W301" s="646"/>
      <c r="X301" s="646"/>
      <c r="Y301" s="646"/>
      <c r="Z301" s="646"/>
      <c r="AA301" s="646"/>
      <c r="AB301" s="646"/>
      <c r="AC301" s="646"/>
      <c r="AD301" s="646"/>
      <c r="AE301" s="646"/>
      <c r="AF301" s="646"/>
      <c r="AG301" s="646"/>
      <c r="AH301" s="646"/>
      <c r="AI301" s="646"/>
      <c r="AJ301" s="646"/>
      <c r="AK301" s="646"/>
      <c r="AL301" s="646"/>
      <c r="AM301" s="646"/>
      <c r="AN301" s="646"/>
      <c r="AO301" s="652"/>
      <c r="AP301" s="646"/>
      <c r="AQ301" s="646"/>
      <c r="AR301" s="648"/>
      <c r="AS301" s="646"/>
      <c r="AT301" s="646"/>
      <c r="AU301" s="646"/>
      <c r="AV301" s="646"/>
      <c r="AW301" s="646"/>
      <c r="AX301" s="643"/>
      <c r="AY301" s="652"/>
      <c r="AZ301" s="646"/>
      <c r="BA301" s="646"/>
      <c r="BB301" s="646"/>
      <c r="BC301" s="643"/>
      <c r="BD301" s="646"/>
      <c r="BE301" s="646"/>
      <c r="BF301" s="646"/>
      <c r="BG301" s="646"/>
      <c r="BH301" s="646"/>
      <c r="BI301" s="646"/>
      <c r="BJ301" s="646"/>
      <c r="BK301" s="646"/>
      <c r="BL301" s="646"/>
      <c r="BM301" s="643"/>
      <c r="BN301" s="647"/>
      <c r="BO301" s="648"/>
      <c r="BP301" s="643"/>
      <c r="BQ301" s="649" t="str">
        <f>IFERROR(WWWW[[#This Row],['#_Water sources treated]]/WWWW[[#This Row],['#_Water sources tested for contamination]],"no test")</f>
        <v>no test</v>
      </c>
      <c r="BR301" s="648" t="str">
        <f>IFERROR(WWWW[[#This Row],['#_Household received remediation action due to contamination]]/WWWW[[#This Row],['#_Household water samples tested for contamination]],"no test")</f>
        <v>no test</v>
      </c>
      <c r="BS301" s="647" t="str">
        <f>IF(AND(WWWW[[#This Row],[% of water sources treated]]="no test",WWWW[[#This Row],[% Household received corrective actions]]="no test"),"No Test","Tested")</f>
        <v>No Test</v>
      </c>
      <c r="BT301" s="647">
        <f>WWWW[[#This Row],['#_Constructed/existing protected hand dug well]]-WWWW[[#This Row],['#_Non-functional protected hand dug well]]</f>
        <v>0</v>
      </c>
      <c r="BU301" s="647">
        <f>(WWWW[[#This Row],['#_Constructed/Existing tube wells/boreholes/handpumps_WASH_agency]]+WWWW[[#This Row],['#_Non-Cluster partner water tube-wells/boreholes/handpumps]])-WWWW[[#This Row],['#_Non-functional tube wells/boreholes/handpumps]]</f>
        <v>0</v>
      </c>
      <c r="BV301" s="647">
        <f>WWWW[[#This Row],['#_Constructed/Existingwater storage tank with gravity fed reticulation system]]-WWWW[[#This Row],['#_Non-functional storage tank gravity fed reticulation system]]</f>
        <v>0</v>
      </c>
      <c r="BW301" s="647">
        <f>WWWW[[#This Row],['#_Water boating or water trucking]]</f>
        <v>0</v>
      </c>
      <c r="BX301" s="647">
        <f>WWWW[[#This Row],['#_Constructed/Existing water distribution system from river or natural spring]]</f>
        <v>0</v>
      </c>
      <c r="BY301"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01"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01" s="648">
        <f>IF(WWWW[[#This Row],[Location Type 1]]="Village",WWWW[[#This Row],[Access to safe drinking water for Village]],WWWW[[#This Row],[Access to safe drinking water for Camp]])</f>
        <v>0</v>
      </c>
      <c r="CB301" s="645">
        <f>WWWW[[#This Row],[%Equitable and continuous access to sufficient quantity of safe drinking water]]*WWWW[[#This Row],[Total PoP ]]</f>
        <v>0</v>
      </c>
      <c r="CC301" s="648">
        <f>IF((WWWW[[#This Row],['#_Constructed/Existing protected/fenced ponds]]*250)/WWWW[[#This Row],[Total PoP ]]&gt;1,1,(WWWW[[#This Row],['#_Constructed/Existing protected/fenced ponds]]*250)/WWWW[[#This Row],[Total PoP ]])</f>
        <v>0</v>
      </c>
      <c r="CD301" s="645">
        <f>WWWW[[#This Row],[% Access to unimproved water points]]*WWWW[[#This Row],[Total PoP ]]</f>
        <v>0</v>
      </c>
      <c r="CE301"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01"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01" s="645">
        <f>WWWW[[#This Row],[HRP1]]/500</f>
        <v>0</v>
      </c>
      <c r="CH301" s="650">
        <f>1-WWWW[[#This Row],[% Equitable and continuous access to sufficient quantity of domestic water]]</f>
        <v>1</v>
      </c>
      <c r="CI301" s="645">
        <f>WWWW[[#This Row],[%equitable and continuous access to sufficient quantity of safe drinking and domestic water''s GAP]]*WWWW[[#This Row],[Total PoP ]]</f>
        <v>940</v>
      </c>
      <c r="CJ301" s="647">
        <f>IF(WWWW[[#This Row],[Total required water points]]-WWWW[[#This Row],['#Water points coverage]]&lt;0,0,WWWW[[#This Row],[Total required water points]]-WWWW[[#This Row],['#Water points coverage]])</f>
        <v>2</v>
      </c>
      <c r="CK301" s="647">
        <f>ROUND(IF(WWWW[[#This Row],[Total PoP ]]&lt;500,1,WWWW[[#This Row],[Total PoP ]]/500),0)</f>
        <v>2</v>
      </c>
      <c r="CL301" s="647">
        <f>(WWWW[[#This Row],['#_Constructed latrines_by_WASHAgencies]]+WWWW[[#This Row],['#_Non Cluster partner latrines]])-WWWW[[#This Row],['#_Non-functional latrines]]</f>
        <v>0</v>
      </c>
      <c r="CM301"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01"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01"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01" s="647" t="str">
        <f>IF(WWWW[[#This Row],[Location Type 1]]="Village","NA",IF(WWWW[[#This Row],['#_Constructed/Existing latrines in TLS]]*50&gt;WWWW[[#This Row],['#_students at TLS_CFS]],WWWW[[#This Row],['#_students at TLS_CFS]],(WWWW[[#This Row],['#_Constructed/Existing latrines in TLS]]*50)))</f>
        <v>NA</v>
      </c>
      <c r="CQ301" s="647">
        <f>ROUND(IF(WWWW[[#This Row],[Location Type 1]]="camp",WWWW[[#This Row],[Total PoP ]]/20,IF(WWWW[[#This Row],[Location Type 1]]="Temporary Location",WWWW[[#This Row],[Total PoP ]]/50,(WWWW[[#This Row],[Total PoP ]]/6))),0)</f>
        <v>157</v>
      </c>
      <c r="CR301" s="647">
        <f>IF(WWWW[[#This Row],[Total required Latrines]]-(WWWW[[#This Row],['#_Constructed latrines_by_WASHAgencies]]+WWWW[[#This Row],['#_Non Cluster partner latrines]])&lt;0,0,WWWW[[#This Row],[Total required Latrines]]-(WWWW[[#This Row],['#_Constructed latrines_by_WASHAgencies]]+WWWW[[#This Row],['#_Non Cluster partner latrines]]))</f>
        <v>157</v>
      </c>
      <c r="CS301" s="79">
        <f>1-WWWW[[#This Row],[% people access to functioning Latrine]]</f>
        <v>1</v>
      </c>
      <c r="CT301" s="649">
        <f>IF(OR(WWWW[[#This Row],['#_Non-functional latrines]]="",WWWW[[#This Row],['#_Non-functional latrines]]=0),0,WWWW[[#This Row],['#_Non-functional latrines]]/(WWWW[[#This Row],['#_Constructed latrines_by_WASHAgencies]]+WWWW[[#This Row],['#_Non Cluster partner latrines]]))</f>
        <v>0</v>
      </c>
      <c r="CU301" s="645">
        <f>IF(500*(WWWW[[#This Row],['#_male hygiene promoters]]+WWWW[[#This Row],['#_female hygiene promoters]])&gt;WWWW[[#This Row],[Total PoP ]],WWWW[[#This Row],[Total PoP ]],500*(WWWW[[#This Row],['#_male hygiene promoters]]+WWWW[[#This Row],['#_female hygiene promoters]]))</f>
        <v>0</v>
      </c>
      <c r="CV301"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01"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01" s="647">
        <f>IF(WWWW[[#This Row],['# People with access to soap]]&gt;WWWW[[#This Row],['# People with access to Sanity Pads]],WWWW[[#This Row],['# People with access to soap]],WWWW[[#This Row],['# People with access to Sanity Pads]])</f>
        <v>0</v>
      </c>
      <c r="CY301"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01" s="650">
        <f>IF(WWWW[[#This Row],[HRP3]]/WWWW[[#This Row],[Total PoP ]]&gt;100%,100%,WWWW[[#This Row],[HRP3]]/WWWW[[#This Row],[Total PoP ]])</f>
        <v>0</v>
      </c>
      <c r="DA301" s="649">
        <f>1-WWWW[[#This Row],[Hygiene Coverage%]]</f>
        <v>1</v>
      </c>
      <c r="DB301" s="648">
        <f>WWWW[[#This Row],['# people reached by regular dedicated hygiene promotion_5]]/WWWW[[#This Row],[Total PoP ]]</f>
        <v>0</v>
      </c>
      <c r="DC301" s="648">
        <f>IF(WWWW[[#This Row],['#_households that received standard amount of soap for this quarter]]/WWWW[[#This Row],[Total HH]]&gt;1,1,WWWW[[#This Row],['#_households that received standard amount of soap for this quarter]]/WWWW[[#This Row],[Total HH]])</f>
        <v>0</v>
      </c>
      <c r="DD301" s="648">
        <f>IF(WWWW[[#This Row],['#_households that received standard amount of sanitary pads for this quarter]]/WWWW[[#This Row],[Total HH]]&gt;1,1,WWWW[[#This Row],['#_households that received standard amount of sanitary pads for this quarter]]/WWWW[[#This Row],[Total HH]])</f>
        <v>0</v>
      </c>
      <c r="DE301" s="647">
        <f>WWWW[[#This Row],['#_Constructed/Existing hand washing stations]]-WWWW[[#This Row],['#_Non-Functional_hand_washing_stations]]</f>
        <v>0</v>
      </c>
      <c r="DF301" s="667">
        <f>IF(WWWW[[#This Row],['# Functional hand washing stations during reporting period]]*20&gt;WWWW[[#This Row],[Total HH]],WWWW[[#This Row],[Total HH]],WWWW[[#This Row],['# Functional hand washing stations during reporting period]]*20)</f>
        <v>0</v>
      </c>
      <c r="DG301" s="645">
        <f>IF(WWWW[[#This Row],[Is sufficient soap available for TLS? (Yes/No)]]="yes",WWWW[[#This Row],['#_Constructed/Existing hand washing stations at TLS]],0)</f>
        <v>0</v>
      </c>
      <c r="DH301" s="645">
        <f>IF(WWWW[[#This Row],['# Functional hand washing stations during reporting period]]*100&gt;WWWW[[#This Row],[Total PoP ]],WWWW[[#This Row],[Total PoP ]],WWWW[[#This Row],['# Functional hand washing stations during reporting period]]*100)</f>
        <v>0</v>
      </c>
      <c r="DI301" s="645" t="str">
        <f>IF(WWWW[[#This Row],['#_students at TLS_CFS]]="","No","Yes")</f>
        <v>No</v>
      </c>
      <c r="DJ301" s="643">
        <f>VLOOKUP(WWWW[[#This Row],[Site Name]],SiteDB6[[Site Name]:[CCCM Management]],6,FALSE)</f>
        <v>0</v>
      </c>
      <c r="DK301" s="643">
        <f>VLOOKUP(WWWW[[#This Row],[Site Name]],SiteDB6[[Site Name]:[CCCM Focal Agency]],7,FALSE)</f>
        <v>0</v>
      </c>
      <c r="DL301" s="643" t="str">
        <f>VLOOKUP(WWWW[[#This Row],[Site Name]],SiteDB6[[Site Name]:[Location Type 1]],9,FALSE)</f>
        <v>Village</v>
      </c>
      <c r="DM301" s="643" t="str">
        <f>VLOOKUP(WWWW[[#This Row],[Site Name]],SiteDB6[[Site Name]:[Type of Accommodation]],10,FALSE)</f>
        <v>Village</v>
      </c>
      <c r="DN301" s="643">
        <f>VLOOKUP(WWWW[[#This Row],[Site Name]],SiteDB6[[Site Name]:[Ethnic or GCA/NGCA]],11,FALSE)</f>
        <v>0</v>
      </c>
      <c r="DO301" s="643">
        <f>VLOOKUP(WWWW[[#This Row],[Site Name]],SiteDB6[[Site Name]:[Lat]],12,FALSE)</f>
        <v>0</v>
      </c>
      <c r="DP301" s="643">
        <f>VLOOKUP(WWWW[[#This Row],[Site Name]],SiteDB6[[Site Name]:[Long]],13,FALSE)</f>
        <v>0</v>
      </c>
      <c r="DQ301" s="643">
        <f>VLOOKUP(WWWW[[#This Row],[Site Name]],SiteDB6[[Site Name]:[Pcode]],3,FALSE)</f>
        <v>220651</v>
      </c>
      <c r="DR301" s="652" t="str">
        <f t="shared" si="10"/>
        <v>Covered</v>
      </c>
      <c r="DS301" s="652"/>
    </row>
    <row r="302" spans="1:123">
      <c r="A302" s="637" t="s">
        <v>2525</v>
      </c>
      <c r="B302" s="637" t="s">
        <v>332</v>
      </c>
      <c r="C302" s="644" t="s">
        <v>332</v>
      </c>
      <c r="D302" s="644" t="s">
        <v>325</v>
      </c>
      <c r="E302" s="663" t="s">
        <v>3014</v>
      </c>
      <c r="F302" s="644" t="s">
        <v>330</v>
      </c>
      <c r="G302" s="663" t="str">
        <f>VLOOKUP(WWWW[[#This Row],[Site Name]],SiteDB6[[Site Name]:[Location Type]],8,FALSE)</f>
        <v>Village</v>
      </c>
      <c r="H302" s="644" t="s">
        <v>2926</v>
      </c>
      <c r="I302" s="646">
        <v>170</v>
      </c>
      <c r="J302" s="646">
        <v>743</v>
      </c>
      <c r="K302" s="653">
        <v>42736</v>
      </c>
      <c r="L302" s="654">
        <v>44551</v>
      </c>
      <c r="M302" s="646"/>
      <c r="N302" s="646"/>
      <c r="O302" s="646"/>
      <c r="P302" s="646"/>
      <c r="Q302" s="645"/>
      <c r="R302" s="646"/>
      <c r="S302" s="646"/>
      <c r="T302" s="646"/>
      <c r="U302" s="646"/>
      <c r="V302" s="646"/>
      <c r="W302" s="646"/>
      <c r="X302" s="646"/>
      <c r="Y302" s="646"/>
      <c r="Z302" s="646"/>
      <c r="AA302" s="646"/>
      <c r="AB302" s="646"/>
      <c r="AC302" s="646"/>
      <c r="AD302" s="646"/>
      <c r="AE302" s="646"/>
      <c r="AF302" s="646"/>
      <c r="AG302" s="646"/>
      <c r="AH302" s="646"/>
      <c r="AI302" s="646"/>
      <c r="AJ302" s="646"/>
      <c r="AK302" s="646"/>
      <c r="AL302" s="646"/>
      <c r="AM302" s="646"/>
      <c r="AN302" s="646"/>
      <c r="AO302" s="652"/>
      <c r="AP302" s="646"/>
      <c r="AQ302" s="646"/>
      <c r="AR302" s="648"/>
      <c r="AS302" s="646"/>
      <c r="AT302" s="646"/>
      <c r="AU302" s="646"/>
      <c r="AV302" s="646"/>
      <c r="AW302" s="646"/>
      <c r="AX302" s="643"/>
      <c r="AY302" s="652"/>
      <c r="AZ302" s="646"/>
      <c r="BA302" s="646"/>
      <c r="BB302" s="646"/>
      <c r="BC302" s="643"/>
      <c r="BD302" s="646"/>
      <c r="BE302" s="646"/>
      <c r="BF302" s="646"/>
      <c r="BG302" s="646"/>
      <c r="BH302" s="646"/>
      <c r="BI302" s="646"/>
      <c r="BJ302" s="646"/>
      <c r="BK302" s="646"/>
      <c r="BL302" s="646"/>
      <c r="BM302" s="643"/>
      <c r="BN302" s="647"/>
      <c r="BO302" s="648"/>
      <c r="BP302" s="643"/>
      <c r="BQ302" s="649" t="str">
        <f>IFERROR(WWWW[[#This Row],['#_Water sources treated]]/WWWW[[#This Row],['#_Water sources tested for contamination]],"no test")</f>
        <v>no test</v>
      </c>
      <c r="BR302" s="648" t="str">
        <f>IFERROR(WWWW[[#This Row],['#_Household received remediation action due to contamination]]/WWWW[[#This Row],['#_Household water samples tested for contamination]],"no test")</f>
        <v>no test</v>
      </c>
      <c r="BS302" s="647" t="str">
        <f>IF(AND(WWWW[[#This Row],[% of water sources treated]]="no test",WWWW[[#This Row],[% Household received corrective actions]]="no test"),"No Test","Tested")</f>
        <v>No Test</v>
      </c>
      <c r="BT302" s="647">
        <f>WWWW[[#This Row],['#_Constructed/existing protected hand dug well]]-WWWW[[#This Row],['#_Non-functional protected hand dug well]]</f>
        <v>0</v>
      </c>
      <c r="BU302" s="647">
        <f>(WWWW[[#This Row],['#_Constructed/Existing tube wells/boreholes/handpumps_WASH_agency]]+WWWW[[#This Row],['#_Non-Cluster partner water tube-wells/boreholes/handpumps]])-WWWW[[#This Row],['#_Non-functional tube wells/boreholes/handpumps]]</f>
        <v>0</v>
      </c>
      <c r="BV302" s="647">
        <f>WWWW[[#This Row],['#_Constructed/Existingwater storage tank with gravity fed reticulation system]]-WWWW[[#This Row],['#_Non-functional storage tank gravity fed reticulation system]]</f>
        <v>0</v>
      </c>
      <c r="BW302" s="647">
        <f>WWWW[[#This Row],['#_Water boating or water trucking]]</f>
        <v>0</v>
      </c>
      <c r="BX302" s="647">
        <f>WWWW[[#This Row],['#_Constructed/Existing water distribution system from river or natural spring]]</f>
        <v>0</v>
      </c>
      <c r="BY302"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02"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02" s="648">
        <f>IF(WWWW[[#This Row],[Location Type 1]]="Village",WWWW[[#This Row],[Access to safe drinking water for Village]],WWWW[[#This Row],[Access to safe drinking water for Camp]])</f>
        <v>0</v>
      </c>
      <c r="CB302" s="645">
        <f>WWWW[[#This Row],[%Equitable and continuous access to sufficient quantity of safe drinking water]]*WWWW[[#This Row],[Total PoP ]]</f>
        <v>0</v>
      </c>
      <c r="CC302" s="648">
        <f>IF((WWWW[[#This Row],['#_Constructed/Existing protected/fenced ponds]]*250)/WWWW[[#This Row],[Total PoP ]]&gt;1,1,(WWWW[[#This Row],['#_Constructed/Existing protected/fenced ponds]]*250)/WWWW[[#This Row],[Total PoP ]])</f>
        <v>0</v>
      </c>
      <c r="CD302" s="645">
        <f>WWWW[[#This Row],[% Access to unimproved water points]]*WWWW[[#This Row],[Total PoP ]]</f>
        <v>0</v>
      </c>
      <c r="CE302"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02"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02" s="645">
        <f>WWWW[[#This Row],[HRP1]]/500</f>
        <v>0</v>
      </c>
      <c r="CH302" s="650">
        <f>1-WWWW[[#This Row],[% Equitable and continuous access to sufficient quantity of domestic water]]</f>
        <v>1</v>
      </c>
      <c r="CI302" s="645">
        <f>WWWW[[#This Row],[%equitable and continuous access to sufficient quantity of safe drinking and domestic water''s GAP]]*WWWW[[#This Row],[Total PoP ]]</f>
        <v>743</v>
      </c>
      <c r="CJ302" s="647">
        <f>IF(WWWW[[#This Row],[Total required water points]]-WWWW[[#This Row],['#Water points coverage]]&lt;0,0,WWWW[[#This Row],[Total required water points]]-WWWW[[#This Row],['#Water points coverage]])</f>
        <v>1</v>
      </c>
      <c r="CK302" s="647">
        <f>ROUND(IF(WWWW[[#This Row],[Total PoP ]]&lt;500,1,WWWW[[#This Row],[Total PoP ]]/500),0)</f>
        <v>1</v>
      </c>
      <c r="CL302" s="647">
        <f>(WWWW[[#This Row],['#_Constructed latrines_by_WASHAgencies]]+WWWW[[#This Row],['#_Non Cluster partner latrines]])-WWWW[[#This Row],['#_Non-functional latrines]]</f>
        <v>0</v>
      </c>
      <c r="CM302"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02"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02"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02" s="647" t="str">
        <f>IF(WWWW[[#This Row],[Location Type 1]]="Village","NA",IF(WWWW[[#This Row],['#_Constructed/Existing latrines in TLS]]*50&gt;WWWW[[#This Row],['#_students at TLS_CFS]],WWWW[[#This Row],['#_students at TLS_CFS]],(WWWW[[#This Row],['#_Constructed/Existing latrines in TLS]]*50)))</f>
        <v>NA</v>
      </c>
      <c r="CQ302" s="647">
        <f>ROUND(IF(WWWW[[#This Row],[Location Type 1]]="camp",WWWW[[#This Row],[Total PoP ]]/20,IF(WWWW[[#This Row],[Location Type 1]]="Temporary Location",WWWW[[#This Row],[Total PoP ]]/50,(WWWW[[#This Row],[Total PoP ]]/6))),0)</f>
        <v>124</v>
      </c>
      <c r="CR302" s="647">
        <f>IF(WWWW[[#This Row],[Total required Latrines]]-(WWWW[[#This Row],['#_Constructed latrines_by_WASHAgencies]]+WWWW[[#This Row],['#_Non Cluster partner latrines]])&lt;0,0,WWWW[[#This Row],[Total required Latrines]]-(WWWW[[#This Row],['#_Constructed latrines_by_WASHAgencies]]+WWWW[[#This Row],['#_Non Cluster partner latrines]]))</f>
        <v>124</v>
      </c>
      <c r="CS302" s="79">
        <f>1-WWWW[[#This Row],[% people access to functioning Latrine]]</f>
        <v>1</v>
      </c>
      <c r="CT302" s="649">
        <f>IF(OR(WWWW[[#This Row],['#_Non-functional latrines]]="",WWWW[[#This Row],['#_Non-functional latrines]]=0),0,WWWW[[#This Row],['#_Non-functional latrines]]/(WWWW[[#This Row],['#_Constructed latrines_by_WASHAgencies]]+WWWW[[#This Row],['#_Non Cluster partner latrines]]))</f>
        <v>0</v>
      </c>
      <c r="CU302" s="645">
        <f>IF(500*(WWWW[[#This Row],['#_male hygiene promoters]]+WWWW[[#This Row],['#_female hygiene promoters]])&gt;WWWW[[#This Row],[Total PoP ]],WWWW[[#This Row],[Total PoP ]],500*(WWWW[[#This Row],['#_male hygiene promoters]]+WWWW[[#This Row],['#_female hygiene promoters]]))</f>
        <v>0</v>
      </c>
      <c r="CV302"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02"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02" s="647">
        <f>IF(WWWW[[#This Row],['# People with access to soap]]&gt;WWWW[[#This Row],['# People with access to Sanity Pads]],WWWW[[#This Row],['# People with access to soap]],WWWW[[#This Row],['# People with access to Sanity Pads]])</f>
        <v>0</v>
      </c>
      <c r="CY302"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02" s="650">
        <f>IF(WWWW[[#This Row],[HRP3]]/WWWW[[#This Row],[Total PoP ]]&gt;100%,100%,WWWW[[#This Row],[HRP3]]/WWWW[[#This Row],[Total PoP ]])</f>
        <v>0</v>
      </c>
      <c r="DA302" s="649">
        <f>1-WWWW[[#This Row],[Hygiene Coverage%]]</f>
        <v>1</v>
      </c>
      <c r="DB302" s="648">
        <f>WWWW[[#This Row],['# people reached by regular dedicated hygiene promotion_5]]/WWWW[[#This Row],[Total PoP ]]</f>
        <v>0</v>
      </c>
      <c r="DC302" s="648">
        <f>IF(WWWW[[#This Row],['#_households that received standard amount of soap for this quarter]]/WWWW[[#This Row],[Total HH]]&gt;1,1,WWWW[[#This Row],['#_households that received standard amount of soap for this quarter]]/WWWW[[#This Row],[Total HH]])</f>
        <v>0</v>
      </c>
      <c r="DD302" s="648">
        <f>IF(WWWW[[#This Row],['#_households that received standard amount of sanitary pads for this quarter]]/WWWW[[#This Row],[Total HH]]&gt;1,1,WWWW[[#This Row],['#_households that received standard amount of sanitary pads for this quarter]]/WWWW[[#This Row],[Total HH]])</f>
        <v>0</v>
      </c>
      <c r="DE302" s="647">
        <f>WWWW[[#This Row],['#_Constructed/Existing hand washing stations]]-WWWW[[#This Row],['#_Non-Functional_hand_washing_stations]]</f>
        <v>0</v>
      </c>
      <c r="DF302" s="667">
        <f>IF(WWWW[[#This Row],['# Functional hand washing stations during reporting period]]*20&gt;WWWW[[#This Row],[Total HH]],WWWW[[#This Row],[Total HH]],WWWW[[#This Row],['# Functional hand washing stations during reporting period]]*20)</f>
        <v>0</v>
      </c>
      <c r="DG302" s="645">
        <f>IF(WWWW[[#This Row],[Is sufficient soap available for TLS? (Yes/No)]]="yes",WWWW[[#This Row],['#_Constructed/Existing hand washing stations at TLS]],0)</f>
        <v>0</v>
      </c>
      <c r="DH302" s="645">
        <f>IF(WWWW[[#This Row],['# Functional hand washing stations during reporting period]]*100&gt;WWWW[[#This Row],[Total PoP ]],WWWW[[#This Row],[Total PoP ]],WWWW[[#This Row],['# Functional hand washing stations during reporting period]]*100)</f>
        <v>0</v>
      </c>
      <c r="DI302" s="645" t="str">
        <f>IF(WWWW[[#This Row],['#_students at TLS_CFS]]="","No","Yes")</f>
        <v>No</v>
      </c>
      <c r="DJ302" s="643">
        <f>VLOOKUP(WWWW[[#This Row],[Site Name]],SiteDB6[[Site Name]:[CCCM Management]],6,FALSE)</f>
        <v>0</v>
      </c>
      <c r="DK302" s="643">
        <f>VLOOKUP(WWWW[[#This Row],[Site Name]],SiteDB6[[Site Name]:[CCCM Focal Agency]],7,FALSE)</f>
        <v>0</v>
      </c>
      <c r="DL302" s="643" t="str">
        <f>VLOOKUP(WWWW[[#This Row],[Site Name]],SiteDB6[[Site Name]:[Location Type 1]],9,FALSE)</f>
        <v>Village</v>
      </c>
      <c r="DM302" s="643" t="str">
        <f>VLOOKUP(WWWW[[#This Row],[Site Name]],SiteDB6[[Site Name]:[Type of Accommodation]],10,FALSE)</f>
        <v>Village</v>
      </c>
      <c r="DN302" s="643">
        <f>VLOOKUP(WWWW[[#This Row],[Site Name]],SiteDB6[[Site Name]:[Ethnic or GCA/NGCA]],11,FALSE)</f>
        <v>0</v>
      </c>
      <c r="DO302" s="643">
        <f>VLOOKUP(WWWW[[#This Row],[Site Name]],SiteDB6[[Site Name]:[Lat]],12,FALSE)</f>
        <v>0</v>
      </c>
      <c r="DP302" s="643">
        <f>VLOOKUP(WWWW[[#This Row],[Site Name]],SiteDB6[[Site Name]:[Long]],13,FALSE)</f>
        <v>0</v>
      </c>
      <c r="DQ302" s="643">
        <f>VLOOKUP(WWWW[[#This Row],[Site Name]],SiteDB6[[Site Name]:[Pcode]],3,FALSE)</f>
        <v>197103</v>
      </c>
      <c r="DR302" s="652" t="str">
        <f t="shared" si="10"/>
        <v>Covered</v>
      </c>
      <c r="DS302" s="652"/>
    </row>
    <row r="303" spans="1:123">
      <c r="A303" s="637" t="s">
        <v>2525</v>
      </c>
      <c r="B303" s="637" t="s">
        <v>332</v>
      </c>
      <c r="C303" s="644" t="s">
        <v>332</v>
      </c>
      <c r="D303" s="644" t="s">
        <v>325</v>
      </c>
      <c r="E303" s="663" t="s">
        <v>3014</v>
      </c>
      <c r="F303" s="644" t="s">
        <v>330</v>
      </c>
      <c r="G303" s="663" t="str">
        <f>VLOOKUP(WWWW[[#This Row],[Site Name]],SiteDB6[[Site Name]:[Location Type]],8,FALSE)</f>
        <v>Village</v>
      </c>
      <c r="H303" s="644" t="s">
        <v>480</v>
      </c>
      <c r="I303" s="646">
        <v>121</v>
      </c>
      <c r="J303" s="646">
        <v>421</v>
      </c>
      <c r="K303" s="653">
        <v>42736</v>
      </c>
      <c r="L303" s="654">
        <v>44551</v>
      </c>
      <c r="M303" s="646"/>
      <c r="N303" s="646"/>
      <c r="O303" s="646"/>
      <c r="P303" s="646"/>
      <c r="Q303" s="645"/>
      <c r="R303" s="646"/>
      <c r="S303" s="646"/>
      <c r="T303" s="646"/>
      <c r="U303" s="646"/>
      <c r="V303" s="646"/>
      <c r="W303" s="646"/>
      <c r="X303" s="646"/>
      <c r="Y303" s="646"/>
      <c r="Z303" s="646"/>
      <c r="AA303" s="646"/>
      <c r="AB303" s="646"/>
      <c r="AC303" s="646"/>
      <c r="AD303" s="646"/>
      <c r="AE303" s="646"/>
      <c r="AF303" s="646"/>
      <c r="AG303" s="646"/>
      <c r="AH303" s="646"/>
      <c r="AI303" s="646"/>
      <c r="AJ303" s="646"/>
      <c r="AK303" s="646"/>
      <c r="AL303" s="646"/>
      <c r="AM303" s="646"/>
      <c r="AN303" s="646"/>
      <c r="AO303" s="652"/>
      <c r="AP303" s="646"/>
      <c r="AQ303" s="646"/>
      <c r="AR303" s="648"/>
      <c r="AS303" s="646"/>
      <c r="AT303" s="646"/>
      <c r="AU303" s="646"/>
      <c r="AV303" s="646"/>
      <c r="AW303" s="646"/>
      <c r="AX303" s="643"/>
      <c r="AY303" s="652"/>
      <c r="AZ303" s="646"/>
      <c r="BA303" s="646"/>
      <c r="BB303" s="646"/>
      <c r="BC303" s="643"/>
      <c r="BD303" s="646"/>
      <c r="BE303" s="646"/>
      <c r="BF303" s="646"/>
      <c r="BG303" s="646"/>
      <c r="BH303" s="646"/>
      <c r="BI303" s="646"/>
      <c r="BJ303" s="646"/>
      <c r="BK303" s="646"/>
      <c r="BL303" s="646"/>
      <c r="BM303" s="643"/>
      <c r="BN303" s="647"/>
      <c r="BO303" s="648"/>
      <c r="BP303" s="643"/>
      <c r="BQ303" s="649" t="str">
        <f>IFERROR(WWWW[[#This Row],['#_Water sources treated]]/WWWW[[#This Row],['#_Water sources tested for contamination]],"no test")</f>
        <v>no test</v>
      </c>
      <c r="BR303" s="648" t="str">
        <f>IFERROR(WWWW[[#This Row],['#_Household received remediation action due to contamination]]/WWWW[[#This Row],['#_Household water samples tested for contamination]],"no test")</f>
        <v>no test</v>
      </c>
      <c r="BS303" s="647" t="str">
        <f>IF(AND(WWWW[[#This Row],[% of water sources treated]]="no test",WWWW[[#This Row],[% Household received corrective actions]]="no test"),"No Test","Tested")</f>
        <v>No Test</v>
      </c>
      <c r="BT303" s="647">
        <f>WWWW[[#This Row],['#_Constructed/existing protected hand dug well]]-WWWW[[#This Row],['#_Non-functional protected hand dug well]]</f>
        <v>0</v>
      </c>
      <c r="BU303" s="647">
        <f>(WWWW[[#This Row],['#_Constructed/Existing tube wells/boreholes/handpumps_WASH_agency]]+WWWW[[#This Row],['#_Non-Cluster partner water tube-wells/boreholes/handpumps]])-WWWW[[#This Row],['#_Non-functional tube wells/boreholes/handpumps]]</f>
        <v>0</v>
      </c>
      <c r="BV303" s="647">
        <f>WWWW[[#This Row],['#_Constructed/Existingwater storage tank with gravity fed reticulation system]]-WWWW[[#This Row],['#_Non-functional storage tank gravity fed reticulation system]]</f>
        <v>0</v>
      </c>
      <c r="BW303" s="647">
        <f>WWWW[[#This Row],['#_Water boating or water trucking]]</f>
        <v>0</v>
      </c>
      <c r="BX303" s="647">
        <f>WWWW[[#This Row],['#_Constructed/Existing water distribution system from river or natural spring]]</f>
        <v>0</v>
      </c>
      <c r="BY303"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03"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03" s="648">
        <f>IF(WWWW[[#This Row],[Location Type 1]]="Village",WWWW[[#This Row],[Access to safe drinking water for Village]],WWWW[[#This Row],[Access to safe drinking water for Camp]])</f>
        <v>0</v>
      </c>
      <c r="CB303" s="645">
        <f>WWWW[[#This Row],[%Equitable and continuous access to sufficient quantity of safe drinking water]]*WWWW[[#This Row],[Total PoP ]]</f>
        <v>0</v>
      </c>
      <c r="CC303" s="648">
        <f>IF((WWWW[[#This Row],['#_Constructed/Existing protected/fenced ponds]]*250)/WWWW[[#This Row],[Total PoP ]]&gt;1,1,(WWWW[[#This Row],['#_Constructed/Existing protected/fenced ponds]]*250)/WWWW[[#This Row],[Total PoP ]])</f>
        <v>0</v>
      </c>
      <c r="CD303" s="645">
        <f>WWWW[[#This Row],[% Access to unimproved water points]]*WWWW[[#This Row],[Total PoP ]]</f>
        <v>0</v>
      </c>
      <c r="CE303"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03"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03" s="645">
        <f>WWWW[[#This Row],[HRP1]]/500</f>
        <v>0</v>
      </c>
      <c r="CH303" s="650">
        <f>1-WWWW[[#This Row],[% Equitable and continuous access to sufficient quantity of domestic water]]</f>
        <v>1</v>
      </c>
      <c r="CI303" s="645">
        <f>WWWW[[#This Row],[%equitable and continuous access to sufficient quantity of safe drinking and domestic water''s GAP]]*WWWW[[#This Row],[Total PoP ]]</f>
        <v>421</v>
      </c>
      <c r="CJ303" s="647">
        <f>IF(WWWW[[#This Row],[Total required water points]]-WWWW[[#This Row],['#Water points coverage]]&lt;0,0,WWWW[[#This Row],[Total required water points]]-WWWW[[#This Row],['#Water points coverage]])</f>
        <v>1</v>
      </c>
      <c r="CK303" s="647">
        <f>ROUND(IF(WWWW[[#This Row],[Total PoP ]]&lt;500,1,WWWW[[#This Row],[Total PoP ]]/500),0)</f>
        <v>1</v>
      </c>
      <c r="CL303" s="647">
        <f>(WWWW[[#This Row],['#_Constructed latrines_by_WASHAgencies]]+WWWW[[#This Row],['#_Non Cluster partner latrines]])-WWWW[[#This Row],['#_Non-functional latrines]]</f>
        <v>0</v>
      </c>
      <c r="CM303"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03"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03"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03" s="647" t="str">
        <f>IF(WWWW[[#This Row],[Location Type 1]]="Village","NA",IF(WWWW[[#This Row],['#_Constructed/Existing latrines in TLS]]*50&gt;WWWW[[#This Row],['#_students at TLS_CFS]],WWWW[[#This Row],['#_students at TLS_CFS]],(WWWW[[#This Row],['#_Constructed/Existing latrines in TLS]]*50)))</f>
        <v>NA</v>
      </c>
      <c r="CQ303" s="647">
        <f>ROUND(IF(WWWW[[#This Row],[Location Type 1]]="camp",WWWW[[#This Row],[Total PoP ]]/20,IF(WWWW[[#This Row],[Location Type 1]]="Temporary Location",WWWW[[#This Row],[Total PoP ]]/50,(WWWW[[#This Row],[Total PoP ]]/6))),0)</f>
        <v>70</v>
      </c>
      <c r="CR303" s="647">
        <f>IF(WWWW[[#This Row],[Total required Latrines]]-(WWWW[[#This Row],['#_Constructed latrines_by_WASHAgencies]]+WWWW[[#This Row],['#_Non Cluster partner latrines]])&lt;0,0,WWWW[[#This Row],[Total required Latrines]]-(WWWW[[#This Row],['#_Constructed latrines_by_WASHAgencies]]+WWWW[[#This Row],['#_Non Cluster partner latrines]]))</f>
        <v>70</v>
      </c>
      <c r="CS303" s="79">
        <f>1-WWWW[[#This Row],[% people access to functioning Latrine]]</f>
        <v>1</v>
      </c>
      <c r="CT303" s="649">
        <f>IF(OR(WWWW[[#This Row],['#_Non-functional latrines]]="",WWWW[[#This Row],['#_Non-functional latrines]]=0),0,WWWW[[#This Row],['#_Non-functional latrines]]/(WWWW[[#This Row],['#_Constructed latrines_by_WASHAgencies]]+WWWW[[#This Row],['#_Non Cluster partner latrines]]))</f>
        <v>0</v>
      </c>
      <c r="CU303" s="645">
        <f>IF(500*(WWWW[[#This Row],['#_male hygiene promoters]]+WWWW[[#This Row],['#_female hygiene promoters]])&gt;WWWW[[#This Row],[Total PoP ]],WWWW[[#This Row],[Total PoP ]],500*(WWWW[[#This Row],['#_male hygiene promoters]]+WWWW[[#This Row],['#_female hygiene promoters]]))</f>
        <v>0</v>
      </c>
      <c r="CV303"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03"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03" s="647">
        <f>IF(WWWW[[#This Row],['# People with access to soap]]&gt;WWWW[[#This Row],['# People with access to Sanity Pads]],WWWW[[#This Row],['# People with access to soap]],WWWW[[#This Row],['# People with access to Sanity Pads]])</f>
        <v>0</v>
      </c>
      <c r="CY303"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03" s="650">
        <f>IF(WWWW[[#This Row],[HRP3]]/WWWW[[#This Row],[Total PoP ]]&gt;100%,100%,WWWW[[#This Row],[HRP3]]/WWWW[[#This Row],[Total PoP ]])</f>
        <v>0</v>
      </c>
      <c r="DA303" s="649">
        <f>1-WWWW[[#This Row],[Hygiene Coverage%]]</f>
        <v>1</v>
      </c>
      <c r="DB303" s="648">
        <f>WWWW[[#This Row],['# people reached by regular dedicated hygiene promotion_5]]/WWWW[[#This Row],[Total PoP ]]</f>
        <v>0</v>
      </c>
      <c r="DC303" s="648">
        <f>IF(WWWW[[#This Row],['#_households that received standard amount of soap for this quarter]]/WWWW[[#This Row],[Total HH]]&gt;1,1,WWWW[[#This Row],['#_households that received standard amount of soap for this quarter]]/WWWW[[#This Row],[Total HH]])</f>
        <v>0</v>
      </c>
      <c r="DD303" s="648">
        <f>IF(WWWW[[#This Row],['#_households that received standard amount of sanitary pads for this quarter]]/WWWW[[#This Row],[Total HH]]&gt;1,1,WWWW[[#This Row],['#_households that received standard amount of sanitary pads for this quarter]]/WWWW[[#This Row],[Total HH]])</f>
        <v>0</v>
      </c>
      <c r="DE303" s="647">
        <f>WWWW[[#This Row],['#_Constructed/Existing hand washing stations]]-WWWW[[#This Row],['#_Non-Functional_hand_washing_stations]]</f>
        <v>0</v>
      </c>
      <c r="DF303" s="667">
        <f>IF(WWWW[[#This Row],['# Functional hand washing stations during reporting period]]*20&gt;WWWW[[#This Row],[Total HH]],WWWW[[#This Row],[Total HH]],WWWW[[#This Row],['# Functional hand washing stations during reporting period]]*20)</f>
        <v>0</v>
      </c>
      <c r="DG303" s="645">
        <f>IF(WWWW[[#This Row],[Is sufficient soap available for TLS? (Yes/No)]]="yes",WWWW[[#This Row],['#_Constructed/Existing hand washing stations at TLS]],0)</f>
        <v>0</v>
      </c>
      <c r="DH303" s="645">
        <f>IF(WWWW[[#This Row],['# Functional hand washing stations during reporting period]]*100&gt;WWWW[[#This Row],[Total PoP ]],WWWW[[#This Row],[Total PoP ]],WWWW[[#This Row],['# Functional hand washing stations during reporting period]]*100)</f>
        <v>0</v>
      </c>
      <c r="DI303" s="645" t="str">
        <f>IF(WWWW[[#This Row],['#_students at TLS_CFS]]="","No","Yes")</f>
        <v>No</v>
      </c>
      <c r="DJ303" s="643">
        <f>VLOOKUP(WWWW[[#This Row],[Site Name]],SiteDB6[[Site Name]:[CCCM Management]],6,FALSE)</f>
        <v>0</v>
      </c>
      <c r="DK303" s="643">
        <f>VLOOKUP(WWWW[[#This Row],[Site Name]],SiteDB6[[Site Name]:[CCCM Focal Agency]],7,FALSE)</f>
        <v>0</v>
      </c>
      <c r="DL303" s="643" t="str">
        <f>VLOOKUP(WWWW[[#This Row],[Site Name]],SiteDB6[[Site Name]:[Location Type 1]],9,FALSE)</f>
        <v>Village</v>
      </c>
      <c r="DM303" s="643" t="str">
        <f>VLOOKUP(WWWW[[#This Row],[Site Name]],SiteDB6[[Site Name]:[Type of Accommodation]],10,FALSE)</f>
        <v>Village</v>
      </c>
      <c r="DN303" s="643" t="str">
        <f>VLOOKUP(WWWW[[#This Row],[Site Name]],SiteDB6[[Site Name]:[Ethnic or GCA/NGCA]],11,FALSE)</f>
        <v>Mixed</v>
      </c>
      <c r="DO303" s="643">
        <f>VLOOKUP(WWWW[[#This Row],[Site Name]],SiteDB6[[Site Name]:[Lat]],12,FALSE)</f>
        <v>20.394809720000001</v>
      </c>
      <c r="DP303" s="643">
        <f>VLOOKUP(WWWW[[#This Row],[Site Name]],SiteDB6[[Site Name]:[Long]],13,FALSE)</f>
        <v>93.251609799999997</v>
      </c>
      <c r="DQ303" s="643">
        <f>VLOOKUP(WWWW[[#This Row],[Site Name]],SiteDB6[[Site Name]:[Pcode]],3,FALSE)</f>
        <v>196994</v>
      </c>
      <c r="DR303" s="652" t="str">
        <f t="shared" si="10"/>
        <v>Covered</v>
      </c>
      <c r="DS303" s="652"/>
    </row>
    <row r="304" spans="1:123">
      <c r="A304" s="637" t="s">
        <v>2525</v>
      </c>
      <c r="B304" s="637" t="s">
        <v>332</v>
      </c>
      <c r="C304" s="644" t="s">
        <v>332</v>
      </c>
      <c r="D304" s="644" t="s">
        <v>325</v>
      </c>
      <c r="E304" s="663" t="s">
        <v>3014</v>
      </c>
      <c r="F304" s="644" t="s">
        <v>330</v>
      </c>
      <c r="G304" s="663" t="str">
        <f>VLOOKUP(WWWW[[#This Row],[Site Name]],SiteDB6[[Site Name]:[Location Type]],8,FALSE)</f>
        <v>Village</v>
      </c>
      <c r="H304" s="644" t="s">
        <v>1784</v>
      </c>
      <c r="I304" s="646">
        <v>203</v>
      </c>
      <c r="J304" s="646">
        <v>1118</v>
      </c>
      <c r="K304" s="653">
        <v>42736</v>
      </c>
      <c r="L304" s="654">
        <v>44551</v>
      </c>
      <c r="M304" s="646"/>
      <c r="N304" s="646"/>
      <c r="O304" s="646"/>
      <c r="P304" s="646"/>
      <c r="Q304" s="645"/>
      <c r="R304" s="646"/>
      <c r="S304" s="646"/>
      <c r="T304" s="646"/>
      <c r="U304" s="646"/>
      <c r="V304" s="646"/>
      <c r="W304" s="646"/>
      <c r="X304" s="646"/>
      <c r="Y304" s="646"/>
      <c r="Z304" s="646"/>
      <c r="AA304" s="646"/>
      <c r="AB304" s="646"/>
      <c r="AC304" s="646"/>
      <c r="AD304" s="646"/>
      <c r="AE304" s="646"/>
      <c r="AF304" s="646"/>
      <c r="AG304" s="646"/>
      <c r="AH304" s="646"/>
      <c r="AI304" s="646"/>
      <c r="AJ304" s="646"/>
      <c r="AK304" s="646"/>
      <c r="AL304" s="646"/>
      <c r="AM304" s="646"/>
      <c r="AN304" s="646"/>
      <c r="AO304" s="652"/>
      <c r="AP304" s="646"/>
      <c r="AQ304" s="646"/>
      <c r="AR304" s="648"/>
      <c r="AS304" s="646"/>
      <c r="AT304" s="646"/>
      <c r="AU304" s="646"/>
      <c r="AV304" s="646"/>
      <c r="AW304" s="646"/>
      <c r="AX304" s="643"/>
      <c r="AY304" s="652"/>
      <c r="AZ304" s="646"/>
      <c r="BA304" s="646"/>
      <c r="BB304" s="646"/>
      <c r="BC304" s="643"/>
      <c r="BD304" s="646"/>
      <c r="BE304" s="646"/>
      <c r="BF304" s="646"/>
      <c r="BG304" s="646"/>
      <c r="BH304" s="646"/>
      <c r="BI304" s="646"/>
      <c r="BJ304" s="646"/>
      <c r="BK304" s="646"/>
      <c r="BL304" s="646"/>
      <c r="BM304" s="643"/>
      <c r="BN304" s="647"/>
      <c r="BO304" s="648"/>
      <c r="BP304" s="643"/>
      <c r="BQ304" s="649" t="str">
        <f>IFERROR(WWWW[[#This Row],['#_Water sources treated]]/WWWW[[#This Row],['#_Water sources tested for contamination]],"no test")</f>
        <v>no test</v>
      </c>
      <c r="BR304" s="648" t="str">
        <f>IFERROR(WWWW[[#This Row],['#_Household received remediation action due to contamination]]/WWWW[[#This Row],['#_Household water samples tested for contamination]],"no test")</f>
        <v>no test</v>
      </c>
      <c r="BS304" s="647" t="str">
        <f>IF(AND(WWWW[[#This Row],[% of water sources treated]]="no test",WWWW[[#This Row],[% Household received corrective actions]]="no test"),"No Test","Tested")</f>
        <v>No Test</v>
      </c>
      <c r="BT304" s="647">
        <f>WWWW[[#This Row],['#_Constructed/existing protected hand dug well]]-WWWW[[#This Row],['#_Non-functional protected hand dug well]]</f>
        <v>0</v>
      </c>
      <c r="BU304" s="647">
        <f>(WWWW[[#This Row],['#_Constructed/Existing tube wells/boreholes/handpumps_WASH_agency]]+WWWW[[#This Row],['#_Non-Cluster partner water tube-wells/boreholes/handpumps]])-WWWW[[#This Row],['#_Non-functional tube wells/boreholes/handpumps]]</f>
        <v>0</v>
      </c>
      <c r="BV304" s="647">
        <f>WWWW[[#This Row],['#_Constructed/Existingwater storage tank with gravity fed reticulation system]]-WWWW[[#This Row],['#_Non-functional storage tank gravity fed reticulation system]]</f>
        <v>0</v>
      </c>
      <c r="BW304" s="647">
        <f>WWWW[[#This Row],['#_Water boating or water trucking]]</f>
        <v>0</v>
      </c>
      <c r="BX304" s="647">
        <f>WWWW[[#This Row],['#_Constructed/Existing water distribution system from river or natural spring]]</f>
        <v>0</v>
      </c>
      <c r="BY304"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04"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04" s="648">
        <f>IF(WWWW[[#This Row],[Location Type 1]]="Village",WWWW[[#This Row],[Access to safe drinking water for Village]],WWWW[[#This Row],[Access to safe drinking water for Camp]])</f>
        <v>0</v>
      </c>
      <c r="CB304" s="645">
        <f>WWWW[[#This Row],[%Equitable and continuous access to sufficient quantity of safe drinking water]]*WWWW[[#This Row],[Total PoP ]]</f>
        <v>0</v>
      </c>
      <c r="CC304" s="648">
        <f>IF((WWWW[[#This Row],['#_Constructed/Existing protected/fenced ponds]]*250)/WWWW[[#This Row],[Total PoP ]]&gt;1,1,(WWWW[[#This Row],['#_Constructed/Existing protected/fenced ponds]]*250)/WWWW[[#This Row],[Total PoP ]])</f>
        <v>0</v>
      </c>
      <c r="CD304" s="645">
        <f>WWWW[[#This Row],[% Access to unimproved water points]]*WWWW[[#This Row],[Total PoP ]]</f>
        <v>0</v>
      </c>
      <c r="CE304"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04"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04" s="645">
        <f>WWWW[[#This Row],[HRP1]]/500</f>
        <v>0</v>
      </c>
      <c r="CH304" s="650">
        <f>1-WWWW[[#This Row],[% Equitable and continuous access to sufficient quantity of domestic water]]</f>
        <v>1</v>
      </c>
      <c r="CI304" s="645">
        <f>WWWW[[#This Row],[%equitable and continuous access to sufficient quantity of safe drinking and domestic water''s GAP]]*WWWW[[#This Row],[Total PoP ]]</f>
        <v>1118</v>
      </c>
      <c r="CJ304" s="647">
        <f>IF(WWWW[[#This Row],[Total required water points]]-WWWW[[#This Row],['#Water points coverage]]&lt;0,0,WWWW[[#This Row],[Total required water points]]-WWWW[[#This Row],['#Water points coverage]])</f>
        <v>2</v>
      </c>
      <c r="CK304" s="647">
        <f>ROUND(IF(WWWW[[#This Row],[Total PoP ]]&lt;500,1,WWWW[[#This Row],[Total PoP ]]/500),0)</f>
        <v>2</v>
      </c>
      <c r="CL304" s="647">
        <f>(WWWW[[#This Row],['#_Constructed latrines_by_WASHAgencies]]+WWWW[[#This Row],['#_Non Cluster partner latrines]])-WWWW[[#This Row],['#_Non-functional latrines]]</f>
        <v>0</v>
      </c>
      <c r="CM304"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04"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04"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04" s="647" t="str">
        <f>IF(WWWW[[#This Row],[Location Type 1]]="Village","NA",IF(WWWW[[#This Row],['#_Constructed/Existing latrines in TLS]]*50&gt;WWWW[[#This Row],['#_students at TLS_CFS]],WWWW[[#This Row],['#_students at TLS_CFS]],(WWWW[[#This Row],['#_Constructed/Existing latrines in TLS]]*50)))</f>
        <v>NA</v>
      </c>
      <c r="CQ304" s="647">
        <f>ROUND(IF(WWWW[[#This Row],[Location Type 1]]="camp",WWWW[[#This Row],[Total PoP ]]/20,IF(WWWW[[#This Row],[Location Type 1]]="Temporary Location",WWWW[[#This Row],[Total PoP ]]/50,(WWWW[[#This Row],[Total PoP ]]/6))),0)</f>
        <v>186</v>
      </c>
      <c r="CR304" s="647">
        <f>IF(WWWW[[#This Row],[Total required Latrines]]-(WWWW[[#This Row],['#_Constructed latrines_by_WASHAgencies]]+WWWW[[#This Row],['#_Non Cluster partner latrines]])&lt;0,0,WWWW[[#This Row],[Total required Latrines]]-(WWWW[[#This Row],['#_Constructed latrines_by_WASHAgencies]]+WWWW[[#This Row],['#_Non Cluster partner latrines]]))</f>
        <v>186</v>
      </c>
      <c r="CS304" s="79">
        <f>1-WWWW[[#This Row],[% people access to functioning Latrine]]</f>
        <v>1</v>
      </c>
      <c r="CT304" s="649">
        <f>IF(OR(WWWW[[#This Row],['#_Non-functional latrines]]="",WWWW[[#This Row],['#_Non-functional latrines]]=0),0,WWWW[[#This Row],['#_Non-functional latrines]]/(WWWW[[#This Row],['#_Constructed latrines_by_WASHAgencies]]+WWWW[[#This Row],['#_Non Cluster partner latrines]]))</f>
        <v>0</v>
      </c>
      <c r="CU304" s="645">
        <f>IF(500*(WWWW[[#This Row],['#_male hygiene promoters]]+WWWW[[#This Row],['#_female hygiene promoters]])&gt;WWWW[[#This Row],[Total PoP ]],WWWW[[#This Row],[Total PoP ]],500*(WWWW[[#This Row],['#_male hygiene promoters]]+WWWW[[#This Row],['#_female hygiene promoters]]))</f>
        <v>0</v>
      </c>
      <c r="CV304"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04"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04" s="647">
        <f>IF(WWWW[[#This Row],['# People with access to soap]]&gt;WWWW[[#This Row],['# People with access to Sanity Pads]],WWWW[[#This Row],['# People with access to soap]],WWWW[[#This Row],['# People with access to Sanity Pads]])</f>
        <v>0</v>
      </c>
      <c r="CY304"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04" s="650">
        <f>IF(WWWW[[#This Row],[HRP3]]/WWWW[[#This Row],[Total PoP ]]&gt;100%,100%,WWWW[[#This Row],[HRP3]]/WWWW[[#This Row],[Total PoP ]])</f>
        <v>0</v>
      </c>
      <c r="DA304" s="649">
        <f>1-WWWW[[#This Row],[Hygiene Coverage%]]</f>
        <v>1</v>
      </c>
      <c r="DB304" s="648">
        <f>WWWW[[#This Row],['# people reached by regular dedicated hygiene promotion_5]]/WWWW[[#This Row],[Total PoP ]]</f>
        <v>0</v>
      </c>
      <c r="DC304" s="648">
        <f>IF(WWWW[[#This Row],['#_households that received standard amount of soap for this quarter]]/WWWW[[#This Row],[Total HH]]&gt;1,1,WWWW[[#This Row],['#_households that received standard amount of soap for this quarter]]/WWWW[[#This Row],[Total HH]])</f>
        <v>0</v>
      </c>
      <c r="DD304" s="648">
        <f>IF(WWWW[[#This Row],['#_households that received standard amount of sanitary pads for this quarter]]/WWWW[[#This Row],[Total HH]]&gt;1,1,WWWW[[#This Row],['#_households that received standard amount of sanitary pads for this quarter]]/WWWW[[#This Row],[Total HH]])</f>
        <v>0</v>
      </c>
      <c r="DE304" s="647">
        <f>WWWW[[#This Row],['#_Constructed/Existing hand washing stations]]-WWWW[[#This Row],['#_Non-Functional_hand_washing_stations]]</f>
        <v>0</v>
      </c>
      <c r="DF304" s="667">
        <f>IF(WWWW[[#This Row],['# Functional hand washing stations during reporting period]]*20&gt;WWWW[[#This Row],[Total HH]],WWWW[[#This Row],[Total HH]],WWWW[[#This Row],['# Functional hand washing stations during reporting period]]*20)</f>
        <v>0</v>
      </c>
      <c r="DG304" s="645">
        <f>IF(WWWW[[#This Row],[Is sufficient soap available for TLS? (Yes/No)]]="yes",WWWW[[#This Row],['#_Constructed/Existing hand washing stations at TLS]],0)</f>
        <v>0</v>
      </c>
      <c r="DH304" s="645">
        <f>IF(WWWW[[#This Row],['# Functional hand washing stations during reporting period]]*100&gt;WWWW[[#This Row],[Total PoP ]],WWWW[[#This Row],[Total PoP ]],WWWW[[#This Row],['# Functional hand washing stations during reporting period]]*100)</f>
        <v>0</v>
      </c>
      <c r="DI304" s="645" t="str">
        <f>IF(WWWW[[#This Row],['#_students at TLS_CFS]]="","No","Yes")</f>
        <v>No</v>
      </c>
      <c r="DJ304" s="643">
        <f>VLOOKUP(WWWW[[#This Row],[Site Name]],SiteDB6[[Site Name]:[CCCM Management]],6,FALSE)</f>
        <v>0</v>
      </c>
      <c r="DK304" s="643">
        <f>VLOOKUP(WWWW[[#This Row],[Site Name]],SiteDB6[[Site Name]:[CCCM Focal Agency]],7,FALSE)</f>
        <v>0</v>
      </c>
      <c r="DL304" s="643" t="str">
        <f>VLOOKUP(WWWW[[#This Row],[Site Name]],SiteDB6[[Site Name]:[Location Type 1]],9,FALSE)</f>
        <v>Village</v>
      </c>
      <c r="DM304" s="643" t="str">
        <f>VLOOKUP(WWWW[[#This Row],[Site Name]],SiteDB6[[Site Name]:[Type of Accommodation]],10,FALSE)</f>
        <v>Village</v>
      </c>
      <c r="DN304" s="643">
        <f>VLOOKUP(WWWW[[#This Row],[Site Name]],SiteDB6[[Site Name]:[Ethnic or GCA/NGCA]],11,FALSE)</f>
        <v>0</v>
      </c>
      <c r="DO304" s="643">
        <f>VLOOKUP(WWWW[[#This Row],[Site Name]],SiteDB6[[Site Name]:[Lat]],12,FALSE)</f>
        <v>0</v>
      </c>
      <c r="DP304" s="643">
        <f>VLOOKUP(WWWW[[#This Row],[Site Name]],SiteDB6[[Site Name]:[Long]],13,FALSE)</f>
        <v>0</v>
      </c>
      <c r="DQ304" s="643">
        <f>VLOOKUP(WWWW[[#This Row],[Site Name]],SiteDB6[[Site Name]:[Pcode]],3,FALSE)</f>
        <v>196997</v>
      </c>
      <c r="DR304" s="652" t="str">
        <f t="shared" si="10"/>
        <v>Covered</v>
      </c>
      <c r="DS304" s="652"/>
    </row>
    <row r="305" spans="1:123">
      <c r="A305" s="637" t="s">
        <v>2525</v>
      </c>
      <c r="B305" s="637" t="s">
        <v>332</v>
      </c>
      <c r="C305" s="644" t="s">
        <v>332</v>
      </c>
      <c r="D305" s="644" t="s">
        <v>325</v>
      </c>
      <c r="E305" s="663" t="s">
        <v>3014</v>
      </c>
      <c r="F305" s="644" t="s">
        <v>330</v>
      </c>
      <c r="G305" s="663" t="str">
        <f>VLOOKUP(WWWW[[#This Row],[Site Name]],SiteDB6[[Site Name]:[Location Type]],8,FALSE)</f>
        <v>Village</v>
      </c>
      <c r="H305" s="644" t="s">
        <v>481</v>
      </c>
      <c r="I305" s="646">
        <v>31</v>
      </c>
      <c r="J305" s="646">
        <v>170</v>
      </c>
      <c r="K305" s="653">
        <v>42736</v>
      </c>
      <c r="L305" s="654">
        <v>44551</v>
      </c>
      <c r="M305" s="646"/>
      <c r="N305" s="646"/>
      <c r="O305" s="646"/>
      <c r="P305" s="646"/>
      <c r="Q305" s="645"/>
      <c r="R305" s="646"/>
      <c r="S305" s="646"/>
      <c r="T305" s="646"/>
      <c r="U305" s="646"/>
      <c r="V305" s="646"/>
      <c r="W305" s="646"/>
      <c r="X305" s="646"/>
      <c r="Y305" s="646"/>
      <c r="Z305" s="646"/>
      <c r="AA305" s="646"/>
      <c r="AB305" s="646"/>
      <c r="AC305" s="646"/>
      <c r="AD305" s="646"/>
      <c r="AE305" s="646"/>
      <c r="AF305" s="646"/>
      <c r="AG305" s="646"/>
      <c r="AH305" s="646"/>
      <c r="AI305" s="646"/>
      <c r="AJ305" s="646"/>
      <c r="AK305" s="646"/>
      <c r="AL305" s="646"/>
      <c r="AM305" s="646"/>
      <c r="AN305" s="646"/>
      <c r="AO305" s="652"/>
      <c r="AP305" s="646"/>
      <c r="AQ305" s="646"/>
      <c r="AR305" s="648"/>
      <c r="AS305" s="646"/>
      <c r="AT305" s="646"/>
      <c r="AU305" s="646"/>
      <c r="AV305" s="646"/>
      <c r="AW305" s="646"/>
      <c r="AX305" s="643"/>
      <c r="AY305" s="652"/>
      <c r="AZ305" s="646"/>
      <c r="BA305" s="646"/>
      <c r="BB305" s="646"/>
      <c r="BC305" s="643"/>
      <c r="BD305" s="646"/>
      <c r="BE305" s="646"/>
      <c r="BF305" s="646"/>
      <c r="BG305" s="646"/>
      <c r="BH305" s="646"/>
      <c r="BI305" s="646"/>
      <c r="BJ305" s="646"/>
      <c r="BK305" s="646"/>
      <c r="BL305" s="646"/>
      <c r="BM305" s="643"/>
      <c r="BN305" s="647"/>
      <c r="BO305" s="648"/>
      <c r="BP305" s="643"/>
      <c r="BQ305" s="649" t="str">
        <f>IFERROR(WWWW[[#This Row],['#_Water sources treated]]/WWWW[[#This Row],['#_Water sources tested for contamination]],"no test")</f>
        <v>no test</v>
      </c>
      <c r="BR305" s="648" t="str">
        <f>IFERROR(WWWW[[#This Row],['#_Household received remediation action due to contamination]]/WWWW[[#This Row],['#_Household water samples tested for contamination]],"no test")</f>
        <v>no test</v>
      </c>
      <c r="BS305" s="647" t="str">
        <f>IF(AND(WWWW[[#This Row],[% of water sources treated]]="no test",WWWW[[#This Row],[% Household received corrective actions]]="no test"),"No Test","Tested")</f>
        <v>No Test</v>
      </c>
      <c r="BT305" s="647">
        <f>WWWW[[#This Row],['#_Constructed/existing protected hand dug well]]-WWWW[[#This Row],['#_Non-functional protected hand dug well]]</f>
        <v>0</v>
      </c>
      <c r="BU305" s="647">
        <f>(WWWW[[#This Row],['#_Constructed/Existing tube wells/boreholes/handpumps_WASH_agency]]+WWWW[[#This Row],['#_Non-Cluster partner water tube-wells/boreholes/handpumps]])-WWWW[[#This Row],['#_Non-functional tube wells/boreholes/handpumps]]</f>
        <v>0</v>
      </c>
      <c r="BV305" s="647">
        <f>WWWW[[#This Row],['#_Constructed/Existingwater storage tank with gravity fed reticulation system]]-WWWW[[#This Row],['#_Non-functional storage tank gravity fed reticulation system]]</f>
        <v>0</v>
      </c>
      <c r="BW305" s="647">
        <f>WWWW[[#This Row],['#_Water boating or water trucking]]</f>
        <v>0</v>
      </c>
      <c r="BX305" s="647">
        <f>WWWW[[#This Row],['#_Constructed/Existing water distribution system from river or natural spring]]</f>
        <v>0</v>
      </c>
      <c r="BY305"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05"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05" s="648">
        <f>IF(WWWW[[#This Row],[Location Type 1]]="Village",WWWW[[#This Row],[Access to safe drinking water for Village]],WWWW[[#This Row],[Access to safe drinking water for Camp]])</f>
        <v>0</v>
      </c>
      <c r="CB305" s="645">
        <f>WWWW[[#This Row],[%Equitable and continuous access to sufficient quantity of safe drinking water]]*WWWW[[#This Row],[Total PoP ]]</f>
        <v>0</v>
      </c>
      <c r="CC305" s="648">
        <f>IF((WWWW[[#This Row],['#_Constructed/Existing protected/fenced ponds]]*250)/WWWW[[#This Row],[Total PoP ]]&gt;1,1,(WWWW[[#This Row],['#_Constructed/Existing protected/fenced ponds]]*250)/WWWW[[#This Row],[Total PoP ]])</f>
        <v>0</v>
      </c>
      <c r="CD305" s="645">
        <f>WWWW[[#This Row],[% Access to unimproved water points]]*WWWW[[#This Row],[Total PoP ]]</f>
        <v>0</v>
      </c>
      <c r="CE305"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05"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05" s="645">
        <f>WWWW[[#This Row],[HRP1]]/500</f>
        <v>0</v>
      </c>
      <c r="CH305" s="650">
        <f>1-WWWW[[#This Row],[% Equitable and continuous access to sufficient quantity of domestic water]]</f>
        <v>1</v>
      </c>
      <c r="CI305" s="645">
        <f>WWWW[[#This Row],[%equitable and continuous access to sufficient quantity of safe drinking and domestic water''s GAP]]*WWWW[[#This Row],[Total PoP ]]</f>
        <v>170</v>
      </c>
      <c r="CJ305" s="647">
        <f>IF(WWWW[[#This Row],[Total required water points]]-WWWW[[#This Row],['#Water points coverage]]&lt;0,0,WWWW[[#This Row],[Total required water points]]-WWWW[[#This Row],['#Water points coverage]])</f>
        <v>1</v>
      </c>
      <c r="CK305" s="647">
        <f>ROUND(IF(WWWW[[#This Row],[Total PoP ]]&lt;500,1,WWWW[[#This Row],[Total PoP ]]/500),0)</f>
        <v>1</v>
      </c>
      <c r="CL305" s="647">
        <f>(WWWW[[#This Row],['#_Constructed latrines_by_WASHAgencies]]+WWWW[[#This Row],['#_Non Cluster partner latrines]])-WWWW[[#This Row],['#_Non-functional latrines]]</f>
        <v>0</v>
      </c>
      <c r="CM305"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05"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05"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05" s="647" t="str">
        <f>IF(WWWW[[#This Row],[Location Type 1]]="Village","NA",IF(WWWW[[#This Row],['#_Constructed/Existing latrines in TLS]]*50&gt;WWWW[[#This Row],['#_students at TLS_CFS]],WWWW[[#This Row],['#_students at TLS_CFS]],(WWWW[[#This Row],['#_Constructed/Existing latrines in TLS]]*50)))</f>
        <v>NA</v>
      </c>
      <c r="CQ305" s="647">
        <f>ROUND(IF(WWWW[[#This Row],[Location Type 1]]="camp",WWWW[[#This Row],[Total PoP ]]/20,IF(WWWW[[#This Row],[Location Type 1]]="Temporary Location",WWWW[[#This Row],[Total PoP ]]/50,(WWWW[[#This Row],[Total PoP ]]/6))),0)</f>
        <v>28</v>
      </c>
      <c r="CR305" s="647">
        <f>IF(WWWW[[#This Row],[Total required Latrines]]-(WWWW[[#This Row],['#_Constructed latrines_by_WASHAgencies]]+WWWW[[#This Row],['#_Non Cluster partner latrines]])&lt;0,0,WWWW[[#This Row],[Total required Latrines]]-(WWWW[[#This Row],['#_Constructed latrines_by_WASHAgencies]]+WWWW[[#This Row],['#_Non Cluster partner latrines]]))</f>
        <v>28</v>
      </c>
      <c r="CS305" s="79">
        <f>1-WWWW[[#This Row],[% people access to functioning Latrine]]</f>
        <v>1</v>
      </c>
      <c r="CT305" s="649">
        <f>IF(OR(WWWW[[#This Row],['#_Non-functional latrines]]="",WWWW[[#This Row],['#_Non-functional latrines]]=0),0,WWWW[[#This Row],['#_Non-functional latrines]]/(WWWW[[#This Row],['#_Constructed latrines_by_WASHAgencies]]+WWWW[[#This Row],['#_Non Cluster partner latrines]]))</f>
        <v>0</v>
      </c>
      <c r="CU305" s="645">
        <f>IF(500*(WWWW[[#This Row],['#_male hygiene promoters]]+WWWW[[#This Row],['#_female hygiene promoters]])&gt;WWWW[[#This Row],[Total PoP ]],WWWW[[#This Row],[Total PoP ]],500*(WWWW[[#This Row],['#_male hygiene promoters]]+WWWW[[#This Row],['#_female hygiene promoters]]))</f>
        <v>0</v>
      </c>
      <c r="CV305"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05"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05" s="647">
        <f>IF(WWWW[[#This Row],['# People with access to soap]]&gt;WWWW[[#This Row],['# People with access to Sanity Pads]],WWWW[[#This Row],['# People with access to soap]],WWWW[[#This Row],['# People with access to Sanity Pads]])</f>
        <v>0</v>
      </c>
      <c r="CY305"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05" s="650">
        <f>IF(WWWW[[#This Row],[HRP3]]/WWWW[[#This Row],[Total PoP ]]&gt;100%,100%,WWWW[[#This Row],[HRP3]]/WWWW[[#This Row],[Total PoP ]])</f>
        <v>0</v>
      </c>
      <c r="DA305" s="649">
        <f>1-WWWW[[#This Row],[Hygiene Coverage%]]</f>
        <v>1</v>
      </c>
      <c r="DB305" s="648">
        <f>WWWW[[#This Row],['# people reached by regular dedicated hygiene promotion_5]]/WWWW[[#This Row],[Total PoP ]]</f>
        <v>0</v>
      </c>
      <c r="DC305" s="648">
        <f>IF(WWWW[[#This Row],['#_households that received standard amount of soap for this quarter]]/WWWW[[#This Row],[Total HH]]&gt;1,1,WWWW[[#This Row],['#_households that received standard amount of soap for this quarter]]/WWWW[[#This Row],[Total HH]])</f>
        <v>0</v>
      </c>
      <c r="DD305" s="648">
        <f>IF(WWWW[[#This Row],['#_households that received standard amount of sanitary pads for this quarter]]/WWWW[[#This Row],[Total HH]]&gt;1,1,WWWW[[#This Row],['#_households that received standard amount of sanitary pads for this quarter]]/WWWW[[#This Row],[Total HH]])</f>
        <v>0</v>
      </c>
      <c r="DE305" s="647">
        <f>WWWW[[#This Row],['#_Constructed/Existing hand washing stations]]-WWWW[[#This Row],['#_Non-Functional_hand_washing_stations]]</f>
        <v>0</v>
      </c>
      <c r="DF305" s="667">
        <f>IF(WWWW[[#This Row],['# Functional hand washing stations during reporting period]]*20&gt;WWWW[[#This Row],[Total HH]],WWWW[[#This Row],[Total HH]],WWWW[[#This Row],['# Functional hand washing stations during reporting period]]*20)</f>
        <v>0</v>
      </c>
      <c r="DG305" s="645">
        <f>IF(WWWW[[#This Row],[Is sufficient soap available for TLS? (Yes/No)]]="yes",WWWW[[#This Row],['#_Constructed/Existing hand washing stations at TLS]],0)</f>
        <v>0</v>
      </c>
      <c r="DH305" s="645">
        <f>IF(WWWW[[#This Row],['# Functional hand washing stations during reporting period]]*100&gt;WWWW[[#This Row],[Total PoP ]],WWWW[[#This Row],[Total PoP ]],WWWW[[#This Row],['# Functional hand washing stations during reporting period]]*100)</f>
        <v>0</v>
      </c>
      <c r="DI305" s="645" t="str">
        <f>IF(WWWW[[#This Row],['#_students at TLS_CFS]]="","No","Yes")</f>
        <v>No</v>
      </c>
      <c r="DJ305" s="643">
        <f>VLOOKUP(WWWW[[#This Row],[Site Name]],SiteDB6[[Site Name]:[CCCM Management]],6,FALSE)</f>
        <v>0</v>
      </c>
      <c r="DK305" s="643">
        <f>VLOOKUP(WWWW[[#This Row],[Site Name]],SiteDB6[[Site Name]:[CCCM Focal Agency]],7,FALSE)</f>
        <v>0</v>
      </c>
      <c r="DL305" s="643" t="str">
        <f>VLOOKUP(WWWW[[#This Row],[Site Name]],SiteDB6[[Site Name]:[Location Type 1]],9,FALSE)</f>
        <v>Village</v>
      </c>
      <c r="DM305" s="643" t="str">
        <f>VLOOKUP(WWWW[[#This Row],[Site Name]],SiteDB6[[Site Name]:[Type of Accommodation]],10,FALSE)</f>
        <v>Village</v>
      </c>
      <c r="DN305" s="643" t="str">
        <f>VLOOKUP(WWWW[[#This Row],[Site Name]],SiteDB6[[Site Name]:[Ethnic or GCA/NGCA]],11,FALSE)</f>
        <v>Rakhine</v>
      </c>
      <c r="DO305" s="643">
        <f>VLOOKUP(WWWW[[#This Row],[Site Name]],SiteDB6[[Site Name]:[Lat]],12,FALSE)</f>
        <v>20.396680830000001</v>
      </c>
      <c r="DP305" s="643">
        <f>VLOOKUP(WWWW[[#This Row],[Site Name]],SiteDB6[[Site Name]:[Long]],13,FALSE)</f>
        <v>93.252868649999996</v>
      </c>
      <c r="DQ305" s="643">
        <f>VLOOKUP(WWWW[[#This Row],[Site Name]],SiteDB6[[Site Name]:[Pcode]],3,FALSE)</f>
        <v>196998</v>
      </c>
      <c r="DR305" s="652" t="str">
        <f t="shared" si="10"/>
        <v>Covered</v>
      </c>
      <c r="DS305" s="652"/>
    </row>
    <row r="306" spans="1:123">
      <c r="A306" s="637" t="s">
        <v>2525</v>
      </c>
      <c r="B306" s="637" t="s">
        <v>332</v>
      </c>
      <c r="C306" s="644" t="s">
        <v>332</v>
      </c>
      <c r="D306" s="644" t="s">
        <v>345</v>
      </c>
      <c r="E306" s="663" t="s">
        <v>3014</v>
      </c>
      <c r="F306" s="644" t="s">
        <v>330</v>
      </c>
      <c r="G306" s="663" t="str">
        <f>VLOOKUP(WWWW[[#This Row],[Site Name]],SiteDB6[[Site Name]:[Location Type]],8,FALSE)</f>
        <v>Village</v>
      </c>
      <c r="H306" s="644" t="s">
        <v>2927</v>
      </c>
      <c r="I306" s="646">
        <v>180</v>
      </c>
      <c r="J306" s="646">
        <v>964</v>
      </c>
      <c r="K306" s="653">
        <v>42736</v>
      </c>
      <c r="L306" s="654">
        <v>44551</v>
      </c>
      <c r="M306" s="646"/>
      <c r="N306" s="646"/>
      <c r="O306" s="646"/>
      <c r="P306" s="646"/>
      <c r="Q306" s="645"/>
      <c r="R306" s="646"/>
      <c r="S306" s="646"/>
      <c r="T306" s="646"/>
      <c r="U306" s="646"/>
      <c r="V306" s="646"/>
      <c r="W306" s="646"/>
      <c r="X306" s="646"/>
      <c r="Y306" s="646"/>
      <c r="Z306" s="646"/>
      <c r="AA306" s="646"/>
      <c r="AB306" s="646"/>
      <c r="AC306" s="646"/>
      <c r="AD306" s="646"/>
      <c r="AE306" s="646"/>
      <c r="AF306" s="646"/>
      <c r="AG306" s="646"/>
      <c r="AH306" s="646"/>
      <c r="AI306" s="646"/>
      <c r="AJ306" s="646"/>
      <c r="AK306" s="646"/>
      <c r="AL306" s="646"/>
      <c r="AM306" s="646"/>
      <c r="AN306" s="646"/>
      <c r="AO306" s="652"/>
      <c r="AP306" s="646"/>
      <c r="AQ306" s="646"/>
      <c r="AR306" s="648"/>
      <c r="AS306" s="646"/>
      <c r="AT306" s="646"/>
      <c r="AU306" s="646"/>
      <c r="AV306" s="646"/>
      <c r="AW306" s="646"/>
      <c r="AX306" s="643"/>
      <c r="AY306" s="652"/>
      <c r="AZ306" s="646"/>
      <c r="BA306" s="646"/>
      <c r="BB306" s="646"/>
      <c r="BC306" s="643"/>
      <c r="BD306" s="646"/>
      <c r="BE306" s="646"/>
      <c r="BF306" s="646"/>
      <c r="BG306" s="646"/>
      <c r="BH306" s="646"/>
      <c r="BI306" s="646"/>
      <c r="BJ306" s="646"/>
      <c r="BK306" s="646"/>
      <c r="BL306" s="646"/>
      <c r="BM306" s="643"/>
      <c r="BN306" s="647"/>
      <c r="BO306" s="648"/>
      <c r="BP306" s="643"/>
      <c r="BQ306" s="649" t="str">
        <f>IFERROR(WWWW[[#This Row],['#_Water sources treated]]/WWWW[[#This Row],['#_Water sources tested for contamination]],"no test")</f>
        <v>no test</v>
      </c>
      <c r="BR306" s="648" t="str">
        <f>IFERROR(WWWW[[#This Row],['#_Household received remediation action due to contamination]]/WWWW[[#This Row],['#_Household water samples tested for contamination]],"no test")</f>
        <v>no test</v>
      </c>
      <c r="BS306" s="647" t="str">
        <f>IF(AND(WWWW[[#This Row],[% of water sources treated]]="no test",WWWW[[#This Row],[% Household received corrective actions]]="no test"),"No Test","Tested")</f>
        <v>No Test</v>
      </c>
      <c r="BT306" s="647">
        <f>WWWW[[#This Row],['#_Constructed/existing protected hand dug well]]-WWWW[[#This Row],['#_Non-functional protected hand dug well]]</f>
        <v>0</v>
      </c>
      <c r="BU306" s="647">
        <f>(WWWW[[#This Row],['#_Constructed/Existing tube wells/boreholes/handpumps_WASH_agency]]+WWWW[[#This Row],['#_Non-Cluster partner water tube-wells/boreholes/handpumps]])-WWWW[[#This Row],['#_Non-functional tube wells/boreholes/handpumps]]</f>
        <v>0</v>
      </c>
      <c r="BV306" s="647">
        <f>WWWW[[#This Row],['#_Constructed/Existingwater storage tank with gravity fed reticulation system]]-WWWW[[#This Row],['#_Non-functional storage tank gravity fed reticulation system]]</f>
        <v>0</v>
      </c>
      <c r="BW306" s="647">
        <f>WWWW[[#This Row],['#_Water boating or water trucking]]</f>
        <v>0</v>
      </c>
      <c r="BX306" s="647">
        <f>WWWW[[#This Row],['#_Constructed/Existing water distribution system from river or natural spring]]</f>
        <v>0</v>
      </c>
      <c r="BY306"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06"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06" s="648">
        <f>IF(WWWW[[#This Row],[Location Type 1]]="Village",WWWW[[#This Row],[Access to safe drinking water for Village]],WWWW[[#This Row],[Access to safe drinking water for Camp]])</f>
        <v>0</v>
      </c>
      <c r="CB306" s="645">
        <f>WWWW[[#This Row],[%Equitable and continuous access to sufficient quantity of safe drinking water]]*WWWW[[#This Row],[Total PoP ]]</f>
        <v>0</v>
      </c>
      <c r="CC306" s="648">
        <f>IF((WWWW[[#This Row],['#_Constructed/Existing protected/fenced ponds]]*250)/WWWW[[#This Row],[Total PoP ]]&gt;1,1,(WWWW[[#This Row],['#_Constructed/Existing protected/fenced ponds]]*250)/WWWW[[#This Row],[Total PoP ]])</f>
        <v>0</v>
      </c>
      <c r="CD306" s="645">
        <f>WWWW[[#This Row],[% Access to unimproved water points]]*WWWW[[#This Row],[Total PoP ]]</f>
        <v>0</v>
      </c>
      <c r="CE306"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06"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06" s="645">
        <f>WWWW[[#This Row],[HRP1]]/500</f>
        <v>0</v>
      </c>
      <c r="CH306" s="650">
        <f>1-WWWW[[#This Row],[% Equitable and continuous access to sufficient quantity of domestic water]]</f>
        <v>1</v>
      </c>
      <c r="CI306" s="645">
        <f>WWWW[[#This Row],[%equitable and continuous access to sufficient quantity of safe drinking and domestic water''s GAP]]*WWWW[[#This Row],[Total PoP ]]</f>
        <v>964</v>
      </c>
      <c r="CJ306" s="647">
        <f>IF(WWWW[[#This Row],[Total required water points]]-WWWW[[#This Row],['#Water points coverage]]&lt;0,0,WWWW[[#This Row],[Total required water points]]-WWWW[[#This Row],['#Water points coverage]])</f>
        <v>2</v>
      </c>
      <c r="CK306" s="647">
        <f>ROUND(IF(WWWW[[#This Row],[Total PoP ]]&lt;500,1,WWWW[[#This Row],[Total PoP ]]/500),0)</f>
        <v>2</v>
      </c>
      <c r="CL306" s="647">
        <f>(WWWW[[#This Row],['#_Constructed latrines_by_WASHAgencies]]+WWWW[[#This Row],['#_Non Cluster partner latrines]])-WWWW[[#This Row],['#_Non-functional latrines]]</f>
        <v>0</v>
      </c>
      <c r="CM306"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06"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06"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06" s="647" t="str">
        <f>IF(WWWW[[#This Row],[Location Type 1]]="Village","NA",IF(WWWW[[#This Row],['#_Constructed/Existing latrines in TLS]]*50&gt;WWWW[[#This Row],['#_students at TLS_CFS]],WWWW[[#This Row],['#_students at TLS_CFS]],(WWWW[[#This Row],['#_Constructed/Existing latrines in TLS]]*50)))</f>
        <v>NA</v>
      </c>
      <c r="CQ306" s="647">
        <f>ROUND(IF(WWWW[[#This Row],[Location Type 1]]="camp",WWWW[[#This Row],[Total PoP ]]/20,IF(WWWW[[#This Row],[Location Type 1]]="Temporary Location",WWWW[[#This Row],[Total PoP ]]/50,(WWWW[[#This Row],[Total PoP ]]/6))),0)</f>
        <v>161</v>
      </c>
      <c r="CR306" s="647">
        <f>IF(WWWW[[#This Row],[Total required Latrines]]-(WWWW[[#This Row],['#_Constructed latrines_by_WASHAgencies]]+WWWW[[#This Row],['#_Non Cluster partner latrines]])&lt;0,0,WWWW[[#This Row],[Total required Latrines]]-(WWWW[[#This Row],['#_Constructed latrines_by_WASHAgencies]]+WWWW[[#This Row],['#_Non Cluster partner latrines]]))</f>
        <v>161</v>
      </c>
      <c r="CS306" s="79">
        <f>1-WWWW[[#This Row],[% people access to functioning Latrine]]</f>
        <v>1</v>
      </c>
      <c r="CT306" s="649">
        <f>IF(OR(WWWW[[#This Row],['#_Non-functional latrines]]="",WWWW[[#This Row],['#_Non-functional latrines]]=0),0,WWWW[[#This Row],['#_Non-functional latrines]]/(WWWW[[#This Row],['#_Constructed latrines_by_WASHAgencies]]+WWWW[[#This Row],['#_Non Cluster partner latrines]]))</f>
        <v>0</v>
      </c>
      <c r="CU306" s="645">
        <f>IF(500*(WWWW[[#This Row],['#_male hygiene promoters]]+WWWW[[#This Row],['#_female hygiene promoters]])&gt;WWWW[[#This Row],[Total PoP ]],WWWW[[#This Row],[Total PoP ]],500*(WWWW[[#This Row],['#_male hygiene promoters]]+WWWW[[#This Row],['#_female hygiene promoters]]))</f>
        <v>0</v>
      </c>
      <c r="CV306"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06"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06" s="647">
        <f>IF(WWWW[[#This Row],['# People with access to soap]]&gt;WWWW[[#This Row],['# People with access to Sanity Pads]],WWWW[[#This Row],['# People with access to soap]],WWWW[[#This Row],['# People with access to Sanity Pads]])</f>
        <v>0</v>
      </c>
      <c r="CY306"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06" s="650">
        <f>IF(WWWW[[#This Row],[HRP3]]/WWWW[[#This Row],[Total PoP ]]&gt;100%,100%,WWWW[[#This Row],[HRP3]]/WWWW[[#This Row],[Total PoP ]])</f>
        <v>0</v>
      </c>
      <c r="DA306" s="649">
        <f>1-WWWW[[#This Row],[Hygiene Coverage%]]</f>
        <v>1</v>
      </c>
      <c r="DB306" s="648">
        <f>WWWW[[#This Row],['# people reached by regular dedicated hygiene promotion_5]]/WWWW[[#This Row],[Total PoP ]]</f>
        <v>0</v>
      </c>
      <c r="DC306" s="648">
        <f>IF(WWWW[[#This Row],['#_households that received standard amount of soap for this quarter]]/WWWW[[#This Row],[Total HH]]&gt;1,1,WWWW[[#This Row],['#_households that received standard amount of soap for this quarter]]/WWWW[[#This Row],[Total HH]])</f>
        <v>0</v>
      </c>
      <c r="DD306" s="648">
        <f>IF(WWWW[[#This Row],['#_households that received standard amount of sanitary pads for this quarter]]/WWWW[[#This Row],[Total HH]]&gt;1,1,WWWW[[#This Row],['#_households that received standard amount of sanitary pads for this quarter]]/WWWW[[#This Row],[Total HH]])</f>
        <v>0</v>
      </c>
      <c r="DE306" s="647">
        <f>WWWW[[#This Row],['#_Constructed/Existing hand washing stations]]-WWWW[[#This Row],['#_Non-Functional_hand_washing_stations]]</f>
        <v>0</v>
      </c>
      <c r="DF306" s="667">
        <f>IF(WWWW[[#This Row],['# Functional hand washing stations during reporting period]]*20&gt;WWWW[[#This Row],[Total HH]],WWWW[[#This Row],[Total HH]],WWWW[[#This Row],['# Functional hand washing stations during reporting period]]*20)</f>
        <v>0</v>
      </c>
      <c r="DG306" s="645">
        <f>IF(WWWW[[#This Row],[Is sufficient soap available for TLS? (Yes/No)]]="yes",WWWW[[#This Row],['#_Constructed/Existing hand washing stations at TLS]],0)</f>
        <v>0</v>
      </c>
      <c r="DH306" s="645">
        <f>IF(WWWW[[#This Row],['# Functional hand washing stations during reporting period]]*100&gt;WWWW[[#This Row],[Total PoP ]],WWWW[[#This Row],[Total PoP ]],WWWW[[#This Row],['# Functional hand washing stations during reporting period]]*100)</f>
        <v>0</v>
      </c>
      <c r="DI306" s="645" t="str">
        <f>IF(WWWW[[#This Row],['#_students at TLS_CFS]]="","No","Yes")</f>
        <v>No</v>
      </c>
      <c r="DJ306" s="643">
        <f>VLOOKUP(WWWW[[#This Row],[Site Name]],SiteDB6[[Site Name]:[CCCM Management]],6,FALSE)</f>
        <v>0</v>
      </c>
      <c r="DK306" s="643">
        <f>VLOOKUP(WWWW[[#This Row],[Site Name]],SiteDB6[[Site Name]:[CCCM Focal Agency]],7,FALSE)</f>
        <v>0</v>
      </c>
      <c r="DL306" s="643" t="str">
        <f>VLOOKUP(WWWW[[#This Row],[Site Name]],SiteDB6[[Site Name]:[Location Type 1]],9,FALSE)</f>
        <v>Village</v>
      </c>
      <c r="DM306" s="643" t="str">
        <f>VLOOKUP(WWWW[[#This Row],[Site Name]],SiteDB6[[Site Name]:[Type of Accommodation]],10,FALSE)</f>
        <v>Village</v>
      </c>
      <c r="DN306" s="643">
        <f>VLOOKUP(WWWW[[#This Row],[Site Name]],SiteDB6[[Site Name]:[Ethnic or GCA/NGCA]],11,FALSE)</f>
        <v>0</v>
      </c>
      <c r="DO306" s="643">
        <f>VLOOKUP(WWWW[[#This Row],[Site Name]],SiteDB6[[Site Name]:[Lat]],12,FALSE)</f>
        <v>0</v>
      </c>
      <c r="DP306" s="643">
        <f>VLOOKUP(WWWW[[#This Row],[Site Name]],SiteDB6[[Site Name]:[Long]],13,FALSE)</f>
        <v>0</v>
      </c>
      <c r="DQ306" s="643">
        <f>VLOOKUP(WWWW[[#This Row],[Site Name]],SiteDB6[[Site Name]:[Pcode]],3,FALSE)</f>
        <v>197114</v>
      </c>
      <c r="DR306" s="652" t="str">
        <f t="shared" si="10"/>
        <v>Covered</v>
      </c>
      <c r="DS306" s="652"/>
    </row>
    <row r="307" spans="1:123">
      <c r="A307" s="637" t="s">
        <v>2525</v>
      </c>
      <c r="B307" s="637" t="s">
        <v>332</v>
      </c>
      <c r="C307" s="644" t="s">
        <v>332</v>
      </c>
      <c r="D307" s="644" t="s">
        <v>345</v>
      </c>
      <c r="E307" s="663" t="s">
        <v>3014</v>
      </c>
      <c r="F307" s="644" t="s">
        <v>330</v>
      </c>
      <c r="G307" s="663" t="str">
        <f>VLOOKUP(WWWW[[#This Row],[Site Name]],SiteDB6[[Site Name]:[Location Type]],8,FALSE)</f>
        <v>Village</v>
      </c>
      <c r="H307" s="644" t="s">
        <v>2928</v>
      </c>
      <c r="I307" s="646">
        <v>130</v>
      </c>
      <c r="J307" s="646">
        <v>398</v>
      </c>
      <c r="K307" s="653">
        <v>42736</v>
      </c>
      <c r="L307" s="654">
        <v>44551</v>
      </c>
      <c r="M307" s="646"/>
      <c r="N307" s="646"/>
      <c r="O307" s="646"/>
      <c r="P307" s="646"/>
      <c r="Q307" s="645"/>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52"/>
      <c r="AP307" s="646"/>
      <c r="AQ307" s="646"/>
      <c r="AR307" s="648"/>
      <c r="AS307" s="646"/>
      <c r="AT307" s="646"/>
      <c r="AU307" s="646"/>
      <c r="AV307" s="646"/>
      <c r="AW307" s="646"/>
      <c r="AX307" s="643"/>
      <c r="AY307" s="652"/>
      <c r="AZ307" s="646"/>
      <c r="BA307" s="646"/>
      <c r="BB307" s="646"/>
      <c r="BC307" s="643"/>
      <c r="BD307" s="646"/>
      <c r="BE307" s="646"/>
      <c r="BF307" s="646"/>
      <c r="BG307" s="646"/>
      <c r="BH307" s="646"/>
      <c r="BI307" s="646"/>
      <c r="BJ307" s="646"/>
      <c r="BK307" s="646"/>
      <c r="BL307" s="646"/>
      <c r="BM307" s="643"/>
      <c r="BN307" s="647"/>
      <c r="BO307" s="648"/>
      <c r="BP307" s="643"/>
      <c r="BQ307" s="649" t="str">
        <f>IFERROR(WWWW[[#This Row],['#_Water sources treated]]/WWWW[[#This Row],['#_Water sources tested for contamination]],"no test")</f>
        <v>no test</v>
      </c>
      <c r="BR307" s="648" t="str">
        <f>IFERROR(WWWW[[#This Row],['#_Household received remediation action due to contamination]]/WWWW[[#This Row],['#_Household water samples tested for contamination]],"no test")</f>
        <v>no test</v>
      </c>
      <c r="BS307" s="647" t="str">
        <f>IF(AND(WWWW[[#This Row],[% of water sources treated]]="no test",WWWW[[#This Row],[% Household received corrective actions]]="no test"),"No Test","Tested")</f>
        <v>No Test</v>
      </c>
      <c r="BT307" s="647">
        <f>WWWW[[#This Row],['#_Constructed/existing protected hand dug well]]-WWWW[[#This Row],['#_Non-functional protected hand dug well]]</f>
        <v>0</v>
      </c>
      <c r="BU307" s="647">
        <f>(WWWW[[#This Row],['#_Constructed/Existing tube wells/boreholes/handpumps_WASH_agency]]+WWWW[[#This Row],['#_Non-Cluster partner water tube-wells/boreholes/handpumps]])-WWWW[[#This Row],['#_Non-functional tube wells/boreholes/handpumps]]</f>
        <v>0</v>
      </c>
      <c r="BV307" s="647">
        <f>WWWW[[#This Row],['#_Constructed/Existingwater storage tank with gravity fed reticulation system]]-WWWW[[#This Row],['#_Non-functional storage tank gravity fed reticulation system]]</f>
        <v>0</v>
      </c>
      <c r="BW307" s="647">
        <f>WWWW[[#This Row],['#_Water boating or water trucking]]</f>
        <v>0</v>
      </c>
      <c r="BX307" s="647">
        <f>WWWW[[#This Row],['#_Constructed/Existing water distribution system from river or natural spring]]</f>
        <v>0</v>
      </c>
      <c r="BY307"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07"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07" s="648">
        <f>IF(WWWW[[#This Row],[Location Type 1]]="Village",WWWW[[#This Row],[Access to safe drinking water for Village]],WWWW[[#This Row],[Access to safe drinking water for Camp]])</f>
        <v>0</v>
      </c>
      <c r="CB307" s="645">
        <f>WWWW[[#This Row],[%Equitable and continuous access to sufficient quantity of safe drinking water]]*WWWW[[#This Row],[Total PoP ]]</f>
        <v>0</v>
      </c>
      <c r="CC307" s="648">
        <f>IF((WWWW[[#This Row],['#_Constructed/Existing protected/fenced ponds]]*250)/WWWW[[#This Row],[Total PoP ]]&gt;1,1,(WWWW[[#This Row],['#_Constructed/Existing protected/fenced ponds]]*250)/WWWW[[#This Row],[Total PoP ]])</f>
        <v>0</v>
      </c>
      <c r="CD307" s="645">
        <f>WWWW[[#This Row],[% Access to unimproved water points]]*WWWW[[#This Row],[Total PoP ]]</f>
        <v>0</v>
      </c>
      <c r="CE307"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07"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07" s="645">
        <f>WWWW[[#This Row],[HRP1]]/500</f>
        <v>0</v>
      </c>
      <c r="CH307" s="650">
        <f>1-WWWW[[#This Row],[% Equitable and continuous access to sufficient quantity of domestic water]]</f>
        <v>1</v>
      </c>
      <c r="CI307" s="645">
        <f>WWWW[[#This Row],[%equitable and continuous access to sufficient quantity of safe drinking and domestic water''s GAP]]*WWWW[[#This Row],[Total PoP ]]</f>
        <v>398</v>
      </c>
      <c r="CJ307" s="647">
        <f>IF(WWWW[[#This Row],[Total required water points]]-WWWW[[#This Row],['#Water points coverage]]&lt;0,0,WWWW[[#This Row],[Total required water points]]-WWWW[[#This Row],['#Water points coverage]])</f>
        <v>1</v>
      </c>
      <c r="CK307" s="647">
        <f>ROUND(IF(WWWW[[#This Row],[Total PoP ]]&lt;500,1,WWWW[[#This Row],[Total PoP ]]/500),0)</f>
        <v>1</v>
      </c>
      <c r="CL307" s="647">
        <f>(WWWW[[#This Row],['#_Constructed latrines_by_WASHAgencies]]+WWWW[[#This Row],['#_Non Cluster partner latrines]])-WWWW[[#This Row],['#_Non-functional latrines]]</f>
        <v>0</v>
      </c>
      <c r="CM307"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07"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07"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07" s="647" t="str">
        <f>IF(WWWW[[#This Row],[Location Type 1]]="Village","NA",IF(WWWW[[#This Row],['#_Constructed/Existing latrines in TLS]]*50&gt;WWWW[[#This Row],['#_students at TLS_CFS]],WWWW[[#This Row],['#_students at TLS_CFS]],(WWWW[[#This Row],['#_Constructed/Existing latrines in TLS]]*50)))</f>
        <v>NA</v>
      </c>
      <c r="CQ307" s="647">
        <f>ROUND(IF(WWWW[[#This Row],[Location Type 1]]="camp",WWWW[[#This Row],[Total PoP ]]/20,IF(WWWW[[#This Row],[Location Type 1]]="Temporary Location",WWWW[[#This Row],[Total PoP ]]/50,(WWWW[[#This Row],[Total PoP ]]/6))),0)</f>
        <v>66</v>
      </c>
      <c r="CR307" s="647">
        <f>IF(WWWW[[#This Row],[Total required Latrines]]-(WWWW[[#This Row],['#_Constructed latrines_by_WASHAgencies]]+WWWW[[#This Row],['#_Non Cluster partner latrines]])&lt;0,0,WWWW[[#This Row],[Total required Latrines]]-(WWWW[[#This Row],['#_Constructed latrines_by_WASHAgencies]]+WWWW[[#This Row],['#_Non Cluster partner latrines]]))</f>
        <v>66</v>
      </c>
      <c r="CS307" s="79">
        <f>1-WWWW[[#This Row],[% people access to functioning Latrine]]</f>
        <v>1</v>
      </c>
      <c r="CT307" s="649">
        <f>IF(OR(WWWW[[#This Row],['#_Non-functional latrines]]="",WWWW[[#This Row],['#_Non-functional latrines]]=0),0,WWWW[[#This Row],['#_Non-functional latrines]]/(WWWW[[#This Row],['#_Constructed latrines_by_WASHAgencies]]+WWWW[[#This Row],['#_Non Cluster partner latrines]]))</f>
        <v>0</v>
      </c>
      <c r="CU307" s="645">
        <f>IF(500*(WWWW[[#This Row],['#_male hygiene promoters]]+WWWW[[#This Row],['#_female hygiene promoters]])&gt;WWWW[[#This Row],[Total PoP ]],WWWW[[#This Row],[Total PoP ]],500*(WWWW[[#This Row],['#_male hygiene promoters]]+WWWW[[#This Row],['#_female hygiene promoters]]))</f>
        <v>0</v>
      </c>
      <c r="CV307"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07"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07" s="647">
        <f>IF(WWWW[[#This Row],['# People with access to soap]]&gt;WWWW[[#This Row],['# People with access to Sanity Pads]],WWWW[[#This Row],['# People with access to soap]],WWWW[[#This Row],['# People with access to Sanity Pads]])</f>
        <v>0</v>
      </c>
      <c r="CY307"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07" s="650">
        <f>IF(WWWW[[#This Row],[HRP3]]/WWWW[[#This Row],[Total PoP ]]&gt;100%,100%,WWWW[[#This Row],[HRP3]]/WWWW[[#This Row],[Total PoP ]])</f>
        <v>0</v>
      </c>
      <c r="DA307" s="649">
        <f>1-WWWW[[#This Row],[Hygiene Coverage%]]</f>
        <v>1</v>
      </c>
      <c r="DB307" s="648">
        <f>WWWW[[#This Row],['# people reached by regular dedicated hygiene promotion_5]]/WWWW[[#This Row],[Total PoP ]]</f>
        <v>0</v>
      </c>
      <c r="DC307" s="648">
        <f>IF(WWWW[[#This Row],['#_households that received standard amount of soap for this quarter]]/WWWW[[#This Row],[Total HH]]&gt;1,1,WWWW[[#This Row],['#_households that received standard amount of soap for this quarter]]/WWWW[[#This Row],[Total HH]])</f>
        <v>0</v>
      </c>
      <c r="DD307" s="648">
        <f>IF(WWWW[[#This Row],['#_households that received standard amount of sanitary pads for this quarter]]/WWWW[[#This Row],[Total HH]]&gt;1,1,WWWW[[#This Row],['#_households that received standard amount of sanitary pads for this quarter]]/WWWW[[#This Row],[Total HH]])</f>
        <v>0</v>
      </c>
      <c r="DE307" s="647">
        <f>WWWW[[#This Row],['#_Constructed/Existing hand washing stations]]-WWWW[[#This Row],['#_Non-Functional_hand_washing_stations]]</f>
        <v>0</v>
      </c>
      <c r="DF307" s="667">
        <f>IF(WWWW[[#This Row],['# Functional hand washing stations during reporting period]]*20&gt;WWWW[[#This Row],[Total HH]],WWWW[[#This Row],[Total HH]],WWWW[[#This Row],['# Functional hand washing stations during reporting period]]*20)</f>
        <v>0</v>
      </c>
      <c r="DG307" s="645">
        <f>IF(WWWW[[#This Row],[Is sufficient soap available for TLS? (Yes/No)]]="yes",WWWW[[#This Row],['#_Constructed/Existing hand washing stations at TLS]],0)</f>
        <v>0</v>
      </c>
      <c r="DH307" s="645">
        <f>IF(WWWW[[#This Row],['# Functional hand washing stations during reporting period]]*100&gt;WWWW[[#This Row],[Total PoP ]],WWWW[[#This Row],[Total PoP ]],WWWW[[#This Row],['# Functional hand washing stations during reporting period]]*100)</f>
        <v>0</v>
      </c>
      <c r="DI307" s="645" t="str">
        <f>IF(WWWW[[#This Row],['#_students at TLS_CFS]]="","No","Yes")</f>
        <v>No</v>
      </c>
      <c r="DJ307" s="643">
        <f>VLOOKUP(WWWW[[#This Row],[Site Name]],SiteDB6[[Site Name]:[CCCM Management]],6,FALSE)</f>
        <v>0</v>
      </c>
      <c r="DK307" s="643">
        <f>VLOOKUP(WWWW[[#This Row],[Site Name]],SiteDB6[[Site Name]:[CCCM Focal Agency]],7,FALSE)</f>
        <v>0</v>
      </c>
      <c r="DL307" s="643" t="str">
        <f>VLOOKUP(WWWW[[#This Row],[Site Name]],SiteDB6[[Site Name]:[Location Type 1]],9,FALSE)</f>
        <v>Village</v>
      </c>
      <c r="DM307" s="643" t="str">
        <f>VLOOKUP(WWWW[[#This Row],[Site Name]],SiteDB6[[Site Name]:[Type of Accommodation]],10,FALSE)</f>
        <v>Village</v>
      </c>
      <c r="DN307" s="643">
        <f>VLOOKUP(WWWW[[#This Row],[Site Name]],SiteDB6[[Site Name]:[Ethnic or GCA/NGCA]],11,FALSE)</f>
        <v>0</v>
      </c>
      <c r="DO307" s="643">
        <f>VLOOKUP(WWWW[[#This Row],[Site Name]],SiteDB6[[Site Name]:[Lat]],12,FALSE)</f>
        <v>0</v>
      </c>
      <c r="DP307" s="643">
        <f>VLOOKUP(WWWW[[#This Row],[Site Name]],SiteDB6[[Site Name]:[Long]],13,FALSE)</f>
        <v>0</v>
      </c>
      <c r="DQ307" s="643">
        <f>VLOOKUP(WWWW[[#This Row],[Site Name]],SiteDB6[[Site Name]:[Pcode]],3,FALSE)</f>
        <v>197111</v>
      </c>
      <c r="DR307" s="652" t="str">
        <f t="shared" si="10"/>
        <v>Covered</v>
      </c>
      <c r="DS307" s="652"/>
    </row>
    <row r="308" spans="1:123">
      <c r="A308" s="637" t="s">
        <v>2525</v>
      </c>
      <c r="B308" s="637" t="s">
        <v>332</v>
      </c>
      <c r="C308" s="644" t="s">
        <v>332</v>
      </c>
      <c r="D308" s="644" t="s">
        <v>345</v>
      </c>
      <c r="E308" s="663" t="s">
        <v>3014</v>
      </c>
      <c r="F308" s="644" t="s">
        <v>330</v>
      </c>
      <c r="G308" s="663" t="str">
        <f>VLOOKUP(WWWW[[#This Row],[Site Name]],SiteDB6[[Site Name]:[Location Type]],8,FALSE)</f>
        <v>Village</v>
      </c>
      <c r="H308" s="644" t="s">
        <v>2929</v>
      </c>
      <c r="I308" s="646">
        <v>191</v>
      </c>
      <c r="J308" s="646">
        <v>713</v>
      </c>
      <c r="K308" s="653">
        <v>42736</v>
      </c>
      <c r="L308" s="654">
        <v>44551</v>
      </c>
      <c r="M308" s="646"/>
      <c r="N308" s="646"/>
      <c r="O308" s="646"/>
      <c r="P308" s="646"/>
      <c r="Q308" s="645"/>
      <c r="R308" s="646"/>
      <c r="S308" s="646"/>
      <c r="T308" s="646"/>
      <c r="U308" s="646"/>
      <c r="V308" s="646"/>
      <c r="W308" s="646"/>
      <c r="X308" s="646"/>
      <c r="Y308" s="646"/>
      <c r="Z308" s="646"/>
      <c r="AA308" s="646"/>
      <c r="AB308" s="646"/>
      <c r="AC308" s="646"/>
      <c r="AD308" s="646"/>
      <c r="AE308" s="646"/>
      <c r="AF308" s="646"/>
      <c r="AG308" s="646"/>
      <c r="AH308" s="646"/>
      <c r="AI308" s="646"/>
      <c r="AJ308" s="646"/>
      <c r="AK308" s="646"/>
      <c r="AL308" s="646"/>
      <c r="AM308" s="646"/>
      <c r="AN308" s="646"/>
      <c r="AO308" s="652"/>
      <c r="AP308" s="646"/>
      <c r="AQ308" s="646"/>
      <c r="AR308" s="648"/>
      <c r="AS308" s="646"/>
      <c r="AT308" s="646"/>
      <c r="AU308" s="646"/>
      <c r="AV308" s="646"/>
      <c r="AW308" s="646"/>
      <c r="AX308" s="643"/>
      <c r="AY308" s="652"/>
      <c r="AZ308" s="646"/>
      <c r="BA308" s="646"/>
      <c r="BB308" s="646"/>
      <c r="BC308" s="643"/>
      <c r="BD308" s="646"/>
      <c r="BE308" s="646"/>
      <c r="BF308" s="646"/>
      <c r="BG308" s="646"/>
      <c r="BH308" s="646"/>
      <c r="BI308" s="646"/>
      <c r="BJ308" s="646"/>
      <c r="BK308" s="646"/>
      <c r="BL308" s="646"/>
      <c r="BM308" s="643"/>
      <c r="BN308" s="647"/>
      <c r="BO308" s="648"/>
      <c r="BP308" s="643"/>
      <c r="BQ308" s="649" t="str">
        <f>IFERROR(WWWW[[#This Row],['#_Water sources treated]]/WWWW[[#This Row],['#_Water sources tested for contamination]],"no test")</f>
        <v>no test</v>
      </c>
      <c r="BR308" s="648" t="str">
        <f>IFERROR(WWWW[[#This Row],['#_Household received remediation action due to contamination]]/WWWW[[#This Row],['#_Household water samples tested for contamination]],"no test")</f>
        <v>no test</v>
      </c>
      <c r="BS308" s="647" t="str">
        <f>IF(AND(WWWW[[#This Row],[% of water sources treated]]="no test",WWWW[[#This Row],[% Household received corrective actions]]="no test"),"No Test","Tested")</f>
        <v>No Test</v>
      </c>
      <c r="BT308" s="647">
        <f>WWWW[[#This Row],['#_Constructed/existing protected hand dug well]]-WWWW[[#This Row],['#_Non-functional protected hand dug well]]</f>
        <v>0</v>
      </c>
      <c r="BU308" s="647">
        <f>(WWWW[[#This Row],['#_Constructed/Existing tube wells/boreholes/handpumps_WASH_agency]]+WWWW[[#This Row],['#_Non-Cluster partner water tube-wells/boreholes/handpumps]])-WWWW[[#This Row],['#_Non-functional tube wells/boreholes/handpumps]]</f>
        <v>0</v>
      </c>
      <c r="BV308" s="647">
        <f>WWWW[[#This Row],['#_Constructed/Existingwater storage tank with gravity fed reticulation system]]-WWWW[[#This Row],['#_Non-functional storage tank gravity fed reticulation system]]</f>
        <v>0</v>
      </c>
      <c r="BW308" s="647">
        <f>WWWW[[#This Row],['#_Water boating or water trucking]]</f>
        <v>0</v>
      </c>
      <c r="BX308" s="647">
        <f>WWWW[[#This Row],['#_Constructed/Existing water distribution system from river or natural spring]]</f>
        <v>0</v>
      </c>
      <c r="BY308"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08"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08" s="648">
        <f>IF(WWWW[[#This Row],[Location Type 1]]="Village",WWWW[[#This Row],[Access to safe drinking water for Village]],WWWW[[#This Row],[Access to safe drinking water for Camp]])</f>
        <v>0</v>
      </c>
      <c r="CB308" s="645">
        <f>WWWW[[#This Row],[%Equitable and continuous access to sufficient quantity of safe drinking water]]*WWWW[[#This Row],[Total PoP ]]</f>
        <v>0</v>
      </c>
      <c r="CC308" s="648">
        <f>IF((WWWW[[#This Row],['#_Constructed/Existing protected/fenced ponds]]*250)/WWWW[[#This Row],[Total PoP ]]&gt;1,1,(WWWW[[#This Row],['#_Constructed/Existing protected/fenced ponds]]*250)/WWWW[[#This Row],[Total PoP ]])</f>
        <v>0</v>
      </c>
      <c r="CD308" s="645">
        <f>WWWW[[#This Row],[% Access to unimproved water points]]*WWWW[[#This Row],[Total PoP ]]</f>
        <v>0</v>
      </c>
      <c r="CE308"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08"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08" s="645">
        <f>WWWW[[#This Row],[HRP1]]/500</f>
        <v>0</v>
      </c>
      <c r="CH308" s="650">
        <f>1-WWWW[[#This Row],[% Equitable and continuous access to sufficient quantity of domestic water]]</f>
        <v>1</v>
      </c>
      <c r="CI308" s="645">
        <f>WWWW[[#This Row],[%equitable and continuous access to sufficient quantity of safe drinking and domestic water''s GAP]]*WWWW[[#This Row],[Total PoP ]]</f>
        <v>713</v>
      </c>
      <c r="CJ308" s="647">
        <f>IF(WWWW[[#This Row],[Total required water points]]-WWWW[[#This Row],['#Water points coverage]]&lt;0,0,WWWW[[#This Row],[Total required water points]]-WWWW[[#This Row],['#Water points coverage]])</f>
        <v>1</v>
      </c>
      <c r="CK308" s="647">
        <f>ROUND(IF(WWWW[[#This Row],[Total PoP ]]&lt;500,1,WWWW[[#This Row],[Total PoP ]]/500),0)</f>
        <v>1</v>
      </c>
      <c r="CL308" s="647">
        <f>(WWWW[[#This Row],['#_Constructed latrines_by_WASHAgencies]]+WWWW[[#This Row],['#_Non Cluster partner latrines]])-WWWW[[#This Row],['#_Non-functional latrines]]</f>
        <v>0</v>
      </c>
      <c r="CM308"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08"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08"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08" s="647" t="str">
        <f>IF(WWWW[[#This Row],[Location Type 1]]="Village","NA",IF(WWWW[[#This Row],['#_Constructed/Existing latrines in TLS]]*50&gt;WWWW[[#This Row],['#_students at TLS_CFS]],WWWW[[#This Row],['#_students at TLS_CFS]],(WWWW[[#This Row],['#_Constructed/Existing latrines in TLS]]*50)))</f>
        <v>NA</v>
      </c>
      <c r="CQ308" s="647">
        <f>ROUND(IF(WWWW[[#This Row],[Location Type 1]]="camp",WWWW[[#This Row],[Total PoP ]]/20,IF(WWWW[[#This Row],[Location Type 1]]="Temporary Location",WWWW[[#This Row],[Total PoP ]]/50,(WWWW[[#This Row],[Total PoP ]]/6))),0)</f>
        <v>119</v>
      </c>
      <c r="CR308" s="647">
        <f>IF(WWWW[[#This Row],[Total required Latrines]]-(WWWW[[#This Row],['#_Constructed latrines_by_WASHAgencies]]+WWWW[[#This Row],['#_Non Cluster partner latrines]])&lt;0,0,WWWW[[#This Row],[Total required Latrines]]-(WWWW[[#This Row],['#_Constructed latrines_by_WASHAgencies]]+WWWW[[#This Row],['#_Non Cluster partner latrines]]))</f>
        <v>119</v>
      </c>
      <c r="CS308" s="79">
        <f>1-WWWW[[#This Row],[% people access to functioning Latrine]]</f>
        <v>1</v>
      </c>
      <c r="CT308" s="649">
        <f>IF(OR(WWWW[[#This Row],['#_Non-functional latrines]]="",WWWW[[#This Row],['#_Non-functional latrines]]=0),0,WWWW[[#This Row],['#_Non-functional latrines]]/(WWWW[[#This Row],['#_Constructed latrines_by_WASHAgencies]]+WWWW[[#This Row],['#_Non Cluster partner latrines]]))</f>
        <v>0</v>
      </c>
      <c r="CU308" s="645">
        <f>IF(500*(WWWW[[#This Row],['#_male hygiene promoters]]+WWWW[[#This Row],['#_female hygiene promoters]])&gt;WWWW[[#This Row],[Total PoP ]],WWWW[[#This Row],[Total PoP ]],500*(WWWW[[#This Row],['#_male hygiene promoters]]+WWWW[[#This Row],['#_female hygiene promoters]]))</f>
        <v>0</v>
      </c>
      <c r="CV308"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08"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08" s="647">
        <f>IF(WWWW[[#This Row],['# People with access to soap]]&gt;WWWW[[#This Row],['# People with access to Sanity Pads]],WWWW[[#This Row],['# People with access to soap]],WWWW[[#This Row],['# People with access to Sanity Pads]])</f>
        <v>0</v>
      </c>
      <c r="CY308"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08" s="650">
        <f>IF(WWWW[[#This Row],[HRP3]]/WWWW[[#This Row],[Total PoP ]]&gt;100%,100%,WWWW[[#This Row],[HRP3]]/WWWW[[#This Row],[Total PoP ]])</f>
        <v>0</v>
      </c>
      <c r="DA308" s="649">
        <f>1-WWWW[[#This Row],[Hygiene Coverage%]]</f>
        <v>1</v>
      </c>
      <c r="DB308" s="648">
        <f>WWWW[[#This Row],['# people reached by regular dedicated hygiene promotion_5]]/WWWW[[#This Row],[Total PoP ]]</f>
        <v>0</v>
      </c>
      <c r="DC308" s="648">
        <f>IF(WWWW[[#This Row],['#_households that received standard amount of soap for this quarter]]/WWWW[[#This Row],[Total HH]]&gt;1,1,WWWW[[#This Row],['#_households that received standard amount of soap for this quarter]]/WWWW[[#This Row],[Total HH]])</f>
        <v>0</v>
      </c>
      <c r="DD308" s="648">
        <f>IF(WWWW[[#This Row],['#_households that received standard amount of sanitary pads for this quarter]]/WWWW[[#This Row],[Total HH]]&gt;1,1,WWWW[[#This Row],['#_households that received standard amount of sanitary pads for this quarter]]/WWWW[[#This Row],[Total HH]])</f>
        <v>0</v>
      </c>
      <c r="DE308" s="647">
        <f>WWWW[[#This Row],['#_Constructed/Existing hand washing stations]]-WWWW[[#This Row],['#_Non-Functional_hand_washing_stations]]</f>
        <v>0</v>
      </c>
      <c r="DF308" s="667">
        <f>IF(WWWW[[#This Row],['# Functional hand washing stations during reporting period]]*20&gt;WWWW[[#This Row],[Total HH]],WWWW[[#This Row],[Total HH]],WWWW[[#This Row],['# Functional hand washing stations during reporting period]]*20)</f>
        <v>0</v>
      </c>
      <c r="DG308" s="645">
        <f>IF(WWWW[[#This Row],[Is sufficient soap available for TLS? (Yes/No)]]="yes",WWWW[[#This Row],['#_Constructed/Existing hand washing stations at TLS]],0)</f>
        <v>0</v>
      </c>
      <c r="DH308" s="645">
        <f>IF(WWWW[[#This Row],['# Functional hand washing stations during reporting period]]*100&gt;WWWW[[#This Row],[Total PoP ]],WWWW[[#This Row],[Total PoP ]],WWWW[[#This Row],['# Functional hand washing stations during reporting period]]*100)</f>
        <v>0</v>
      </c>
      <c r="DI308" s="645" t="str">
        <f>IF(WWWW[[#This Row],['#_students at TLS_CFS]]="","No","Yes")</f>
        <v>No</v>
      </c>
      <c r="DJ308" s="643">
        <f>VLOOKUP(WWWW[[#This Row],[Site Name]],SiteDB6[[Site Name]:[CCCM Management]],6,FALSE)</f>
        <v>0</v>
      </c>
      <c r="DK308" s="643">
        <f>VLOOKUP(WWWW[[#This Row],[Site Name]],SiteDB6[[Site Name]:[CCCM Focal Agency]],7,FALSE)</f>
        <v>0</v>
      </c>
      <c r="DL308" s="643" t="str">
        <f>VLOOKUP(WWWW[[#This Row],[Site Name]],SiteDB6[[Site Name]:[Location Type 1]],9,FALSE)</f>
        <v>Village</v>
      </c>
      <c r="DM308" s="643" t="str">
        <f>VLOOKUP(WWWW[[#This Row],[Site Name]],SiteDB6[[Site Name]:[Type of Accommodation]],10,FALSE)</f>
        <v>Village</v>
      </c>
      <c r="DN308" s="643">
        <f>VLOOKUP(WWWW[[#This Row],[Site Name]],SiteDB6[[Site Name]:[Ethnic or GCA/NGCA]],11,FALSE)</f>
        <v>0</v>
      </c>
      <c r="DO308" s="643">
        <f>VLOOKUP(WWWW[[#This Row],[Site Name]],SiteDB6[[Site Name]:[Lat]],12,FALSE)</f>
        <v>0</v>
      </c>
      <c r="DP308" s="643">
        <f>VLOOKUP(WWWW[[#This Row],[Site Name]],SiteDB6[[Site Name]:[Long]],13,FALSE)</f>
        <v>0</v>
      </c>
      <c r="DQ308" s="643">
        <f>VLOOKUP(WWWW[[#This Row],[Site Name]],SiteDB6[[Site Name]:[Pcode]],3,FALSE)</f>
        <v>197112</v>
      </c>
      <c r="DR308" s="652" t="str">
        <f t="shared" si="10"/>
        <v>Covered</v>
      </c>
      <c r="DS308" s="652"/>
    </row>
    <row r="309" spans="1:123">
      <c r="A309" s="637" t="s">
        <v>2525</v>
      </c>
      <c r="B309" s="637" t="s">
        <v>332</v>
      </c>
      <c r="C309" s="644" t="s">
        <v>332</v>
      </c>
      <c r="D309" s="644" t="s">
        <v>345</v>
      </c>
      <c r="E309" s="663" t="s">
        <v>3014</v>
      </c>
      <c r="F309" s="644" t="s">
        <v>330</v>
      </c>
      <c r="G309" s="663" t="str">
        <f>VLOOKUP(WWWW[[#This Row],[Site Name]],SiteDB6[[Site Name]:[Location Type]],8,FALSE)</f>
        <v>Village</v>
      </c>
      <c r="H309" s="644" t="s">
        <v>2930</v>
      </c>
      <c r="I309" s="646">
        <v>27</v>
      </c>
      <c r="J309" s="646">
        <v>53</v>
      </c>
      <c r="K309" s="653">
        <v>42736</v>
      </c>
      <c r="L309" s="654">
        <v>44551</v>
      </c>
      <c r="M309" s="646"/>
      <c r="N309" s="646"/>
      <c r="O309" s="646"/>
      <c r="P309" s="646"/>
      <c r="Q309" s="645"/>
      <c r="R309" s="646"/>
      <c r="S309" s="646"/>
      <c r="T309" s="646"/>
      <c r="U309" s="646"/>
      <c r="V309" s="646"/>
      <c r="W309" s="646"/>
      <c r="X309" s="646"/>
      <c r="Y309" s="646"/>
      <c r="Z309" s="646"/>
      <c r="AA309" s="646"/>
      <c r="AB309" s="646"/>
      <c r="AC309" s="646"/>
      <c r="AD309" s="646"/>
      <c r="AE309" s="646"/>
      <c r="AF309" s="646"/>
      <c r="AG309" s="646"/>
      <c r="AH309" s="646"/>
      <c r="AI309" s="646"/>
      <c r="AJ309" s="646"/>
      <c r="AK309" s="646"/>
      <c r="AL309" s="646"/>
      <c r="AM309" s="646"/>
      <c r="AN309" s="646"/>
      <c r="AO309" s="652"/>
      <c r="AP309" s="646"/>
      <c r="AQ309" s="646"/>
      <c r="AR309" s="648"/>
      <c r="AS309" s="646"/>
      <c r="AT309" s="646"/>
      <c r="AU309" s="646"/>
      <c r="AV309" s="646"/>
      <c r="AW309" s="646"/>
      <c r="AX309" s="643"/>
      <c r="AY309" s="652"/>
      <c r="AZ309" s="646"/>
      <c r="BA309" s="646"/>
      <c r="BB309" s="646"/>
      <c r="BC309" s="643"/>
      <c r="BD309" s="646"/>
      <c r="BE309" s="646"/>
      <c r="BF309" s="646"/>
      <c r="BG309" s="646"/>
      <c r="BH309" s="646"/>
      <c r="BI309" s="646"/>
      <c r="BJ309" s="646"/>
      <c r="BK309" s="646"/>
      <c r="BL309" s="646"/>
      <c r="BM309" s="643"/>
      <c r="BN309" s="647"/>
      <c r="BO309" s="648"/>
      <c r="BP309" s="643"/>
      <c r="BQ309" s="649" t="str">
        <f>IFERROR(WWWW[[#This Row],['#_Water sources treated]]/WWWW[[#This Row],['#_Water sources tested for contamination]],"no test")</f>
        <v>no test</v>
      </c>
      <c r="BR309" s="648" t="str">
        <f>IFERROR(WWWW[[#This Row],['#_Household received remediation action due to contamination]]/WWWW[[#This Row],['#_Household water samples tested for contamination]],"no test")</f>
        <v>no test</v>
      </c>
      <c r="BS309" s="647" t="str">
        <f>IF(AND(WWWW[[#This Row],[% of water sources treated]]="no test",WWWW[[#This Row],[% Household received corrective actions]]="no test"),"No Test","Tested")</f>
        <v>No Test</v>
      </c>
      <c r="BT309" s="647">
        <f>WWWW[[#This Row],['#_Constructed/existing protected hand dug well]]-WWWW[[#This Row],['#_Non-functional protected hand dug well]]</f>
        <v>0</v>
      </c>
      <c r="BU309" s="647">
        <f>(WWWW[[#This Row],['#_Constructed/Existing tube wells/boreholes/handpumps_WASH_agency]]+WWWW[[#This Row],['#_Non-Cluster partner water tube-wells/boreholes/handpumps]])-WWWW[[#This Row],['#_Non-functional tube wells/boreholes/handpumps]]</f>
        <v>0</v>
      </c>
      <c r="BV309" s="647">
        <f>WWWW[[#This Row],['#_Constructed/Existingwater storage tank with gravity fed reticulation system]]-WWWW[[#This Row],['#_Non-functional storage tank gravity fed reticulation system]]</f>
        <v>0</v>
      </c>
      <c r="BW309" s="647">
        <f>WWWW[[#This Row],['#_Water boating or water trucking]]</f>
        <v>0</v>
      </c>
      <c r="BX309" s="647">
        <f>WWWW[[#This Row],['#_Constructed/Existing water distribution system from river or natural spring]]</f>
        <v>0</v>
      </c>
      <c r="BY309"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09"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09" s="648">
        <f>IF(WWWW[[#This Row],[Location Type 1]]="Village",WWWW[[#This Row],[Access to safe drinking water for Village]],WWWW[[#This Row],[Access to safe drinking water for Camp]])</f>
        <v>0</v>
      </c>
      <c r="CB309" s="645">
        <f>WWWW[[#This Row],[%Equitable and continuous access to sufficient quantity of safe drinking water]]*WWWW[[#This Row],[Total PoP ]]</f>
        <v>0</v>
      </c>
      <c r="CC309" s="648">
        <f>IF((WWWW[[#This Row],['#_Constructed/Existing protected/fenced ponds]]*250)/WWWW[[#This Row],[Total PoP ]]&gt;1,1,(WWWW[[#This Row],['#_Constructed/Existing protected/fenced ponds]]*250)/WWWW[[#This Row],[Total PoP ]])</f>
        <v>0</v>
      </c>
      <c r="CD309" s="645">
        <f>WWWW[[#This Row],[% Access to unimproved water points]]*WWWW[[#This Row],[Total PoP ]]</f>
        <v>0</v>
      </c>
      <c r="CE309"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09"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09" s="645">
        <f>WWWW[[#This Row],[HRP1]]/500</f>
        <v>0</v>
      </c>
      <c r="CH309" s="650">
        <f>1-WWWW[[#This Row],[% Equitable and continuous access to sufficient quantity of domestic water]]</f>
        <v>1</v>
      </c>
      <c r="CI309" s="645">
        <f>WWWW[[#This Row],[%equitable and continuous access to sufficient quantity of safe drinking and domestic water''s GAP]]*WWWW[[#This Row],[Total PoP ]]</f>
        <v>53</v>
      </c>
      <c r="CJ309" s="647">
        <f>IF(WWWW[[#This Row],[Total required water points]]-WWWW[[#This Row],['#Water points coverage]]&lt;0,0,WWWW[[#This Row],[Total required water points]]-WWWW[[#This Row],['#Water points coverage]])</f>
        <v>1</v>
      </c>
      <c r="CK309" s="647">
        <f>ROUND(IF(WWWW[[#This Row],[Total PoP ]]&lt;500,1,WWWW[[#This Row],[Total PoP ]]/500),0)</f>
        <v>1</v>
      </c>
      <c r="CL309" s="647">
        <f>(WWWW[[#This Row],['#_Constructed latrines_by_WASHAgencies]]+WWWW[[#This Row],['#_Non Cluster partner latrines]])-WWWW[[#This Row],['#_Non-functional latrines]]</f>
        <v>0</v>
      </c>
      <c r="CM309"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09"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09"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09" s="647" t="str">
        <f>IF(WWWW[[#This Row],[Location Type 1]]="Village","NA",IF(WWWW[[#This Row],['#_Constructed/Existing latrines in TLS]]*50&gt;WWWW[[#This Row],['#_students at TLS_CFS]],WWWW[[#This Row],['#_students at TLS_CFS]],(WWWW[[#This Row],['#_Constructed/Existing latrines in TLS]]*50)))</f>
        <v>NA</v>
      </c>
      <c r="CQ309" s="647">
        <f>ROUND(IF(WWWW[[#This Row],[Location Type 1]]="camp",WWWW[[#This Row],[Total PoP ]]/20,IF(WWWW[[#This Row],[Location Type 1]]="Temporary Location",WWWW[[#This Row],[Total PoP ]]/50,(WWWW[[#This Row],[Total PoP ]]/6))),0)</f>
        <v>9</v>
      </c>
      <c r="CR309" s="647">
        <f>IF(WWWW[[#This Row],[Total required Latrines]]-(WWWW[[#This Row],['#_Constructed latrines_by_WASHAgencies]]+WWWW[[#This Row],['#_Non Cluster partner latrines]])&lt;0,0,WWWW[[#This Row],[Total required Latrines]]-(WWWW[[#This Row],['#_Constructed latrines_by_WASHAgencies]]+WWWW[[#This Row],['#_Non Cluster partner latrines]]))</f>
        <v>9</v>
      </c>
      <c r="CS309" s="79">
        <f>1-WWWW[[#This Row],[% people access to functioning Latrine]]</f>
        <v>1</v>
      </c>
      <c r="CT309" s="649">
        <f>IF(OR(WWWW[[#This Row],['#_Non-functional latrines]]="",WWWW[[#This Row],['#_Non-functional latrines]]=0),0,WWWW[[#This Row],['#_Non-functional latrines]]/(WWWW[[#This Row],['#_Constructed latrines_by_WASHAgencies]]+WWWW[[#This Row],['#_Non Cluster partner latrines]]))</f>
        <v>0</v>
      </c>
      <c r="CU309" s="645">
        <f>IF(500*(WWWW[[#This Row],['#_male hygiene promoters]]+WWWW[[#This Row],['#_female hygiene promoters]])&gt;WWWW[[#This Row],[Total PoP ]],WWWW[[#This Row],[Total PoP ]],500*(WWWW[[#This Row],['#_male hygiene promoters]]+WWWW[[#This Row],['#_female hygiene promoters]]))</f>
        <v>0</v>
      </c>
      <c r="CV309"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09"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09" s="647">
        <f>IF(WWWW[[#This Row],['# People with access to soap]]&gt;WWWW[[#This Row],['# People with access to Sanity Pads]],WWWW[[#This Row],['# People with access to soap]],WWWW[[#This Row],['# People with access to Sanity Pads]])</f>
        <v>0</v>
      </c>
      <c r="CY309"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09" s="650">
        <f>IF(WWWW[[#This Row],[HRP3]]/WWWW[[#This Row],[Total PoP ]]&gt;100%,100%,WWWW[[#This Row],[HRP3]]/WWWW[[#This Row],[Total PoP ]])</f>
        <v>0</v>
      </c>
      <c r="DA309" s="649">
        <f>1-WWWW[[#This Row],[Hygiene Coverage%]]</f>
        <v>1</v>
      </c>
      <c r="DB309" s="648">
        <f>WWWW[[#This Row],['# people reached by regular dedicated hygiene promotion_5]]/WWWW[[#This Row],[Total PoP ]]</f>
        <v>0</v>
      </c>
      <c r="DC309" s="648">
        <f>IF(WWWW[[#This Row],['#_households that received standard amount of soap for this quarter]]/WWWW[[#This Row],[Total HH]]&gt;1,1,WWWW[[#This Row],['#_households that received standard amount of soap for this quarter]]/WWWW[[#This Row],[Total HH]])</f>
        <v>0</v>
      </c>
      <c r="DD309" s="648">
        <f>IF(WWWW[[#This Row],['#_households that received standard amount of sanitary pads for this quarter]]/WWWW[[#This Row],[Total HH]]&gt;1,1,WWWW[[#This Row],['#_households that received standard amount of sanitary pads for this quarter]]/WWWW[[#This Row],[Total HH]])</f>
        <v>0</v>
      </c>
      <c r="DE309" s="647">
        <f>WWWW[[#This Row],['#_Constructed/Existing hand washing stations]]-WWWW[[#This Row],['#_Non-Functional_hand_washing_stations]]</f>
        <v>0</v>
      </c>
      <c r="DF309" s="667">
        <f>IF(WWWW[[#This Row],['# Functional hand washing stations during reporting period]]*20&gt;WWWW[[#This Row],[Total HH]],WWWW[[#This Row],[Total HH]],WWWW[[#This Row],['# Functional hand washing stations during reporting period]]*20)</f>
        <v>0</v>
      </c>
      <c r="DG309" s="645">
        <f>IF(WWWW[[#This Row],[Is sufficient soap available for TLS? (Yes/No)]]="yes",WWWW[[#This Row],['#_Constructed/Existing hand washing stations at TLS]],0)</f>
        <v>0</v>
      </c>
      <c r="DH309" s="645">
        <f>IF(WWWW[[#This Row],['# Functional hand washing stations during reporting period]]*100&gt;WWWW[[#This Row],[Total PoP ]],WWWW[[#This Row],[Total PoP ]],WWWW[[#This Row],['# Functional hand washing stations during reporting period]]*100)</f>
        <v>0</v>
      </c>
      <c r="DI309" s="645" t="str">
        <f>IF(WWWW[[#This Row],['#_students at TLS_CFS]]="","No","Yes")</f>
        <v>No</v>
      </c>
      <c r="DJ309" s="643">
        <f>VLOOKUP(WWWW[[#This Row],[Site Name]],SiteDB6[[Site Name]:[CCCM Management]],6,FALSE)</f>
        <v>0</v>
      </c>
      <c r="DK309" s="643">
        <f>VLOOKUP(WWWW[[#This Row],[Site Name]],SiteDB6[[Site Name]:[CCCM Focal Agency]],7,FALSE)</f>
        <v>0</v>
      </c>
      <c r="DL309" s="643" t="str">
        <f>VLOOKUP(WWWW[[#This Row],[Site Name]],SiteDB6[[Site Name]:[Location Type 1]],9,FALSE)</f>
        <v>Village</v>
      </c>
      <c r="DM309" s="643" t="str">
        <f>VLOOKUP(WWWW[[#This Row],[Site Name]],SiteDB6[[Site Name]:[Type of Accommodation]],10,FALSE)</f>
        <v>Village</v>
      </c>
      <c r="DN309" s="643">
        <f>VLOOKUP(WWWW[[#This Row],[Site Name]],SiteDB6[[Site Name]:[Ethnic or GCA/NGCA]],11,FALSE)</f>
        <v>0</v>
      </c>
      <c r="DO309" s="643">
        <f>VLOOKUP(WWWW[[#This Row],[Site Name]],SiteDB6[[Site Name]:[Lat]],12,FALSE)</f>
        <v>0</v>
      </c>
      <c r="DP309" s="643">
        <f>VLOOKUP(WWWW[[#This Row],[Site Name]],SiteDB6[[Site Name]:[Long]],13,FALSE)</f>
        <v>0</v>
      </c>
      <c r="DQ309" s="643">
        <f>VLOOKUP(WWWW[[#This Row],[Site Name]],SiteDB6[[Site Name]:[Pcode]],3,FALSE)</f>
        <v>220653</v>
      </c>
      <c r="DR309" s="652" t="str">
        <f t="shared" si="10"/>
        <v>Covered</v>
      </c>
      <c r="DS309" s="652"/>
    </row>
    <row r="310" spans="1:123">
      <c r="A310" s="637" t="s">
        <v>2525</v>
      </c>
      <c r="B310" s="637" t="s">
        <v>332</v>
      </c>
      <c r="C310" s="644" t="s">
        <v>332</v>
      </c>
      <c r="D310" s="644" t="s">
        <v>345</v>
      </c>
      <c r="E310" s="663" t="s">
        <v>3014</v>
      </c>
      <c r="F310" s="644" t="s">
        <v>330</v>
      </c>
      <c r="G310" s="663" t="str">
        <f>VLOOKUP(WWWW[[#This Row],[Site Name]],SiteDB6[[Site Name]:[Location Type]],8,FALSE)</f>
        <v>Village</v>
      </c>
      <c r="H310" s="644" t="s">
        <v>676</v>
      </c>
      <c r="I310" s="646">
        <v>63</v>
      </c>
      <c r="J310" s="646">
        <v>249</v>
      </c>
      <c r="K310" s="653">
        <v>42736</v>
      </c>
      <c r="L310" s="654">
        <v>44551</v>
      </c>
      <c r="M310" s="646"/>
      <c r="N310" s="646"/>
      <c r="O310" s="646"/>
      <c r="P310" s="646"/>
      <c r="Q310" s="645"/>
      <c r="R310" s="646"/>
      <c r="S310" s="646"/>
      <c r="T310" s="646"/>
      <c r="U310" s="646"/>
      <c r="V310" s="646"/>
      <c r="W310" s="646"/>
      <c r="X310" s="646"/>
      <c r="Y310" s="646"/>
      <c r="Z310" s="646"/>
      <c r="AA310" s="646"/>
      <c r="AB310" s="646"/>
      <c r="AC310" s="646"/>
      <c r="AD310" s="646"/>
      <c r="AE310" s="646"/>
      <c r="AF310" s="646"/>
      <c r="AG310" s="646"/>
      <c r="AH310" s="646"/>
      <c r="AI310" s="646"/>
      <c r="AJ310" s="646"/>
      <c r="AK310" s="646"/>
      <c r="AL310" s="646"/>
      <c r="AM310" s="646"/>
      <c r="AN310" s="646"/>
      <c r="AO310" s="652"/>
      <c r="AP310" s="646"/>
      <c r="AQ310" s="646"/>
      <c r="AR310" s="648"/>
      <c r="AS310" s="646"/>
      <c r="AT310" s="646"/>
      <c r="AU310" s="646"/>
      <c r="AV310" s="646"/>
      <c r="AW310" s="646"/>
      <c r="AX310" s="643"/>
      <c r="AY310" s="652"/>
      <c r="AZ310" s="646"/>
      <c r="BA310" s="646"/>
      <c r="BB310" s="646"/>
      <c r="BC310" s="643"/>
      <c r="BD310" s="646"/>
      <c r="BE310" s="646"/>
      <c r="BF310" s="646"/>
      <c r="BG310" s="646"/>
      <c r="BH310" s="646"/>
      <c r="BI310" s="646"/>
      <c r="BJ310" s="646"/>
      <c r="BK310" s="646"/>
      <c r="BL310" s="646"/>
      <c r="BM310" s="643"/>
      <c r="BN310" s="647"/>
      <c r="BO310" s="648"/>
      <c r="BP310" s="643"/>
      <c r="BQ310" s="649" t="str">
        <f>IFERROR(WWWW[[#This Row],['#_Water sources treated]]/WWWW[[#This Row],['#_Water sources tested for contamination]],"no test")</f>
        <v>no test</v>
      </c>
      <c r="BR310" s="648" t="str">
        <f>IFERROR(WWWW[[#This Row],['#_Household received remediation action due to contamination]]/WWWW[[#This Row],['#_Household water samples tested for contamination]],"no test")</f>
        <v>no test</v>
      </c>
      <c r="BS310" s="647" t="str">
        <f>IF(AND(WWWW[[#This Row],[% of water sources treated]]="no test",WWWW[[#This Row],[% Household received corrective actions]]="no test"),"No Test","Tested")</f>
        <v>No Test</v>
      </c>
      <c r="BT310" s="647">
        <f>WWWW[[#This Row],['#_Constructed/existing protected hand dug well]]-WWWW[[#This Row],['#_Non-functional protected hand dug well]]</f>
        <v>0</v>
      </c>
      <c r="BU310" s="647">
        <f>(WWWW[[#This Row],['#_Constructed/Existing tube wells/boreholes/handpumps_WASH_agency]]+WWWW[[#This Row],['#_Non-Cluster partner water tube-wells/boreholes/handpumps]])-WWWW[[#This Row],['#_Non-functional tube wells/boreholes/handpumps]]</f>
        <v>0</v>
      </c>
      <c r="BV310" s="647">
        <f>WWWW[[#This Row],['#_Constructed/Existingwater storage tank with gravity fed reticulation system]]-WWWW[[#This Row],['#_Non-functional storage tank gravity fed reticulation system]]</f>
        <v>0</v>
      </c>
      <c r="BW310" s="647">
        <f>WWWW[[#This Row],['#_Water boating or water trucking]]</f>
        <v>0</v>
      </c>
      <c r="BX310" s="647">
        <f>WWWW[[#This Row],['#_Constructed/Existing water distribution system from river or natural spring]]</f>
        <v>0</v>
      </c>
      <c r="BY310"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10"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10" s="648">
        <f>IF(WWWW[[#This Row],[Location Type 1]]="Village",WWWW[[#This Row],[Access to safe drinking water for Village]],WWWW[[#This Row],[Access to safe drinking water for Camp]])</f>
        <v>0</v>
      </c>
      <c r="CB310" s="645">
        <f>WWWW[[#This Row],[%Equitable and continuous access to sufficient quantity of safe drinking water]]*WWWW[[#This Row],[Total PoP ]]</f>
        <v>0</v>
      </c>
      <c r="CC310" s="648">
        <f>IF((WWWW[[#This Row],['#_Constructed/Existing protected/fenced ponds]]*250)/WWWW[[#This Row],[Total PoP ]]&gt;1,1,(WWWW[[#This Row],['#_Constructed/Existing protected/fenced ponds]]*250)/WWWW[[#This Row],[Total PoP ]])</f>
        <v>0</v>
      </c>
      <c r="CD310" s="645">
        <f>WWWW[[#This Row],[% Access to unimproved water points]]*WWWW[[#This Row],[Total PoP ]]</f>
        <v>0</v>
      </c>
      <c r="CE310"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10"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10" s="645">
        <f>WWWW[[#This Row],[HRP1]]/500</f>
        <v>0</v>
      </c>
      <c r="CH310" s="650">
        <f>1-WWWW[[#This Row],[% Equitable and continuous access to sufficient quantity of domestic water]]</f>
        <v>1</v>
      </c>
      <c r="CI310" s="645">
        <f>WWWW[[#This Row],[%equitable and continuous access to sufficient quantity of safe drinking and domestic water''s GAP]]*WWWW[[#This Row],[Total PoP ]]</f>
        <v>249</v>
      </c>
      <c r="CJ310" s="647">
        <f>IF(WWWW[[#This Row],[Total required water points]]-WWWW[[#This Row],['#Water points coverage]]&lt;0,0,WWWW[[#This Row],[Total required water points]]-WWWW[[#This Row],['#Water points coverage]])</f>
        <v>1</v>
      </c>
      <c r="CK310" s="647">
        <f>ROUND(IF(WWWW[[#This Row],[Total PoP ]]&lt;500,1,WWWW[[#This Row],[Total PoP ]]/500),0)</f>
        <v>1</v>
      </c>
      <c r="CL310" s="647">
        <f>(WWWW[[#This Row],['#_Constructed latrines_by_WASHAgencies]]+WWWW[[#This Row],['#_Non Cluster partner latrines]])-WWWW[[#This Row],['#_Non-functional latrines]]</f>
        <v>0</v>
      </c>
      <c r="CM310"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10"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10"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10" s="647" t="str">
        <f>IF(WWWW[[#This Row],[Location Type 1]]="Village","NA",IF(WWWW[[#This Row],['#_Constructed/Existing latrines in TLS]]*50&gt;WWWW[[#This Row],['#_students at TLS_CFS]],WWWW[[#This Row],['#_students at TLS_CFS]],(WWWW[[#This Row],['#_Constructed/Existing latrines in TLS]]*50)))</f>
        <v>NA</v>
      </c>
      <c r="CQ310" s="647">
        <f>ROUND(IF(WWWW[[#This Row],[Location Type 1]]="camp",WWWW[[#This Row],[Total PoP ]]/20,IF(WWWW[[#This Row],[Location Type 1]]="Temporary Location",WWWW[[#This Row],[Total PoP ]]/50,(WWWW[[#This Row],[Total PoP ]]/6))),0)</f>
        <v>42</v>
      </c>
      <c r="CR310" s="647">
        <f>IF(WWWW[[#This Row],[Total required Latrines]]-(WWWW[[#This Row],['#_Constructed latrines_by_WASHAgencies]]+WWWW[[#This Row],['#_Non Cluster partner latrines]])&lt;0,0,WWWW[[#This Row],[Total required Latrines]]-(WWWW[[#This Row],['#_Constructed latrines_by_WASHAgencies]]+WWWW[[#This Row],['#_Non Cluster partner latrines]]))</f>
        <v>42</v>
      </c>
      <c r="CS310" s="79">
        <f>1-WWWW[[#This Row],[% people access to functioning Latrine]]</f>
        <v>1</v>
      </c>
      <c r="CT310" s="649">
        <f>IF(OR(WWWW[[#This Row],['#_Non-functional latrines]]="",WWWW[[#This Row],['#_Non-functional latrines]]=0),0,WWWW[[#This Row],['#_Non-functional latrines]]/(WWWW[[#This Row],['#_Constructed latrines_by_WASHAgencies]]+WWWW[[#This Row],['#_Non Cluster partner latrines]]))</f>
        <v>0</v>
      </c>
      <c r="CU310" s="645">
        <f>IF(500*(WWWW[[#This Row],['#_male hygiene promoters]]+WWWW[[#This Row],['#_female hygiene promoters]])&gt;WWWW[[#This Row],[Total PoP ]],WWWW[[#This Row],[Total PoP ]],500*(WWWW[[#This Row],['#_male hygiene promoters]]+WWWW[[#This Row],['#_female hygiene promoters]]))</f>
        <v>0</v>
      </c>
      <c r="CV310"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10"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10" s="647">
        <f>IF(WWWW[[#This Row],['# People with access to soap]]&gt;WWWW[[#This Row],['# People with access to Sanity Pads]],WWWW[[#This Row],['# People with access to soap]],WWWW[[#This Row],['# People with access to Sanity Pads]])</f>
        <v>0</v>
      </c>
      <c r="CY310"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10" s="650">
        <f>IF(WWWW[[#This Row],[HRP3]]/WWWW[[#This Row],[Total PoP ]]&gt;100%,100%,WWWW[[#This Row],[HRP3]]/WWWW[[#This Row],[Total PoP ]])</f>
        <v>0</v>
      </c>
      <c r="DA310" s="649">
        <f>1-WWWW[[#This Row],[Hygiene Coverage%]]</f>
        <v>1</v>
      </c>
      <c r="DB310" s="648">
        <f>WWWW[[#This Row],['# people reached by regular dedicated hygiene promotion_5]]/WWWW[[#This Row],[Total PoP ]]</f>
        <v>0</v>
      </c>
      <c r="DC310" s="648">
        <f>IF(WWWW[[#This Row],['#_households that received standard amount of soap for this quarter]]/WWWW[[#This Row],[Total HH]]&gt;1,1,WWWW[[#This Row],['#_households that received standard amount of soap for this quarter]]/WWWW[[#This Row],[Total HH]])</f>
        <v>0</v>
      </c>
      <c r="DD310" s="648">
        <f>IF(WWWW[[#This Row],['#_households that received standard amount of sanitary pads for this quarter]]/WWWW[[#This Row],[Total HH]]&gt;1,1,WWWW[[#This Row],['#_households that received standard amount of sanitary pads for this quarter]]/WWWW[[#This Row],[Total HH]])</f>
        <v>0</v>
      </c>
      <c r="DE310" s="647">
        <f>WWWW[[#This Row],['#_Constructed/Existing hand washing stations]]-WWWW[[#This Row],['#_Non-Functional_hand_washing_stations]]</f>
        <v>0</v>
      </c>
      <c r="DF310" s="667">
        <f>IF(WWWW[[#This Row],['# Functional hand washing stations during reporting period]]*20&gt;WWWW[[#This Row],[Total HH]],WWWW[[#This Row],[Total HH]],WWWW[[#This Row],['# Functional hand washing stations during reporting period]]*20)</f>
        <v>0</v>
      </c>
      <c r="DG310" s="645">
        <f>IF(WWWW[[#This Row],[Is sufficient soap available for TLS? (Yes/No)]]="yes",WWWW[[#This Row],['#_Constructed/Existing hand washing stations at TLS]],0)</f>
        <v>0</v>
      </c>
      <c r="DH310" s="645">
        <f>IF(WWWW[[#This Row],['# Functional hand washing stations during reporting period]]*100&gt;WWWW[[#This Row],[Total PoP ]],WWWW[[#This Row],[Total PoP ]],WWWW[[#This Row],['# Functional hand washing stations during reporting period]]*100)</f>
        <v>0</v>
      </c>
      <c r="DI310" s="645" t="str">
        <f>IF(WWWW[[#This Row],['#_students at TLS_CFS]]="","No","Yes")</f>
        <v>No</v>
      </c>
      <c r="DJ310" s="643">
        <f>VLOOKUP(WWWW[[#This Row],[Site Name]],SiteDB6[[Site Name]:[CCCM Management]],6,FALSE)</f>
        <v>0</v>
      </c>
      <c r="DK310" s="643">
        <f>VLOOKUP(WWWW[[#This Row],[Site Name]],SiteDB6[[Site Name]:[CCCM Focal Agency]],7,FALSE)</f>
        <v>0</v>
      </c>
      <c r="DL310" s="643" t="str">
        <f>VLOOKUP(WWWW[[#This Row],[Site Name]],SiteDB6[[Site Name]:[Location Type 1]],9,FALSE)</f>
        <v>Village</v>
      </c>
      <c r="DM310" s="643" t="str">
        <f>VLOOKUP(WWWW[[#This Row],[Site Name]],SiteDB6[[Site Name]:[Type of Accommodation]],10,FALSE)</f>
        <v>Village</v>
      </c>
      <c r="DN310" s="643">
        <f>VLOOKUP(WWWW[[#This Row],[Site Name]],SiteDB6[[Site Name]:[Ethnic or GCA/NGCA]],11,FALSE)</f>
        <v>0</v>
      </c>
      <c r="DO310" s="643">
        <f>VLOOKUP(WWWW[[#This Row],[Site Name]],SiteDB6[[Site Name]:[Lat]],12,FALSE)</f>
        <v>0</v>
      </c>
      <c r="DP310" s="643">
        <f>VLOOKUP(WWWW[[#This Row],[Site Name]],SiteDB6[[Site Name]:[Long]],13,FALSE)</f>
        <v>0</v>
      </c>
      <c r="DQ310" s="643">
        <f>VLOOKUP(WWWW[[#This Row],[Site Name]],SiteDB6[[Site Name]:[Pcode]],3,FALSE)</f>
        <v>197110</v>
      </c>
      <c r="DR310" s="652" t="str">
        <f t="shared" si="10"/>
        <v>Covered</v>
      </c>
      <c r="DS310" s="652"/>
    </row>
    <row r="311" spans="1:123">
      <c r="A311" s="637" t="s">
        <v>2525</v>
      </c>
      <c r="B311" s="637" t="s">
        <v>2376</v>
      </c>
      <c r="C311" s="644" t="s">
        <v>2376</v>
      </c>
      <c r="D311" s="644" t="s">
        <v>42</v>
      </c>
      <c r="E311" s="663" t="s">
        <v>3014</v>
      </c>
      <c r="F311" s="644" t="s">
        <v>313</v>
      </c>
      <c r="G311" s="663" t="str">
        <f>VLOOKUP(WWWW[[#This Row],[Site Name]],SiteDB6[[Site Name]:[Location Type]],8,FALSE)</f>
        <v>Camp</v>
      </c>
      <c r="H311" s="644" t="s">
        <v>445</v>
      </c>
      <c r="I311" s="646">
        <v>1311</v>
      </c>
      <c r="J311" s="646">
        <v>6936</v>
      </c>
      <c r="K311" s="653"/>
      <c r="L311" s="654">
        <v>44104</v>
      </c>
      <c r="M311" s="646"/>
      <c r="N311" s="646"/>
      <c r="O311" s="646"/>
      <c r="P311" s="646" t="s">
        <v>2941</v>
      </c>
      <c r="Q311" s="645"/>
      <c r="R311" s="646"/>
      <c r="S311" s="646"/>
      <c r="T311" s="646"/>
      <c r="U311" s="646"/>
      <c r="V311" s="646"/>
      <c r="W311" s="646"/>
      <c r="X311" s="646"/>
      <c r="Y311" s="646"/>
      <c r="Z311" s="646" t="s">
        <v>2941</v>
      </c>
      <c r="AA311" s="646"/>
      <c r="AB311" s="646"/>
      <c r="AC311" s="646"/>
      <c r="AD311" s="646"/>
      <c r="AE311" s="646"/>
      <c r="AF311" s="646"/>
      <c r="AG311" s="646"/>
      <c r="AH311" s="646"/>
      <c r="AI311" s="646"/>
      <c r="AJ311" s="646"/>
      <c r="AK311" s="646"/>
      <c r="AL311" s="646">
        <v>2</v>
      </c>
      <c r="AM311" s="646"/>
      <c r="AN311" s="646"/>
      <c r="AO311" s="652"/>
      <c r="AP311" s="646"/>
      <c r="AQ311" s="646"/>
      <c r="AR311" s="648"/>
      <c r="AS311" s="646"/>
      <c r="AT311" s="646"/>
      <c r="AU311" s="646"/>
      <c r="AV311" s="646"/>
      <c r="AW311" s="646"/>
      <c r="AX311" s="643" t="s">
        <v>43</v>
      </c>
      <c r="AY311" s="652" t="s">
        <v>145</v>
      </c>
      <c r="AZ311" s="646"/>
      <c r="BA311" s="646"/>
      <c r="BB311" s="646"/>
      <c r="BC311" s="643"/>
      <c r="BD311" s="646"/>
      <c r="BE311" s="646"/>
      <c r="BF311" s="646"/>
      <c r="BG311" s="646"/>
      <c r="BH311" s="646"/>
      <c r="BI311" s="646">
        <v>8</v>
      </c>
      <c r="BJ311" s="646">
        <v>5</v>
      </c>
      <c r="BK311" s="646">
        <v>1350</v>
      </c>
      <c r="BL311" s="646">
        <v>1350</v>
      </c>
      <c r="BM311" s="643"/>
      <c r="BN311" s="647">
        <v>33</v>
      </c>
      <c r="BO311" s="648"/>
      <c r="BP311" s="643"/>
      <c r="BQ311" s="649" t="str">
        <f>IFERROR(WWWW[[#This Row],['#_Water sources treated]]/WWWW[[#This Row],['#_Water sources tested for contamination]],"no test")</f>
        <v>no test</v>
      </c>
      <c r="BR311" s="648" t="str">
        <f>IFERROR(WWWW[[#This Row],['#_Household received remediation action due to contamination]]/WWWW[[#This Row],['#_Household water samples tested for contamination]],"no test")</f>
        <v>no test</v>
      </c>
      <c r="BS311" s="647" t="str">
        <f>IF(AND(WWWW[[#This Row],[% of water sources treated]]="no test",WWWW[[#This Row],[% Household received corrective actions]]="no test"),"No Test","Tested")</f>
        <v>No Test</v>
      </c>
      <c r="BT311" s="647">
        <f>WWWW[[#This Row],['#_Constructed/existing protected hand dug well]]-WWWW[[#This Row],['#_Non-functional protected hand dug well]]</f>
        <v>0</v>
      </c>
      <c r="BU311" s="647">
        <f>(WWWW[[#This Row],['#_Constructed/Existing tube wells/boreholes/handpumps_WASH_agency]]+WWWW[[#This Row],['#_Non-Cluster partner water tube-wells/boreholes/handpumps]])-WWWW[[#This Row],['#_Non-functional tube wells/boreholes/handpumps]]</f>
        <v>0</v>
      </c>
      <c r="BV311" s="647">
        <f>WWWW[[#This Row],['#_Constructed/Existingwater storage tank with gravity fed reticulation system]]-WWWW[[#This Row],['#_Non-functional storage tank gravity fed reticulation system]]</f>
        <v>0</v>
      </c>
      <c r="BW311" s="647">
        <f>WWWW[[#This Row],['#_Water boating or water trucking]]</f>
        <v>0</v>
      </c>
      <c r="BX311" s="647">
        <f>WWWW[[#This Row],['#_Constructed/Existing water distribution system from river or natural spring]]</f>
        <v>0</v>
      </c>
      <c r="BY311"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11"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11" s="648">
        <f>IF(WWWW[[#This Row],[Location Type 1]]="Village",WWWW[[#This Row],[Access to safe drinking water for Village]],WWWW[[#This Row],[Access to safe drinking water for Camp]])</f>
        <v>0</v>
      </c>
      <c r="CB311" s="645">
        <f>WWWW[[#This Row],[%Equitable and continuous access to sufficient quantity of safe drinking water]]*WWWW[[#This Row],[Total PoP ]]</f>
        <v>0</v>
      </c>
      <c r="CC311" s="648">
        <f>IF((WWWW[[#This Row],['#_Constructed/Existing protected/fenced ponds]]*250)/WWWW[[#This Row],[Total PoP ]]&gt;1,1,(WWWW[[#This Row],['#_Constructed/Existing protected/fenced ponds]]*250)/WWWW[[#This Row],[Total PoP ]])</f>
        <v>0</v>
      </c>
      <c r="CD311" s="645">
        <f>WWWW[[#This Row],[% Access to unimproved water points]]*WWWW[[#This Row],[Total PoP ]]</f>
        <v>0</v>
      </c>
      <c r="CE311"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11"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11" s="645">
        <f>WWWW[[#This Row],[HRP1]]/500</f>
        <v>0</v>
      </c>
      <c r="CH311" s="650">
        <f>1-WWWW[[#This Row],[% Equitable and continuous access to sufficient quantity of domestic water]]</f>
        <v>1</v>
      </c>
      <c r="CI311" s="645">
        <f>WWWW[[#This Row],[%equitable and continuous access to sufficient quantity of safe drinking and domestic water''s GAP]]*WWWW[[#This Row],[Total PoP ]]</f>
        <v>6936</v>
      </c>
      <c r="CJ311" s="647">
        <f>IF(WWWW[[#This Row],[Total required water points]]-WWWW[[#This Row],['#Water points coverage]]&lt;0,0,WWWW[[#This Row],[Total required water points]]-WWWW[[#This Row],['#Water points coverage]])</f>
        <v>14</v>
      </c>
      <c r="CK311" s="647">
        <f>ROUND(IF(WWWW[[#This Row],[Total PoP ]]&lt;500,1,WWWW[[#This Row],[Total PoP ]]/500),0)</f>
        <v>14</v>
      </c>
      <c r="CL311" s="647">
        <f>(WWWW[[#This Row],['#_Constructed latrines_by_WASHAgencies]]+WWWW[[#This Row],['#_Non Cluster partner latrines]])-WWWW[[#This Row],['#_Non-functional latrines]]</f>
        <v>0</v>
      </c>
      <c r="CM311"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11"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11"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311" s="647">
        <f>IF(WWWW[[#This Row],[Location Type 1]]="Village","NA",IF(WWWW[[#This Row],['#_Constructed/Existing latrines in TLS]]*50&gt;WWWW[[#This Row],['#_students at TLS_CFS]],WWWW[[#This Row],['#_students at TLS_CFS]],(WWWW[[#This Row],['#_Constructed/Existing latrines in TLS]]*50)))</f>
        <v>0</v>
      </c>
      <c r="CQ311" s="647">
        <f>ROUND(IF(WWWW[[#This Row],[Location Type 1]]="camp",WWWW[[#This Row],[Total PoP ]]/20,IF(WWWW[[#This Row],[Location Type 1]]="Temporary Location",WWWW[[#This Row],[Total PoP ]]/50,(WWWW[[#This Row],[Total PoP ]]/6))),0)</f>
        <v>347</v>
      </c>
      <c r="CR311" s="647">
        <f>IF(WWWW[[#This Row],[Total required Latrines]]-(WWWW[[#This Row],['#_Constructed latrines_by_WASHAgencies]]+WWWW[[#This Row],['#_Non Cluster partner latrines]])&lt;0,0,WWWW[[#This Row],[Total required Latrines]]-(WWWW[[#This Row],['#_Constructed latrines_by_WASHAgencies]]+WWWW[[#This Row],['#_Non Cluster partner latrines]]))</f>
        <v>347</v>
      </c>
      <c r="CS311" s="79">
        <f>1-WWWW[[#This Row],[% people access to functioning Latrine]]</f>
        <v>1</v>
      </c>
      <c r="CT311" s="649">
        <f>IF(OR(WWWW[[#This Row],['#_Non-functional latrines]]="",WWWW[[#This Row],['#_Non-functional latrines]]=0),0,WWWW[[#This Row],['#_Non-functional latrines]]/(WWWW[[#This Row],['#_Constructed latrines_by_WASHAgencies]]+WWWW[[#This Row],['#_Non Cluster partner latrines]]))</f>
        <v>0</v>
      </c>
      <c r="CU311" s="645">
        <f>IF(500*(WWWW[[#This Row],['#_male hygiene promoters]]+WWWW[[#This Row],['#_female hygiene promoters]])&gt;WWWW[[#This Row],[Total PoP ]],WWWW[[#This Row],[Total PoP ]],500*(WWWW[[#This Row],['#_male hygiene promoters]]+WWWW[[#This Row],['#_female hygiene promoters]]))</f>
        <v>6500</v>
      </c>
      <c r="CV311"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6750</v>
      </c>
      <c r="CW311"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6750</v>
      </c>
      <c r="CX311" s="647">
        <f>IF(WWWW[[#This Row],['# People with access to soap]]&gt;WWWW[[#This Row],['# People with access to Sanity Pads]],WWWW[[#This Row],['# People with access to soap]],WWWW[[#This Row],['# People with access to Sanity Pads]])</f>
        <v>6750</v>
      </c>
      <c r="CY311" s="647">
        <f>IF(WWWW[[#This Row],['# people reached by regular dedicated hygiene promotion_5]]&gt;WWWW[[#This Row],['# People received regular supply of hygiene items_6]],WWWW[[#This Row],['# people reached by regular dedicated hygiene promotion_5]],WWWW[[#This Row],['# People received regular supply of hygiene items_6]])</f>
        <v>6750</v>
      </c>
      <c r="CZ311" s="650">
        <f>IF(WWWW[[#This Row],[HRP3]]/WWWW[[#This Row],[Total PoP ]]&gt;100%,100%,WWWW[[#This Row],[HRP3]]/WWWW[[#This Row],[Total PoP ]])</f>
        <v>0.97318339100346019</v>
      </c>
      <c r="DA311" s="649">
        <f>1-WWWW[[#This Row],[Hygiene Coverage%]]</f>
        <v>2.6816608996539815E-2</v>
      </c>
      <c r="DB311" s="648">
        <f>WWWW[[#This Row],['# people reached by regular dedicated hygiene promotion_5]]/WWWW[[#This Row],[Total PoP ]]</f>
        <v>0.93713956170703572</v>
      </c>
      <c r="DC311" s="648">
        <f>IF(WWWW[[#This Row],['#_households that received standard amount of soap for this quarter]]/WWWW[[#This Row],[Total HH]]&gt;1,1,WWWW[[#This Row],['#_households that received standard amount of soap for this quarter]]/WWWW[[#This Row],[Total HH]])</f>
        <v>1</v>
      </c>
      <c r="DD311" s="648">
        <f>IF(WWWW[[#This Row],['#_households that received standard amount of sanitary pads for this quarter]]/WWWW[[#This Row],[Total HH]]&gt;1,1,WWWW[[#This Row],['#_households that received standard amount of sanitary pads for this quarter]]/WWWW[[#This Row],[Total HH]])</f>
        <v>1</v>
      </c>
      <c r="DE311" s="647">
        <f>WWWW[[#This Row],['#_Constructed/Existing hand washing stations]]-WWWW[[#This Row],['#_Non-Functional_hand_washing_stations]]</f>
        <v>0</v>
      </c>
      <c r="DF311" s="667">
        <f>IF(WWWW[[#This Row],['# Functional hand washing stations during reporting period]]*20&gt;WWWW[[#This Row],[Total HH]],WWWW[[#This Row],[Total HH]],WWWW[[#This Row],['# Functional hand washing stations during reporting period]]*20)</f>
        <v>0</v>
      </c>
      <c r="DG311" s="645">
        <f>IF(WWWW[[#This Row],[Is sufficient soap available for TLS? (Yes/No)]]="yes",WWWW[[#This Row],['#_Constructed/Existing hand washing stations at TLS]],0)</f>
        <v>0</v>
      </c>
      <c r="DH311" s="645">
        <f>IF(WWWW[[#This Row],['# Functional hand washing stations during reporting period]]*100&gt;WWWW[[#This Row],[Total PoP ]],WWWW[[#This Row],[Total PoP ]],WWWW[[#This Row],['# Functional hand washing stations during reporting period]]*100)</f>
        <v>0</v>
      </c>
      <c r="DI311" s="645" t="str">
        <f>IF(WWWW[[#This Row],['#_students at TLS_CFS]]="","No","Yes")</f>
        <v>No</v>
      </c>
      <c r="DJ311" s="643" t="str">
        <f>VLOOKUP(WWWW[[#This Row],[Site Name]],SiteDB6[[Site Name]:[CCCM Management]],6,FALSE)</f>
        <v>Yes</v>
      </c>
      <c r="DK311" s="643">
        <f>VLOOKUP(WWWW[[#This Row],[Site Name]],SiteDB6[[Site Name]:[CCCM Focal Agency]],7,FALSE)</f>
        <v>0</v>
      </c>
      <c r="DL311" s="643" t="str">
        <f>VLOOKUP(WWWW[[#This Row],[Site Name]],SiteDB6[[Site Name]:[Location Type 1]],9,FALSE)</f>
        <v>Camp</v>
      </c>
      <c r="DM311" s="643" t="str">
        <f>VLOOKUP(WWWW[[#This Row],[Site Name]],SiteDB6[[Site Name]:[Type of Accommodation]],10,FALSE)</f>
        <v>Planned Camp</v>
      </c>
      <c r="DN311" s="643" t="str">
        <f>VLOOKUP(WWWW[[#This Row],[Site Name]],SiteDB6[[Site Name]:[Ethnic or GCA/NGCA]],11,FALSE)</f>
        <v>Muslim</v>
      </c>
      <c r="DO311" s="643">
        <f>VLOOKUP(WWWW[[#This Row],[Site Name]],SiteDB6[[Site Name]:[Lat]],12,FALSE)</f>
        <v>20.181405999999999</v>
      </c>
      <c r="DP311" s="643">
        <f>VLOOKUP(WWWW[[#This Row],[Site Name]],SiteDB6[[Site Name]:[Long]],13,FALSE)</f>
        <v>92.807552000000001</v>
      </c>
      <c r="DQ311" s="643" t="str">
        <f>VLOOKUP(WWWW[[#This Row],[Site Name]],SiteDB6[[Site Name]:[Pcode]],3,FALSE)</f>
        <v>MMR012CMP114</v>
      </c>
      <c r="DR311" s="652" t="str">
        <f t="shared" si="10"/>
        <v>Covered</v>
      </c>
      <c r="DS311" s="652"/>
    </row>
    <row r="312" spans="1:123">
      <c r="A312" s="637" t="s">
        <v>2525</v>
      </c>
      <c r="B312" s="637" t="s">
        <v>2376</v>
      </c>
      <c r="C312" s="644" t="s">
        <v>2376</v>
      </c>
      <c r="D312" s="644" t="s">
        <v>42</v>
      </c>
      <c r="E312" s="663" t="s">
        <v>3014</v>
      </c>
      <c r="F312" s="644" t="s">
        <v>313</v>
      </c>
      <c r="G312" s="663" t="str">
        <f>VLOOKUP(WWWW[[#This Row],[Site Name]],SiteDB6[[Site Name]:[Location Type]],8,FALSE)</f>
        <v>Camp</v>
      </c>
      <c r="H312" s="644" t="s">
        <v>442</v>
      </c>
      <c r="I312" s="646">
        <v>2009</v>
      </c>
      <c r="J312" s="646">
        <v>11625</v>
      </c>
      <c r="K312" s="653"/>
      <c r="L312" s="654">
        <v>44104</v>
      </c>
      <c r="M312" s="646"/>
      <c r="N312" s="646"/>
      <c r="O312" s="646"/>
      <c r="P312" s="646" t="s">
        <v>2941</v>
      </c>
      <c r="Q312" s="645"/>
      <c r="R312" s="646"/>
      <c r="S312" s="646"/>
      <c r="T312" s="646"/>
      <c r="U312" s="646"/>
      <c r="V312" s="646"/>
      <c r="W312" s="646">
        <v>92</v>
      </c>
      <c r="X312" s="646"/>
      <c r="Y312" s="646">
        <v>18</v>
      </c>
      <c r="Z312" s="646">
        <v>67</v>
      </c>
      <c r="AA312" s="646"/>
      <c r="AB312" s="646"/>
      <c r="AC312" s="646"/>
      <c r="AD312" s="646"/>
      <c r="AE312" s="646"/>
      <c r="AF312" s="646"/>
      <c r="AG312" s="646"/>
      <c r="AH312" s="646">
        <v>92</v>
      </c>
      <c r="AI312" s="646">
        <v>67</v>
      </c>
      <c r="AJ312" s="646">
        <v>4</v>
      </c>
      <c r="AK312" s="646">
        <v>91</v>
      </c>
      <c r="AL312" s="646">
        <v>3</v>
      </c>
      <c r="AM312" s="646"/>
      <c r="AN312" s="646"/>
      <c r="AO312" s="652"/>
      <c r="AP312" s="646">
        <v>498</v>
      </c>
      <c r="AQ312" s="646"/>
      <c r="AR312" s="648"/>
      <c r="AS312" s="646">
        <v>85</v>
      </c>
      <c r="AT312" s="646">
        <v>211</v>
      </c>
      <c r="AU312" s="646">
        <v>239</v>
      </c>
      <c r="AV312" s="646"/>
      <c r="AW312" s="646">
        <v>498</v>
      </c>
      <c r="AX312" s="643" t="s">
        <v>43</v>
      </c>
      <c r="AY312" s="652" t="s">
        <v>145</v>
      </c>
      <c r="AZ312" s="646"/>
      <c r="BA312" s="646"/>
      <c r="BB312" s="646"/>
      <c r="BC312" s="643"/>
      <c r="BD312" s="646"/>
      <c r="BE312" s="646"/>
      <c r="BF312" s="646"/>
      <c r="BG312" s="646"/>
      <c r="BH312" s="646"/>
      <c r="BI312" s="646">
        <v>12</v>
      </c>
      <c r="BJ312" s="646">
        <v>6</v>
      </c>
      <c r="BK312" s="646">
        <v>2003</v>
      </c>
      <c r="BL312" s="646">
        <v>2003</v>
      </c>
      <c r="BM312" s="643"/>
      <c r="BN312" s="647">
        <v>48</v>
      </c>
      <c r="BO312" s="648"/>
      <c r="BP312" s="643"/>
      <c r="BQ312" s="649">
        <f>IFERROR(WWWW[[#This Row],['#_Water sources treated]]/WWWW[[#This Row],['#_Water sources tested for contamination]],"no test")</f>
        <v>5.9701492537313432E-2</v>
      </c>
      <c r="BR312" s="648">
        <f>IFERROR(WWWW[[#This Row],['#_Household received remediation action due to contamination]]/WWWW[[#This Row],['#_Household water samples tested for contamination]],"no test")</f>
        <v>3.2967032967032968E-2</v>
      </c>
      <c r="BS312" s="647" t="str">
        <f>IF(AND(WWWW[[#This Row],[% of water sources treated]]="no test",WWWW[[#This Row],[% Household received corrective actions]]="no test"),"No Test","Tested")</f>
        <v>Tested</v>
      </c>
      <c r="BT312" s="647">
        <f>WWWW[[#This Row],['#_Constructed/existing protected hand dug well]]-WWWW[[#This Row],['#_Non-functional protected hand dug well]]</f>
        <v>0</v>
      </c>
      <c r="BU312" s="647">
        <f>(WWWW[[#This Row],['#_Constructed/Existing tube wells/boreholes/handpumps_WASH_agency]]+WWWW[[#This Row],['#_Non-Cluster partner water tube-wells/boreholes/handpumps]])-WWWW[[#This Row],['#_Non-functional tube wells/boreholes/handpumps]]</f>
        <v>74</v>
      </c>
      <c r="BV312" s="647">
        <f>WWWW[[#This Row],['#_Constructed/Existingwater storage tank with gravity fed reticulation system]]-WWWW[[#This Row],['#_Non-functional storage tank gravity fed reticulation system]]</f>
        <v>0</v>
      </c>
      <c r="BW312" s="647">
        <f>WWWW[[#This Row],['#_Water boating or water trucking]]</f>
        <v>0</v>
      </c>
      <c r="BX312" s="647">
        <f>WWWW[[#This Row],['#_Constructed/Existing water distribution system from river or natural spring]]</f>
        <v>0</v>
      </c>
      <c r="BY312"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312"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312" s="648">
        <f>IF(WWWW[[#This Row],[Location Type 1]]="Village",WWWW[[#This Row],[Access to safe drinking water for Village]],WWWW[[#This Row],[Access to safe drinking water for Camp]])</f>
        <v>1</v>
      </c>
      <c r="CB312" s="645">
        <f>WWWW[[#This Row],[%Equitable and continuous access to sufficient quantity of safe drinking water]]*WWWW[[#This Row],[Total PoP ]]</f>
        <v>11625</v>
      </c>
      <c r="CC312" s="648">
        <f>IF((WWWW[[#This Row],['#_Constructed/Existing protected/fenced ponds]]*250)/WWWW[[#This Row],[Total PoP ]]&gt;1,1,(WWWW[[#This Row],['#_Constructed/Existing protected/fenced ponds]]*250)/WWWW[[#This Row],[Total PoP ]])</f>
        <v>0</v>
      </c>
      <c r="CD312" s="645">
        <f>WWWW[[#This Row],[% Access to unimproved water points]]*WWWW[[#This Row],[Total PoP ]]</f>
        <v>0</v>
      </c>
      <c r="CE312"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12"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11625</v>
      </c>
      <c r="CG312" s="645">
        <f>WWWW[[#This Row],[HRP1]]/500</f>
        <v>23.25</v>
      </c>
      <c r="CH312" s="650">
        <f>1-WWWW[[#This Row],[% Equitable and continuous access to sufficient quantity of domestic water]]</f>
        <v>0</v>
      </c>
      <c r="CI312" s="645">
        <f>WWWW[[#This Row],[%equitable and continuous access to sufficient quantity of safe drinking and domestic water''s GAP]]*WWWW[[#This Row],[Total PoP ]]</f>
        <v>0</v>
      </c>
      <c r="CJ312" s="647">
        <f>IF(WWWW[[#This Row],[Total required water points]]-WWWW[[#This Row],['#Water points coverage]]&lt;0,0,WWWW[[#This Row],[Total required water points]]-WWWW[[#This Row],['#Water points coverage]])</f>
        <v>0</v>
      </c>
      <c r="CK312" s="647">
        <f>ROUND(IF(WWWW[[#This Row],[Total PoP ]]&lt;500,1,WWWW[[#This Row],[Total PoP ]]/500),0)</f>
        <v>23</v>
      </c>
      <c r="CL312" s="647">
        <f>(WWWW[[#This Row],['#_Constructed latrines_by_WASHAgencies]]+WWWW[[#This Row],['#_Non Cluster partner latrines]])-WWWW[[#This Row],['#_Non-functional latrines]]</f>
        <v>413</v>
      </c>
      <c r="CM312"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0.71053763440860218</v>
      </c>
      <c r="CN312"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8260</v>
      </c>
      <c r="CO312"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4780</v>
      </c>
      <c r="CP312" s="647">
        <f>IF(WWWW[[#This Row],[Location Type 1]]="Village","NA",IF(WWWW[[#This Row],['#_Constructed/Existing latrines in TLS]]*50&gt;WWWW[[#This Row],['#_students at TLS_CFS]],WWWW[[#This Row],['#_students at TLS_CFS]],(WWWW[[#This Row],['#_Constructed/Existing latrines in TLS]]*50)))</f>
        <v>0</v>
      </c>
      <c r="CQ312" s="647">
        <f>ROUND(IF(WWWW[[#This Row],[Location Type 1]]="camp",WWWW[[#This Row],[Total PoP ]]/20,IF(WWWW[[#This Row],[Location Type 1]]="Temporary Location",WWWW[[#This Row],[Total PoP ]]/50,(WWWW[[#This Row],[Total PoP ]]/6))),0)</f>
        <v>581</v>
      </c>
      <c r="CR312" s="647">
        <f>IF(WWWW[[#This Row],[Total required Latrines]]-(WWWW[[#This Row],['#_Constructed latrines_by_WASHAgencies]]+WWWW[[#This Row],['#_Non Cluster partner latrines]])&lt;0,0,WWWW[[#This Row],[Total required Latrines]]-(WWWW[[#This Row],['#_Constructed latrines_by_WASHAgencies]]+WWWW[[#This Row],['#_Non Cluster partner latrines]]))</f>
        <v>83</v>
      </c>
      <c r="CS312" s="79">
        <f>1-WWWW[[#This Row],[% people access to functioning Latrine]]</f>
        <v>0.28946236559139782</v>
      </c>
      <c r="CT312" s="649">
        <f>IF(OR(WWWW[[#This Row],['#_Non-functional latrines]]="",WWWW[[#This Row],['#_Non-functional latrines]]=0),0,WWWW[[#This Row],['#_Non-functional latrines]]/(WWWW[[#This Row],['#_Constructed latrines_by_WASHAgencies]]+WWWW[[#This Row],['#_Non Cluster partner latrines]]))</f>
        <v>0.17068273092369479</v>
      </c>
      <c r="CU312" s="645">
        <f>IF(500*(WWWW[[#This Row],['#_male hygiene promoters]]+WWWW[[#This Row],['#_female hygiene promoters]])&gt;WWWW[[#This Row],[Total PoP ]],WWWW[[#This Row],[Total PoP ]],500*(WWWW[[#This Row],['#_male hygiene promoters]]+WWWW[[#This Row],['#_female hygiene promoters]]))</f>
        <v>9000</v>
      </c>
      <c r="CV312"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10015</v>
      </c>
      <c r="CW312"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10015</v>
      </c>
      <c r="CX312" s="647">
        <f>IF(WWWW[[#This Row],['# People with access to soap]]&gt;WWWW[[#This Row],['# People with access to Sanity Pads]],WWWW[[#This Row],['# People with access to soap]],WWWW[[#This Row],['# People with access to Sanity Pads]])</f>
        <v>10015</v>
      </c>
      <c r="CY312" s="647">
        <f>IF(WWWW[[#This Row],['# people reached by regular dedicated hygiene promotion_5]]&gt;WWWW[[#This Row],['# People received regular supply of hygiene items_6]],WWWW[[#This Row],['# people reached by regular dedicated hygiene promotion_5]],WWWW[[#This Row],['# People received regular supply of hygiene items_6]])</f>
        <v>10015</v>
      </c>
      <c r="CZ312" s="650">
        <f>IF(WWWW[[#This Row],[HRP3]]/WWWW[[#This Row],[Total PoP ]]&gt;100%,100%,WWWW[[#This Row],[HRP3]]/WWWW[[#This Row],[Total PoP ]])</f>
        <v>0.86150537634408597</v>
      </c>
      <c r="DA312" s="649">
        <f>1-WWWW[[#This Row],[Hygiene Coverage%]]</f>
        <v>0.13849462365591403</v>
      </c>
      <c r="DB312" s="648">
        <f>WWWW[[#This Row],['# people reached by regular dedicated hygiene promotion_5]]/WWWW[[#This Row],[Total PoP ]]</f>
        <v>0.77419354838709675</v>
      </c>
      <c r="DC312" s="648">
        <f>IF(WWWW[[#This Row],['#_households that received standard amount of soap for this quarter]]/WWWW[[#This Row],[Total HH]]&gt;1,1,WWWW[[#This Row],['#_households that received standard amount of soap for this quarter]]/WWWW[[#This Row],[Total HH]])</f>
        <v>0.99701343952215027</v>
      </c>
      <c r="DD312" s="648">
        <f>IF(WWWW[[#This Row],['#_households that received standard amount of sanitary pads for this quarter]]/WWWW[[#This Row],[Total HH]]&gt;1,1,WWWW[[#This Row],['#_households that received standard amount of sanitary pads for this quarter]]/WWWW[[#This Row],[Total HH]])</f>
        <v>0.99701343952215027</v>
      </c>
      <c r="DE312" s="647">
        <f>WWWW[[#This Row],['#_Constructed/Existing hand washing stations]]-WWWW[[#This Row],['#_Non-Functional_hand_washing_stations]]</f>
        <v>0</v>
      </c>
      <c r="DF312" s="667">
        <f>IF(WWWW[[#This Row],['# Functional hand washing stations during reporting period]]*20&gt;WWWW[[#This Row],[Total HH]],WWWW[[#This Row],[Total HH]],WWWW[[#This Row],['# Functional hand washing stations during reporting period]]*20)</f>
        <v>0</v>
      </c>
      <c r="DG312" s="645">
        <f>IF(WWWW[[#This Row],[Is sufficient soap available for TLS? (Yes/No)]]="yes",WWWW[[#This Row],['#_Constructed/Existing hand washing stations at TLS]],0)</f>
        <v>0</v>
      </c>
      <c r="DH312" s="645">
        <f>IF(WWWW[[#This Row],['# Functional hand washing stations during reporting period]]*100&gt;WWWW[[#This Row],[Total PoP ]],WWWW[[#This Row],[Total PoP ]],WWWW[[#This Row],['# Functional hand washing stations during reporting period]]*100)</f>
        <v>0</v>
      </c>
      <c r="DI312" s="645" t="str">
        <f>IF(WWWW[[#This Row],['#_students at TLS_CFS]]="","No","Yes")</f>
        <v>No</v>
      </c>
      <c r="DJ312" s="643" t="str">
        <f>VLOOKUP(WWWW[[#This Row],[Site Name]],SiteDB6[[Site Name]:[CCCM Management]],6,FALSE)</f>
        <v>Yes</v>
      </c>
      <c r="DK312" s="643">
        <f>VLOOKUP(WWWW[[#This Row],[Site Name]],SiteDB6[[Site Name]:[CCCM Focal Agency]],7,FALSE)</f>
        <v>0</v>
      </c>
      <c r="DL312" s="643" t="str">
        <f>VLOOKUP(WWWW[[#This Row],[Site Name]],SiteDB6[[Site Name]:[Location Type 1]],9,FALSE)</f>
        <v>Camp</v>
      </c>
      <c r="DM312" s="643" t="str">
        <f>VLOOKUP(WWWW[[#This Row],[Site Name]],SiteDB6[[Site Name]:[Type of Accommodation]],10,FALSE)</f>
        <v>Planned Camp</v>
      </c>
      <c r="DN312" s="643" t="str">
        <f>VLOOKUP(WWWW[[#This Row],[Site Name]],SiteDB6[[Site Name]:[Ethnic or GCA/NGCA]],11,FALSE)</f>
        <v>Muslim</v>
      </c>
      <c r="DO312" s="643">
        <f>VLOOKUP(WWWW[[#This Row],[Site Name]],SiteDB6[[Site Name]:[Lat]],12,FALSE)</f>
        <v>20.16846</v>
      </c>
      <c r="DP312" s="643">
        <f>VLOOKUP(WWWW[[#This Row],[Site Name]],SiteDB6[[Site Name]:[Long]],13,FALSE)</f>
        <v>92.827427</v>
      </c>
      <c r="DQ312" s="643" t="str">
        <f>VLOOKUP(WWWW[[#This Row],[Site Name]],SiteDB6[[Site Name]:[Pcode]],3,FALSE)</f>
        <v>MMR012CMP041</v>
      </c>
      <c r="DR312" s="652" t="str">
        <f t="shared" si="10"/>
        <v>Covered</v>
      </c>
      <c r="DS312" s="652"/>
    </row>
    <row r="313" spans="1:123">
      <c r="A313" s="637" t="s">
        <v>2525</v>
      </c>
      <c r="B313" s="637" t="s">
        <v>2376</v>
      </c>
      <c r="C313" s="644" t="s">
        <v>2376</v>
      </c>
      <c r="D313" s="644" t="s">
        <v>42</v>
      </c>
      <c r="E313" s="663" t="s">
        <v>3014</v>
      </c>
      <c r="F313" s="644" t="s">
        <v>313</v>
      </c>
      <c r="G313" s="663" t="str">
        <f>VLOOKUP(WWWW[[#This Row],[Site Name]],SiteDB6[[Site Name]:[Location Type]],8,FALSE)</f>
        <v>Camp</v>
      </c>
      <c r="H313" s="644" t="s">
        <v>441</v>
      </c>
      <c r="I313" s="646">
        <v>604</v>
      </c>
      <c r="J313" s="646">
        <v>3360</v>
      </c>
      <c r="K313" s="653"/>
      <c r="L313" s="654">
        <v>44104</v>
      </c>
      <c r="M313" s="646"/>
      <c r="N313" s="646"/>
      <c r="O313" s="646"/>
      <c r="P313" s="646" t="s">
        <v>2941</v>
      </c>
      <c r="Q313" s="645"/>
      <c r="R313" s="646"/>
      <c r="S313" s="646"/>
      <c r="T313" s="646"/>
      <c r="U313" s="646"/>
      <c r="V313" s="646"/>
      <c r="W313" s="646">
        <v>20</v>
      </c>
      <c r="X313" s="646"/>
      <c r="Y313" s="646">
        <v>1</v>
      </c>
      <c r="Z313" s="646">
        <v>1</v>
      </c>
      <c r="AA313" s="646"/>
      <c r="AB313" s="646"/>
      <c r="AC313" s="646"/>
      <c r="AD313" s="646"/>
      <c r="AE313" s="646"/>
      <c r="AF313" s="646"/>
      <c r="AG313" s="646"/>
      <c r="AH313" s="646">
        <v>20</v>
      </c>
      <c r="AI313" s="646">
        <v>21</v>
      </c>
      <c r="AJ313" s="646">
        <v>1</v>
      </c>
      <c r="AK313" s="646">
        <v>26</v>
      </c>
      <c r="AL313" s="646">
        <v>1</v>
      </c>
      <c r="AM313" s="646"/>
      <c r="AN313" s="646"/>
      <c r="AO313" s="652"/>
      <c r="AP313" s="646"/>
      <c r="AQ313" s="646"/>
      <c r="AR313" s="648"/>
      <c r="AS313" s="646"/>
      <c r="AT313" s="646">
        <v>0</v>
      </c>
      <c r="AU313" s="646">
        <v>0</v>
      </c>
      <c r="AV313" s="646"/>
      <c r="AW313" s="646"/>
      <c r="AX313" s="643" t="s">
        <v>43</v>
      </c>
      <c r="AY313" s="652" t="s">
        <v>148</v>
      </c>
      <c r="AZ313" s="646"/>
      <c r="BA313" s="646"/>
      <c r="BB313" s="646"/>
      <c r="BC313" s="643"/>
      <c r="BD313" s="646"/>
      <c r="BE313" s="646"/>
      <c r="BF313" s="646"/>
      <c r="BG313" s="646"/>
      <c r="BH313" s="646"/>
      <c r="BI313" s="646">
        <v>8</v>
      </c>
      <c r="BJ313" s="646">
        <v>3</v>
      </c>
      <c r="BK313" s="646">
        <v>594</v>
      </c>
      <c r="BL313" s="646">
        <v>594</v>
      </c>
      <c r="BM313" s="643"/>
      <c r="BN313" s="647">
        <v>35</v>
      </c>
      <c r="BO313" s="648"/>
      <c r="BP313" s="643"/>
      <c r="BQ313" s="649">
        <f>IFERROR(WWWW[[#This Row],['#_Water sources treated]]/WWWW[[#This Row],['#_Water sources tested for contamination]],"no test")</f>
        <v>4.7619047619047616E-2</v>
      </c>
      <c r="BR313" s="648">
        <f>IFERROR(WWWW[[#This Row],['#_Household received remediation action due to contamination]]/WWWW[[#This Row],['#_Household water samples tested for contamination]],"no test")</f>
        <v>3.8461538461538464E-2</v>
      </c>
      <c r="BS313" s="647" t="str">
        <f>IF(AND(WWWW[[#This Row],[% of water sources treated]]="no test",WWWW[[#This Row],[% Household received corrective actions]]="no test"),"No Test","Tested")</f>
        <v>Tested</v>
      </c>
      <c r="BT313" s="647">
        <f>WWWW[[#This Row],['#_Constructed/existing protected hand dug well]]-WWWW[[#This Row],['#_Non-functional protected hand dug well]]</f>
        <v>0</v>
      </c>
      <c r="BU313" s="647">
        <f>(WWWW[[#This Row],['#_Constructed/Existing tube wells/boreholes/handpumps_WASH_agency]]+WWWW[[#This Row],['#_Non-Cluster partner water tube-wells/boreholes/handpumps]])-WWWW[[#This Row],['#_Non-functional tube wells/boreholes/handpumps]]</f>
        <v>19</v>
      </c>
      <c r="BV313" s="647">
        <f>WWWW[[#This Row],['#_Constructed/Existingwater storage tank with gravity fed reticulation system]]-WWWW[[#This Row],['#_Non-functional storage tank gravity fed reticulation system]]</f>
        <v>0</v>
      </c>
      <c r="BW313" s="647">
        <f>WWWW[[#This Row],['#_Water boating or water trucking]]</f>
        <v>0</v>
      </c>
      <c r="BX313" s="647">
        <f>WWWW[[#This Row],['#_Constructed/Existing water distribution system from river or natural spring]]</f>
        <v>0</v>
      </c>
      <c r="BY313"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313"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313" s="648">
        <f>IF(WWWW[[#This Row],[Location Type 1]]="Village",WWWW[[#This Row],[Access to safe drinking water for Village]],WWWW[[#This Row],[Access to safe drinking water for Camp]])</f>
        <v>1</v>
      </c>
      <c r="CB313" s="645">
        <f>WWWW[[#This Row],[%Equitable and continuous access to sufficient quantity of safe drinking water]]*WWWW[[#This Row],[Total PoP ]]</f>
        <v>3360</v>
      </c>
      <c r="CC313" s="648">
        <f>IF((WWWW[[#This Row],['#_Constructed/Existing protected/fenced ponds]]*250)/WWWW[[#This Row],[Total PoP ]]&gt;1,1,(WWWW[[#This Row],['#_Constructed/Existing protected/fenced ponds]]*250)/WWWW[[#This Row],[Total PoP ]])</f>
        <v>0</v>
      </c>
      <c r="CD313" s="645">
        <f>WWWW[[#This Row],[% Access to unimproved water points]]*WWWW[[#This Row],[Total PoP ]]</f>
        <v>0</v>
      </c>
      <c r="CE313"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13"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3360</v>
      </c>
      <c r="CG313" s="645">
        <f>WWWW[[#This Row],[HRP1]]/500</f>
        <v>6.72</v>
      </c>
      <c r="CH313" s="650">
        <f>1-WWWW[[#This Row],[% Equitable and continuous access to sufficient quantity of domestic water]]</f>
        <v>0</v>
      </c>
      <c r="CI313" s="645">
        <f>WWWW[[#This Row],[%equitable and continuous access to sufficient quantity of safe drinking and domestic water''s GAP]]*WWWW[[#This Row],[Total PoP ]]</f>
        <v>0</v>
      </c>
      <c r="CJ313" s="647">
        <f>IF(WWWW[[#This Row],[Total required water points]]-WWWW[[#This Row],['#Water points coverage]]&lt;0,0,WWWW[[#This Row],[Total required water points]]-WWWW[[#This Row],['#Water points coverage]])</f>
        <v>0.28000000000000025</v>
      </c>
      <c r="CK313" s="647">
        <f>ROUND(IF(WWWW[[#This Row],[Total PoP ]]&lt;500,1,WWWW[[#This Row],[Total PoP ]]/500),0)</f>
        <v>7</v>
      </c>
      <c r="CL313" s="647">
        <f>(WWWW[[#This Row],['#_Constructed latrines_by_WASHAgencies]]+WWWW[[#This Row],['#_Non Cluster partner latrines]])-WWWW[[#This Row],['#_Non-functional latrines]]</f>
        <v>0</v>
      </c>
      <c r="CM313"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13"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13"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313" s="647">
        <f>IF(WWWW[[#This Row],[Location Type 1]]="Village","NA",IF(WWWW[[#This Row],['#_Constructed/Existing latrines in TLS]]*50&gt;WWWW[[#This Row],['#_students at TLS_CFS]],WWWW[[#This Row],['#_students at TLS_CFS]],(WWWW[[#This Row],['#_Constructed/Existing latrines in TLS]]*50)))</f>
        <v>0</v>
      </c>
      <c r="CQ313" s="647">
        <f>ROUND(IF(WWWW[[#This Row],[Location Type 1]]="camp",WWWW[[#This Row],[Total PoP ]]/20,IF(WWWW[[#This Row],[Location Type 1]]="Temporary Location",WWWW[[#This Row],[Total PoP ]]/50,(WWWW[[#This Row],[Total PoP ]]/6))),0)</f>
        <v>168</v>
      </c>
      <c r="CR313" s="647">
        <f>IF(WWWW[[#This Row],[Total required Latrines]]-(WWWW[[#This Row],['#_Constructed latrines_by_WASHAgencies]]+WWWW[[#This Row],['#_Non Cluster partner latrines]])&lt;0,0,WWWW[[#This Row],[Total required Latrines]]-(WWWW[[#This Row],['#_Constructed latrines_by_WASHAgencies]]+WWWW[[#This Row],['#_Non Cluster partner latrines]]))</f>
        <v>168</v>
      </c>
      <c r="CS313" s="79">
        <f>1-WWWW[[#This Row],[% people access to functioning Latrine]]</f>
        <v>1</v>
      </c>
      <c r="CT313" s="649">
        <f>IF(OR(WWWW[[#This Row],['#_Non-functional latrines]]="",WWWW[[#This Row],['#_Non-functional latrines]]=0),0,WWWW[[#This Row],['#_Non-functional latrines]]/(WWWW[[#This Row],['#_Constructed latrines_by_WASHAgencies]]+WWWW[[#This Row],['#_Non Cluster partner latrines]]))</f>
        <v>0</v>
      </c>
      <c r="CU313" s="645">
        <f>IF(500*(WWWW[[#This Row],['#_male hygiene promoters]]+WWWW[[#This Row],['#_female hygiene promoters]])&gt;WWWW[[#This Row],[Total PoP ]],WWWW[[#This Row],[Total PoP ]],500*(WWWW[[#This Row],['#_male hygiene promoters]]+WWWW[[#This Row],['#_female hygiene promoters]]))</f>
        <v>3360</v>
      </c>
      <c r="CV313"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2970</v>
      </c>
      <c r="CW313"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2970</v>
      </c>
      <c r="CX313" s="647">
        <f>IF(WWWW[[#This Row],['# People with access to soap]]&gt;WWWW[[#This Row],['# People with access to Sanity Pads]],WWWW[[#This Row],['# People with access to soap]],WWWW[[#This Row],['# People with access to Sanity Pads]])</f>
        <v>2970</v>
      </c>
      <c r="CY313" s="647">
        <f>IF(WWWW[[#This Row],['# people reached by regular dedicated hygiene promotion_5]]&gt;WWWW[[#This Row],['# People received regular supply of hygiene items_6]],WWWW[[#This Row],['# people reached by regular dedicated hygiene promotion_5]],WWWW[[#This Row],['# People received regular supply of hygiene items_6]])</f>
        <v>3360</v>
      </c>
      <c r="CZ313" s="650">
        <f>IF(WWWW[[#This Row],[HRP3]]/WWWW[[#This Row],[Total PoP ]]&gt;100%,100%,WWWW[[#This Row],[HRP3]]/WWWW[[#This Row],[Total PoP ]])</f>
        <v>1</v>
      </c>
      <c r="DA313" s="649">
        <f>1-WWWW[[#This Row],[Hygiene Coverage%]]</f>
        <v>0</v>
      </c>
      <c r="DB313" s="648">
        <f>WWWW[[#This Row],['# people reached by regular dedicated hygiene promotion_5]]/WWWW[[#This Row],[Total PoP ]]</f>
        <v>1</v>
      </c>
      <c r="DC313" s="648">
        <f>IF(WWWW[[#This Row],['#_households that received standard amount of soap for this quarter]]/WWWW[[#This Row],[Total HH]]&gt;1,1,WWWW[[#This Row],['#_households that received standard amount of soap for this quarter]]/WWWW[[#This Row],[Total HH]])</f>
        <v>0.98344370860927155</v>
      </c>
      <c r="DD313" s="648">
        <f>IF(WWWW[[#This Row],['#_households that received standard amount of sanitary pads for this quarter]]/WWWW[[#This Row],[Total HH]]&gt;1,1,WWWW[[#This Row],['#_households that received standard amount of sanitary pads for this quarter]]/WWWW[[#This Row],[Total HH]])</f>
        <v>0.98344370860927155</v>
      </c>
      <c r="DE313" s="647">
        <f>WWWW[[#This Row],['#_Constructed/Existing hand washing stations]]-WWWW[[#This Row],['#_Non-Functional_hand_washing_stations]]</f>
        <v>0</v>
      </c>
      <c r="DF313" s="667">
        <f>IF(WWWW[[#This Row],['# Functional hand washing stations during reporting period]]*20&gt;WWWW[[#This Row],[Total HH]],WWWW[[#This Row],[Total HH]],WWWW[[#This Row],['# Functional hand washing stations during reporting period]]*20)</f>
        <v>0</v>
      </c>
      <c r="DG313" s="645">
        <f>IF(WWWW[[#This Row],[Is sufficient soap available for TLS? (Yes/No)]]="yes",WWWW[[#This Row],['#_Constructed/Existing hand washing stations at TLS]],0)</f>
        <v>0</v>
      </c>
      <c r="DH313" s="645">
        <f>IF(WWWW[[#This Row],['# Functional hand washing stations during reporting period]]*100&gt;WWWW[[#This Row],[Total PoP ]],WWWW[[#This Row],[Total PoP ]],WWWW[[#This Row],['# Functional hand washing stations during reporting period]]*100)</f>
        <v>0</v>
      </c>
      <c r="DI313" s="645" t="str">
        <f>IF(WWWW[[#This Row],['#_students at TLS_CFS]]="","No","Yes")</f>
        <v>No</v>
      </c>
      <c r="DJ313" s="643" t="str">
        <f>VLOOKUP(WWWW[[#This Row],[Site Name]],SiteDB6[[Site Name]:[CCCM Management]],6,FALSE)</f>
        <v>Yes</v>
      </c>
      <c r="DK313" s="643">
        <f>VLOOKUP(WWWW[[#This Row],[Site Name]],SiteDB6[[Site Name]:[CCCM Focal Agency]],7,FALSE)</f>
        <v>0</v>
      </c>
      <c r="DL313" s="643" t="str">
        <f>VLOOKUP(WWWW[[#This Row],[Site Name]],SiteDB6[[Site Name]:[Location Type 1]],9,FALSE)</f>
        <v>Camp</v>
      </c>
      <c r="DM313" s="643" t="str">
        <f>VLOOKUP(WWWW[[#This Row],[Site Name]],SiteDB6[[Site Name]:[Type of Accommodation]],10,FALSE)</f>
        <v>Host Families</v>
      </c>
      <c r="DN313" s="643" t="str">
        <f>VLOOKUP(WWWW[[#This Row],[Site Name]],SiteDB6[[Site Name]:[Ethnic or GCA/NGCA]],11,FALSE)</f>
        <v>Muslim</v>
      </c>
      <c r="DO313" s="643">
        <f>VLOOKUP(WWWW[[#This Row],[Site Name]],SiteDB6[[Site Name]:[Lat]],12,FALSE)</f>
        <v>20.167421999999998</v>
      </c>
      <c r="DP313" s="643">
        <f>VLOOKUP(WWWW[[#This Row],[Site Name]],SiteDB6[[Site Name]:[Long]],13,FALSE)</f>
        <v>92.830074999999994</v>
      </c>
      <c r="DQ313" s="643" t="str">
        <f>VLOOKUP(WWWW[[#This Row],[Site Name]],SiteDB6[[Site Name]:[Pcode]],3,FALSE)</f>
        <v>MMR012CMP097</v>
      </c>
      <c r="DR313" s="652" t="str">
        <f t="shared" si="10"/>
        <v>Covered</v>
      </c>
      <c r="DS313" s="652"/>
    </row>
    <row r="314" spans="1:123">
      <c r="A314" s="637" t="s">
        <v>2525</v>
      </c>
      <c r="B314" s="637" t="s">
        <v>2376</v>
      </c>
      <c r="C314" s="644" t="s">
        <v>2376</v>
      </c>
      <c r="D314" s="644"/>
      <c r="E314" s="663" t="s">
        <v>3014</v>
      </c>
      <c r="F314" s="644" t="s">
        <v>313</v>
      </c>
      <c r="G314" s="663" t="str">
        <f>VLOOKUP(WWWW[[#This Row],[Site Name]],SiteDB6[[Site Name]:[Location Type]],8,FALSE)</f>
        <v>Camp</v>
      </c>
      <c r="H314" s="644" t="s">
        <v>3004</v>
      </c>
      <c r="I314" s="646">
        <v>14</v>
      </c>
      <c r="J314" s="646">
        <v>93</v>
      </c>
      <c r="K314" s="653"/>
      <c r="L314" s="654"/>
      <c r="M314" s="646"/>
      <c r="N314" s="646"/>
      <c r="O314" s="646"/>
      <c r="P314" s="646" t="s">
        <v>2941</v>
      </c>
      <c r="Q314" s="645"/>
      <c r="R314" s="646"/>
      <c r="S314" s="646"/>
      <c r="T314" s="646"/>
      <c r="U314" s="646"/>
      <c r="V314" s="646"/>
      <c r="W314" s="646"/>
      <c r="X314" s="646"/>
      <c r="Y314" s="646"/>
      <c r="Z314" s="646" t="s">
        <v>2941</v>
      </c>
      <c r="AA314" s="646"/>
      <c r="AB314" s="646"/>
      <c r="AC314" s="646"/>
      <c r="AD314" s="646"/>
      <c r="AE314" s="646"/>
      <c r="AF314" s="646"/>
      <c r="AG314" s="646"/>
      <c r="AH314" s="646" t="s">
        <v>2941</v>
      </c>
      <c r="AI314" s="646"/>
      <c r="AJ314" s="646"/>
      <c r="AK314" s="646"/>
      <c r="AL314" s="646"/>
      <c r="AM314" s="646"/>
      <c r="AN314" s="646"/>
      <c r="AO314" s="652"/>
      <c r="AP314" s="646"/>
      <c r="AQ314" s="646"/>
      <c r="AR314" s="648"/>
      <c r="AS314" s="646"/>
      <c r="AT314" s="646">
        <v>0</v>
      </c>
      <c r="AU314" s="646">
        <v>0</v>
      </c>
      <c r="AV314" s="646"/>
      <c r="AW314" s="646"/>
      <c r="AX314" s="643" t="s">
        <v>43</v>
      </c>
      <c r="AY314" s="652" t="s">
        <v>148</v>
      </c>
      <c r="AZ314" s="646"/>
      <c r="BA314" s="646"/>
      <c r="BB314" s="646"/>
      <c r="BC314" s="643"/>
      <c r="BD314" s="646"/>
      <c r="BE314" s="646"/>
      <c r="BF314" s="646"/>
      <c r="BG314" s="646"/>
      <c r="BH314" s="646"/>
      <c r="BI314" s="646"/>
      <c r="BJ314" s="646"/>
      <c r="BK314" s="646"/>
      <c r="BL314" s="646"/>
      <c r="BM314" s="643"/>
      <c r="BN314" s="647"/>
      <c r="BO314" s="648"/>
      <c r="BP314" s="643"/>
      <c r="BQ314" s="649" t="str">
        <f>IFERROR(WWWW[[#This Row],['#_Water sources treated]]/WWWW[[#This Row],['#_Water sources tested for contamination]],"no test")</f>
        <v>no test</v>
      </c>
      <c r="BR314" s="648" t="str">
        <f>IFERROR(WWWW[[#This Row],['#_Household received remediation action due to contamination]]/WWWW[[#This Row],['#_Household water samples tested for contamination]],"no test")</f>
        <v>no test</v>
      </c>
      <c r="BS314" s="647" t="str">
        <f>IF(AND(WWWW[[#This Row],[% of water sources treated]]="no test",WWWW[[#This Row],[% Household received corrective actions]]="no test"),"No Test","Tested")</f>
        <v>No Test</v>
      </c>
      <c r="BT314" s="647">
        <f>WWWW[[#This Row],['#_Constructed/existing protected hand dug well]]-WWWW[[#This Row],['#_Non-functional protected hand dug well]]</f>
        <v>0</v>
      </c>
      <c r="BU314" s="647">
        <f>(WWWW[[#This Row],['#_Constructed/Existing tube wells/boreholes/handpumps_WASH_agency]]+WWWW[[#This Row],['#_Non-Cluster partner water tube-wells/boreholes/handpumps]])-WWWW[[#This Row],['#_Non-functional tube wells/boreholes/handpumps]]</f>
        <v>0</v>
      </c>
      <c r="BV314" s="647">
        <f>WWWW[[#This Row],['#_Constructed/Existingwater storage tank with gravity fed reticulation system]]-WWWW[[#This Row],['#_Non-functional storage tank gravity fed reticulation system]]</f>
        <v>0</v>
      </c>
      <c r="BW314" s="647">
        <f>WWWW[[#This Row],['#_Water boating or water trucking]]</f>
        <v>0</v>
      </c>
      <c r="BX314" s="647">
        <f>WWWW[[#This Row],['#_Constructed/Existing water distribution system from river or natural spring]]</f>
        <v>0</v>
      </c>
      <c r="BY314"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14"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14" s="648">
        <f>IF(WWWW[[#This Row],[Location Type 1]]="Village",WWWW[[#This Row],[Access to safe drinking water for Village]],WWWW[[#This Row],[Access to safe drinking water for Camp]])</f>
        <v>0</v>
      </c>
      <c r="CB314" s="645">
        <f>WWWW[[#This Row],[%Equitable and continuous access to sufficient quantity of safe drinking water]]*WWWW[[#This Row],[Total PoP ]]</f>
        <v>0</v>
      </c>
      <c r="CC314" s="648">
        <f>IF((WWWW[[#This Row],['#_Constructed/Existing protected/fenced ponds]]*250)/WWWW[[#This Row],[Total PoP ]]&gt;1,1,(WWWW[[#This Row],['#_Constructed/Existing protected/fenced ponds]]*250)/WWWW[[#This Row],[Total PoP ]])</f>
        <v>0</v>
      </c>
      <c r="CD314" s="645">
        <f>WWWW[[#This Row],[% Access to unimproved water points]]*WWWW[[#This Row],[Total PoP ]]</f>
        <v>0</v>
      </c>
      <c r="CE314"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14"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14" s="645">
        <f>WWWW[[#This Row],[HRP1]]/500</f>
        <v>0</v>
      </c>
      <c r="CH314" s="650">
        <f>1-WWWW[[#This Row],[% Equitable and continuous access to sufficient quantity of domestic water]]</f>
        <v>1</v>
      </c>
      <c r="CI314" s="645">
        <f>WWWW[[#This Row],[%equitable and continuous access to sufficient quantity of safe drinking and domestic water''s GAP]]*WWWW[[#This Row],[Total PoP ]]</f>
        <v>93</v>
      </c>
      <c r="CJ314" s="647">
        <f>IF(WWWW[[#This Row],[Total required water points]]-WWWW[[#This Row],['#Water points coverage]]&lt;0,0,WWWW[[#This Row],[Total required water points]]-WWWW[[#This Row],['#Water points coverage]])</f>
        <v>1</v>
      </c>
      <c r="CK314" s="647">
        <f>ROUND(IF(WWWW[[#This Row],[Total PoP ]]&lt;500,1,WWWW[[#This Row],[Total PoP ]]/500),0)</f>
        <v>1</v>
      </c>
      <c r="CL314" s="647">
        <f>(WWWW[[#This Row],['#_Constructed latrines_by_WASHAgencies]]+WWWW[[#This Row],['#_Non Cluster partner latrines]])-WWWW[[#This Row],['#_Non-functional latrines]]</f>
        <v>0</v>
      </c>
      <c r="CM314"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14"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14"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314" s="647">
        <f>IF(WWWW[[#This Row],[Location Type 1]]="Village","NA",IF(WWWW[[#This Row],['#_Constructed/Existing latrines in TLS]]*50&gt;WWWW[[#This Row],['#_students at TLS_CFS]],WWWW[[#This Row],['#_students at TLS_CFS]],(WWWW[[#This Row],['#_Constructed/Existing latrines in TLS]]*50)))</f>
        <v>0</v>
      </c>
      <c r="CQ314" s="647">
        <f>ROUND(IF(WWWW[[#This Row],[Location Type 1]]="camp",WWWW[[#This Row],[Total PoP ]]/20,IF(WWWW[[#This Row],[Location Type 1]]="Temporary Location",WWWW[[#This Row],[Total PoP ]]/50,(WWWW[[#This Row],[Total PoP ]]/6))),0)</f>
        <v>5</v>
      </c>
      <c r="CR314" s="647">
        <f>IF(WWWW[[#This Row],[Total required Latrines]]-(WWWW[[#This Row],['#_Constructed latrines_by_WASHAgencies]]+WWWW[[#This Row],['#_Non Cluster partner latrines]])&lt;0,0,WWWW[[#This Row],[Total required Latrines]]-(WWWW[[#This Row],['#_Constructed latrines_by_WASHAgencies]]+WWWW[[#This Row],['#_Non Cluster partner latrines]]))</f>
        <v>5</v>
      </c>
      <c r="CS314" s="79">
        <f>1-WWWW[[#This Row],[% people access to functioning Latrine]]</f>
        <v>1</v>
      </c>
      <c r="CT314" s="649">
        <f>IF(OR(WWWW[[#This Row],['#_Non-functional latrines]]="",WWWW[[#This Row],['#_Non-functional latrines]]=0),0,WWWW[[#This Row],['#_Non-functional latrines]]/(WWWW[[#This Row],['#_Constructed latrines_by_WASHAgencies]]+WWWW[[#This Row],['#_Non Cluster partner latrines]]))</f>
        <v>0</v>
      </c>
      <c r="CU314" s="645">
        <f>IF(500*(WWWW[[#This Row],['#_male hygiene promoters]]+WWWW[[#This Row],['#_female hygiene promoters]])&gt;WWWW[[#This Row],[Total PoP ]],WWWW[[#This Row],[Total PoP ]],500*(WWWW[[#This Row],['#_male hygiene promoters]]+WWWW[[#This Row],['#_female hygiene promoters]]))</f>
        <v>0</v>
      </c>
      <c r="CV314"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14"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14" s="647">
        <f>IF(WWWW[[#This Row],['# People with access to soap]]&gt;WWWW[[#This Row],['# People with access to Sanity Pads]],WWWW[[#This Row],['# People with access to soap]],WWWW[[#This Row],['# People with access to Sanity Pads]])</f>
        <v>0</v>
      </c>
      <c r="CY314"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14" s="650">
        <f>IF(WWWW[[#This Row],[HRP3]]/WWWW[[#This Row],[Total PoP ]]&gt;100%,100%,WWWW[[#This Row],[HRP3]]/WWWW[[#This Row],[Total PoP ]])</f>
        <v>0</v>
      </c>
      <c r="DA314" s="649">
        <f>1-WWWW[[#This Row],[Hygiene Coverage%]]</f>
        <v>1</v>
      </c>
      <c r="DB314" s="648">
        <f>WWWW[[#This Row],['# people reached by regular dedicated hygiene promotion_5]]/WWWW[[#This Row],[Total PoP ]]</f>
        <v>0</v>
      </c>
      <c r="DC314" s="648">
        <f>IF(WWWW[[#This Row],['#_households that received standard amount of soap for this quarter]]/WWWW[[#This Row],[Total HH]]&gt;1,1,WWWW[[#This Row],['#_households that received standard amount of soap for this quarter]]/WWWW[[#This Row],[Total HH]])</f>
        <v>0</v>
      </c>
      <c r="DD314" s="648">
        <f>IF(WWWW[[#This Row],['#_households that received standard amount of sanitary pads for this quarter]]/WWWW[[#This Row],[Total HH]]&gt;1,1,WWWW[[#This Row],['#_households that received standard amount of sanitary pads for this quarter]]/WWWW[[#This Row],[Total HH]])</f>
        <v>0</v>
      </c>
      <c r="DE314" s="647">
        <f>WWWW[[#This Row],['#_Constructed/Existing hand washing stations]]-WWWW[[#This Row],['#_Non-Functional_hand_washing_stations]]</f>
        <v>0</v>
      </c>
      <c r="DF314" s="667">
        <f>IF(WWWW[[#This Row],['# Functional hand washing stations during reporting period]]*20&gt;WWWW[[#This Row],[Total HH]],WWWW[[#This Row],[Total HH]],WWWW[[#This Row],['# Functional hand washing stations during reporting period]]*20)</f>
        <v>0</v>
      </c>
      <c r="DG314" s="645">
        <f>IF(WWWW[[#This Row],[Is sufficient soap available for TLS? (Yes/No)]]="yes",WWWW[[#This Row],['#_Constructed/Existing hand washing stations at TLS]],0)</f>
        <v>0</v>
      </c>
      <c r="DH314" s="645">
        <f>IF(WWWW[[#This Row],['# Functional hand washing stations during reporting period]]*100&gt;WWWW[[#This Row],[Total PoP ]],WWWW[[#This Row],[Total PoP ]],WWWW[[#This Row],['# Functional hand washing stations during reporting period]]*100)</f>
        <v>0</v>
      </c>
      <c r="DI314" s="645" t="str">
        <f>IF(WWWW[[#This Row],['#_students at TLS_CFS]]="","No","Yes")</f>
        <v>No</v>
      </c>
      <c r="DJ314" s="643" t="str">
        <f>VLOOKUP(WWWW[[#This Row],[Site Name]],SiteDB6[[Site Name]:[CCCM Management]],6,FALSE)</f>
        <v>Yes</v>
      </c>
      <c r="DK314" s="643">
        <f>VLOOKUP(WWWW[[#This Row],[Site Name]],SiteDB6[[Site Name]:[CCCM Focal Agency]],7,FALSE)</f>
        <v>0</v>
      </c>
      <c r="DL314" s="643" t="str">
        <f>VLOOKUP(WWWW[[#This Row],[Site Name]],SiteDB6[[Site Name]:[Location Type 1]],9,FALSE)</f>
        <v>Camp</v>
      </c>
      <c r="DM314" s="643" t="str">
        <f>VLOOKUP(WWWW[[#This Row],[Site Name]],SiteDB6[[Site Name]:[Type of Accommodation]],10,FALSE)</f>
        <v>Host Families</v>
      </c>
      <c r="DN314" s="643" t="str">
        <f>VLOOKUP(WWWW[[#This Row],[Site Name]],SiteDB6[[Site Name]:[Ethnic or GCA/NGCA]],11,FALSE)</f>
        <v>Muslim</v>
      </c>
      <c r="DO314" s="643">
        <f>VLOOKUP(WWWW[[#This Row],[Site Name]],SiteDB6[[Site Name]:[Lat]],12,FALSE)</f>
        <v>20.182987000000001</v>
      </c>
      <c r="DP314" s="643">
        <f>VLOOKUP(WWWW[[#This Row],[Site Name]],SiteDB6[[Site Name]:[Long]],13,FALSE)</f>
        <v>92.804803000000007</v>
      </c>
      <c r="DQ314" s="643" t="str">
        <f>VLOOKUP(WWWW[[#This Row],[Site Name]],SiteDB6[[Site Name]:[Pcode]],3,FALSE)</f>
        <v>MMR012CMP103</v>
      </c>
      <c r="DR314" s="652" t="str">
        <f t="shared" si="10"/>
        <v>Covered</v>
      </c>
      <c r="DS314" s="652"/>
    </row>
    <row r="315" spans="1:123">
      <c r="A315" s="637" t="s">
        <v>2525</v>
      </c>
      <c r="B315" s="644" t="s">
        <v>2931</v>
      </c>
      <c r="C315" s="644" t="s">
        <v>2931</v>
      </c>
      <c r="D315" s="644" t="s">
        <v>2085</v>
      </c>
      <c r="E315" s="663" t="s">
        <v>3014</v>
      </c>
      <c r="F315" s="644" t="s">
        <v>313</v>
      </c>
      <c r="G315" s="663" t="str">
        <f>VLOOKUP(WWWW[[#This Row],[Site Name]],SiteDB6[[Site Name]:[Location Type]],8,FALSE)</f>
        <v>Camp</v>
      </c>
      <c r="H315" s="644" t="s">
        <v>2380</v>
      </c>
      <c r="I315" s="646">
        <v>400</v>
      </c>
      <c r="J315" s="646">
        <v>2248</v>
      </c>
      <c r="K315" s="653"/>
      <c r="L315" s="654" t="s">
        <v>2375</v>
      </c>
      <c r="M315" s="646"/>
      <c r="N315" s="646"/>
      <c r="O315" s="646"/>
      <c r="P315" s="646" t="s">
        <v>2941</v>
      </c>
      <c r="Q315" s="645"/>
      <c r="R315" s="646"/>
      <c r="S315" s="646"/>
      <c r="T315" s="646"/>
      <c r="U315" s="646"/>
      <c r="V315" s="646"/>
      <c r="W315" s="646">
        <v>55</v>
      </c>
      <c r="X315" s="646"/>
      <c r="Y315" s="646">
        <v>10</v>
      </c>
      <c r="Z315" s="646" t="s">
        <v>2941</v>
      </c>
      <c r="AA315" s="646"/>
      <c r="AB315" s="646"/>
      <c r="AC315" s="646"/>
      <c r="AD315" s="646"/>
      <c r="AE315" s="646"/>
      <c r="AF315" s="646"/>
      <c r="AG315" s="646"/>
      <c r="AH315" s="646">
        <v>55</v>
      </c>
      <c r="AI315" s="646"/>
      <c r="AJ315" s="646"/>
      <c r="AK315" s="646"/>
      <c r="AL315" s="646"/>
      <c r="AM315" s="646"/>
      <c r="AN315" s="646"/>
      <c r="AO315" s="652"/>
      <c r="AP315" s="646">
        <v>106</v>
      </c>
      <c r="AQ315" s="646"/>
      <c r="AR315" s="648"/>
      <c r="AS315" s="646">
        <v>5</v>
      </c>
      <c r="AT315" s="646">
        <v>0</v>
      </c>
      <c r="AU315" s="646">
        <v>67</v>
      </c>
      <c r="AV315" s="646"/>
      <c r="AW315" s="646">
        <v>106</v>
      </c>
      <c r="AX315" s="643" t="s">
        <v>43</v>
      </c>
      <c r="AY315" s="652" t="s">
        <v>145</v>
      </c>
      <c r="AZ315" s="646"/>
      <c r="BA315" s="646"/>
      <c r="BB315" s="646"/>
      <c r="BC315" s="643"/>
      <c r="BD315" s="646"/>
      <c r="BE315" s="646"/>
      <c r="BF315" s="646"/>
      <c r="BG315" s="646"/>
      <c r="BH315" s="646"/>
      <c r="BI315" s="646">
        <v>9</v>
      </c>
      <c r="BJ315" s="646"/>
      <c r="BK315" s="646">
        <v>400</v>
      </c>
      <c r="BL315" s="646">
        <v>400</v>
      </c>
      <c r="BM315" s="643" t="s">
        <v>43</v>
      </c>
      <c r="BN315" s="647">
        <v>0</v>
      </c>
      <c r="BO315" s="648"/>
      <c r="BP315" s="643"/>
      <c r="BQ315" s="649" t="str">
        <f>IFERROR(WWWW[[#This Row],['#_Water sources treated]]/WWWW[[#This Row],['#_Water sources tested for contamination]],"no test")</f>
        <v>no test</v>
      </c>
      <c r="BR315" s="648" t="str">
        <f>IFERROR(WWWW[[#This Row],['#_Household received remediation action due to contamination]]/WWWW[[#This Row],['#_Household water samples tested for contamination]],"no test")</f>
        <v>no test</v>
      </c>
      <c r="BS315" s="647" t="str">
        <f>IF(AND(WWWW[[#This Row],[% of water sources treated]]="no test",WWWW[[#This Row],[% Household received corrective actions]]="no test"),"No Test","Tested")</f>
        <v>No Test</v>
      </c>
      <c r="BT315" s="647">
        <f>WWWW[[#This Row],['#_Constructed/existing protected hand dug well]]-WWWW[[#This Row],['#_Non-functional protected hand dug well]]</f>
        <v>0</v>
      </c>
      <c r="BU315" s="647">
        <f>(WWWW[[#This Row],['#_Constructed/Existing tube wells/boreholes/handpumps_WASH_agency]]+WWWW[[#This Row],['#_Non-Cluster partner water tube-wells/boreholes/handpumps]])-WWWW[[#This Row],['#_Non-functional tube wells/boreholes/handpumps]]</f>
        <v>45</v>
      </c>
      <c r="BV315" s="647">
        <f>WWWW[[#This Row],['#_Constructed/Existingwater storage tank with gravity fed reticulation system]]-WWWW[[#This Row],['#_Non-functional storage tank gravity fed reticulation system]]</f>
        <v>0</v>
      </c>
      <c r="BW315" s="647">
        <f>WWWW[[#This Row],['#_Water boating or water trucking]]</f>
        <v>0</v>
      </c>
      <c r="BX315" s="647">
        <f>WWWW[[#This Row],['#_Constructed/Existing water distribution system from river or natural spring]]</f>
        <v>0</v>
      </c>
      <c r="BY315"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315"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315" s="648">
        <f>IF(WWWW[[#This Row],[Location Type 1]]="Village",WWWW[[#This Row],[Access to safe drinking water for Village]],WWWW[[#This Row],[Access to safe drinking water for Camp]])</f>
        <v>1</v>
      </c>
      <c r="CB315" s="645">
        <f>WWWW[[#This Row],[%Equitable and continuous access to sufficient quantity of safe drinking water]]*WWWW[[#This Row],[Total PoP ]]</f>
        <v>2248</v>
      </c>
      <c r="CC315" s="648">
        <f>IF((WWWW[[#This Row],['#_Constructed/Existing protected/fenced ponds]]*250)/WWWW[[#This Row],[Total PoP ]]&gt;1,1,(WWWW[[#This Row],['#_Constructed/Existing protected/fenced ponds]]*250)/WWWW[[#This Row],[Total PoP ]])</f>
        <v>0</v>
      </c>
      <c r="CD315" s="645">
        <f>WWWW[[#This Row],[% Access to unimproved water points]]*WWWW[[#This Row],[Total PoP ]]</f>
        <v>0</v>
      </c>
      <c r="CE315"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15"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2248</v>
      </c>
      <c r="CG315" s="645">
        <f>WWWW[[#This Row],[HRP1]]/500</f>
        <v>4.4960000000000004</v>
      </c>
      <c r="CH315" s="650">
        <f>1-WWWW[[#This Row],[% Equitable and continuous access to sufficient quantity of domestic water]]</f>
        <v>0</v>
      </c>
      <c r="CI315" s="645">
        <f>WWWW[[#This Row],[%equitable and continuous access to sufficient quantity of safe drinking and domestic water''s GAP]]*WWWW[[#This Row],[Total PoP ]]</f>
        <v>0</v>
      </c>
      <c r="CJ315" s="647">
        <f>IF(WWWW[[#This Row],[Total required water points]]-WWWW[[#This Row],['#Water points coverage]]&lt;0,0,WWWW[[#This Row],[Total required water points]]-WWWW[[#This Row],['#Water points coverage]])</f>
        <v>0</v>
      </c>
      <c r="CK315" s="647">
        <f>ROUND(IF(WWWW[[#This Row],[Total PoP ]]&lt;500,1,WWWW[[#This Row],[Total PoP ]]/500),0)</f>
        <v>4</v>
      </c>
      <c r="CL315" s="647">
        <f>(WWWW[[#This Row],['#_Constructed latrines_by_WASHAgencies]]+WWWW[[#This Row],['#_Non Cluster partner latrines]])-WWWW[[#This Row],['#_Non-functional latrines]]</f>
        <v>101</v>
      </c>
      <c r="CM315"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0.89857651245551606</v>
      </c>
      <c r="CN315"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2020</v>
      </c>
      <c r="CO315"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1340</v>
      </c>
      <c r="CP315" s="647">
        <f>IF(WWWW[[#This Row],[Location Type 1]]="Village","NA",IF(WWWW[[#This Row],['#_Constructed/Existing latrines in TLS]]*50&gt;WWWW[[#This Row],['#_students at TLS_CFS]],WWWW[[#This Row],['#_students at TLS_CFS]],(WWWW[[#This Row],['#_Constructed/Existing latrines in TLS]]*50)))</f>
        <v>0</v>
      </c>
      <c r="CQ315" s="647">
        <f>ROUND(IF(WWWW[[#This Row],[Location Type 1]]="camp",WWWW[[#This Row],[Total PoP ]]/20,IF(WWWW[[#This Row],[Location Type 1]]="Temporary Location",WWWW[[#This Row],[Total PoP ]]/50,(WWWW[[#This Row],[Total PoP ]]/6))),0)</f>
        <v>112</v>
      </c>
      <c r="CR315" s="647">
        <f>IF(WWWW[[#This Row],[Total required Latrines]]-(WWWW[[#This Row],['#_Constructed latrines_by_WASHAgencies]]+WWWW[[#This Row],['#_Non Cluster partner latrines]])&lt;0,0,WWWW[[#This Row],[Total required Latrines]]-(WWWW[[#This Row],['#_Constructed latrines_by_WASHAgencies]]+WWWW[[#This Row],['#_Non Cluster partner latrines]]))</f>
        <v>6</v>
      </c>
      <c r="CS315" s="79">
        <f>1-WWWW[[#This Row],[% people access to functioning Latrine]]</f>
        <v>0.10142348754448394</v>
      </c>
      <c r="CT315" s="649">
        <f>IF(OR(WWWW[[#This Row],['#_Non-functional latrines]]="",WWWW[[#This Row],['#_Non-functional latrines]]=0),0,WWWW[[#This Row],['#_Non-functional latrines]]/(WWWW[[#This Row],['#_Constructed latrines_by_WASHAgencies]]+WWWW[[#This Row],['#_Non Cluster partner latrines]]))</f>
        <v>4.716981132075472E-2</v>
      </c>
      <c r="CU315" s="645">
        <f>IF(500*(WWWW[[#This Row],['#_male hygiene promoters]]+WWWW[[#This Row],['#_female hygiene promoters]])&gt;WWWW[[#This Row],[Total PoP ]],WWWW[[#This Row],[Total PoP ]],500*(WWWW[[#This Row],['#_male hygiene promoters]]+WWWW[[#This Row],['#_female hygiene promoters]]))</f>
        <v>2248</v>
      </c>
      <c r="CV315"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2248</v>
      </c>
      <c r="CW315"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2248</v>
      </c>
      <c r="CX315" s="647">
        <f>IF(WWWW[[#This Row],['# People with access to soap]]&gt;WWWW[[#This Row],['# People with access to Sanity Pads]],WWWW[[#This Row],['# People with access to soap]],WWWW[[#This Row],['# People with access to Sanity Pads]])</f>
        <v>2248</v>
      </c>
      <c r="CY315" s="647">
        <f>IF(WWWW[[#This Row],['# people reached by regular dedicated hygiene promotion_5]]&gt;WWWW[[#This Row],['# People received regular supply of hygiene items_6]],WWWW[[#This Row],['# people reached by regular dedicated hygiene promotion_5]],WWWW[[#This Row],['# People received regular supply of hygiene items_6]])</f>
        <v>2248</v>
      </c>
      <c r="CZ315" s="650">
        <f>IF(WWWW[[#This Row],[HRP3]]/WWWW[[#This Row],[Total PoP ]]&gt;100%,100%,WWWW[[#This Row],[HRP3]]/WWWW[[#This Row],[Total PoP ]])</f>
        <v>1</v>
      </c>
      <c r="DA315" s="649">
        <f>1-WWWW[[#This Row],[Hygiene Coverage%]]</f>
        <v>0</v>
      </c>
      <c r="DB315" s="648">
        <f>WWWW[[#This Row],['# people reached by regular dedicated hygiene promotion_5]]/WWWW[[#This Row],[Total PoP ]]</f>
        <v>1</v>
      </c>
      <c r="DC315" s="648">
        <f>IF(WWWW[[#This Row],['#_households that received standard amount of soap for this quarter]]/WWWW[[#This Row],[Total HH]]&gt;1,1,WWWW[[#This Row],['#_households that received standard amount of soap for this quarter]]/WWWW[[#This Row],[Total HH]])</f>
        <v>1</v>
      </c>
      <c r="DD315" s="648">
        <f>IF(WWWW[[#This Row],['#_households that received standard amount of sanitary pads for this quarter]]/WWWW[[#This Row],[Total HH]]&gt;1,1,WWWW[[#This Row],['#_households that received standard amount of sanitary pads for this quarter]]/WWWW[[#This Row],[Total HH]])</f>
        <v>1</v>
      </c>
      <c r="DE315" s="647">
        <f>WWWW[[#This Row],['#_Constructed/Existing hand washing stations]]-WWWW[[#This Row],['#_Non-Functional_hand_washing_stations]]</f>
        <v>0</v>
      </c>
      <c r="DF315" s="667">
        <f>IF(WWWW[[#This Row],['# Functional hand washing stations during reporting period]]*20&gt;WWWW[[#This Row],[Total HH]],WWWW[[#This Row],[Total HH]],WWWW[[#This Row],['# Functional hand washing stations during reporting period]]*20)</f>
        <v>0</v>
      </c>
      <c r="DG315" s="645">
        <f>IF(WWWW[[#This Row],[Is sufficient soap available for TLS? (Yes/No)]]="yes",WWWW[[#This Row],['#_Constructed/Existing hand washing stations at TLS]],0)</f>
        <v>0</v>
      </c>
      <c r="DH315" s="645">
        <f>IF(WWWW[[#This Row],['# Functional hand washing stations during reporting period]]*100&gt;WWWW[[#This Row],[Total PoP ]],WWWW[[#This Row],[Total PoP ]],WWWW[[#This Row],['# Functional hand washing stations during reporting period]]*100)</f>
        <v>0</v>
      </c>
      <c r="DI315" s="645" t="str">
        <f>IF(WWWW[[#This Row],['#_students at TLS_CFS]]="","No","Yes")</f>
        <v>No</v>
      </c>
      <c r="DJ315" s="643" t="str">
        <f>VLOOKUP(WWWW[[#This Row],[Site Name]],SiteDB6[[Site Name]:[CCCM Management]],6,FALSE)</f>
        <v>Yes</v>
      </c>
      <c r="DK315" s="643">
        <f>VLOOKUP(WWWW[[#This Row],[Site Name]],SiteDB6[[Site Name]:[CCCM Focal Agency]],7,FALSE)</f>
        <v>0</v>
      </c>
      <c r="DL315" s="643" t="str">
        <f>VLOOKUP(WWWW[[#This Row],[Site Name]],SiteDB6[[Site Name]:[Location Type 1]],9,FALSE)</f>
        <v>Camp</v>
      </c>
      <c r="DM315" s="643" t="str">
        <f>VLOOKUP(WWWW[[#This Row],[Site Name]],SiteDB6[[Site Name]:[Type of Accommodation]],10,FALSE)</f>
        <v>Planned Camp</v>
      </c>
      <c r="DN315" s="643" t="str">
        <f>VLOOKUP(WWWW[[#This Row],[Site Name]],SiteDB6[[Site Name]:[Ethnic or GCA/NGCA]],11,FALSE)</f>
        <v>Muslim</v>
      </c>
      <c r="DO315" s="643">
        <f>VLOOKUP(WWWW[[#This Row],[Site Name]],SiteDB6[[Site Name]:[Lat]],12,FALSE)</f>
        <v>20.181778000000001</v>
      </c>
      <c r="DP315" s="643">
        <f>VLOOKUP(WWWW[[#This Row],[Site Name]],SiteDB6[[Site Name]:[Long]],13,FALSE)</f>
        <v>92.823166999999998</v>
      </c>
      <c r="DQ315" s="643" t="str">
        <f>VLOOKUP(WWWW[[#This Row],[Site Name]],SiteDB6[[Site Name]:[Pcode]],3,FALSE)</f>
        <v>MMR012CMP042</v>
      </c>
      <c r="DR315" s="652" t="str">
        <f t="shared" si="10"/>
        <v>Covered</v>
      </c>
      <c r="DS315" s="652"/>
    </row>
    <row r="316" spans="1:123">
      <c r="A316" s="637" t="s">
        <v>2525</v>
      </c>
      <c r="B316" s="637" t="s">
        <v>2376</v>
      </c>
      <c r="C316" s="644" t="s">
        <v>2376</v>
      </c>
      <c r="D316" s="644" t="s">
        <v>42</v>
      </c>
      <c r="E316" s="663" t="s">
        <v>3014</v>
      </c>
      <c r="F316" s="644" t="s">
        <v>313</v>
      </c>
      <c r="G316" s="663" t="str">
        <f>VLOOKUP(WWWW[[#This Row],[Site Name]],SiteDB6[[Site Name]:[Location Type]],8,FALSE)</f>
        <v>Camp</v>
      </c>
      <c r="H316" s="644" t="s">
        <v>2381</v>
      </c>
      <c r="I316" s="646">
        <v>400</v>
      </c>
      <c r="J316" s="646">
        <v>2186</v>
      </c>
      <c r="K316" s="653"/>
      <c r="L316" s="654">
        <v>44104</v>
      </c>
      <c r="M316" s="646"/>
      <c r="N316" s="646"/>
      <c r="O316" s="646"/>
      <c r="P316" s="646" t="s">
        <v>2941</v>
      </c>
      <c r="Q316" s="645"/>
      <c r="R316" s="646"/>
      <c r="S316" s="646"/>
      <c r="T316" s="646"/>
      <c r="U316" s="646"/>
      <c r="V316" s="646"/>
      <c r="W316" s="646">
        <v>29</v>
      </c>
      <c r="X316" s="646"/>
      <c r="Y316" s="646">
        <v>2</v>
      </c>
      <c r="Z316" s="646">
        <v>9</v>
      </c>
      <c r="AA316" s="646"/>
      <c r="AB316" s="646"/>
      <c r="AC316" s="646"/>
      <c r="AD316" s="646"/>
      <c r="AE316" s="646"/>
      <c r="AF316" s="646"/>
      <c r="AG316" s="646"/>
      <c r="AH316" s="646">
        <v>29</v>
      </c>
      <c r="AI316" s="646"/>
      <c r="AJ316" s="646"/>
      <c r="AK316" s="646"/>
      <c r="AL316" s="646">
        <v>4</v>
      </c>
      <c r="AM316" s="646"/>
      <c r="AN316" s="646"/>
      <c r="AO316" s="652"/>
      <c r="AP316" s="646">
        <v>104</v>
      </c>
      <c r="AQ316" s="646"/>
      <c r="AR316" s="648"/>
      <c r="AS316" s="646">
        <v>18</v>
      </c>
      <c r="AT316" s="646">
        <v>1</v>
      </c>
      <c r="AU316" s="646">
        <v>38</v>
      </c>
      <c r="AV316" s="646"/>
      <c r="AW316" s="646">
        <v>104</v>
      </c>
      <c r="AX316" s="643" t="s">
        <v>43</v>
      </c>
      <c r="AY316" s="652" t="s">
        <v>145</v>
      </c>
      <c r="AZ316" s="646"/>
      <c r="BA316" s="646"/>
      <c r="BB316" s="646"/>
      <c r="BC316" s="643"/>
      <c r="BD316" s="646"/>
      <c r="BE316" s="646"/>
      <c r="BF316" s="646"/>
      <c r="BG316" s="646"/>
      <c r="BH316" s="646"/>
      <c r="BI316" s="646">
        <v>4</v>
      </c>
      <c r="BJ316" s="646">
        <v>2</v>
      </c>
      <c r="BK316" s="646">
        <v>400</v>
      </c>
      <c r="BL316" s="646">
        <v>400</v>
      </c>
      <c r="BM316" s="643"/>
      <c r="BN316" s="647">
        <v>30</v>
      </c>
      <c r="BO316" s="648"/>
      <c r="BP316" s="643"/>
      <c r="BQ316" s="649" t="str">
        <f>IFERROR(WWWW[[#This Row],['#_Water sources treated]]/WWWW[[#This Row],['#_Water sources tested for contamination]],"no test")</f>
        <v>no test</v>
      </c>
      <c r="BR316" s="648" t="str">
        <f>IFERROR(WWWW[[#This Row],['#_Household received remediation action due to contamination]]/WWWW[[#This Row],['#_Household water samples tested for contamination]],"no test")</f>
        <v>no test</v>
      </c>
      <c r="BS316" s="647" t="str">
        <f>IF(AND(WWWW[[#This Row],[% of water sources treated]]="no test",WWWW[[#This Row],[% Household received corrective actions]]="no test"),"No Test","Tested")</f>
        <v>No Test</v>
      </c>
      <c r="BT316" s="647">
        <f>WWWW[[#This Row],['#_Constructed/existing protected hand dug well]]-WWWW[[#This Row],['#_Non-functional protected hand dug well]]</f>
        <v>0</v>
      </c>
      <c r="BU316" s="647">
        <f>(WWWW[[#This Row],['#_Constructed/Existing tube wells/boreholes/handpumps_WASH_agency]]+WWWW[[#This Row],['#_Non-Cluster partner water tube-wells/boreholes/handpumps]])-WWWW[[#This Row],['#_Non-functional tube wells/boreholes/handpumps]]</f>
        <v>27</v>
      </c>
      <c r="BV316" s="647">
        <f>WWWW[[#This Row],['#_Constructed/Existingwater storage tank with gravity fed reticulation system]]-WWWW[[#This Row],['#_Non-functional storage tank gravity fed reticulation system]]</f>
        <v>0</v>
      </c>
      <c r="BW316" s="647">
        <f>WWWW[[#This Row],['#_Water boating or water trucking]]</f>
        <v>0</v>
      </c>
      <c r="BX316" s="647">
        <f>WWWW[[#This Row],['#_Constructed/Existing water distribution system from river or natural spring]]</f>
        <v>0</v>
      </c>
      <c r="BY316"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316"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316" s="648">
        <f>IF(WWWW[[#This Row],[Location Type 1]]="Village",WWWW[[#This Row],[Access to safe drinking water for Village]],WWWW[[#This Row],[Access to safe drinking water for Camp]])</f>
        <v>1</v>
      </c>
      <c r="CB316" s="645">
        <f>WWWW[[#This Row],[%Equitable and continuous access to sufficient quantity of safe drinking water]]*WWWW[[#This Row],[Total PoP ]]</f>
        <v>2186</v>
      </c>
      <c r="CC316" s="648">
        <f>IF((WWWW[[#This Row],['#_Constructed/Existing protected/fenced ponds]]*250)/WWWW[[#This Row],[Total PoP ]]&gt;1,1,(WWWW[[#This Row],['#_Constructed/Existing protected/fenced ponds]]*250)/WWWW[[#This Row],[Total PoP ]])</f>
        <v>0</v>
      </c>
      <c r="CD316" s="645">
        <f>WWWW[[#This Row],[% Access to unimproved water points]]*WWWW[[#This Row],[Total PoP ]]</f>
        <v>0</v>
      </c>
      <c r="CE316"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16"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2186</v>
      </c>
      <c r="CG316" s="645">
        <f>WWWW[[#This Row],[HRP1]]/500</f>
        <v>4.3719999999999999</v>
      </c>
      <c r="CH316" s="650">
        <f>1-WWWW[[#This Row],[% Equitable and continuous access to sufficient quantity of domestic water]]</f>
        <v>0</v>
      </c>
      <c r="CI316" s="645">
        <f>WWWW[[#This Row],[%equitable and continuous access to sufficient quantity of safe drinking and domestic water''s GAP]]*WWWW[[#This Row],[Total PoP ]]</f>
        <v>0</v>
      </c>
      <c r="CJ316" s="647">
        <f>IF(WWWW[[#This Row],[Total required water points]]-WWWW[[#This Row],['#Water points coverage]]&lt;0,0,WWWW[[#This Row],[Total required water points]]-WWWW[[#This Row],['#Water points coverage]])</f>
        <v>0</v>
      </c>
      <c r="CK316" s="647">
        <f>ROUND(IF(WWWW[[#This Row],[Total PoP ]]&lt;500,1,WWWW[[#This Row],[Total PoP ]]/500),0)</f>
        <v>4</v>
      </c>
      <c r="CL316" s="647">
        <f>(WWWW[[#This Row],['#_Constructed latrines_by_WASHAgencies]]+WWWW[[#This Row],['#_Non Cluster partner latrines]])-WWWW[[#This Row],['#_Non-functional latrines]]</f>
        <v>86</v>
      </c>
      <c r="CM316"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0.78682525160109784</v>
      </c>
      <c r="CN316"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1720</v>
      </c>
      <c r="CO316"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760</v>
      </c>
      <c r="CP316" s="647">
        <f>IF(WWWW[[#This Row],[Location Type 1]]="Village","NA",IF(WWWW[[#This Row],['#_Constructed/Existing latrines in TLS]]*50&gt;WWWW[[#This Row],['#_students at TLS_CFS]],WWWW[[#This Row],['#_students at TLS_CFS]],(WWWW[[#This Row],['#_Constructed/Existing latrines in TLS]]*50)))</f>
        <v>0</v>
      </c>
      <c r="CQ316" s="647">
        <f>ROUND(IF(WWWW[[#This Row],[Location Type 1]]="camp",WWWW[[#This Row],[Total PoP ]]/20,IF(WWWW[[#This Row],[Location Type 1]]="Temporary Location",WWWW[[#This Row],[Total PoP ]]/50,(WWWW[[#This Row],[Total PoP ]]/6))),0)</f>
        <v>109</v>
      </c>
      <c r="CR316" s="647">
        <f>IF(WWWW[[#This Row],[Total required Latrines]]-(WWWW[[#This Row],['#_Constructed latrines_by_WASHAgencies]]+WWWW[[#This Row],['#_Non Cluster partner latrines]])&lt;0,0,WWWW[[#This Row],[Total required Latrines]]-(WWWW[[#This Row],['#_Constructed latrines_by_WASHAgencies]]+WWWW[[#This Row],['#_Non Cluster partner latrines]]))</f>
        <v>5</v>
      </c>
      <c r="CS316" s="79">
        <f>1-WWWW[[#This Row],[% people access to functioning Latrine]]</f>
        <v>0.21317474839890216</v>
      </c>
      <c r="CT316" s="649">
        <f>IF(OR(WWWW[[#This Row],['#_Non-functional latrines]]="",WWWW[[#This Row],['#_Non-functional latrines]]=0),0,WWWW[[#This Row],['#_Non-functional latrines]]/(WWWW[[#This Row],['#_Constructed latrines_by_WASHAgencies]]+WWWW[[#This Row],['#_Non Cluster partner latrines]]))</f>
        <v>0.17307692307692307</v>
      </c>
      <c r="CU316" s="645">
        <f>IF(500*(WWWW[[#This Row],['#_male hygiene promoters]]+WWWW[[#This Row],['#_female hygiene promoters]])&gt;WWWW[[#This Row],[Total PoP ]],WWWW[[#This Row],[Total PoP ]],500*(WWWW[[#This Row],['#_male hygiene promoters]]+WWWW[[#This Row],['#_female hygiene promoters]]))</f>
        <v>2186</v>
      </c>
      <c r="CV316"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2186</v>
      </c>
      <c r="CW316"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2186</v>
      </c>
      <c r="CX316" s="647">
        <f>IF(WWWW[[#This Row],['# People with access to soap]]&gt;WWWW[[#This Row],['# People with access to Sanity Pads]],WWWW[[#This Row],['# People with access to soap]],WWWW[[#This Row],['# People with access to Sanity Pads]])</f>
        <v>2186</v>
      </c>
      <c r="CY316" s="647">
        <f>IF(WWWW[[#This Row],['# people reached by regular dedicated hygiene promotion_5]]&gt;WWWW[[#This Row],['# People received regular supply of hygiene items_6]],WWWW[[#This Row],['# people reached by regular dedicated hygiene promotion_5]],WWWW[[#This Row],['# People received regular supply of hygiene items_6]])</f>
        <v>2186</v>
      </c>
      <c r="CZ316" s="650">
        <f>IF(WWWW[[#This Row],[HRP3]]/WWWW[[#This Row],[Total PoP ]]&gt;100%,100%,WWWW[[#This Row],[HRP3]]/WWWW[[#This Row],[Total PoP ]])</f>
        <v>1</v>
      </c>
      <c r="DA316" s="649">
        <f>1-WWWW[[#This Row],[Hygiene Coverage%]]</f>
        <v>0</v>
      </c>
      <c r="DB316" s="648">
        <f>WWWW[[#This Row],['# people reached by regular dedicated hygiene promotion_5]]/WWWW[[#This Row],[Total PoP ]]</f>
        <v>1</v>
      </c>
      <c r="DC316" s="648">
        <f>IF(WWWW[[#This Row],['#_households that received standard amount of soap for this quarter]]/WWWW[[#This Row],[Total HH]]&gt;1,1,WWWW[[#This Row],['#_households that received standard amount of soap for this quarter]]/WWWW[[#This Row],[Total HH]])</f>
        <v>1</v>
      </c>
      <c r="DD316" s="648">
        <f>IF(WWWW[[#This Row],['#_households that received standard amount of sanitary pads for this quarter]]/WWWW[[#This Row],[Total HH]]&gt;1,1,WWWW[[#This Row],['#_households that received standard amount of sanitary pads for this quarter]]/WWWW[[#This Row],[Total HH]])</f>
        <v>1</v>
      </c>
      <c r="DE316" s="647">
        <f>WWWW[[#This Row],['#_Constructed/Existing hand washing stations]]-WWWW[[#This Row],['#_Non-Functional_hand_washing_stations]]</f>
        <v>0</v>
      </c>
      <c r="DF316" s="667">
        <f>IF(WWWW[[#This Row],['# Functional hand washing stations during reporting period]]*20&gt;WWWW[[#This Row],[Total HH]],WWWW[[#This Row],[Total HH]],WWWW[[#This Row],['# Functional hand washing stations during reporting period]]*20)</f>
        <v>0</v>
      </c>
      <c r="DG316" s="645">
        <f>IF(WWWW[[#This Row],[Is sufficient soap available for TLS? (Yes/No)]]="yes",WWWW[[#This Row],['#_Constructed/Existing hand washing stations at TLS]],0)</f>
        <v>0</v>
      </c>
      <c r="DH316" s="645">
        <f>IF(WWWW[[#This Row],['# Functional hand washing stations during reporting period]]*100&gt;WWWW[[#This Row],[Total PoP ]],WWWW[[#This Row],[Total PoP ]],WWWW[[#This Row],['# Functional hand washing stations during reporting period]]*100)</f>
        <v>0</v>
      </c>
      <c r="DI316" s="645" t="str">
        <f>IF(WWWW[[#This Row],['#_students at TLS_CFS]]="","No","Yes")</f>
        <v>No</v>
      </c>
      <c r="DJ316" s="643">
        <f>VLOOKUP(WWWW[[#This Row],[Site Name]],SiteDB6[[Site Name]:[CCCM Management]],6,FALSE)</f>
        <v>0</v>
      </c>
      <c r="DK316" s="643">
        <f>VLOOKUP(WWWW[[#This Row],[Site Name]],SiteDB6[[Site Name]:[CCCM Focal Agency]],7,FALSE)</f>
        <v>0</v>
      </c>
      <c r="DL316" s="643" t="str">
        <f>VLOOKUP(WWWW[[#This Row],[Site Name]],SiteDB6[[Site Name]:[Location Type 1]],9,FALSE)</f>
        <v>Camp</v>
      </c>
      <c r="DM316" s="643" t="str">
        <f>VLOOKUP(WWWW[[#This Row],[Site Name]],SiteDB6[[Site Name]:[Type of Accommodation]],10,FALSE)</f>
        <v>Planned Camp</v>
      </c>
      <c r="DN316" s="643" t="str">
        <f>VLOOKUP(WWWW[[#This Row],[Site Name]],SiteDB6[[Site Name]:[Ethnic or GCA/NGCA]],11,FALSE)</f>
        <v>Muslim</v>
      </c>
      <c r="DO316" s="643">
        <f>VLOOKUP(WWWW[[#This Row],[Site Name]],SiteDB6[[Site Name]:[Lat]],12,FALSE)</f>
        <v>20.180194</v>
      </c>
      <c r="DP316" s="643">
        <f>VLOOKUP(WWWW[[#This Row],[Site Name]],SiteDB6[[Site Name]:[Long]],13,FALSE)</f>
        <v>92.816638999999995</v>
      </c>
      <c r="DQ316" s="643" t="str">
        <f>VLOOKUP(WWWW[[#This Row],[Site Name]],SiteDB6[[Site Name]:[Pcode]],3,FALSE)</f>
        <v>MMR012CMP042</v>
      </c>
      <c r="DR316" s="652" t="str">
        <f t="shared" si="10"/>
        <v>Covered</v>
      </c>
      <c r="DS316" s="652"/>
    </row>
    <row r="317" spans="1:123">
      <c r="A317" s="637" t="s">
        <v>2525</v>
      </c>
      <c r="B317" s="637" t="s">
        <v>3007</v>
      </c>
      <c r="C317" s="644" t="s">
        <v>2374</v>
      </c>
      <c r="D317" s="644" t="s">
        <v>42</v>
      </c>
      <c r="E317" s="663" t="s">
        <v>3014</v>
      </c>
      <c r="F317" s="644" t="s">
        <v>313</v>
      </c>
      <c r="G317" s="663" t="str">
        <f>VLOOKUP(WWWW[[#This Row],[Site Name]],SiteDB6[[Site Name]:[Location Type]],8,FALSE)</f>
        <v>Camp</v>
      </c>
      <c r="H317" s="644" t="s">
        <v>449</v>
      </c>
      <c r="I317" s="646">
        <v>656</v>
      </c>
      <c r="J317" s="646">
        <v>3486</v>
      </c>
      <c r="K317" s="653"/>
      <c r="L317" s="654">
        <v>44104</v>
      </c>
      <c r="M317" s="646"/>
      <c r="N317" s="646"/>
      <c r="O317" s="646"/>
      <c r="P317" s="646" t="s">
        <v>2941</v>
      </c>
      <c r="Q317" s="645"/>
      <c r="R317" s="646"/>
      <c r="S317" s="646"/>
      <c r="T317" s="646"/>
      <c r="U317" s="646"/>
      <c r="V317" s="646"/>
      <c r="W317" s="646">
        <v>46</v>
      </c>
      <c r="X317" s="646"/>
      <c r="Y317" s="646">
        <v>17</v>
      </c>
      <c r="Z317" s="646">
        <v>13</v>
      </c>
      <c r="AA317" s="646"/>
      <c r="AB317" s="646"/>
      <c r="AC317" s="646"/>
      <c r="AD317" s="646"/>
      <c r="AE317" s="646"/>
      <c r="AF317" s="646"/>
      <c r="AG317" s="646"/>
      <c r="AH317" s="646">
        <v>46</v>
      </c>
      <c r="AI317" s="646">
        <v>30</v>
      </c>
      <c r="AJ317" s="646">
        <v>2</v>
      </c>
      <c r="AK317" s="646">
        <v>59</v>
      </c>
      <c r="AL317" s="646">
        <v>16</v>
      </c>
      <c r="AM317" s="646"/>
      <c r="AN317" s="646"/>
      <c r="AO317" s="652"/>
      <c r="AP317" s="646">
        <v>241</v>
      </c>
      <c r="AQ317" s="646"/>
      <c r="AR317" s="648"/>
      <c r="AS317" s="646">
        <v>78</v>
      </c>
      <c r="AT317" s="646">
        <v>134</v>
      </c>
      <c r="AU317" s="646">
        <v>114</v>
      </c>
      <c r="AV317" s="646"/>
      <c r="AW317" s="646">
        <v>241</v>
      </c>
      <c r="AX317" s="643" t="s">
        <v>43</v>
      </c>
      <c r="AY317" s="652" t="s">
        <v>145</v>
      </c>
      <c r="AZ317" s="646"/>
      <c r="BA317" s="646"/>
      <c r="BB317" s="646"/>
      <c r="BC317" s="643"/>
      <c r="BD317" s="646"/>
      <c r="BE317" s="646"/>
      <c r="BF317" s="646"/>
      <c r="BG317" s="646"/>
      <c r="BH317" s="646"/>
      <c r="BI317" s="646">
        <v>7</v>
      </c>
      <c r="BJ317" s="646"/>
      <c r="BK317" s="646">
        <v>656</v>
      </c>
      <c r="BL317" s="646">
        <v>656</v>
      </c>
      <c r="BM317" s="643" t="s">
        <v>43</v>
      </c>
      <c r="BN317" s="647">
        <v>39</v>
      </c>
      <c r="BO317" s="648"/>
      <c r="BP317" s="643"/>
      <c r="BQ317" s="649">
        <f>IFERROR(WWWW[[#This Row],['#_Water sources treated]]/WWWW[[#This Row],['#_Water sources tested for contamination]],"no test")</f>
        <v>6.6666666666666666E-2</v>
      </c>
      <c r="BR317" s="648">
        <f>IFERROR(WWWW[[#This Row],['#_Household received remediation action due to contamination]]/WWWW[[#This Row],['#_Household water samples tested for contamination]],"no test")</f>
        <v>0.2711864406779661</v>
      </c>
      <c r="BS317" s="647" t="str">
        <f>IF(AND(WWWW[[#This Row],[% of water sources treated]]="no test",WWWW[[#This Row],[% Household received corrective actions]]="no test"),"No Test","Tested")</f>
        <v>Tested</v>
      </c>
      <c r="BT317" s="647">
        <f>WWWW[[#This Row],['#_Constructed/existing protected hand dug well]]-WWWW[[#This Row],['#_Non-functional protected hand dug well]]</f>
        <v>0</v>
      </c>
      <c r="BU317" s="647">
        <f>(WWWW[[#This Row],['#_Constructed/Existing tube wells/boreholes/handpumps_WASH_agency]]+WWWW[[#This Row],['#_Non-Cluster partner water tube-wells/boreholes/handpumps]])-WWWW[[#This Row],['#_Non-functional tube wells/boreholes/handpumps]]</f>
        <v>29</v>
      </c>
      <c r="BV317" s="647">
        <f>WWWW[[#This Row],['#_Constructed/Existingwater storage tank with gravity fed reticulation system]]-WWWW[[#This Row],['#_Non-functional storage tank gravity fed reticulation system]]</f>
        <v>0</v>
      </c>
      <c r="BW317" s="647">
        <f>WWWW[[#This Row],['#_Water boating or water trucking]]</f>
        <v>0</v>
      </c>
      <c r="BX317" s="647">
        <f>WWWW[[#This Row],['#_Constructed/Existing water distribution system from river or natural spring]]</f>
        <v>0</v>
      </c>
      <c r="BY317"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317"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317" s="648">
        <f>IF(WWWW[[#This Row],[Location Type 1]]="Village",WWWW[[#This Row],[Access to safe drinking water for Village]],WWWW[[#This Row],[Access to safe drinking water for Camp]])</f>
        <v>1</v>
      </c>
      <c r="CB317" s="645">
        <f>WWWW[[#This Row],[%Equitable and continuous access to sufficient quantity of safe drinking water]]*WWWW[[#This Row],[Total PoP ]]</f>
        <v>3486</v>
      </c>
      <c r="CC317" s="648">
        <f>IF((WWWW[[#This Row],['#_Constructed/Existing protected/fenced ponds]]*250)/WWWW[[#This Row],[Total PoP ]]&gt;1,1,(WWWW[[#This Row],['#_Constructed/Existing protected/fenced ponds]]*250)/WWWW[[#This Row],[Total PoP ]])</f>
        <v>0</v>
      </c>
      <c r="CD317" s="645">
        <f>WWWW[[#This Row],[% Access to unimproved water points]]*WWWW[[#This Row],[Total PoP ]]</f>
        <v>0</v>
      </c>
      <c r="CE317"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17"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3486</v>
      </c>
      <c r="CG317" s="645">
        <f>WWWW[[#This Row],[HRP1]]/500</f>
        <v>6.9720000000000004</v>
      </c>
      <c r="CH317" s="650">
        <f>1-WWWW[[#This Row],[% Equitable and continuous access to sufficient quantity of domestic water]]</f>
        <v>0</v>
      </c>
      <c r="CI317" s="645">
        <f>WWWW[[#This Row],[%equitable and continuous access to sufficient quantity of safe drinking and domestic water''s GAP]]*WWWW[[#This Row],[Total PoP ]]</f>
        <v>0</v>
      </c>
      <c r="CJ317" s="647">
        <f>IF(WWWW[[#This Row],[Total required water points]]-WWWW[[#This Row],['#Water points coverage]]&lt;0,0,WWWW[[#This Row],[Total required water points]]-WWWW[[#This Row],['#Water points coverage]])</f>
        <v>2.7999999999999581E-2</v>
      </c>
      <c r="CK317" s="647">
        <f>ROUND(IF(WWWW[[#This Row],[Total PoP ]]&lt;500,1,WWWW[[#This Row],[Total PoP ]]/500),0)</f>
        <v>7</v>
      </c>
      <c r="CL317" s="647">
        <f>(WWWW[[#This Row],['#_Constructed latrines_by_WASHAgencies]]+WWWW[[#This Row],['#_Non Cluster partner latrines]])-WWWW[[#This Row],['#_Non-functional latrines]]</f>
        <v>163</v>
      </c>
      <c r="CM317"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0.93516924842226046</v>
      </c>
      <c r="CN317"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3260</v>
      </c>
      <c r="CO317"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2280</v>
      </c>
      <c r="CP317" s="647">
        <f>IF(WWWW[[#This Row],[Location Type 1]]="Village","NA",IF(WWWW[[#This Row],['#_Constructed/Existing latrines in TLS]]*50&gt;WWWW[[#This Row],['#_students at TLS_CFS]],WWWW[[#This Row],['#_students at TLS_CFS]],(WWWW[[#This Row],['#_Constructed/Existing latrines in TLS]]*50)))</f>
        <v>0</v>
      </c>
      <c r="CQ317" s="647">
        <f>ROUND(IF(WWWW[[#This Row],[Location Type 1]]="camp",WWWW[[#This Row],[Total PoP ]]/20,IF(WWWW[[#This Row],[Location Type 1]]="Temporary Location",WWWW[[#This Row],[Total PoP ]]/50,(WWWW[[#This Row],[Total PoP ]]/6))),0)</f>
        <v>174</v>
      </c>
      <c r="CR317" s="647">
        <f>IF(WWWW[[#This Row],[Total required Latrines]]-(WWWW[[#This Row],['#_Constructed latrines_by_WASHAgencies]]+WWWW[[#This Row],['#_Non Cluster partner latrines]])&lt;0,0,WWWW[[#This Row],[Total required Latrines]]-(WWWW[[#This Row],['#_Constructed latrines_by_WASHAgencies]]+WWWW[[#This Row],['#_Non Cluster partner latrines]]))</f>
        <v>0</v>
      </c>
      <c r="CS317" s="79">
        <f>1-WWWW[[#This Row],[% people access to functioning Latrine]]</f>
        <v>6.4830751577739543E-2</v>
      </c>
      <c r="CT317" s="649">
        <f>IF(OR(WWWW[[#This Row],['#_Non-functional latrines]]="",WWWW[[#This Row],['#_Non-functional latrines]]=0),0,WWWW[[#This Row],['#_Non-functional latrines]]/(WWWW[[#This Row],['#_Constructed latrines_by_WASHAgencies]]+WWWW[[#This Row],['#_Non Cluster partner latrines]]))</f>
        <v>0.32365145228215769</v>
      </c>
      <c r="CU317" s="645">
        <f>IF(500*(WWWW[[#This Row],['#_male hygiene promoters]]+WWWW[[#This Row],['#_female hygiene promoters]])&gt;WWWW[[#This Row],[Total PoP ]],WWWW[[#This Row],[Total PoP ]],500*(WWWW[[#This Row],['#_male hygiene promoters]]+WWWW[[#This Row],['#_female hygiene promoters]]))</f>
        <v>3486</v>
      </c>
      <c r="CV317"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3486</v>
      </c>
      <c r="CW317"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3486</v>
      </c>
      <c r="CX317" s="647">
        <f>IF(WWWW[[#This Row],['# People with access to soap]]&gt;WWWW[[#This Row],['# People with access to Sanity Pads]],WWWW[[#This Row],['# People with access to soap]],WWWW[[#This Row],['# People with access to Sanity Pads]])</f>
        <v>3486</v>
      </c>
      <c r="CY317" s="647">
        <f>IF(WWWW[[#This Row],['# people reached by regular dedicated hygiene promotion_5]]&gt;WWWW[[#This Row],['# People received regular supply of hygiene items_6]],WWWW[[#This Row],['# people reached by regular dedicated hygiene promotion_5]],WWWW[[#This Row],['# People received regular supply of hygiene items_6]])</f>
        <v>3486</v>
      </c>
      <c r="CZ317" s="650">
        <f>IF(WWWW[[#This Row],[HRP3]]/WWWW[[#This Row],[Total PoP ]]&gt;100%,100%,WWWW[[#This Row],[HRP3]]/WWWW[[#This Row],[Total PoP ]])</f>
        <v>1</v>
      </c>
      <c r="DA317" s="649">
        <f>1-WWWW[[#This Row],[Hygiene Coverage%]]</f>
        <v>0</v>
      </c>
      <c r="DB317" s="648">
        <f>WWWW[[#This Row],['# people reached by regular dedicated hygiene promotion_5]]/WWWW[[#This Row],[Total PoP ]]</f>
        <v>1</v>
      </c>
      <c r="DC317" s="648">
        <f>IF(WWWW[[#This Row],['#_households that received standard amount of soap for this quarter]]/WWWW[[#This Row],[Total HH]]&gt;1,1,WWWW[[#This Row],['#_households that received standard amount of soap for this quarter]]/WWWW[[#This Row],[Total HH]])</f>
        <v>1</v>
      </c>
      <c r="DD317" s="648">
        <f>IF(WWWW[[#This Row],['#_households that received standard amount of sanitary pads for this quarter]]/WWWW[[#This Row],[Total HH]]&gt;1,1,WWWW[[#This Row],['#_households that received standard amount of sanitary pads for this quarter]]/WWWW[[#This Row],[Total HH]])</f>
        <v>1</v>
      </c>
      <c r="DE317" s="647">
        <f>WWWW[[#This Row],['#_Constructed/Existing hand washing stations]]-WWWW[[#This Row],['#_Non-Functional_hand_washing_stations]]</f>
        <v>0</v>
      </c>
      <c r="DF317" s="667">
        <f>IF(WWWW[[#This Row],['# Functional hand washing stations during reporting period]]*20&gt;WWWW[[#This Row],[Total HH]],WWWW[[#This Row],[Total HH]],WWWW[[#This Row],['# Functional hand washing stations during reporting period]]*20)</f>
        <v>0</v>
      </c>
      <c r="DG317" s="645">
        <f>IF(WWWW[[#This Row],[Is sufficient soap available for TLS? (Yes/No)]]="yes",WWWW[[#This Row],['#_Constructed/Existing hand washing stations at TLS]],0)</f>
        <v>0</v>
      </c>
      <c r="DH317" s="645">
        <f>IF(WWWW[[#This Row],['# Functional hand washing stations during reporting period]]*100&gt;WWWW[[#This Row],[Total PoP ]],WWWW[[#This Row],[Total PoP ]],WWWW[[#This Row],['# Functional hand washing stations during reporting period]]*100)</f>
        <v>0</v>
      </c>
      <c r="DI317" s="645" t="str">
        <f>IF(WWWW[[#This Row],['#_students at TLS_CFS]]="","No","Yes")</f>
        <v>No</v>
      </c>
      <c r="DJ317" s="643" t="str">
        <f>VLOOKUP(WWWW[[#This Row],[Site Name]],SiteDB6[[Site Name]:[CCCM Management]],6,FALSE)</f>
        <v>Yes</v>
      </c>
      <c r="DK317" s="643">
        <f>VLOOKUP(WWWW[[#This Row],[Site Name]],SiteDB6[[Site Name]:[CCCM Focal Agency]],7,FALSE)</f>
        <v>0</v>
      </c>
      <c r="DL317" s="643" t="str">
        <f>VLOOKUP(WWWW[[#This Row],[Site Name]],SiteDB6[[Site Name]:[Location Type 1]],9,FALSE)</f>
        <v>Camp</v>
      </c>
      <c r="DM317" s="643" t="str">
        <f>VLOOKUP(WWWW[[#This Row],[Site Name]],SiteDB6[[Site Name]:[Type of Accommodation]],10,FALSE)</f>
        <v>Planned Camp</v>
      </c>
      <c r="DN317" s="643" t="str">
        <f>VLOOKUP(WWWW[[#This Row],[Site Name]],SiteDB6[[Site Name]:[Ethnic or GCA/NGCA]],11,FALSE)</f>
        <v>Muslim</v>
      </c>
      <c r="DO317" s="643">
        <f>VLOOKUP(WWWW[[#This Row],[Site Name]],SiteDB6[[Site Name]:[Lat]],12,FALSE)</f>
        <v>20.185917</v>
      </c>
      <c r="DP317" s="643">
        <f>VLOOKUP(WWWW[[#This Row],[Site Name]],SiteDB6[[Site Name]:[Long]],13,FALSE)</f>
        <v>92.831000000000003</v>
      </c>
      <c r="DQ317" s="643" t="str">
        <f>VLOOKUP(WWWW[[#This Row],[Site Name]],SiteDB6[[Site Name]:[Pcode]],3,FALSE)</f>
        <v>MMR012CMP092</v>
      </c>
      <c r="DR317" s="652" t="str">
        <f t="shared" si="10"/>
        <v>Covered</v>
      </c>
      <c r="DS317" s="652"/>
    </row>
    <row r="318" spans="1:123">
      <c r="A318" s="637" t="s">
        <v>2525</v>
      </c>
      <c r="B318" s="637" t="s">
        <v>3007</v>
      </c>
      <c r="C318" s="644" t="s">
        <v>2374</v>
      </c>
      <c r="D318" s="644" t="s">
        <v>42</v>
      </c>
      <c r="E318" s="663" t="s">
        <v>3014</v>
      </c>
      <c r="F318" s="644" t="s">
        <v>313</v>
      </c>
      <c r="G318" s="663" t="str">
        <f>VLOOKUP(WWWW[[#This Row],[Site Name]],SiteDB6[[Site Name]:[Location Type]],8,FALSE)</f>
        <v>Camp</v>
      </c>
      <c r="H318" s="644" t="s">
        <v>459</v>
      </c>
      <c r="I318" s="646">
        <v>673</v>
      </c>
      <c r="J318" s="646">
        <v>3095</v>
      </c>
      <c r="K318" s="653"/>
      <c r="L318" s="654">
        <v>44104</v>
      </c>
      <c r="M318" s="646"/>
      <c r="N318" s="646"/>
      <c r="O318" s="646"/>
      <c r="P318" s="646" t="s">
        <v>2941</v>
      </c>
      <c r="Q318" s="645"/>
      <c r="R318" s="646"/>
      <c r="S318" s="646"/>
      <c r="T318" s="646"/>
      <c r="U318" s="646"/>
      <c r="V318" s="646"/>
      <c r="W318" s="646">
        <v>80</v>
      </c>
      <c r="X318" s="646"/>
      <c r="Y318" s="646">
        <v>14</v>
      </c>
      <c r="Z318" s="646" t="s">
        <v>2941</v>
      </c>
      <c r="AA318" s="646"/>
      <c r="AB318" s="646"/>
      <c r="AC318" s="646"/>
      <c r="AD318" s="646"/>
      <c r="AE318" s="646"/>
      <c r="AF318" s="646"/>
      <c r="AG318" s="646"/>
      <c r="AH318" s="646">
        <v>80</v>
      </c>
      <c r="AI318" s="646">
        <v>2</v>
      </c>
      <c r="AJ318" s="646"/>
      <c r="AK318" s="646"/>
      <c r="AL318" s="646"/>
      <c r="AM318" s="646"/>
      <c r="AN318" s="646"/>
      <c r="AO318" s="652"/>
      <c r="AP318" s="646">
        <v>175</v>
      </c>
      <c r="AQ318" s="646"/>
      <c r="AR318" s="648"/>
      <c r="AS318" s="646">
        <v>14</v>
      </c>
      <c r="AT318" s="646">
        <v>0</v>
      </c>
      <c r="AU318" s="646">
        <v>14</v>
      </c>
      <c r="AV318" s="646"/>
      <c r="AW318" s="646">
        <v>175</v>
      </c>
      <c r="AX318" s="643" t="s">
        <v>43</v>
      </c>
      <c r="AY318" s="652" t="s">
        <v>145</v>
      </c>
      <c r="AZ318" s="646"/>
      <c r="BA318" s="646"/>
      <c r="BB318" s="646"/>
      <c r="BC318" s="643"/>
      <c r="BD318" s="646"/>
      <c r="BE318" s="646"/>
      <c r="BF318" s="646"/>
      <c r="BG318" s="646"/>
      <c r="BH318" s="646"/>
      <c r="BI318" s="646">
        <v>6</v>
      </c>
      <c r="BJ318" s="646"/>
      <c r="BK318" s="646">
        <v>705</v>
      </c>
      <c r="BL318" s="646">
        <v>705</v>
      </c>
      <c r="BM318" s="643" t="s">
        <v>43</v>
      </c>
      <c r="BN318" s="647">
        <v>3</v>
      </c>
      <c r="BO318" s="648"/>
      <c r="BP318" s="643"/>
      <c r="BQ318" s="649">
        <f>IFERROR(WWWW[[#This Row],['#_Water sources treated]]/WWWW[[#This Row],['#_Water sources tested for contamination]],"no test")</f>
        <v>0</v>
      </c>
      <c r="BR318" s="648" t="str">
        <f>IFERROR(WWWW[[#This Row],['#_Household received remediation action due to contamination]]/WWWW[[#This Row],['#_Household water samples tested for contamination]],"no test")</f>
        <v>no test</v>
      </c>
      <c r="BS318" s="647" t="str">
        <f>IF(AND(WWWW[[#This Row],[% of water sources treated]]="no test",WWWW[[#This Row],[% Household received corrective actions]]="no test"),"No Test","Tested")</f>
        <v>Tested</v>
      </c>
      <c r="BT318" s="647">
        <f>WWWW[[#This Row],['#_Constructed/existing protected hand dug well]]-WWWW[[#This Row],['#_Non-functional protected hand dug well]]</f>
        <v>0</v>
      </c>
      <c r="BU318" s="647">
        <f>(WWWW[[#This Row],['#_Constructed/Existing tube wells/boreholes/handpumps_WASH_agency]]+WWWW[[#This Row],['#_Non-Cluster partner water tube-wells/boreholes/handpumps]])-WWWW[[#This Row],['#_Non-functional tube wells/boreholes/handpumps]]</f>
        <v>66</v>
      </c>
      <c r="BV318" s="647">
        <f>WWWW[[#This Row],['#_Constructed/Existingwater storage tank with gravity fed reticulation system]]-WWWW[[#This Row],['#_Non-functional storage tank gravity fed reticulation system]]</f>
        <v>0</v>
      </c>
      <c r="BW318" s="647">
        <f>WWWW[[#This Row],['#_Water boating or water trucking]]</f>
        <v>0</v>
      </c>
      <c r="BX318" s="647">
        <f>WWWW[[#This Row],['#_Constructed/Existing water distribution system from river or natural spring]]</f>
        <v>0</v>
      </c>
      <c r="BY318"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318"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318" s="648">
        <f>IF(WWWW[[#This Row],[Location Type 1]]="Village",WWWW[[#This Row],[Access to safe drinking water for Village]],WWWW[[#This Row],[Access to safe drinking water for Camp]])</f>
        <v>1</v>
      </c>
      <c r="CB318" s="645">
        <f>WWWW[[#This Row],[%Equitable and continuous access to sufficient quantity of safe drinking water]]*WWWW[[#This Row],[Total PoP ]]</f>
        <v>3095</v>
      </c>
      <c r="CC318" s="648">
        <f>IF((WWWW[[#This Row],['#_Constructed/Existing protected/fenced ponds]]*250)/WWWW[[#This Row],[Total PoP ]]&gt;1,1,(WWWW[[#This Row],['#_Constructed/Existing protected/fenced ponds]]*250)/WWWW[[#This Row],[Total PoP ]])</f>
        <v>0</v>
      </c>
      <c r="CD318" s="645">
        <f>WWWW[[#This Row],[% Access to unimproved water points]]*WWWW[[#This Row],[Total PoP ]]</f>
        <v>0</v>
      </c>
      <c r="CE318"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18"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3095</v>
      </c>
      <c r="CG318" s="645">
        <f>WWWW[[#This Row],[HRP1]]/500</f>
        <v>6.19</v>
      </c>
      <c r="CH318" s="650">
        <f>1-WWWW[[#This Row],[% Equitable and continuous access to sufficient quantity of domestic water]]</f>
        <v>0</v>
      </c>
      <c r="CI318" s="645">
        <f>WWWW[[#This Row],[%equitable and continuous access to sufficient quantity of safe drinking and domestic water''s GAP]]*WWWW[[#This Row],[Total PoP ]]</f>
        <v>0</v>
      </c>
      <c r="CJ318" s="647">
        <f>IF(WWWW[[#This Row],[Total required water points]]-WWWW[[#This Row],['#Water points coverage]]&lt;0,0,WWWW[[#This Row],[Total required water points]]-WWWW[[#This Row],['#Water points coverage]])</f>
        <v>0</v>
      </c>
      <c r="CK318" s="647">
        <f>ROUND(IF(WWWW[[#This Row],[Total PoP ]]&lt;500,1,WWWW[[#This Row],[Total PoP ]]/500),0)</f>
        <v>6</v>
      </c>
      <c r="CL318" s="647">
        <f>(WWWW[[#This Row],['#_Constructed latrines_by_WASHAgencies]]+WWWW[[#This Row],['#_Non Cluster partner latrines]])-WWWW[[#This Row],['#_Non-functional latrines]]</f>
        <v>161</v>
      </c>
      <c r="CM318"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318"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3095</v>
      </c>
      <c r="CO318"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280</v>
      </c>
      <c r="CP318" s="647">
        <f>IF(WWWW[[#This Row],[Location Type 1]]="Village","NA",IF(WWWW[[#This Row],['#_Constructed/Existing latrines in TLS]]*50&gt;WWWW[[#This Row],['#_students at TLS_CFS]],WWWW[[#This Row],['#_students at TLS_CFS]],(WWWW[[#This Row],['#_Constructed/Existing latrines in TLS]]*50)))</f>
        <v>0</v>
      </c>
      <c r="CQ318" s="647">
        <f>ROUND(IF(WWWW[[#This Row],[Location Type 1]]="camp",WWWW[[#This Row],[Total PoP ]]/20,IF(WWWW[[#This Row],[Location Type 1]]="Temporary Location",WWWW[[#This Row],[Total PoP ]]/50,(WWWW[[#This Row],[Total PoP ]]/6))),0)</f>
        <v>155</v>
      </c>
      <c r="CR318" s="647">
        <f>IF(WWWW[[#This Row],[Total required Latrines]]-(WWWW[[#This Row],['#_Constructed latrines_by_WASHAgencies]]+WWWW[[#This Row],['#_Non Cluster partner latrines]])&lt;0,0,WWWW[[#This Row],[Total required Latrines]]-(WWWW[[#This Row],['#_Constructed latrines_by_WASHAgencies]]+WWWW[[#This Row],['#_Non Cluster partner latrines]]))</f>
        <v>0</v>
      </c>
      <c r="CS318" s="79">
        <f>1-WWWW[[#This Row],[% people access to functioning Latrine]]</f>
        <v>0</v>
      </c>
      <c r="CT318" s="649">
        <f>IF(OR(WWWW[[#This Row],['#_Non-functional latrines]]="",WWWW[[#This Row],['#_Non-functional latrines]]=0),0,WWWW[[#This Row],['#_Non-functional latrines]]/(WWWW[[#This Row],['#_Constructed latrines_by_WASHAgencies]]+WWWW[[#This Row],['#_Non Cluster partner latrines]]))</f>
        <v>0.08</v>
      </c>
      <c r="CU318" s="645">
        <f>IF(500*(WWWW[[#This Row],['#_male hygiene promoters]]+WWWW[[#This Row],['#_female hygiene promoters]])&gt;WWWW[[#This Row],[Total PoP ]],WWWW[[#This Row],[Total PoP ]],500*(WWWW[[#This Row],['#_male hygiene promoters]]+WWWW[[#This Row],['#_female hygiene promoters]]))</f>
        <v>3000</v>
      </c>
      <c r="CV318"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3095</v>
      </c>
      <c r="CW318"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3095</v>
      </c>
      <c r="CX318" s="647">
        <f>IF(WWWW[[#This Row],['# People with access to soap]]&gt;WWWW[[#This Row],['# People with access to Sanity Pads]],WWWW[[#This Row],['# People with access to soap]],WWWW[[#This Row],['# People with access to Sanity Pads]])</f>
        <v>3095</v>
      </c>
      <c r="CY318" s="647">
        <f>IF(WWWW[[#This Row],['# people reached by regular dedicated hygiene promotion_5]]&gt;WWWW[[#This Row],['# People received regular supply of hygiene items_6]],WWWW[[#This Row],['# people reached by regular dedicated hygiene promotion_5]],WWWW[[#This Row],['# People received regular supply of hygiene items_6]])</f>
        <v>3095</v>
      </c>
      <c r="CZ318" s="650">
        <f>IF(WWWW[[#This Row],[HRP3]]/WWWW[[#This Row],[Total PoP ]]&gt;100%,100%,WWWW[[#This Row],[HRP3]]/WWWW[[#This Row],[Total PoP ]])</f>
        <v>1</v>
      </c>
      <c r="DA318" s="649">
        <f>1-WWWW[[#This Row],[Hygiene Coverage%]]</f>
        <v>0</v>
      </c>
      <c r="DB318" s="648">
        <f>WWWW[[#This Row],['# people reached by regular dedicated hygiene promotion_5]]/WWWW[[#This Row],[Total PoP ]]</f>
        <v>0.96930533117932149</v>
      </c>
      <c r="DC318" s="648">
        <f>IF(WWWW[[#This Row],['#_households that received standard amount of soap for this quarter]]/WWWW[[#This Row],[Total HH]]&gt;1,1,WWWW[[#This Row],['#_households that received standard amount of soap for this quarter]]/WWWW[[#This Row],[Total HH]])</f>
        <v>1</v>
      </c>
      <c r="DD318" s="648">
        <f>IF(WWWW[[#This Row],['#_households that received standard amount of sanitary pads for this quarter]]/WWWW[[#This Row],[Total HH]]&gt;1,1,WWWW[[#This Row],['#_households that received standard amount of sanitary pads for this quarter]]/WWWW[[#This Row],[Total HH]])</f>
        <v>1</v>
      </c>
      <c r="DE318" s="647">
        <f>WWWW[[#This Row],['#_Constructed/Existing hand washing stations]]-WWWW[[#This Row],['#_Non-Functional_hand_washing_stations]]</f>
        <v>0</v>
      </c>
      <c r="DF318" s="667">
        <f>IF(WWWW[[#This Row],['# Functional hand washing stations during reporting period]]*20&gt;WWWW[[#This Row],[Total HH]],WWWW[[#This Row],[Total HH]],WWWW[[#This Row],['# Functional hand washing stations during reporting period]]*20)</f>
        <v>0</v>
      </c>
      <c r="DG318" s="645">
        <f>IF(WWWW[[#This Row],[Is sufficient soap available for TLS? (Yes/No)]]="yes",WWWW[[#This Row],['#_Constructed/Existing hand washing stations at TLS]],0)</f>
        <v>0</v>
      </c>
      <c r="DH318" s="645">
        <f>IF(WWWW[[#This Row],['# Functional hand washing stations during reporting period]]*100&gt;WWWW[[#This Row],[Total PoP ]],WWWW[[#This Row],[Total PoP ]],WWWW[[#This Row],['# Functional hand washing stations during reporting period]]*100)</f>
        <v>0</v>
      </c>
      <c r="DI318" s="645" t="str">
        <f>IF(WWWW[[#This Row],['#_students at TLS_CFS]]="","No","Yes")</f>
        <v>No</v>
      </c>
      <c r="DJ318" s="643" t="str">
        <f>VLOOKUP(WWWW[[#This Row],[Site Name]],SiteDB6[[Site Name]:[CCCM Management]],6,FALSE)</f>
        <v>Yes</v>
      </c>
      <c r="DK318" s="643">
        <f>VLOOKUP(WWWW[[#This Row],[Site Name]],SiteDB6[[Site Name]:[CCCM Focal Agency]],7,FALSE)</f>
        <v>0</v>
      </c>
      <c r="DL318" s="643" t="str">
        <f>VLOOKUP(WWWW[[#This Row],[Site Name]],SiteDB6[[Site Name]:[Location Type 1]],9,FALSE)</f>
        <v>Camp</v>
      </c>
      <c r="DM318" s="643" t="str">
        <f>VLOOKUP(WWWW[[#This Row],[Site Name]],SiteDB6[[Site Name]:[Type of Accommodation]],10,FALSE)</f>
        <v>Planned Camp</v>
      </c>
      <c r="DN318" s="643" t="str">
        <f>VLOOKUP(WWWW[[#This Row],[Site Name]],SiteDB6[[Site Name]:[Ethnic or GCA/NGCA]],11,FALSE)</f>
        <v>Muslim</v>
      </c>
      <c r="DO318" s="643">
        <f>VLOOKUP(WWWW[[#This Row],[Site Name]],SiteDB6[[Site Name]:[Lat]],12,FALSE)</f>
        <v>20.206778</v>
      </c>
      <c r="DP318" s="643">
        <f>VLOOKUP(WWWW[[#This Row],[Site Name]],SiteDB6[[Site Name]:[Long]],13,FALSE)</f>
        <v>92.774193999999994</v>
      </c>
      <c r="DQ318" s="643" t="str">
        <f>VLOOKUP(WWWW[[#This Row],[Site Name]],SiteDB6[[Site Name]:[Pcode]],3,FALSE)</f>
        <v>MMR012CMP098</v>
      </c>
      <c r="DR318" s="652" t="str">
        <f t="shared" si="10"/>
        <v>Covered</v>
      </c>
      <c r="DS318" s="652"/>
    </row>
    <row r="319" spans="1:123">
      <c r="A319" s="637" t="s">
        <v>2525</v>
      </c>
      <c r="B319" s="637" t="s">
        <v>3007</v>
      </c>
      <c r="C319" s="644" t="s">
        <v>2374</v>
      </c>
      <c r="D319" s="644" t="s">
        <v>42</v>
      </c>
      <c r="E319" s="663" t="s">
        <v>3014</v>
      </c>
      <c r="F319" s="644" t="s">
        <v>313</v>
      </c>
      <c r="G319" s="663" t="str">
        <f>VLOOKUP(WWWW[[#This Row],[Site Name]],SiteDB6[[Site Name]:[Location Type]],8,FALSE)</f>
        <v>Camp</v>
      </c>
      <c r="H319" s="644" t="s">
        <v>450</v>
      </c>
      <c r="I319" s="646">
        <v>2428</v>
      </c>
      <c r="J319" s="646">
        <v>13302</v>
      </c>
      <c r="K319" s="653"/>
      <c r="L319" s="654">
        <v>44104</v>
      </c>
      <c r="M319" s="646"/>
      <c r="N319" s="646"/>
      <c r="O319" s="646"/>
      <c r="P319" s="646" t="s">
        <v>2941</v>
      </c>
      <c r="Q319" s="645"/>
      <c r="R319" s="646"/>
      <c r="S319" s="646"/>
      <c r="T319" s="646"/>
      <c r="U319" s="646"/>
      <c r="V319" s="646"/>
      <c r="W319" s="646">
        <v>226</v>
      </c>
      <c r="X319" s="646"/>
      <c r="Y319" s="646">
        <v>117</v>
      </c>
      <c r="Z319" s="646">
        <v>26</v>
      </c>
      <c r="AA319" s="646"/>
      <c r="AB319" s="646"/>
      <c r="AC319" s="646"/>
      <c r="AD319" s="646"/>
      <c r="AE319" s="646"/>
      <c r="AF319" s="646"/>
      <c r="AG319" s="646"/>
      <c r="AH319" s="646">
        <v>226</v>
      </c>
      <c r="AI319" s="646"/>
      <c r="AJ319" s="646"/>
      <c r="AK319" s="646"/>
      <c r="AL319" s="646"/>
      <c r="AM319" s="646"/>
      <c r="AN319" s="646"/>
      <c r="AO319" s="652"/>
      <c r="AP319" s="646">
        <v>778</v>
      </c>
      <c r="AQ319" s="646"/>
      <c r="AR319" s="648"/>
      <c r="AS319" s="646">
        <v>431</v>
      </c>
      <c r="AT319" s="646">
        <v>242</v>
      </c>
      <c r="AU319" s="646">
        <v>359</v>
      </c>
      <c r="AV319" s="646"/>
      <c r="AW319" s="646">
        <v>778</v>
      </c>
      <c r="AX319" s="643" t="s">
        <v>43</v>
      </c>
      <c r="AY319" s="652" t="s">
        <v>145</v>
      </c>
      <c r="AZ319" s="646"/>
      <c r="BA319" s="646"/>
      <c r="BB319" s="646"/>
      <c r="BC319" s="643"/>
      <c r="BD319" s="646"/>
      <c r="BE319" s="646"/>
      <c r="BF319" s="646"/>
      <c r="BG319" s="646"/>
      <c r="BH319" s="646"/>
      <c r="BI319" s="646">
        <v>28</v>
      </c>
      <c r="BJ319" s="646"/>
      <c r="BK319" s="646">
        <v>2728</v>
      </c>
      <c r="BL319" s="646">
        <v>2728</v>
      </c>
      <c r="BM319" s="643" t="s">
        <v>43</v>
      </c>
      <c r="BN319" s="647">
        <v>58</v>
      </c>
      <c r="BO319" s="648"/>
      <c r="BP319" s="643"/>
      <c r="BQ319" s="649" t="str">
        <f>IFERROR(WWWW[[#This Row],['#_Water sources treated]]/WWWW[[#This Row],['#_Water sources tested for contamination]],"no test")</f>
        <v>no test</v>
      </c>
      <c r="BR319" s="648" t="str">
        <f>IFERROR(WWWW[[#This Row],['#_Household received remediation action due to contamination]]/WWWW[[#This Row],['#_Household water samples tested for contamination]],"no test")</f>
        <v>no test</v>
      </c>
      <c r="BS319" s="647" t="str">
        <f>IF(AND(WWWW[[#This Row],[% of water sources treated]]="no test",WWWW[[#This Row],[% Household received corrective actions]]="no test"),"No Test","Tested")</f>
        <v>No Test</v>
      </c>
      <c r="BT319" s="647">
        <f>WWWW[[#This Row],['#_Constructed/existing protected hand dug well]]-WWWW[[#This Row],['#_Non-functional protected hand dug well]]</f>
        <v>0</v>
      </c>
      <c r="BU319" s="647">
        <f>(WWWW[[#This Row],['#_Constructed/Existing tube wells/boreholes/handpumps_WASH_agency]]+WWWW[[#This Row],['#_Non-Cluster partner water tube-wells/boreholes/handpumps]])-WWWW[[#This Row],['#_Non-functional tube wells/boreholes/handpumps]]</f>
        <v>109</v>
      </c>
      <c r="BV319" s="647">
        <f>WWWW[[#This Row],['#_Constructed/Existingwater storage tank with gravity fed reticulation system]]-WWWW[[#This Row],['#_Non-functional storage tank gravity fed reticulation system]]</f>
        <v>0</v>
      </c>
      <c r="BW319" s="647">
        <f>WWWW[[#This Row],['#_Water boating or water trucking]]</f>
        <v>0</v>
      </c>
      <c r="BX319" s="647">
        <f>WWWW[[#This Row],['#_Constructed/Existing water distribution system from river or natural spring]]</f>
        <v>0</v>
      </c>
      <c r="BY319"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319"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319" s="648">
        <f>IF(WWWW[[#This Row],[Location Type 1]]="Village",WWWW[[#This Row],[Access to safe drinking water for Village]],WWWW[[#This Row],[Access to safe drinking water for Camp]])</f>
        <v>1</v>
      </c>
      <c r="CB319" s="645">
        <f>WWWW[[#This Row],[%Equitable and continuous access to sufficient quantity of safe drinking water]]*WWWW[[#This Row],[Total PoP ]]</f>
        <v>13302</v>
      </c>
      <c r="CC319" s="648">
        <f>IF((WWWW[[#This Row],['#_Constructed/Existing protected/fenced ponds]]*250)/WWWW[[#This Row],[Total PoP ]]&gt;1,1,(WWWW[[#This Row],['#_Constructed/Existing protected/fenced ponds]]*250)/WWWW[[#This Row],[Total PoP ]])</f>
        <v>0</v>
      </c>
      <c r="CD319" s="645">
        <f>WWWW[[#This Row],[% Access to unimproved water points]]*WWWW[[#This Row],[Total PoP ]]</f>
        <v>0</v>
      </c>
      <c r="CE319"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19"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13302</v>
      </c>
      <c r="CG319" s="645">
        <f>WWWW[[#This Row],[HRP1]]/500</f>
        <v>26.603999999999999</v>
      </c>
      <c r="CH319" s="650">
        <f>1-WWWW[[#This Row],[% Equitable and continuous access to sufficient quantity of domestic water]]</f>
        <v>0</v>
      </c>
      <c r="CI319" s="645">
        <f>WWWW[[#This Row],[%equitable and continuous access to sufficient quantity of safe drinking and domestic water''s GAP]]*WWWW[[#This Row],[Total PoP ]]</f>
        <v>0</v>
      </c>
      <c r="CJ319" s="647">
        <f>IF(WWWW[[#This Row],[Total required water points]]-WWWW[[#This Row],['#Water points coverage]]&lt;0,0,WWWW[[#This Row],[Total required water points]]-WWWW[[#This Row],['#Water points coverage]])</f>
        <v>0.3960000000000008</v>
      </c>
      <c r="CK319" s="647">
        <f>ROUND(IF(WWWW[[#This Row],[Total PoP ]]&lt;500,1,WWWW[[#This Row],[Total PoP ]]/500),0)</f>
        <v>27</v>
      </c>
      <c r="CL319" s="647">
        <f>(WWWW[[#This Row],['#_Constructed latrines_by_WASHAgencies]]+WWWW[[#This Row],['#_Non Cluster partner latrines]])-WWWW[[#This Row],['#_Non-functional latrines]]</f>
        <v>347</v>
      </c>
      <c r="CM319"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0.52172605623214552</v>
      </c>
      <c r="CN319"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6940</v>
      </c>
      <c r="CO319"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7180</v>
      </c>
      <c r="CP319" s="647">
        <f>IF(WWWW[[#This Row],[Location Type 1]]="Village","NA",IF(WWWW[[#This Row],['#_Constructed/Existing latrines in TLS]]*50&gt;WWWW[[#This Row],['#_students at TLS_CFS]],WWWW[[#This Row],['#_students at TLS_CFS]],(WWWW[[#This Row],['#_Constructed/Existing latrines in TLS]]*50)))</f>
        <v>0</v>
      </c>
      <c r="CQ319" s="647">
        <f>ROUND(IF(WWWW[[#This Row],[Location Type 1]]="camp",WWWW[[#This Row],[Total PoP ]]/20,IF(WWWW[[#This Row],[Location Type 1]]="Temporary Location",WWWW[[#This Row],[Total PoP ]]/50,(WWWW[[#This Row],[Total PoP ]]/6))),0)</f>
        <v>665</v>
      </c>
      <c r="CR319" s="647">
        <f>IF(WWWW[[#This Row],[Total required Latrines]]-(WWWW[[#This Row],['#_Constructed latrines_by_WASHAgencies]]+WWWW[[#This Row],['#_Non Cluster partner latrines]])&lt;0,0,WWWW[[#This Row],[Total required Latrines]]-(WWWW[[#This Row],['#_Constructed latrines_by_WASHAgencies]]+WWWW[[#This Row],['#_Non Cluster partner latrines]]))</f>
        <v>0</v>
      </c>
      <c r="CS319" s="79">
        <f>1-WWWW[[#This Row],[% people access to functioning Latrine]]</f>
        <v>0.47827394376785448</v>
      </c>
      <c r="CT319" s="649">
        <f>IF(OR(WWWW[[#This Row],['#_Non-functional latrines]]="",WWWW[[#This Row],['#_Non-functional latrines]]=0),0,WWWW[[#This Row],['#_Non-functional latrines]]/(WWWW[[#This Row],['#_Constructed latrines_by_WASHAgencies]]+WWWW[[#This Row],['#_Non Cluster partner latrines]]))</f>
        <v>0.55398457583547556</v>
      </c>
      <c r="CU319" s="645">
        <f>IF(500*(WWWW[[#This Row],['#_male hygiene promoters]]+WWWW[[#This Row],['#_female hygiene promoters]])&gt;WWWW[[#This Row],[Total PoP ]],WWWW[[#This Row],[Total PoP ]],500*(WWWW[[#This Row],['#_male hygiene promoters]]+WWWW[[#This Row],['#_female hygiene promoters]]))</f>
        <v>13302</v>
      </c>
      <c r="CV319"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13302</v>
      </c>
      <c r="CW319"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13302</v>
      </c>
      <c r="CX319" s="647">
        <f>IF(WWWW[[#This Row],['# People with access to soap]]&gt;WWWW[[#This Row],['# People with access to Sanity Pads]],WWWW[[#This Row],['# People with access to soap]],WWWW[[#This Row],['# People with access to Sanity Pads]])</f>
        <v>13302</v>
      </c>
      <c r="CY319" s="647">
        <f>IF(WWWW[[#This Row],['# people reached by regular dedicated hygiene promotion_5]]&gt;WWWW[[#This Row],['# People received regular supply of hygiene items_6]],WWWW[[#This Row],['# people reached by regular dedicated hygiene promotion_5]],WWWW[[#This Row],['# People received regular supply of hygiene items_6]])</f>
        <v>13302</v>
      </c>
      <c r="CZ319" s="650">
        <f>IF(WWWW[[#This Row],[HRP3]]/WWWW[[#This Row],[Total PoP ]]&gt;100%,100%,WWWW[[#This Row],[HRP3]]/WWWW[[#This Row],[Total PoP ]])</f>
        <v>1</v>
      </c>
      <c r="DA319" s="649">
        <f>1-WWWW[[#This Row],[Hygiene Coverage%]]</f>
        <v>0</v>
      </c>
      <c r="DB319" s="648">
        <f>WWWW[[#This Row],['# people reached by regular dedicated hygiene promotion_5]]/WWWW[[#This Row],[Total PoP ]]</f>
        <v>1</v>
      </c>
      <c r="DC319" s="648">
        <f>IF(WWWW[[#This Row],['#_households that received standard amount of soap for this quarter]]/WWWW[[#This Row],[Total HH]]&gt;1,1,WWWW[[#This Row],['#_households that received standard amount of soap for this quarter]]/WWWW[[#This Row],[Total HH]])</f>
        <v>1</v>
      </c>
      <c r="DD319" s="648">
        <f>IF(WWWW[[#This Row],['#_households that received standard amount of sanitary pads for this quarter]]/WWWW[[#This Row],[Total HH]]&gt;1,1,WWWW[[#This Row],['#_households that received standard amount of sanitary pads for this quarter]]/WWWW[[#This Row],[Total HH]])</f>
        <v>1</v>
      </c>
      <c r="DE319" s="647">
        <f>WWWW[[#This Row],['#_Constructed/Existing hand washing stations]]-WWWW[[#This Row],['#_Non-Functional_hand_washing_stations]]</f>
        <v>0</v>
      </c>
      <c r="DF319" s="667">
        <f>IF(WWWW[[#This Row],['# Functional hand washing stations during reporting period]]*20&gt;WWWW[[#This Row],[Total HH]],WWWW[[#This Row],[Total HH]],WWWW[[#This Row],['# Functional hand washing stations during reporting period]]*20)</f>
        <v>0</v>
      </c>
      <c r="DG319" s="645">
        <f>IF(WWWW[[#This Row],[Is sufficient soap available for TLS? (Yes/No)]]="yes",WWWW[[#This Row],['#_Constructed/Existing hand washing stations at TLS]],0)</f>
        <v>0</v>
      </c>
      <c r="DH319" s="645">
        <f>IF(WWWW[[#This Row],['# Functional hand washing stations during reporting period]]*100&gt;WWWW[[#This Row],[Total PoP ]],WWWW[[#This Row],[Total PoP ]],WWWW[[#This Row],['# Functional hand washing stations during reporting period]]*100)</f>
        <v>0</v>
      </c>
      <c r="DI319" s="645" t="str">
        <f>IF(WWWW[[#This Row],['#_students at TLS_CFS]]="","No","Yes")</f>
        <v>No</v>
      </c>
      <c r="DJ319" s="643" t="str">
        <f>VLOOKUP(WWWW[[#This Row],[Site Name]],SiteDB6[[Site Name]:[CCCM Management]],6,FALSE)</f>
        <v>Yes</v>
      </c>
      <c r="DK319" s="643">
        <f>VLOOKUP(WWWW[[#This Row],[Site Name]],SiteDB6[[Site Name]:[CCCM Focal Agency]],7,FALSE)</f>
        <v>0</v>
      </c>
      <c r="DL319" s="643" t="str">
        <f>VLOOKUP(WWWW[[#This Row],[Site Name]],SiteDB6[[Site Name]:[Location Type 1]],9,FALSE)</f>
        <v>Camp</v>
      </c>
      <c r="DM319" s="643" t="str">
        <f>VLOOKUP(WWWW[[#This Row],[Site Name]],SiteDB6[[Site Name]:[Type of Accommodation]],10,FALSE)</f>
        <v>Planned Camp</v>
      </c>
      <c r="DN319" s="643" t="str">
        <f>VLOOKUP(WWWW[[#This Row],[Site Name]],SiteDB6[[Site Name]:[Ethnic or GCA/NGCA]],11,FALSE)</f>
        <v>Muslim</v>
      </c>
      <c r="DO319" s="643">
        <f>VLOOKUP(WWWW[[#This Row],[Site Name]],SiteDB6[[Site Name]:[Lat]],12,FALSE)</f>
        <v>20.18994</v>
      </c>
      <c r="DP319" s="643">
        <f>VLOOKUP(WWWW[[#This Row],[Site Name]],SiteDB6[[Site Name]:[Long]],13,FALSE)</f>
        <v>92.798880999999994</v>
      </c>
      <c r="DQ319" s="643" t="str">
        <f>VLOOKUP(WWWW[[#This Row],[Site Name]],SiteDB6[[Site Name]:[Pcode]],3,FALSE)</f>
        <v>MMR012CMP115</v>
      </c>
      <c r="DR319" s="652" t="str">
        <f t="shared" si="10"/>
        <v>Covered</v>
      </c>
      <c r="DS319" s="652"/>
    </row>
    <row r="320" spans="1:123" ht="31.5" customHeight="1">
      <c r="A320" s="637" t="s">
        <v>2525</v>
      </c>
      <c r="B320" s="637" t="s">
        <v>427</v>
      </c>
      <c r="C320" s="644" t="s">
        <v>427</v>
      </c>
      <c r="D320" s="644" t="s">
        <v>2846</v>
      </c>
      <c r="E320" s="663" t="s">
        <v>3014</v>
      </c>
      <c r="F320" s="644" t="s">
        <v>313</v>
      </c>
      <c r="G320" s="663" t="str">
        <f>VLOOKUP(WWWW[[#This Row],[Site Name]],SiteDB6[[Site Name]:[Location Type]],8,FALSE)</f>
        <v>Camp</v>
      </c>
      <c r="H320" s="644" t="s">
        <v>448</v>
      </c>
      <c r="I320" s="646">
        <v>2259</v>
      </c>
      <c r="J320" s="646">
        <v>11375</v>
      </c>
      <c r="K320" s="655" t="s">
        <v>2847</v>
      </c>
      <c r="L320" s="656" t="s">
        <v>2848</v>
      </c>
      <c r="M320" s="646">
        <v>3256</v>
      </c>
      <c r="N320" s="646">
        <v>12</v>
      </c>
      <c r="O320" s="646">
        <v>162</v>
      </c>
      <c r="P320" s="646">
        <v>0</v>
      </c>
      <c r="Q320" s="645" t="s">
        <v>144</v>
      </c>
      <c r="R320" s="646">
        <v>98</v>
      </c>
      <c r="S320" s="646">
        <v>76</v>
      </c>
      <c r="T320" s="646">
        <v>0</v>
      </c>
      <c r="U320" s="646">
        <v>0</v>
      </c>
      <c r="V320" s="646">
        <v>0</v>
      </c>
      <c r="W320" s="646">
        <v>151</v>
      </c>
      <c r="X320" s="646">
        <v>101</v>
      </c>
      <c r="Y320" s="646">
        <v>42</v>
      </c>
      <c r="Z320" s="646">
        <v>135</v>
      </c>
      <c r="AA320" s="646">
        <v>0</v>
      </c>
      <c r="AB320" s="646">
        <v>0</v>
      </c>
      <c r="AC320" s="646">
        <v>0</v>
      </c>
      <c r="AD320" s="646">
        <v>0</v>
      </c>
      <c r="AE320" s="646">
        <v>0</v>
      </c>
      <c r="AF320" s="646">
        <v>0</v>
      </c>
      <c r="AG320" s="646">
        <v>0</v>
      </c>
      <c r="AH320" s="646">
        <v>2</v>
      </c>
      <c r="AI320" s="646">
        <v>100</v>
      </c>
      <c r="AJ320" s="646">
        <v>7</v>
      </c>
      <c r="AK320" s="646">
        <v>120</v>
      </c>
      <c r="AL320" s="646">
        <v>45</v>
      </c>
      <c r="AM320" s="646" t="s">
        <v>2941</v>
      </c>
      <c r="AN320" s="646" t="s">
        <v>2941</v>
      </c>
      <c r="AO320" s="657" t="s">
        <v>2849</v>
      </c>
      <c r="AP320" s="646">
        <v>591</v>
      </c>
      <c r="AQ320" s="646">
        <v>240</v>
      </c>
      <c r="AR320" s="648"/>
      <c r="AS320" s="646">
        <v>225</v>
      </c>
      <c r="AT320" s="646">
        <v>130</v>
      </c>
      <c r="AU320" s="646">
        <v>476</v>
      </c>
      <c r="AV320" s="646" t="s">
        <v>2850</v>
      </c>
      <c r="AW320" s="646">
        <v>0</v>
      </c>
      <c r="AX320" s="643" t="s">
        <v>43</v>
      </c>
      <c r="AY320" s="652" t="s">
        <v>148</v>
      </c>
      <c r="AZ320" s="646">
        <v>32</v>
      </c>
      <c r="BA320" s="646">
        <v>26</v>
      </c>
      <c r="BB320" s="646">
        <v>2</v>
      </c>
      <c r="BC320" s="643" t="s">
        <v>2851</v>
      </c>
      <c r="BD320" s="646"/>
      <c r="BE320" s="646"/>
      <c r="BF320" s="646">
        <v>0</v>
      </c>
      <c r="BG320" s="646">
        <v>0</v>
      </c>
      <c r="BH320" s="646">
        <v>0</v>
      </c>
      <c r="BI320" s="646">
        <v>12</v>
      </c>
      <c r="BJ320" s="646">
        <v>10</v>
      </c>
      <c r="BK320" s="646">
        <v>2259</v>
      </c>
      <c r="BL320" s="646">
        <v>2259</v>
      </c>
      <c r="BM320" s="643" t="s">
        <v>144</v>
      </c>
      <c r="BN320" s="647">
        <v>0</v>
      </c>
      <c r="BO320" s="648">
        <v>0</v>
      </c>
      <c r="BP320" s="643" t="s">
        <v>2852</v>
      </c>
      <c r="BQ320" s="649">
        <f>IFERROR(WWWW[[#This Row],['#_Water sources treated]]/WWWW[[#This Row],['#_Water sources tested for contamination]],"no test")</f>
        <v>7.0000000000000007E-2</v>
      </c>
      <c r="BR320" s="648">
        <f>IFERROR(WWWW[[#This Row],['#_Household received remediation action due to contamination]]/WWWW[[#This Row],['#_Household water samples tested for contamination]],"no test")</f>
        <v>0.375</v>
      </c>
      <c r="BS320" s="647" t="str">
        <f>IF(AND(WWWW[[#This Row],[% of water sources treated]]="no test",WWWW[[#This Row],[% Household received corrective actions]]="no test"),"No Test","Tested")</f>
        <v>Tested</v>
      </c>
      <c r="BT320" s="647">
        <f>WWWW[[#This Row],['#_Constructed/existing protected hand dug well]]-WWWW[[#This Row],['#_Non-functional protected hand dug well]]</f>
        <v>0</v>
      </c>
      <c r="BU320" s="647">
        <f>(WWWW[[#This Row],['#_Constructed/Existing tube wells/boreholes/handpumps_WASH_agency]]+WWWW[[#This Row],['#_Non-Cluster partner water tube-wells/boreholes/handpumps]])-WWWW[[#This Row],['#_Non-functional tube wells/boreholes/handpumps]]</f>
        <v>210</v>
      </c>
      <c r="BV320" s="647">
        <f>WWWW[[#This Row],['#_Constructed/Existingwater storage tank with gravity fed reticulation system]]-WWWW[[#This Row],['#_Non-functional storage tank gravity fed reticulation system]]</f>
        <v>0</v>
      </c>
      <c r="BW320" s="647">
        <f>WWWW[[#This Row],['#_Water boating or water trucking]]</f>
        <v>0</v>
      </c>
      <c r="BX320" s="647">
        <f>WWWW[[#This Row],['#_Constructed/Existing water distribution system from river or natural spring]]</f>
        <v>0</v>
      </c>
      <c r="BY320"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320"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320" s="648">
        <f>IF(WWWW[[#This Row],[Location Type 1]]="Village",WWWW[[#This Row],[Access to safe drinking water for Village]],WWWW[[#This Row],[Access to safe drinking water for Camp]])</f>
        <v>1</v>
      </c>
      <c r="CB320" s="645">
        <f>WWWW[[#This Row],[%Equitable and continuous access to sufficient quantity of safe drinking water]]*WWWW[[#This Row],[Total PoP ]]</f>
        <v>11375</v>
      </c>
      <c r="CC320" s="648">
        <f>IF((WWWW[[#This Row],['#_Constructed/Existing protected/fenced ponds]]*250)/WWWW[[#This Row],[Total PoP ]]&gt;1,1,(WWWW[[#This Row],['#_Constructed/Existing protected/fenced ponds]]*250)/WWWW[[#This Row],[Total PoP ]])</f>
        <v>0</v>
      </c>
      <c r="CD320" s="645">
        <f>WWWW[[#This Row],[% Access to unimproved water points]]*WWWW[[#This Row],[Total PoP ]]</f>
        <v>0</v>
      </c>
      <c r="CE320"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20"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11375</v>
      </c>
      <c r="CG320" s="645">
        <f>WWWW[[#This Row],[HRP1]]/500</f>
        <v>22.75</v>
      </c>
      <c r="CH320" s="650">
        <f>1-WWWW[[#This Row],[% Equitable and continuous access to sufficient quantity of domestic water]]</f>
        <v>0</v>
      </c>
      <c r="CI320" s="645">
        <f>WWWW[[#This Row],[%equitable and continuous access to sufficient quantity of safe drinking and domestic water''s GAP]]*WWWW[[#This Row],[Total PoP ]]</f>
        <v>0</v>
      </c>
      <c r="CJ320" s="647">
        <f>IF(WWWW[[#This Row],[Total required water points]]-WWWW[[#This Row],['#Water points coverage]]&lt;0,0,WWWW[[#This Row],[Total required water points]]-WWWW[[#This Row],['#Water points coverage]])</f>
        <v>0.25</v>
      </c>
      <c r="CK320" s="647">
        <f>ROUND(IF(WWWW[[#This Row],[Total PoP ]]&lt;500,1,WWWW[[#This Row],[Total PoP ]]/500),0)</f>
        <v>23</v>
      </c>
      <c r="CL320" s="647">
        <f>(WWWW[[#This Row],['#_Constructed latrines_by_WASHAgencies]]+WWWW[[#This Row],['#_Non Cluster partner latrines]])-WWWW[[#This Row],['#_Non-functional latrines]]</f>
        <v>606</v>
      </c>
      <c r="CM320"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320"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11375</v>
      </c>
      <c r="CO320"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9520</v>
      </c>
      <c r="CP320" s="647">
        <f>IF(WWWW[[#This Row],[Location Type 1]]="Village","NA",IF(WWWW[[#This Row],['#_Constructed/Existing latrines in TLS]]*50&gt;WWWW[[#This Row],['#_students at TLS_CFS]],WWWW[[#This Row],['#_students at TLS_CFS]],(WWWW[[#This Row],['#_Constructed/Existing latrines in TLS]]*50)))</f>
        <v>100</v>
      </c>
      <c r="CQ320" s="647">
        <f>ROUND(IF(WWWW[[#This Row],[Location Type 1]]="camp",WWWW[[#This Row],[Total PoP ]]/20,IF(WWWW[[#This Row],[Location Type 1]]="Temporary Location",WWWW[[#This Row],[Total PoP ]]/50,(WWWW[[#This Row],[Total PoP ]]/6))),0)</f>
        <v>569</v>
      </c>
      <c r="CR320" s="647">
        <f>IF(WWWW[[#This Row],[Total required Latrines]]-(WWWW[[#This Row],['#_Constructed latrines_by_WASHAgencies]]+WWWW[[#This Row],['#_Non Cluster partner latrines]])&lt;0,0,WWWW[[#This Row],[Total required Latrines]]-(WWWW[[#This Row],['#_Constructed latrines_by_WASHAgencies]]+WWWW[[#This Row],['#_Non Cluster partner latrines]]))</f>
        <v>0</v>
      </c>
      <c r="CS320" s="79">
        <f>1-WWWW[[#This Row],[% people access to functioning Latrine]]</f>
        <v>0</v>
      </c>
      <c r="CT320" s="649">
        <f>IF(OR(WWWW[[#This Row],['#_Non-functional latrines]]="",WWWW[[#This Row],['#_Non-functional latrines]]=0),0,WWWW[[#This Row],['#_Non-functional latrines]]/(WWWW[[#This Row],['#_Constructed latrines_by_WASHAgencies]]+WWWW[[#This Row],['#_Non Cluster partner latrines]]))</f>
        <v>0.27075812274368233</v>
      </c>
      <c r="CU320" s="645">
        <f>IF(500*(WWWW[[#This Row],['#_male hygiene promoters]]+WWWW[[#This Row],['#_female hygiene promoters]])&gt;WWWW[[#This Row],[Total PoP ]],WWWW[[#This Row],[Total PoP ]],500*(WWWW[[#This Row],['#_male hygiene promoters]]+WWWW[[#This Row],['#_female hygiene promoters]]))</f>
        <v>11000</v>
      </c>
      <c r="CV320"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11375</v>
      </c>
      <c r="CW320"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11375</v>
      </c>
      <c r="CX320" s="647">
        <f>IF(WWWW[[#This Row],['# People with access to soap]]&gt;WWWW[[#This Row],['# People with access to Sanity Pads]],WWWW[[#This Row],['# People with access to soap]],WWWW[[#This Row],['# People with access to Sanity Pads]])</f>
        <v>11375</v>
      </c>
      <c r="CY320" s="647">
        <f>IF(WWWW[[#This Row],['# people reached by regular dedicated hygiene promotion_5]]&gt;WWWW[[#This Row],['# People received regular supply of hygiene items_6]],WWWW[[#This Row],['# people reached by regular dedicated hygiene promotion_5]],WWWW[[#This Row],['# People received regular supply of hygiene items_6]])</f>
        <v>11375</v>
      </c>
      <c r="CZ320" s="650">
        <f>IF(WWWW[[#This Row],[HRP3]]/WWWW[[#This Row],[Total PoP ]]&gt;100%,100%,WWWW[[#This Row],[HRP3]]/WWWW[[#This Row],[Total PoP ]])</f>
        <v>1</v>
      </c>
      <c r="DA320" s="649">
        <f>1-WWWW[[#This Row],[Hygiene Coverage%]]</f>
        <v>0</v>
      </c>
      <c r="DB320" s="648">
        <f>WWWW[[#This Row],['# people reached by regular dedicated hygiene promotion_5]]/WWWW[[#This Row],[Total PoP ]]</f>
        <v>0.96703296703296704</v>
      </c>
      <c r="DC320" s="648">
        <f>IF(WWWW[[#This Row],['#_households that received standard amount of soap for this quarter]]/WWWW[[#This Row],[Total HH]]&gt;1,1,WWWW[[#This Row],['#_households that received standard amount of soap for this quarter]]/WWWW[[#This Row],[Total HH]])</f>
        <v>1</v>
      </c>
      <c r="DD320" s="648">
        <f>IF(WWWW[[#This Row],['#_households that received standard amount of sanitary pads for this quarter]]/WWWW[[#This Row],[Total HH]]&gt;1,1,WWWW[[#This Row],['#_households that received standard amount of sanitary pads for this quarter]]/WWWW[[#This Row],[Total HH]])</f>
        <v>1</v>
      </c>
      <c r="DE320" s="647">
        <f>WWWW[[#This Row],['#_Constructed/Existing hand washing stations]]-WWWW[[#This Row],['#_Non-Functional_hand_washing_stations]]</f>
        <v>0</v>
      </c>
      <c r="DF320" s="667">
        <f>IF(WWWW[[#This Row],['# Functional hand washing stations during reporting period]]*20&gt;WWWW[[#This Row],[Total HH]],WWWW[[#This Row],[Total HH]],WWWW[[#This Row],['# Functional hand washing stations during reporting period]]*20)</f>
        <v>0</v>
      </c>
      <c r="DG320" s="645">
        <f>IF(WWWW[[#This Row],[Is sufficient soap available for TLS? (Yes/No)]]="yes",WWWW[[#This Row],['#_Constructed/Existing hand washing stations at TLS]],0)</f>
        <v>0</v>
      </c>
      <c r="DH320" s="645">
        <f>IF(WWWW[[#This Row],['# Functional hand washing stations during reporting period]]*100&gt;WWWW[[#This Row],[Total PoP ]],WWWW[[#This Row],[Total PoP ]],WWWW[[#This Row],['# Functional hand washing stations during reporting period]]*100)</f>
        <v>0</v>
      </c>
      <c r="DI320" s="645" t="str">
        <f>IF(WWWW[[#This Row],['#_students at TLS_CFS]]="","No","Yes")</f>
        <v>Yes</v>
      </c>
      <c r="DJ320" s="643" t="str">
        <f>VLOOKUP(WWWW[[#This Row],[Site Name]],SiteDB6[[Site Name]:[CCCM Management]],6,FALSE)</f>
        <v>Yes</v>
      </c>
      <c r="DK320" s="643">
        <f>VLOOKUP(WWWW[[#This Row],[Site Name]],SiteDB6[[Site Name]:[CCCM Focal Agency]],7,FALSE)</f>
        <v>0</v>
      </c>
      <c r="DL320" s="643" t="str">
        <f>VLOOKUP(WWWW[[#This Row],[Site Name]],SiteDB6[[Site Name]:[Location Type 1]],9,FALSE)</f>
        <v>Camp</v>
      </c>
      <c r="DM320" s="643" t="str">
        <f>VLOOKUP(WWWW[[#This Row],[Site Name]],SiteDB6[[Site Name]:[Type of Accommodation]],10,FALSE)</f>
        <v>Planned Camp</v>
      </c>
      <c r="DN320" s="643" t="str">
        <f>VLOOKUP(WWWW[[#This Row],[Site Name]],SiteDB6[[Site Name]:[Ethnic or GCA/NGCA]],11,FALSE)</f>
        <v>Muslim</v>
      </c>
      <c r="DO320" s="643">
        <f>VLOOKUP(WWWW[[#This Row],[Site Name]],SiteDB6[[Site Name]:[Lat]],12,FALSE)</f>
        <v>20.185092000000001</v>
      </c>
      <c r="DP320" s="643">
        <f>VLOOKUP(WWWW[[#This Row],[Site Name]],SiteDB6[[Site Name]:[Long]],13,FALSE)</f>
        <v>92.802295999999998</v>
      </c>
      <c r="DQ320" s="643" t="str">
        <f>VLOOKUP(WWWW[[#This Row],[Site Name]],SiteDB6[[Site Name]:[Pcode]],3,FALSE)</f>
        <v>MMR012CMP116</v>
      </c>
      <c r="DR320" s="652" t="str">
        <f t="shared" si="10"/>
        <v>Covered</v>
      </c>
      <c r="DS320" s="652"/>
    </row>
    <row r="321" spans="1:126">
      <c r="A321" s="637" t="s">
        <v>2525</v>
      </c>
      <c r="B321" s="716" t="s">
        <v>2376</v>
      </c>
      <c r="C321" s="716" t="s">
        <v>2376</v>
      </c>
      <c r="D321" s="701" t="s">
        <v>3086</v>
      </c>
      <c r="E321" s="663" t="s">
        <v>3014</v>
      </c>
      <c r="F321" s="644" t="s">
        <v>313</v>
      </c>
      <c r="G321" s="663" t="str">
        <f>VLOOKUP(WWWW[[#This Row],[Site Name]],SiteDB6[[Site Name]:[Location Type]],8,FALSE)</f>
        <v>Village</v>
      </c>
      <c r="H321" s="644" t="s">
        <v>435</v>
      </c>
      <c r="I321" s="646">
        <v>427</v>
      </c>
      <c r="J321" s="646">
        <v>2427</v>
      </c>
      <c r="K321" s="710"/>
      <c r="L321" s="58">
        <v>44104</v>
      </c>
      <c r="M321" s="646"/>
      <c r="N321" s="646"/>
      <c r="O321" s="646"/>
      <c r="P321" s="646" t="s">
        <v>2941</v>
      </c>
      <c r="Q321" s="645"/>
      <c r="R321" s="646"/>
      <c r="S321" s="646"/>
      <c r="T321" s="646"/>
      <c r="U321" s="646"/>
      <c r="V321" s="646"/>
      <c r="W321" s="646">
        <v>17</v>
      </c>
      <c r="X321" s="646"/>
      <c r="Y321" s="646">
        <v>0</v>
      </c>
      <c r="Z321" s="646">
        <v>0</v>
      </c>
      <c r="AA321" s="646"/>
      <c r="AB321" s="646"/>
      <c r="AC321" s="646"/>
      <c r="AD321" s="646"/>
      <c r="AE321" s="646"/>
      <c r="AF321" s="646"/>
      <c r="AG321" s="646"/>
      <c r="AH321" s="646">
        <v>17</v>
      </c>
      <c r="AI321" s="646"/>
      <c r="AJ321" s="646"/>
      <c r="AK321" s="646"/>
      <c r="AL321" s="646"/>
      <c r="AM321" s="646"/>
      <c r="AN321" s="646"/>
      <c r="AO321" s="652"/>
      <c r="AP321" s="646"/>
      <c r="AQ321" s="646"/>
      <c r="AR321" s="648"/>
      <c r="AS321" s="646"/>
      <c r="AT321" s="646">
        <v>0</v>
      </c>
      <c r="AU321" s="646">
        <v>0</v>
      </c>
      <c r="AV321" s="646"/>
      <c r="AW321" s="646"/>
      <c r="AX321" s="643" t="s">
        <v>43</v>
      </c>
      <c r="AY321" s="652" t="s">
        <v>148</v>
      </c>
      <c r="AZ321" s="646"/>
      <c r="BA321" s="646"/>
      <c r="BB321" s="646"/>
      <c r="BC321" s="643"/>
      <c r="BD321" s="646"/>
      <c r="BE321" s="646"/>
      <c r="BF321" s="646"/>
      <c r="BG321" s="646"/>
      <c r="BH321" s="646"/>
      <c r="BI321" s="646">
        <v>3</v>
      </c>
      <c r="BJ321" s="646">
        <v>1</v>
      </c>
      <c r="BK321" s="646">
        <v>423</v>
      </c>
      <c r="BL321" s="646">
        <v>423</v>
      </c>
      <c r="BM321" s="643"/>
      <c r="BN321" s="647">
        <v>36</v>
      </c>
      <c r="BO321" s="648"/>
      <c r="BP321" s="643"/>
      <c r="BQ321" s="649" t="str">
        <f>IFERROR(WWWW[[#This Row],['#_Water sources treated]]/WWWW[[#This Row],['#_Water sources tested for contamination]],"no test")</f>
        <v>no test</v>
      </c>
      <c r="BR321" s="648" t="str">
        <f>IFERROR(WWWW[[#This Row],['#_Household received remediation action due to contamination]]/WWWW[[#This Row],['#_Household water samples tested for contamination]],"no test")</f>
        <v>no test</v>
      </c>
      <c r="BS321" s="647" t="str">
        <f>IF(AND(WWWW[[#This Row],[% of water sources treated]]="no test",WWWW[[#This Row],[% Household received corrective actions]]="no test"),"No Test","Tested")</f>
        <v>No Test</v>
      </c>
      <c r="BT321" s="647">
        <f>WWWW[[#This Row],['#_Constructed/existing protected hand dug well]]-WWWW[[#This Row],['#_Non-functional protected hand dug well]]</f>
        <v>0</v>
      </c>
      <c r="BU321" s="647">
        <f>(WWWW[[#This Row],['#_Constructed/Existing tube wells/boreholes/handpumps_WASH_agency]]+WWWW[[#This Row],['#_Non-Cluster partner water tube-wells/boreholes/handpumps]])-WWWW[[#This Row],['#_Non-functional tube wells/boreholes/handpumps]]</f>
        <v>17</v>
      </c>
      <c r="BV321" s="647">
        <f>WWWW[[#This Row],['#_Constructed/Existingwater storage tank with gravity fed reticulation system]]-WWWW[[#This Row],['#_Non-functional storage tank gravity fed reticulation system]]</f>
        <v>0</v>
      </c>
      <c r="BW321" s="647">
        <f>WWWW[[#This Row],['#_Water boating or water trucking]]</f>
        <v>0</v>
      </c>
      <c r="BX321" s="647">
        <f>WWWW[[#This Row],['#_Constructed/Existing water distribution system from river or natural spring]]</f>
        <v>0</v>
      </c>
      <c r="BY321"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321"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321" s="648">
        <f>IF(WWWW[[#This Row],[Location Type 1]]="Village",WWWW[[#This Row],[Access to safe drinking water for Village]],WWWW[[#This Row],[Access to safe drinking water for Camp]])</f>
        <v>1</v>
      </c>
      <c r="CB321" s="645">
        <f>WWWW[[#This Row],[%Equitable and continuous access to sufficient quantity of safe drinking water]]*WWWW[[#This Row],[Total PoP ]]</f>
        <v>2427</v>
      </c>
      <c r="CC321" s="648">
        <f>IF((WWWW[[#This Row],['#_Constructed/Existing protected/fenced ponds]]*250)/WWWW[[#This Row],[Total PoP ]]&gt;1,1,(WWWW[[#This Row],['#_Constructed/Existing protected/fenced ponds]]*250)/WWWW[[#This Row],[Total PoP ]])</f>
        <v>0</v>
      </c>
      <c r="CD321" s="645">
        <f>WWWW[[#This Row],[% Access to unimproved water points]]*WWWW[[#This Row],[Total PoP ]]</f>
        <v>0</v>
      </c>
      <c r="CE321"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21"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2427</v>
      </c>
      <c r="CG321" s="645">
        <f>WWWW[[#This Row],[HRP1]]/500</f>
        <v>4.8540000000000001</v>
      </c>
      <c r="CH321" s="650">
        <f>1-WWWW[[#This Row],[% Equitable and continuous access to sufficient quantity of domestic water]]</f>
        <v>0</v>
      </c>
      <c r="CI321" s="645">
        <f>WWWW[[#This Row],[%equitable and continuous access to sufficient quantity of safe drinking and domestic water''s GAP]]*WWWW[[#This Row],[Total PoP ]]</f>
        <v>0</v>
      </c>
      <c r="CJ321" s="647">
        <f>IF(WWWW[[#This Row],[Total required water points]]-WWWW[[#This Row],['#Water points coverage]]&lt;0,0,WWWW[[#This Row],[Total required water points]]-WWWW[[#This Row],['#Water points coverage]])</f>
        <v>0.14599999999999991</v>
      </c>
      <c r="CK321" s="647">
        <f>ROUND(IF(WWWW[[#This Row],[Total PoP ]]&lt;500,1,WWWW[[#This Row],[Total PoP ]]/500),0)</f>
        <v>5</v>
      </c>
      <c r="CL321" s="647">
        <f>(WWWW[[#This Row],['#_Constructed latrines_by_WASHAgencies]]+WWWW[[#This Row],['#_Non Cluster partner latrines]])-WWWW[[#This Row],['#_Non-functional latrines]]</f>
        <v>0</v>
      </c>
      <c r="CM321"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21"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21"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21" s="647" t="str">
        <f>IF(WWWW[[#This Row],[Location Type 1]]="Village","NA",IF(WWWW[[#This Row],['#_Constructed/Existing latrines in TLS]]*50&gt;WWWW[[#This Row],['#_students at TLS_CFS]],WWWW[[#This Row],['#_students at TLS_CFS]],(WWWW[[#This Row],['#_Constructed/Existing latrines in TLS]]*50)))</f>
        <v>NA</v>
      </c>
      <c r="CQ321" s="647">
        <f>ROUND(IF(WWWW[[#This Row],[Location Type 1]]="camp",WWWW[[#This Row],[Total PoP ]]/20,IF(WWWW[[#This Row],[Location Type 1]]="Temporary Location",WWWW[[#This Row],[Total PoP ]]/50,(WWWW[[#This Row],[Total PoP ]]/6))),0)</f>
        <v>405</v>
      </c>
      <c r="CR321" s="647">
        <f>IF(WWWW[[#This Row],[Total required Latrines]]-(WWWW[[#This Row],['#_Constructed latrines_by_WASHAgencies]]+WWWW[[#This Row],['#_Non Cluster partner latrines]])&lt;0,0,WWWW[[#This Row],[Total required Latrines]]-(WWWW[[#This Row],['#_Constructed latrines_by_WASHAgencies]]+WWWW[[#This Row],['#_Non Cluster partner latrines]]))</f>
        <v>405</v>
      </c>
      <c r="CS321" s="79">
        <f>1-WWWW[[#This Row],[% people access to functioning Latrine]]</f>
        <v>1</v>
      </c>
      <c r="CT321" s="649">
        <f>IF(OR(WWWW[[#This Row],['#_Non-functional latrines]]="",WWWW[[#This Row],['#_Non-functional latrines]]=0),0,WWWW[[#This Row],['#_Non-functional latrines]]/(WWWW[[#This Row],['#_Constructed latrines_by_WASHAgencies]]+WWWW[[#This Row],['#_Non Cluster partner latrines]]))</f>
        <v>0</v>
      </c>
      <c r="CU321" s="645">
        <f>IF(500*(WWWW[[#This Row],['#_male hygiene promoters]]+WWWW[[#This Row],['#_female hygiene promoters]])&gt;WWWW[[#This Row],[Total PoP ]],WWWW[[#This Row],[Total PoP ]],500*(WWWW[[#This Row],['#_male hygiene promoters]]+WWWW[[#This Row],['#_female hygiene promoters]]))</f>
        <v>2000</v>
      </c>
      <c r="CV321"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2115</v>
      </c>
      <c r="CW321"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2115</v>
      </c>
      <c r="CX321" s="647">
        <f>IF(WWWW[[#This Row],['# People with access to soap]]&gt;WWWW[[#This Row],['# People with access to Sanity Pads]],WWWW[[#This Row],['# People with access to soap]],WWWW[[#This Row],['# People with access to Sanity Pads]])</f>
        <v>2115</v>
      </c>
      <c r="CY321" s="647">
        <f>IF(WWWW[[#This Row],['# people reached by regular dedicated hygiene promotion_5]]&gt;WWWW[[#This Row],['# People received regular supply of hygiene items_6]],WWWW[[#This Row],['# people reached by regular dedicated hygiene promotion_5]],WWWW[[#This Row],['# People received regular supply of hygiene items_6]])</f>
        <v>2115</v>
      </c>
      <c r="CZ321" s="650">
        <f>IF(WWWW[[#This Row],[HRP3]]/WWWW[[#This Row],[Total PoP ]]&gt;100%,100%,WWWW[[#This Row],[HRP3]]/WWWW[[#This Row],[Total PoP ]])</f>
        <v>0.87144622991347342</v>
      </c>
      <c r="DA321" s="649">
        <f>1-WWWW[[#This Row],[Hygiene Coverage%]]</f>
        <v>0.12855377008652658</v>
      </c>
      <c r="DB321" s="648">
        <f>WWWW[[#This Row],['# people reached by regular dedicated hygiene promotion_5]]/WWWW[[#This Row],[Total PoP ]]</f>
        <v>0.82406262875978575</v>
      </c>
      <c r="DC321" s="648">
        <f>IF(WWWW[[#This Row],['#_households that received standard amount of soap for this quarter]]/WWWW[[#This Row],[Total HH]]&gt;1,1,WWWW[[#This Row],['#_households that received standard amount of soap for this quarter]]/WWWW[[#This Row],[Total HH]])</f>
        <v>0.99063231850117095</v>
      </c>
      <c r="DD321" s="648">
        <f>IF(WWWW[[#This Row],['#_households that received standard amount of sanitary pads for this quarter]]/WWWW[[#This Row],[Total HH]]&gt;1,1,WWWW[[#This Row],['#_households that received standard amount of sanitary pads for this quarter]]/WWWW[[#This Row],[Total HH]])</f>
        <v>0.99063231850117095</v>
      </c>
      <c r="DE321" s="647">
        <f>WWWW[[#This Row],['#_Constructed/Existing hand washing stations]]-WWWW[[#This Row],['#_Non-Functional_hand_washing_stations]]</f>
        <v>0</v>
      </c>
      <c r="DF321" s="667">
        <f>IF(WWWW[[#This Row],['# Functional hand washing stations during reporting period]]*20&gt;WWWW[[#This Row],[Total HH]],WWWW[[#This Row],[Total HH]],WWWW[[#This Row],['# Functional hand washing stations during reporting period]]*20)</f>
        <v>0</v>
      </c>
      <c r="DG321" s="645">
        <f>IF(WWWW[[#This Row],[Is sufficient soap available for TLS? (Yes/No)]]="yes",WWWW[[#This Row],['#_Constructed/Existing hand washing stations at TLS]],0)</f>
        <v>0</v>
      </c>
      <c r="DH321" s="645">
        <f>IF(WWWW[[#This Row],['# Functional hand washing stations during reporting period]]*100&gt;WWWW[[#This Row],[Total PoP ]],WWWW[[#This Row],[Total PoP ]],WWWW[[#This Row],['# Functional hand washing stations during reporting period]]*100)</f>
        <v>0</v>
      </c>
      <c r="DI321" s="645" t="str">
        <f>IF(WWWW[[#This Row],['#_students at TLS_CFS]]="","No","Yes")</f>
        <v>No</v>
      </c>
      <c r="DJ321" s="643">
        <f>VLOOKUP(WWWW[[#This Row],[Site Name]],SiteDB6[[Site Name]:[CCCM Management]],6,FALSE)</f>
        <v>0</v>
      </c>
      <c r="DK321" s="643">
        <f>VLOOKUP(WWWW[[#This Row],[Site Name]],SiteDB6[[Site Name]:[CCCM Focal Agency]],7,FALSE)</f>
        <v>0</v>
      </c>
      <c r="DL321" s="643" t="str">
        <f>VLOOKUP(WWWW[[#This Row],[Site Name]],SiteDB6[[Site Name]:[Location Type 1]],9,FALSE)</f>
        <v>Village</v>
      </c>
      <c r="DM321" s="643" t="str">
        <f>VLOOKUP(WWWW[[#This Row],[Site Name]],SiteDB6[[Site Name]:[Type of Accommodation]],10,FALSE)</f>
        <v>Village</v>
      </c>
      <c r="DN321" s="643" t="str">
        <f>VLOOKUP(WWWW[[#This Row],[Site Name]],SiteDB6[[Site Name]:[Ethnic or GCA/NGCA]],11,FALSE)</f>
        <v>Muslim</v>
      </c>
      <c r="DO321" s="643">
        <f>VLOOKUP(WWWW[[#This Row],[Site Name]],SiteDB6[[Site Name]:[Lat]],12,FALSE)</f>
        <v>20.147863431600001</v>
      </c>
      <c r="DP321" s="643">
        <f>VLOOKUP(WWWW[[#This Row],[Site Name]],SiteDB6[[Site Name]:[Long]],13,FALSE)</f>
        <v>92.846768572000002</v>
      </c>
      <c r="DQ321" s="643">
        <f>VLOOKUP(WWWW[[#This Row],[Site Name]],SiteDB6[[Site Name]:[Pcode]],3,FALSE)</f>
        <v>196209</v>
      </c>
      <c r="DR321" s="652" t="str">
        <f t="shared" si="10"/>
        <v>Covered</v>
      </c>
      <c r="DS321" s="652"/>
    </row>
    <row r="322" spans="1:126" ht="27.75" customHeight="1">
      <c r="A322" s="637" t="s">
        <v>2525</v>
      </c>
      <c r="B322" s="637" t="s">
        <v>427</v>
      </c>
      <c r="C322" s="701" t="s">
        <v>427</v>
      </c>
      <c r="D322" s="701" t="s">
        <v>2846</v>
      </c>
      <c r="E322" s="663" t="s">
        <v>3014</v>
      </c>
      <c r="F322" s="644" t="s">
        <v>313</v>
      </c>
      <c r="G322" s="663" t="str">
        <f>VLOOKUP(WWWW[[#This Row],[Site Name]],SiteDB6[[Site Name]:[Location Type]],8,FALSE)</f>
        <v>Camp</v>
      </c>
      <c r="H322" s="701" t="s">
        <v>2382</v>
      </c>
      <c r="I322" s="646">
        <v>400</v>
      </c>
      <c r="J322" s="646">
        <v>2285</v>
      </c>
      <c r="K322" s="655" t="s">
        <v>2847</v>
      </c>
      <c r="L322" s="656" t="s">
        <v>2848</v>
      </c>
      <c r="M322" s="646">
        <v>346</v>
      </c>
      <c r="N322" s="646">
        <v>5</v>
      </c>
      <c r="O322" s="646">
        <v>43</v>
      </c>
      <c r="P322" s="646">
        <v>0</v>
      </c>
      <c r="Q322" s="645" t="s">
        <v>144</v>
      </c>
      <c r="R322" s="646">
        <v>31</v>
      </c>
      <c r="S322" s="646">
        <v>17</v>
      </c>
      <c r="T322" s="646">
        <v>0</v>
      </c>
      <c r="U322" s="646">
        <v>0</v>
      </c>
      <c r="V322" s="646">
        <v>0</v>
      </c>
      <c r="W322" s="646">
        <v>30</v>
      </c>
      <c r="X322" s="646">
        <v>14</v>
      </c>
      <c r="Y322" s="646">
        <v>1</v>
      </c>
      <c r="Z322" s="646">
        <v>29</v>
      </c>
      <c r="AA322" s="646">
        <v>0</v>
      </c>
      <c r="AB322" s="646">
        <v>0</v>
      </c>
      <c r="AC322" s="646">
        <v>0</v>
      </c>
      <c r="AD322" s="646">
        <v>0</v>
      </c>
      <c r="AE322" s="646">
        <v>0</v>
      </c>
      <c r="AF322" s="646">
        <v>0</v>
      </c>
      <c r="AG322" s="646">
        <v>0</v>
      </c>
      <c r="AH322" s="646">
        <v>0</v>
      </c>
      <c r="AI322" s="646">
        <v>30</v>
      </c>
      <c r="AJ322" s="646">
        <v>7</v>
      </c>
      <c r="AK322" s="646">
        <v>70</v>
      </c>
      <c r="AL322" s="646">
        <v>20</v>
      </c>
      <c r="AM322" s="646" t="s">
        <v>2941</v>
      </c>
      <c r="AN322" s="646" t="s">
        <v>2941</v>
      </c>
      <c r="AO322" s="657" t="s">
        <v>2853</v>
      </c>
      <c r="AP322" s="646">
        <v>100</v>
      </c>
      <c r="AQ322" s="646">
        <v>0</v>
      </c>
      <c r="AR322" s="648"/>
      <c r="AS322" s="646">
        <v>58</v>
      </c>
      <c r="AT322" s="646">
        <v>100</v>
      </c>
      <c r="AU322" s="646">
        <v>196</v>
      </c>
      <c r="AV322" s="646">
        <v>3769</v>
      </c>
      <c r="AW322" s="646">
        <v>0</v>
      </c>
      <c r="AX322" s="643" t="s">
        <v>43</v>
      </c>
      <c r="AY322" s="652" t="s">
        <v>148</v>
      </c>
      <c r="AZ322" s="646">
        <v>0</v>
      </c>
      <c r="BA322" s="646">
        <v>0</v>
      </c>
      <c r="BB322" s="646">
        <v>0</v>
      </c>
      <c r="BC322" s="643" t="s">
        <v>2854</v>
      </c>
      <c r="BD322" s="646"/>
      <c r="BE322" s="646"/>
      <c r="BF322" s="646">
        <v>0</v>
      </c>
      <c r="BG322" s="646">
        <v>0</v>
      </c>
      <c r="BH322" s="646">
        <v>0</v>
      </c>
      <c r="BI322" s="646">
        <v>0</v>
      </c>
      <c r="BJ322" s="646">
        <v>7</v>
      </c>
      <c r="BK322" s="646">
        <v>400</v>
      </c>
      <c r="BL322" s="646">
        <v>400</v>
      </c>
      <c r="BM322" s="643" t="s">
        <v>144</v>
      </c>
      <c r="BN322" s="647">
        <v>0</v>
      </c>
      <c r="BO322" s="648">
        <v>0</v>
      </c>
      <c r="BP322" s="643" t="s">
        <v>2855</v>
      </c>
      <c r="BQ322" s="649">
        <f>IFERROR(WWWW[[#This Row],['#_Water sources treated]]/WWWW[[#This Row],['#_Water sources tested for contamination]],"no test")</f>
        <v>0.23333333333333334</v>
      </c>
      <c r="BR322" s="648">
        <f>IFERROR(WWWW[[#This Row],['#_Household received remediation action due to contamination]]/WWWW[[#This Row],['#_Household water samples tested for contamination]],"no test")</f>
        <v>0.2857142857142857</v>
      </c>
      <c r="BS322" s="647" t="str">
        <f>IF(AND(WWWW[[#This Row],[% of water sources treated]]="no test",WWWW[[#This Row],[% Household received corrective actions]]="no test"),"No Test","Tested")</f>
        <v>Tested</v>
      </c>
      <c r="BT322" s="647">
        <f>WWWW[[#This Row],['#_Constructed/existing protected hand dug well]]-WWWW[[#This Row],['#_Non-functional protected hand dug well]]</f>
        <v>0</v>
      </c>
      <c r="BU322" s="647">
        <f>(WWWW[[#This Row],['#_Constructed/Existing tube wells/boreholes/handpumps_WASH_agency]]+WWWW[[#This Row],['#_Non-Cluster partner water tube-wells/boreholes/handpumps]])-WWWW[[#This Row],['#_Non-functional tube wells/boreholes/handpumps]]</f>
        <v>43</v>
      </c>
      <c r="BV322" s="647">
        <f>WWWW[[#This Row],['#_Constructed/Existingwater storage tank with gravity fed reticulation system]]-WWWW[[#This Row],['#_Non-functional storage tank gravity fed reticulation system]]</f>
        <v>0</v>
      </c>
      <c r="BW322" s="647">
        <f>WWWW[[#This Row],['#_Water boating or water trucking]]</f>
        <v>0</v>
      </c>
      <c r="BX322" s="647">
        <f>WWWW[[#This Row],['#_Constructed/Existing water distribution system from river or natural spring]]</f>
        <v>0</v>
      </c>
      <c r="BY322"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322"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322" s="648">
        <f>IF(WWWW[[#This Row],[Location Type 1]]="Village",WWWW[[#This Row],[Access to safe drinking water for Village]],WWWW[[#This Row],[Access to safe drinking water for Camp]])</f>
        <v>1</v>
      </c>
      <c r="CB322" s="645">
        <f>WWWW[[#This Row],[%Equitable and continuous access to sufficient quantity of safe drinking water]]*WWWW[[#This Row],[Total PoP ]]</f>
        <v>2285</v>
      </c>
      <c r="CC322" s="648">
        <f>IF((WWWW[[#This Row],['#_Constructed/Existing protected/fenced ponds]]*250)/WWWW[[#This Row],[Total PoP ]]&gt;1,1,(WWWW[[#This Row],['#_Constructed/Existing protected/fenced ponds]]*250)/WWWW[[#This Row],[Total PoP ]])</f>
        <v>0</v>
      </c>
      <c r="CD322" s="645">
        <f>WWWW[[#This Row],[% Access to unimproved water points]]*WWWW[[#This Row],[Total PoP ]]</f>
        <v>0</v>
      </c>
      <c r="CE322"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22"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2285</v>
      </c>
      <c r="CG322" s="645">
        <f>WWWW[[#This Row],[HRP1]]/500</f>
        <v>4.57</v>
      </c>
      <c r="CH322" s="650">
        <f>1-WWWW[[#This Row],[% Equitable and continuous access to sufficient quantity of domestic water]]</f>
        <v>0</v>
      </c>
      <c r="CI322" s="645">
        <f>WWWW[[#This Row],[%equitable and continuous access to sufficient quantity of safe drinking and domestic water''s GAP]]*WWWW[[#This Row],[Total PoP ]]</f>
        <v>0</v>
      </c>
      <c r="CJ322" s="647">
        <f>IF(WWWW[[#This Row],[Total required water points]]-WWWW[[#This Row],['#Water points coverage]]&lt;0,0,WWWW[[#This Row],[Total required water points]]-WWWW[[#This Row],['#Water points coverage]])</f>
        <v>0.42999999999999972</v>
      </c>
      <c r="CK322" s="647">
        <f>ROUND(IF(WWWW[[#This Row],[Total PoP ]]&lt;500,1,WWWW[[#This Row],[Total PoP ]]/500),0)</f>
        <v>5</v>
      </c>
      <c r="CL322" s="647">
        <f>(WWWW[[#This Row],['#_Constructed latrines_by_WASHAgencies]]+WWWW[[#This Row],['#_Non Cluster partner latrines]])-WWWW[[#This Row],['#_Non-functional latrines]]</f>
        <v>42</v>
      </c>
      <c r="CM322"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0.36761487964989059</v>
      </c>
      <c r="CN322"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840</v>
      </c>
      <c r="CO322"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2285</v>
      </c>
      <c r="CP322" s="647">
        <f>IF(WWWW[[#This Row],[Location Type 1]]="Village","NA",IF(WWWW[[#This Row],['#_Constructed/Existing latrines in TLS]]*50&gt;WWWW[[#This Row],['#_students at TLS_CFS]],WWWW[[#This Row],['#_students at TLS_CFS]],(WWWW[[#This Row],['#_Constructed/Existing latrines in TLS]]*50)))</f>
        <v>0</v>
      </c>
      <c r="CQ322" s="647">
        <f>ROUND(IF(WWWW[[#This Row],[Location Type 1]]="camp",WWWW[[#This Row],[Total PoP ]]/20,IF(WWWW[[#This Row],[Location Type 1]]="Temporary Location",WWWW[[#This Row],[Total PoP ]]/50,(WWWW[[#This Row],[Total PoP ]]/6))),0)</f>
        <v>114</v>
      </c>
      <c r="CR322" s="647">
        <f>IF(WWWW[[#This Row],[Total required Latrines]]-(WWWW[[#This Row],['#_Constructed latrines_by_WASHAgencies]]+WWWW[[#This Row],['#_Non Cluster partner latrines]])&lt;0,0,WWWW[[#This Row],[Total required Latrines]]-(WWWW[[#This Row],['#_Constructed latrines_by_WASHAgencies]]+WWWW[[#This Row],['#_Non Cluster partner latrines]]))</f>
        <v>14</v>
      </c>
      <c r="CS322" s="79">
        <f>1-WWWW[[#This Row],[% people access to functioning Latrine]]</f>
        <v>0.63238512035010941</v>
      </c>
      <c r="CT322" s="649">
        <f>IF(OR(WWWW[[#This Row],['#_Non-functional latrines]]="",WWWW[[#This Row],['#_Non-functional latrines]]=0),0,WWWW[[#This Row],['#_Non-functional latrines]]/(WWWW[[#This Row],['#_Constructed latrines_by_WASHAgencies]]+WWWW[[#This Row],['#_Non Cluster partner latrines]]))</f>
        <v>0.57999999999999996</v>
      </c>
      <c r="CU322" s="645">
        <f>IF(500*(WWWW[[#This Row],['#_male hygiene promoters]]+WWWW[[#This Row],['#_female hygiene promoters]])&gt;WWWW[[#This Row],[Total PoP ]],WWWW[[#This Row],[Total PoP ]],500*(WWWW[[#This Row],['#_male hygiene promoters]]+WWWW[[#This Row],['#_female hygiene promoters]]))</f>
        <v>2285</v>
      </c>
      <c r="CV322"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2285</v>
      </c>
      <c r="CW322"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2285</v>
      </c>
      <c r="CX322" s="647">
        <f>IF(WWWW[[#This Row],['# People with access to soap]]&gt;WWWW[[#This Row],['# People with access to Sanity Pads]],WWWW[[#This Row],['# People with access to soap]],WWWW[[#This Row],['# People with access to Sanity Pads]])</f>
        <v>2285</v>
      </c>
      <c r="CY322" s="647">
        <f>IF(WWWW[[#This Row],['# people reached by regular dedicated hygiene promotion_5]]&gt;WWWW[[#This Row],['# People received regular supply of hygiene items_6]],WWWW[[#This Row],['# people reached by regular dedicated hygiene promotion_5]],WWWW[[#This Row],['# People received regular supply of hygiene items_6]])</f>
        <v>2285</v>
      </c>
      <c r="CZ322" s="650">
        <f>IF(WWWW[[#This Row],[HRP3]]/WWWW[[#This Row],[Total PoP ]]&gt;100%,100%,WWWW[[#This Row],[HRP3]]/WWWW[[#This Row],[Total PoP ]])</f>
        <v>1</v>
      </c>
      <c r="DA322" s="649">
        <f>1-WWWW[[#This Row],[Hygiene Coverage%]]</f>
        <v>0</v>
      </c>
      <c r="DB322" s="648">
        <f>WWWW[[#This Row],['# people reached by regular dedicated hygiene promotion_5]]/WWWW[[#This Row],[Total PoP ]]</f>
        <v>1</v>
      </c>
      <c r="DC322" s="648">
        <f>IF(WWWW[[#This Row],['#_households that received standard amount of soap for this quarter]]/WWWW[[#This Row],[Total HH]]&gt;1,1,WWWW[[#This Row],['#_households that received standard amount of soap for this quarter]]/WWWW[[#This Row],[Total HH]])</f>
        <v>1</v>
      </c>
      <c r="DD322" s="648">
        <f>IF(WWWW[[#This Row],['#_households that received standard amount of sanitary pads for this quarter]]/WWWW[[#This Row],[Total HH]]&gt;1,1,WWWW[[#This Row],['#_households that received standard amount of sanitary pads for this quarter]]/WWWW[[#This Row],[Total HH]])</f>
        <v>1</v>
      </c>
      <c r="DE322" s="647">
        <f>WWWW[[#This Row],['#_Constructed/Existing hand washing stations]]-WWWW[[#This Row],['#_Non-Functional_hand_washing_stations]]</f>
        <v>0</v>
      </c>
      <c r="DF322" s="667">
        <f>IF(WWWW[[#This Row],['# Functional hand washing stations during reporting period]]*20&gt;WWWW[[#This Row],[Total HH]],WWWW[[#This Row],[Total HH]],WWWW[[#This Row],['# Functional hand washing stations during reporting period]]*20)</f>
        <v>0</v>
      </c>
      <c r="DG322" s="645">
        <f>IF(WWWW[[#This Row],[Is sufficient soap available for TLS? (Yes/No)]]="yes",WWWW[[#This Row],['#_Constructed/Existing hand washing stations at TLS]],0)</f>
        <v>0</v>
      </c>
      <c r="DH322" s="645">
        <f>IF(WWWW[[#This Row],['# Functional hand washing stations during reporting period]]*100&gt;WWWW[[#This Row],[Total PoP ]],WWWW[[#This Row],[Total PoP ]],WWWW[[#This Row],['# Functional hand washing stations during reporting period]]*100)</f>
        <v>0</v>
      </c>
      <c r="DI322" s="645" t="str">
        <f>IF(WWWW[[#This Row],['#_students at TLS_CFS]]="","No","Yes")</f>
        <v>Yes</v>
      </c>
      <c r="DJ322" s="643">
        <f>VLOOKUP(WWWW[[#This Row],[Site Name]],SiteDB6[[Site Name]:[CCCM Management]],6,FALSE)</f>
        <v>0</v>
      </c>
      <c r="DK322" s="643">
        <f>VLOOKUP(WWWW[[#This Row],[Site Name]],SiteDB6[[Site Name]:[CCCM Focal Agency]],7,FALSE)</f>
        <v>0</v>
      </c>
      <c r="DL322" s="643" t="str">
        <f>VLOOKUP(WWWW[[#This Row],[Site Name]],SiteDB6[[Site Name]:[Location Type 1]],9,FALSE)</f>
        <v>Camp</v>
      </c>
      <c r="DM322" s="643" t="str">
        <f>VLOOKUP(WWWW[[#This Row],[Site Name]],SiteDB6[[Site Name]:[Type of Accommodation]],10,FALSE)</f>
        <v>Planned Camp</v>
      </c>
      <c r="DN322" s="643" t="str">
        <f>VLOOKUP(WWWW[[#This Row],[Site Name]],SiteDB6[[Site Name]:[Ethnic or GCA/NGCA]],11,FALSE)</f>
        <v>Muslim</v>
      </c>
      <c r="DO322" s="643">
        <f>VLOOKUP(WWWW[[#This Row],[Site Name]],SiteDB6[[Site Name]:[Lat]],12,FALSE)</f>
        <v>20.207284999999999</v>
      </c>
      <c r="DP322" s="643">
        <f>VLOOKUP(WWWW[[#This Row],[Site Name]],SiteDB6[[Site Name]:[Long]],13,FALSE)</f>
        <v>92.788177000000005</v>
      </c>
      <c r="DQ322" s="643" t="str">
        <f>VLOOKUP(WWWW[[#This Row],[Site Name]],SiteDB6[[Site Name]:[Pcode]],3,FALSE)</f>
        <v>MMR012CMP045</v>
      </c>
      <c r="DR322" s="652" t="str">
        <f t="shared" si="10"/>
        <v>Covered</v>
      </c>
      <c r="DS322" s="652"/>
    </row>
    <row r="323" spans="1:126">
      <c r="A323" s="637" t="s">
        <v>2525</v>
      </c>
      <c r="B323" s="637" t="s">
        <v>2376</v>
      </c>
      <c r="C323" s="644" t="s">
        <v>2376</v>
      </c>
      <c r="D323" s="644" t="s">
        <v>42</v>
      </c>
      <c r="E323" s="663" t="s">
        <v>3014</v>
      </c>
      <c r="F323" s="644" t="s">
        <v>313</v>
      </c>
      <c r="G323" s="663" t="str">
        <f>VLOOKUP(WWWW[[#This Row],[Site Name]],SiteDB6[[Site Name]:[Location Type]],8,FALSE)</f>
        <v>Village</v>
      </c>
      <c r="H323" s="644" t="s">
        <v>436</v>
      </c>
      <c r="I323" s="646">
        <v>249</v>
      </c>
      <c r="J323" s="646">
        <v>1362</v>
      </c>
      <c r="K323" s="653"/>
      <c r="L323" s="654">
        <v>44104</v>
      </c>
      <c r="M323" s="646"/>
      <c r="N323" s="646"/>
      <c r="O323" s="646"/>
      <c r="P323" s="646" t="s">
        <v>2941</v>
      </c>
      <c r="Q323" s="645"/>
      <c r="R323" s="646"/>
      <c r="S323" s="646"/>
      <c r="T323" s="646"/>
      <c r="U323" s="646"/>
      <c r="V323" s="646"/>
      <c r="W323" s="646">
        <v>28</v>
      </c>
      <c r="X323" s="646"/>
      <c r="Y323" s="646"/>
      <c r="Z323" s="646" t="s">
        <v>2941</v>
      </c>
      <c r="AA323" s="646"/>
      <c r="AB323" s="646"/>
      <c r="AC323" s="646"/>
      <c r="AD323" s="646"/>
      <c r="AE323" s="646"/>
      <c r="AF323" s="646"/>
      <c r="AG323" s="646"/>
      <c r="AH323" s="646">
        <v>28</v>
      </c>
      <c r="AI323" s="646"/>
      <c r="AJ323" s="646"/>
      <c r="AK323" s="646"/>
      <c r="AL323" s="646"/>
      <c r="AM323" s="646"/>
      <c r="AN323" s="646"/>
      <c r="AO323" s="652"/>
      <c r="AP323" s="646"/>
      <c r="AQ323" s="646"/>
      <c r="AR323" s="648"/>
      <c r="AS323" s="646"/>
      <c r="AT323" s="646">
        <v>0</v>
      </c>
      <c r="AU323" s="646">
        <v>0</v>
      </c>
      <c r="AV323" s="646"/>
      <c r="AW323" s="646"/>
      <c r="AX323" s="643" t="s">
        <v>43</v>
      </c>
      <c r="AY323" s="652" t="s">
        <v>148</v>
      </c>
      <c r="AZ323" s="646"/>
      <c r="BA323" s="646"/>
      <c r="BB323" s="646"/>
      <c r="BC323" s="643"/>
      <c r="BD323" s="646"/>
      <c r="BE323" s="646"/>
      <c r="BF323" s="646"/>
      <c r="BG323" s="646"/>
      <c r="BH323" s="646"/>
      <c r="BI323" s="646">
        <v>1</v>
      </c>
      <c r="BJ323" s="646">
        <v>1</v>
      </c>
      <c r="BK323" s="646">
        <v>0</v>
      </c>
      <c r="BL323" s="646">
        <v>0</v>
      </c>
      <c r="BM323" s="643"/>
      <c r="BN323" s="647">
        <v>0</v>
      </c>
      <c r="BO323" s="648"/>
      <c r="BP323" s="643"/>
      <c r="BQ323" s="649" t="str">
        <f>IFERROR(WWWW[[#This Row],['#_Water sources treated]]/WWWW[[#This Row],['#_Water sources tested for contamination]],"no test")</f>
        <v>no test</v>
      </c>
      <c r="BR323" s="648" t="str">
        <f>IFERROR(WWWW[[#This Row],['#_Household received remediation action due to contamination]]/WWWW[[#This Row],['#_Household water samples tested for contamination]],"no test")</f>
        <v>no test</v>
      </c>
      <c r="BS323" s="647" t="str">
        <f>IF(AND(WWWW[[#This Row],[% of water sources treated]]="no test",WWWW[[#This Row],[% Household received corrective actions]]="no test"),"No Test","Tested")</f>
        <v>No Test</v>
      </c>
      <c r="BT323" s="647">
        <f>WWWW[[#This Row],['#_Constructed/existing protected hand dug well]]-WWWW[[#This Row],['#_Non-functional protected hand dug well]]</f>
        <v>0</v>
      </c>
      <c r="BU323" s="647">
        <f>(WWWW[[#This Row],['#_Constructed/Existing tube wells/boreholes/handpumps_WASH_agency]]+WWWW[[#This Row],['#_Non-Cluster partner water tube-wells/boreholes/handpumps]])-WWWW[[#This Row],['#_Non-functional tube wells/boreholes/handpumps]]</f>
        <v>28</v>
      </c>
      <c r="BV323" s="647">
        <f>WWWW[[#This Row],['#_Constructed/Existingwater storage tank with gravity fed reticulation system]]-WWWW[[#This Row],['#_Non-functional storage tank gravity fed reticulation system]]</f>
        <v>0</v>
      </c>
      <c r="BW323" s="647">
        <f>WWWW[[#This Row],['#_Water boating or water trucking]]</f>
        <v>0</v>
      </c>
      <c r="BX323" s="647">
        <f>WWWW[[#This Row],['#_Constructed/Existing water distribution system from river or natural spring]]</f>
        <v>0</v>
      </c>
      <c r="BY323"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323"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323" s="648">
        <f>IF(WWWW[[#This Row],[Location Type 1]]="Village",WWWW[[#This Row],[Access to safe drinking water for Village]],WWWW[[#This Row],[Access to safe drinking water for Camp]])</f>
        <v>1</v>
      </c>
      <c r="CB323" s="645">
        <f>WWWW[[#This Row],[%Equitable and continuous access to sufficient quantity of safe drinking water]]*WWWW[[#This Row],[Total PoP ]]</f>
        <v>1362</v>
      </c>
      <c r="CC323" s="648">
        <f>IF((WWWW[[#This Row],['#_Constructed/Existing protected/fenced ponds]]*250)/WWWW[[#This Row],[Total PoP ]]&gt;1,1,(WWWW[[#This Row],['#_Constructed/Existing protected/fenced ponds]]*250)/WWWW[[#This Row],[Total PoP ]])</f>
        <v>0</v>
      </c>
      <c r="CD323" s="645">
        <f>WWWW[[#This Row],[% Access to unimproved water points]]*WWWW[[#This Row],[Total PoP ]]</f>
        <v>0</v>
      </c>
      <c r="CE323"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23"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1362</v>
      </c>
      <c r="CG323" s="645">
        <f>WWWW[[#This Row],[HRP1]]/500</f>
        <v>2.7240000000000002</v>
      </c>
      <c r="CH323" s="650">
        <f>1-WWWW[[#This Row],[% Equitable and continuous access to sufficient quantity of domestic water]]</f>
        <v>0</v>
      </c>
      <c r="CI323" s="645">
        <f>WWWW[[#This Row],[%equitable and continuous access to sufficient quantity of safe drinking and domestic water''s GAP]]*WWWW[[#This Row],[Total PoP ]]</f>
        <v>0</v>
      </c>
      <c r="CJ323" s="647">
        <f>IF(WWWW[[#This Row],[Total required water points]]-WWWW[[#This Row],['#Water points coverage]]&lt;0,0,WWWW[[#This Row],[Total required water points]]-WWWW[[#This Row],['#Water points coverage]])</f>
        <v>0.2759999999999998</v>
      </c>
      <c r="CK323" s="647">
        <f>ROUND(IF(WWWW[[#This Row],[Total PoP ]]&lt;500,1,WWWW[[#This Row],[Total PoP ]]/500),0)</f>
        <v>3</v>
      </c>
      <c r="CL323" s="647">
        <f>(WWWW[[#This Row],['#_Constructed latrines_by_WASHAgencies]]+WWWW[[#This Row],['#_Non Cluster partner latrines]])-WWWW[[#This Row],['#_Non-functional latrines]]</f>
        <v>0</v>
      </c>
      <c r="CM323"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23"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23"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23" s="647" t="str">
        <f>IF(WWWW[[#This Row],[Location Type 1]]="Village","NA",IF(WWWW[[#This Row],['#_Constructed/Existing latrines in TLS]]*50&gt;WWWW[[#This Row],['#_students at TLS_CFS]],WWWW[[#This Row],['#_students at TLS_CFS]],(WWWW[[#This Row],['#_Constructed/Existing latrines in TLS]]*50)))</f>
        <v>NA</v>
      </c>
      <c r="CQ323" s="647">
        <f>ROUND(IF(WWWW[[#This Row],[Location Type 1]]="camp",WWWW[[#This Row],[Total PoP ]]/20,IF(WWWW[[#This Row],[Location Type 1]]="Temporary Location",WWWW[[#This Row],[Total PoP ]]/50,(WWWW[[#This Row],[Total PoP ]]/6))),0)</f>
        <v>227</v>
      </c>
      <c r="CR323" s="647">
        <f>IF(WWWW[[#This Row],[Total required Latrines]]-(WWWW[[#This Row],['#_Constructed latrines_by_WASHAgencies]]+WWWW[[#This Row],['#_Non Cluster partner latrines]])&lt;0,0,WWWW[[#This Row],[Total required Latrines]]-(WWWW[[#This Row],['#_Constructed latrines_by_WASHAgencies]]+WWWW[[#This Row],['#_Non Cluster partner latrines]]))</f>
        <v>227</v>
      </c>
      <c r="CS323" s="79">
        <f>1-WWWW[[#This Row],[% people access to functioning Latrine]]</f>
        <v>1</v>
      </c>
      <c r="CT323" s="649">
        <f>IF(OR(WWWW[[#This Row],['#_Non-functional latrines]]="",WWWW[[#This Row],['#_Non-functional latrines]]=0),0,WWWW[[#This Row],['#_Non-functional latrines]]/(WWWW[[#This Row],['#_Constructed latrines_by_WASHAgencies]]+WWWW[[#This Row],['#_Non Cluster partner latrines]]))</f>
        <v>0</v>
      </c>
      <c r="CU323" s="645">
        <f>IF(500*(WWWW[[#This Row],['#_male hygiene promoters]]+WWWW[[#This Row],['#_female hygiene promoters]])&gt;WWWW[[#This Row],[Total PoP ]],WWWW[[#This Row],[Total PoP ]],500*(WWWW[[#This Row],['#_male hygiene promoters]]+WWWW[[#This Row],['#_female hygiene promoters]]))</f>
        <v>1000</v>
      </c>
      <c r="CV323"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23"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23" s="647">
        <f>IF(WWWW[[#This Row],['# People with access to soap]]&gt;WWWW[[#This Row],['# People with access to Sanity Pads]],WWWW[[#This Row],['# People with access to soap]],WWWW[[#This Row],['# People with access to Sanity Pads]])</f>
        <v>0</v>
      </c>
      <c r="CY323" s="647">
        <f>IF(WWWW[[#This Row],['# people reached by regular dedicated hygiene promotion_5]]&gt;WWWW[[#This Row],['# People received regular supply of hygiene items_6]],WWWW[[#This Row],['# people reached by regular dedicated hygiene promotion_5]],WWWW[[#This Row],['# People received regular supply of hygiene items_6]])</f>
        <v>1000</v>
      </c>
      <c r="CZ323" s="650">
        <f>IF(WWWW[[#This Row],[HRP3]]/WWWW[[#This Row],[Total PoP ]]&gt;100%,100%,WWWW[[#This Row],[HRP3]]/WWWW[[#This Row],[Total PoP ]])</f>
        <v>0.73421439060205584</v>
      </c>
      <c r="DA323" s="649">
        <f>1-WWWW[[#This Row],[Hygiene Coverage%]]</f>
        <v>0.26578560939794416</v>
      </c>
      <c r="DB323" s="648">
        <f>WWWW[[#This Row],['# people reached by regular dedicated hygiene promotion_5]]/WWWW[[#This Row],[Total PoP ]]</f>
        <v>0.73421439060205584</v>
      </c>
      <c r="DC323" s="648">
        <f>IF(WWWW[[#This Row],['#_households that received standard amount of soap for this quarter]]/WWWW[[#This Row],[Total HH]]&gt;1,1,WWWW[[#This Row],['#_households that received standard amount of soap for this quarter]]/WWWW[[#This Row],[Total HH]])</f>
        <v>0</v>
      </c>
      <c r="DD323" s="648">
        <f>IF(WWWW[[#This Row],['#_households that received standard amount of sanitary pads for this quarter]]/WWWW[[#This Row],[Total HH]]&gt;1,1,WWWW[[#This Row],['#_households that received standard amount of sanitary pads for this quarter]]/WWWW[[#This Row],[Total HH]])</f>
        <v>0</v>
      </c>
      <c r="DE323" s="647">
        <f>WWWW[[#This Row],['#_Constructed/Existing hand washing stations]]-WWWW[[#This Row],['#_Non-Functional_hand_washing_stations]]</f>
        <v>0</v>
      </c>
      <c r="DF323" s="667">
        <f>IF(WWWW[[#This Row],['# Functional hand washing stations during reporting period]]*20&gt;WWWW[[#This Row],[Total HH]],WWWW[[#This Row],[Total HH]],WWWW[[#This Row],['# Functional hand washing stations during reporting period]]*20)</f>
        <v>0</v>
      </c>
      <c r="DG323" s="645">
        <f>IF(WWWW[[#This Row],[Is sufficient soap available for TLS? (Yes/No)]]="yes",WWWW[[#This Row],['#_Constructed/Existing hand washing stations at TLS]],0)</f>
        <v>0</v>
      </c>
      <c r="DH323" s="645">
        <f>IF(WWWW[[#This Row],['# Functional hand washing stations during reporting period]]*100&gt;WWWW[[#This Row],[Total PoP ]],WWWW[[#This Row],[Total PoP ]],WWWW[[#This Row],['# Functional hand washing stations during reporting period]]*100)</f>
        <v>0</v>
      </c>
      <c r="DI323" s="645" t="str">
        <f>IF(WWWW[[#This Row],['#_students at TLS_CFS]]="","No","Yes")</f>
        <v>No</v>
      </c>
      <c r="DJ323" s="643">
        <f>VLOOKUP(WWWW[[#This Row],[Site Name]],SiteDB6[[Site Name]:[CCCM Management]],6,FALSE)</f>
        <v>0</v>
      </c>
      <c r="DK323" s="643">
        <f>VLOOKUP(WWWW[[#This Row],[Site Name]],SiteDB6[[Site Name]:[CCCM Focal Agency]],7,FALSE)</f>
        <v>0</v>
      </c>
      <c r="DL323" s="643" t="str">
        <f>VLOOKUP(WWWW[[#This Row],[Site Name]],SiteDB6[[Site Name]:[Location Type 1]],9,FALSE)</f>
        <v>Village</v>
      </c>
      <c r="DM323" s="643" t="str">
        <f>VLOOKUP(WWWW[[#This Row],[Site Name]],SiteDB6[[Site Name]:[Type of Accommodation]],10,FALSE)</f>
        <v>Relocated</v>
      </c>
      <c r="DN323" s="643" t="str">
        <f>VLOOKUP(WWWW[[#This Row],[Site Name]],SiteDB6[[Site Name]:[Ethnic or GCA/NGCA]],11,FALSE)</f>
        <v>Rakhine</v>
      </c>
      <c r="DO323" s="643">
        <f>VLOOKUP(WWWW[[#This Row],[Site Name]],SiteDB6[[Site Name]:[Lat]],12,FALSE)</f>
        <v>20.151471999999998</v>
      </c>
      <c r="DP323" s="643">
        <f>VLOOKUP(WWWW[[#This Row],[Site Name]],SiteDB6[[Site Name]:[Long]],13,FALSE)</f>
        <v>92.887277999999995</v>
      </c>
      <c r="DQ323" s="643" t="str">
        <f>VLOOKUP(WWWW[[#This Row],[Site Name]],SiteDB6[[Site Name]:[Pcode]],3,FALSE)</f>
        <v>MMR012CMP111</v>
      </c>
      <c r="DR323" s="652" t="str">
        <f t="shared" si="10"/>
        <v>Covered</v>
      </c>
      <c r="DS323" s="652"/>
    </row>
    <row r="324" spans="1:126">
      <c r="A324" s="637" t="s">
        <v>2525</v>
      </c>
      <c r="B324" s="637" t="s">
        <v>2374</v>
      </c>
      <c r="C324" s="644" t="s">
        <v>2374</v>
      </c>
      <c r="D324" s="644" t="s">
        <v>42</v>
      </c>
      <c r="E324" s="663" t="s">
        <v>3014</v>
      </c>
      <c r="F324" s="644" t="s">
        <v>313</v>
      </c>
      <c r="G324" s="663" t="str">
        <f>VLOOKUP(WWWW[[#This Row],[Site Name]],SiteDB6[[Site Name]:[Location Type]],8,FALSE)</f>
        <v>Village</v>
      </c>
      <c r="H324" s="644" t="s">
        <v>437</v>
      </c>
      <c r="I324" s="646">
        <v>420</v>
      </c>
      <c r="J324" s="646">
        <v>2179</v>
      </c>
      <c r="K324" s="653"/>
      <c r="L324" s="654">
        <v>44104</v>
      </c>
      <c r="M324" s="646"/>
      <c r="N324" s="646"/>
      <c r="O324" s="646"/>
      <c r="P324" s="646" t="s">
        <v>2941</v>
      </c>
      <c r="Q324" s="645"/>
      <c r="R324" s="646"/>
      <c r="S324" s="646"/>
      <c r="T324" s="646"/>
      <c r="U324" s="646"/>
      <c r="V324" s="646"/>
      <c r="W324" s="646"/>
      <c r="X324" s="646"/>
      <c r="Y324" s="646"/>
      <c r="Z324" s="646" t="s">
        <v>2941</v>
      </c>
      <c r="AA324" s="646"/>
      <c r="AB324" s="646"/>
      <c r="AC324" s="646"/>
      <c r="AD324" s="646"/>
      <c r="AE324" s="646"/>
      <c r="AF324" s="646"/>
      <c r="AG324" s="646"/>
      <c r="AH324" s="646" t="s">
        <v>2941</v>
      </c>
      <c r="AI324" s="646"/>
      <c r="AJ324" s="646"/>
      <c r="AK324" s="646"/>
      <c r="AL324" s="646"/>
      <c r="AM324" s="646"/>
      <c r="AN324" s="646"/>
      <c r="AO324" s="652"/>
      <c r="AP324" s="646"/>
      <c r="AQ324" s="646"/>
      <c r="AR324" s="648"/>
      <c r="AS324" s="646"/>
      <c r="AT324" s="646">
        <v>0</v>
      </c>
      <c r="AU324" s="646">
        <v>0</v>
      </c>
      <c r="AV324" s="646"/>
      <c r="AW324" s="646"/>
      <c r="AX324" s="643" t="s">
        <v>43</v>
      </c>
      <c r="AY324" s="652" t="s">
        <v>148</v>
      </c>
      <c r="AZ324" s="646"/>
      <c r="BA324" s="646"/>
      <c r="BB324" s="646"/>
      <c r="BC324" s="643"/>
      <c r="BD324" s="646"/>
      <c r="BE324" s="646"/>
      <c r="BF324" s="646"/>
      <c r="BG324" s="646"/>
      <c r="BH324" s="646"/>
      <c r="BI324" s="646">
        <v>1</v>
      </c>
      <c r="BJ324" s="646"/>
      <c r="BK324" s="646">
        <v>0</v>
      </c>
      <c r="BL324" s="646">
        <v>0</v>
      </c>
      <c r="BM324" s="643"/>
      <c r="BN324" s="647">
        <v>0</v>
      </c>
      <c r="BO324" s="648"/>
      <c r="BP324" s="643"/>
      <c r="BQ324" s="649" t="str">
        <f>IFERROR(WWWW[[#This Row],['#_Water sources treated]]/WWWW[[#This Row],['#_Water sources tested for contamination]],"no test")</f>
        <v>no test</v>
      </c>
      <c r="BR324" s="648" t="str">
        <f>IFERROR(WWWW[[#This Row],['#_Household received remediation action due to contamination]]/WWWW[[#This Row],['#_Household water samples tested for contamination]],"no test")</f>
        <v>no test</v>
      </c>
      <c r="BS324" s="647" t="str">
        <f>IF(AND(WWWW[[#This Row],[% of water sources treated]]="no test",WWWW[[#This Row],[% Household received corrective actions]]="no test"),"No Test","Tested")</f>
        <v>No Test</v>
      </c>
      <c r="BT324" s="647">
        <f>WWWW[[#This Row],['#_Constructed/existing protected hand dug well]]-WWWW[[#This Row],['#_Non-functional protected hand dug well]]</f>
        <v>0</v>
      </c>
      <c r="BU324" s="647">
        <f>(WWWW[[#This Row],['#_Constructed/Existing tube wells/boreholes/handpumps_WASH_agency]]+WWWW[[#This Row],['#_Non-Cluster partner water tube-wells/boreholes/handpumps]])-WWWW[[#This Row],['#_Non-functional tube wells/boreholes/handpumps]]</f>
        <v>0</v>
      </c>
      <c r="BV324" s="647">
        <f>WWWW[[#This Row],['#_Constructed/Existingwater storage tank with gravity fed reticulation system]]-WWWW[[#This Row],['#_Non-functional storage tank gravity fed reticulation system]]</f>
        <v>0</v>
      </c>
      <c r="BW324" s="647">
        <f>WWWW[[#This Row],['#_Water boating or water trucking]]</f>
        <v>0</v>
      </c>
      <c r="BX324" s="647">
        <f>WWWW[[#This Row],['#_Constructed/Existing water distribution system from river or natural spring]]</f>
        <v>0</v>
      </c>
      <c r="BY324"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24"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24" s="648">
        <f>IF(WWWW[[#This Row],[Location Type 1]]="Village",WWWW[[#This Row],[Access to safe drinking water for Village]],WWWW[[#This Row],[Access to safe drinking water for Camp]])</f>
        <v>0</v>
      </c>
      <c r="CB324" s="645">
        <f>WWWW[[#This Row],[%Equitable and continuous access to sufficient quantity of safe drinking water]]*WWWW[[#This Row],[Total PoP ]]</f>
        <v>0</v>
      </c>
      <c r="CC324" s="648">
        <f>IF((WWWW[[#This Row],['#_Constructed/Existing protected/fenced ponds]]*250)/WWWW[[#This Row],[Total PoP ]]&gt;1,1,(WWWW[[#This Row],['#_Constructed/Existing protected/fenced ponds]]*250)/WWWW[[#This Row],[Total PoP ]])</f>
        <v>0</v>
      </c>
      <c r="CD324" s="645">
        <f>WWWW[[#This Row],[% Access to unimproved water points]]*WWWW[[#This Row],[Total PoP ]]</f>
        <v>0</v>
      </c>
      <c r="CE324"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24"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24" s="645">
        <f>WWWW[[#This Row],[HRP1]]/500</f>
        <v>0</v>
      </c>
      <c r="CH324" s="650">
        <f>1-WWWW[[#This Row],[% Equitable and continuous access to sufficient quantity of domestic water]]</f>
        <v>1</v>
      </c>
      <c r="CI324" s="645">
        <f>WWWW[[#This Row],[%equitable and continuous access to sufficient quantity of safe drinking and domestic water''s GAP]]*WWWW[[#This Row],[Total PoP ]]</f>
        <v>2179</v>
      </c>
      <c r="CJ324" s="647">
        <f>IF(WWWW[[#This Row],[Total required water points]]-WWWW[[#This Row],['#Water points coverage]]&lt;0,0,WWWW[[#This Row],[Total required water points]]-WWWW[[#This Row],['#Water points coverage]])</f>
        <v>4</v>
      </c>
      <c r="CK324" s="647">
        <f>ROUND(IF(WWWW[[#This Row],[Total PoP ]]&lt;500,1,WWWW[[#This Row],[Total PoP ]]/500),0)</f>
        <v>4</v>
      </c>
      <c r="CL324" s="647">
        <f>(WWWW[[#This Row],['#_Constructed latrines_by_WASHAgencies]]+WWWW[[#This Row],['#_Non Cluster partner latrines]])-WWWW[[#This Row],['#_Non-functional latrines]]</f>
        <v>0</v>
      </c>
      <c r="CM324"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24"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24"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24" s="647" t="str">
        <f>IF(WWWW[[#This Row],[Location Type 1]]="Village","NA",IF(WWWW[[#This Row],['#_Constructed/Existing latrines in TLS]]*50&gt;WWWW[[#This Row],['#_students at TLS_CFS]],WWWW[[#This Row],['#_students at TLS_CFS]],(WWWW[[#This Row],['#_Constructed/Existing latrines in TLS]]*50)))</f>
        <v>NA</v>
      </c>
      <c r="CQ324" s="647">
        <f>ROUND(IF(WWWW[[#This Row],[Location Type 1]]="camp",WWWW[[#This Row],[Total PoP ]]/20,IF(WWWW[[#This Row],[Location Type 1]]="Temporary Location",WWWW[[#This Row],[Total PoP ]]/50,(WWWW[[#This Row],[Total PoP ]]/6))),0)</f>
        <v>363</v>
      </c>
      <c r="CR324" s="647">
        <f>IF(WWWW[[#This Row],[Total required Latrines]]-(WWWW[[#This Row],['#_Constructed latrines_by_WASHAgencies]]+WWWW[[#This Row],['#_Non Cluster partner latrines]])&lt;0,0,WWWW[[#This Row],[Total required Latrines]]-(WWWW[[#This Row],['#_Constructed latrines_by_WASHAgencies]]+WWWW[[#This Row],['#_Non Cluster partner latrines]]))</f>
        <v>363</v>
      </c>
      <c r="CS324" s="79">
        <f>1-WWWW[[#This Row],[% people access to functioning Latrine]]</f>
        <v>1</v>
      </c>
      <c r="CT324" s="649">
        <f>IF(OR(WWWW[[#This Row],['#_Non-functional latrines]]="",WWWW[[#This Row],['#_Non-functional latrines]]=0),0,WWWW[[#This Row],['#_Non-functional latrines]]/(WWWW[[#This Row],['#_Constructed latrines_by_WASHAgencies]]+WWWW[[#This Row],['#_Non Cluster partner latrines]]))</f>
        <v>0</v>
      </c>
      <c r="CU324" s="645">
        <f>IF(500*(WWWW[[#This Row],['#_male hygiene promoters]]+WWWW[[#This Row],['#_female hygiene promoters]])&gt;WWWW[[#This Row],[Total PoP ]],WWWW[[#This Row],[Total PoP ]],500*(WWWW[[#This Row],['#_male hygiene promoters]]+WWWW[[#This Row],['#_female hygiene promoters]]))</f>
        <v>500</v>
      </c>
      <c r="CV324"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24"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24" s="647">
        <f>IF(WWWW[[#This Row],['# People with access to soap]]&gt;WWWW[[#This Row],['# People with access to Sanity Pads]],WWWW[[#This Row],['# People with access to soap]],WWWW[[#This Row],['# People with access to Sanity Pads]])</f>
        <v>0</v>
      </c>
      <c r="CY324" s="647">
        <f>IF(WWWW[[#This Row],['# people reached by regular dedicated hygiene promotion_5]]&gt;WWWW[[#This Row],['# People received regular supply of hygiene items_6]],WWWW[[#This Row],['# people reached by regular dedicated hygiene promotion_5]],WWWW[[#This Row],['# People received regular supply of hygiene items_6]])</f>
        <v>500</v>
      </c>
      <c r="CZ324" s="650">
        <f>IF(WWWW[[#This Row],[HRP3]]/WWWW[[#This Row],[Total PoP ]]&gt;100%,100%,WWWW[[#This Row],[HRP3]]/WWWW[[#This Row],[Total PoP ]])</f>
        <v>0.22946305644791187</v>
      </c>
      <c r="DA324" s="649">
        <f>1-WWWW[[#This Row],[Hygiene Coverage%]]</f>
        <v>0.77053694355208813</v>
      </c>
      <c r="DB324" s="648">
        <f>WWWW[[#This Row],['# people reached by regular dedicated hygiene promotion_5]]/WWWW[[#This Row],[Total PoP ]]</f>
        <v>0.22946305644791187</v>
      </c>
      <c r="DC324" s="648">
        <f>IF(WWWW[[#This Row],['#_households that received standard amount of soap for this quarter]]/WWWW[[#This Row],[Total HH]]&gt;1,1,WWWW[[#This Row],['#_households that received standard amount of soap for this quarter]]/WWWW[[#This Row],[Total HH]])</f>
        <v>0</v>
      </c>
      <c r="DD324" s="648">
        <f>IF(WWWW[[#This Row],['#_households that received standard amount of sanitary pads for this quarter]]/WWWW[[#This Row],[Total HH]]&gt;1,1,WWWW[[#This Row],['#_households that received standard amount of sanitary pads for this quarter]]/WWWW[[#This Row],[Total HH]])</f>
        <v>0</v>
      </c>
      <c r="DE324" s="647">
        <f>WWWW[[#This Row],['#_Constructed/Existing hand washing stations]]-WWWW[[#This Row],['#_Non-Functional_hand_washing_stations]]</f>
        <v>0</v>
      </c>
      <c r="DF324" s="667">
        <f>IF(WWWW[[#This Row],['# Functional hand washing stations during reporting period]]*20&gt;WWWW[[#This Row],[Total HH]],WWWW[[#This Row],[Total HH]],WWWW[[#This Row],['# Functional hand washing stations during reporting period]]*20)</f>
        <v>0</v>
      </c>
      <c r="DG324" s="645">
        <f>IF(WWWW[[#This Row],[Is sufficient soap available for TLS? (Yes/No)]]="yes",WWWW[[#This Row],['#_Constructed/Existing hand washing stations at TLS]],0)</f>
        <v>0</v>
      </c>
      <c r="DH324" s="645">
        <f>IF(WWWW[[#This Row],['# Functional hand washing stations during reporting period]]*100&gt;WWWW[[#This Row],[Total PoP ]],WWWW[[#This Row],[Total PoP ]],WWWW[[#This Row],['# Functional hand washing stations during reporting period]]*100)</f>
        <v>0</v>
      </c>
      <c r="DI324" s="645" t="str">
        <f>IF(WWWW[[#This Row],['#_students at TLS_CFS]]="","No","Yes")</f>
        <v>No</v>
      </c>
      <c r="DJ324" s="643">
        <f>VLOOKUP(WWWW[[#This Row],[Site Name]],SiteDB6[[Site Name]:[CCCM Management]],6,FALSE)</f>
        <v>0</v>
      </c>
      <c r="DK324" s="643">
        <f>VLOOKUP(WWWW[[#This Row],[Site Name]],SiteDB6[[Site Name]:[CCCM Focal Agency]],7,FALSE)</f>
        <v>0</v>
      </c>
      <c r="DL324" s="643" t="str">
        <f>VLOOKUP(WWWW[[#This Row],[Site Name]],SiteDB6[[Site Name]:[Location Type 1]],9,FALSE)</f>
        <v>Village</v>
      </c>
      <c r="DM324" s="643" t="str">
        <f>VLOOKUP(WWWW[[#This Row],[Site Name]],SiteDB6[[Site Name]:[Type of Accommodation]],10,FALSE)</f>
        <v>Relocated</v>
      </c>
      <c r="DN324" s="643" t="str">
        <f>VLOOKUP(WWWW[[#This Row],[Site Name]],SiteDB6[[Site Name]:[Ethnic or GCA/NGCA]],11,FALSE)</f>
        <v>Rakhine</v>
      </c>
      <c r="DO324" s="643">
        <f>VLOOKUP(WWWW[[#This Row],[Site Name]],SiteDB6[[Site Name]:[Lat]],12,FALSE)</f>
        <v>20.151471999999998</v>
      </c>
      <c r="DP324" s="643">
        <f>VLOOKUP(WWWW[[#This Row],[Site Name]],SiteDB6[[Site Name]:[Long]],13,FALSE)</f>
        <v>92.887277999999995</v>
      </c>
      <c r="DQ324" s="643" t="str">
        <f>VLOOKUP(WWWW[[#This Row],[Site Name]],SiteDB6[[Site Name]:[Pcode]],3,FALSE)</f>
        <v>MMR012CMP112</v>
      </c>
      <c r="DR324" s="652" t="str">
        <f t="shared" si="10"/>
        <v>Covered</v>
      </c>
      <c r="DS324" s="652"/>
    </row>
    <row r="325" spans="1:126">
      <c r="A325" s="637" t="s">
        <v>2525</v>
      </c>
      <c r="B325" s="637" t="s">
        <v>3007</v>
      </c>
      <c r="C325" s="701" t="s">
        <v>2374</v>
      </c>
      <c r="D325" s="644" t="s">
        <v>42</v>
      </c>
      <c r="E325" s="663" t="s">
        <v>3014</v>
      </c>
      <c r="F325" s="644" t="s">
        <v>313</v>
      </c>
      <c r="G325" s="663" t="str">
        <f>VLOOKUP(WWWW[[#This Row],[Site Name]],SiteDB6[[Site Name]:[Location Type]],8,FALSE)</f>
        <v>Camp</v>
      </c>
      <c r="H325" s="701" t="s">
        <v>457</v>
      </c>
      <c r="I325" s="646">
        <v>2280</v>
      </c>
      <c r="J325" s="646">
        <v>11564</v>
      </c>
      <c r="K325" s="653"/>
      <c r="L325" s="654">
        <v>44104</v>
      </c>
      <c r="M325" s="646"/>
      <c r="N325" s="646"/>
      <c r="O325" s="646"/>
      <c r="P325" s="646" t="s">
        <v>2941</v>
      </c>
      <c r="Q325" s="645"/>
      <c r="R325" s="646"/>
      <c r="S325" s="646"/>
      <c r="T325" s="646"/>
      <c r="U325" s="646"/>
      <c r="V325" s="646"/>
      <c r="W325" s="646">
        <v>198</v>
      </c>
      <c r="X325" s="646"/>
      <c r="Y325" s="646">
        <v>44</v>
      </c>
      <c r="Z325" s="646">
        <v>44</v>
      </c>
      <c r="AA325" s="646"/>
      <c r="AB325" s="646"/>
      <c r="AC325" s="646"/>
      <c r="AD325" s="646"/>
      <c r="AE325" s="646"/>
      <c r="AF325" s="646"/>
      <c r="AG325" s="646"/>
      <c r="AH325" s="646">
        <v>198</v>
      </c>
      <c r="AI325" s="646">
        <v>149</v>
      </c>
      <c r="AJ325" s="646"/>
      <c r="AK325" s="646">
        <v>103</v>
      </c>
      <c r="AL325" s="646">
        <v>7</v>
      </c>
      <c r="AM325" s="646"/>
      <c r="AN325" s="646"/>
      <c r="AO325" s="652"/>
      <c r="AP325" s="646">
        <v>520</v>
      </c>
      <c r="AQ325" s="646"/>
      <c r="AR325" s="648"/>
      <c r="AS325" s="646">
        <v>62</v>
      </c>
      <c r="AT325" s="646">
        <v>152</v>
      </c>
      <c r="AU325" s="646">
        <v>242</v>
      </c>
      <c r="AV325" s="646"/>
      <c r="AW325" s="646">
        <v>520</v>
      </c>
      <c r="AX325" s="643" t="s">
        <v>43</v>
      </c>
      <c r="AY325" s="652" t="s">
        <v>145</v>
      </c>
      <c r="AZ325" s="646"/>
      <c r="BA325" s="646"/>
      <c r="BB325" s="646"/>
      <c r="BC325" s="643"/>
      <c r="BD325" s="646"/>
      <c r="BE325" s="646"/>
      <c r="BF325" s="646"/>
      <c r="BG325" s="646"/>
      <c r="BH325" s="646"/>
      <c r="BI325" s="646">
        <v>26</v>
      </c>
      <c r="BJ325" s="646"/>
      <c r="BK325" s="646">
        <v>2280</v>
      </c>
      <c r="BL325" s="646">
        <v>2280</v>
      </c>
      <c r="BM325" s="643" t="s">
        <v>43</v>
      </c>
      <c r="BN325" s="647">
        <v>76</v>
      </c>
      <c r="BO325" s="648"/>
      <c r="BP325" s="643"/>
      <c r="BQ325" s="649">
        <f>IFERROR(WWWW[[#This Row],['#_Water sources treated]]/WWWW[[#This Row],['#_Water sources tested for contamination]],"no test")</f>
        <v>0</v>
      </c>
      <c r="BR325" s="648">
        <f>IFERROR(WWWW[[#This Row],['#_Household received remediation action due to contamination]]/WWWW[[#This Row],['#_Household water samples tested for contamination]],"no test")</f>
        <v>6.7961165048543687E-2</v>
      </c>
      <c r="BS325" s="647" t="str">
        <f>IF(AND(WWWW[[#This Row],[% of water sources treated]]="no test",WWWW[[#This Row],[% Household received corrective actions]]="no test"),"No Test","Tested")</f>
        <v>Tested</v>
      </c>
      <c r="BT325" s="647">
        <f>WWWW[[#This Row],['#_Constructed/existing protected hand dug well]]-WWWW[[#This Row],['#_Non-functional protected hand dug well]]</f>
        <v>0</v>
      </c>
      <c r="BU325" s="647">
        <f>(WWWW[[#This Row],['#_Constructed/Existing tube wells/boreholes/handpumps_WASH_agency]]+WWWW[[#This Row],['#_Non-Cluster partner water tube-wells/boreholes/handpumps]])-WWWW[[#This Row],['#_Non-functional tube wells/boreholes/handpumps]]</f>
        <v>154</v>
      </c>
      <c r="BV325" s="647">
        <f>WWWW[[#This Row],['#_Constructed/Existingwater storage tank with gravity fed reticulation system]]-WWWW[[#This Row],['#_Non-functional storage tank gravity fed reticulation system]]</f>
        <v>0</v>
      </c>
      <c r="BW325" s="647">
        <f>WWWW[[#This Row],['#_Water boating or water trucking]]</f>
        <v>0</v>
      </c>
      <c r="BX325" s="647">
        <f>WWWW[[#This Row],['#_Constructed/Existing water distribution system from river or natural spring]]</f>
        <v>0</v>
      </c>
      <c r="BY325"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325"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325" s="648">
        <f>IF(WWWW[[#This Row],[Location Type 1]]="Village",WWWW[[#This Row],[Access to safe drinking water for Village]],WWWW[[#This Row],[Access to safe drinking water for Camp]])</f>
        <v>1</v>
      </c>
      <c r="CB325" s="645">
        <f>WWWW[[#This Row],[%Equitable and continuous access to sufficient quantity of safe drinking water]]*WWWW[[#This Row],[Total PoP ]]</f>
        <v>11564</v>
      </c>
      <c r="CC325" s="648">
        <f>IF((WWWW[[#This Row],['#_Constructed/Existing protected/fenced ponds]]*250)/WWWW[[#This Row],[Total PoP ]]&gt;1,1,(WWWW[[#This Row],['#_Constructed/Existing protected/fenced ponds]]*250)/WWWW[[#This Row],[Total PoP ]])</f>
        <v>0</v>
      </c>
      <c r="CD325" s="645">
        <f>WWWW[[#This Row],[% Access to unimproved water points]]*WWWW[[#This Row],[Total PoP ]]</f>
        <v>0</v>
      </c>
      <c r="CE325"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25"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11564</v>
      </c>
      <c r="CG325" s="645">
        <f>WWWW[[#This Row],[HRP1]]/500</f>
        <v>23.128</v>
      </c>
      <c r="CH325" s="650">
        <f>1-WWWW[[#This Row],[% Equitable and continuous access to sufficient quantity of domestic water]]</f>
        <v>0</v>
      </c>
      <c r="CI325" s="645">
        <f>WWWW[[#This Row],[%equitable and continuous access to sufficient quantity of safe drinking and domestic water''s GAP]]*WWWW[[#This Row],[Total PoP ]]</f>
        <v>0</v>
      </c>
      <c r="CJ325" s="647">
        <f>IF(WWWW[[#This Row],[Total required water points]]-WWWW[[#This Row],['#Water points coverage]]&lt;0,0,WWWW[[#This Row],[Total required water points]]-WWWW[[#This Row],['#Water points coverage]])</f>
        <v>0</v>
      </c>
      <c r="CK325" s="647">
        <f>ROUND(IF(WWWW[[#This Row],[Total PoP ]]&lt;500,1,WWWW[[#This Row],[Total PoP ]]/500),0)</f>
        <v>23</v>
      </c>
      <c r="CL325" s="647">
        <f>(WWWW[[#This Row],['#_Constructed latrines_by_WASHAgencies]]+WWWW[[#This Row],['#_Non Cluster partner latrines]])-WWWW[[#This Row],['#_Non-functional latrines]]</f>
        <v>458</v>
      </c>
      <c r="CM325"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0.7921134555517122</v>
      </c>
      <c r="CN325"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9160</v>
      </c>
      <c r="CO325"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4840</v>
      </c>
      <c r="CP325" s="647">
        <f>IF(WWWW[[#This Row],[Location Type 1]]="Village","NA",IF(WWWW[[#This Row],['#_Constructed/Existing latrines in TLS]]*50&gt;WWWW[[#This Row],['#_students at TLS_CFS]],WWWW[[#This Row],['#_students at TLS_CFS]],(WWWW[[#This Row],['#_Constructed/Existing latrines in TLS]]*50)))</f>
        <v>0</v>
      </c>
      <c r="CQ325" s="647">
        <f>ROUND(IF(WWWW[[#This Row],[Location Type 1]]="camp",WWWW[[#This Row],[Total PoP ]]/20,IF(WWWW[[#This Row],[Location Type 1]]="Temporary Location",WWWW[[#This Row],[Total PoP ]]/50,(WWWW[[#This Row],[Total PoP ]]/6))),0)</f>
        <v>578</v>
      </c>
      <c r="CR325" s="647">
        <f>IF(WWWW[[#This Row],[Total required Latrines]]-(WWWW[[#This Row],['#_Constructed latrines_by_WASHAgencies]]+WWWW[[#This Row],['#_Non Cluster partner latrines]])&lt;0,0,WWWW[[#This Row],[Total required Latrines]]-(WWWW[[#This Row],['#_Constructed latrines_by_WASHAgencies]]+WWWW[[#This Row],['#_Non Cluster partner latrines]]))</f>
        <v>58</v>
      </c>
      <c r="CS325" s="79">
        <f>1-WWWW[[#This Row],[% people access to functioning Latrine]]</f>
        <v>0.2078865444482878</v>
      </c>
      <c r="CT325" s="649">
        <f>IF(OR(WWWW[[#This Row],['#_Non-functional latrines]]="",WWWW[[#This Row],['#_Non-functional latrines]]=0),0,WWWW[[#This Row],['#_Non-functional latrines]]/(WWWW[[#This Row],['#_Constructed latrines_by_WASHAgencies]]+WWWW[[#This Row],['#_Non Cluster partner latrines]]))</f>
        <v>0.11923076923076924</v>
      </c>
      <c r="CU325" s="645">
        <f>IF(500*(WWWW[[#This Row],['#_male hygiene promoters]]+WWWW[[#This Row],['#_female hygiene promoters]])&gt;WWWW[[#This Row],[Total PoP ]],WWWW[[#This Row],[Total PoP ]],500*(WWWW[[#This Row],['#_male hygiene promoters]]+WWWW[[#This Row],['#_female hygiene promoters]]))</f>
        <v>11564</v>
      </c>
      <c r="CV325"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11564</v>
      </c>
      <c r="CW325"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11564</v>
      </c>
      <c r="CX325" s="647">
        <f>IF(WWWW[[#This Row],['# People with access to soap]]&gt;WWWW[[#This Row],['# People with access to Sanity Pads]],WWWW[[#This Row],['# People with access to soap]],WWWW[[#This Row],['# People with access to Sanity Pads]])</f>
        <v>11564</v>
      </c>
      <c r="CY325" s="647">
        <f>IF(WWWW[[#This Row],['# people reached by regular dedicated hygiene promotion_5]]&gt;WWWW[[#This Row],['# People received regular supply of hygiene items_6]],WWWW[[#This Row],['# people reached by regular dedicated hygiene promotion_5]],WWWW[[#This Row],['# People received regular supply of hygiene items_6]])</f>
        <v>11564</v>
      </c>
      <c r="CZ325" s="650">
        <f>IF(WWWW[[#This Row],[HRP3]]/WWWW[[#This Row],[Total PoP ]]&gt;100%,100%,WWWW[[#This Row],[HRP3]]/WWWW[[#This Row],[Total PoP ]])</f>
        <v>1</v>
      </c>
      <c r="DA325" s="649">
        <f>1-WWWW[[#This Row],[Hygiene Coverage%]]</f>
        <v>0</v>
      </c>
      <c r="DB325" s="648">
        <f>WWWW[[#This Row],['# people reached by regular dedicated hygiene promotion_5]]/WWWW[[#This Row],[Total PoP ]]</f>
        <v>1</v>
      </c>
      <c r="DC325" s="648">
        <f>IF(WWWW[[#This Row],['#_households that received standard amount of soap for this quarter]]/WWWW[[#This Row],[Total HH]]&gt;1,1,WWWW[[#This Row],['#_households that received standard amount of soap for this quarter]]/WWWW[[#This Row],[Total HH]])</f>
        <v>1</v>
      </c>
      <c r="DD325" s="648">
        <f>IF(WWWW[[#This Row],['#_households that received standard amount of sanitary pads for this quarter]]/WWWW[[#This Row],[Total HH]]&gt;1,1,WWWW[[#This Row],['#_households that received standard amount of sanitary pads for this quarter]]/WWWW[[#This Row],[Total HH]])</f>
        <v>1</v>
      </c>
      <c r="DE325" s="647">
        <f>WWWW[[#This Row],['#_Constructed/Existing hand washing stations]]-WWWW[[#This Row],['#_Non-Functional_hand_washing_stations]]</f>
        <v>0</v>
      </c>
      <c r="DF325" s="667">
        <f>IF(WWWW[[#This Row],['# Functional hand washing stations during reporting period]]*20&gt;WWWW[[#This Row],[Total HH]],WWWW[[#This Row],[Total HH]],WWWW[[#This Row],['# Functional hand washing stations during reporting period]]*20)</f>
        <v>0</v>
      </c>
      <c r="DG325" s="645">
        <f>IF(WWWW[[#This Row],[Is sufficient soap available for TLS? (Yes/No)]]="yes",WWWW[[#This Row],['#_Constructed/Existing hand washing stations at TLS]],0)</f>
        <v>0</v>
      </c>
      <c r="DH325" s="645">
        <f>IF(WWWW[[#This Row],['# Functional hand washing stations during reporting period]]*100&gt;WWWW[[#This Row],[Total PoP ]],WWWW[[#This Row],[Total PoP ]],WWWW[[#This Row],['# Functional hand washing stations during reporting period]]*100)</f>
        <v>0</v>
      </c>
      <c r="DI325" s="645" t="str">
        <f>IF(WWWW[[#This Row],['#_students at TLS_CFS]]="","No","Yes")</f>
        <v>No</v>
      </c>
      <c r="DJ325" s="643" t="str">
        <f>VLOOKUP(WWWW[[#This Row],[Site Name]],SiteDB6[[Site Name]:[CCCM Management]],6,FALSE)</f>
        <v>Yes</v>
      </c>
      <c r="DK325" s="643">
        <f>VLOOKUP(WWWW[[#This Row],[Site Name]],SiteDB6[[Site Name]:[CCCM Focal Agency]],7,FALSE)</f>
        <v>0</v>
      </c>
      <c r="DL325" s="643" t="str">
        <f>VLOOKUP(WWWW[[#This Row],[Site Name]],SiteDB6[[Site Name]:[Location Type 1]],9,FALSE)</f>
        <v>Camp</v>
      </c>
      <c r="DM325" s="643" t="str">
        <f>VLOOKUP(WWWW[[#This Row],[Site Name]],SiteDB6[[Site Name]:[Type of Accommodation]],10,FALSE)</f>
        <v>Planned Camp</v>
      </c>
      <c r="DN325" s="643" t="str">
        <f>VLOOKUP(WWWW[[#This Row],[Site Name]],SiteDB6[[Site Name]:[Ethnic or GCA/NGCA]],11,FALSE)</f>
        <v>Muslim</v>
      </c>
      <c r="DO325" s="643">
        <f>VLOOKUP(WWWW[[#This Row],[Site Name]],SiteDB6[[Site Name]:[Lat]],12,FALSE)</f>
        <v>20.202525000000001</v>
      </c>
      <c r="DP325" s="643">
        <f>VLOOKUP(WWWW[[#This Row],[Site Name]],SiteDB6[[Site Name]:[Long]],13,FALSE)</f>
        <v>92.792479999999998</v>
      </c>
      <c r="DQ325" s="643" t="str">
        <f>VLOOKUP(WWWW[[#This Row],[Site Name]],SiteDB6[[Site Name]:[Pcode]],3,FALSE)</f>
        <v>MMR012CMP045</v>
      </c>
      <c r="DR325" s="652" t="str">
        <f t="shared" ref="DR325:DR344" si="11">IF(C325="none","Notcovered","Covered")</f>
        <v>Covered</v>
      </c>
      <c r="DS325" s="652"/>
    </row>
    <row r="326" spans="1:126">
      <c r="A326" s="637" t="s">
        <v>2525</v>
      </c>
      <c r="B326" s="637" t="s">
        <v>2374</v>
      </c>
      <c r="C326" s="644" t="s">
        <v>2374</v>
      </c>
      <c r="D326" s="644" t="s">
        <v>42</v>
      </c>
      <c r="E326" s="663" t="s">
        <v>3014</v>
      </c>
      <c r="F326" s="644" t="s">
        <v>313</v>
      </c>
      <c r="G326" s="663" t="str">
        <f>VLOOKUP(WWWW[[#This Row],[Site Name]],SiteDB6[[Site Name]:[Location Type]],8,FALSE)</f>
        <v>Village</v>
      </c>
      <c r="H326" s="644" t="s">
        <v>455</v>
      </c>
      <c r="I326" s="646">
        <v>92</v>
      </c>
      <c r="J326" s="646">
        <v>695</v>
      </c>
      <c r="K326" s="653"/>
      <c r="L326" s="654">
        <v>44104</v>
      </c>
      <c r="M326" s="646"/>
      <c r="N326" s="646"/>
      <c r="O326" s="646"/>
      <c r="P326" s="646" t="s">
        <v>2941</v>
      </c>
      <c r="Q326" s="645"/>
      <c r="R326" s="646"/>
      <c r="S326" s="646"/>
      <c r="T326" s="646"/>
      <c r="U326" s="646"/>
      <c r="V326" s="646"/>
      <c r="W326" s="646">
        <v>7</v>
      </c>
      <c r="X326" s="646"/>
      <c r="Y326" s="646"/>
      <c r="Z326" s="646" t="s">
        <v>2941</v>
      </c>
      <c r="AA326" s="646"/>
      <c r="AB326" s="646"/>
      <c r="AC326" s="646"/>
      <c r="AD326" s="646"/>
      <c r="AE326" s="646"/>
      <c r="AF326" s="646"/>
      <c r="AG326" s="646"/>
      <c r="AH326" s="646">
        <v>7</v>
      </c>
      <c r="AI326" s="646">
        <v>13</v>
      </c>
      <c r="AJ326" s="646"/>
      <c r="AK326" s="646">
        <v>11</v>
      </c>
      <c r="AL326" s="646">
        <v>1</v>
      </c>
      <c r="AM326" s="646"/>
      <c r="AN326" s="646"/>
      <c r="AO326" s="652"/>
      <c r="AP326" s="646"/>
      <c r="AQ326" s="646"/>
      <c r="AR326" s="648"/>
      <c r="AS326" s="646"/>
      <c r="AT326" s="646">
        <v>0</v>
      </c>
      <c r="AU326" s="646">
        <v>0</v>
      </c>
      <c r="AV326" s="646"/>
      <c r="AW326" s="646"/>
      <c r="AX326" s="643" t="s">
        <v>43</v>
      </c>
      <c r="AY326" s="652" t="s">
        <v>148</v>
      </c>
      <c r="AZ326" s="646"/>
      <c r="BA326" s="646"/>
      <c r="BB326" s="646"/>
      <c r="BC326" s="643"/>
      <c r="BD326" s="646"/>
      <c r="BE326" s="646"/>
      <c r="BF326" s="646"/>
      <c r="BG326" s="646"/>
      <c r="BH326" s="646"/>
      <c r="BI326" s="646"/>
      <c r="BJ326" s="646"/>
      <c r="BK326" s="646">
        <v>0</v>
      </c>
      <c r="BL326" s="646">
        <v>0</v>
      </c>
      <c r="BM326" s="643"/>
      <c r="BN326" s="647">
        <v>0</v>
      </c>
      <c r="BO326" s="648"/>
      <c r="BP326" s="643"/>
      <c r="BQ326" s="649">
        <f>IFERROR(WWWW[[#This Row],['#_Water sources treated]]/WWWW[[#This Row],['#_Water sources tested for contamination]],"no test")</f>
        <v>0</v>
      </c>
      <c r="BR326" s="648">
        <f>IFERROR(WWWW[[#This Row],['#_Household received remediation action due to contamination]]/WWWW[[#This Row],['#_Household water samples tested for contamination]],"no test")</f>
        <v>9.0909090909090912E-2</v>
      </c>
      <c r="BS326" s="647" t="str">
        <f>IF(AND(WWWW[[#This Row],[% of water sources treated]]="no test",WWWW[[#This Row],[% Household received corrective actions]]="no test"),"No Test","Tested")</f>
        <v>Tested</v>
      </c>
      <c r="BT326" s="647">
        <f>WWWW[[#This Row],['#_Constructed/existing protected hand dug well]]-WWWW[[#This Row],['#_Non-functional protected hand dug well]]</f>
        <v>0</v>
      </c>
      <c r="BU326" s="647">
        <f>(WWWW[[#This Row],['#_Constructed/Existing tube wells/boreholes/handpumps_WASH_agency]]+WWWW[[#This Row],['#_Non-Cluster partner water tube-wells/boreholes/handpumps]])-WWWW[[#This Row],['#_Non-functional tube wells/boreholes/handpumps]]</f>
        <v>7</v>
      </c>
      <c r="BV326" s="647">
        <f>WWWW[[#This Row],['#_Constructed/Existingwater storage tank with gravity fed reticulation system]]-WWWW[[#This Row],['#_Non-functional storage tank gravity fed reticulation system]]</f>
        <v>0</v>
      </c>
      <c r="BW326" s="647">
        <f>WWWW[[#This Row],['#_Water boating or water trucking]]</f>
        <v>0</v>
      </c>
      <c r="BX326" s="647">
        <f>WWWW[[#This Row],['#_Constructed/Existing water distribution system from river or natural spring]]</f>
        <v>0</v>
      </c>
      <c r="BY326"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326"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326" s="648">
        <f>IF(WWWW[[#This Row],[Location Type 1]]="Village",WWWW[[#This Row],[Access to safe drinking water for Village]],WWWW[[#This Row],[Access to safe drinking water for Camp]])</f>
        <v>1</v>
      </c>
      <c r="CB326" s="645">
        <f>WWWW[[#This Row],[%Equitable and continuous access to sufficient quantity of safe drinking water]]*WWWW[[#This Row],[Total PoP ]]</f>
        <v>695</v>
      </c>
      <c r="CC326" s="648">
        <f>IF((WWWW[[#This Row],['#_Constructed/Existing protected/fenced ponds]]*250)/WWWW[[#This Row],[Total PoP ]]&gt;1,1,(WWWW[[#This Row],['#_Constructed/Existing protected/fenced ponds]]*250)/WWWW[[#This Row],[Total PoP ]])</f>
        <v>0</v>
      </c>
      <c r="CD326" s="645">
        <f>WWWW[[#This Row],[% Access to unimproved water points]]*WWWW[[#This Row],[Total PoP ]]</f>
        <v>0</v>
      </c>
      <c r="CE326"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26"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695</v>
      </c>
      <c r="CG326" s="645">
        <f>WWWW[[#This Row],[HRP1]]/500</f>
        <v>1.39</v>
      </c>
      <c r="CH326" s="650">
        <f>1-WWWW[[#This Row],[% Equitable and continuous access to sufficient quantity of domestic water]]</f>
        <v>0</v>
      </c>
      <c r="CI326" s="645">
        <f>WWWW[[#This Row],[%equitable and continuous access to sufficient quantity of safe drinking and domestic water''s GAP]]*WWWW[[#This Row],[Total PoP ]]</f>
        <v>0</v>
      </c>
      <c r="CJ326" s="647">
        <f>IF(WWWW[[#This Row],[Total required water points]]-WWWW[[#This Row],['#Water points coverage]]&lt;0,0,WWWW[[#This Row],[Total required water points]]-WWWW[[#This Row],['#Water points coverage]])</f>
        <v>0</v>
      </c>
      <c r="CK326" s="647">
        <f>ROUND(IF(WWWW[[#This Row],[Total PoP ]]&lt;500,1,WWWW[[#This Row],[Total PoP ]]/500),0)</f>
        <v>1</v>
      </c>
      <c r="CL326" s="647">
        <f>(WWWW[[#This Row],['#_Constructed latrines_by_WASHAgencies]]+WWWW[[#This Row],['#_Non Cluster partner latrines]])-WWWW[[#This Row],['#_Non-functional latrines]]</f>
        <v>0</v>
      </c>
      <c r="CM326"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26"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26"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26" s="647" t="str">
        <f>IF(WWWW[[#This Row],[Location Type 1]]="Village","NA",IF(WWWW[[#This Row],['#_Constructed/Existing latrines in TLS]]*50&gt;WWWW[[#This Row],['#_students at TLS_CFS]],WWWW[[#This Row],['#_students at TLS_CFS]],(WWWW[[#This Row],['#_Constructed/Existing latrines in TLS]]*50)))</f>
        <v>NA</v>
      </c>
      <c r="CQ326" s="647">
        <f>ROUND(IF(WWWW[[#This Row],[Location Type 1]]="camp",WWWW[[#This Row],[Total PoP ]]/20,IF(WWWW[[#This Row],[Location Type 1]]="Temporary Location",WWWW[[#This Row],[Total PoP ]]/50,(WWWW[[#This Row],[Total PoP ]]/6))),0)</f>
        <v>116</v>
      </c>
      <c r="CR326" s="647">
        <f>IF(WWWW[[#This Row],[Total required Latrines]]-(WWWW[[#This Row],['#_Constructed latrines_by_WASHAgencies]]+WWWW[[#This Row],['#_Non Cluster partner latrines]])&lt;0,0,WWWW[[#This Row],[Total required Latrines]]-(WWWW[[#This Row],['#_Constructed latrines_by_WASHAgencies]]+WWWW[[#This Row],['#_Non Cluster partner latrines]]))</f>
        <v>116</v>
      </c>
      <c r="CS326" s="79">
        <f>1-WWWW[[#This Row],[% people access to functioning Latrine]]</f>
        <v>1</v>
      </c>
      <c r="CT326" s="649">
        <f>IF(OR(WWWW[[#This Row],['#_Non-functional latrines]]="",WWWW[[#This Row],['#_Non-functional latrines]]=0),0,WWWW[[#This Row],['#_Non-functional latrines]]/(WWWW[[#This Row],['#_Constructed latrines_by_WASHAgencies]]+WWWW[[#This Row],['#_Non Cluster partner latrines]]))</f>
        <v>0</v>
      </c>
      <c r="CU326" s="645">
        <f>IF(500*(WWWW[[#This Row],['#_male hygiene promoters]]+WWWW[[#This Row],['#_female hygiene promoters]])&gt;WWWW[[#This Row],[Total PoP ]],WWWW[[#This Row],[Total PoP ]],500*(WWWW[[#This Row],['#_male hygiene promoters]]+WWWW[[#This Row],['#_female hygiene promoters]]))</f>
        <v>0</v>
      </c>
      <c r="CV326"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26"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26" s="647">
        <f>IF(WWWW[[#This Row],['# People with access to soap]]&gt;WWWW[[#This Row],['# People with access to Sanity Pads]],WWWW[[#This Row],['# People with access to soap]],WWWW[[#This Row],['# People with access to Sanity Pads]])</f>
        <v>0</v>
      </c>
      <c r="CY326"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26" s="650">
        <f>IF(WWWW[[#This Row],[HRP3]]/WWWW[[#This Row],[Total PoP ]]&gt;100%,100%,WWWW[[#This Row],[HRP3]]/WWWW[[#This Row],[Total PoP ]])</f>
        <v>0</v>
      </c>
      <c r="DA326" s="649">
        <f>1-WWWW[[#This Row],[Hygiene Coverage%]]</f>
        <v>1</v>
      </c>
      <c r="DB326" s="648">
        <f>WWWW[[#This Row],['# people reached by regular dedicated hygiene promotion_5]]/WWWW[[#This Row],[Total PoP ]]</f>
        <v>0</v>
      </c>
      <c r="DC326" s="648">
        <f>IF(WWWW[[#This Row],['#_households that received standard amount of soap for this quarter]]/WWWW[[#This Row],[Total HH]]&gt;1,1,WWWW[[#This Row],['#_households that received standard amount of soap for this quarter]]/WWWW[[#This Row],[Total HH]])</f>
        <v>0</v>
      </c>
      <c r="DD326" s="648">
        <f>IF(WWWW[[#This Row],['#_households that received standard amount of sanitary pads for this quarter]]/WWWW[[#This Row],[Total HH]]&gt;1,1,WWWW[[#This Row],['#_households that received standard amount of sanitary pads for this quarter]]/WWWW[[#This Row],[Total HH]])</f>
        <v>0</v>
      </c>
      <c r="DE326" s="647">
        <f>WWWW[[#This Row],['#_Constructed/Existing hand washing stations]]-WWWW[[#This Row],['#_Non-Functional_hand_washing_stations]]</f>
        <v>0</v>
      </c>
      <c r="DF326" s="667">
        <f>IF(WWWW[[#This Row],['# Functional hand washing stations during reporting period]]*20&gt;WWWW[[#This Row],[Total HH]],WWWW[[#This Row],[Total HH]],WWWW[[#This Row],['# Functional hand washing stations during reporting period]]*20)</f>
        <v>0</v>
      </c>
      <c r="DG326" s="645">
        <f>IF(WWWW[[#This Row],[Is sufficient soap available for TLS? (Yes/No)]]="yes",WWWW[[#This Row],['#_Constructed/Existing hand washing stations at TLS]],0)</f>
        <v>0</v>
      </c>
      <c r="DH326" s="645">
        <f>IF(WWWW[[#This Row],['# Functional hand washing stations during reporting period]]*100&gt;WWWW[[#This Row],[Total PoP ]],WWWW[[#This Row],[Total PoP ]],WWWW[[#This Row],['# Functional hand washing stations during reporting period]]*100)</f>
        <v>0</v>
      </c>
      <c r="DI326" s="645" t="str">
        <f>IF(WWWW[[#This Row],['#_students at TLS_CFS]]="","No","Yes")</f>
        <v>No</v>
      </c>
      <c r="DJ326" s="643">
        <f>VLOOKUP(WWWW[[#This Row],[Site Name]],SiteDB6[[Site Name]:[CCCM Management]],6,FALSE)</f>
        <v>0</v>
      </c>
      <c r="DK326" s="643">
        <f>VLOOKUP(WWWW[[#This Row],[Site Name]],SiteDB6[[Site Name]:[CCCM Focal Agency]],7,FALSE)</f>
        <v>0</v>
      </c>
      <c r="DL326" s="643" t="str">
        <f>VLOOKUP(WWWW[[#This Row],[Site Name]],SiteDB6[[Site Name]:[Location Type 1]],9,FALSE)</f>
        <v>Village</v>
      </c>
      <c r="DM326" s="643" t="str">
        <f>VLOOKUP(WWWW[[#This Row],[Site Name]],SiteDB6[[Site Name]:[Type of Accommodation]],10,FALSE)</f>
        <v>Village</v>
      </c>
      <c r="DN326" s="643">
        <f>VLOOKUP(WWWW[[#This Row],[Site Name]],SiteDB6[[Site Name]:[Ethnic or GCA/NGCA]],11,FALSE)</f>
        <v>0</v>
      </c>
      <c r="DO326" s="643">
        <f>VLOOKUP(WWWW[[#This Row],[Site Name]],SiteDB6[[Site Name]:[Lat]],12,FALSE)</f>
        <v>0</v>
      </c>
      <c r="DP326" s="643">
        <f>VLOOKUP(WWWW[[#This Row],[Site Name]],SiteDB6[[Site Name]:[Long]],13,FALSE)</f>
        <v>0</v>
      </c>
      <c r="DQ326" s="643">
        <f>VLOOKUP(WWWW[[#This Row],[Site Name]],SiteDB6[[Site Name]:[Pcode]],3,FALSE)</f>
        <v>196154</v>
      </c>
      <c r="DR326" s="652" t="str">
        <f t="shared" si="11"/>
        <v>Covered</v>
      </c>
      <c r="DS326" s="652"/>
    </row>
    <row r="327" spans="1:126">
      <c r="A327" s="637" t="s">
        <v>2525</v>
      </c>
      <c r="B327" s="637" t="s">
        <v>2374</v>
      </c>
      <c r="C327" s="644" t="s">
        <v>2374</v>
      </c>
      <c r="D327" s="644" t="s">
        <v>42</v>
      </c>
      <c r="E327" s="663" t="s">
        <v>3014</v>
      </c>
      <c r="F327" s="644" t="s">
        <v>313</v>
      </c>
      <c r="G327" s="663" t="str">
        <f>VLOOKUP(WWWW[[#This Row],[Site Name]],SiteDB6[[Site Name]:[Location Type]],8,FALSE)</f>
        <v>Village</v>
      </c>
      <c r="H327" s="644" t="s">
        <v>451</v>
      </c>
      <c r="I327" s="646">
        <v>235</v>
      </c>
      <c r="J327" s="646">
        <v>1390</v>
      </c>
      <c r="K327" s="653"/>
      <c r="L327" s="654">
        <v>44104</v>
      </c>
      <c r="M327" s="646"/>
      <c r="N327" s="646"/>
      <c r="O327" s="646"/>
      <c r="P327" s="646" t="s">
        <v>2941</v>
      </c>
      <c r="Q327" s="645"/>
      <c r="R327" s="646"/>
      <c r="S327" s="646"/>
      <c r="T327" s="646"/>
      <c r="U327" s="646"/>
      <c r="V327" s="646"/>
      <c r="W327" s="646">
        <v>8</v>
      </c>
      <c r="X327" s="646"/>
      <c r="Y327" s="646"/>
      <c r="Z327" s="646" t="s">
        <v>2941</v>
      </c>
      <c r="AA327" s="646"/>
      <c r="AB327" s="646"/>
      <c r="AC327" s="646"/>
      <c r="AD327" s="646"/>
      <c r="AE327" s="646"/>
      <c r="AF327" s="646"/>
      <c r="AG327" s="646"/>
      <c r="AH327" s="646">
        <v>8</v>
      </c>
      <c r="AI327" s="646">
        <v>12</v>
      </c>
      <c r="AJ327" s="646"/>
      <c r="AK327" s="646">
        <v>14</v>
      </c>
      <c r="AL327" s="646"/>
      <c r="AM327" s="646"/>
      <c r="AN327" s="646"/>
      <c r="AO327" s="652"/>
      <c r="AP327" s="646"/>
      <c r="AQ327" s="646"/>
      <c r="AR327" s="648"/>
      <c r="AS327" s="646"/>
      <c r="AT327" s="646">
        <v>0</v>
      </c>
      <c r="AU327" s="646">
        <v>0</v>
      </c>
      <c r="AV327" s="646"/>
      <c r="AW327" s="646"/>
      <c r="AX327" s="643" t="s">
        <v>43</v>
      </c>
      <c r="AY327" s="652" t="s">
        <v>148</v>
      </c>
      <c r="AZ327" s="646"/>
      <c r="BA327" s="646"/>
      <c r="BB327" s="646"/>
      <c r="BC327" s="643"/>
      <c r="BD327" s="646"/>
      <c r="BE327" s="646"/>
      <c r="BF327" s="646"/>
      <c r="BG327" s="646"/>
      <c r="BH327" s="646"/>
      <c r="BI327" s="646"/>
      <c r="BJ327" s="646"/>
      <c r="BK327" s="646">
        <v>0</v>
      </c>
      <c r="BL327" s="646">
        <v>0</v>
      </c>
      <c r="BM327" s="643"/>
      <c r="BN327" s="647">
        <v>0</v>
      </c>
      <c r="BO327" s="648"/>
      <c r="BP327" s="643"/>
      <c r="BQ327" s="649">
        <f>IFERROR(WWWW[[#This Row],['#_Water sources treated]]/WWWW[[#This Row],['#_Water sources tested for contamination]],"no test")</f>
        <v>0</v>
      </c>
      <c r="BR327" s="648">
        <f>IFERROR(WWWW[[#This Row],['#_Household received remediation action due to contamination]]/WWWW[[#This Row],['#_Household water samples tested for contamination]],"no test")</f>
        <v>0</v>
      </c>
      <c r="BS327" s="647" t="str">
        <f>IF(AND(WWWW[[#This Row],[% of water sources treated]]="no test",WWWW[[#This Row],[% Household received corrective actions]]="no test"),"No Test","Tested")</f>
        <v>Tested</v>
      </c>
      <c r="BT327" s="647">
        <f>WWWW[[#This Row],['#_Constructed/existing protected hand dug well]]-WWWW[[#This Row],['#_Non-functional protected hand dug well]]</f>
        <v>0</v>
      </c>
      <c r="BU327" s="647">
        <f>(WWWW[[#This Row],['#_Constructed/Existing tube wells/boreholes/handpumps_WASH_agency]]+WWWW[[#This Row],['#_Non-Cluster partner water tube-wells/boreholes/handpumps]])-WWWW[[#This Row],['#_Non-functional tube wells/boreholes/handpumps]]</f>
        <v>8</v>
      </c>
      <c r="BV327" s="647">
        <f>WWWW[[#This Row],['#_Constructed/Existingwater storage tank with gravity fed reticulation system]]-WWWW[[#This Row],['#_Non-functional storage tank gravity fed reticulation system]]</f>
        <v>0</v>
      </c>
      <c r="BW327" s="647">
        <f>WWWW[[#This Row],['#_Water boating or water trucking]]</f>
        <v>0</v>
      </c>
      <c r="BX327" s="647">
        <f>WWWW[[#This Row],['#_Constructed/Existing water distribution system from river or natural spring]]</f>
        <v>0</v>
      </c>
      <c r="BY327"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327"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327" s="648">
        <f>IF(WWWW[[#This Row],[Location Type 1]]="Village",WWWW[[#This Row],[Access to safe drinking water for Village]],WWWW[[#This Row],[Access to safe drinking water for Camp]])</f>
        <v>1</v>
      </c>
      <c r="CB327" s="645">
        <f>WWWW[[#This Row],[%Equitable and continuous access to sufficient quantity of safe drinking water]]*WWWW[[#This Row],[Total PoP ]]</f>
        <v>1390</v>
      </c>
      <c r="CC327" s="648">
        <f>IF((WWWW[[#This Row],['#_Constructed/Existing protected/fenced ponds]]*250)/WWWW[[#This Row],[Total PoP ]]&gt;1,1,(WWWW[[#This Row],['#_Constructed/Existing protected/fenced ponds]]*250)/WWWW[[#This Row],[Total PoP ]])</f>
        <v>0</v>
      </c>
      <c r="CD327" s="645">
        <f>WWWW[[#This Row],[% Access to unimproved water points]]*WWWW[[#This Row],[Total PoP ]]</f>
        <v>0</v>
      </c>
      <c r="CE327"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27"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1390</v>
      </c>
      <c r="CG327" s="645">
        <f>WWWW[[#This Row],[HRP1]]/500</f>
        <v>2.78</v>
      </c>
      <c r="CH327" s="650">
        <f>1-WWWW[[#This Row],[% Equitable and continuous access to sufficient quantity of domestic water]]</f>
        <v>0</v>
      </c>
      <c r="CI327" s="645">
        <f>WWWW[[#This Row],[%equitable and continuous access to sufficient quantity of safe drinking and domestic water''s GAP]]*WWWW[[#This Row],[Total PoP ]]</f>
        <v>0</v>
      </c>
      <c r="CJ327" s="647">
        <f>IF(WWWW[[#This Row],[Total required water points]]-WWWW[[#This Row],['#Water points coverage]]&lt;0,0,WWWW[[#This Row],[Total required water points]]-WWWW[[#This Row],['#Water points coverage]])</f>
        <v>0.2200000000000002</v>
      </c>
      <c r="CK327" s="647">
        <f>ROUND(IF(WWWW[[#This Row],[Total PoP ]]&lt;500,1,WWWW[[#This Row],[Total PoP ]]/500),0)</f>
        <v>3</v>
      </c>
      <c r="CL327" s="647">
        <f>(WWWW[[#This Row],['#_Constructed latrines_by_WASHAgencies]]+WWWW[[#This Row],['#_Non Cluster partner latrines]])-WWWW[[#This Row],['#_Non-functional latrines]]</f>
        <v>0</v>
      </c>
      <c r="CM327"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27"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27"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27" s="647" t="str">
        <f>IF(WWWW[[#This Row],[Location Type 1]]="Village","NA",IF(WWWW[[#This Row],['#_Constructed/Existing latrines in TLS]]*50&gt;WWWW[[#This Row],['#_students at TLS_CFS]],WWWW[[#This Row],['#_students at TLS_CFS]],(WWWW[[#This Row],['#_Constructed/Existing latrines in TLS]]*50)))</f>
        <v>NA</v>
      </c>
      <c r="CQ327" s="647">
        <f>ROUND(IF(WWWW[[#This Row],[Location Type 1]]="camp",WWWW[[#This Row],[Total PoP ]]/20,IF(WWWW[[#This Row],[Location Type 1]]="Temporary Location",WWWW[[#This Row],[Total PoP ]]/50,(WWWW[[#This Row],[Total PoP ]]/6))),0)</f>
        <v>232</v>
      </c>
      <c r="CR327" s="647">
        <f>IF(WWWW[[#This Row],[Total required Latrines]]-(WWWW[[#This Row],['#_Constructed latrines_by_WASHAgencies]]+WWWW[[#This Row],['#_Non Cluster partner latrines]])&lt;0,0,WWWW[[#This Row],[Total required Latrines]]-(WWWW[[#This Row],['#_Constructed latrines_by_WASHAgencies]]+WWWW[[#This Row],['#_Non Cluster partner latrines]]))</f>
        <v>232</v>
      </c>
      <c r="CS327" s="79">
        <f>1-WWWW[[#This Row],[% people access to functioning Latrine]]</f>
        <v>1</v>
      </c>
      <c r="CT327" s="649">
        <f>IF(OR(WWWW[[#This Row],['#_Non-functional latrines]]="",WWWW[[#This Row],['#_Non-functional latrines]]=0),0,WWWW[[#This Row],['#_Non-functional latrines]]/(WWWW[[#This Row],['#_Constructed latrines_by_WASHAgencies]]+WWWW[[#This Row],['#_Non Cluster partner latrines]]))</f>
        <v>0</v>
      </c>
      <c r="CU327" s="645">
        <f>IF(500*(WWWW[[#This Row],['#_male hygiene promoters]]+WWWW[[#This Row],['#_female hygiene promoters]])&gt;WWWW[[#This Row],[Total PoP ]],WWWW[[#This Row],[Total PoP ]],500*(WWWW[[#This Row],['#_male hygiene promoters]]+WWWW[[#This Row],['#_female hygiene promoters]]))</f>
        <v>0</v>
      </c>
      <c r="CV327"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27"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27" s="647">
        <f>IF(WWWW[[#This Row],['# People with access to soap]]&gt;WWWW[[#This Row],['# People with access to Sanity Pads]],WWWW[[#This Row],['# People with access to soap]],WWWW[[#This Row],['# People with access to Sanity Pads]])</f>
        <v>0</v>
      </c>
      <c r="CY327"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27" s="650">
        <f>IF(WWWW[[#This Row],[HRP3]]/WWWW[[#This Row],[Total PoP ]]&gt;100%,100%,WWWW[[#This Row],[HRP3]]/WWWW[[#This Row],[Total PoP ]])</f>
        <v>0</v>
      </c>
      <c r="DA327" s="649">
        <f>1-WWWW[[#This Row],[Hygiene Coverage%]]</f>
        <v>1</v>
      </c>
      <c r="DB327" s="648">
        <f>WWWW[[#This Row],['# people reached by regular dedicated hygiene promotion_5]]/WWWW[[#This Row],[Total PoP ]]</f>
        <v>0</v>
      </c>
      <c r="DC327" s="648">
        <f>IF(WWWW[[#This Row],['#_households that received standard amount of soap for this quarter]]/WWWW[[#This Row],[Total HH]]&gt;1,1,WWWW[[#This Row],['#_households that received standard amount of soap for this quarter]]/WWWW[[#This Row],[Total HH]])</f>
        <v>0</v>
      </c>
      <c r="DD327" s="648">
        <f>IF(WWWW[[#This Row],['#_households that received standard amount of sanitary pads for this quarter]]/WWWW[[#This Row],[Total HH]]&gt;1,1,WWWW[[#This Row],['#_households that received standard amount of sanitary pads for this quarter]]/WWWW[[#This Row],[Total HH]])</f>
        <v>0</v>
      </c>
      <c r="DE327" s="647">
        <f>WWWW[[#This Row],['#_Constructed/Existing hand washing stations]]-WWWW[[#This Row],['#_Non-Functional_hand_washing_stations]]</f>
        <v>0</v>
      </c>
      <c r="DF327" s="667">
        <f>IF(WWWW[[#This Row],['# Functional hand washing stations during reporting period]]*20&gt;WWWW[[#This Row],[Total HH]],WWWW[[#This Row],[Total HH]],WWWW[[#This Row],['# Functional hand washing stations during reporting period]]*20)</f>
        <v>0</v>
      </c>
      <c r="DG327" s="645">
        <f>IF(WWWW[[#This Row],[Is sufficient soap available for TLS? (Yes/No)]]="yes",WWWW[[#This Row],['#_Constructed/Existing hand washing stations at TLS]],0)</f>
        <v>0</v>
      </c>
      <c r="DH327" s="645">
        <f>IF(WWWW[[#This Row],['# Functional hand washing stations during reporting period]]*100&gt;WWWW[[#This Row],[Total PoP ]],WWWW[[#This Row],[Total PoP ]],WWWW[[#This Row],['# Functional hand washing stations during reporting period]]*100)</f>
        <v>0</v>
      </c>
      <c r="DI327" s="645" t="str">
        <f>IF(WWWW[[#This Row],['#_students at TLS_CFS]]="","No","Yes")</f>
        <v>No</v>
      </c>
      <c r="DJ327" s="643">
        <f>VLOOKUP(WWWW[[#This Row],[Site Name]],SiteDB6[[Site Name]:[CCCM Management]],6,FALSE)</f>
        <v>0</v>
      </c>
      <c r="DK327" s="643">
        <f>VLOOKUP(WWWW[[#This Row],[Site Name]],SiteDB6[[Site Name]:[CCCM Focal Agency]],7,FALSE)</f>
        <v>0</v>
      </c>
      <c r="DL327" s="643" t="str">
        <f>VLOOKUP(WWWW[[#This Row],[Site Name]],SiteDB6[[Site Name]:[Location Type 1]],9,FALSE)</f>
        <v>Village</v>
      </c>
      <c r="DM327" s="643" t="str">
        <f>VLOOKUP(WWWW[[#This Row],[Site Name]],SiteDB6[[Site Name]:[Type of Accommodation]],10,FALSE)</f>
        <v>Village</v>
      </c>
      <c r="DN327" s="643" t="str">
        <f>VLOOKUP(WWWW[[#This Row],[Site Name]],SiteDB6[[Site Name]:[Ethnic or GCA/NGCA]],11,FALSE)</f>
        <v>Muslim</v>
      </c>
      <c r="DO327" s="643">
        <f>VLOOKUP(WWWW[[#This Row],[Site Name]],SiteDB6[[Site Name]:[Lat]],12,FALSE)</f>
        <v>20.19171906</v>
      </c>
      <c r="DP327" s="643">
        <f>VLOOKUP(WWWW[[#This Row],[Site Name]],SiteDB6[[Site Name]:[Long]],13,FALSE)</f>
        <v>92.808166499999999</v>
      </c>
      <c r="DQ327" s="643">
        <f>VLOOKUP(WWWW[[#This Row],[Site Name]],SiteDB6[[Site Name]:[Pcode]],3,FALSE)</f>
        <v>196155</v>
      </c>
      <c r="DR327" s="652" t="str">
        <f t="shared" si="11"/>
        <v>Covered</v>
      </c>
      <c r="DS327" s="652"/>
    </row>
    <row r="328" spans="1:126">
      <c r="A328" s="637" t="s">
        <v>2525</v>
      </c>
      <c r="B328" s="637" t="s">
        <v>2374</v>
      </c>
      <c r="C328" s="644" t="s">
        <v>2374</v>
      </c>
      <c r="D328" s="644" t="s">
        <v>42</v>
      </c>
      <c r="E328" s="663" t="s">
        <v>3014</v>
      </c>
      <c r="F328" s="644" t="s">
        <v>313</v>
      </c>
      <c r="G328" s="663" t="str">
        <f>VLOOKUP(WWWW[[#This Row],[Site Name]],SiteDB6[[Site Name]:[Location Type]],8,FALSE)</f>
        <v>Village</v>
      </c>
      <c r="H328" s="644" t="s">
        <v>434</v>
      </c>
      <c r="I328" s="646">
        <v>72</v>
      </c>
      <c r="J328" s="646">
        <v>442</v>
      </c>
      <c r="K328" s="653"/>
      <c r="L328" s="654">
        <v>44104</v>
      </c>
      <c r="M328" s="646"/>
      <c r="N328" s="646"/>
      <c r="O328" s="646"/>
      <c r="P328" s="646" t="s">
        <v>2941</v>
      </c>
      <c r="Q328" s="645"/>
      <c r="R328" s="646"/>
      <c r="S328" s="646"/>
      <c r="T328" s="646"/>
      <c r="U328" s="646"/>
      <c r="V328" s="646"/>
      <c r="W328" s="646">
        <v>0</v>
      </c>
      <c r="X328" s="646"/>
      <c r="Y328" s="646"/>
      <c r="Z328" s="646">
        <v>0</v>
      </c>
      <c r="AA328" s="646"/>
      <c r="AB328" s="646"/>
      <c r="AC328" s="646"/>
      <c r="AD328" s="646"/>
      <c r="AE328" s="646"/>
      <c r="AF328" s="646"/>
      <c r="AG328" s="646"/>
      <c r="AH328" s="646">
        <v>0</v>
      </c>
      <c r="AI328" s="646"/>
      <c r="AJ328" s="646"/>
      <c r="AK328" s="646"/>
      <c r="AL328" s="646"/>
      <c r="AM328" s="646"/>
      <c r="AN328" s="646"/>
      <c r="AO328" s="652"/>
      <c r="AP328" s="646"/>
      <c r="AQ328" s="646"/>
      <c r="AR328" s="648"/>
      <c r="AS328" s="646"/>
      <c r="AT328" s="646">
        <v>0</v>
      </c>
      <c r="AU328" s="646">
        <v>0</v>
      </c>
      <c r="AV328" s="646"/>
      <c r="AW328" s="646"/>
      <c r="AX328" s="643" t="s">
        <v>43</v>
      </c>
      <c r="AY328" s="652" t="s">
        <v>148</v>
      </c>
      <c r="AZ328" s="646"/>
      <c r="BA328" s="646"/>
      <c r="BB328" s="646"/>
      <c r="BC328" s="643"/>
      <c r="BD328" s="646"/>
      <c r="BE328" s="646"/>
      <c r="BF328" s="646"/>
      <c r="BG328" s="646"/>
      <c r="BH328" s="646"/>
      <c r="BI328" s="646"/>
      <c r="BJ328" s="646"/>
      <c r="BK328" s="646">
        <v>0</v>
      </c>
      <c r="BL328" s="646">
        <v>0</v>
      </c>
      <c r="BM328" s="643"/>
      <c r="BN328" s="647">
        <v>0</v>
      </c>
      <c r="BO328" s="648"/>
      <c r="BP328" s="643"/>
      <c r="BQ328" s="649" t="str">
        <f>IFERROR(WWWW[[#This Row],['#_Water sources treated]]/WWWW[[#This Row],['#_Water sources tested for contamination]],"no test")</f>
        <v>no test</v>
      </c>
      <c r="BR328" s="648" t="str">
        <f>IFERROR(WWWW[[#This Row],['#_Household received remediation action due to contamination]]/WWWW[[#This Row],['#_Household water samples tested for contamination]],"no test")</f>
        <v>no test</v>
      </c>
      <c r="BS328" s="647" t="str">
        <f>IF(AND(WWWW[[#This Row],[% of water sources treated]]="no test",WWWW[[#This Row],[% Household received corrective actions]]="no test"),"No Test","Tested")</f>
        <v>No Test</v>
      </c>
      <c r="BT328" s="647">
        <f>WWWW[[#This Row],['#_Constructed/existing protected hand dug well]]-WWWW[[#This Row],['#_Non-functional protected hand dug well]]</f>
        <v>0</v>
      </c>
      <c r="BU328" s="647">
        <f>(WWWW[[#This Row],['#_Constructed/Existing tube wells/boreholes/handpumps_WASH_agency]]+WWWW[[#This Row],['#_Non-Cluster partner water tube-wells/boreholes/handpumps]])-WWWW[[#This Row],['#_Non-functional tube wells/boreholes/handpumps]]</f>
        <v>0</v>
      </c>
      <c r="BV328" s="647">
        <f>WWWW[[#This Row],['#_Constructed/Existingwater storage tank with gravity fed reticulation system]]-WWWW[[#This Row],['#_Non-functional storage tank gravity fed reticulation system]]</f>
        <v>0</v>
      </c>
      <c r="BW328" s="647">
        <f>WWWW[[#This Row],['#_Water boating or water trucking]]</f>
        <v>0</v>
      </c>
      <c r="BX328" s="647">
        <f>WWWW[[#This Row],['#_Constructed/Existing water distribution system from river or natural spring]]</f>
        <v>0</v>
      </c>
      <c r="BY328"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28"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28" s="648">
        <f>IF(WWWW[[#This Row],[Location Type 1]]="Village",WWWW[[#This Row],[Access to safe drinking water for Village]],WWWW[[#This Row],[Access to safe drinking water for Camp]])</f>
        <v>0</v>
      </c>
      <c r="CB328" s="645">
        <f>WWWW[[#This Row],[%Equitable and continuous access to sufficient quantity of safe drinking water]]*WWWW[[#This Row],[Total PoP ]]</f>
        <v>0</v>
      </c>
      <c r="CC328" s="648">
        <f>IF((WWWW[[#This Row],['#_Constructed/Existing protected/fenced ponds]]*250)/WWWW[[#This Row],[Total PoP ]]&gt;1,1,(WWWW[[#This Row],['#_Constructed/Existing protected/fenced ponds]]*250)/WWWW[[#This Row],[Total PoP ]])</f>
        <v>0</v>
      </c>
      <c r="CD328" s="645">
        <f>WWWW[[#This Row],[% Access to unimproved water points]]*WWWW[[#This Row],[Total PoP ]]</f>
        <v>0</v>
      </c>
      <c r="CE328"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28"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28" s="645">
        <f>WWWW[[#This Row],[HRP1]]/500</f>
        <v>0</v>
      </c>
      <c r="CH328" s="650">
        <f>1-WWWW[[#This Row],[% Equitable and continuous access to sufficient quantity of domestic water]]</f>
        <v>1</v>
      </c>
      <c r="CI328" s="645">
        <f>WWWW[[#This Row],[%equitable and continuous access to sufficient quantity of safe drinking and domestic water''s GAP]]*WWWW[[#This Row],[Total PoP ]]</f>
        <v>442</v>
      </c>
      <c r="CJ328" s="647">
        <f>IF(WWWW[[#This Row],[Total required water points]]-WWWW[[#This Row],['#Water points coverage]]&lt;0,0,WWWW[[#This Row],[Total required water points]]-WWWW[[#This Row],['#Water points coverage]])</f>
        <v>1</v>
      </c>
      <c r="CK328" s="647">
        <f>ROUND(IF(WWWW[[#This Row],[Total PoP ]]&lt;500,1,WWWW[[#This Row],[Total PoP ]]/500),0)</f>
        <v>1</v>
      </c>
      <c r="CL328" s="647">
        <f>(WWWW[[#This Row],['#_Constructed latrines_by_WASHAgencies]]+WWWW[[#This Row],['#_Non Cluster partner latrines]])-WWWW[[#This Row],['#_Non-functional latrines]]</f>
        <v>0</v>
      </c>
      <c r="CM328"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28"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28"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28" s="647" t="str">
        <f>IF(WWWW[[#This Row],[Location Type 1]]="Village","NA",IF(WWWW[[#This Row],['#_Constructed/Existing latrines in TLS]]*50&gt;WWWW[[#This Row],['#_students at TLS_CFS]],WWWW[[#This Row],['#_students at TLS_CFS]],(WWWW[[#This Row],['#_Constructed/Existing latrines in TLS]]*50)))</f>
        <v>NA</v>
      </c>
      <c r="CQ328" s="647">
        <f>ROUND(IF(WWWW[[#This Row],[Location Type 1]]="camp",WWWW[[#This Row],[Total PoP ]]/20,IF(WWWW[[#This Row],[Location Type 1]]="Temporary Location",WWWW[[#This Row],[Total PoP ]]/50,(WWWW[[#This Row],[Total PoP ]]/6))),0)</f>
        <v>74</v>
      </c>
      <c r="CR328" s="647">
        <f>IF(WWWW[[#This Row],[Total required Latrines]]-(WWWW[[#This Row],['#_Constructed latrines_by_WASHAgencies]]+WWWW[[#This Row],['#_Non Cluster partner latrines]])&lt;0,0,WWWW[[#This Row],[Total required Latrines]]-(WWWW[[#This Row],['#_Constructed latrines_by_WASHAgencies]]+WWWW[[#This Row],['#_Non Cluster partner latrines]]))</f>
        <v>74</v>
      </c>
      <c r="CS328" s="79">
        <f>1-WWWW[[#This Row],[% people access to functioning Latrine]]</f>
        <v>1</v>
      </c>
      <c r="CT328" s="649">
        <f>IF(OR(WWWW[[#This Row],['#_Non-functional latrines]]="",WWWW[[#This Row],['#_Non-functional latrines]]=0),0,WWWW[[#This Row],['#_Non-functional latrines]]/(WWWW[[#This Row],['#_Constructed latrines_by_WASHAgencies]]+WWWW[[#This Row],['#_Non Cluster partner latrines]]))</f>
        <v>0</v>
      </c>
      <c r="CU328" s="645">
        <f>IF(500*(WWWW[[#This Row],['#_male hygiene promoters]]+WWWW[[#This Row],['#_female hygiene promoters]])&gt;WWWW[[#This Row],[Total PoP ]],WWWW[[#This Row],[Total PoP ]],500*(WWWW[[#This Row],['#_male hygiene promoters]]+WWWW[[#This Row],['#_female hygiene promoters]]))</f>
        <v>0</v>
      </c>
      <c r="CV328"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28"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28" s="647">
        <f>IF(WWWW[[#This Row],['# People with access to soap]]&gt;WWWW[[#This Row],['# People with access to Sanity Pads]],WWWW[[#This Row],['# People with access to soap]],WWWW[[#This Row],['# People with access to Sanity Pads]])</f>
        <v>0</v>
      </c>
      <c r="CY328"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28" s="650">
        <f>IF(WWWW[[#This Row],[HRP3]]/WWWW[[#This Row],[Total PoP ]]&gt;100%,100%,WWWW[[#This Row],[HRP3]]/WWWW[[#This Row],[Total PoP ]])</f>
        <v>0</v>
      </c>
      <c r="DA328" s="649">
        <f>1-WWWW[[#This Row],[Hygiene Coverage%]]</f>
        <v>1</v>
      </c>
      <c r="DB328" s="648">
        <f>WWWW[[#This Row],['# people reached by regular dedicated hygiene promotion_5]]/WWWW[[#This Row],[Total PoP ]]</f>
        <v>0</v>
      </c>
      <c r="DC328" s="648">
        <f>IF(WWWW[[#This Row],['#_households that received standard amount of soap for this quarter]]/WWWW[[#This Row],[Total HH]]&gt;1,1,WWWW[[#This Row],['#_households that received standard amount of soap for this quarter]]/WWWW[[#This Row],[Total HH]])</f>
        <v>0</v>
      </c>
      <c r="DD328" s="648">
        <f>IF(WWWW[[#This Row],['#_households that received standard amount of sanitary pads for this quarter]]/WWWW[[#This Row],[Total HH]]&gt;1,1,WWWW[[#This Row],['#_households that received standard amount of sanitary pads for this quarter]]/WWWW[[#This Row],[Total HH]])</f>
        <v>0</v>
      </c>
      <c r="DE328" s="647">
        <f>WWWW[[#This Row],['#_Constructed/Existing hand washing stations]]-WWWW[[#This Row],['#_Non-Functional_hand_washing_stations]]</f>
        <v>0</v>
      </c>
      <c r="DF328" s="667">
        <f>IF(WWWW[[#This Row],['# Functional hand washing stations during reporting period]]*20&gt;WWWW[[#This Row],[Total HH]],WWWW[[#This Row],[Total HH]],WWWW[[#This Row],['# Functional hand washing stations during reporting period]]*20)</f>
        <v>0</v>
      </c>
      <c r="DG328" s="645">
        <f>IF(WWWW[[#This Row],[Is sufficient soap available for TLS? (Yes/No)]]="yes",WWWW[[#This Row],['#_Constructed/Existing hand washing stations at TLS]],0)</f>
        <v>0</v>
      </c>
      <c r="DH328" s="645">
        <f>IF(WWWW[[#This Row],['# Functional hand washing stations during reporting period]]*100&gt;WWWW[[#This Row],[Total PoP ]],WWWW[[#This Row],[Total PoP ]],WWWW[[#This Row],['# Functional hand washing stations during reporting period]]*100)</f>
        <v>0</v>
      </c>
      <c r="DI328" s="645" t="str">
        <f>IF(WWWW[[#This Row],['#_students at TLS_CFS]]="","No","Yes")</f>
        <v>No</v>
      </c>
      <c r="DJ328" s="643">
        <f>VLOOKUP(WWWW[[#This Row],[Site Name]],SiteDB6[[Site Name]:[CCCM Management]],6,FALSE)</f>
        <v>0</v>
      </c>
      <c r="DK328" s="643">
        <f>VLOOKUP(WWWW[[#This Row],[Site Name]],SiteDB6[[Site Name]:[CCCM Focal Agency]],7,FALSE)</f>
        <v>0</v>
      </c>
      <c r="DL328" s="643" t="str">
        <f>VLOOKUP(WWWW[[#This Row],[Site Name]],SiteDB6[[Site Name]:[Location Type 1]],9,FALSE)</f>
        <v>Village</v>
      </c>
      <c r="DM328" s="643" t="str">
        <f>VLOOKUP(WWWW[[#This Row],[Site Name]],SiteDB6[[Site Name]:[Type of Accommodation]],10,FALSE)</f>
        <v>Relocated</v>
      </c>
      <c r="DN328" s="643" t="str">
        <f>VLOOKUP(WWWW[[#This Row],[Site Name]],SiteDB6[[Site Name]:[Ethnic or GCA/NGCA]],11,FALSE)</f>
        <v>Maramargyi</v>
      </c>
      <c r="DO328" s="643">
        <f>VLOOKUP(WWWW[[#This Row],[Site Name]],SiteDB6[[Site Name]:[Lat]],12,FALSE)</f>
        <v>20.148584</v>
      </c>
      <c r="DP328" s="643">
        <f>VLOOKUP(WWWW[[#This Row],[Site Name]],SiteDB6[[Site Name]:[Long]],13,FALSE)</f>
        <v>92.880319999999998</v>
      </c>
      <c r="DQ328" s="643" t="str">
        <f>VLOOKUP(WWWW[[#This Row],[Site Name]],SiteDB6[[Site Name]:[Pcode]],3,FALSE)</f>
        <v>MMR012CMP056</v>
      </c>
      <c r="DR328" s="652" t="str">
        <f t="shared" si="11"/>
        <v>Covered</v>
      </c>
      <c r="DS328" s="652"/>
    </row>
    <row r="329" spans="1:126">
      <c r="A329" s="637" t="s">
        <v>2525</v>
      </c>
      <c r="B329" s="637" t="s">
        <v>2374</v>
      </c>
      <c r="C329" s="644" t="s">
        <v>2374</v>
      </c>
      <c r="D329" s="644" t="s">
        <v>42</v>
      </c>
      <c r="E329" s="663" t="s">
        <v>3014</v>
      </c>
      <c r="F329" s="644" t="s">
        <v>313</v>
      </c>
      <c r="G329" s="663" t="str">
        <f>VLOOKUP(WWWW[[#This Row],[Site Name]],SiteDB6[[Site Name]:[Location Type]],8,FALSE)</f>
        <v>Village</v>
      </c>
      <c r="H329" s="644" t="s">
        <v>1944</v>
      </c>
      <c r="I329" s="646">
        <v>151</v>
      </c>
      <c r="J329" s="646">
        <v>625</v>
      </c>
      <c r="K329" s="653"/>
      <c r="L329" s="654">
        <v>44104</v>
      </c>
      <c r="M329" s="646"/>
      <c r="N329" s="646"/>
      <c r="O329" s="646"/>
      <c r="P329" s="646" t="s">
        <v>2941</v>
      </c>
      <c r="Q329" s="645"/>
      <c r="R329" s="646"/>
      <c r="S329" s="646"/>
      <c r="T329" s="646"/>
      <c r="U329" s="646"/>
      <c r="V329" s="646"/>
      <c r="W329" s="646">
        <v>6</v>
      </c>
      <c r="X329" s="646"/>
      <c r="Y329" s="646"/>
      <c r="Z329" s="646" t="s">
        <v>2941</v>
      </c>
      <c r="AA329" s="646"/>
      <c r="AB329" s="646"/>
      <c r="AC329" s="646"/>
      <c r="AD329" s="646"/>
      <c r="AE329" s="646"/>
      <c r="AF329" s="646"/>
      <c r="AG329" s="646"/>
      <c r="AH329" s="646">
        <v>6</v>
      </c>
      <c r="AI329" s="646"/>
      <c r="AJ329" s="646"/>
      <c r="AK329" s="646"/>
      <c r="AL329" s="646"/>
      <c r="AM329" s="646"/>
      <c r="AN329" s="646"/>
      <c r="AO329" s="652"/>
      <c r="AP329" s="646"/>
      <c r="AQ329" s="646"/>
      <c r="AR329" s="648"/>
      <c r="AS329" s="646"/>
      <c r="AT329" s="646">
        <v>0</v>
      </c>
      <c r="AU329" s="646">
        <v>0</v>
      </c>
      <c r="AV329" s="646"/>
      <c r="AW329" s="646"/>
      <c r="AX329" s="643" t="s">
        <v>43</v>
      </c>
      <c r="AY329" s="652" t="s">
        <v>148</v>
      </c>
      <c r="AZ329" s="646"/>
      <c r="BA329" s="646"/>
      <c r="BB329" s="646"/>
      <c r="BC329" s="643"/>
      <c r="BD329" s="646"/>
      <c r="BE329" s="646"/>
      <c r="BF329" s="646"/>
      <c r="BG329" s="646"/>
      <c r="BH329" s="646"/>
      <c r="BI329" s="646">
        <v>1</v>
      </c>
      <c r="BJ329" s="646"/>
      <c r="BK329" s="646">
        <v>0</v>
      </c>
      <c r="BL329" s="646">
        <v>0</v>
      </c>
      <c r="BM329" s="643"/>
      <c r="BN329" s="647">
        <v>0</v>
      </c>
      <c r="BO329" s="648"/>
      <c r="BP329" s="643"/>
      <c r="BQ329" s="649" t="str">
        <f>IFERROR(WWWW[[#This Row],['#_Water sources treated]]/WWWW[[#This Row],['#_Water sources tested for contamination]],"no test")</f>
        <v>no test</v>
      </c>
      <c r="BR329" s="648" t="str">
        <f>IFERROR(WWWW[[#This Row],['#_Household received remediation action due to contamination]]/WWWW[[#This Row],['#_Household water samples tested for contamination]],"no test")</f>
        <v>no test</v>
      </c>
      <c r="BS329" s="647" t="str">
        <f>IF(AND(WWWW[[#This Row],[% of water sources treated]]="no test",WWWW[[#This Row],[% Household received corrective actions]]="no test"),"No Test","Tested")</f>
        <v>No Test</v>
      </c>
      <c r="BT329" s="647">
        <f>WWWW[[#This Row],['#_Constructed/existing protected hand dug well]]-WWWW[[#This Row],['#_Non-functional protected hand dug well]]</f>
        <v>0</v>
      </c>
      <c r="BU329" s="647">
        <f>(WWWW[[#This Row],['#_Constructed/Existing tube wells/boreholes/handpumps_WASH_agency]]+WWWW[[#This Row],['#_Non-Cluster partner water tube-wells/boreholes/handpumps]])-WWWW[[#This Row],['#_Non-functional tube wells/boreholes/handpumps]]</f>
        <v>6</v>
      </c>
      <c r="BV329" s="647">
        <f>WWWW[[#This Row],['#_Constructed/Existingwater storage tank with gravity fed reticulation system]]-WWWW[[#This Row],['#_Non-functional storage tank gravity fed reticulation system]]</f>
        <v>0</v>
      </c>
      <c r="BW329" s="647">
        <f>WWWW[[#This Row],['#_Water boating or water trucking]]</f>
        <v>0</v>
      </c>
      <c r="BX329" s="647">
        <f>WWWW[[#This Row],['#_Constructed/Existing water distribution system from river or natural spring]]</f>
        <v>0</v>
      </c>
      <c r="BY329"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329"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329" s="648">
        <f>IF(WWWW[[#This Row],[Location Type 1]]="Village",WWWW[[#This Row],[Access to safe drinking water for Village]],WWWW[[#This Row],[Access to safe drinking water for Camp]])</f>
        <v>1</v>
      </c>
      <c r="CB329" s="645">
        <f>WWWW[[#This Row],[%Equitable and continuous access to sufficient quantity of safe drinking water]]*WWWW[[#This Row],[Total PoP ]]</f>
        <v>625</v>
      </c>
      <c r="CC329" s="648">
        <f>IF((WWWW[[#This Row],['#_Constructed/Existing protected/fenced ponds]]*250)/WWWW[[#This Row],[Total PoP ]]&gt;1,1,(WWWW[[#This Row],['#_Constructed/Existing protected/fenced ponds]]*250)/WWWW[[#This Row],[Total PoP ]])</f>
        <v>0</v>
      </c>
      <c r="CD329" s="645">
        <f>WWWW[[#This Row],[% Access to unimproved water points]]*WWWW[[#This Row],[Total PoP ]]</f>
        <v>0</v>
      </c>
      <c r="CE329"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29"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625</v>
      </c>
      <c r="CG329" s="645">
        <f>WWWW[[#This Row],[HRP1]]/500</f>
        <v>1.25</v>
      </c>
      <c r="CH329" s="650">
        <f>1-WWWW[[#This Row],[% Equitable and continuous access to sufficient quantity of domestic water]]</f>
        <v>0</v>
      </c>
      <c r="CI329" s="645">
        <f>WWWW[[#This Row],[%equitable and continuous access to sufficient quantity of safe drinking and domestic water''s GAP]]*WWWW[[#This Row],[Total PoP ]]</f>
        <v>0</v>
      </c>
      <c r="CJ329" s="647">
        <f>IF(WWWW[[#This Row],[Total required water points]]-WWWW[[#This Row],['#Water points coverage]]&lt;0,0,WWWW[[#This Row],[Total required water points]]-WWWW[[#This Row],['#Water points coverage]])</f>
        <v>0</v>
      </c>
      <c r="CK329" s="647">
        <f>ROUND(IF(WWWW[[#This Row],[Total PoP ]]&lt;500,1,WWWW[[#This Row],[Total PoP ]]/500),0)</f>
        <v>1</v>
      </c>
      <c r="CL329" s="647">
        <f>(WWWW[[#This Row],['#_Constructed latrines_by_WASHAgencies]]+WWWW[[#This Row],['#_Non Cluster partner latrines]])-WWWW[[#This Row],['#_Non-functional latrines]]</f>
        <v>0</v>
      </c>
      <c r="CM329"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29"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29"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29" s="647" t="str">
        <f>IF(WWWW[[#This Row],[Location Type 1]]="Village","NA",IF(WWWW[[#This Row],['#_Constructed/Existing latrines in TLS]]*50&gt;WWWW[[#This Row],['#_students at TLS_CFS]],WWWW[[#This Row],['#_students at TLS_CFS]],(WWWW[[#This Row],['#_Constructed/Existing latrines in TLS]]*50)))</f>
        <v>NA</v>
      </c>
      <c r="CQ329" s="647">
        <f>ROUND(IF(WWWW[[#This Row],[Location Type 1]]="camp",WWWW[[#This Row],[Total PoP ]]/20,IF(WWWW[[#This Row],[Location Type 1]]="Temporary Location",WWWW[[#This Row],[Total PoP ]]/50,(WWWW[[#This Row],[Total PoP ]]/6))),0)</f>
        <v>104</v>
      </c>
      <c r="CR329" s="647">
        <f>IF(WWWW[[#This Row],[Total required Latrines]]-(WWWW[[#This Row],['#_Constructed latrines_by_WASHAgencies]]+WWWW[[#This Row],['#_Non Cluster partner latrines]])&lt;0,0,WWWW[[#This Row],[Total required Latrines]]-(WWWW[[#This Row],['#_Constructed latrines_by_WASHAgencies]]+WWWW[[#This Row],['#_Non Cluster partner latrines]]))</f>
        <v>104</v>
      </c>
      <c r="CS329" s="79">
        <f>1-WWWW[[#This Row],[% people access to functioning Latrine]]</f>
        <v>1</v>
      </c>
      <c r="CT329" s="649">
        <f>IF(OR(WWWW[[#This Row],['#_Non-functional latrines]]="",WWWW[[#This Row],['#_Non-functional latrines]]=0),0,WWWW[[#This Row],['#_Non-functional latrines]]/(WWWW[[#This Row],['#_Constructed latrines_by_WASHAgencies]]+WWWW[[#This Row],['#_Non Cluster partner latrines]]))</f>
        <v>0</v>
      </c>
      <c r="CU329" s="645">
        <f>IF(500*(WWWW[[#This Row],['#_male hygiene promoters]]+WWWW[[#This Row],['#_female hygiene promoters]])&gt;WWWW[[#This Row],[Total PoP ]],WWWW[[#This Row],[Total PoP ]],500*(WWWW[[#This Row],['#_male hygiene promoters]]+WWWW[[#This Row],['#_female hygiene promoters]]))</f>
        <v>500</v>
      </c>
      <c r="CV329"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29"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29" s="647">
        <f>IF(WWWW[[#This Row],['# People with access to soap]]&gt;WWWW[[#This Row],['# People with access to Sanity Pads]],WWWW[[#This Row],['# People with access to soap]],WWWW[[#This Row],['# People with access to Sanity Pads]])</f>
        <v>0</v>
      </c>
      <c r="CY329" s="647">
        <f>IF(WWWW[[#This Row],['# people reached by regular dedicated hygiene promotion_5]]&gt;WWWW[[#This Row],['# People received regular supply of hygiene items_6]],WWWW[[#This Row],['# people reached by regular dedicated hygiene promotion_5]],WWWW[[#This Row],['# People received regular supply of hygiene items_6]])</f>
        <v>500</v>
      </c>
      <c r="CZ329" s="650">
        <f>IF(WWWW[[#This Row],[HRP3]]/WWWW[[#This Row],[Total PoP ]]&gt;100%,100%,WWWW[[#This Row],[HRP3]]/WWWW[[#This Row],[Total PoP ]])</f>
        <v>0.8</v>
      </c>
      <c r="DA329" s="649">
        <f>1-WWWW[[#This Row],[Hygiene Coverage%]]</f>
        <v>0.19999999999999996</v>
      </c>
      <c r="DB329" s="648">
        <f>WWWW[[#This Row],['# people reached by regular dedicated hygiene promotion_5]]/WWWW[[#This Row],[Total PoP ]]</f>
        <v>0.8</v>
      </c>
      <c r="DC329" s="648">
        <f>IF(WWWW[[#This Row],['#_households that received standard amount of soap for this quarter]]/WWWW[[#This Row],[Total HH]]&gt;1,1,WWWW[[#This Row],['#_households that received standard amount of soap for this quarter]]/WWWW[[#This Row],[Total HH]])</f>
        <v>0</v>
      </c>
      <c r="DD329" s="648">
        <f>IF(WWWW[[#This Row],['#_households that received standard amount of sanitary pads for this quarter]]/WWWW[[#This Row],[Total HH]]&gt;1,1,WWWW[[#This Row],['#_households that received standard amount of sanitary pads for this quarter]]/WWWW[[#This Row],[Total HH]])</f>
        <v>0</v>
      </c>
      <c r="DE329" s="647">
        <f>WWWW[[#This Row],['#_Constructed/Existing hand washing stations]]-WWWW[[#This Row],['#_Non-Functional_hand_washing_stations]]</f>
        <v>0</v>
      </c>
      <c r="DF329" s="667">
        <f>IF(WWWW[[#This Row],['# Functional hand washing stations during reporting period]]*20&gt;WWWW[[#This Row],[Total HH]],WWWW[[#This Row],[Total HH]],WWWW[[#This Row],['# Functional hand washing stations during reporting period]]*20)</f>
        <v>0</v>
      </c>
      <c r="DG329" s="645">
        <f>IF(WWWW[[#This Row],[Is sufficient soap available for TLS? (Yes/No)]]="yes",WWWW[[#This Row],['#_Constructed/Existing hand washing stations at TLS]],0)</f>
        <v>0</v>
      </c>
      <c r="DH329" s="645">
        <f>IF(WWWW[[#This Row],['# Functional hand washing stations during reporting period]]*100&gt;WWWW[[#This Row],[Total PoP ]],WWWW[[#This Row],[Total PoP ]],WWWW[[#This Row],['# Functional hand washing stations during reporting period]]*100)</f>
        <v>0</v>
      </c>
      <c r="DI329" s="645" t="str">
        <f>IF(WWWW[[#This Row],['#_students at TLS_CFS]]="","No","Yes")</f>
        <v>No</v>
      </c>
      <c r="DJ329" s="643">
        <f>VLOOKUP(WWWW[[#This Row],[Site Name]],SiteDB6[[Site Name]:[CCCM Management]],6,FALSE)</f>
        <v>0</v>
      </c>
      <c r="DK329" s="643">
        <f>VLOOKUP(WWWW[[#This Row],[Site Name]],SiteDB6[[Site Name]:[CCCM Focal Agency]],7,FALSE)</f>
        <v>0</v>
      </c>
      <c r="DL329" s="643" t="str">
        <f>VLOOKUP(WWWW[[#This Row],[Site Name]],SiteDB6[[Site Name]:[Location Type 1]],9,FALSE)</f>
        <v>Village</v>
      </c>
      <c r="DM329" s="643" t="str">
        <f>VLOOKUP(WWWW[[#This Row],[Site Name]],SiteDB6[[Site Name]:[Type of Accommodation]],10,FALSE)</f>
        <v>Relocated</v>
      </c>
      <c r="DN329" s="643" t="str">
        <f>VLOOKUP(WWWW[[#This Row],[Site Name]],SiteDB6[[Site Name]:[Ethnic or GCA/NGCA]],11,FALSE)</f>
        <v>Rakhine</v>
      </c>
      <c r="DO329" s="643">
        <f>VLOOKUP(WWWW[[#This Row],[Site Name]],SiteDB6[[Site Name]:[Lat]],12,FALSE)</f>
        <v>20.155805999999998</v>
      </c>
      <c r="DP329" s="643">
        <f>VLOOKUP(WWWW[[#This Row],[Site Name]],SiteDB6[[Site Name]:[Long]],13,FALSE)</f>
        <v>92.879138999999995</v>
      </c>
      <c r="DQ329" s="643" t="str">
        <f>VLOOKUP(WWWW[[#This Row],[Site Name]],SiteDB6[[Site Name]:[Pcode]],3,FALSE)</f>
        <v>MMR012CMP093</v>
      </c>
      <c r="DR329" s="652" t="str">
        <f t="shared" si="11"/>
        <v>Covered</v>
      </c>
      <c r="DS329" s="652"/>
    </row>
    <row r="330" spans="1:126">
      <c r="A330" s="637" t="s">
        <v>2525</v>
      </c>
      <c r="B330" s="637" t="s">
        <v>2376</v>
      </c>
      <c r="C330" s="701" t="s">
        <v>2376</v>
      </c>
      <c r="D330" s="701" t="s">
        <v>42</v>
      </c>
      <c r="E330" s="663" t="s">
        <v>3014</v>
      </c>
      <c r="F330" s="644" t="s">
        <v>313</v>
      </c>
      <c r="G330" s="663" t="str">
        <f>VLOOKUP(WWWW[[#This Row],[Site Name]],SiteDB6[[Site Name]:[Location Type]],8,FALSE)</f>
        <v>Camp</v>
      </c>
      <c r="H330" s="644" t="s">
        <v>440</v>
      </c>
      <c r="I330" s="850">
        <v>1139</v>
      </c>
      <c r="J330" s="646">
        <v>6016</v>
      </c>
      <c r="K330" s="653"/>
      <c r="L330" s="654">
        <v>44104</v>
      </c>
      <c r="M330" s="646"/>
      <c r="N330" s="646"/>
      <c r="O330" s="646"/>
      <c r="P330" s="646" t="s">
        <v>2941</v>
      </c>
      <c r="Q330" s="645"/>
      <c r="R330" s="646"/>
      <c r="S330" s="646"/>
      <c r="T330" s="646"/>
      <c r="U330" s="646"/>
      <c r="V330" s="646"/>
      <c r="W330" s="646">
        <v>47</v>
      </c>
      <c r="X330" s="646"/>
      <c r="Y330" s="646">
        <v>8</v>
      </c>
      <c r="Z330" s="646">
        <v>37</v>
      </c>
      <c r="AA330" s="646"/>
      <c r="AB330" s="646"/>
      <c r="AC330" s="646"/>
      <c r="AD330" s="646"/>
      <c r="AE330" s="646"/>
      <c r="AF330" s="646"/>
      <c r="AG330" s="646"/>
      <c r="AH330" s="646">
        <v>47</v>
      </c>
      <c r="AI330" s="646">
        <v>42</v>
      </c>
      <c r="AJ330" s="646"/>
      <c r="AK330" s="646">
        <v>95</v>
      </c>
      <c r="AL330" s="646">
        <v>4</v>
      </c>
      <c r="AM330" s="646"/>
      <c r="AN330" s="646"/>
      <c r="AO330" s="652"/>
      <c r="AP330" s="646">
        <v>243</v>
      </c>
      <c r="AQ330" s="646"/>
      <c r="AR330" s="648"/>
      <c r="AS330" s="646">
        <v>56</v>
      </c>
      <c r="AT330" s="646">
        <v>106</v>
      </c>
      <c r="AU330" s="646">
        <v>110</v>
      </c>
      <c r="AV330" s="646"/>
      <c r="AW330" s="646">
        <v>243</v>
      </c>
      <c r="AX330" s="643" t="s">
        <v>43</v>
      </c>
      <c r="AY330" s="652" t="s">
        <v>145</v>
      </c>
      <c r="AZ330" s="646"/>
      <c r="BA330" s="646"/>
      <c r="BB330" s="646"/>
      <c r="BC330" s="643"/>
      <c r="BD330" s="646"/>
      <c r="BE330" s="646"/>
      <c r="BF330" s="646"/>
      <c r="BG330" s="646"/>
      <c r="BH330" s="646"/>
      <c r="BI330" s="646">
        <v>9</v>
      </c>
      <c r="BJ330" s="646">
        <v>4</v>
      </c>
      <c r="BK330" s="646">
        <v>1134</v>
      </c>
      <c r="BL330" s="646">
        <v>1134</v>
      </c>
      <c r="BM330" s="643"/>
      <c r="BN330" s="647">
        <v>49</v>
      </c>
      <c r="BO330" s="648"/>
      <c r="BP330" s="643"/>
      <c r="BQ330" s="649">
        <f>IFERROR(WWWW[[#This Row],['#_Water sources treated]]/WWWW[[#This Row],['#_Water sources tested for contamination]],"no test")</f>
        <v>0</v>
      </c>
      <c r="BR330" s="648">
        <f>IFERROR(WWWW[[#This Row],['#_Household received remediation action due to contamination]]/WWWW[[#This Row],['#_Household water samples tested for contamination]],"no test")</f>
        <v>4.2105263157894736E-2</v>
      </c>
      <c r="BS330" s="647" t="str">
        <f>IF(AND(WWWW[[#This Row],[% of water sources treated]]="no test",WWWW[[#This Row],[% Household received corrective actions]]="no test"),"No Test","Tested")</f>
        <v>Tested</v>
      </c>
      <c r="BT330" s="647">
        <f>WWWW[[#This Row],['#_Constructed/existing protected hand dug well]]-WWWW[[#This Row],['#_Non-functional protected hand dug well]]</f>
        <v>0</v>
      </c>
      <c r="BU330" s="647">
        <f>(WWWW[[#This Row],['#_Constructed/Existing tube wells/boreholes/handpumps_WASH_agency]]+WWWW[[#This Row],['#_Non-Cluster partner water tube-wells/boreholes/handpumps]])-WWWW[[#This Row],['#_Non-functional tube wells/boreholes/handpumps]]</f>
        <v>39</v>
      </c>
      <c r="BV330" s="647">
        <f>WWWW[[#This Row],['#_Constructed/Existingwater storage tank with gravity fed reticulation system]]-WWWW[[#This Row],['#_Non-functional storage tank gravity fed reticulation system]]</f>
        <v>0</v>
      </c>
      <c r="BW330" s="647">
        <f>WWWW[[#This Row],['#_Water boating or water trucking]]</f>
        <v>0</v>
      </c>
      <c r="BX330" s="647">
        <f>WWWW[[#This Row],['#_Constructed/Existing water distribution system from river or natural spring]]</f>
        <v>0</v>
      </c>
      <c r="BY330"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330"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330" s="648">
        <f>IF(WWWW[[#This Row],[Location Type 1]]="Village",WWWW[[#This Row],[Access to safe drinking water for Village]],WWWW[[#This Row],[Access to safe drinking water for Camp]])</f>
        <v>1</v>
      </c>
      <c r="CB330" s="645">
        <f>WWWW[[#This Row],[%Equitable and continuous access to sufficient quantity of safe drinking water]]*WWWW[[#This Row],[Total PoP ]]</f>
        <v>6016</v>
      </c>
      <c r="CC330" s="648">
        <f>IF((WWWW[[#This Row],['#_Constructed/Existing protected/fenced ponds]]*250)/WWWW[[#This Row],[Total PoP ]]&gt;1,1,(WWWW[[#This Row],['#_Constructed/Existing protected/fenced ponds]]*250)/WWWW[[#This Row],[Total PoP ]])</f>
        <v>0</v>
      </c>
      <c r="CD330" s="645">
        <f>WWWW[[#This Row],[% Access to unimproved water points]]*WWWW[[#This Row],[Total PoP ]]</f>
        <v>0</v>
      </c>
      <c r="CE330"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30"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6016</v>
      </c>
      <c r="CG330" s="645">
        <f>WWWW[[#This Row],[HRP1]]/500</f>
        <v>12.032</v>
      </c>
      <c r="CH330" s="650">
        <f>1-WWWW[[#This Row],[% Equitable and continuous access to sufficient quantity of domestic water]]</f>
        <v>0</v>
      </c>
      <c r="CI330" s="645">
        <f>WWWW[[#This Row],[%equitable and continuous access to sufficient quantity of safe drinking and domestic water''s GAP]]*WWWW[[#This Row],[Total PoP ]]</f>
        <v>0</v>
      </c>
      <c r="CJ330" s="647">
        <f>IF(WWWW[[#This Row],[Total required water points]]-WWWW[[#This Row],['#Water points coverage]]&lt;0,0,WWWW[[#This Row],[Total required water points]]-WWWW[[#This Row],['#Water points coverage]])</f>
        <v>0</v>
      </c>
      <c r="CK330" s="647">
        <f>ROUND(IF(WWWW[[#This Row],[Total PoP ]]&lt;500,1,WWWW[[#This Row],[Total PoP ]]/500),0)</f>
        <v>12</v>
      </c>
      <c r="CL330" s="647">
        <f>(WWWW[[#This Row],['#_Constructed latrines_by_WASHAgencies]]+WWWW[[#This Row],['#_Non Cluster partner latrines]])-WWWW[[#This Row],['#_Non-functional latrines]]</f>
        <v>187</v>
      </c>
      <c r="CM330"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0.62167553191489366</v>
      </c>
      <c r="CN330"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3740</v>
      </c>
      <c r="CO330"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2200</v>
      </c>
      <c r="CP330" s="647">
        <f>IF(WWWW[[#This Row],[Location Type 1]]="Village","NA",IF(WWWW[[#This Row],['#_Constructed/Existing latrines in TLS]]*50&gt;WWWW[[#This Row],['#_students at TLS_CFS]],WWWW[[#This Row],['#_students at TLS_CFS]],(WWWW[[#This Row],['#_Constructed/Existing latrines in TLS]]*50)))</f>
        <v>0</v>
      </c>
      <c r="CQ330" s="647">
        <f>ROUND(IF(WWWW[[#This Row],[Location Type 1]]="camp",WWWW[[#This Row],[Total PoP ]]/20,IF(WWWW[[#This Row],[Location Type 1]]="Temporary Location",WWWW[[#This Row],[Total PoP ]]/50,(WWWW[[#This Row],[Total PoP ]]/6))),0)</f>
        <v>301</v>
      </c>
      <c r="CR330" s="647">
        <f>IF(WWWW[[#This Row],[Total required Latrines]]-(WWWW[[#This Row],['#_Constructed latrines_by_WASHAgencies]]+WWWW[[#This Row],['#_Non Cluster partner latrines]])&lt;0,0,WWWW[[#This Row],[Total required Latrines]]-(WWWW[[#This Row],['#_Constructed latrines_by_WASHAgencies]]+WWWW[[#This Row],['#_Non Cluster partner latrines]]))</f>
        <v>58</v>
      </c>
      <c r="CS330" s="79">
        <f>1-WWWW[[#This Row],[% people access to functioning Latrine]]</f>
        <v>0.37832446808510634</v>
      </c>
      <c r="CT330" s="649">
        <f>IF(OR(WWWW[[#This Row],['#_Non-functional latrines]]="",WWWW[[#This Row],['#_Non-functional latrines]]=0),0,WWWW[[#This Row],['#_Non-functional latrines]]/(WWWW[[#This Row],['#_Constructed latrines_by_WASHAgencies]]+WWWW[[#This Row],['#_Non Cluster partner latrines]]))</f>
        <v>0.23045267489711935</v>
      </c>
      <c r="CU330" s="645">
        <f>IF(500*(WWWW[[#This Row],['#_male hygiene promoters]]+WWWW[[#This Row],['#_female hygiene promoters]])&gt;WWWW[[#This Row],[Total PoP ]],WWWW[[#This Row],[Total PoP ]],500*(WWWW[[#This Row],['#_male hygiene promoters]]+WWWW[[#This Row],['#_female hygiene promoters]]))</f>
        <v>6016</v>
      </c>
      <c r="CV330"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5670</v>
      </c>
      <c r="CW330"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5670</v>
      </c>
      <c r="CX330" s="647">
        <f>IF(WWWW[[#This Row],['# People with access to soap]]&gt;WWWW[[#This Row],['# People with access to Sanity Pads]],WWWW[[#This Row],['# People with access to soap]],WWWW[[#This Row],['# People with access to Sanity Pads]])</f>
        <v>5670</v>
      </c>
      <c r="CY330" s="647">
        <f>IF(WWWW[[#This Row],['# people reached by regular dedicated hygiene promotion_5]]&gt;WWWW[[#This Row],['# People received regular supply of hygiene items_6]],WWWW[[#This Row],['# people reached by regular dedicated hygiene promotion_5]],WWWW[[#This Row],['# People received regular supply of hygiene items_6]])</f>
        <v>6016</v>
      </c>
      <c r="CZ330" s="650">
        <f>IF(WWWW[[#This Row],[HRP3]]/WWWW[[#This Row],[Total PoP ]]&gt;100%,100%,WWWW[[#This Row],[HRP3]]/WWWW[[#This Row],[Total PoP ]])</f>
        <v>1</v>
      </c>
      <c r="DA330" s="649">
        <f>1-WWWW[[#This Row],[Hygiene Coverage%]]</f>
        <v>0</v>
      </c>
      <c r="DB330" s="648">
        <f>WWWW[[#This Row],['# people reached by regular dedicated hygiene promotion_5]]/WWWW[[#This Row],[Total PoP ]]</f>
        <v>1</v>
      </c>
      <c r="DC330" s="648">
        <f>IF(WWWW[[#This Row],['#_households that received standard amount of soap for this quarter]]/WWWW[[#This Row],[Total HH]]&gt;1,1,WWWW[[#This Row],['#_households that received standard amount of soap for this quarter]]/WWWW[[#This Row],[Total HH]])</f>
        <v>0.99561018437225635</v>
      </c>
      <c r="DD330" s="648">
        <f>IF(WWWW[[#This Row],['#_households that received standard amount of sanitary pads for this quarter]]/WWWW[[#This Row],[Total HH]]&gt;1,1,WWWW[[#This Row],['#_households that received standard amount of sanitary pads for this quarter]]/WWWW[[#This Row],[Total HH]])</f>
        <v>0.99561018437225635</v>
      </c>
      <c r="DE330" s="647">
        <f>WWWW[[#This Row],['#_Constructed/Existing hand washing stations]]-WWWW[[#This Row],['#_Non-Functional_hand_washing_stations]]</f>
        <v>0</v>
      </c>
      <c r="DF330" s="667">
        <f>IF(WWWW[[#This Row],['# Functional hand washing stations during reporting period]]*20&gt;WWWW[[#This Row],[Total HH]],WWWW[[#This Row],[Total HH]],WWWW[[#This Row],['# Functional hand washing stations during reporting period]]*20)</f>
        <v>0</v>
      </c>
      <c r="DG330" s="645">
        <f>IF(WWWW[[#This Row],[Is sufficient soap available for TLS? (Yes/No)]]="yes",WWWW[[#This Row],['#_Constructed/Existing hand washing stations at TLS]],0)</f>
        <v>0</v>
      </c>
      <c r="DH330" s="645">
        <f>IF(WWWW[[#This Row],['# Functional hand washing stations during reporting period]]*100&gt;WWWW[[#This Row],[Total PoP ]],WWWW[[#This Row],[Total PoP ]],WWWW[[#This Row],['# Functional hand washing stations during reporting period]]*100)</f>
        <v>0</v>
      </c>
      <c r="DI330" s="645" t="str">
        <f>IF(WWWW[[#This Row],['#_students at TLS_CFS]]="","No","Yes")</f>
        <v>No</v>
      </c>
      <c r="DJ330" s="643" t="str">
        <f>VLOOKUP(WWWW[[#This Row],[Site Name]],SiteDB6[[Site Name]:[CCCM Management]],6,FALSE)</f>
        <v>Yes</v>
      </c>
      <c r="DK330" s="643">
        <f>VLOOKUP(WWWW[[#This Row],[Site Name]],SiteDB6[[Site Name]:[CCCM Focal Agency]],7,FALSE)</f>
        <v>0</v>
      </c>
      <c r="DL330" s="643" t="str">
        <f>VLOOKUP(WWWW[[#This Row],[Site Name]],SiteDB6[[Site Name]:[Location Type 1]],9,FALSE)</f>
        <v>Camp</v>
      </c>
      <c r="DM330" s="643" t="str">
        <f>VLOOKUP(WWWW[[#This Row],[Site Name]],SiteDB6[[Site Name]:[Type of Accommodation]],10,FALSE)</f>
        <v>Self Settled Camp</v>
      </c>
      <c r="DN330" s="643" t="str">
        <f>VLOOKUP(WWWW[[#This Row],[Site Name]],SiteDB6[[Site Name]:[Ethnic or GCA/NGCA]],11,FALSE)</f>
        <v>Muslim</v>
      </c>
      <c r="DO330" s="643">
        <f>VLOOKUP(WWWW[[#This Row],[Site Name]],SiteDB6[[Site Name]:[Lat]],12,FALSE)</f>
        <v>20.1585</v>
      </c>
      <c r="DP330" s="643">
        <f>VLOOKUP(WWWW[[#This Row],[Site Name]],SiteDB6[[Site Name]:[Long]],13,FALSE)</f>
        <v>92.839416999999997</v>
      </c>
      <c r="DQ330" s="643" t="str">
        <f>VLOOKUP(WWWW[[#This Row],[Site Name]],SiteDB6[[Site Name]:[Pcode]],3,FALSE)</f>
        <v>MMR012CMP046</v>
      </c>
      <c r="DR330" s="652" t="str">
        <f t="shared" si="11"/>
        <v>Covered</v>
      </c>
      <c r="DS330" s="652"/>
    </row>
    <row r="331" spans="1:126">
      <c r="A331" s="637" t="s">
        <v>2525</v>
      </c>
      <c r="B331" s="637" t="s">
        <v>2376</v>
      </c>
      <c r="C331" s="644" t="s">
        <v>2376</v>
      </c>
      <c r="D331" s="644" t="s">
        <v>42</v>
      </c>
      <c r="E331" s="663" t="s">
        <v>3014</v>
      </c>
      <c r="F331" s="644" t="s">
        <v>313</v>
      </c>
      <c r="G331" s="663" t="str">
        <f>VLOOKUP(WWWW[[#This Row],[Site Name]],SiteDB6[[Site Name]:[Location Type]],8,FALSE)</f>
        <v>Village</v>
      </c>
      <c r="H331" s="644" t="s">
        <v>707</v>
      </c>
      <c r="I331" s="646">
        <v>155</v>
      </c>
      <c r="J331" s="646">
        <v>745</v>
      </c>
      <c r="K331" s="653"/>
      <c r="L331" s="654">
        <v>44104</v>
      </c>
      <c r="M331" s="646"/>
      <c r="N331" s="646"/>
      <c r="O331" s="646"/>
      <c r="P331" s="646" t="s">
        <v>2941</v>
      </c>
      <c r="Q331" s="645"/>
      <c r="R331" s="646"/>
      <c r="S331" s="646"/>
      <c r="T331" s="646"/>
      <c r="U331" s="646"/>
      <c r="V331" s="646"/>
      <c r="W331" s="646">
        <v>9</v>
      </c>
      <c r="X331" s="646"/>
      <c r="Y331" s="646">
        <v>0</v>
      </c>
      <c r="Z331" s="646">
        <v>1</v>
      </c>
      <c r="AA331" s="646"/>
      <c r="AB331" s="646"/>
      <c r="AC331" s="646"/>
      <c r="AD331" s="646"/>
      <c r="AE331" s="646"/>
      <c r="AF331" s="646"/>
      <c r="AG331" s="646"/>
      <c r="AH331" s="646">
        <v>9</v>
      </c>
      <c r="AI331" s="646"/>
      <c r="AJ331" s="646"/>
      <c r="AK331" s="646"/>
      <c r="AL331" s="646"/>
      <c r="AM331" s="646"/>
      <c r="AN331" s="646"/>
      <c r="AO331" s="652"/>
      <c r="AP331" s="646"/>
      <c r="AQ331" s="646"/>
      <c r="AR331" s="648"/>
      <c r="AS331" s="646"/>
      <c r="AT331" s="646">
        <v>0</v>
      </c>
      <c r="AU331" s="646">
        <v>0</v>
      </c>
      <c r="AV331" s="646"/>
      <c r="AW331" s="646"/>
      <c r="AX331" s="643" t="s">
        <v>43</v>
      </c>
      <c r="AY331" s="652" t="s">
        <v>148</v>
      </c>
      <c r="AZ331" s="646"/>
      <c r="BA331" s="646"/>
      <c r="BB331" s="646"/>
      <c r="BC331" s="643"/>
      <c r="BD331" s="646"/>
      <c r="BE331" s="646"/>
      <c r="BF331" s="646"/>
      <c r="BG331" s="646"/>
      <c r="BH331" s="646"/>
      <c r="BI331" s="646">
        <v>2</v>
      </c>
      <c r="BJ331" s="646"/>
      <c r="BK331" s="646">
        <v>0</v>
      </c>
      <c r="BL331" s="646">
        <v>0</v>
      </c>
      <c r="BM331" s="643"/>
      <c r="BN331" s="647">
        <v>0</v>
      </c>
      <c r="BO331" s="648"/>
      <c r="BP331" s="643"/>
      <c r="BQ331" s="649" t="str">
        <f>IFERROR(WWWW[[#This Row],['#_Water sources treated]]/WWWW[[#This Row],['#_Water sources tested for contamination]],"no test")</f>
        <v>no test</v>
      </c>
      <c r="BR331" s="648" t="str">
        <f>IFERROR(WWWW[[#This Row],['#_Household received remediation action due to contamination]]/WWWW[[#This Row],['#_Household water samples tested for contamination]],"no test")</f>
        <v>no test</v>
      </c>
      <c r="BS331" s="647" t="str">
        <f>IF(AND(WWWW[[#This Row],[% of water sources treated]]="no test",WWWW[[#This Row],[% Household received corrective actions]]="no test"),"No Test","Tested")</f>
        <v>No Test</v>
      </c>
      <c r="BT331" s="647">
        <f>WWWW[[#This Row],['#_Constructed/existing protected hand dug well]]-WWWW[[#This Row],['#_Non-functional protected hand dug well]]</f>
        <v>0</v>
      </c>
      <c r="BU331" s="647">
        <f>(WWWW[[#This Row],['#_Constructed/Existing tube wells/boreholes/handpumps_WASH_agency]]+WWWW[[#This Row],['#_Non-Cluster partner water tube-wells/boreholes/handpumps]])-WWWW[[#This Row],['#_Non-functional tube wells/boreholes/handpumps]]</f>
        <v>9</v>
      </c>
      <c r="BV331" s="647">
        <f>WWWW[[#This Row],['#_Constructed/Existingwater storage tank with gravity fed reticulation system]]-WWWW[[#This Row],['#_Non-functional storage tank gravity fed reticulation system]]</f>
        <v>0</v>
      </c>
      <c r="BW331" s="647">
        <f>WWWW[[#This Row],['#_Water boating or water trucking]]</f>
        <v>0</v>
      </c>
      <c r="BX331" s="647">
        <f>WWWW[[#This Row],['#_Constructed/Existing water distribution system from river or natural spring]]</f>
        <v>0</v>
      </c>
      <c r="BY331"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331"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331" s="648">
        <f>IF(WWWW[[#This Row],[Location Type 1]]="Village",WWWW[[#This Row],[Access to safe drinking water for Village]],WWWW[[#This Row],[Access to safe drinking water for Camp]])</f>
        <v>1</v>
      </c>
      <c r="CB331" s="645">
        <f>WWWW[[#This Row],[%Equitable and continuous access to sufficient quantity of safe drinking water]]*WWWW[[#This Row],[Total PoP ]]</f>
        <v>745</v>
      </c>
      <c r="CC331" s="648">
        <f>IF((WWWW[[#This Row],['#_Constructed/Existing protected/fenced ponds]]*250)/WWWW[[#This Row],[Total PoP ]]&gt;1,1,(WWWW[[#This Row],['#_Constructed/Existing protected/fenced ponds]]*250)/WWWW[[#This Row],[Total PoP ]])</f>
        <v>0</v>
      </c>
      <c r="CD331" s="645">
        <f>WWWW[[#This Row],[% Access to unimproved water points]]*WWWW[[#This Row],[Total PoP ]]</f>
        <v>0</v>
      </c>
      <c r="CE331"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31"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745</v>
      </c>
      <c r="CG331" s="645">
        <f>WWWW[[#This Row],[HRP1]]/500</f>
        <v>1.49</v>
      </c>
      <c r="CH331" s="650">
        <f>1-WWWW[[#This Row],[% Equitable and continuous access to sufficient quantity of domestic water]]</f>
        <v>0</v>
      </c>
      <c r="CI331" s="645">
        <f>WWWW[[#This Row],[%equitable and continuous access to sufficient quantity of safe drinking and domestic water''s GAP]]*WWWW[[#This Row],[Total PoP ]]</f>
        <v>0</v>
      </c>
      <c r="CJ331" s="647">
        <f>IF(WWWW[[#This Row],[Total required water points]]-WWWW[[#This Row],['#Water points coverage]]&lt;0,0,WWWW[[#This Row],[Total required water points]]-WWWW[[#This Row],['#Water points coverage]])</f>
        <v>0</v>
      </c>
      <c r="CK331" s="647">
        <f>ROUND(IF(WWWW[[#This Row],[Total PoP ]]&lt;500,1,WWWW[[#This Row],[Total PoP ]]/500),0)</f>
        <v>1</v>
      </c>
      <c r="CL331" s="647">
        <f>(WWWW[[#This Row],['#_Constructed latrines_by_WASHAgencies]]+WWWW[[#This Row],['#_Non Cluster partner latrines]])-WWWW[[#This Row],['#_Non-functional latrines]]</f>
        <v>0</v>
      </c>
      <c r="CM331"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31"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31"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31" s="647" t="str">
        <f>IF(WWWW[[#This Row],[Location Type 1]]="Village","NA",IF(WWWW[[#This Row],['#_Constructed/Existing latrines in TLS]]*50&gt;WWWW[[#This Row],['#_students at TLS_CFS]],WWWW[[#This Row],['#_students at TLS_CFS]],(WWWW[[#This Row],['#_Constructed/Existing latrines in TLS]]*50)))</f>
        <v>NA</v>
      </c>
      <c r="CQ331" s="647">
        <f>ROUND(IF(WWWW[[#This Row],[Location Type 1]]="camp",WWWW[[#This Row],[Total PoP ]]/20,IF(WWWW[[#This Row],[Location Type 1]]="Temporary Location",WWWW[[#This Row],[Total PoP ]]/50,(WWWW[[#This Row],[Total PoP ]]/6))),0)</f>
        <v>124</v>
      </c>
      <c r="CR331" s="647">
        <f>IF(WWWW[[#This Row],[Total required Latrines]]-(WWWW[[#This Row],['#_Constructed latrines_by_WASHAgencies]]+WWWW[[#This Row],['#_Non Cluster partner latrines]])&lt;0,0,WWWW[[#This Row],[Total required Latrines]]-(WWWW[[#This Row],['#_Constructed latrines_by_WASHAgencies]]+WWWW[[#This Row],['#_Non Cluster partner latrines]]))</f>
        <v>124</v>
      </c>
      <c r="CS331" s="79">
        <f>1-WWWW[[#This Row],[% people access to functioning Latrine]]</f>
        <v>1</v>
      </c>
      <c r="CT331" s="649">
        <f>IF(OR(WWWW[[#This Row],['#_Non-functional latrines]]="",WWWW[[#This Row],['#_Non-functional latrines]]=0),0,WWWW[[#This Row],['#_Non-functional latrines]]/(WWWW[[#This Row],['#_Constructed latrines_by_WASHAgencies]]+WWWW[[#This Row],['#_Non Cluster partner latrines]]))</f>
        <v>0</v>
      </c>
      <c r="CU331" s="645">
        <f>IF(500*(WWWW[[#This Row],['#_male hygiene promoters]]+WWWW[[#This Row],['#_female hygiene promoters]])&gt;WWWW[[#This Row],[Total PoP ]],WWWW[[#This Row],[Total PoP ]],500*(WWWW[[#This Row],['#_male hygiene promoters]]+WWWW[[#This Row],['#_female hygiene promoters]]))</f>
        <v>745</v>
      </c>
      <c r="CV331"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31"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31" s="647">
        <f>IF(WWWW[[#This Row],['# People with access to soap]]&gt;WWWW[[#This Row],['# People with access to Sanity Pads]],WWWW[[#This Row],['# People with access to soap]],WWWW[[#This Row],['# People with access to Sanity Pads]])</f>
        <v>0</v>
      </c>
      <c r="CY331" s="647">
        <f>IF(WWWW[[#This Row],['# people reached by regular dedicated hygiene promotion_5]]&gt;WWWW[[#This Row],['# People received regular supply of hygiene items_6]],WWWW[[#This Row],['# people reached by regular dedicated hygiene promotion_5]],WWWW[[#This Row],['# People received regular supply of hygiene items_6]])</f>
        <v>745</v>
      </c>
      <c r="CZ331" s="650">
        <f>IF(WWWW[[#This Row],[HRP3]]/WWWW[[#This Row],[Total PoP ]]&gt;100%,100%,WWWW[[#This Row],[HRP3]]/WWWW[[#This Row],[Total PoP ]])</f>
        <v>1</v>
      </c>
      <c r="DA331" s="649">
        <f>1-WWWW[[#This Row],[Hygiene Coverage%]]</f>
        <v>0</v>
      </c>
      <c r="DB331" s="648">
        <f>WWWW[[#This Row],['# people reached by regular dedicated hygiene promotion_5]]/WWWW[[#This Row],[Total PoP ]]</f>
        <v>1</v>
      </c>
      <c r="DC331" s="648">
        <f>IF(WWWW[[#This Row],['#_households that received standard amount of soap for this quarter]]/WWWW[[#This Row],[Total HH]]&gt;1,1,WWWW[[#This Row],['#_households that received standard amount of soap for this quarter]]/WWWW[[#This Row],[Total HH]])</f>
        <v>0</v>
      </c>
      <c r="DD331" s="648">
        <f>IF(WWWW[[#This Row],['#_households that received standard amount of sanitary pads for this quarter]]/WWWW[[#This Row],[Total HH]]&gt;1,1,WWWW[[#This Row],['#_households that received standard amount of sanitary pads for this quarter]]/WWWW[[#This Row],[Total HH]])</f>
        <v>0</v>
      </c>
      <c r="DE331" s="647">
        <f>WWWW[[#This Row],['#_Constructed/Existing hand washing stations]]-WWWW[[#This Row],['#_Non-Functional_hand_washing_stations]]</f>
        <v>0</v>
      </c>
      <c r="DF331" s="667">
        <f>IF(WWWW[[#This Row],['# Functional hand washing stations during reporting period]]*20&gt;WWWW[[#This Row],[Total HH]],WWWW[[#This Row],[Total HH]],WWWW[[#This Row],['# Functional hand washing stations during reporting period]]*20)</f>
        <v>0</v>
      </c>
      <c r="DG331" s="645">
        <f>IF(WWWW[[#This Row],[Is sufficient soap available for TLS? (Yes/No)]]="yes",WWWW[[#This Row],['#_Constructed/Existing hand washing stations at TLS]],0)</f>
        <v>0</v>
      </c>
      <c r="DH331" s="645">
        <f>IF(WWWW[[#This Row],['# Functional hand washing stations during reporting period]]*100&gt;WWWW[[#This Row],[Total PoP ]],WWWW[[#This Row],[Total PoP ]],WWWW[[#This Row],['# Functional hand washing stations during reporting period]]*100)</f>
        <v>0</v>
      </c>
      <c r="DI331" s="645" t="str">
        <f>IF(WWWW[[#This Row],['#_students at TLS_CFS]]="","No","Yes")</f>
        <v>No</v>
      </c>
      <c r="DJ331" s="643">
        <f>VLOOKUP(WWWW[[#This Row],[Site Name]],SiteDB6[[Site Name]:[CCCM Management]],6,FALSE)</f>
        <v>0</v>
      </c>
      <c r="DK331" s="643">
        <f>VLOOKUP(WWWW[[#This Row],[Site Name]],SiteDB6[[Site Name]:[CCCM Focal Agency]],7,FALSE)</f>
        <v>0</v>
      </c>
      <c r="DL331" s="643" t="str">
        <f>VLOOKUP(WWWW[[#This Row],[Site Name]],SiteDB6[[Site Name]:[Location Type 1]],9,FALSE)</f>
        <v>Village</v>
      </c>
      <c r="DM331" s="643" t="str">
        <f>VLOOKUP(WWWW[[#This Row],[Site Name]],SiteDB6[[Site Name]:[Type of Accommodation]],10,FALSE)</f>
        <v>Village</v>
      </c>
      <c r="DN331" s="643" t="str">
        <f>VLOOKUP(WWWW[[#This Row],[Site Name]],SiteDB6[[Site Name]:[Ethnic or GCA/NGCA]],11,FALSE)</f>
        <v>Rakhine</v>
      </c>
      <c r="DO331" s="643">
        <f>VLOOKUP(WWWW[[#This Row],[Site Name]],SiteDB6[[Site Name]:[Lat]],12,FALSE)</f>
        <v>20.16259956</v>
      </c>
      <c r="DP331" s="643">
        <f>VLOOKUP(WWWW[[#This Row],[Site Name]],SiteDB6[[Site Name]:[Long]],13,FALSE)</f>
        <v>92.834457400000005</v>
      </c>
      <c r="DQ331" s="643">
        <f>VLOOKUP(WWWW[[#This Row],[Site Name]],SiteDB6[[Site Name]:[Pcode]],3,FALSE)</f>
        <v>196210</v>
      </c>
      <c r="DR331" s="652" t="str">
        <f t="shared" si="11"/>
        <v>Covered</v>
      </c>
      <c r="DS331" s="652"/>
    </row>
    <row r="332" spans="1:126">
      <c r="A332" s="637" t="s">
        <v>2525</v>
      </c>
      <c r="B332" s="637" t="s">
        <v>2376</v>
      </c>
      <c r="C332" s="644" t="s">
        <v>2376</v>
      </c>
      <c r="D332" s="644"/>
      <c r="E332" s="663" t="s">
        <v>3014</v>
      </c>
      <c r="F332" s="644" t="s">
        <v>313</v>
      </c>
      <c r="G332" s="663" t="str">
        <f>VLOOKUP(WWWW[[#This Row],[Site Name]],SiteDB6[[Site Name]:[Location Type]],8,FALSE)</f>
        <v>Village</v>
      </c>
      <c r="H332" s="644" t="s">
        <v>439</v>
      </c>
      <c r="I332" s="646">
        <v>1009</v>
      </c>
      <c r="J332" s="646">
        <v>5579</v>
      </c>
      <c r="K332" s="653"/>
      <c r="L332" s="654"/>
      <c r="M332" s="646"/>
      <c r="N332" s="646"/>
      <c r="O332" s="646"/>
      <c r="P332" s="646" t="s">
        <v>2941</v>
      </c>
      <c r="Q332" s="645"/>
      <c r="R332" s="646"/>
      <c r="S332" s="646"/>
      <c r="T332" s="646"/>
      <c r="U332" s="646"/>
      <c r="V332" s="646"/>
      <c r="W332" s="646">
        <v>16</v>
      </c>
      <c r="X332" s="646"/>
      <c r="Y332" s="646">
        <v>2</v>
      </c>
      <c r="Z332" s="646">
        <v>4</v>
      </c>
      <c r="AA332" s="646"/>
      <c r="AB332" s="646"/>
      <c r="AC332" s="646"/>
      <c r="AD332" s="646"/>
      <c r="AE332" s="646"/>
      <c r="AF332" s="646"/>
      <c r="AG332" s="646"/>
      <c r="AH332" s="646">
        <v>16</v>
      </c>
      <c r="AI332" s="646"/>
      <c r="AJ332" s="646"/>
      <c r="AK332" s="646"/>
      <c r="AL332" s="646"/>
      <c r="AM332" s="646"/>
      <c r="AN332" s="646"/>
      <c r="AO332" s="652"/>
      <c r="AP332" s="646"/>
      <c r="AQ332" s="646"/>
      <c r="AR332" s="648"/>
      <c r="AS332" s="646"/>
      <c r="AT332" s="646">
        <v>0</v>
      </c>
      <c r="AU332" s="646">
        <v>0</v>
      </c>
      <c r="AV332" s="646"/>
      <c r="AW332" s="646"/>
      <c r="AX332" s="643" t="s">
        <v>43</v>
      </c>
      <c r="AY332" s="652" t="s">
        <v>148</v>
      </c>
      <c r="AZ332" s="646"/>
      <c r="BA332" s="646"/>
      <c r="BB332" s="646"/>
      <c r="BC332" s="643"/>
      <c r="BD332" s="646"/>
      <c r="BE332" s="646"/>
      <c r="BF332" s="646"/>
      <c r="BG332" s="646"/>
      <c r="BH332" s="646"/>
      <c r="BI332" s="646">
        <v>4</v>
      </c>
      <c r="BJ332" s="646">
        <v>1</v>
      </c>
      <c r="BK332" s="646">
        <v>757</v>
      </c>
      <c r="BL332" s="646">
        <v>757</v>
      </c>
      <c r="BM332" s="643"/>
      <c r="BN332" s="647">
        <v>0</v>
      </c>
      <c r="BO332" s="648"/>
      <c r="BP332" s="643"/>
      <c r="BQ332" s="649" t="str">
        <f>IFERROR(WWWW[[#This Row],['#_Water sources treated]]/WWWW[[#This Row],['#_Water sources tested for contamination]],"no test")</f>
        <v>no test</v>
      </c>
      <c r="BR332" s="648" t="str">
        <f>IFERROR(WWWW[[#This Row],['#_Household received remediation action due to contamination]]/WWWW[[#This Row],['#_Household water samples tested for contamination]],"no test")</f>
        <v>no test</v>
      </c>
      <c r="BS332" s="647" t="str">
        <f>IF(AND(WWWW[[#This Row],[% of water sources treated]]="no test",WWWW[[#This Row],[% Household received corrective actions]]="no test"),"No Test","Tested")</f>
        <v>No Test</v>
      </c>
      <c r="BT332" s="647">
        <f>WWWW[[#This Row],['#_Constructed/existing protected hand dug well]]-WWWW[[#This Row],['#_Non-functional protected hand dug well]]</f>
        <v>0</v>
      </c>
      <c r="BU332" s="647">
        <f>(WWWW[[#This Row],['#_Constructed/Existing tube wells/boreholes/handpumps_WASH_agency]]+WWWW[[#This Row],['#_Non-Cluster partner water tube-wells/boreholes/handpumps]])-WWWW[[#This Row],['#_Non-functional tube wells/boreholes/handpumps]]</f>
        <v>14</v>
      </c>
      <c r="BV332" s="647">
        <f>WWWW[[#This Row],['#_Constructed/Existingwater storage tank with gravity fed reticulation system]]-WWWW[[#This Row],['#_Non-functional storage tank gravity fed reticulation system]]</f>
        <v>0</v>
      </c>
      <c r="BW332" s="647">
        <f>WWWW[[#This Row],['#_Water boating or water trucking]]</f>
        <v>0</v>
      </c>
      <c r="BX332" s="647">
        <f>WWWW[[#This Row],['#_Constructed/Existing water distribution system from river or natural spring]]</f>
        <v>0</v>
      </c>
      <c r="BY332"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332"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0.62735257214554585</v>
      </c>
      <c r="CA332" s="648">
        <f>IF(WWWW[[#This Row],[Location Type 1]]="Village",WWWW[[#This Row],[Access to safe drinking water for Village]],WWWW[[#This Row],[Access to safe drinking water for Camp]])</f>
        <v>0.62735257214554585</v>
      </c>
      <c r="CB332" s="645">
        <f>WWWW[[#This Row],[%Equitable and continuous access to sufficient quantity of safe drinking water]]*WWWW[[#This Row],[Total PoP ]]</f>
        <v>3500.0000000000005</v>
      </c>
      <c r="CC332" s="648">
        <f>IF((WWWW[[#This Row],['#_Constructed/Existing protected/fenced ponds]]*250)/WWWW[[#This Row],[Total PoP ]]&gt;1,1,(WWWW[[#This Row],['#_Constructed/Existing protected/fenced ponds]]*250)/WWWW[[#This Row],[Total PoP ]])</f>
        <v>0</v>
      </c>
      <c r="CD332" s="645">
        <f>WWWW[[#This Row],[% Access to unimproved water points]]*WWWW[[#This Row],[Total PoP ]]</f>
        <v>0</v>
      </c>
      <c r="CE332"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0.62735257214554585</v>
      </c>
      <c r="CF332"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3500.0000000000005</v>
      </c>
      <c r="CG332" s="645">
        <f>WWWW[[#This Row],[HRP1]]/500</f>
        <v>7.0000000000000009</v>
      </c>
      <c r="CH332" s="650">
        <f>1-WWWW[[#This Row],[% Equitable and continuous access to sufficient quantity of domestic water]]</f>
        <v>0.37264742785445415</v>
      </c>
      <c r="CI332" s="645">
        <f>WWWW[[#This Row],[%equitable and continuous access to sufficient quantity of safe drinking and domestic water''s GAP]]*WWWW[[#This Row],[Total PoP ]]</f>
        <v>2078.9999999999995</v>
      </c>
      <c r="CJ332" s="647">
        <f>IF(WWWW[[#This Row],[Total required water points]]-WWWW[[#This Row],['#Water points coverage]]&lt;0,0,WWWW[[#This Row],[Total required water points]]-WWWW[[#This Row],['#Water points coverage]])</f>
        <v>3.9999999999999991</v>
      </c>
      <c r="CK332" s="647">
        <f>ROUND(IF(WWWW[[#This Row],[Total PoP ]]&lt;500,1,WWWW[[#This Row],[Total PoP ]]/500),0)</f>
        <v>11</v>
      </c>
      <c r="CL332" s="647">
        <f>(WWWW[[#This Row],['#_Constructed latrines_by_WASHAgencies]]+WWWW[[#This Row],['#_Non Cluster partner latrines]])-WWWW[[#This Row],['#_Non-functional latrines]]</f>
        <v>0</v>
      </c>
      <c r="CM332"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32"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32"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32" s="647" t="str">
        <f>IF(WWWW[[#This Row],[Location Type 1]]="Village","NA",IF(WWWW[[#This Row],['#_Constructed/Existing latrines in TLS]]*50&gt;WWWW[[#This Row],['#_students at TLS_CFS]],WWWW[[#This Row],['#_students at TLS_CFS]],(WWWW[[#This Row],['#_Constructed/Existing latrines in TLS]]*50)))</f>
        <v>NA</v>
      </c>
      <c r="CQ332" s="647">
        <f>ROUND(IF(WWWW[[#This Row],[Location Type 1]]="camp",WWWW[[#This Row],[Total PoP ]]/20,IF(WWWW[[#This Row],[Location Type 1]]="Temporary Location",WWWW[[#This Row],[Total PoP ]]/50,(WWWW[[#This Row],[Total PoP ]]/6))),0)</f>
        <v>930</v>
      </c>
      <c r="CR332" s="647">
        <f>IF(WWWW[[#This Row],[Total required Latrines]]-(WWWW[[#This Row],['#_Constructed latrines_by_WASHAgencies]]+WWWW[[#This Row],['#_Non Cluster partner latrines]])&lt;0,0,WWWW[[#This Row],[Total required Latrines]]-(WWWW[[#This Row],['#_Constructed latrines_by_WASHAgencies]]+WWWW[[#This Row],['#_Non Cluster partner latrines]]))</f>
        <v>930</v>
      </c>
      <c r="CS332" s="79">
        <f>1-WWWW[[#This Row],[% people access to functioning Latrine]]</f>
        <v>1</v>
      </c>
      <c r="CT332" s="649">
        <f>IF(OR(WWWW[[#This Row],['#_Non-functional latrines]]="",WWWW[[#This Row],['#_Non-functional latrines]]=0),0,WWWW[[#This Row],['#_Non-functional latrines]]/(WWWW[[#This Row],['#_Constructed latrines_by_WASHAgencies]]+WWWW[[#This Row],['#_Non Cluster partner latrines]]))</f>
        <v>0</v>
      </c>
      <c r="CU332" s="645">
        <f>IF(500*(WWWW[[#This Row],['#_male hygiene promoters]]+WWWW[[#This Row],['#_female hygiene promoters]])&gt;WWWW[[#This Row],[Total PoP ]],WWWW[[#This Row],[Total PoP ]],500*(WWWW[[#This Row],['#_male hygiene promoters]]+WWWW[[#This Row],['#_female hygiene promoters]]))</f>
        <v>2500</v>
      </c>
      <c r="CV332"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3785</v>
      </c>
      <c r="CW332"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3785</v>
      </c>
      <c r="CX332" s="647">
        <f>IF(WWWW[[#This Row],['# People with access to soap]]&gt;WWWW[[#This Row],['# People with access to Sanity Pads]],WWWW[[#This Row],['# People with access to soap]],WWWW[[#This Row],['# People with access to Sanity Pads]])</f>
        <v>3785</v>
      </c>
      <c r="CY332" s="647">
        <f>IF(WWWW[[#This Row],['# people reached by regular dedicated hygiene promotion_5]]&gt;WWWW[[#This Row],['# People received regular supply of hygiene items_6]],WWWW[[#This Row],['# people reached by regular dedicated hygiene promotion_5]],WWWW[[#This Row],['# People received regular supply of hygiene items_6]])</f>
        <v>3785</v>
      </c>
      <c r="CZ332" s="650">
        <f>IF(WWWW[[#This Row],[HRP3]]/WWWW[[#This Row],[Total PoP ]]&gt;100%,100%,WWWW[[#This Row],[HRP3]]/WWWW[[#This Row],[Total PoP ]])</f>
        <v>0.67843699587739736</v>
      </c>
      <c r="DA332" s="649">
        <f>1-WWWW[[#This Row],[Hygiene Coverage%]]</f>
        <v>0.32156300412260264</v>
      </c>
      <c r="DB332" s="648">
        <f>WWWW[[#This Row],['# people reached by regular dedicated hygiene promotion_5]]/WWWW[[#This Row],[Total PoP ]]</f>
        <v>0.44810898010396127</v>
      </c>
      <c r="DC332" s="648">
        <f>IF(WWWW[[#This Row],['#_households that received standard amount of soap for this quarter]]/WWWW[[#This Row],[Total HH]]&gt;1,1,WWWW[[#This Row],['#_households that received standard amount of soap for this quarter]]/WWWW[[#This Row],[Total HH]])</f>
        <v>0.7502477700693756</v>
      </c>
      <c r="DD332" s="648">
        <f>IF(WWWW[[#This Row],['#_households that received standard amount of sanitary pads for this quarter]]/WWWW[[#This Row],[Total HH]]&gt;1,1,WWWW[[#This Row],['#_households that received standard amount of sanitary pads for this quarter]]/WWWW[[#This Row],[Total HH]])</f>
        <v>0.7502477700693756</v>
      </c>
      <c r="DE332" s="647">
        <f>WWWW[[#This Row],['#_Constructed/Existing hand washing stations]]-WWWW[[#This Row],['#_Non-Functional_hand_washing_stations]]</f>
        <v>0</v>
      </c>
      <c r="DF332" s="667">
        <f>IF(WWWW[[#This Row],['# Functional hand washing stations during reporting period]]*20&gt;WWWW[[#This Row],[Total HH]],WWWW[[#This Row],[Total HH]],WWWW[[#This Row],['# Functional hand washing stations during reporting period]]*20)</f>
        <v>0</v>
      </c>
      <c r="DG332" s="645">
        <f>IF(WWWW[[#This Row],[Is sufficient soap available for TLS? (Yes/No)]]="yes",WWWW[[#This Row],['#_Constructed/Existing hand washing stations at TLS]],0)</f>
        <v>0</v>
      </c>
      <c r="DH332" s="645">
        <f>IF(WWWW[[#This Row],['# Functional hand washing stations during reporting period]]*100&gt;WWWW[[#This Row],[Total PoP ]],WWWW[[#This Row],[Total PoP ]],WWWW[[#This Row],['# Functional hand washing stations during reporting period]]*100)</f>
        <v>0</v>
      </c>
      <c r="DI332" s="645" t="str">
        <f>IF(WWWW[[#This Row],['#_students at TLS_CFS]]="","No","Yes")</f>
        <v>No</v>
      </c>
      <c r="DJ332" s="643">
        <f>VLOOKUP(WWWW[[#This Row],[Site Name]],SiteDB6[[Site Name]:[CCCM Management]],6,FALSE)</f>
        <v>0</v>
      </c>
      <c r="DK332" s="643">
        <f>VLOOKUP(WWWW[[#This Row],[Site Name]],SiteDB6[[Site Name]:[CCCM Focal Agency]],7,FALSE)</f>
        <v>0</v>
      </c>
      <c r="DL332" s="643" t="str">
        <f>VLOOKUP(WWWW[[#This Row],[Site Name]],SiteDB6[[Site Name]:[Location Type 1]],9,FALSE)</f>
        <v>Village</v>
      </c>
      <c r="DM332" s="643" t="str">
        <f>VLOOKUP(WWWW[[#This Row],[Site Name]],SiteDB6[[Site Name]:[Type of Accommodation]],10,FALSE)</f>
        <v>Village</v>
      </c>
      <c r="DN332" s="643" t="str">
        <f>VLOOKUP(WWWW[[#This Row],[Site Name]],SiteDB6[[Site Name]:[Ethnic or GCA/NGCA]],11,FALSE)</f>
        <v>Muslim</v>
      </c>
      <c r="DO332" s="643">
        <f>VLOOKUP(WWWW[[#This Row],[Site Name]],SiteDB6[[Site Name]:[Lat]],12,FALSE)</f>
        <v>20.15736008</v>
      </c>
      <c r="DP332" s="643">
        <f>VLOOKUP(WWWW[[#This Row],[Site Name]],SiteDB6[[Site Name]:[Long]],13,FALSE)</f>
        <v>92.838653559999997</v>
      </c>
      <c r="DQ332" s="643">
        <f>VLOOKUP(WWWW[[#This Row],[Site Name]],SiteDB6[[Site Name]:[Pcode]],3,FALSE)</f>
        <v>196211</v>
      </c>
      <c r="DR332" s="652" t="str">
        <f t="shared" si="11"/>
        <v>Covered</v>
      </c>
      <c r="DS332" s="652"/>
    </row>
    <row r="333" spans="1:126">
      <c r="A333" s="637" t="s">
        <v>2525</v>
      </c>
      <c r="B333" s="637" t="s">
        <v>2376</v>
      </c>
      <c r="C333" s="644" t="s">
        <v>2376</v>
      </c>
      <c r="D333" s="644"/>
      <c r="E333" s="663" t="s">
        <v>3014</v>
      </c>
      <c r="F333" s="644" t="s">
        <v>313</v>
      </c>
      <c r="G333" s="663" t="str">
        <f>VLOOKUP(WWWW[[#This Row],[Site Name]],SiteDB6[[Site Name]:[Location Type]],8,FALSE)</f>
        <v>Village</v>
      </c>
      <c r="H333" s="644" t="s">
        <v>435</v>
      </c>
      <c r="I333" s="379">
        <v>587</v>
      </c>
      <c r="J333" s="379">
        <v>3558</v>
      </c>
      <c r="K333" s="710"/>
      <c r="L333" s="58"/>
      <c r="M333" s="379"/>
      <c r="N333" s="379"/>
      <c r="O333" s="379"/>
      <c r="P333" s="379"/>
      <c r="Q333" s="702"/>
      <c r="R333" s="379"/>
      <c r="S333" s="379"/>
      <c r="T333" s="379"/>
      <c r="U333" s="379"/>
      <c r="V333" s="379"/>
      <c r="W333" s="379"/>
      <c r="X333" s="379"/>
      <c r="Y333" s="379"/>
      <c r="Z333" s="379"/>
      <c r="AA333" s="379"/>
      <c r="AB333" s="379"/>
      <c r="AC333" s="379"/>
      <c r="AD333" s="379"/>
      <c r="AE333" s="379"/>
      <c r="AF333" s="379"/>
      <c r="AG333" s="379"/>
      <c r="AH333" s="379"/>
      <c r="AI333" s="379"/>
      <c r="AJ333" s="379"/>
      <c r="AK333" s="379"/>
      <c r="AL333" s="379"/>
      <c r="AM333" s="379"/>
      <c r="AN333" s="379"/>
      <c r="AO333" s="703"/>
      <c r="AP333" s="379"/>
      <c r="AQ333" s="379"/>
      <c r="AR333" s="711"/>
      <c r="AS333" s="379"/>
      <c r="AT333" s="379"/>
      <c r="AU333" s="379"/>
      <c r="AV333" s="379"/>
      <c r="AW333" s="379"/>
      <c r="AX333" s="709"/>
      <c r="AY333" s="703"/>
      <c r="AZ333" s="379"/>
      <c r="BA333" s="379"/>
      <c r="BB333" s="379"/>
      <c r="BC333" s="709"/>
      <c r="BD333" s="379"/>
      <c r="BE333" s="379"/>
      <c r="BF333" s="379"/>
      <c r="BG333" s="379"/>
      <c r="BH333" s="379"/>
      <c r="BI333" s="379"/>
      <c r="BJ333" s="379"/>
      <c r="BK333" s="379"/>
      <c r="BL333" s="379"/>
      <c r="BM333" s="709"/>
      <c r="BN333" s="712"/>
      <c r="BO333" s="711"/>
      <c r="BP333" s="709"/>
      <c r="BQ333" s="713" t="str">
        <f>IFERROR(WWWW[[#This Row],['#_Water sources treated]]/WWWW[[#This Row],['#_Water sources tested for contamination]],"no test")</f>
        <v>no test</v>
      </c>
      <c r="BR333" s="711" t="str">
        <f>IFERROR(WWWW[[#This Row],['#_Household received remediation action due to contamination]]/WWWW[[#This Row],['#_Household water samples tested for contamination]],"no test")</f>
        <v>no test</v>
      </c>
      <c r="BS333" s="712" t="str">
        <f>IF(AND(WWWW[[#This Row],[% of water sources treated]]="no test",WWWW[[#This Row],[% Household received corrective actions]]="no test"),"No Test","Tested")</f>
        <v>No Test</v>
      </c>
      <c r="BT333" s="712">
        <f>WWWW[[#This Row],['#_Constructed/existing protected hand dug well]]-WWWW[[#This Row],['#_Non-functional protected hand dug well]]</f>
        <v>0</v>
      </c>
      <c r="BU333" s="712">
        <f>(WWWW[[#This Row],['#_Constructed/Existing tube wells/boreholes/handpumps_WASH_agency]]+WWWW[[#This Row],['#_Non-Cluster partner water tube-wells/boreholes/handpumps]])-WWWW[[#This Row],['#_Non-functional tube wells/boreholes/handpumps]]</f>
        <v>0</v>
      </c>
      <c r="BV333" s="712">
        <f>WWWW[[#This Row],['#_Constructed/Existingwater storage tank with gravity fed reticulation system]]-WWWW[[#This Row],['#_Non-functional storage tank gravity fed reticulation system]]</f>
        <v>0</v>
      </c>
      <c r="BW333" s="712">
        <f>WWWW[[#This Row],['#_Water boating or water trucking]]</f>
        <v>0</v>
      </c>
      <c r="BX333" s="712">
        <f>WWWW[[#This Row],['#_Constructed/Existing water distribution system from river or natural spring]]</f>
        <v>0</v>
      </c>
      <c r="BY333" s="713">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33" s="713">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33" s="711">
        <f>IF(WWWW[[#This Row],[Location Type 1]]="Village",WWWW[[#This Row],[Access to safe drinking water for Village]],WWWW[[#This Row],[Access to safe drinking water for Camp]])</f>
        <v>0</v>
      </c>
      <c r="CB333" s="702">
        <f>WWWW[[#This Row],[%Equitable and continuous access to sufficient quantity of safe drinking water]]*WWWW[[#This Row],[Total PoP ]]</f>
        <v>0</v>
      </c>
      <c r="CC333" s="711">
        <f>IF((WWWW[[#This Row],['#_Constructed/Existing protected/fenced ponds]]*250)/WWWW[[#This Row],[Total PoP ]]&gt;1,1,(WWWW[[#This Row],['#_Constructed/Existing protected/fenced ponds]]*250)/WWWW[[#This Row],[Total PoP ]])</f>
        <v>0</v>
      </c>
      <c r="CD333" s="702">
        <f>WWWW[[#This Row],[% Access to unimproved water points]]*WWWW[[#This Row],[Total PoP ]]</f>
        <v>0</v>
      </c>
      <c r="CE333" s="711">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33" s="70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33" s="702">
        <f>WWWW[[#This Row],[HRP1]]/500</f>
        <v>0</v>
      </c>
      <c r="CH333" s="714">
        <f>1-WWWW[[#This Row],[% Equitable and continuous access to sufficient quantity of domestic water]]</f>
        <v>1</v>
      </c>
      <c r="CI333" s="702">
        <f>WWWW[[#This Row],[%equitable and continuous access to sufficient quantity of safe drinking and domestic water''s GAP]]*WWWW[[#This Row],[Total PoP ]]</f>
        <v>3558</v>
      </c>
      <c r="CJ333" s="712">
        <f>IF(WWWW[[#This Row],[Total required water points]]-WWWW[[#This Row],['#Water points coverage]]&lt;0,0,WWWW[[#This Row],[Total required water points]]-WWWW[[#This Row],['#Water points coverage]])</f>
        <v>7</v>
      </c>
      <c r="CK333" s="712">
        <f>ROUND(IF(WWWW[[#This Row],[Total PoP ]]&lt;500,1,WWWW[[#This Row],[Total PoP ]]/500),0)</f>
        <v>7</v>
      </c>
      <c r="CL333" s="712">
        <f>(WWWW[[#This Row],['#_Constructed latrines_by_WASHAgencies]]+WWWW[[#This Row],['#_Non Cluster partner latrines]])-WWWW[[#This Row],['#_Non-functional latrines]]</f>
        <v>0</v>
      </c>
      <c r="CM333"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33" s="702">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33" s="715"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33" s="712" t="str">
        <f>IF(WWWW[[#This Row],[Location Type 1]]="Village","NA",IF(WWWW[[#This Row],['#_Constructed/Existing latrines in TLS]]*50&gt;WWWW[[#This Row],['#_students at TLS_CFS]],WWWW[[#This Row],['#_students at TLS_CFS]],(WWWW[[#This Row],['#_Constructed/Existing latrines in TLS]]*50)))</f>
        <v>NA</v>
      </c>
      <c r="CQ333" s="712">
        <f>ROUND(IF(WWWW[[#This Row],[Location Type 1]]="camp",WWWW[[#This Row],[Total PoP ]]/20,IF(WWWW[[#This Row],[Location Type 1]]="Temporary Location",WWWW[[#This Row],[Total PoP ]]/50,(WWWW[[#This Row],[Total PoP ]]/6))),0)</f>
        <v>593</v>
      </c>
      <c r="CR333" s="712">
        <f>IF(WWWW[[#This Row],[Total required Latrines]]-(WWWW[[#This Row],['#_Constructed latrines_by_WASHAgencies]]+WWWW[[#This Row],['#_Non Cluster partner latrines]])&lt;0,0,WWWW[[#This Row],[Total required Latrines]]-(WWWW[[#This Row],['#_Constructed latrines_by_WASHAgencies]]+WWWW[[#This Row],['#_Non Cluster partner latrines]]))</f>
        <v>593</v>
      </c>
      <c r="CS333" s="79">
        <f>1-WWWW[[#This Row],[% people access to functioning Latrine]]</f>
        <v>1</v>
      </c>
      <c r="CT333" s="713">
        <f>IF(OR(WWWW[[#This Row],['#_Non-functional latrines]]="",WWWW[[#This Row],['#_Non-functional latrines]]=0),0,WWWW[[#This Row],['#_Non-functional latrines]]/(WWWW[[#This Row],['#_Constructed latrines_by_WASHAgencies]]+WWWW[[#This Row],['#_Non Cluster partner latrines]]))</f>
        <v>0</v>
      </c>
      <c r="CU333" s="702">
        <f>IF(500*(WWWW[[#This Row],['#_male hygiene promoters]]+WWWW[[#This Row],['#_female hygiene promoters]])&gt;WWWW[[#This Row],[Total PoP ]],WWWW[[#This Row],[Total PoP ]],500*(WWWW[[#This Row],['#_male hygiene promoters]]+WWWW[[#This Row],['#_female hygiene promoters]]))</f>
        <v>0</v>
      </c>
      <c r="CV333" s="712">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33" s="712">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33" s="712">
        <f>IF(WWWW[[#This Row],['# People with access to soap]]&gt;WWWW[[#This Row],['# People with access to Sanity Pads]],WWWW[[#This Row],['# People with access to soap]],WWWW[[#This Row],['# People with access to Sanity Pads]])</f>
        <v>0</v>
      </c>
      <c r="CY333" s="712">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33" s="714">
        <f>IF(WWWW[[#This Row],[HRP3]]/WWWW[[#This Row],[Total PoP ]]&gt;100%,100%,WWWW[[#This Row],[HRP3]]/WWWW[[#This Row],[Total PoP ]])</f>
        <v>0</v>
      </c>
      <c r="DA333" s="713">
        <f>1-WWWW[[#This Row],[Hygiene Coverage%]]</f>
        <v>1</v>
      </c>
      <c r="DB333" s="711">
        <f>WWWW[[#This Row],['# people reached by regular dedicated hygiene promotion_5]]/WWWW[[#This Row],[Total PoP ]]</f>
        <v>0</v>
      </c>
      <c r="DC333" s="711">
        <f>IF(WWWW[[#This Row],['#_households that received standard amount of soap for this quarter]]/WWWW[[#This Row],[Total HH]]&gt;1,1,WWWW[[#This Row],['#_households that received standard amount of soap for this quarter]]/WWWW[[#This Row],[Total HH]])</f>
        <v>0</v>
      </c>
      <c r="DD333" s="711">
        <f>IF(WWWW[[#This Row],['#_households that received standard amount of sanitary pads for this quarter]]/WWWW[[#This Row],[Total HH]]&gt;1,1,WWWW[[#This Row],['#_households that received standard amount of sanitary pads for this quarter]]/WWWW[[#This Row],[Total HH]])</f>
        <v>0</v>
      </c>
      <c r="DE333" s="712">
        <f>WWWW[[#This Row],['#_Constructed/Existing hand washing stations]]-WWWW[[#This Row],['#_Non-Functional_hand_washing_stations]]</f>
        <v>0</v>
      </c>
      <c r="DF333" s="667" t="e">
        <f>WWWW[[#This Row],[Total HH]]*#REF!</f>
        <v>#REF!</v>
      </c>
      <c r="DG333" s="702">
        <f>IF(WWWW[[#This Row],[Is sufficient soap available for TLS? (Yes/No)]]="yes",WWWW[[#This Row],['#_Constructed/Existing hand washing stations at TLS]],0)</f>
        <v>0</v>
      </c>
      <c r="DH333" s="702">
        <f>IF(WWWW[[#This Row],['# Functional hand washing stations during reporting period]]*100&gt;WWWW[[#This Row],[Total PoP ]],WWWW[[#This Row],[Total PoP ]],WWWW[[#This Row],['# Functional hand washing stations during reporting period]]*100)</f>
        <v>0</v>
      </c>
      <c r="DI333" s="702" t="str">
        <f>IF(WWWW[[#This Row],['#_students at TLS_CFS]]="","No","Yes")</f>
        <v>No</v>
      </c>
      <c r="DJ333" s="709">
        <f>VLOOKUP(WWWW[[#This Row],[Site Name]],SiteDB6[[Site Name]:[CCCM Management]],6,FALSE)</f>
        <v>0</v>
      </c>
      <c r="DK333" s="709">
        <f>VLOOKUP(WWWW[[#This Row],[Site Name]],SiteDB6[[Site Name]:[CCCM Focal Agency]],7,FALSE)</f>
        <v>0</v>
      </c>
      <c r="DL333" s="709" t="str">
        <f>VLOOKUP(WWWW[[#This Row],[Site Name]],SiteDB6[[Site Name]:[Location Type 1]],9,FALSE)</f>
        <v>Village</v>
      </c>
      <c r="DM333" s="709" t="str">
        <f>VLOOKUP(WWWW[[#This Row],[Site Name]],SiteDB6[[Site Name]:[Type of Accommodation]],10,FALSE)</f>
        <v>Village</v>
      </c>
      <c r="DN333" s="709" t="str">
        <f>VLOOKUP(WWWW[[#This Row],[Site Name]],SiteDB6[[Site Name]:[Ethnic or GCA/NGCA]],11,FALSE)</f>
        <v>Muslim</v>
      </c>
      <c r="DO333" s="709">
        <f>VLOOKUP(WWWW[[#This Row],[Site Name]],SiteDB6[[Site Name]:[Lat]],12,FALSE)</f>
        <v>20.147863431600001</v>
      </c>
      <c r="DP333" s="709">
        <f>VLOOKUP(WWWW[[#This Row],[Site Name]],SiteDB6[[Site Name]:[Long]],13,FALSE)</f>
        <v>92.846768572000002</v>
      </c>
      <c r="DQ333" s="709">
        <f>VLOOKUP(WWWW[[#This Row],[Site Name]],SiteDB6[[Site Name]:[Pcode]],3,FALSE)</f>
        <v>196209</v>
      </c>
      <c r="DR333" s="703" t="str">
        <f t="shared" si="11"/>
        <v>Covered</v>
      </c>
      <c r="DS333" s="703"/>
      <c r="DV333" s="661"/>
    </row>
    <row r="334" spans="1:126">
      <c r="A334" s="637" t="s">
        <v>2525</v>
      </c>
      <c r="B334" s="637" t="s">
        <v>332</v>
      </c>
      <c r="C334" s="644" t="s">
        <v>332</v>
      </c>
      <c r="D334" s="644" t="s">
        <v>345</v>
      </c>
      <c r="E334" s="663" t="s">
        <v>3014</v>
      </c>
      <c r="F334" s="644" t="s">
        <v>313</v>
      </c>
      <c r="G334" s="663" t="str">
        <f>VLOOKUP(WWWW[[#This Row],[Site Name]],SiteDB6[[Site Name]:[Location Type]],8,FALSE)</f>
        <v>Village</v>
      </c>
      <c r="H334" s="644" t="s">
        <v>2317</v>
      </c>
      <c r="I334" s="646">
        <v>452</v>
      </c>
      <c r="J334" s="646">
        <v>1901</v>
      </c>
      <c r="K334" s="653">
        <v>42736</v>
      </c>
      <c r="L334" s="654">
        <v>44551</v>
      </c>
      <c r="M334" s="646"/>
      <c r="N334" s="646"/>
      <c r="O334" s="646"/>
      <c r="P334" s="646"/>
      <c r="Q334" s="645"/>
      <c r="R334" s="646"/>
      <c r="S334" s="646"/>
      <c r="T334" s="646"/>
      <c r="U334" s="646"/>
      <c r="V334" s="646"/>
      <c r="W334" s="646"/>
      <c r="X334" s="646"/>
      <c r="Y334" s="646"/>
      <c r="Z334" s="646"/>
      <c r="AA334" s="646"/>
      <c r="AB334" s="646"/>
      <c r="AC334" s="646"/>
      <c r="AD334" s="646"/>
      <c r="AE334" s="646"/>
      <c r="AF334" s="646"/>
      <c r="AG334" s="646"/>
      <c r="AH334" s="646"/>
      <c r="AI334" s="646"/>
      <c r="AJ334" s="646"/>
      <c r="AK334" s="646"/>
      <c r="AL334" s="646"/>
      <c r="AM334" s="646"/>
      <c r="AN334" s="646"/>
      <c r="AO334" s="652"/>
      <c r="AP334" s="646"/>
      <c r="AQ334" s="646"/>
      <c r="AR334" s="648"/>
      <c r="AS334" s="646"/>
      <c r="AT334" s="646"/>
      <c r="AU334" s="646"/>
      <c r="AV334" s="646"/>
      <c r="AW334" s="646"/>
      <c r="AX334" s="643"/>
      <c r="AY334" s="652"/>
      <c r="AZ334" s="646"/>
      <c r="BA334" s="646"/>
      <c r="BB334" s="646"/>
      <c r="BC334" s="643"/>
      <c r="BD334" s="646"/>
      <c r="BE334" s="646"/>
      <c r="BF334" s="646"/>
      <c r="BG334" s="646"/>
      <c r="BH334" s="646"/>
      <c r="BI334" s="646"/>
      <c r="BJ334" s="646"/>
      <c r="BK334" s="646"/>
      <c r="BL334" s="646"/>
      <c r="BM334" s="643"/>
      <c r="BN334" s="647"/>
      <c r="BO334" s="648"/>
      <c r="BP334" s="643"/>
      <c r="BQ334" s="649" t="str">
        <f>IFERROR(WWWW[[#This Row],['#_Water sources treated]]/WWWW[[#This Row],['#_Water sources tested for contamination]],"no test")</f>
        <v>no test</v>
      </c>
      <c r="BR334" s="648" t="str">
        <f>IFERROR(WWWW[[#This Row],['#_Household received remediation action due to contamination]]/WWWW[[#This Row],['#_Household water samples tested for contamination]],"no test")</f>
        <v>no test</v>
      </c>
      <c r="BS334" s="647" t="str">
        <f>IF(AND(WWWW[[#This Row],[% of water sources treated]]="no test",WWWW[[#This Row],[% Household received corrective actions]]="no test"),"No Test","Tested")</f>
        <v>No Test</v>
      </c>
      <c r="BT334" s="647">
        <f>WWWW[[#This Row],['#_Constructed/existing protected hand dug well]]-WWWW[[#This Row],['#_Non-functional protected hand dug well]]</f>
        <v>0</v>
      </c>
      <c r="BU334" s="647">
        <f>(WWWW[[#This Row],['#_Constructed/Existing tube wells/boreholes/handpumps_WASH_agency]]+WWWW[[#This Row],['#_Non-Cluster partner water tube-wells/boreholes/handpumps]])-WWWW[[#This Row],['#_Non-functional tube wells/boreholes/handpumps]]</f>
        <v>0</v>
      </c>
      <c r="BV334" s="647">
        <f>WWWW[[#This Row],['#_Constructed/Existingwater storage tank with gravity fed reticulation system]]-WWWW[[#This Row],['#_Non-functional storage tank gravity fed reticulation system]]</f>
        <v>0</v>
      </c>
      <c r="BW334" s="647">
        <f>WWWW[[#This Row],['#_Water boating or water trucking]]</f>
        <v>0</v>
      </c>
      <c r="BX334" s="647">
        <f>WWWW[[#This Row],['#_Constructed/Existing water distribution system from river or natural spring]]</f>
        <v>0</v>
      </c>
      <c r="BY334"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34"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34" s="648">
        <f>IF(WWWW[[#This Row],[Location Type 1]]="Village",WWWW[[#This Row],[Access to safe drinking water for Village]],WWWW[[#This Row],[Access to safe drinking water for Camp]])</f>
        <v>0</v>
      </c>
      <c r="CB334" s="645">
        <f>WWWW[[#This Row],[%Equitable and continuous access to sufficient quantity of safe drinking water]]*WWWW[[#This Row],[Total PoP ]]</f>
        <v>0</v>
      </c>
      <c r="CC334" s="648">
        <f>IF((WWWW[[#This Row],['#_Constructed/Existing protected/fenced ponds]]*250)/WWWW[[#This Row],[Total PoP ]]&gt;1,1,(WWWW[[#This Row],['#_Constructed/Existing protected/fenced ponds]]*250)/WWWW[[#This Row],[Total PoP ]])</f>
        <v>0</v>
      </c>
      <c r="CD334" s="645">
        <f>WWWW[[#This Row],[% Access to unimproved water points]]*WWWW[[#This Row],[Total PoP ]]</f>
        <v>0</v>
      </c>
      <c r="CE334"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34"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34" s="645">
        <f>WWWW[[#This Row],[HRP1]]/500</f>
        <v>0</v>
      </c>
      <c r="CH334" s="650">
        <f>1-WWWW[[#This Row],[% Equitable and continuous access to sufficient quantity of domestic water]]</f>
        <v>1</v>
      </c>
      <c r="CI334" s="645">
        <f>WWWW[[#This Row],[%equitable and continuous access to sufficient quantity of safe drinking and domestic water''s GAP]]*WWWW[[#This Row],[Total PoP ]]</f>
        <v>1901</v>
      </c>
      <c r="CJ334" s="647">
        <f>IF(WWWW[[#This Row],[Total required water points]]-WWWW[[#This Row],['#Water points coverage]]&lt;0,0,WWWW[[#This Row],[Total required water points]]-WWWW[[#This Row],['#Water points coverage]])</f>
        <v>4</v>
      </c>
      <c r="CK334" s="647">
        <f>ROUND(IF(WWWW[[#This Row],[Total PoP ]]&lt;500,1,WWWW[[#This Row],[Total PoP ]]/500),0)</f>
        <v>4</v>
      </c>
      <c r="CL334" s="647">
        <f>(WWWW[[#This Row],['#_Constructed latrines_by_WASHAgencies]]+WWWW[[#This Row],['#_Non Cluster partner latrines]])-WWWW[[#This Row],['#_Non-functional latrines]]</f>
        <v>0</v>
      </c>
      <c r="CM334"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34"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34"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34" s="647" t="str">
        <f>IF(WWWW[[#This Row],[Location Type 1]]="Village","NA",IF(WWWW[[#This Row],['#_Constructed/Existing latrines in TLS]]*50&gt;WWWW[[#This Row],['#_students at TLS_CFS]],WWWW[[#This Row],['#_students at TLS_CFS]],(WWWW[[#This Row],['#_Constructed/Existing latrines in TLS]]*50)))</f>
        <v>NA</v>
      </c>
      <c r="CQ334" s="647">
        <f>ROUND(IF(WWWW[[#This Row],[Location Type 1]]="camp",WWWW[[#This Row],[Total PoP ]]/20,IF(WWWW[[#This Row],[Location Type 1]]="Temporary Location",WWWW[[#This Row],[Total PoP ]]/50,(WWWW[[#This Row],[Total PoP ]]/6))),0)</f>
        <v>317</v>
      </c>
      <c r="CR334" s="647">
        <f>IF(WWWW[[#This Row],[Total required Latrines]]-(WWWW[[#This Row],['#_Constructed latrines_by_WASHAgencies]]+WWWW[[#This Row],['#_Non Cluster partner latrines]])&lt;0,0,WWWW[[#This Row],[Total required Latrines]]-(WWWW[[#This Row],['#_Constructed latrines_by_WASHAgencies]]+WWWW[[#This Row],['#_Non Cluster partner latrines]]))</f>
        <v>317</v>
      </c>
      <c r="CS334" s="79">
        <f>1-WWWW[[#This Row],[% people access to functioning Latrine]]</f>
        <v>1</v>
      </c>
      <c r="CT334" s="649">
        <f>IF(OR(WWWW[[#This Row],['#_Non-functional latrines]]="",WWWW[[#This Row],['#_Non-functional latrines]]=0),0,WWWW[[#This Row],['#_Non-functional latrines]]/(WWWW[[#This Row],['#_Constructed latrines_by_WASHAgencies]]+WWWW[[#This Row],['#_Non Cluster partner latrines]]))</f>
        <v>0</v>
      </c>
      <c r="CU334" s="645">
        <f>IF(500*(WWWW[[#This Row],['#_male hygiene promoters]]+WWWW[[#This Row],['#_female hygiene promoters]])&gt;WWWW[[#This Row],[Total PoP ]],WWWW[[#This Row],[Total PoP ]],500*(WWWW[[#This Row],['#_male hygiene promoters]]+WWWW[[#This Row],['#_female hygiene promoters]]))</f>
        <v>0</v>
      </c>
      <c r="CV334"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34"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34" s="647">
        <f>IF(WWWW[[#This Row],['# People with access to soap]]&gt;WWWW[[#This Row],['# People with access to Sanity Pads]],WWWW[[#This Row],['# People with access to soap]],WWWW[[#This Row],['# People with access to Sanity Pads]])</f>
        <v>0</v>
      </c>
      <c r="CY334"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34" s="650">
        <f>IF(WWWW[[#This Row],[HRP3]]/WWWW[[#This Row],[Total PoP ]]&gt;100%,100%,WWWW[[#This Row],[HRP3]]/WWWW[[#This Row],[Total PoP ]])</f>
        <v>0</v>
      </c>
      <c r="DA334" s="649">
        <f>1-WWWW[[#This Row],[Hygiene Coverage%]]</f>
        <v>1</v>
      </c>
      <c r="DB334" s="648">
        <f>WWWW[[#This Row],['# people reached by regular dedicated hygiene promotion_5]]/WWWW[[#This Row],[Total PoP ]]</f>
        <v>0</v>
      </c>
      <c r="DC334" s="648">
        <f>IF(WWWW[[#This Row],['#_households that received standard amount of soap for this quarter]]/WWWW[[#This Row],[Total HH]]&gt;1,1,WWWW[[#This Row],['#_households that received standard amount of soap for this quarter]]/WWWW[[#This Row],[Total HH]])</f>
        <v>0</v>
      </c>
      <c r="DD334" s="648">
        <f>IF(WWWW[[#This Row],['#_households that received standard amount of sanitary pads for this quarter]]/WWWW[[#This Row],[Total HH]]&gt;1,1,WWWW[[#This Row],['#_households that received standard amount of sanitary pads for this quarter]]/WWWW[[#This Row],[Total HH]])</f>
        <v>0</v>
      </c>
      <c r="DE334" s="647">
        <f>WWWW[[#This Row],['#_Constructed/Existing hand washing stations]]-WWWW[[#This Row],['#_Non-Functional_hand_washing_stations]]</f>
        <v>0</v>
      </c>
      <c r="DF334" s="667">
        <f>IF(WWWW[[#This Row],['# Functional hand washing stations during reporting period]]*20&gt;WWWW[[#This Row],[Total HH]],WWWW[[#This Row],[Total HH]],WWWW[[#This Row],['# Functional hand washing stations during reporting period]]*20)</f>
        <v>0</v>
      </c>
      <c r="DG334" s="645">
        <f>IF(WWWW[[#This Row],[Is sufficient soap available for TLS? (Yes/No)]]="yes",WWWW[[#This Row],['#_Constructed/Existing hand washing stations at TLS]],0)</f>
        <v>0</v>
      </c>
      <c r="DH334" s="645">
        <f>IF(WWWW[[#This Row],['# Functional hand washing stations during reporting period]]*100&gt;WWWW[[#This Row],[Total PoP ]],WWWW[[#This Row],[Total PoP ]],WWWW[[#This Row],['# Functional hand washing stations during reporting period]]*100)</f>
        <v>0</v>
      </c>
      <c r="DI334" s="645" t="str">
        <f>IF(WWWW[[#This Row],['#_students at TLS_CFS]]="","No","Yes")</f>
        <v>No</v>
      </c>
      <c r="DJ334" s="643">
        <f>VLOOKUP(WWWW[[#This Row],[Site Name]],SiteDB6[[Site Name]:[CCCM Management]],6,FALSE)</f>
        <v>0</v>
      </c>
      <c r="DK334" s="643">
        <f>VLOOKUP(WWWW[[#This Row],[Site Name]],SiteDB6[[Site Name]:[CCCM Focal Agency]],7,FALSE)</f>
        <v>0</v>
      </c>
      <c r="DL334" s="643" t="str">
        <f>VLOOKUP(WWWW[[#This Row],[Site Name]],SiteDB6[[Site Name]:[Location Type 1]],9,FALSE)</f>
        <v>Village</v>
      </c>
      <c r="DM334" s="643" t="str">
        <f>VLOOKUP(WWWW[[#This Row],[Site Name]],SiteDB6[[Site Name]:[Type of Accommodation]],10,FALSE)</f>
        <v>Village</v>
      </c>
      <c r="DN334" s="643">
        <f>VLOOKUP(WWWW[[#This Row],[Site Name]],SiteDB6[[Site Name]:[Ethnic or GCA/NGCA]],11,FALSE)</f>
        <v>0</v>
      </c>
      <c r="DO334" s="643">
        <f>VLOOKUP(WWWW[[#This Row],[Site Name]],SiteDB6[[Site Name]:[Lat]],12,FALSE)</f>
        <v>20.760820389999999</v>
      </c>
      <c r="DP334" s="643">
        <f>VLOOKUP(WWWW[[#This Row],[Site Name]],SiteDB6[[Site Name]:[Long]],13,FALSE)</f>
        <v>92.960083010000005</v>
      </c>
      <c r="DQ334" s="643">
        <f>VLOOKUP(WWWW[[#This Row],[Site Name]],SiteDB6[[Site Name]:[Pcode]],3,FALSE)</f>
        <v>196893</v>
      </c>
      <c r="DR334" s="652" t="str">
        <f t="shared" si="11"/>
        <v>Covered</v>
      </c>
      <c r="DS334" s="652"/>
    </row>
    <row r="335" spans="1:126">
      <c r="A335" s="637" t="s">
        <v>2525</v>
      </c>
      <c r="B335" s="644" t="s">
        <v>2931</v>
      </c>
      <c r="C335" s="644" t="s">
        <v>2931</v>
      </c>
      <c r="D335" s="644" t="s">
        <v>2085</v>
      </c>
      <c r="E335" s="663" t="s">
        <v>3014</v>
      </c>
      <c r="F335" s="644" t="s">
        <v>313</v>
      </c>
      <c r="G335" s="663" t="str">
        <f>VLOOKUP(WWWW[[#This Row],[Site Name]],SiteDB6[[Site Name]:[Location Type]],8,FALSE)</f>
        <v>Camp</v>
      </c>
      <c r="H335" s="644" t="s">
        <v>444</v>
      </c>
      <c r="I335" s="646">
        <v>1013</v>
      </c>
      <c r="J335" s="646">
        <v>5950</v>
      </c>
      <c r="K335" s="653"/>
      <c r="L335" s="654" t="s">
        <v>2086</v>
      </c>
      <c r="M335" s="646"/>
      <c r="N335" s="646"/>
      <c r="O335" s="646"/>
      <c r="P335" s="646" t="s">
        <v>2941</v>
      </c>
      <c r="Q335" s="645"/>
      <c r="R335" s="646"/>
      <c r="S335" s="646"/>
      <c r="T335" s="646"/>
      <c r="U335" s="646"/>
      <c r="V335" s="646"/>
      <c r="W335" s="646">
        <v>93</v>
      </c>
      <c r="X335" s="646"/>
      <c r="Y335" s="646">
        <v>32</v>
      </c>
      <c r="Z335" s="646">
        <v>44</v>
      </c>
      <c r="AA335" s="646"/>
      <c r="AB335" s="646"/>
      <c r="AC335" s="646"/>
      <c r="AD335" s="646"/>
      <c r="AE335" s="646"/>
      <c r="AF335" s="646"/>
      <c r="AG335" s="646"/>
      <c r="AH335" s="646">
        <v>93</v>
      </c>
      <c r="AI335" s="646">
        <v>66</v>
      </c>
      <c r="AJ335" s="646"/>
      <c r="AK335" s="646">
        <v>67</v>
      </c>
      <c r="AL335" s="646"/>
      <c r="AM335" s="646"/>
      <c r="AN335" s="646"/>
      <c r="AO335" s="652"/>
      <c r="AP335" s="646">
        <v>360</v>
      </c>
      <c r="AQ335" s="646"/>
      <c r="AR335" s="648"/>
      <c r="AS335" s="646">
        <v>163</v>
      </c>
      <c r="AT335" s="646">
        <v>35</v>
      </c>
      <c r="AU335" s="646">
        <v>125</v>
      </c>
      <c r="AV335" s="646"/>
      <c r="AW335" s="646">
        <v>360</v>
      </c>
      <c r="AX335" s="643" t="s">
        <v>43</v>
      </c>
      <c r="AY335" s="652" t="s">
        <v>145</v>
      </c>
      <c r="AZ335" s="646"/>
      <c r="BA335" s="646"/>
      <c r="BB335" s="646"/>
      <c r="BC335" s="643"/>
      <c r="BD335" s="646"/>
      <c r="BE335" s="646"/>
      <c r="BF335" s="646"/>
      <c r="BG335" s="646"/>
      <c r="BH335" s="646"/>
      <c r="BI335" s="646">
        <v>12</v>
      </c>
      <c r="BJ335" s="646"/>
      <c r="BK335" s="646">
        <v>1013</v>
      </c>
      <c r="BL335" s="646">
        <v>1013</v>
      </c>
      <c r="BM335" s="643" t="s">
        <v>43</v>
      </c>
      <c r="BN335" s="647">
        <v>65</v>
      </c>
      <c r="BO335" s="648"/>
      <c r="BP335" s="643"/>
      <c r="BQ335" s="649">
        <f>IFERROR(WWWW[[#This Row],['#_Water sources treated]]/WWWW[[#This Row],['#_Water sources tested for contamination]],"no test")</f>
        <v>0</v>
      </c>
      <c r="BR335" s="648">
        <f>IFERROR(WWWW[[#This Row],['#_Household received remediation action due to contamination]]/WWWW[[#This Row],['#_Household water samples tested for contamination]],"no test")</f>
        <v>0</v>
      </c>
      <c r="BS335" s="647" t="str">
        <f>IF(AND(WWWW[[#This Row],[% of water sources treated]]="no test",WWWW[[#This Row],[% Household received corrective actions]]="no test"),"No Test","Tested")</f>
        <v>Tested</v>
      </c>
      <c r="BT335" s="647">
        <f>WWWW[[#This Row],['#_Constructed/existing protected hand dug well]]-WWWW[[#This Row],['#_Non-functional protected hand dug well]]</f>
        <v>0</v>
      </c>
      <c r="BU335" s="647">
        <f>(WWWW[[#This Row],['#_Constructed/Existing tube wells/boreholes/handpumps_WASH_agency]]+WWWW[[#This Row],['#_Non-Cluster partner water tube-wells/boreholes/handpumps]])-WWWW[[#This Row],['#_Non-functional tube wells/boreholes/handpumps]]</f>
        <v>61</v>
      </c>
      <c r="BV335" s="647">
        <f>WWWW[[#This Row],['#_Constructed/Existingwater storage tank with gravity fed reticulation system]]-WWWW[[#This Row],['#_Non-functional storage tank gravity fed reticulation system]]</f>
        <v>0</v>
      </c>
      <c r="BW335" s="647">
        <f>WWWW[[#This Row],['#_Water boating or water trucking]]</f>
        <v>0</v>
      </c>
      <c r="BX335" s="647">
        <f>WWWW[[#This Row],['#_Constructed/Existing water distribution system from river or natural spring]]</f>
        <v>0</v>
      </c>
      <c r="BY335"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335"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335" s="648">
        <f>IF(WWWW[[#This Row],[Location Type 1]]="Village",WWWW[[#This Row],[Access to safe drinking water for Village]],WWWW[[#This Row],[Access to safe drinking water for Camp]])</f>
        <v>1</v>
      </c>
      <c r="CB335" s="645">
        <f>WWWW[[#This Row],[%Equitable and continuous access to sufficient quantity of safe drinking water]]*WWWW[[#This Row],[Total PoP ]]</f>
        <v>5950</v>
      </c>
      <c r="CC335" s="648">
        <f>IF((WWWW[[#This Row],['#_Constructed/Existing protected/fenced ponds]]*250)/WWWW[[#This Row],[Total PoP ]]&gt;1,1,(WWWW[[#This Row],['#_Constructed/Existing protected/fenced ponds]]*250)/WWWW[[#This Row],[Total PoP ]])</f>
        <v>0</v>
      </c>
      <c r="CD335" s="645">
        <f>WWWW[[#This Row],[% Access to unimproved water points]]*WWWW[[#This Row],[Total PoP ]]</f>
        <v>0</v>
      </c>
      <c r="CE335"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35"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5950</v>
      </c>
      <c r="CG335" s="645">
        <f>WWWW[[#This Row],[HRP1]]/500</f>
        <v>11.9</v>
      </c>
      <c r="CH335" s="650">
        <f>1-WWWW[[#This Row],[% Equitable and continuous access to sufficient quantity of domestic water]]</f>
        <v>0</v>
      </c>
      <c r="CI335" s="645">
        <f>WWWW[[#This Row],[%equitable and continuous access to sufficient quantity of safe drinking and domestic water''s GAP]]*WWWW[[#This Row],[Total PoP ]]</f>
        <v>0</v>
      </c>
      <c r="CJ335" s="647">
        <f>IF(WWWW[[#This Row],[Total required water points]]-WWWW[[#This Row],['#Water points coverage]]&lt;0,0,WWWW[[#This Row],[Total required water points]]-WWWW[[#This Row],['#Water points coverage]])</f>
        <v>9.9999999999999645E-2</v>
      </c>
      <c r="CK335" s="647">
        <f>ROUND(IF(WWWW[[#This Row],[Total PoP ]]&lt;500,1,WWWW[[#This Row],[Total PoP ]]/500),0)</f>
        <v>12</v>
      </c>
      <c r="CL335" s="647">
        <f>(WWWW[[#This Row],['#_Constructed latrines_by_WASHAgencies]]+WWWW[[#This Row],['#_Non Cluster partner latrines]])-WWWW[[#This Row],['#_Non-functional latrines]]</f>
        <v>197</v>
      </c>
      <c r="CM335"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0.66218487394957981</v>
      </c>
      <c r="CN335"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3940</v>
      </c>
      <c r="CO335"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2500</v>
      </c>
      <c r="CP335" s="647">
        <f>IF(WWWW[[#This Row],[Location Type 1]]="Village","NA",IF(WWWW[[#This Row],['#_Constructed/Existing latrines in TLS]]*50&gt;WWWW[[#This Row],['#_students at TLS_CFS]],WWWW[[#This Row],['#_students at TLS_CFS]],(WWWW[[#This Row],['#_Constructed/Existing latrines in TLS]]*50)))</f>
        <v>0</v>
      </c>
      <c r="CQ335" s="647">
        <f>ROUND(IF(WWWW[[#This Row],[Location Type 1]]="camp",WWWW[[#This Row],[Total PoP ]]/20,IF(WWWW[[#This Row],[Location Type 1]]="Temporary Location",WWWW[[#This Row],[Total PoP ]]/50,(WWWW[[#This Row],[Total PoP ]]/6))),0)</f>
        <v>298</v>
      </c>
      <c r="CR335" s="647">
        <f>IF(WWWW[[#This Row],[Total required Latrines]]-(WWWW[[#This Row],['#_Constructed latrines_by_WASHAgencies]]+WWWW[[#This Row],['#_Non Cluster partner latrines]])&lt;0,0,WWWW[[#This Row],[Total required Latrines]]-(WWWW[[#This Row],['#_Constructed latrines_by_WASHAgencies]]+WWWW[[#This Row],['#_Non Cluster partner latrines]]))</f>
        <v>0</v>
      </c>
      <c r="CS335" s="79">
        <f>1-WWWW[[#This Row],[% people access to functioning Latrine]]</f>
        <v>0.33781512605042019</v>
      </c>
      <c r="CT335" s="649">
        <f>IF(OR(WWWW[[#This Row],['#_Non-functional latrines]]="",WWWW[[#This Row],['#_Non-functional latrines]]=0),0,WWWW[[#This Row],['#_Non-functional latrines]]/(WWWW[[#This Row],['#_Constructed latrines_by_WASHAgencies]]+WWWW[[#This Row],['#_Non Cluster partner latrines]]))</f>
        <v>0.45277777777777778</v>
      </c>
      <c r="CU335" s="645">
        <f>IF(500*(WWWW[[#This Row],['#_male hygiene promoters]]+WWWW[[#This Row],['#_female hygiene promoters]])&gt;WWWW[[#This Row],[Total PoP ]],WWWW[[#This Row],[Total PoP ]],500*(WWWW[[#This Row],['#_male hygiene promoters]]+WWWW[[#This Row],['#_female hygiene promoters]]))</f>
        <v>5950</v>
      </c>
      <c r="CV335"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5950</v>
      </c>
      <c r="CW335"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5950</v>
      </c>
      <c r="CX335" s="647">
        <f>IF(WWWW[[#This Row],['# People with access to soap]]&gt;WWWW[[#This Row],['# People with access to Sanity Pads]],WWWW[[#This Row],['# People with access to soap]],WWWW[[#This Row],['# People with access to Sanity Pads]])</f>
        <v>5950</v>
      </c>
      <c r="CY335" s="647">
        <f>IF(WWWW[[#This Row],['# people reached by regular dedicated hygiene promotion_5]]&gt;WWWW[[#This Row],['# People received regular supply of hygiene items_6]],WWWW[[#This Row],['# people reached by regular dedicated hygiene promotion_5]],WWWW[[#This Row],['# People received regular supply of hygiene items_6]])</f>
        <v>5950</v>
      </c>
      <c r="CZ335" s="650">
        <f>IF(WWWW[[#This Row],[HRP3]]/WWWW[[#This Row],[Total PoP ]]&gt;100%,100%,WWWW[[#This Row],[HRP3]]/WWWW[[#This Row],[Total PoP ]])</f>
        <v>1</v>
      </c>
      <c r="DA335" s="649">
        <f>1-WWWW[[#This Row],[Hygiene Coverage%]]</f>
        <v>0</v>
      </c>
      <c r="DB335" s="648">
        <f>WWWW[[#This Row],['# people reached by regular dedicated hygiene promotion_5]]/WWWW[[#This Row],[Total PoP ]]</f>
        <v>1</v>
      </c>
      <c r="DC335" s="648">
        <f>IF(WWWW[[#This Row],['#_households that received standard amount of soap for this quarter]]/WWWW[[#This Row],[Total HH]]&gt;1,1,WWWW[[#This Row],['#_households that received standard amount of soap for this quarter]]/WWWW[[#This Row],[Total HH]])</f>
        <v>1</v>
      </c>
      <c r="DD335" s="648">
        <f>IF(WWWW[[#This Row],['#_households that received standard amount of sanitary pads for this quarter]]/WWWW[[#This Row],[Total HH]]&gt;1,1,WWWW[[#This Row],['#_households that received standard amount of sanitary pads for this quarter]]/WWWW[[#This Row],[Total HH]])</f>
        <v>1</v>
      </c>
      <c r="DE335" s="647">
        <f>WWWW[[#This Row],['#_Constructed/Existing hand washing stations]]-WWWW[[#This Row],['#_Non-Functional_hand_washing_stations]]</f>
        <v>0</v>
      </c>
      <c r="DF335" s="667">
        <f>IF(WWWW[[#This Row],['# Functional hand washing stations during reporting period]]*20&gt;WWWW[[#This Row],[Total HH]],WWWW[[#This Row],[Total HH]],WWWW[[#This Row],['# Functional hand washing stations during reporting period]]*20)</f>
        <v>0</v>
      </c>
      <c r="DG335" s="645">
        <f>IF(WWWW[[#This Row],[Is sufficient soap available for TLS? (Yes/No)]]="yes",WWWW[[#This Row],['#_Constructed/Existing hand washing stations at TLS]],0)</f>
        <v>0</v>
      </c>
      <c r="DH335" s="645">
        <f>IF(WWWW[[#This Row],['# Functional hand washing stations during reporting period]]*100&gt;WWWW[[#This Row],[Total PoP ]],WWWW[[#This Row],[Total PoP ]],WWWW[[#This Row],['# Functional hand washing stations during reporting period]]*100)</f>
        <v>0</v>
      </c>
      <c r="DI335" s="645" t="str">
        <f>IF(WWWW[[#This Row],['#_students at TLS_CFS]]="","No","Yes")</f>
        <v>No</v>
      </c>
      <c r="DJ335" s="643" t="str">
        <f>VLOOKUP(WWWW[[#This Row],[Site Name]],SiteDB6[[Site Name]:[CCCM Management]],6,FALSE)</f>
        <v>Yes</v>
      </c>
      <c r="DK335" s="643">
        <f>VLOOKUP(WWWW[[#This Row],[Site Name]],SiteDB6[[Site Name]:[CCCM Focal Agency]],7,FALSE)</f>
        <v>0</v>
      </c>
      <c r="DL335" s="643" t="str">
        <f>VLOOKUP(WWWW[[#This Row],[Site Name]],SiteDB6[[Site Name]:[Location Type 1]],9,FALSE)</f>
        <v>Camp</v>
      </c>
      <c r="DM335" s="643" t="str">
        <f>VLOOKUP(WWWW[[#This Row],[Site Name]],SiteDB6[[Site Name]:[Type of Accommodation]],10,FALSE)</f>
        <v>Planned Camp</v>
      </c>
      <c r="DN335" s="643" t="str">
        <f>VLOOKUP(WWWW[[#This Row],[Site Name]],SiteDB6[[Site Name]:[Ethnic or GCA/NGCA]],11,FALSE)</f>
        <v>Muslim</v>
      </c>
      <c r="DO335" s="643">
        <f>VLOOKUP(WWWW[[#This Row],[Site Name]],SiteDB6[[Site Name]:[Lat]],12,FALSE)</f>
        <v>20.179939999999998</v>
      </c>
      <c r="DP335" s="643">
        <f>VLOOKUP(WWWW[[#This Row],[Site Name]],SiteDB6[[Site Name]:[Long]],13,FALSE)</f>
        <v>92.831879000000001</v>
      </c>
      <c r="DQ335" s="643" t="str">
        <f>VLOOKUP(WWWW[[#This Row],[Site Name]],SiteDB6[[Site Name]:[Pcode]],3,FALSE)</f>
        <v>MMR012CMP048</v>
      </c>
      <c r="DR335" s="652" t="str">
        <f t="shared" si="11"/>
        <v>Covered</v>
      </c>
      <c r="DS335" s="652"/>
    </row>
    <row r="336" spans="1:126">
      <c r="A336" s="637" t="s">
        <v>2525</v>
      </c>
      <c r="B336" s="637" t="s">
        <v>3007</v>
      </c>
      <c r="C336" s="644" t="s">
        <v>2374</v>
      </c>
      <c r="D336" s="644" t="s">
        <v>42</v>
      </c>
      <c r="E336" s="663" t="s">
        <v>3014</v>
      </c>
      <c r="F336" s="644" t="s">
        <v>313</v>
      </c>
      <c r="G336" s="663" t="str">
        <f>VLOOKUP(WWWW[[#This Row],[Site Name]],SiteDB6[[Site Name]:[Location Type]],8,FALSE)</f>
        <v>Camp</v>
      </c>
      <c r="H336" s="644" t="s">
        <v>446</v>
      </c>
      <c r="I336" s="646">
        <v>299</v>
      </c>
      <c r="J336" s="646">
        <v>1670</v>
      </c>
      <c r="K336" s="653"/>
      <c r="L336" s="654">
        <v>44104</v>
      </c>
      <c r="M336" s="646"/>
      <c r="N336" s="646"/>
      <c r="O336" s="646"/>
      <c r="P336" s="646" t="s">
        <v>2941</v>
      </c>
      <c r="Q336" s="645"/>
      <c r="R336" s="646"/>
      <c r="S336" s="646"/>
      <c r="T336" s="646"/>
      <c r="U336" s="646"/>
      <c r="V336" s="646"/>
      <c r="W336" s="646">
        <v>70</v>
      </c>
      <c r="X336" s="646"/>
      <c r="Y336" s="646"/>
      <c r="Z336" s="646" t="s">
        <v>2941</v>
      </c>
      <c r="AA336" s="646"/>
      <c r="AB336" s="646"/>
      <c r="AC336" s="646"/>
      <c r="AD336" s="646"/>
      <c r="AE336" s="646"/>
      <c r="AF336" s="646"/>
      <c r="AG336" s="646"/>
      <c r="AH336" s="646">
        <v>70</v>
      </c>
      <c r="AI336" s="646"/>
      <c r="AJ336" s="646"/>
      <c r="AK336" s="646"/>
      <c r="AL336" s="646"/>
      <c r="AM336" s="646"/>
      <c r="AN336" s="646"/>
      <c r="AO336" s="652"/>
      <c r="AP336" s="646"/>
      <c r="AQ336" s="646"/>
      <c r="AR336" s="648"/>
      <c r="AS336" s="646"/>
      <c r="AT336" s="646">
        <v>0</v>
      </c>
      <c r="AU336" s="646">
        <v>0</v>
      </c>
      <c r="AV336" s="646"/>
      <c r="AW336" s="646"/>
      <c r="AX336" s="643" t="s">
        <v>43</v>
      </c>
      <c r="AY336" s="652" t="s">
        <v>148</v>
      </c>
      <c r="AZ336" s="646"/>
      <c r="BA336" s="646"/>
      <c r="BB336" s="646"/>
      <c r="BC336" s="643"/>
      <c r="BD336" s="646"/>
      <c r="BE336" s="646"/>
      <c r="BF336" s="646"/>
      <c r="BG336" s="646"/>
      <c r="BH336" s="646"/>
      <c r="BI336" s="646">
        <v>3</v>
      </c>
      <c r="BJ336" s="646"/>
      <c r="BK336" s="646">
        <v>299</v>
      </c>
      <c r="BL336" s="646">
        <v>299</v>
      </c>
      <c r="BM336" s="643"/>
      <c r="BN336" s="647">
        <v>39</v>
      </c>
      <c r="BO336" s="648"/>
      <c r="BP336" s="643"/>
      <c r="BQ336" s="649" t="str">
        <f>IFERROR(WWWW[[#This Row],['#_Water sources treated]]/WWWW[[#This Row],['#_Water sources tested for contamination]],"no test")</f>
        <v>no test</v>
      </c>
      <c r="BR336" s="648" t="str">
        <f>IFERROR(WWWW[[#This Row],['#_Household received remediation action due to contamination]]/WWWW[[#This Row],['#_Household water samples tested for contamination]],"no test")</f>
        <v>no test</v>
      </c>
      <c r="BS336" s="647" t="str">
        <f>IF(AND(WWWW[[#This Row],[% of water sources treated]]="no test",WWWW[[#This Row],[% Household received corrective actions]]="no test"),"No Test","Tested")</f>
        <v>No Test</v>
      </c>
      <c r="BT336" s="647">
        <f>WWWW[[#This Row],['#_Constructed/existing protected hand dug well]]-WWWW[[#This Row],['#_Non-functional protected hand dug well]]</f>
        <v>0</v>
      </c>
      <c r="BU336" s="647">
        <f>(WWWW[[#This Row],['#_Constructed/Existing tube wells/boreholes/handpumps_WASH_agency]]+WWWW[[#This Row],['#_Non-Cluster partner water tube-wells/boreholes/handpumps]])-WWWW[[#This Row],['#_Non-functional tube wells/boreholes/handpumps]]</f>
        <v>70</v>
      </c>
      <c r="BV336" s="647">
        <f>WWWW[[#This Row],['#_Constructed/Existingwater storage tank with gravity fed reticulation system]]-WWWW[[#This Row],['#_Non-functional storage tank gravity fed reticulation system]]</f>
        <v>0</v>
      </c>
      <c r="BW336" s="647">
        <f>WWWW[[#This Row],['#_Water boating or water trucking]]</f>
        <v>0</v>
      </c>
      <c r="BX336" s="647">
        <f>WWWW[[#This Row],['#_Constructed/Existing water distribution system from river or natural spring]]</f>
        <v>0</v>
      </c>
      <c r="BY336"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336"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336" s="648">
        <f>IF(WWWW[[#This Row],[Location Type 1]]="Village",WWWW[[#This Row],[Access to safe drinking water for Village]],WWWW[[#This Row],[Access to safe drinking water for Camp]])</f>
        <v>1</v>
      </c>
      <c r="CB336" s="645">
        <f>WWWW[[#This Row],[%Equitable and continuous access to sufficient quantity of safe drinking water]]*WWWW[[#This Row],[Total PoP ]]</f>
        <v>1670</v>
      </c>
      <c r="CC336" s="648">
        <f>IF((WWWW[[#This Row],['#_Constructed/Existing protected/fenced ponds]]*250)/WWWW[[#This Row],[Total PoP ]]&gt;1,1,(WWWW[[#This Row],['#_Constructed/Existing protected/fenced ponds]]*250)/WWWW[[#This Row],[Total PoP ]])</f>
        <v>0</v>
      </c>
      <c r="CD336" s="645">
        <f>WWWW[[#This Row],[% Access to unimproved water points]]*WWWW[[#This Row],[Total PoP ]]</f>
        <v>0</v>
      </c>
      <c r="CE336"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36"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1670</v>
      </c>
      <c r="CG336" s="645">
        <f>WWWW[[#This Row],[HRP1]]/500</f>
        <v>3.34</v>
      </c>
      <c r="CH336" s="650">
        <f>1-WWWW[[#This Row],[% Equitable and continuous access to sufficient quantity of domestic water]]</f>
        <v>0</v>
      </c>
      <c r="CI336" s="645">
        <f>WWWW[[#This Row],[%equitable and continuous access to sufficient quantity of safe drinking and domestic water''s GAP]]*WWWW[[#This Row],[Total PoP ]]</f>
        <v>0</v>
      </c>
      <c r="CJ336" s="647">
        <f>IF(WWWW[[#This Row],[Total required water points]]-WWWW[[#This Row],['#Water points coverage]]&lt;0,0,WWWW[[#This Row],[Total required water points]]-WWWW[[#This Row],['#Water points coverage]])</f>
        <v>0</v>
      </c>
      <c r="CK336" s="647">
        <f>ROUND(IF(WWWW[[#This Row],[Total PoP ]]&lt;500,1,WWWW[[#This Row],[Total PoP ]]/500),0)</f>
        <v>3</v>
      </c>
      <c r="CL336" s="647">
        <f>(WWWW[[#This Row],['#_Constructed latrines_by_WASHAgencies]]+WWWW[[#This Row],['#_Non Cluster partner latrines]])-WWWW[[#This Row],['#_Non-functional latrines]]</f>
        <v>0</v>
      </c>
      <c r="CM336"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36"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36"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336" s="647">
        <f>IF(WWWW[[#This Row],[Location Type 1]]="Village","NA",IF(WWWW[[#This Row],['#_Constructed/Existing latrines in TLS]]*50&gt;WWWW[[#This Row],['#_students at TLS_CFS]],WWWW[[#This Row],['#_students at TLS_CFS]],(WWWW[[#This Row],['#_Constructed/Existing latrines in TLS]]*50)))</f>
        <v>0</v>
      </c>
      <c r="CQ336" s="647">
        <f>ROUND(IF(WWWW[[#This Row],[Location Type 1]]="camp",WWWW[[#This Row],[Total PoP ]]/20,IF(WWWW[[#This Row],[Location Type 1]]="Temporary Location",WWWW[[#This Row],[Total PoP ]]/50,(WWWW[[#This Row],[Total PoP ]]/6))),0)</f>
        <v>84</v>
      </c>
      <c r="CR336" s="647">
        <f>IF(WWWW[[#This Row],[Total required Latrines]]-(WWWW[[#This Row],['#_Constructed latrines_by_WASHAgencies]]+WWWW[[#This Row],['#_Non Cluster partner latrines]])&lt;0,0,WWWW[[#This Row],[Total required Latrines]]-(WWWW[[#This Row],['#_Constructed latrines_by_WASHAgencies]]+WWWW[[#This Row],['#_Non Cluster partner latrines]]))</f>
        <v>84</v>
      </c>
      <c r="CS336" s="79">
        <f>1-WWWW[[#This Row],[% people access to functioning Latrine]]</f>
        <v>1</v>
      </c>
      <c r="CT336" s="649">
        <f>IF(OR(WWWW[[#This Row],['#_Non-functional latrines]]="",WWWW[[#This Row],['#_Non-functional latrines]]=0),0,WWWW[[#This Row],['#_Non-functional latrines]]/(WWWW[[#This Row],['#_Constructed latrines_by_WASHAgencies]]+WWWW[[#This Row],['#_Non Cluster partner latrines]]))</f>
        <v>0</v>
      </c>
      <c r="CU336" s="645">
        <f>IF(500*(WWWW[[#This Row],['#_male hygiene promoters]]+WWWW[[#This Row],['#_female hygiene promoters]])&gt;WWWW[[#This Row],[Total PoP ]],WWWW[[#This Row],[Total PoP ]],500*(WWWW[[#This Row],['#_male hygiene promoters]]+WWWW[[#This Row],['#_female hygiene promoters]]))</f>
        <v>1500</v>
      </c>
      <c r="CV336"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1670</v>
      </c>
      <c r="CW336"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1670</v>
      </c>
      <c r="CX336" s="647">
        <f>IF(WWWW[[#This Row],['# People with access to soap]]&gt;WWWW[[#This Row],['# People with access to Sanity Pads]],WWWW[[#This Row],['# People with access to soap]],WWWW[[#This Row],['# People with access to Sanity Pads]])</f>
        <v>1670</v>
      </c>
      <c r="CY336" s="647">
        <f>IF(WWWW[[#This Row],['# people reached by regular dedicated hygiene promotion_5]]&gt;WWWW[[#This Row],['# People received regular supply of hygiene items_6]],WWWW[[#This Row],['# people reached by regular dedicated hygiene promotion_5]],WWWW[[#This Row],['# People received regular supply of hygiene items_6]])</f>
        <v>1670</v>
      </c>
      <c r="CZ336" s="650">
        <f>IF(WWWW[[#This Row],[HRP3]]/WWWW[[#This Row],[Total PoP ]]&gt;100%,100%,WWWW[[#This Row],[HRP3]]/WWWW[[#This Row],[Total PoP ]])</f>
        <v>1</v>
      </c>
      <c r="DA336" s="649">
        <f>1-WWWW[[#This Row],[Hygiene Coverage%]]</f>
        <v>0</v>
      </c>
      <c r="DB336" s="648">
        <f>WWWW[[#This Row],['# people reached by regular dedicated hygiene promotion_5]]/WWWW[[#This Row],[Total PoP ]]</f>
        <v>0.89820359281437123</v>
      </c>
      <c r="DC336" s="648">
        <f>IF(WWWW[[#This Row],['#_households that received standard amount of soap for this quarter]]/WWWW[[#This Row],[Total HH]]&gt;1,1,WWWW[[#This Row],['#_households that received standard amount of soap for this quarter]]/WWWW[[#This Row],[Total HH]])</f>
        <v>1</v>
      </c>
      <c r="DD336" s="648">
        <f>IF(WWWW[[#This Row],['#_households that received standard amount of sanitary pads for this quarter]]/WWWW[[#This Row],[Total HH]]&gt;1,1,WWWW[[#This Row],['#_households that received standard amount of sanitary pads for this quarter]]/WWWW[[#This Row],[Total HH]])</f>
        <v>1</v>
      </c>
      <c r="DE336" s="647">
        <f>WWWW[[#This Row],['#_Constructed/Existing hand washing stations]]-WWWW[[#This Row],['#_Non-Functional_hand_washing_stations]]</f>
        <v>0</v>
      </c>
      <c r="DF336" s="667">
        <f>IF(WWWW[[#This Row],['# Functional hand washing stations during reporting period]]*20&gt;WWWW[[#This Row],[Total HH]],WWWW[[#This Row],[Total HH]],WWWW[[#This Row],['# Functional hand washing stations during reporting period]]*20)</f>
        <v>0</v>
      </c>
      <c r="DG336" s="645">
        <f>IF(WWWW[[#This Row],[Is sufficient soap available for TLS? (Yes/No)]]="yes",WWWW[[#This Row],['#_Constructed/Existing hand washing stations at TLS]],0)</f>
        <v>0</v>
      </c>
      <c r="DH336" s="645">
        <f>IF(WWWW[[#This Row],['# Functional hand washing stations during reporting period]]*100&gt;WWWW[[#This Row],[Total PoP ]],WWWW[[#This Row],[Total PoP ]],WWWW[[#This Row],['# Functional hand washing stations during reporting period]]*100)</f>
        <v>0</v>
      </c>
      <c r="DI336" s="645" t="str">
        <f>IF(WWWW[[#This Row],['#_students at TLS_CFS]]="","No","Yes")</f>
        <v>No</v>
      </c>
      <c r="DJ336" s="643" t="str">
        <f>VLOOKUP(WWWW[[#This Row],[Site Name]],SiteDB6[[Site Name]:[CCCM Management]],6,FALSE)</f>
        <v>Yes</v>
      </c>
      <c r="DK336" s="643">
        <f>VLOOKUP(WWWW[[#This Row],[Site Name]],SiteDB6[[Site Name]:[CCCM Focal Agency]],7,FALSE)</f>
        <v>0</v>
      </c>
      <c r="DL336" s="643" t="str">
        <f>VLOOKUP(WWWW[[#This Row],[Site Name]],SiteDB6[[Site Name]:[Location Type 1]],9,FALSE)</f>
        <v>Camp</v>
      </c>
      <c r="DM336" s="643" t="str">
        <f>VLOOKUP(WWWW[[#This Row],[Site Name]],SiteDB6[[Site Name]:[Type of Accommodation]],10,FALSE)</f>
        <v>Host Families</v>
      </c>
      <c r="DN336" s="643" t="str">
        <f>VLOOKUP(WWWW[[#This Row],[Site Name]],SiteDB6[[Site Name]:[Ethnic or GCA/NGCA]],11,FALSE)</f>
        <v>Muslim</v>
      </c>
      <c r="DO336" s="643">
        <f>VLOOKUP(WWWW[[#This Row],[Site Name]],SiteDB6[[Site Name]:[Lat]],12,FALSE)</f>
        <v>20.181742</v>
      </c>
      <c r="DP336" s="643">
        <f>VLOOKUP(WWWW[[#This Row],[Site Name]],SiteDB6[[Site Name]:[Long]],13,FALSE)</f>
        <v>92.842230000000001</v>
      </c>
      <c r="DQ336" s="643" t="str">
        <f>VLOOKUP(WWWW[[#This Row],[Site Name]],SiteDB6[[Site Name]:[Pcode]],3,FALSE)</f>
        <v>MMR012CMP091</v>
      </c>
      <c r="DR336" s="652" t="str">
        <f t="shared" si="11"/>
        <v>Covered</v>
      </c>
      <c r="DS336" s="652"/>
    </row>
    <row r="337" spans="1:123">
      <c r="A337" s="637" t="s">
        <v>2525</v>
      </c>
      <c r="B337" s="637" t="s">
        <v>2374</v>
      </c>
      <c r="C337" s="644" t="s">
        <v>2374</v>
      </c>
      <c r="D337" s="644" t="s">
        <v>42</v>
      </c>
      <c r="E337" s="663" t="s">
        <v>3014</v>
      </c>
      <c r="F337" s="644" t="s">
        <v>313</v>
      </c>
      <c r="G337" s="663" t="str">
        <f>VLOOKUP(WWWW[[#This Row],[Site Name]],SiteDB6[[Site Name]:[Location Type]],8,FALSE)</f>
        <v>Village</v>
      </c>
      <c r="H337" s="644" t="s">
        <v>452</v>
      </c>
      <c r="I337" s="646">
        <v>17</v>
      </c>
      <c r="J337" s="646">
        <v>74</v>
      </c>
      <c r="K337" s="653"/>
      <c r="L337" s="654">
        <v>44104</v>
      </c>
      <c r="M337" s="646"/>
      <c r="N337" s="646"/>
      <c r="O337" s="646"/>
      <c r="P337" s="646" t="s">
        <v>2941</v>
      </c>
      <c r="Q337" s="645"/>
      <c r="R337" s="646"/>
      <c r="S337" s="646"/>
      <c r="T337" s="646"/>
      <c r="U337" s="646"/>
      <c r="V337" s="646"/>
      <c r="W337" s="646"/>
      <c r="X337" s="646"/>
      <c r="Y337" s="646"/>
      <c r="Z337" s="646" t="s">
        <v>2941</v>
      </c>
      <c r="AA337" s="646"/>
      <c r="AB337" s="646"/>
      <c r="AC337" s="646"/>
      <c r="AD337" s="646"/>
      <c r="AE337" s="646"/>
      <c r="AF337" s="646"/>
      <c r="AG337" s="646"/>
      <c r="AH337" s="646" t="s">
        <v>2941</v>
      </c>
      <c r="AI337" s="646"/>
      <c r="AJ337" s="646"/>
      <c r="AK337" s="646"/>
      <c r="AL337" s="646"/>
      <c r="AM337" s="646"/>
      <c r="AN337" s="646"/>
      <c r="AO337" s="652"/>
      <c r="AP337" s="646"/>
      <c r="AQ337" s="646"/>
      <c r="AR337" s="648"/>
      <c r="AS337" s="646"/>
      <c r="AT337" s="646">
        <v>0</v>
      </c>
      <c r="AU337" s="646">
        <v>0</v>
      </c>
      <c r="AV337" s="646"/>
      <c r="AW337" s="646"/>
      <c r="AX337" s="643" t="s">
        <v>43</v>
      </c>
      <c r="AY337" s="652" t="s">
        <v>148</v>
      </c>
      <c r="AZ337" s="646"/>
      <c r="BA337" s="646"/>
      <c r="BB337" s="646"/>
      <c r="BC337" s="643"/>
      <c r="BD337" s="646"/>
      <c r="BE337" s="646"/>
      <c r="BF337" s="646"/>
      <c r="BG337" s="646"/>
      <c r="BH337" s="646"/>
      <c r="BI337" s="646"/>
      <c r="BJ337" s="646"/>
      <c r="BK337" s="646">
        <v>0</v>
      </c>
      <c r="BL337" s="646">
        <v>0</v>
      </c>
      <c r="BM337" s="643"/>
      <c r="BN337" s="647"/>
      <c r="BO337" s="648"/>
      <c r="BP337" s="643"/>
      <c r="BQ337" s="649" t="str">
        <f>IFERROR(WWWW[[#This Row],['#_Water sources treated]]/WWWW[[#This Row],['#_Water sources tested for contamination]],"no test")</f>
        <v>no test</v>
      </c>
      <c r="BR337" s="648" t="str">
        <f>IFERROR(WWWW[[#This Row],['#_Household received remediation action due to contamination]]/WWWW[[#This Row],['#_Household water samples tested for contamination]],"no test")</f>
        <v>no test</v>
      </c>
      <c r="BS337" s="647" t="str">
        <f>IF(AND(WWWW[[#This Row],[% of water sources treated]]="no test",WWWW[[#This Row],[% Household received corrective actions]]="no test"),"No Test","Tested")</f>
        <v>No Test</v>
      </c>
      <c r="BT337" s="647">
        <f>WWWW[[#This Row],['#_Constructed/existing protected hand dug well]]-WWWW[[#This Row],['#_Non-functional protected hand dug well]]</f>
        <v>0</v>
      </c>
      <c r="BU337" s="647">
        <f>(WWWW[[#This Row],['#_Constructed/Existing tube wells/boreholes/handpumps_WASH_agency]]+WWWW[[#This Row],['#_Non-Cluster partner water tube-wells/boreholes/handpumps]])-WWWW[[#This Row],['#_Non-functional tube wells/boreholes/handpumps]]</f>
        <v>0</v>
      </c>
      <c r="BV337" s="647">
        <f>WWWW[[#This Row],['#_Constructed/Existingwater storage tank with gravity fed reticulation system]]-WWWW[[#This Row],['#_Non-functional storage tank gravity fed reticulation system]]</f>
        <v>0</v>
      </c>
      <c r="BW337" s="647">
        <f>WWWW[[#This Row],['#_Water boating or water trucking]]</f>
        <v>0</v>
      </c>
      <c r="BX337" s="647">
        <f>WWWW[[#This Row],['#_Constructed/Existing water distribution system from river or natural spring]]</f>
        <v>0</v>
      </c>
      <c r="BY337"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37"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37" s="648">
        <f>IF(WWWW[[#This Row],[Location Type 1]]="Village",WWWW[[#This Row],[Access to safe drinking water for Village]],WWWW[[#This Row],[Access to safe drinking water for Camp]])</f>
        <v>0</v>
      </c>
      <c r="CB337" s="645">
        <f>WWWW[[#This Row],[%Equitable and continuous access to sufficient quantity of safe drinking water]]*WWWW[[#This Row],[Total PoP ]]</f>
        <v>0</v>
      </c>
      <c r="CC337" s="648">
        <f>IF((WWWW[[#This Row],['#_Constructed/Existing protected/fenced ponds]]*250)/WWWW[[#This Row],[Total PoP ]]&gt;1,1,(WWWW[[#This Row],['#_Constructed/Existing protected/fenced ponds]]*250)/WWWW[[#This Row],[Total PoP ]])</f>
        <v>0</v>
      </c>
      <c r="CD337" s="645">
        <f>WWWW[[#This Row],[% Access to unimproved water points]]*WWWW[[#This Row],[Total PoP ]]</f>
        <v>0</v>
      </c>
      <c r="CE337"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37"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37" s="645">
        <f>WWWW[[#This Row],[HRP1]]/500</f>
        <v>0</v>
      </c>
      <c r="CH337" s="650">
        <f>1-WWWW[[#This Row],[% Equitable and continuous access to sufficient quantity of domestic water]]</f>
        <v>1</v>
      </c>
      <c r="CI337" s="645">
        <f>WWWW[[#This Row],[%equitable and continuous access to sufficient quantity of safe drinking and domestic water''s GAP]]*WWWW[[#This Row],[Total PoP ]]</f>
        <v>74</v>
      </c>
      <c r="CJ337" s="647">
        <f>IF(WWWW[[#This Row],[Total required water points]]-WWWW[[#This Row],['#Water points coverage]]&lt;0,0,WWWW[[#This Row],[Total required water points]]-WWWW[[#This Row],['#Water points coverage]])</f>
        <v>1</v>
      </c>
      <c r="CK337" s="647">
        <f>ROUND(IF(WWWW[[#This Row],[Total PoP ]]&lt;500,1,WWWW[[#This Row],[Total PoP ]]/500),0)</f>
        <v>1</v>
      </c>
      <c r="CL337" s="647">
        <f>(WWWW[[#This Row],['#_Constructed latrines_by_WASHAgencies]]+WWWW[[#This Row],['#_Non Cluster partner latrines]])-WWWW[[#This Row],['#_Non-functional latrines]]</f>
        <v>0</v>
      </c>
      <c r="CM337"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37"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37"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37" s="647" t="str">
        <f>IF(WWWW[[#This Row],[Location Type 1]]="Village","NA",IF(WWWW[[#This Row],['#_Constructed/Existing latrines in TLS]]*50&gt;WWWW[[#This Row],['#_students at TLS_CFS]],WWWW[[#This Row],['#_students at TLS_CFS]],(WWWW[[#This Row],['#_Constructed/Existing latrines in TLS]]*50)))</f>
        <v>NA</v>
      </c>
      <c r="CQ337" s="647">
        <f>ROUND(IF(WWWW[[#This Row],[Location Type 1]]="camp",WWWW[[#This Row],[Total PoP ]]/20,IF(WWWW[[#This Row],[Location Type 1]]="Temporary Location",WWWW[[#This Row],[Total PoP ]]/50,(WWWW[[#This Row],[Total PoP ]]/6))),0)</f>
        <v>12</v>
      </c>
      <c r="CR337" s="647">
        <f>IF(WWWW[[#This Row],[Total required Latrines]]-(WWWW[[#This Row],['#_Constructed latrines_by_WASHAgencies]]+WWWW[[#This Row],['#_Non Cluster partner latrines]])&lt;0,0,WWWW[[#This Row],[Total required Latrines]]-(WWWW[[#This Row],['#_Constructed latrines_by_WASHAgencies]]+WWWW[[#This Row],['#_Non Cluster partner latrines]]))</f>
        <v>12</v>
      </c>
      <c r="CS337" s="79">
        <f>1-WWWW[[#This Row],[% people access to functioning Latrine]]</f>
        <v>1</v>
      </c>
      <c r="CT337" s="649">
        <f>IF(OR(WWWW[[#This Row],['#_Non-functional latrines]]="",WWWW[[#This Row],['#_Non-functional latrines]]=0),0,WWWW[[#This Row],['#_Non-functional latrines]]/(WWWW[[#This Row],['#_Constructed latrines_by_WASHAgencies]]+WWWW[[#This Row],['#_Non Cluster partner latrines]]))</f>
        <v>0</v>
      </c>
      <c r="CU337" s="645">
        <f>IF(500*(WWWW[[#This Row],['#_male hygiene promoters]]+WWWW[[#This Row],['#_female hygiene promoters]])&gt;WWWW[[#This Row],[Total PoP ]],WWWW[[#This Row],[Total PoP ]],500*(WWWW[[#This Row],['#_male hygiene promoters]]+WWWW[[#This Row],['#_female hygiene promoters]]))</f>
        <v>0</v>
      </c>
      <c r="CV337"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37"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37" s="647">
        <f>IF(WWWW[[#This Row],['# People with access to soap]]&gt;WWWW[[#This Row],['# People with access to Sanity Pads]],WWWW[[#This Row],['# People with access to soap]],WWWW[[#This Row],['# People with access to Sanity Pads]])</f>
        <v>0</v>
      </c>
      <c r="CY337"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37" s="650">
        <f>IF(WWWW[[#This Row],[HRP3]]/WWWW[[#This Row],[Total PoP ]]&gt;100%,100%,WWWW[[#This Row],[HRP3]]/WWWW[[#This Row],[Total PoP ]])</f>
        <v>0</v>
      </c>
      <c r="DA337" s="649">
        <f>1-WWWW[[#This Row],[Hygiene Coverage%]]</f>
        <v>1</v>
      </c>
      <c r="DB337" s="648">
        <f>WWWW[[#This Row],['# people reached by regular dedicated hygiene promotion_5]]/WWWW[[#This Row],[Total PoP ]]</f>
        <v>0</v>
      </c>
      <c r="DC337" s="648">
        <f>IF(WWWW[[#This Row],['#_households that received standard amount of soap for this quarter]]/WWWW[[#This Row],[Total HH]]&gt;1,1,WWWW[[#This Row],['#_households that received standard amount of soap for this quarter]]/WWWW[[#This Row],[Total HH]])</f>
        <v>0</v>
      </c>
      <c r="DD337" s="648">
        <f>IF(WWWW[[#This Row],['#_households that received standard amount of sanitary pads for this quarter]]/WWWW[[#This Row],[Total HH]]&gt;1,1,WWWW[[#This Row],['#_households that received standard amount of sanitary pads for this quarter]]/WWWW[[#This Row],[Total HH]])</f>
        <v>0</v>
      </c>
      <c r="DE337" s="647">
        <f>WWWW[[#This Row],['#_Constructed/Existing hand washing stations]]-WWWW[[#This Row],['#_Non-Functional_hand_washing_stations]]</f>
        <v>0</v>
      </c>
      <c r="DF337" s="667">
        <f>IF(WWWW[[#This Row],['# Functional hand washing stations during reporting period]]*20&gt;WWWW[[#This Row],[Total HH]],WWWW[[#This Row],[Total HH]],WWWW[[#This Row],['# Functional hand washing stations during reporting period]]*20)</f>
        <v>0</v>
      </c>
      <c r="DG337" s="645">
        <f>IF(WWWW[[#This Row],[Is sufficient soap available for TLS? (Yes/No)]]="yes",WWWW[[#This Row],['#_Constructed/Existing hand washing stations at TLS]],0)</f>
        <v>0</v>
      </c>
      <c r="DH337" s="645">
        <f>IF(WWWW[[#This Row],['# Functional hand washing stations during reporting period]]*100&gt;WWWW[[#This Row],[Total PoP ]],WWWW[[#This Row],[Total PoP ]],WWWW[[#This Row],['# Functional hand washing stations during reporting period]]*100)</f>
        <v>0</v>
      </c>
      <c r="DI337" s="645" t="str">
        <f>IF(WWWW[[#This Row],['#_students at TLS_CFS]]="","No","Yes")</f>
        <v>No</v>
      </c>
      <c r="DJ337" s="643">
        <f>VLOOKUP(WWWW[[#This Row],[Site Name]],SiteDB6[[Site Name]:[CCCM Management]],6,FALSE)</f>
        <v>0</v>
      </c>
      <c r="DK337" s="643">
        <f>VLOOKUP(WWWW[[#This Row],[Site Name]],SiteDB6[[Site Name]:[CCCM Focal Agency]],7,FALSE)</f>
        <v>0</v>
      </c>
      <c r="DL337" s="643" t="str">
        <f>VLOOKUP(WWWW[[#This Row],[Site Name]],SiteDB6[[Site Name]:[Location Type 1]],9,FALSE)</f>
        <v>Village</v>
      </c>
      <c r="DM337" s="643" t="str">
        <f>VLOOKUP(WWWW[[#This Row],[Site Name]],SiteDB6[[Site Name]:[Type of Accommodation]],10,FALSE)</f>
        <v>Village</v>
      </c>
      <c r="DN337" s="643" t="str">
        <f>VLOOKUP(WWWW[[#This Row],[Site Name]],SiteDB6[[Site Name]:[Ethnic or GCA/NGCA]],11,FALSE)</f>
        <v>Muslim</v>
      </c>
      <c r="DO337" s="643">
        <f>VLOOKUP(WWWW[[#This Row],[Site Name]],SiteDB6[[Site Name]:[Lat]],12,FALSE)</f>
        <v>20.193460460000001</v>
      </c>
      <c r="DP337" s="643">
        <f>VLOOKUP(WWWW[[#This Row],[Site Name]],SiteDB6[[Site Name]:[Long]],13,FALSE)</f>
        <v>92.867782590000004</v>
      </c>
      <c r="DQ337" s="643">
        <f>VLOOKUP(WWWW[[#This Row],[Site Name]],SiteDB6[[Site Name]:[Pcode]],3,FALSE)</f>
        <v>196147</v>
      </c>
      <c r="DR337" s="652" t="str">
        <f t="shared" si="11"/>
        <v>Covered</v>
      </c>
      <c r="DS337" s="652"/>
    </row>
    <row r="338" spans="1:123">
      <c r="A338" s="637" t="s">
        <v>2525</v>
      </c>
      <c r="B338" s="637" t="s">
        <v>416</v>
      </c>
      <c r="C338" s="644" t="s">
        <v>416</v>
      </c>
      <c r="D338" s="644" t="s">
        <v>249</v>
      </c>
      <c r="E338" s="663" t="s">
        <v>3014</v>
      </c>
      <c r="F338" s="644" t="s">
        <v>417</v>
      </c>
      <c r="G338" s="663" t="str">
        <f>VLOOKUP(WWWW[[#This Row],[Site Name]],SiteDB6[[Site Name]:[Location Type]],8,FALSE)</f>
        <v>Camp</v>
      </c>
      <c r="H338" s="644" t="s">
        <v>418</v>
      </c>
      <c r="I338" s="646">
        <v>716</v>
      </c>
      <c r="J338" s="646">
        <v>2920</v>
      </c>
      <c r="K338" s="653"/>
      <c r="L338" s="654">
        <v>43896</v>
      </c>
      <c r="M338" s="646"/>
      <c r="N338" s="646">
        <v>6</v>
      </c>
      <c r="O338" s="646">
        <v>20</v>
      </c>
      <c r="P338" s="646" t="s">
        <v>2941</v>
      </c>
      <c r="Q338" s="645" t="s">
        <v>43</v>
      </c>
      <c r="R338" s="646">
        <v>9</v>
      </c>
      <c r="S338" s="646">
        <v>9</v>
      </c>
      <c r="T338" s="646"/>
      <c r="U338" s="646"/>
      <c r="V338" s="646"/>
      <c r="W338" s="646"/>
      <c r="X338" s="646"/>
      <c r="Y338" s="646"/>
      <c r="Z338" s="646"/>
      <c r="AA338" s="646">
        <v>68</v>
      </c>
      <c r="AB338" s="646">
        <v>0</v>
      </c>
      <c r="AC338" s="646">
        <v>1</v>
      </c>
      <c r="AD338" s="646">
        <v>67160</v>
      </c>
      <c r="AE338" s="646">
        <v>5</v>
      </c>
      <c r="AF338" s="646"/>
      <c r="AG338" s="646"/>
      <c r="AH338" s="646"/>
      <c r="AI338" s="646">
        <v>7</v>
      </c>
      <c r="AJ338" s="646"/>
      <c r="AK338" s="646">
        <v>36</v>
      </c>
      <c r="AL338" s="646"/>
      <c r="AM338" s="646"/>
      <c r="AN338" s="646"/>
      <c r="AO338" s="652"/>
      <c r="AP338" s="646">
        <v>197</v>
      </c>
      <c r="AQ338" s="646"/>
      <c r="AR338" s="648"/>
      <c r="AS338" s="646"/>
      <c r="AT338" s="646">
        <v>1</v>
      </c>
      <c r="AU338" s="646">
        <v>1</v>
      </c>
      <c r="AV338" s="646"/>
      <c r="AW338" s="646"/>
      <c r="AX338" s="643" t="s">
        <v>43</v>
      </c>
      <c r="AY338" s="652" t="s">
        <v>145</v>
      </c>
      <c r="AZ338" s="646"/>
      <c r="BA338" s="646"/>
      <c r="BB338" s="646"/>
      <c r="BC338" s="643"/>
      <c r="BD338" s="646"/>
      <c r="BE338" s="646"/>
      <c r="BF338" s="646"/>
      <c r="BG338" s="646">
        <v>7</v>
      </c>
      <c r="BH338" s="646"/>
      <c r="BI338" s="646">
        <v>3</v>
      </c>
      <c r="BJ338" s="646">
        <v>5</v>
      </c>
      <c r="BK338" s="646">
        <v>716</v>
      </c>
      <c r="BL338" s="646">
        <v>716</v>
      </c>
      <c r="BM338" s="643"/>
      <c r="BN338" s="647"/>
      <c r="BO338" s="648"/>
      <c r="BP338" s="643"/>
      <c r="BQ338" s="649">
        <f>IFERROR(WWWW[[#This Row],['#_Water sources treated]]/WWWW[[#This Row],['#_Water sources tested for contamination]],"no test")</f>
        <v>0</v>
      </c>
      <c r="BR338" s="648">
        <f>IFERROR(WWWW[[#This Row],['#_Household received remediation action due to contamination]]/WWWW[[#This Row],['#_Household water samples tested for contamination]],"no test")</f>
        <v>0</v>
      </c>
      <c r="BS338" s="647" t="str">
        <f>IF(AND(WWWW[[#This Row],[% of water sources treated]]="no test",WWWW[[#This Row],[% Household received corrective actions]]="no test"),"No Test","Tested")</f>
        <v>Tested</v>
      </c>
      <c r="BT338" s="647">
        <f>WWWW[[#This Row],['#_Constructed/existing protected hand dug well]]-WWWW[[#This Row],['#_Non-functional protected hand dug well]]</f>
        <v>0</v>
      </c>
      <c r="BU338" s="647">
        <f>(WWWW[[#This Row],['#_Constructed/Existing tube wells/boreholes/handpumps_WASH_agency]]+WWWW[[#This Row],['#_Non-Cluster partner water tube-wells/boreholes/handpumps]])-WWWW[[#This Row],['#_Non-functional tube wells/boreholes/handpumps]]</f>
        <v>0</v>
      </c>
      <c r="BV338" s="647">
        <f>WWWW[[#This Row],['#_Constructed/Existingwater storage tank with gravity fed reticulation system]]-WWWW[[#This Row],['#_Non-functional storage tank gravity fed reticulation system]]</f>
        <v>68</v>
      </c>
      <c r="BW338" s="647">
        <f>WWWW[[#This Row],['#_Water boating or water trucking]]</f>
        <v>67160</v>
      </c>
      <c r="BX338" s="647">
        <f>WWWW[[#This Row],['#_Constructed/Existing water distribution system from river or natural spring]]</f>
        <v>0</v>
      </c>
      <c r="BY338"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338"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338" s="648">
        <f>IF(WWWW[[#This Row],[Location Type 1]]="Village",WWWW[[#This Row],[Access to safe drinking water for Village]],WWWW[[#This Row],[Access to safe drinking water for Camp]])</f>
        <v>1</v>
      </c>
      <c r="CB338" s="645">
        <f>WWWW[[#This Row],[%Equitable and continuous access to sufficient quantity of safe drinking water]]*WWWW[[#This Row],[Total PoP ]]</f>
        <v>2920</v>
      </c>
      <c r="CC338" s="648">
        <f>IF((WWWW[[#This Row],['#_Constructed/Existing protected/fenced ponds]]*250)/WWWW[[#This Row],[Total PoP ]]&gt;1,1,(WWWW[[#This Row],['#_Constructed/Existing protected/fenced ponds]]*250)/WWWW[[#This Row],[Total PoP ]])</f>
        <v>0.42808219178082191</v>
      </c>
      <c r="CD338" s="645">
        <f>WWWW[[#This Row],[% Access to unimproved water points]]*WWWW[[#This Row],[Total PoP ]]</f>
        <v>1250</v>
      </c>
      <c r="CE338"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38"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2920</v>
      </c>
      <c r="CG338" s="645">
        <f>WWWW[[#This Row],[HRP1]]/500</f>
        <v>5.84</v>
      </c>
      <c r="CH338" s="650">
        <f>1-WWWW[[#This Row],[% Equitable and continuous access to sufficient quantity of domestic water]]</f>
        <v>0</v>
      </c>
      <c r="CI338" s="645">
        <f>WWWW[[#This Row],[%equitable and continuous access to sufficient quantity of safe drinking and domestic water''s GAP]]*WWWW[[#This Row],[Total PoP ]]</f>
        <v>0</v>
      </c>
      <c r="CJ338" s="647">
        <f>IF(WWWW[[#This Row],[Total required water points]]-WWWW[[#This Row],['#Water points coverage]]&lt;0,0,WWWW[[#This Row],[Total required water points]]-WWWW[[#This Row],['#Water points coverage]])</f>
        <v>0.16000000000000014</v>
      </c>
      <c r="CK338" s="647">
        <f>ROUND(IF(WWWW[[#This Row],[Total PoP ]]&lt;500,1,WWWW[[#This Row],[Total PoP ]]/500),0)</f>
        <v>6</v>
      </c>
      <c r="CL338" s="647">
        <f>(WWWW[[#This Row],['#_Constructed latrines_by_WASHAgencies]]+WWWW[[#This Row],['#_Non Cluster partner latrines]])-WWWW[[#This Row],['#_Non-functional latrines]]</f>
        <v>197</v>
      </c>
      <c r="CM338"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338"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2920</v>
      </c>
      <c r="CO338"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20</v>
      </c>
      <c r="CP338" s="647">
        <f>IF(WWWW[[#This Row],[Location Type 1]]="Village","NA",IF(WWWW[[#This Row],['#_Constructed/Existing latrines in TLS]]*50&gt;WWWW[[#This Row],['#_students at TLS_CFS]],WWWW[[#This Row],['#_students at TLS_CFS]],(WWWW[[#This Row],['#_Constructed/Existing latrines in TLS]]*50)))</f>
        <v>0</v>
      </c>
      <c r="CQ338" s="647">
        <f>ROUND(IF(WWWW[[#This Row],[Location Type 1]]="camp",WWWW[[#This Row],[Total PoP ]]/20,IF(WWWW[[#This Row],[Location Type 1]]="Temporary Location",WWWW[[#This Row],[Total PoP ]]/50,(WWWW[[#This Row],[Total PoP ]]/6))),0)</f>
        <v>146</v>
      </c>
      <c r="CR338" s="647">
        <f>IF(WWWW[[#This Row],[Total required Latrines]]-(WWWW[[#This Row],['#_Constructed latrines_by_WASHAgencies]]+WWWW[[#This Row],['#_Non Cluster partner latrines]])&lt;0,0,WWWW[[#This Row],[Total required Latrines]]-(WWWW[[#This Row],['#_Constructed latrines_by_WASHAgencies]]+WWWW[[#This Row],['#_Non Cluster partner latrines]]))</f>
        <v>0</v>
      </c>
      <c r="CS338" s="79">
        <f>1-WWWW[[#This Row],[% people access to functioning Latrine]]</f>
        <v>0</v>
      </c>
      <c r="CT338" s="649">
        <f>IF(OR(WWWW[[#This Row],['#_Non-functional latrines]]="",WWWW[[#This Row],['#_Non-functional latrines]]=0),0,WWWW[[#This Row],['#_Non-functional latrines]]/(WWWW[[#This Row],['#_Constructed latrines_by_WASHAgencies]]+WWWW[[#This Row],['#_Non Cluster partner latrines]]))</f>
        <v>0</v>
      </c>
      <c r="CU338" s="645">
        <f>IF(500*(WWWW[[#This Row],['#_male hygiene promoters]]+WWWW[[#This Row],['#_female hygiene promoters]])&gt;WWWW[[#This Row],[Total PoP ]],WWWW[[#This Row],[Total PoP ]],500*(WWWW[[#This Row],['#_male hygiene promoters]]+WWWW[[#This Row],['#_female hygiene promoters]]))</f>
        <v>2920</v>
      </c>
      <c r="CV338"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2920</v>
      </c>
      <c r="CW338"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2920</v>
      </c>
      <c r="CX338" s="647">
        <f>IF(WWWW[[#This Row],['# People with access to soap]]&gt;WWWW[[#This Row],['# People with access to Sanity Pads]],WWWW[[#This Row],['# People with access to soap]],WWWW[[#This Row],['# People with access to Sanity Pads]])</f>
        <v>2920</v>
      </c>
      <c r="CY338" s="647">
        <f>IF(WWWW[[#This Row],['# people reached by regular dedicated hygiene promotion_5]]&gt;WWWW[[#This Row],['# People received regular supply of hygiene items_6]],WWWW[[#This Row],['# people reached by regular dedicated hygiene promotion_5]],WWWW[[#This Row],['# People received regular supply of hygiene items_6]])</f>
        <v>2920</v>
      </c>
      <c r="CZ338" s="650">
        <f>IF(WWWW[[#This Row],[HRP3]]/WWWW[[#This Row],[Total PoP ]]&gt;100%,100%,WWWW[[#This Row],[HRP3]]/WWWW[[#This Row],[Total PoP ]])</f>
        <v>1</v>
      </c>
      <c r="DA338" s="649">
        <f>1-WWWW[[#This Row],[Hygiene Coverage%]]</f>
        <v>0</v>
      </c>
      <c r="DB338" s="648">
        <f>WWWW[[#This Row],['# people reached by regular dedicated hygiene promotion_5]]/WWWW[[#This Row],[Total PoP ]]</f>
        <v>1</v>
      </c>
      <c r="DC338" s="648">
        <f>IF(WWWW[[#This Row],['#_households that received standard amount of soap for this quarter]]/WWWW[[#This Row],[Total HH]]&gt;1,1,WWWW[[#This Row],['#_households that received standard amount of soap for this quarter]]/WWWW[[#This Row],[Total HH]])</f>
        <v>1</v>
      </c>
      <c r="DD338" s="648">
        <f>IF(WWWW[[#This Row],['#_households that received standard amount of sanitary pads for this quarter]]/WWWW[[#This Row],[Total HH]]&gt;1,1,WWWW[[#This Row],['#_households that received standard amount of sanitary pads for this quarter]]/WWWW[[#This Row],[Total HH]])</f>
        <v>1</v>
      </c>
      <c r="DE338" s="647">
        <f>WWWW[[#This Row],['#_Constructed/Existing hand washing stations]]-WWWW[[#This Row],['#_Non-Functional_hand_washing_stations]]</f>
        <v>0</v>
      </c>
      <c r="DF338" s="667">
        <f>IF(WWWW[[#This Row],['# Functional hand washing stations during reporting period]]*20&gt;WWWW[[#This Row],[Total HH]],WWWW[[#This Row],[Total HH]],WWWW[[#This Row],['# Functional hand washing stations during reporting period]]*20)</f>
        <v>0</v>
      </c>
      <c r="DG338" s="645">
        <f>IF(WWWW[[#This Row],[Is sufficient soap available for TLS? (Yes/No)]]="yes",WWWW[[#This Row],['#_Constructed/Existing hand washing stations at TLS]],0)</f>
        <v>0</v>
      </c>
      <c r="DH338" s="645">
        <f>IF(WWWW[[#This Row],['# Functional hand washing stations during reporting period]]*100&gt;WWWW[[#This Row],[Total PoP ]],WWWW[[#This Row],[Total PoP ]],WWWW[[#This Row],['# Functional hand washing stations during reporting period]]*100)</f>
        <v>0</v>
      </c>
      <c r="DI338" s="645" t="str">
        <f>IF(WWWW[[#This Row],['#_students at TLS_CFS]]="","No","Yes")</f>
        <v>No</v>
      </c>
      <c r="DJ338" s="643" t="str">
        <f>VLOOKUP(WWWW[[#This Row],[Site Name]],SiteDB6[[Site Name]:[CCCM Management]],6,FALSE)</f>
        <v>Yes</v>
      </c>
      <c r="DK338" s="643">
        <f>VLOOKUP(WWWW[[#This Row],[Site Name]],SiteDB6[[Site Name]:[CCCM Focal Agency]],7,FALSE)</f>
        <v>0</v>
      </c>
      <c r="DL338" s="643" t="str">
        <f>VLOOKUP(WWWW[[#This Row],[Site Name]],SiteDB6[[Site Name]:[Location Type 1]],9,FALSE)</f>
        <v>Camp</v>
      </c>
      <c r="DM338" s="643" t="str">
        <f>VLOOKUP(WWWW[[#This Row],[Site Name]],SiteDB6[[Site Name]:[Type of Accommodation]],10,FALSE)</f>
        <v>Planned Camp</v>
      </c>
      <c r="DN338" s="643" t="str">
        <f>VLOOKUP(WWWW[[#This Row],[Site Name]],SiteDB6[[Site Name]:[Ethnic or GCA/NGCA]],11,FALSE)</f>
        <v>Muslim</v>
      </c>
      <c r="DO338" s="643">
        <f>VLOOKUP(WWWW[[#This Row],[Site Name]],SiteDB6[[Site Name]:[Lat]],12,FALSE)</f>
        <v>20.037655000000001</v>
      </c>
      <c r="DP338" s="643">
        <f>VLOOKUP(WWWW[[#This Row],[Site Name]],SiteDB6[[Site Name]:[Long]],13,FALSE)</f>
        <v>93.370037999999994</v>
      </c>
      <c r="DQ338" s="643" t="str">
        <f>VLOOKUP(WWWW[[#This Row],[Site Name]],SiteDB6[[Site Name]:[Pcode]],3,FALSE)</f>
        <v>MMR012CMP014</v>
      </c>
      <c r="DR338" s="652" t="str">
        <f t="shared" si="11"/>
        <v>Covered</v>
      </c>
      <c r="DS338" s="652"/>
    </row>
    <row r="339" spans="1:123">
      <c r="A339" s="637" t="s">
        <v>2525</v>
      </c>
      <c r="B339" s="637" t="s">
        <v>416</v>
      </c>
      <c r="C339" s="644" t="s">
        <v>416</v>
      </c>
      <c r="D339" s="644" t="s">
        <v>249</v>
      </c>
      <c r="E339" s="663" t="s">
        <v>3014</v>
      </c>
      <c r="F339" s="644" t="s">
        <v>417</v>
      </c>
      <c r="G339" s="663" t="str">
        <f>VLOOKUP(WWWW[[#This Row],[Site Name]],SiteDB6[[Site Name]:[Location Type]],8,FALSE)</f>
        <v>Village</v>
      </c>
      <c r="H339" s="644" t="s">
        <v>419</v>
      </c>
      <c r="I339" s="646">
        <v>40</v>
      </c>
      <c r="J339" s="646">
        <v>217</v>
      </c>
      <c r="K339" s="653"/>
      <c r="L339" s="654">
        <v>43896</v>
      </c>
      <c r="M339" s="646"/>
      <c r="N339" s="646"/>
      <c r="O339" s="646"/>
      <c r="P339" s="646"/>
      <c r="Q339" s="645" t="s">
        <v>144</v>
      </c>
      <c r="R339" s="646"/>
      <c r="S339" s="646"/>
      <c r="T339" s="646"/>
      <c r="U339" s="646"/>
      <c r="V339" s="646"/>
      <c r="W339" s="646"/>
      <c r="X339" s="646"/>
      <c r="Y339" s="646"/>
      <c r="Z339" s="646"/>
      <c r="AA339" s="646"/>
      <c r="AB339" s="646"/>
      <c r="AC339" s="646"/>
      <c r="AD339" s="646"/>
      <c r="AE339" s="646"/>
      <c r="AF339" s="646"/>
      <c r="AG339" s="646"/>
      <c r="AH339" s="646"/>
      <c r="AI339" s="646"/>
      <c r="AJ339" s="646"/>
      <c r="AK339" s="646"/>
      <c r="AL339" s="646"/>
      <c r="AM339" s="646"/>
      <c r="AN339" s="646"/>
      <c r="AO339" s="652"/>
      <c r="AP339" s="646"/>
      <c r="AQ339" s="646"/>
      <c r="AR339" s="648"/>
      <c r="AS339" s="646"/>
      <c r="AT339" s="646"/>
      <c r="AU339" s="646"/>
      <c r="AV339" s="646"/>
      <c r="AW339" s="646"/>
      <c r="AX339" s="643"/>
      <c r="AY339" s="652"/>
      <c r="AZ339" s="646"/>
      <c r="BA339" s="646"/>
      <c r="BB339" s="646"/>
      <c r="BC339" s="643"/>
      <c r="BD339" s="646"/>
      <c r="BE339" s="646"/>
      <c r="BF339" s="646"/>
      <c r="BG339" s="646"/>
      <c r="BH339" s="646"/>
      <c r="BI339" s="646"/>
      <c r="BJ339" s="646">
        <v>2</v>
      </c>
      <c r="BK339" s="646">
        <v>40</v>
      </c>
      <c r="BL339" s="646">
        <v>40</v>
      </c>
      <c r="BM339" s="643"/>
      <c r="BN339" s="647"/>
      <c r="BO339" s="648"/>
      <c r="BP339" s="643"/>
      <c r="BQ339" s="649" t="str">
        <f>IFERROR(WWWW[[#This Row],['#_Water sources treated]]/WWWW[[#This Row],['#_Water sources tested for contamination]],"no test")</f>
        <v>no test</v>
      </c>
      <c r="BR339" s="648" t="str">
        <f>IFERROR(WWWW[[#This Row],['#_Household received remediation action due to contamination]]/WWWW[[#This Row],['#_Household water samples tested for contamination]],"no test")</f>
        <v>no test</v>
      </c>
      <c r="BS339" s="647" t="str">
        <f>IF(AND(WWWW[[#This Row],[% of water sources treated]]="no test",WWWW[[#This Row],[% Household received corrective actions]]="no test"),"No Test","Tested")</f>
        <v>No Test</v>
      </c>
      <c r="BT339" s="647">
        <f>WWWW[[#This Row],['#_Constructed/existing protected hand dug well]]-WWWW[[#This Row],['#_Non-functional protected hand dug well]]</f>
        <v>0</v>
      </c>
      <c r="BU339" s="647">
        <f>(WWWW[[#This Row],['#_Constructed/Existing tube wells/boreholes/handpumps_WASH_agency]]+WWWW[[#This Row],['#_Non-Cluster partner water tube-wells/boreholes/handpumps]])-WWWW[[#This Row],['#_Non-functional tube wells/boreholes/handpumps]]</f>
        <v>0</v>
      </c>
      <c r="BV339" s="647">
        <f>WWWW[[#This Row],['#_Constructed/Existingwater storage tank with gravity fed reticulation system]]-WWWW[[#This Row],['#_Non-functional storage tank gravity fed reticulation system]]</f>
        <v>0</v>
      </c>
      <c r="BW339" s="647">
        <f>WWWW[[#This Row],['#_Water boating or water trucking]]</f>
        <v>0</v>
      </c>
      <c r="BX339" s="647">
        <f>WWWW[[#This Row],['#_Constructed/Existing water distribution system from river or natural spring]]</f>
        <v>0</v>
      </c>
      <c r="BY339"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39"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39" s="648">
        <f>IF(WWWW[[#This Row],[Location Type 1]]="Village",WWWW[[#This Row],[Access to safe drinking water for Village]],WWWW[[#This Row],[Access to safe drinking water for Camp]])</f>
        <v>0</v>
      </c>
      <c r="CB339" s="645">
        <f>WWWW[[#This Row],[%Equitable and continuous access to sufficient quantity of safe drinking water]]*WWWW[[#This Row],[Total PoP ]]</f>
        <v>0</v>
      </c>
      <c r="CC339" s="648">
        <f>IF((WWWW[[#This Row],['#_Constructed/Existing protected/fenced ponds]]*250)/WWWW[[#This Row],[Total PoP ]]&gt;1,1,(WWWW[[#This Row],['#_Constructed/Existing protected/fenced ponds]]*250)/WWWW[[#This Row],[Total PoP ]])</f>
        <v>0</v>
      </c>
      <c r="CD339" s="645">
        <f>WWWW[[#This Row],[% Access to unimproved water points]]*WWWW[[#This Row],[Total PoP ]]</f>
        <v>0</v>
      </c>
      <c r="CE339"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39"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39" s="645">
        <f>WWWW[[#This Row],[HRP1]]/500</f>
        <v>0</v>
      </c>
      <c r="CH339" s="650">
        <f>1-WWWW[[#This Row],[% Equitable and continuous access to sufficient quantity of domestic water]]</f>
        <v>1</v>
      </c>
      <c r="CI339" s="645">
        <f>WWWW[[#This Row],[%equitable and continuous access to sufficient quantity of safe drinking and domestic water''s GAP]]*WWWW[[#This Row],[Total PoP ]]</f>
        <v>217</v>
      </c>
      <c r="CJ339" s="647">
        <f>IF(WWWW[[#This Row],[Total required water points]]-WWWW[[#This Row],['#Water points coverage]]&lt;0,0,WWWW[[#This Row],[Total required water points]]-WWWW[[#This Row],['#Water points coverage]])</f>
        <v>1</v>
      </c>
      <c r="CK339" s="647">
        <f>ROUND(IF(WWWW[[#This Row],[Total PoP ]]&lt;500,1,WWWW[[#This Row],[Total PoP ]]/500),0)</f>
        <v>1</v>
      </c>
      <c r="CL339" s="647">
        <f>(WWWW[[#This Row],['#_Constructed latrines_by_WASHAgencies]]+WWWW[[#This Row],['#_Non Cluster partner latrines]])-WWWW[[#This Row],['#_Non-functional latrines]]</f>
        <v>0</v>
      </c>
      <c r="CM339"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39"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39"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39" s="647" t="str">
        <f>IF(WWWW[[#This Row],[Location Type 1]]="Village","NA",IF(WWWW[[#This Row],['#_Constructed/Existing latrines in TLS]]*50&gt;WWWW[[#This Row],['#_students at TLS_CFS]],WWWW[[#This Row],['#_students at TLS_CFS]],(WWWW[[#This Row],['#_Constructed/Existing latrines in TLS]]*50)))</f>
        <v>NA</v>
      </c>
      <c r="CQ339" s="647">
        <f>ROUND(IF(WWWW[[#This Row],[Location Type 1]]="camp",WWWW[[#This Row],[Total PoP ]]/20,IF(WWWW[[#This Row],[Location Type 1]]="Temporary Location",WWWW[[#This Row],[Total PoP ]]/50,(WWWW[[#This Row],[Total PoP ]]/6))),0)</f>
        <v>36</v>
      </c>
      <c r="CR339" s="647">
        <f>IF(WWWW[[#This Row],[Total required Latrines]]-(WWWW[[#This Row],['#_Constructed latrines_by_WASHAgencies]]+WWWW[[#This Row],['#_Non Cluster partner latrines]])&lt;0,0,WWWW[[#This Row],[Total required Latrines]]-(WWWW[[#This Row],['#_Constructed latrines_by_WASHAgencies]]+WWWW[[#This Row],['#_Non Cluster partner latrines]]))</f>
        <v>36</v>
      </c>
      <c r="CS339" s="79">
        <f>1-WWWW[[#This Row],[% people access to functioning Latrine]]</f>
        <v>1</v>
      </c>
      <c r="CT339" s="649">
        <f>IF(OR(WWWW[[#This Row],['#_Non-functional latrines]]="",WWWW[[#This Row],['#_Non-functional latrines]]=0),0,WWWW[[#This Row],['#_Non-functional latrines]]/(WWWW[[#This Row],['#_Constructed latrines_by_WASHAgencies]]+WWWW[[#This Row],['#_Non Cluster partner latrines]]))</f>
        <v>0</v>
      </c>
      <c r="CU339" s="645">
        <f>IF(500*(WWWW[[#This Row],['#_male hygiene promoters]]+WWWW[[#This Row],['#_female hygiene promoters]])&gt;WWWW[[#This Row],[Total PoP ]],WWWW[[#This Row],[Total PoP ]],500*(WWWW[[#This Row],['#_male hygiene promoters]]+WWWW[[#This Row],['#_female hygiene promoters]]))</f>
        <v>217</v>
      </c>
      <c r="CV339"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217</v>
      </c>
      <c r="CW339"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217</v>
      </c>
      <c r="CX339" s="647">
        <f>IF(WWWW[[#This Row],['# People with access to soap]]&gt;WWWW[[#This Row],['# People with access to Sanity Pads]],WWWW[[#This Row],['# People with access to soap]],WWWW[[#This Row],['# People with access to Sanity Pads]])</f>
        <v>217</v>
      </c>
      <c r="CY339" s="647">
        <f>IF(WWWW[[#This Row],['# people reached by regular dedicated hygiene promotion_5]]&gt;WWWW[[#This Row],['# People received regular supply of hygiene items_6]],WWWW[[#This Row],['# people reached by regular dedicated hygiene promotion_5]],WWWW[[#This Row],['# People received regular supply of hygiene items_6]])</f>
        <v>217</v>
      </c>
      <c r="CZ339" s="650">
        <f>IF(WWWW[[#This Row],[HRP3]]/WWWW[[#This Row],[Total PoP ]]&gt;100%,100%,WWWW[[#This Row],[HRP3]]/WWWW[[#This Row],[Total PoP ]])</f>
        <v>1</v>
      </c>
      <c r="DA339" s="649">
        <f>1-WWWW[[#This Row],[Hygiene Coverage%]]</f>
        <v>0</v>
      </c>
      <c r="DB339" s="648">
        <f>WWWW[[#This Row],['# people reached by regular dedicated hygiene promotion_5]]/WWWW[[#This Row],[Total PoP ]]</f>
        <v>1</v>
      </c>
      <c r="DC339" s="648">
        <f>IF(WWWW[[#This Row],['#_households that received standard amount of soap for this quarter]]/WWWW[[#This Row],[Total HH]]&gt;1,1,WWWW[[#This Row],['#_households that received standard amount of soap for this quarter]]/WWWW[[#This Row],[Total HH]])</f>
        <v>1</v>
      </c>
      <c r="DD339" s="648">
        <f>IF(WWWW[[#This Row],['#_households that received standard amount of sanitary pads for this quarter]]/WWWW[[#This Row],[Total HH]]&gt;1,1,WWWW[[#This Row],['#_households that received standard amount of sanitary pads for this quarter]]/WWWW[[#This Row],[Total HH]])</f>
        <v>1</v>
      </c>
      <c r="DE339" s="647">
        <f>WWWW[[#This Row],['#_Constructed/Existing hand washing stations]]-WWWW[[#This Row],['#_Non-Functional_hand_washing_stations]]</f>
        <v>0</v>
      </c>
      <c r="DF339" s="667">
        <f>IF(WWWW[[#This Row],['# Functional hand washing stations during reporting period]]*20&gt;WWWW[[#This Row],[Total HH]],WWWW[[#This Row],[Total HH]],WWWW[[#This Row],['# Functional hand washing stations during reporting period]]*20)</f>
        <v>0</v>
      </c>
      <c r="DG339" s="645">
        <f>IF(WWWW[[#This Row],[Is sufficient soap available for TLS? (Yes/No)]]="yes",WWWW[[#This Row],['#_Constructed/Existing hand washing stations at TLS]],0)</f>
        <v>0</v>
      </c>
      <c r="DH339" s="645">
        <f>IF(WWWW[[#This Row],['# Functional hand washing stations during reporting period]]*100&gt;WWWW[[#This Row],[Total PoP ]],WWWW[[#This Row],[Total PoP ]],WWWW[[#This Row],['# Functional hand washing stations during reporting period]]*100)</f>
        <v>0</v>
      </c>
      <c r="DI339" s="645" t="str">
        <f>IF(WWWW[[#This Row],['#_students at TLS_CFS]]="","No","Yes")</f>
        <v>No</v>
      </c>
      <c r="DJ339" s="643">
        <f>VLOOKUP(WWWW[[#This Row],[Site Name]],SiteDB6[[Site Name]:[CCCM Management]],6,FALSE)</f>
        <v>0</v>
      </c>
      <c r="DK339" s="643">
        <f>VLOOKUP(WWWW[[#This Row],[Site Name]],SiteDB6[[Site Name]:[CCCM Focal Agency]],7,FALSE)</f>
        <v>0</v>
      </c>
      <c r="DL339" s="643" t="str">
        <f>VLOOKUP(WWWW[[#This Row],[Site Name]],SiteDB6[[Site Name]:[Location Type 1]],9,FALSE)</f>
        <v>Village</v>
      </c>
      <c r="DM339" s="643" t="str">
        <f>VLOOKUP(WWWW[[#This Row],[Site Name]],SiteDB6[[Site Name]:[Type of Accommodation]],10,FALSE)</f>
        <v>Relocated</v>
      </c>
      <c r="DN339" s="643" t="str">
        <f>VLOOKUP(WWWW[[#This Row],[Site Name]],SiteDB6[[Site Name]:[Ethnic or GCA/NGCA]],11,FALSE)</f>
        <v>Rakhine</v>
      </c>
      <c r="DO339" s="643">
        <f>VLOOKUP(WWWW[[#This Row],[Site Name]],SiteDB6[[Site Name]:[Lat]],12,FALSE)</f>
        <v>20.041981</v>
      </c>
      <c r="DP339" s="643">
        <f>VLOOKUP(WWWW[[#This Row],[Site Name]],SiteDB6[[Site Name]:[Long]],13,FALSE)</f>
        <v>93.373951000000005</v>
      </c>
      <c r="DQ339" s="643" t="str">
        <f>VLOOKUP(WWWW[[#This Row],[Site Name]],SiteDB6[[Site Name]:[Pcode]],3,FALSE)</f>
        <v>MMR012CMP013</v>
      </c>
      <c r="DR339" s="652" t="str">
        <f t="shared" si="11"/>
        <v>Covered</v>
      </c>
      <c r="DS339" s="652"/>
    </row>
    <row r="340" spans="1:123">
      <c r="A340" s="637" t="s">
        <v>2525</v>
      </c>
      <c r="B340" s="637" t="s">
        <v>284</v>
      </c>
      <c r="C340" s="644" t="s">
        <v>284</v>
      </c>
      <c r="D340" s="644" t="s">
        <v>249</v>
      </c>
      <c r="E340" s="663" t="s">
        <v>3014</v>
      </c>
      <c r="F340" s="644" t="s">
        <v>420</v>
      </c>
      <c r="G340" s="663" t="str">
        <f>VLOOKUP(WWWW[[#This Row],[Site Name]],SiteDB6[[Site Name]:[Location Type]],8,FALSE)</f>
        <v>Camp</v>
      </c>
      <c r="H340" s="644" t="s">
        <v>428</v>
      </c>
      <c r="I340" s="646">
        <v>1320</v>
      </c>
      <c r="J340" s="646">
        <v>6042</v>
      </c>
      <c r="K340" s="653">
        <v>43435</v>
      </c>
      <c r="L340" s="654">
        <v>43799</v>
      </c>
      <c r="M340" s="646"/>
      <c r="N340" s="646"/>
      <c r="O340" s="646">
        <v>121</v>
      </c>
      <c r="P340" s="646" t="s">
        <v>2941</v>
      </c>
      <c r="Q340" s="645" t="s">
        <v>43</v>
      </c>
      <c r="R340" s="646"/>
      <c r="S340" s="646"/>
      <c r="T340" s="646">
        <v>0</v>
      </c>
      <c r="U340" s="646">
        <v>0</v>
      </c>
      <c r="V340" s="646">
        <v>0</v>
      </c>
      <c r="W340" s="646">
        <v>0</v>
      </c>
      <c r="X340" s="646">
        <v>0</v>
      </c>
      <c r="Y340" s="646">
        <v>0</v>
      </c>
      <c r="Z340" s="646">
        <v>0</v>
      </c>
      <c r="AA340" s="646">
        <v>29</v>
      </c>
      <c r="AB340" s="646">
        <v>0</v>
      </c>
      <c r="AC340" s="646">
        <v>29</v>
      </c>
      <c r="AD340" s="646">
        <v>0</v>
      </c>
      <c r="AE340" s="646">
        <v>23</v>
      </c>
      <c r="AF340" s="646">
        <v>0</v>
      </c>
      <c r="AG340" s="646"/>
      <c r="AH340" s="646">
        <v>0</v>
      </c>
      <c r="AI340" s="646">
        <v>1</v>
      </c>
      <c r="AJ340" s="646">
        <v>1</v>
      </c>
      <c r="AK340" s="646">
        <v>16</v>
      </c>
      <c r="AL340" s="646">
        <v>4</v>
      </c>
      <c r="AM340" s="646" t="s">
        <v>2941</v>
      </c>
      <c r="AN340" s="646" t="s">
        <v>2941</v>
      </c>
      <c r="AO340" s="652" t="s">
        <v>2932</v>
      </c>
      <c r="AP340" s="646">
        <v>184</v>
      </c>
      <c r="AQ340" s="646">
        <v>0</v>
      </c>
      <c r="AR340" s="648"/>
      <c r="AS340" s="646">
        <v>45</v>
      </c>
      <c r="AT340" s="646">
        <v>184</v>
      </c>
      <c r="AU340" s="646"/>
      <c r="AV340" s="646"/>
      <c r="AW340" s="646"/>
      <c r="AX340" s="643" t="s">
        <v>43</v>
      </c>
      <c r="AY340" s="652" t="s">
        <v>145</v>
      </c>
      <c r="AZ340" s="646">
        <v>0</v>
      </c>
      <c r="BA340" s="646">
        <v>0</v>
      </c>
      <c r="BB340" s="646"/>
      <c r="BC340" s="643"/>
      <c r="BD340" s="646">
        <v>0</v>
      </c>
      <c r="BE340" s="646">
        <v>0</v>
      </c>
      <c r="BF340" s="646">
        <v>0</v>
      </c>
      <c r="BG340" s="646">
        <v>0</v>
      </c>
      <c r="BH340" s="646">
        <v>0</v>
      </c>
      <c r="BI340" s="646">
        <v>12</v>
      </c>
      <c r="BJ340" s="646">
        <v>7</v>
      </c>
      <c r="BK340" s="646">
        <v>1320</v>
      </c>
      <c r="BL340" s="646">
        <v>1320</v>
      </c>
      <c r="BM340" s="643" t="s">
        <v>144</v>
      </c>
      <c r="BN340" s="647">
        <v>0</v>
      </c>
      <c r="BO340" s="648"/>
      <c r="BP340" s="643" t="s">
        <v>2933</v>
      </c>
      <c r="BQ340" s="649">
        <f>IFERROR(WWWW[[#This Row],['#_Water sources treated]]/WWWW[[#This Row],['#_Water sources tested for contamination]],"no test")</f>
        <v>1</v>
      </c>
      <c r="BR340" s="648">
        <f>IFERROR(WWWW[[#This Row],['#_Household received remediation action due to contamination]]/WWWW[[#This Row],['#_Household water samples tested for contamination]],"no test")</f>
        <v>0.25</v>
      </c>
      <c r="BS340" s="647" t="str">
        <f>IF(AND(WWWW[[#This Row],[% of water sources treated]]="no test",WWWW[[#This Row],[% Household received corrective actions]]="no test"),"No Test","Tested")</f>
        <v>Tested</v>
      </c>
      <c r="BT340" s="647">
        <f>WWWW[[#This Row],['#_Constructed/existing protected hand dug well]]-WWWW[[#This Row],['#_Non-functional protected hand dug well]]</f>
        <v>0</v>
      </c>
      <c r="BU340" s="647">
        <f>(WWWW[[#This Row],['#_Constructed/Existing tube wells/boreholes/handpumps_WASH_agency]]+WWWW[[#This Row],['#_Non-Cluster partner water tube-wells/boreholes/handpumps]])-WWWW[[#This Row],['#_Non-functional tube wells/boreholes/handpumps]]</f>
        <v>0</v>
      </c>
      <c r="BV340" s="647">
        <f>WWWW[[#This Row],['#_Constructed/Existingwater storage tank with gravity fed reticulation system]]-WWWW[[#This Row],['#_Non-functional storage tank gravity fed reticulation system]]</f>
        <v>29</v>
      </c>
      <c r="BW340" s="647">
        <f>WWWW[[#This Row],['#_Water boating or water trucking]]</f>
        <v>0</v>
      </c>
      <c r="BX340" s="647">
        <f>WWWW[[#This Row],['#_Constructed/Existing water distribution system from river or natural spring]]</f>
        <v>0</v>
      </c>
      <c r="BY340"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0.31998234580161095</v>
      </c>
      <c r="BZ340"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0.31998234580161095</v>
      </c>
      <c r="CA340" s="648">
        <f>IF(WWWW[[#This Row],[Location Type 1]]="Village",WWWW[[#This Row],[Access to safe drinking water for Village]],WWWW[[#This Row],[Access to safe drinking water for Camp]])</f>
        <v>0.31998234580161095</v>
      </c>
      <c r="CB340" s="645">
        <f>WWWW[[#This Row],[%Equitable and continuous access to sufficient quantity of safe drinking water]]*WWWW[[#This Row],[Total PoP ]]</f>
        <v>1933.3333333333333</v>
      </c>
      <c r="CC340" s="648">
        <f>IF((WWWW[[#This Row],['#_Constructed/Existing protected/fenced ponds]]*250)/WWWW[[#This Row],[Total PoP ]]&gt;1,1,(WWWW[[#This Row],['#_Constructed/Existing protected/fenced ponds]]*250)/WWWW[[#This Row],[Total PoP ]])</f>
        <v>0.95167163190996362</v>
      </c>
      <c r="CD340" s="645">
        <f>WWWW[[#This Row],[% Access to unimproved water points]]*WWWW[[#This Row],[Total PoP ]]</f>
        <v>5750</v>
      </c>
      <c r="CE340"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40"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6042</v>
      </c>
      <c r="CG340" s="645">
        <f>WWWW[[#This Row],[HRP1]]/500</f>
        <v>12.084</v>
      </c>
      <c r="CH340" s="650">
        <f>1-WWWW[[#This Row],[% Equitable and continuous access to sufficient quantity of domestic water]]</f>
        <v>0</v>
      </c>
      <c r="CI340" s="645">
        <f>WWWW[[#This Row],[%equitable and continuous access to sufficient quantity of safe drinking and domestic water''s GAP]]*WWWW[[#This Row],[Total PoP ]]</f>
        <v>0</v>
      </c>
      <c r="CJ340" s="647">
        <f>IF(WWWW[[#This Row],[Total required water points]]-WWWW[[#This Row],['#Water points coverage]]&lt;0,0,WWWW[[#This Row],[Total required water points]]-WWWW[[#This Row],['#Water points coverage]])</f>
        <v>0</v>
      </c>
      <c r="CK340" s="647">
        <f>ROUND(IF(WWWW[[#This Row],[Total PoP ]]&lt;500,1,WWWW[[#This Row],[Total PoP ]]/500),0)</f>
        <v>12</v>
      </c>
      <c r="CL340" s="647">
        <f>(WWWW[[#This Row],['#_Constructed latrines_by_WASHAgencies]]+WWWW[[#This Row],['#_Non Cluster partner latrines]])-WWWW[[#This Row],['#_Non-functional latrines]]</f>
        <v>139</v>
      </c>
      <c r="CM340"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0.46011254551473024</v>
      </c>
      <c r="CN340"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2780</v>
      </c>
      <c r="CO340"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340" s="647">
        <f>IF(WWWW[[#This Row],[Location Type 1]]="Village","NA",IF(WWWW[[#This Row],['#_Constructed/Existing latrines in TLS]]*50&gt;WWWW[[#This Row],['#_students at TLS_CFS]],WWWW[[#This Row],['#_students at TLS_CFS]],(WWWW[[#This Row],['#_Constructed/Existing latrines in TLS]]*50)))</f>
        <v>0</v>
      </c>
      <c r="CQ340" s="647">
        <f>ROUND(IF(WWWW[[#This Row],[Location Type 1]]="camp",WWWW[[#This Row],[Total PoP ]]/20,IF(WWWW[[#This Row],[Location Type 1]]="Temporary Location",WWWW[[#This Row],[Total PoP ]]/50,(WWWW[[#This Row],[Total PoP ]]/6))),0)</f>
        <v>302</v>
      </c>
      <c r="CR340" s="647">
        <f>IF(WWWW[[#This Row],[Total required Latrines]]-(WWWW[[#This Row],['#_Constructed latrines_by_WASHAgencies]]+WWWW[[#This Row],['#_Non Cluster partner latrines]])&lt;0,0,WWWW[[#This Row],[Total required Latrines]]-(WWWW[[#This Row],['#_Constructed latrines_by_WASHAgencies]]+WWWW[[#This Row],['#_Non Cluster partner latrines]]))</f>
        <v>118</v>
      </c>
      <c r="CS340" s="79">
        <f>1-WWWW[[#This Row],[% people access to functioning Latrine]]</f>
        <v>0.53988745448526976</v>
      </c>
      <c r="CT340" s="649">
        <f>IF(OR(WWWW[[#This Row],['#_Non-functional latrines]]="",WWWW[[#This Row],['#_Non-functional latrines]]=0),0,WWWW[[#This Row],['#_Non-functional latrines]]/(WWWW[[#This Row],['#_Constructed latrines_by_WASHAgencies]]+WWWW[[#This Row],['#_Non Cluster partner latrines]]))</f>
        <v>0.24456521739130435</v>
      </c>
      <c r="CU340" s="645">
        <f>IF(500*(WWWW[[#This Row],['#_male hygiene promoters]]+WWWW[[#This Row],['#_female hygiene promoters]])&gt;WWWW[[#This Row],[Total PoP ]],WWWW[[#This Row],[Total PoP ]],500*(WWWW[[#This Row],['#_male hygiene promoters]]+WWWW[[#This Row],['#_female hygiene promoters]]))</f>
        <v>6042</v>
      </c>
      <c r="CV340"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6042</v>
      </c>
      <c r="CW340"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6042</v>
      </c>
      <c r="CX340" s="647">
        <f>IF(WWWW[[#This Row],['# People with access to soap]]&gt;WWWW[[#This Row],['# People with access to Sanity Pads]],WWWW[[#This Row],['# People with access to soap]],WWWW[[#This Row],['# People with access to Sanity Pads]])</f>
        <v>6042</v>
      </c>
      <c r="CY340" s="647">
        <f>IF(WWWW[[#This Row],['# people reached by regular dedicated hygiene promotion_5]]&gt;WWWW[[#This Row],['# People received regular supply of hygiene items_6]],WWWW[[#This Row],['# people reached by regular dedicated hygiene promotion_5]],WWWW[[#This Row],['# People received regular supply of hygiene items_6]])</f>
        <v>6042</v>
      </c>
      <c r="CZ340" s="650">
        <f>IF(WWWW[[#This Row],[HRP3]]/WWWW[[#This Row],[Total PoP ]]&gt;100%,100%,WWWW[[#This Row],[HRP3]]/WWWW[[#This Row],[Total PoP ]])</f>
        <v>1</v>
      </c>
      <c r="DA340" s="649">
        <f>1-WWWW[[#This Row],[Hygiene Coverage%]]</f>
        <v>0</v>
      </c>
      <c r="DB340" s="648">
        <f>WWWW[[#This Row],['# people reached by regular dedicated hygiene promotion_5]]/WWWW[[#This Row],[Total PoP ]]</f>
        <v>1</v>
      </c>
      <c r="DC340" s="648">
        <f>IF(WWWW[[#This Row],['#_households that received standard amount of soap for this quarter]]/WWWW[[#This Row],[Total HH]]&gt;1,1,WWWW[[#This Row],['#_households that received standard amount of soap for this quarter]]/WWWW[[#This Row],[Total HH]])</f>
        <v>1</v>
      </c>
      <c r="DD340" s="648">
        <f>IF(WWWW[[#This Row],['#_households that received standard amount of sanitary pads for this quarter]]/WWWW[[#This Row],[Total HH]]&gt;1,1,WWWW[[#This Row],['#_households that received standard amount of sanitary pads for this quarter]]/WWWW[[#This Row],[Total HH]])</f>
        <v>1</v>
      </c>
      <c r="DE340" s="647">
        <f>WWWW[[#This Row],['#_Constructed/Existing hand washing stations]]-WWWW[[#This Row],['#_Non-Functional_hand_washing_stations]]</f>
        <v>0</v>
      </c>
      <c r="DF340" s="667">
        <f>IF(WWWW[[#This Row],['# Functional hand washing stations during reporting period]]*20&gt;WWWW[[#This Row],[Total HH]],WWWW[[#This Row],[Total HH]],WWWW[[#This Row],['# Functional hand washing stations during reporting period]]*20)</f>
        <v>0</v>
      </c>
      <c r="DG340" s="645">
        <f>IF(WWWW[[#This Row],[Is sufficient soap available for TLS? (Yes/No)]]="yes",WWWW[[#This Row],['#_Constructed/Existing hand washing stations at TLS]],0)</f>
        <v>0</v>
      </c>
      <c r="DH340" s="645">
        <f>IF(WWWW[[#This Row],['# Functional hand washing stations during reporting period]]*100&gt;WWWW[[#This Row],[Total PoP ]],WWWW[[#This Row],[Total PoP ]],WWWW[[#This Row],['# Functional hand washing stations during reporting period]]*100)</f>
        <v>0</v>
      </c>
      <c r="DI340" s="645" t="str">
        <f>IF(WWWW[[#This Row],['#_students at TLS_CFS]]="","No","Yes")</f>
        <v>No</v>
      </c>
      <c r="DJ340" s="643" t="str">
        <f>VLOOKUP(WWWW[[#This Row],[Site Name]],SiteDB6[[Site Name]:[CCCM Management]],6,FALSE)</f>
        <v>Yes</v>
      </c>
      <c r="DK340" s="643">
        <f>VLOOKUP(WWWW[[#This Row],[Site Name]],SiteDB6[[Site Name]:[CCCM Focal Agency]],7,FALSE)</f>
        <v>0</v>
      </c>
      <c r="DL340" s="643" t="str">
        <f>VLOOKUP(WWWW[[#This Row],[Site Name]],SiteDB6[[Site Name]:[Location Type 1]],9,FALSE)</f>
        <v>Camp</v>
      </c>
      <c r="DM340" s="643" t="str">
        <f>VLOOKUP(WWWW[[#This Row],[Site Name]],SiteDB6[[Site Name]:[Type of Accommodation]],10,FALSE)</f>
        <v>Planned Camp</v>
      </c>
      <c r="DN340" s="643" t="str">
        <f>VLOOKUP(WWWW[[#This Row],[Site Name]],SiteDB6[[Site Name]:[Ethnic or GCA/NGCA]],11,FALSE)</f>
        <v>Muslim</v>
      </c>
      <c r="DO340" s="643">
        <f>VLOOKUP(WWWW[[#This Row],[Site Name]],SiteDB6[[Site Name]:[Lat]],12,FALSE)</f>
        <v>20.090183</v>
      </c>
      <c r="DP340" s="643">
        <f>VLOOKUP(WWWW[[#This Row],[Site Name]],SiteDB6[[Site Name]:[Long]],13,FALSE)</f>
        <v>93.010368999999997</v>
      </c>
      <c r="DQ340" s="643" t="str">
        <f>VLOOKUP(WWWW[[#This Row],[Site Name]],SiteDB6[[Site Name]:[Pcode]],3,FALSE)</f>
        <v>MMR012CMP018</v>
      </c>
      <c r="DR340" s="652" t="str">
        <f t="shared" si="11"/>
        <v>Covered</v>
      </c>
      <c r="DS340" s="652"/>
    </row>
    <row r="341" spans="1:123">
      <c r="A341" s="637" t="s">
        <v>2525</v>
      </c>
      <c r="B341" s="637" t="s">
        <v>284</v>
      </c>
      <c r="C341" s="644" t="s">
        <v>284</v>
      </c>
      <c r="D341" s="644" t="s">
        <v>2360</v>
      </c>
      <c r="E341" s="663" t="s">
        <v>3014</v>
      </c>
      <c r="F341" s="644" t="s">
        <v>420</v>
      </c>
      <c r="G341" s="663" t="str">
        <f>VLOOKUP(WWWW[[#This Row],[Site Name]],SiteDB6[[Site Name]:[Location Type]],8,FALSE)</f>
        <v>Village</v>
      </c>
      <c r="H341" s="644" t="s">
        <v>429</v>
      </c>
      <c r="I341" s="646">
        <v>400</v>
      </c>
      <c r="J341" s="646">
        <v>2050</v>
      </c>
      <c r="K341" s="653" t="s">
        <v>2934</v>
      </c>
      <c r="L341" s="654" t="s">
        <v>2935</v>
      </c>
      <c r="M341" s="646"/>
      <c r="N341" s="646"/>
      <c r="O341" s="646"/>
      <c r="P341" s="646" t="s">
        <v>2941</v>
      </c>
      <c r="Q341" s="645" t="s">
        <v>43</v>
      </c>
      <c r="R341" s="646">
        <v>2</v>
      </c>
      <c r="S341" s="646">
        <v>1</v>
      </c>
      <c r="T341" s="646">
        <v>0</v>
      </c>
      <c r="U341" s="646">
        <v>0</v>
      </c>
      <c r="V341" s="646">
        <v>0</v>
      </c>
      <c r="W341" s="646">
        <v>0</v>
      </c>
      <c r="X341" s="646">
        <v>0</v>
      </c>
      <c r="Y341" s="646">
        <v>0</v>
      </c>
      <c r="Z341" s="646">
        <v>0</v>
      </c>
      <c r="AA341" s="646"/>
      <c r="AB341" s="646"/>
      <c r="AC341" s="646"/>
      <c r="AD341" s="646"/>
      <c r="AE341" s="646">
        <v>3</v>
      </c>
      <c r="AF341" s="646">
        <v>0</v>
      </c>
      <c r="AG341" s="646"/>
      <c r="AH341" s="646">
        <v>0</v>
      </c>
      <c r="AI341" s="646"/>
      <c r="AJ341" s="646"/>
      <c r="AK341" s="646">
        <v>0</v>
      </c>
      <c r="AL341" s="646"/>
      <c r="AM341" s="646" t="s">
        <v>2941</v>
      </c>
      <c r="AN341" s="646" t="s">
        <v>2941</v>
      </c>
      <c r="AO341" s="652" t="s">
        <v>2936</v>
      </c>
      <c r="AP341" s="646">
        <v>400</v>
      </c>
      <c r="AQ341" s="646">
        <v>0</v>
      </c>
      <c r="AR341" s="648"/>
      <c r="AS341" s="646">
        <v>0</v>
      </c>
      <c r="AT341" s="646">
        <v>0</v>
      </c>
      <c r="AU341" s="646"/>
      <c r="AV341" s="646"/>
      <c r="AW341" s="646">
        <v>400</v>
      </c>
      <c r="AX341" s="643" t="s">
        <v>148</v>
      </c>
      <c r="AY341" s="652" t="s">
        <v>148</v>
      </c>
      <c r="AZ341" s="646">
        <v>0</v>
      </c>
      <c r="BA341" s="646">
        <v>0</v>
      </c>
      <c r="BB341" s="646"/>
      <c r="BC341" s="643" t="s">
        <v>2937</v>
      </c>
      <c r="BD341" s="646">
        <v>0</v>
      </c>
      <c r="BE341" s="646">
        <v>0</v>
      </c>
      <c r="BF341" s="646">
        <v>0</v>
      </c>
      <c r="BG341" s="646">
        <v>0</v>
      </c>
      <c r="BH341" s="646">
        <v>0</v>
      </c>
      <c r="BI341" s="646">
        <v>2</v>
      </c>
      <c r="BJ341" s="646">
        <v>1</v>
      </c>
      <c r="BK341" s="646">
        <v>456</v>
      </c>
      <c r="BL341" s="646">
        <v>456</v>
      </c>
      <c r="BM341" s="643" t="s">
        <v>144</v>
      </c>
      <c r="BN341" s="647">
        <v>3</v>
      </c>
      <c r="BO341" s="648"/>
      <c r="BP341" s="643" t="s">
        <v>2933</v>
      </c>
      <c r="BQ341" s="649" t="str">
        <f>IFERROR(WWWW[[#This Row],['#_Water sources treated]]/WWWW[[#This Row],['#_Water sources tested for contamination]],"no test")</f>
        <v>no test</v>
      </c>
      <c r="BR341" s="648" t="str">
        <f>IFERROR(WWWW[[#This Row],['#_Household received remediation action due to contamination]]/WWWW[[#This Row],['#_Household water samples tested for contamination]],"no test")</f>
        <v>no test</v>
      </c>
      <c r="BS341" s="647" t="str">
        <f>IF(AND(WWWW[[#This Row],[% of water sources treated]]="no test",WWWW[[#This Row],[% Household received corrective actions]]="no test"),"No Test","Tested")</f>
        <v>No Test</v>
      </c>
      <c r="BT341" s="647">
        <f>WWWW[[#This Row],['#_Constructed/existing protected hand dug well]]-WWWW[[#This Row],['#_Non-functional protected hand dug well]]</f>
        <v>0</v>
      </c>
      <c r="BU341" s="647">
        <f>(WWWW[[#This Row],['#_Constructed/Existing tube wells/boreholes/handpumps_WASH_agency]]+WWWW[[#This Row],['#_Non-Cluster partner water tube-wells/boreholes/handpumps]])-WWWW[[#This Row],['#_Non-functional tube wells/boreholes/handpumps]]</f>
        <v>0</v>
      </c>
      <c r="BV341" s="647">
        <f>WWWW[[#This Row],['#_Constructed/Existingwater storage tank with gravity fed reticulation system]]-WWWW[[#This Row],['#_Non-functional storage tank gravity fed reticulation system]]</f>
        <v>0</v>
      </c>
      <c r="BW341" s="647">
        <f>WWWW[[#This Row],['#_Water boating or water trucking]]</f>
        <v>0</v>
      </c>
      <c r="BX341" s="647">
        <f>WWWW[[#This Row],['#_Constructed/Existing water distribution system from river or natural spring]]</f>
        <v>0</v>
      </c>
      <c r="BY341"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41"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41" s="648">
        <f>IF(WWWW[[#This Row],[Location Type 1]]="Village",WWWW[[#This Row],[Access to safe drinking water for Village]],WWWW[[#This Row],[Access to safe drinking water for Camp]])</f>
        <v>0</v>
      </c>
      <c r="CB341" s="645">
        <f>WWWW[[#This Row],[%Equitable and continuous access to sufficient quantity of safe drinking water]]*WWWW[[#This Row],[Total PoP ]]</f>
        <v>0</v>
      </c>
      <c r="CC341" s="648">
        <f>IF((WWWW[[#This Row],['#_Constructed/Existing protected/fenced ponds]]*250)/WWWW[[#This Row],[Total PoP ]]&gt;1,1,(WWWW[[#This Row],['#_Constructed/Existing protected/fenced ponds]]*250)/WWWW[[#This Row],[Total PoP ]])</f>
        <v>0.36585365853658536</v>
      </c>
      <c r="CD341" s="645">
        <f>WWWW[[#This Row],[% Access to unimproved water points]]*WWWW[[#This Row],[Total PoP ]]</f>
        <v>750</v>
      </c>
      <c r="CE341"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0.36585365853658536</v>
      </c>
      <c r="CF341"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750</v>
      </c>
      <c r="CG341" s="645">
        <f>WWWW[[#This Row],[HRP1]]/500</f>
        <v>1.5</v>
      </c>
      <c r="CH341" s="650">
        <f>1-WWWW[[#This Row],[% Equitable and continuous access to sufficient quantity of domestic water]]</f>
        <v>0.63414634146341464</v>
      </c>
      <c r="CI341" s="645">
        <f>WWWW[[#This Row],[%equitable and continuous access to sufficient quantity of safe drinking and domestic water''s GAP]]*WWWW[[#This Row],[Total PoP ]]</f>
        <v>1300</v>
      </c>
      <c r="CJ341" s="647">
        <f>IF(WWWW[[#This Row],[Total required water points]]-WWWW[[#This Row],['#Water points coverage]]&lt;0,0,WWWW[[#This Row],[Total required water points]]-WWWW[[#This Row],['#Water points coverage]])</f>
        <v>2.5</v>
      </c>
      <c r="CK341" s="647">
        <f>ROUND(IF(WWWW[[#This Row],[Total PoP ]]&lt;500,1,WWWW[[#This Row],[Total PoP ]]/500),0)</f>
        <v>4</v>
      </c>
      <c r="CL341" s="647">
        <f>(WWWW[[#This Row],['#_Constructed latrines_by_WASHAgencies]]+WWWW[[#This Row],['#_Non Cluster partner latrines]])-WWWW[[#This Row],['#_Non-functional latrines]]</f>
        <v>400</v>
      </c>
      <c r="CM341"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341"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2050</v>
      </c>
      <c r="CO341"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41" s="647" t="str">
        <f>IF(WWWW[[#This Row],[Location Type 1]]="Village","NA",IF(WWWW[[#This Row],['#_Constructed/Existing latrines in TLS]]*50&gt;WWWW[[#This Row],['#_students at TLS_CFS]],WWWW[[#This Row],['#_students at TLS_CFS]],(WWWW[[#This Row],['#_Constructed/Existing latrines in TLS]]*50)))</f>
        <v>NA</v>
      </c>
      <c r="CQ341" s="647">
        <f>ROUND(IF(WWWW[[#This Row],[Location Type 1]]="camp",WWWW[[#This Row],[Total PoP ]]/20,IF(WWWW[[#This Row],[Location Type 1]]="Temporary Location",WWWW[[#This Row],[Total PoP ]]/50,(WWWW[[#This Row],[Total PoP ]]/6))),0)</f>
        <v>342</v>
      </c>
      <c r="CR341" s="647">
        <f>IF(WWWW[[#This Row],[Total required Latrines]]-(WWWW[[#This Row],['#_Constructed latrines_by_WASHAgencies]]+WWWW[[#This Row],['#_Non Cluster partner latrines]])&lt;0,0,WWWW[[#This Row],[Total required Latrines]]-(WWWW[[#This Row],['#_Constructed latrines_by_WASHAgencies]]+WWWW[[#This Row],['#_Non Cluster partner latrines]]))</f>
        <v>0</v>
      </c>
      <c r="CS341" s="79">
        <f>1-WWWW[[#This Row],[% people access to functioning Latrine]]</f>
        <v>0</v>
      </c>
      <c r="CT341" s="649">
        <f>IF(OR(WWWW[[#This Row],['#_Non-functional latrines]]="",WWWW[[#This Row],['#_Non-functional latrines]]=0),0,WWWW[[#This Row],['#_Non-functional latrines]]/(WWWW[[#This Row],['#_Constructed latrines_by_WASHAgencies]]+WWWW[[#This Row],['#_Non Cluster partner latrines]]))</f>
        <v>0</v>
      </c>
      <c r="CU341" s="645">
        <f>IF(500*(WWWW[[#This Row],['#_male hygiene promoters]]+WWWW[[#This Row],['#_female hygiene promoters]])&gt;WWWW[[#This Row],[Total PoP ]],WWWW[[#This Row],[Total PoP ]],500*(WWWW[[#This Row],['#_male hygiene promoters]]+WWWW[[#This Row],['#_female hygiene promoters]]))</f>
        <v>1500</v>
      </c>
      <c r="CV341"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2050</v>
      </c>
      <c r="CW341"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2050</v>
      </c>
      <c r="CX341" s="647">
        <f>IF(WWWW[[#This Row],['# People with access to soap]]&gt;WWWW[[#This Row],['# People with access to Sanity Pads]],WWWW[[#This Row],['# People with access to soap]],WWWW[[#This Row],['# People with access to Sanity Pads]])</f>
        <v>2050</v>
      </c>
      <c r="CY341" s="647">
        <f>IF(WWWW[[#This Row],['# people reached by regular dedicated hygiene promotion_5]]&gt;WWWW[[#This Row],['# People received regular supply of hygiene items_6]],WWWW[[#This Row],['# people reached by regular dedicated hygiene promotion_5]],WWWW[[#This Row],['# People received regular supply of hygiene items_6]])</f>
        <v>2050</v>
      </c>
      <c r="CZ341" s="650">
        <f>IF(WWWW[[#This Row],[HRP3]]/WWWW[[#This Row],[Total PoP ]]&gt;100%,100%,WWWW[[#This Row],[HRP3]]/WWWW[[#This Row],[Total PoP ]])</f>
        <v>1</v>
      </c>
      <c r="DA341" s="649">
        <f>1-WWWW[[#This Row],[Hygiene Coverage%]]</f>
        <v>0</v>
      </c>
      <c r="DB341" s="648">
        <f>WWWW[[#This Row],['# people reached by regular dedicated hygiene promotion_5]]/WWWW[[#This Row],[Total PoP ]]</f>
        <v>0.73170731707317072</v>
      </c>
      <c r="DC341" s="648">
        <f>IF(WWWW[[#This Row],['#_households that received standard amount of soap for this quarter]]/WWWW[[#This Row],[Total HH]]&gt;1,1,WWWW[[#This Row],['#_households that received standard amount of soap for this quarter]]/WWWW[[#This Row],[Total HH]])</f>
        <v>1</v>
      </c>
      <c r="DD341" s="648">
        <f>IF(WWWW[[#This Row],['#_households that received standard amount of sanitary pads for this quarter]]/WWWW[[#This Row],[Total HH]]&gt;1,1,WWWW[[#This Row],['#_households that received standard amount of sanitary pads for this quarter]]/WWWW[[#This Row],[Total HH]])</f>
        <v>1</v>
      </c>
      <c r="DE341" s="647">
        <f>WWWW[[#This Row],['#_Constructed/Existing hand washing stations]]-WWWW[[#This Row],['#_Non-Functional_hand_washing_stations]]</f>
        <v>0</v>
      </c>
      <c r="DF341" s="667">
        <f>IF(WWWW[[#This Row],['# Functional hand washing stations during reporting period]]*20&gt;WWWW[[#This Row],[Total HH]],WWWW[[#This Row],[Total HH]],WWWW[[#This Row],['# Functional hand washing stations during reporting period]]*20)</f>
        <v>0</v>
      </c>
      <c r="DG341" s="645">
        <f>IF(WWWW[[#This Row],[Is sufficient soap available for TLS? (Yes/No)]]="yes",WWWW[[#This Row],['#_Constructed/Existing hand washing stations at TLS]],0)</f>
        <v>0</v>
      </c>
      <c r="DH341" s="645">
        <f>IF(WWWW[[#This Row],['# Functional hand washing stations during reporting period]]*100&gt;WWWW[[#This Row],[Total PoP ]],WWWW[[#This Row],[Total PoP ]],WWWW[[#This Row],['# Functional hand washing stations during reporting period]]*100)</f>
        <v>0</v>
      </c>
      <c r="DI341" s="645" t="str">
        <f>IF(WWWW[[#This Row],['#_students at TLS_CFS]]="","No","Yes")</f>
        <v>No</v>
      </c>
      <c r="DJ341" s="643">
        <f>VLOOKUP(WWWW[[#This Row],[Site Name]],SiteDB6[[Site Name]:[CCCM Management]],6,FALSE)</f>
        <v>0</v>
      </c>
      <c r="DK341" s="643">
        <f>VLOOKUP(WWWW[[#This Row],[Site Name]],SiteDB6[[Site Name]:[CCCM Focal Agency]],7,FALSE)</f>
        <v>0</v>
      </c>
      <c r="DL341" s="643" t="str">
        <f>VLOOKUP(WWWW[[#This Row],[Site Name]],SiteDB6[[Site Name]:[Location Type 1]],9,FALSE)</f>
        <v>Village</v>
      </c>
      <c r="DM341" s="643" t="str">
        <f>VLOOKUP(WWWW[[#This Row],[Site Name]],SiteDB6[[Site Name]:[Type of Accommodation]],10,FALSE)</f>
        <v>Village</v>
      </c>
      <c r="DN341" s="643" t="str">
        <f>VLOOKUP(WWWW[[#This Row],[Site Name]],SiteDB6[[Site Name]:[Ethnic or GCA/NGCA]],11,FALSE)</f>
        <v>Muslim</v>
      </c>
      <c r="DO341" s="643">
        <f>VLOOKUP(WWWW[[#This Row],[Site Name]],SiteDB6[[Site Name]:[Lat]],12,FALSE)</f>
        <v>20.099340439999999</v>
      </c>
      <c r="DP341" s="643">
        <f>VLOOKUP(WWWW[[#This Row],[Site Name]],SiteDB6[[Site Name]:[Long]],13,FALSE)</f>
        <v>92.989143369999994</v>
      </c>
      <c r="DQ341" s="643">
        <f>VLOOKUP(WWWW[[#This Row],[Site Name]],SiteDB6[[Site Name]:[Pcode]],3,FALSE)</f>
        <v>197558</v>
      </c>
      <c r="DR341" s="652" t="str">
        <f t="shared" si="11"/>
        <v>Covered</v>
      </c>
      <c r="DS341" s="652"/>
    </row>
    <row r="342" spans="1:123">
      <c r="A342" s="637" t="s">
        <v>2525</v>
      </c>
      <c r="B342" s="637" t="s">
        <v>284</v>
      </c>
      <c r="C342" s="644" t="s">
        <v>284</v>
      </c>
      <c r="D342" s="644" t="s">
        <v>2360</v>
      </c>
      <c r="E342" s="663" t="s">
        <v>3014</v>
      </c>
      <c r="F342" s="644" t="s">
        <v>420</v>
      </c>
      <c r="G342" s="663" t="str">
        <f>VLOOKUP(WWWW[[#This Row],[Site Name]],SiteDB6[[Site Name]:[Location Type]],8,FALSE)</f>
        <v>Camp</v>
      </c>
      <c r="H342" s="701" t="s">
        <v>424</v>
      </c>
      <c r="I342" s="646">
        <v>1010</v>
      </c>
      <c r="J342" s="646">
        <v>4645</v>
      </c>
      <c r="K342" s="653" t="s">
        <v>2934</v>
      </c>
      <c r="L342" s="654" t="s">
        <v>2935</v>
      </c>
      <c r="M342" s="646"/>
      <c r="N342" s="646"/>
      <c r="O342" s="646"/>
      <c r="P342" s="646" t="s">
        <v>2941</v>
      </c>
      <c r="Q342" s="645" t="s">
        <v>43</v>
      </c>
      <c r="R342" s="646">
        <v>8</v>
      </c>
      <c r="S342" s="646">
        <v>3</v>
      </c>
      <c r="T342" s="646">
        <v>0</v>
      </c>
      <c r="U342" s="646">
        <v>0</v>
      </c>
      <c r="V342" s="646">
        <v>0</v>
      </c>
      <c r="W342" s="646">
        <v>0</v>
      </c>
      <c r="X342" s="646">
        <v>0</v>
      </c>
      <c r="Y342" s="646">
        <v>0</v>
      </c>
      <c r="Z342" s="646">
        <v>0</v>
      </c>
      <c r="AA342" s="646">
        <v>73</v>
      </c>
      <c r="AB342" s="646">
        <v>73</v>
      </c>
      <c r="AC342" s="646"/>
      <c r="AD342" s="646"/>
      <c r="AE342" s="646">
        <v>1</v>
      </c>
      <c r="AF342" s="646">
        <v>0</v>
      </c>
      <c r="AG342" s="646"/>
      <c r="AH342" s="646">
        <v>0</v>
      </c>
      <c r="AI342" s="646"/>
      <c r="AJ342" s="646"/>
      <c r="AK342" s="646">
        <v>19</v>
      </c>
      <c r="AL342" s="646">
        <v>6</v>
      </c>
      <c r="AM342" s="646" t="s">
        <v>2941</v>
      </c>
      <c r="AN342" s="646" t="s">
        <v>2941</v>
      </c>
      <c r="AO342" s="652" t="s">
        <v>2938</v>
      </c>
      <c r="AP342" s="646">
        <v>132</v>
      </c>
      <c r="AQ342" s="646">
        <v>0</v>
      </c>
      <c r="AR342" s="648"/>
      <c r="AS342" s="646">
        <v>43</v>
      </c>
      <c r="AT342" s="646">
        <v>132</v>
      </c>
      <c r="AU342" s="646"/>
      <c r="AV342" s="646"/>
      <c r="AW342" s="646"/>
      <c r="AX342" s="643" t="s">
        <v>43</v>
      </c>
      <c r="AY342" s="652" t="s">
        <v>148</v>
      </c>
      <c r="AZ342" s="646">
        <v>33</v>
      </c>
      <c r="BA342" s="646">
        <v>0</v>
      </c>
      <c r="BB342" s="646"/>
      <c r="BC342" s="643" t="s">
        <v>2939</v>
      </c>
      <c r="BD342" s="646">
        <v>0</v>
      </c>
      <c r="BE342" s="646">
        <v>0</v>
      </c>
      <c r="BF342" s="646">
        <v>0</v>
      </c>
      <c r="BG342" s="646">
        <v>0</v>
      </c>
      <c r="BH342" s="646">
        <v>0</v>
      </c>
      <c r="BI342" s="646">
        <v>6</v>
      </c>
      <c r="BJ342" s="646">
        <v>3</v>
      </c>
      <c r="BK342" s="646">
        <v>1010</v>
      </c>
      <c r="BL342" s="646">
        <v>1010</v>
      </c>
      <c r="BM342" s="643" t="s">
        <v>144</v>
      </c>
      <c r="BN342" s="647">
        <v>48</v>
      </c>
      <c r="BO342" s="648"/>
      <c r="BP342" s="643" t="s">
        <v>2933</v>
      </c>
      <c r="BQ342" s="649" t="str">
        <f>IFERROR(WWWW[[#This Row],['#_Water sources treated]]/WWWW[[#This Row],['#_Water sources tested for contamination]],"no test")</f>
        <v>no test</v>
      </c>
      <c r="BR342" s="648">
        <f>IFERROR(WWWW[[#This Row],['#_Household received remediation action due to contamination]]/WWWW[[#This Row],['#_Household water samples tested for contamination]],"no test")</f>
        <v>0.31578947368421051</v>
      </c>
      <c r="BS342" s="647" t="str">
        <f>IF(AND(WWWW[[#This Row],[% of water sources treated]]="no test",WWWW[[#This Row],[% Household received corrective actions]]="no test"),"No Test","Tested")</f>
        <v>Tested</v>
      </c>
      <c r="BT342" s="647">
        <f>WWWW[[#This Row],['#_Constructed/existing protected hand dug well]]-WWWW[[#This Row],['#_Non-functional protected hand dug well]]</f>
        <v>0</v>
      </c>
      <c r="BU342" s="647">
        <f>(WWWW[[#This Row],['#_Constructed/Existing tube wells/boreholes/handpumps_WASH_agency]]+WWWW[[#This Row],['#_Non-Cluster partner water tube-wells/boreholes/handpumps]])-WWWW[[#This Row],['#_Non-functional tube wells/boreholes/handpumps]]</f>
        <v>0</v>
      </c>
      <c r="BV342" s="647">
        <f>WWWW[[#This Row],['#_Constructed/Existingwater storage tank with gravity fed reticulation system]]-WWWW[[#This Row],['#_Non-functional storage tank gravity fed reticulation system]]</f>
        <v>0</v>
      </c>
      <c r="BW342" s="647">
        <f>WWWW[[#This Row],['#_Water boating or water trucking]]</f>
        <v>0</v>
      </c>
      <c r="BX342" s="647">
        <f>WWWW[[#This Row],['#_Constructed/Existing water distribution system from river or natural spring]]</f>
        <v>0</v>
      </c>
      <c r="BY342"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42"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42" s="648">
        <f>IF(WWWW[[#This Row],[Location Type 1]]="Village",WWWW[[#This Row],[Access to safe drinking water for Village]],WWWW[[#This Row],[Access to safe drinking water for Camp]])</f>
        <v>0</v>
      </c>
      <c r="CB342" s="645">
        <f>WWWW[[#This Row],[%Equitable and continuous access to sufficient quantity of safe drinking water]]*WWWW[[#This Row],[Total PoP ]]</f>
        <v>0</v>
      </c>
      <c r="CC342" s="648">
        <f>IF((WWWW[[#This Row],['#_Constructed/Existing protected/fenced ponds]]*250)/WWWW[[#This Row],[Total PoP ]]&gt;1,1,(WWWW[[#This Row],['#_Constructed/Existing protected/fenced ponds]]*250)/WWWW[[#This Row],[Total PoP ]])</f>
        <v>5.3821313240043057E-2</v>
      </c>
      <c r="CD342" s="645">
        <f>WWWW[[#This Row],[% Access to unimproved water points]]*WWWW[[#This Row],[Total PoP ]]</f>
        <v>250</v>
      </c>
      <c r="CE342"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5.3821313240043057E-2</v>
      </c>
      <c r="CF342"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250</v>
      </c>
      <c r="CG342" s="645">
        <f>WWWW[[#This Row],[HRP1]]/500</f>
        <v>0.5</v>
      </c>
      <c r="CH342" s="650">
        <f>1-WWWW[[#This Row],[% Equitable and continuous access to sufficient quantity of domestic water]]</f>
        <v>0.94617868675995698</v>
      </c>
      <c r="CI342" s="645">
        <f>WWWW[[#This Row],[%equitable and continuous access to sufficient quantity of safe drinking and domestic water''s GAP]]*WWWW[[#This Row],[Total PoP ]]</f>
        <v>4395</v>
      </c>
      <c r="CJ342" s="647">
        <f>IF(WWWW[[#This Row],[Total required water points]]-WWWW[[#This Row],['#Water points coverage]]&lt;0,0,WWWW[[#This Row],[Total required water points]]-WWWW[[#This Row],['#Water points coverage]])</f>
        <v>8.5</v>
      </c>
      <c r="CK342" s="647">
        <f>ROUND(IF(WWWW[[#This Row],[Total PoP ]]&lt;500,1,WWWW[[#This Row],[Total PoP ]]/500),0)</f>
        <v>9</v>
      </c>
      <c r="CL342" s="647">
        <f>(WWWW[[#This Row],['#_Constructed latrines_by_WASHAgencies]]+WWWW[[#This Row],['#_Non Cluster partner latrines]])-WWWW[[#This Row],['#_Non-functional latrines]]</f>
        <v>89</v>
      </c>
      <c r="CM342"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0.38320775026910658</v>
      </c>
      <c r="CN342"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1780</v>
      </c>
      <c r="CO342"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342" s="647">
        <f>IF(WWWW[[#This Row],[Location Type 1]]="Village","NA",IF(WWWW[[#This Row],['#_Constructed/Existing latrines in TLS]]*50&gt;WWWW[[#This Row],['#_students at TLS_CFS]],WWWW[[#This Row],['#_students at TLS_CFS]],(WWWW[[#This Row],['#_Constructed/Existing latrines in TLS]]*50)))</f>
        <v>0</v>
      </c>
      <c r="CQ342" s="647">
        <f>ROUND(IF(WWWW[[#This Row],[Location Type 1]]="camp",WWWW[[#This Row],[Total PoP ]]/20,IF(WWWW[[#This Row],[Location Type 1]]="Temporary Location",WWWW[[#This Row],[Total PoP ]]/50,(WWWW[[#This Row],[Total PoP ]]/6))),0)</f>
        <v>232</v>
      </c>
      <c r="CR342" s="647">
        <f>IF(WWWW[[#This Row],[Total required Latrines]]-(WWWW[[#This Row],['#_Constructed latrines_by_WASHAgencies]]+WWWW[[#This Row],['#_Non Cluster partner latrines]])&lt;0,0,WWWW[[#This Row],[Total required Latrines]]-(WWWW[[#This Row],['#_Constructed latrines_by_WASHAgencies]]+WWWW[[#This Row],['#_Non Cluster partner latrines]]))</f>
        <v>100</v>
      </c>
      <c r="CS342" s="79">
        <f>1-WWWW[[#This Row],[% people access to functioning Latrine]]</f>
        <v>0.61679224973089342</v>
      </c>
      <c r="CT342" s="649">
        <f>IF(OR(WWWW[[#This Row],['#_Non-functional latrines]]="",WWWW[[#This Row],['#_Non-functional latrines]]=0),0,WWWW[[#This Row],['#_Non-functional latrines]]/(WWWW[[#This Row],['#_Constructed latrines_by_WASHAgencies]]+WWWW[[#This Row],['#_Non Cluster partner latrines]]))</f>
        <v>0.32575757575757575</v>
      </c>
      <c r="CU342" s="645">
        <f>IF(500*(WWWW[[#This Row],['#_male hygiene promoters]]+WWWW[[#This Row],['#_female hygiene promoters]])&gt;WWWW[[#This Row],[Total PoP ]],WWWW[[#This Row],[Total PoP ]],500*(WWWW[[#This Row],['#_male hygiene promoters]]+WWWW[[#This Row],['#_female hygiene promoters]]))</f>
        <v>4500</v>
      </c>
      <c r="CV342"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4645</v>
      </c>
      <c r="CW342"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4645</v>
      </c>
      <c r="CX342" s="647">
        <f>IF(WWWW[[#This Row],['# People with access to soap]]&gt;WWWW[[#This Row],['# People with access to Sanity Pads]],WWWW[[#This Row],['# People with access to soap]],WWWW[[#This Row],['# People with access to Sanity Pads]])</f>
        <v>4645</v>
      </c>
      <c r="CY342" s="647">
        <f>IF(WWWW[[#This Row],['# people reached by regular dedicated hygiene promotion_5]]&gt;WWWW[[#This Row],['# People received regular supply of hygiene items_6]],WWWW[[#This Row],['# people reached by regular dedicated hygiene promotion_5]],WWWW[[#This Row],['# People received regular supply of hygiene items_6]])</f>
        <v>4645</v>
      </c>
      <c r="CZ342" s="650">
        <f>IF(WWWW[[#This Row],[HRP3]]/WWWW[[#This Row],[Total PoP ]]&gt;100%,100%,WWWW[[#This Row],[HRP3]]/WWWW[[#This Row],[Total PoP ]])</f>
        <v>1</v>
      </c>
      <c r="DA342" s="649">
        <f>1-WWWW[[#This Row],[Hygiene Coverage%]]</f>
        <v>0</v>
      </c>
      <c r="DB342" s="648">
        <f>WWWW[[#This Row],['# people reached by regular dedicated hygiene promotion_5]]/WWWW[[#This Row],[Total PoP ]]</f>
        <v>0.96878363832077508</v>
      </c>
      <c r="DC342" s="648">
        <f>IF(WWWW[[#This Row],['#_households that received standard amount of soap for this quarter]]/WWWW[[#This Row],[Total HH]]&gt;1,1,WWWW[[#This Row],['#_households that received standard amount of soap for this quarter]]/WWWW[[#This Row],[Total HH]])</f>
        <v>1</v>
      </c>
      <c r="DD342" s="648">
        <f>IF(WWWW[[#This Row],['#_households that received standard amount of sanitary pads for this quarter]]/WWWW[[#This Row],[Total HH]]&gt;1,1,WWWW[[#This Row],['#_households that received standard amount of sanitary pads for this quarter]]/WWWW[[#This Row],[Total HH]])</f>
        <v>1</v>
      </c>
      <c r="DE342" s="647">
        <f>WWWW[[#This Row],['#_Constructed/Existing hand washing stations]]-WWWW[[#This Row],['#_Non-Functional_hand_washing_stations]]</f>
        <v>0</v>
      </c>
      <c r="DF342" s="667">
        <f>IF(WWWW[[#This Row],['# Functional hand washing stations during reporting period]]*20&gt;WWWW[[#This Row],[Total HH]],WWWW[[#This Row],[Total HH]],WWWW[[#This Row],['# Functional hand washing stations during reporting period]]*20)</f>
        <v>0</v>
      </c>
      <c r="DG342" s="645">
        <f>IF(WWWW[[#This Row],[Is sufficient soap available for TLS? (Yes/No)]]="yes",WWWW[[#This Row],['#_Constructed/Existing hand washing stations at TLS]],0)</f>
        <v>0</v>
      </c>
      <c r="DH342" s="645">
        <f>IF(WWWW[[#This Row],['# Functional hand washing stations during reporting period]]*100&gt;WWWW[[#This Row],[Total PoP ]],WWWW[[#This Row],[Total PoP ]],WWWW[[#This Row],['# Functional hand washing stations during reporting period]]*100)</f>
        <v>0</v>
      </c>
      <c r="DI342" s="645" t="str">
        <f>IF(WWWW[[#This Row],['#_students at TLS_CFS]]="","No","Yes")</f>
        <v>No</v>
      </c>
      <c r="DJ342" s="643" t="str">
        <f>VLOOKUP(WWWW[[#This Row],[Site Name]],SiteDB6[[Site Name]:[CCCM Management]],6,FALSE)</f>
        <v>Yes</v>
      </c>
      <c r="DK342" s="643">
        <f>VLOOKUP(WWWW[[#This Row],[Site Name]],SiteDB6[[Site Name]:[CCCM Focal Agency]],7,FALSE)</f>
        <v>0</v>
      </c>
      <c r="DL342" s="643" t="str">
        <f>VLOOKUP(WWWW[[#This Row],[Site Name]],SiteDB6[[Site Name]:[Location Type 1]],9,FALSE)</f>
        <v>Camp</v>
      </c>
      <c r="DM342" s="643" t="str">
        <f>VLOOKUP(WWWW[[#This Row],[Site Name]],SiteDB6[[Site Name]:[Type of Accommodation]],10,FALSE)</f>
        <v>Individual House</v>
      </c>
      <c r="DN342" s="643" t="str">
        <f>VLOOKUP(WWWW[[#This Row],[Site Name]],SiteDB6[[Site Name]:[Ethnic or GCA/NGCA]],11,FALSE)</f>
        <v>Muslim</v>
      </c>
      <c r="DO342" s="643">
        <f>VLOOKUP(WWWW[[#This Row],[Site Name]],SiteDB6[[Site Name]:[Lat]],12,FALSE)</f>
        <v>20.073437999999999</v>
      </c>
      <c r="DP342" s="643">
        <f>VLOOKUP(WWWW[[#This Row],[Site Name]],SiteDB6[[Site Name]:[Long]],13,FALSE)</f>
        <v>93.154551999999995</v>
      </c>
      <c r="DQ342" s="643" t="str">
        <f>VLOOKUP(WWWW[[#This Row],[Site Name]],SiteDB6[[Site Name]:[Pcode]],3,FALSE)</f>
        <v>MMR012CMP017</v>
      </c>
      <c r="DR342" s="652" t="str">
        <f t="shared" si="11"/>
        <v>Covered</v>
      </c>
      <c r="DS342" s="652"/>
    </row>
    <row r="343" spans="1:123">
      <c r="A343" s="637" t="s">
        <v>2525</v>
      </c>
      <c r="B343" s="637" t="s">
        <v>284</v>
      </c>
      <c r="C343" s="644" t="s">
        <v>284</v>
      </c>
      <c r="D343" s="644" t="s">
        <v>2360</v>
      </c>
      <c r="E343" s="663" t="s">
        <v>3014</v>
      </c>
      <c r="F343" s="644" t="s">
        <v>420</v>
      </c>
      <c r="G343" s="663" t="str">
        <f>VLOOKUP(WWWW[[#This Row],[Site Name]],SiteDB6[[Site Name]:[Location Type]],8,FALSE)</f>
        <v>Camp</v>
      </c>
      <c r="H343" s="644" t="s">
        <v>425</v>
      </c>
      <c r="I343" s="646">
        <v>905</v>
      </c>
      <c r="J343" s="646">
        <v>4104</v>
      </c>
      <c r="K343" s="653" t="s">
        <v>2934</v>
      </c>
      <c r="L343" s="654" t="s">
        <v>2935</v>
      </c>
      <c r="M343" s="646"/>
      <c r="N343" s="646"/>
      <c r="O343" s="646"/>
      <c r="P343" s="646" t="s">
        <v>2941</v>
      </c>
      <c r="Q343" s="645" t="s">
        <v>43</v>
      </c>
      <c r="R343" s="646">
        <v>11</v>
      </c>
      <c r="S343" s="646">
        <v>2</v>
      </c>
      <c r="T343" s="646">
        <v>0</v>
      </c>
      <c r="U343" s="646">
        <v>0</v>
      </c>
      <c r="V343" s="646">
        <v>0</v>
      </c>
      <c r="W343" s="646">
        <v>0</v>
      </c>
      <c r="X343" s="646">
        <v>0</v>
      </c>
      <c r="Y343" s="646">
        <v>0</v>
      </c>
      <c r="Z343" s="646">
        <v>0</v>
      </c>
      <c r="AA343" s="646">
        <v>62</v>
      </c>
      <c r="AB343" s="646"/>
      <c r="AC343" s="646">
        <v>62</v>
      </c>
      <c r="AD343" s="646"/>
      <c r="AE343" s="646">
        <v>3</v>
      </c>
      <c r="AF343" s="646">
        <v>0</v>
      </c>
      <c r="AG343" s="646"/>
      <c r="AH343" s="646">
        <v>0</v>
      </c>
      <c r="AI343" s="646">
        <v>1</v>
      </c>
      <c r="AJ343" s="646">
        <v>1</v>
      </c>
      <c r="AK343" s="646">
        <v>22</v>
      </c>
      <c r="AL343" s="646">
        <v>7</v>
      </c>
      <c r="AM343" s="646" t="s">
        <v>2941</v>
      </c>
      <c r="AN343" s="646" t="s">
        <v>2941</v>
      </c>
      <c r="AO343" s="652"/>
      <c r="AP343" s="646">
        <v>129</v>
      </c>
      <c r="AQ343" s="646">
        <v>0</v>
      </c>
      <c r="AR343" s="648"/>
      <c r="AS343" s="646">
        <v>5</v>
      </c>
      <c r="AT343" s="646">
        <v>129</v>
      </c>
      <c r="AU343" s="646"/>
      <c r="AV343" s="646"/>
      <c r="AW343" s="646"/>
      <c r="AX343" s="643" t="s">
        <v>43</v>
      </c>
      <c r="AY343" s="652" t="s">
        <v>148</v>
      </c>
      <c r="AZ343" s="646">
        <v>32</v>
      </c>
      <c r="BA343" s="646">
        <v>0</v>
      </c>
      <c r="BB343" s="646"/>
      <c r="BC343" s="643" t="s">
        <v>2940</v>
      </c>
      <c r="BD343" s="646">
        <v>0</v>
      </c>
      <c r="BE343" s="646">
        <v>0</v>
      </c>
      <c r="BF343" s="646">
        <v>0</v>
      </c>
      <c r="BG343" s="646">
        <v>0</v>
      </c>
      <c r="BH343" s="646">
        <v>0</v>
      </c>
      <c r="BI343" s="646">
        <v>7</v>
      </c>
      <c r="BJ343" s="646">
        <v>3</v>
      </c>
      <c r="BK343" s="646">
        <v>905</v>
      </c>
      <c r="BL343" s="646">
        <v>905</v>
      </c>
      <c r="BM343" s="643" t="s">
        <v>144</v>
      </c>
      <c r="BN343" s="647">
        <v>24</v>
      </c>
      <c r="BO343" s="648"/>
      <c r="BP343" s="643" t="s">
        <v>2933</v>
      </c>
      <c r="BQ343" s="649">
        <f>IFERROR(WWWW[[#This Row],['#_Water sources treated]]/WWWW[[#This Row],['#_Water sources tested for contamination]],"no test")</f>
        <v>1</v>
      </c>
      <c r="BR343" s="648">
        <f>IFERROR(WWWW[[#This Row],['#_Household received remediation action due to contamination]]/WWWW[[#This Row],['#_Household water samples tested for contamination]],"no test")</f>
        <v>0.31818181818181818</v>
      </c>
      <c r="BS343" s="647" t="str">
        <f>IF(AND(WWWW[[#This Row],[% of water sources treated]]="no test",WWWW[[#This Row],[% Household received corrective actions]]="no test"),"No Test","Tested")</f>
        <v>Tested</v>
      </c>
      <c r="BT343" s="647">
        <f>WWWW[[#This Row],['#_Constructed/existing protected hand dug well]]-WWWW[[#This Row],['#_Non-functional protected hand dug well]]</f>
        <v>0</v>
      </c>
      <c r="BU343" s="647">
        <f>(WWWW[[#This Row],['#_Constructed/Existing tube wells/boreholes/handpumps_WASH_agency]]+WWWW[[#This Row],['#_Non-Cluster partner water tube-wells/boreholes/handpumps]])-WWWW[[#This Row],['#_Non-functional tube wells/boreholes/handpumps]]</f>
        <v>0</v>
      </c>
      <c r="BV343" s="647">
        <f>WWWW[[#This Row],['#_Constructed/Existingwater storage tank with gravity fed reticulation system]]-WWWW[[#This Row],['#_Non-functional storage tank gravity fed reticulation system]]</f>
        <v>62</v>
      </c>
      <c r="BW343" s="647">
        <f>WWWW[[#This Row],['#_Water boating or water trucking]]</f>
        <v>0</v>
      </c>
      <c r="BX343" s="647">
        <f>WWWW[[#This Row],['#_Constructed/Existing water distribution system from river or natural spring]]</f>
        <v>0</v>
      </c>
      <c r="BY343"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343"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343" s="648">
        <f>IF(WWWW[[#This Row],[Location Type 1]]="Village",WWWW[[#This Row],[Access to safe drinking water for Village]],WWWW[[#This Row],[Access to safe drinking water for Camp]])</f>
        <v>1</v>
      </c>
      <c r="CB343" s="645">
        <f>WWWW[[#This Row],[%Equitable and continuous access to sufficient quantity of safe drinking water]]*WWWW[[#This Row],[Total PoP ]]</f>
        <v>4104</v>
      </c>
      <c r="CC343" s="648">
        <f>IF((WWWW[[#This Row],['#_Constructed/Existing protected/fenced ponds]]*250)/WWWW[[#This Row],[Total PoP ]]&gt;1,1,(WWWW[[#This Row],['#_Constructed/Existing protected/fenced ponds]]*250)/WWWW[[#This Row],[Total PoP ]])</f>
        <v>0.18274853801169591</v>
      </c>
      <c r="CD343" s="645">
        <f>WWWW[[#This Row],[% Access to unimproved water points]]*WWWW[[#This Row],[Total PoP ]]</f>
        <v>750</v>
      </c>
      <c r="CE343"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43"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4104</v>
      </c>
      <c r="CG343" s="645">
        <f>WWWW[[#This Row],[HRP1]]/500</f>
        <v>8.2080000000000002</v>
      </c>
      <c r="CH343" s="650">
        <f>1-WWWW[[#This Row],[% Equitable and continuous access to sufficient quantity of domestic water]]</f>
        <v>0</v>
      </c>
      <c r="CI343" s="645">
        <f>WWWW[[#This Row],[%equitable and continuous access to sufficient quantity of safe drinking and domestic water''s GAP]]*WWWW[[#This Row],[Total PoP ]]</f>
        <v>0</v>
      </c>
      <c r="CJ343" s="647">
        <f>IF(WWWW[[#This Row],[Total required water points]]-WWWW[[#This Row],['#Water points coverage]]&lt;0,0,WWWW[[#This Row],[Total required water points]]-WWWW[[#This Row],['#Water points coverage]])</f>
        <v>0</v>
      </c>
      <c r="CK343" s="647">
        <f>ROUND(IF(WWWW[[#This Row],[Total PoP ]]&lt;500,1,WWWW[[#This Row],[Total PoP ]]/500),0)</f>
        <v>8</v>
      </c>
      <c r="CL343" s="647">
        <f>(WWWW[[#This Row],['#_Constructed latrines_by_WASHAgencies]]+WWWW[[#This Row],['#_Non Cluster partner latrines]])-WWWW[[#This Row],['#_Non-functional latrines]]</f>
        <v>124</v>
      </c>
      <c r="CM343"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0.6042884990253411</v>
      </c>
      <c r="CN343"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2480</v>
      </c>
      <c r="CO343"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343" s="647">
        <f>IF(WWWW[[#This Row],[Location Type 1]]="Village","NA",IF(WWWW[[#This Row],['#_Constructed/Existing latrines in TLS]]*50&gt;WWWW[[#This Row],['#_students at TLS_CFS]],WWWW[[#This Row],['#_students at TLS_CFS]],(WWWW[[#This Row],['#_Constructed/Existing latrines in TLS]]*50)))</f>
        <v>0</v>
      </c>
      <c r="CQ343" s="647">
        <f>ROUND(IF(WWWW[[#This Row],[Location Type 1]]="camp",WWWW[[#This Row],[Total PoP ]]/20,IF(WWWW[[#This Row],[Location Type 1]]="Temporary Location",WWWW[[#This Row],[Total PoP ]]/50,(WWWW[[#This Row],[Total PoP ]]/6))),0)</f>
        <v>205</v>
      </c>
      <c r="CR343" s="647">
        <f>IF(WWWW[[#This Row],[Total required Latrines]]-(WWWW[[#This Row],['#_Constructed latrines_by_WASHAgencies]]+WWWW[[#This Row],['#_Non Cluster partner latrines]])&lt;0,0,WWWW[[#This Row],[Total required Latrines]]-(WWWW[[#This Row],['#_Constructed latrines_by_WASHAgencies]]+WWWW[[#This Row],['#_Non Cluster partner latrines]]))</f>
        <v>76</v>
      </c>
      <c r="CS343" s="79">
        <f>1-WWWW[[#This Row],[% people access to functioning Latrine]]</f>
        <v>0.3957115009746589</v>
      </c>
      <c r="CT343" s="649">
        <f>IF(OR(WWWW[[#This Row],['#_Non-functional latrines]]="",WWWW[[#This Row],['#_Non-functional latrines]]=0),0,WWWW[[#This Row],['#_Non-functional latrines]]/(WWWW[[#This Row],['#_Constructed latrines_by_WASHAgencies]]+WWWW[[#This Row],['#_Non Cluster partner latrines]]))</f>
        <v>3.875968992248062E-2</v>
      </c>
      <c r="CU343" s="645">
        <f>IF(500*(WWWW[[#This Row],['#_male hygiene promoters]]+WWWW[[#This Row],['#_female hygiene promoters]])&gt;WWWW[[#This Row],[Total PoP ]],WWWW[[#This Row],[Total PoP ]],500*(WWWW[[#This Row],['#_male hygiene promoters]]+WWWW[[#This Row],['#_female hygiene promoters]]))</f>
        <v>4104</v>
      </c>
      <c r="CV343"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4104</v>
      </c>
      <c r="CW343"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4104</v>
      </c>
      <c r="CX343" s="647">
        <f>IF(WWWW[[#This Row],['# People with access to soap]]&gt;WWWW[[#This Row],['# People with access to Sanity Pads]],WWWW[[#This Row],['# People with access to soap]],WWWW[[#This Row],['# People with access to Sanity Pads]])</f>
        <v>4104</v>
      </c>
      <c r="CY343" s="647">
        <f>IF(WWWW[[#This Row],['# people reached by regular dedicated hygiene promotion_5]]&gt;WWWW[[#This Row],['# People received regular supply of hygiene items_6]],WWWW[[#This Row],['# people reached by regular dedicated hygiene promotion_5]],WWWW[[#This Row],['# People received regular supply of hygiene items_6]])</f>
        <v>4104</v>
      </c>
      <c r="CZ343" s="650">
        <f>IF(WWWW[[#This Row],[HRP3]]/WWWW[[#This Row],[Total PoP ]]&gt;100%,100%,WWWW[[#This Row],[HRP3]]/WWWW[[#This Row],[Total PoP ]])</f>
        <v>1</v>
      </c>
      <c r="DA343" s="649">
        <f>1-WWWW[[#This Row],[Hygiene Coverage%]]</f>
        <v>0</v>
      </c>
      <c r="DB343" s="648">
        <f>WWWW[[#This Row],['# people reached by regular dedicated hygiene promotion_5]]/WWWW[[#This Row],[Total PoP ]]</f>
        <v>1</v>
      </c>
      <c r="DC343" s="648">
        <f>IF(WWWW[[#This Row],['#_households that received standard amount of soap for this quarter]]/WWWW[[#This Row],[Total HH]]&gt;1,1,WWWW[[#This Row],['#_households that received standard amount of soap for this quarter]]/WWWW[[#This Row],[Total HH]])</f>
        <v>1</v>
      </c>
      <c r="DD343" s="648">
        <f>IF(WWWW[[#This Row],['#_households that received standard amount of sanitary pads for this quarter]]/WWWW[[#This Row],[Total HH]]&gt;1,1,WWWW[[#This Row],['#_households that received standard amount of sanitary pads for this quarter]]/WWWW[[#This Row],[Total HH]])</f>
        <v>1</v>
      </c>
      <c r="DE343" s="647">
        <f>WWWW[[#This Row],['#_Constructed/Existing hand washing stations]]-WWWW[[#This Row],['#_Non-Functional_hand_washing_stations]]</f>
        <v>0</v>
      </c>
      <c r="DF343" s="667">
        <f>IF(WWWW[[#This Row],['# Functional hand washing stations during reporting period]]*20&gt;WWWW[[#This Row],[Total HH]],WWWW[[#This Row],[Total HH]],WWWW[[#This Row],['# Functional hand washing stations during reporting period]]*20)</f>
        <v>0</v>
      </c>
      <c r="DG343" s="645">
        <f>IF(WWWW[[#This Row],[Is sufficient soap available for TLS? (Yes/No)]]="yes",WWWW[[#This Row],['#_Constructed/Existing hand washing stations at TLS]],0)</f>
        <v>0</v>
      </c>
      <c r="DH343" s="645">
        <f>IF(WWWW[[#This Row],['# Functional hand washing stations during reporting period]]*100&gt;WWWW[[#This Row],[Total PoP ]],WWWW[[#This Row],[Total PoP ]],WWWW[[#This Row],['# Functional hand washing stations during reporting period]]*100)</f>
        <v>0</v>
      </c>
      <c r="DI343" s="645" t="str">
        <f>IF(WWWW[[#This Row],['#_students at TLS_CFS]]="","No","Yes")</f>
        <v>No</v>
      </c>
      <c r="DJ343" s="643" t="str">
        <f>VLOOKUP(WWWW[[#This Row],[Site Name]],SiteDB6[[Site Name]:[CCCM Management]],6,FALSE)</f>
        <v>Yes</v>
      </c>
      <c r="DK343" s="643">
        <f>VLOOKUP(WWWW[[#This Row],[Site Name]],SiteDB6[[Site Name]:[CCCM Focal Agency]],7,FALSE)</f>
        <v>0</v>
      </c>
      <c r="DL343" s="643" t="str">
        <f>VLOOKUP(WWWW[[#This Row],[Site Name]],SiteDB6[[Site Name]:[Location Type 1]],9,FALSE)</f>
        <v>Camp</v>
      </c>
      <c r="DM343" s="643" t="str">
        <f>VLOOKUP(WWWW[[#This Row],[Site Name]],SiteDB6[[Site Name]:[Type of Accommodation]],10,FALSE)</f>
        <v>Planned Camp</v>
      </c>
      <c r="DN343" s="643" t="str">
        <f>VLOOKUP(WWWW[[#This Row],[Site Name]],SiteDB6[[Site Name]:[Ethnic or GCA/NGCA]],11,FALSE)</f>
        <v>Muslim</v>
      </c>
      <c r="DO343" s="643">
        <f>VLOOKUP(WWWW[[#This Row],[Site Name]],SiteDB6[[Site Name]:[Lat]],12,FALSE)</f>
        <v>20.073437999999999</v>
      </c>
      <c r="DP343" s="643">
        <f>VLOOKUP(WWWW[[#This Row],[Site Name]],SiteDB6[[Site Name]:[Long]],13,FALSE)</f>
        <v>93.154551999999995</v>
      </c>
      <c r="DQ343" s="643" t="str">
        <f>VLOOKUP(WWWW[[#This Row],[Site Name]],SiteDB6[[Site Name]:[Pcode]],3,FALSE)</f>
        <v>MMR012CMP017</v>
      </c>
      <c r="DR343" s="652" t="str">
        <f t="shared" si="11"/>
        <v>Covered</v>
      </c>
      <c r="DS343" s="652"/>
    </row>
    <row r="344" spans="1:123">
      <c r="A344" s="637" t="s">
        <v>2525</v>
      </c>
      <c r="B344" s="637" t="s">
        <v>305</v>
      </c>
      <c r="C344" s="644" t="s">
        <v>305</v>
      </c>
      <c r="D344" s="644" t="s">
        <v>345</v>
      </c>
      <c r="E344" s="663" t="s">
        <v>3014</v>
      </c>
      <c r="F344" s="644" t="s">
        <v>420</v>
      </c>
      <c r="G344" s="663" t="str">
        <f>VLOOKUP(WWWW[[#This Row],[Site Name]],SiteDB6[[Site Name]:[Location Type]],8,FALSE)</f>
        <v>Village</v>
      </c>
      <c r="H344" s="644" t="s">
        <v>2830</v>
      </c>
      <c r="I344" s="646">
        <v>142</v>
      </c>
      <c r="J344" s="646">
        <v>582</v>
      </c>
      <c r="K344" s="653">
        <v>43359</v>
      </c>
      <c r="L344" s="654">
        <v>43830</v>
      </c>
      <c r="M344" s="646"/>
      <c r="N344" s="646"/>
      <c r="O344" s="646"/>
      <c r="P344" s="646"/>
      <c r="Q344" s="645"/>
      <c r="R344" s="646"/>
      <c r="S344" s="646"/>
      <c r="T344" s="646"/>
      <c r="U344" s="646"/>
      <c r="V344" s="646"/>
      <c r="W344" s="646"/>
      <c r="X344" s="646"/>
      <c r="Y344" s="646"/>
      <c r="Z344" s="646"/>
      <c r="AA344" s="646"/>
      <c r="AB344" s="646"/>
      <c r="AC344" s="646"/>
      <c r="AD344" s="646"/>
      <c r="AE344" s="646"/>
      <c r="AF344" s="646"/>
      <c r="AG344" s="646"/>
      <c r="AH344" s="646"/>
      <c r="AI344" s="646"/>
      <c r="AJ344" s="646"/>
      <c r="AK344" s="646"/>
      <c r="AL344" s="646"/>
      <c r="AM344" s="646"/>
      <c r="AN344" s="646"/>
      <c r="AO344" s="652"/>
      <c r="AP344" s="646"/>
      <c r="AQ344" s="646"/>
      <c r="AR344" s="648"/>
      <c r="AS344" s="646"/>
      <c r="AT344" s="646"/>
      <c r="AU344" s="646"/>
      <c r="AV344" s="646"/>
      <c r="AW344" s="646"/>
      <c r="AX344" s="643"/>
      <c r="AY344" s="652"/>
      <c r="AZ344" s="646"/>
      <c r="BA344" s="646"/>
      <c r="BB344" s="646"/>
      <c r="BC344" s="643"/>
      <c r="BD344" s="646"/>
      <c r="BE344" s="646"/>
      <c r="BF344" s="646"/>
      <c r="BG344" s="646"/>
      <c r="BH344" s="646"/>
      <c r="BI344" s="646"/>
      <c r="BJ344" s="646"/>
      <c r="BK344" s="646"/>
      <c r="BL344" s="646"/>
      <c r="BM344" s="643"/>
      <c r="BN344" s="647"/>
      <c r="BO344" s="648"/>
      <c r="BP344" s="643"/>
      <c r="BQ344" s="649" t="str">
        <f>IFERROR(WWWW[[#This Row],['#_Water sources treated]]/WWWW[[#This Row],['#_Water sources tested for contamination]],"no test")</f>
        <v>no test</v>
      </c>
      <c r="BR344" s="648" t="str">
        <f>IFERROR(WWWW[[#This Row],['#_Household received remediation action due to contamination]]/WWWW[[#This Row],['#_Household water samples tested for contamination]],"no test")</f>
        <v>no test</v>
      </c>
      <c r="BS344" s="647" t="str">
        <f>IF(AND(WWWW[[#This Row],[% of water sources treated]]="no test",WWWW[[#This Row],[% Household received corrective actions]]="no test"),"No Test","Tested")</f>
        <v>No Test</v>
      </c>
      <c r="BT344" s="647">
        <f>WWWW[[#This Row],['#_Constructed/existing protected hand dug well]]-WWWW[[#This Row],['#_Non-functional protected hand dug well]]</f>
        <v>0</v>
      </c>
      <c r="BU344" s="647">
        <f>(WWWW[[#This Row],['#_Constructed/Existing tube wells/boreholes/handpumps_WASH_agency]]+WWWW[[#This Row],['#_Non-Cluster partner water tube-wells/boreholes/handpumps]])-WWWW[[#This Row],['#_Non-functional tube wells/boreholes/handpumps]]</f>
        <v>0</v>
      </c>
      <c r="BV344" s="647">
        <f>WWWW[[#This Row],['#_Constructed/Existingwater storage tank with gravity fed reticulation system]]-WWWW[[#This Row],['#_Non-functional storage tank gravity fed reticulation system]]</f>
        <v>0</v>
      </c>
      <c r="BW344" s="647">
        <f>WWWW[[#This Row],['#_Water boating or water trucking]]</f>
        <v>0</v>
      </c>
      <c r="BX344" s="647">
        <f>WWWW[[#This Row],['#_Constructed/Existing water distribution system from river or natural spring]]</f>
        <v>0</v>
      </c>
      <c r="BY344"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44"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44" s="648">
        <f>IF(WWWW[[#This Row],[Location Type 1]]="Village",WWWW[[#This Row],[Access to safe drinking water for Village]],WWWW[[#This Row],[Access to safe drinking water for Camp]])</f>
        <v>0</v>
      </c>
      <c r="CB344" s="645">
        <f>WWWW[[#This Row],[%Equitable and continuous access to sufficient quantity of safe drinking water]]*WWWW[[#This Row],[Total PoP ]]</f>
        <v>0</v>
      </c>
      <c r="CC344" s="648">
        <f>IF((WWWW[[#This Row],['#_Constructed/Existing protected/fenced ponds]]*250)/WWWW[[#This Row],[Total PoP ]]&gt;1,1,(WWWW[[#This Row],['#_Constructed/Existing protected/fenced ponds]]*250)/WWWW[[#This Row],[Total PoP ]])</f>
        <v>0</v>
      </c>
      <c r="CD344" s="645">
        <f>WWWW[[#This Row],[% Access to unimproved water points]]*WWWW[[#This Row],[Total PoP ]]</f>
        <v>0</v>
      </c>
      <c r="CE344"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44"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44" s="645">
        <f>WWWW[[#This Row],[HRP1]]/500</f>
        <v>0</v>
      </c>
      <c r="CH344" s="650">
        <f>1-WWWW[[#This Row],[% Equitable and continuous access to sufficient quantity of domestic water]]</f>
        <v>1</v>
      </c>
      <c r="CI344" s="645">
        <f>WWWW[[#This Row],[%equitable and continuous access to sufficient quantity of safe drinking and domestic water''s GAP]]*WWWW[[#This Row],[Total PoP ]]</f>
        <v>582</v>
      </c>
      <c r="CJ344" s="647">
        <f>IF(WWWW[[#This Row],[Total required water points]]-WWWW[[#This Row],['#Water points coverage]]&lt;0,0,WWWW[[#This Row],[Total required water points]]-WWWW[[#This Row],['#Water points coverage]])</f>
        <v>1</v>
      </c>
      <c r="CK344" s="647">
        <f>ROUND(IF(WWWW[[#This Row],[Total PoP ]]&lt;500,1,WWWW[[#This Row],[Total PoP ]]/500),0)</f>
        <v>1</v>
      </c>
      <c r="CL344" s="647">
        <f>(WWWW[[#This Row],['#_Constructed latrines_by_WASHAgencies]]+WWWW[[#This Row],['#_Non Cluster partner latrines]])-WWWW[[#This Row],['#_Non-functional latrines]]</f>
        <v>0</v>
      </c>
      <c r="CM344"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44"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44"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44" s="647" t="str">
        <f>IF(WWWW[[#This Row],[Location Type 1]]="Village","NA",IF(WWWW[[#This Row],['#_Constructed/Existing latrines in TLS]]*50&gt;WWWW[[#This Row],['#_students at TLS_CFS]],WWWW[[#This Row],['#_students at TLS_CFS]],(WWWW[[#This Row],['#_Constructed/Existing latrines in TLS]]*50)))</f>
        <v>NA</v>
      </c>
      <c r="CQ344" s="647">
        <f>ROUND(IF(WWWW[[#This Row],[Location Type 1]]="camp",WWWW[[#This Row],[Total PoP ]]/20,IF(WWWW[[#This Row],[Location Type 1]]="Temporary Location",WWWW[[#This Row],[Total PoP ]]/50,(WWWW[[#This Row],[Total PoP ]]/6))),0)</f>
        <v>97</v>
      </c>
      <c r="CR344" s="647">
        <f>IF(WWWW[[#This Row],[Total required Latrines]]-(WWWW[[#This Row],['#_Constructed latrines_by_WASHAgencies]]+WWWW[[#This Row],['#_Non Cluster partner latrines]])&lt;0,0,WWWW[[#This Row],[Total required Latrines]]-(WWWW[[#This Row],['#_Constructed latrines_by_WASHAgencies]]+WWWW[[#This Row],['#_Non Cluster partner latrines]]))</f>
        <v>97</v>
      </c>
      <c r="CS344" s="79">
        <f>1-WWWW[[#This Row],[% people access to functioning Latrine]]</f>
        <v>1</v>
      </c>
      <c r="CT344" s="649">
        <f>IF(OR(WWWW[[#This Row],['#_Non-functional latrines]]="",WWWW[[#This Row],['#_Non-functional latrines]]=0),0,WWWW[[#This Row],['#_Non-functional latrines]]/(WWWW[[#This Row],['#_Constructed latrines_by_WASHAgencies]]+WWWW[[#This Row],['#_Non Cluster partner latrines]]))</f>
        <v>0</v>
      </c>
      <c r="CU344" s="645">
        <f>IF(500*(WWWW[[#This Row],['#_male hygiene promoters]]+WWWW[[#This Row],['#_female hygiene promoters]])&gt;WWWW[[#This Row],[Total PoP ]],WWWW[[#This Row],[Total PoP ]],500*(WWWW[[#This Row],['#_male hygiene promoters]]+WWWW[[#This Row],['#_female hygiene promoters]]))</f>
        <v>0</v>
      </c>
      <c r="CV344"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44"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44" s="647">
        <f>IF(WWWW[[#This Row],['# People with access to soap]]&gt;WWWW[[#This Row],['# People with access to Sanity Pads]],WWWW[[#This Row],['# People with access to soap]],WWWW[[#This Row],['# People with access to Sanity Pads]])</f>
        <v>0</v>
      </c>
      <c r="CY344"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44" s="650">
        <f>IF(WWWW[[#This Row],[HRP3]]/WWWW[[#This Row],[Total PoP ]]&gt;100%,100%,WWWW[[#This Row],[HRP3]]/WWWW[[#This Row],[Total PoP ]])</f>
        <v>0</v>
      </c>
      <c r="DA344" s="649">
        <f>1-WWWW[[#This Row],[Hygiene Coverage%]]</f>
        <v>1</v>
      </c>
      <c r="DB344" s="648">
        <f>WWWW[[#This Row],['# people reached by regular dedicated hygiene promotion_5]]/WWWW[[#This Row],[Total PoP ]]</f>
        <v>0</v>
      </c>
      <c r="DC344" s="648">
        <f>IF(WWWW[[#This Row],['#_households that received standard amount of soap for this quarter]]/WWWW[[#This Row],[Total HH]]&gt;1,1,WWWW[[#This Row],['#_households that received standard amount of soap for this quarter]]/WWWW[[#This Row],[Total HH]])</f>
        <v>0</v>
      </c>
      <c r="DD344" s="648">
        <f>IF(WWWW[[#This Row],['#_households that received standard amount of sanitary pads for this quarter]]/WWWW[[#This Row],[Total HH]]&gt;1,1,WWWW[[#This Row],['#_households that received standard amount of sanitary pads for this quarter]]/WWWW[[#This Row],[Total HH]])</f>
        <v>0</v>
      </c>
      <c r="DE344" s="647">
        <f>WWWW[[#This Row],['#_Constructed/Existing hand washing stations]]-WWWW[[#This Row],['#_Non-Functional_hand_washing_stations]]</f>
        <v>0</v>
      </c>
      <c r="DF344" s="667">
        <f>IF(WWWW[[#This Row],['# Functional hand washing stations during reporting period]]*20&gt;WWWW[[#This Row],[Total HH]],WWWW[[#This Row],[Total HH]],WWWW[[#This Row],['# Functional hand washing stations during reporting period]]*20)</f>
        <v>0</v>
      </c>
      <c r="DG344" s="645">
        <f>IF(WWWW[[#This Row],[Is sufficient soap available for TLS? (Yes/No)]]="yes",WWWW[[#This Row],['#_Constructed/Existing hand washing stations at TLS]],0)</f>
        <v>0</v>
      </c>
      <c r="DH344" s="645">
        <f>IF(WWWW[[#This Row],['# Functional hand washing stations during reporting period]]*100&gt;WWWW[[#This Row],[Total PoP ]],WWWW[[#This Row],[Total PoP ]],WWWW[[#This Row],['# Functional hand washing stations during reporting period]]*100)</f>
        <v>0</v>
      </c>
      <c r="DI344" s="645" t="str">
        <f>IF(WWWW[[#This Row],['#_students at TLS_CFS]]="","No","Yes")</f>
        <v>No</v>
      </c>
      <c r="DJ344" s="643">
        <f>VLOOKUP(WWWW[[#This Row],[Site Name]],SiteDB6[[Site Name]:[CCCM Management]],6,FALSE)</f>
        <v>0</v>
      </c>
      <c r="DK344" s="643">
        <f>VLOOKUP(WWWW[[#This Row],[Site Name]],SiteDB6[[Site Name]:[CCCM Focal Agency]],7,FALSE)</f>
        <v>0</v>
      </c>
      <c r="DL344" s="643" t="str">
        <f>VLOOKUP(WWWW[[#This Row],[Site Name]],SiteDB6[[Site Name]:[Location Type 1]],9,FALSE)</f>
        <v>Village</v>
      </c>
      <c r="DM344" s="643" t="str">
        <f>VLOOKUP(WWWW[[#This Row],[Site Name]],SiteDB6[[Site Name]:[Type of Accommodation]],10,FALSE)</f>
        <v>Village</v>
      </c>
      <c r="DN344" s="643">
        <f>VLOOKUP(WWWW[[#This Row],[Site Name]],SiteDB6[[Site Name]:[Ethnic or GCA/NGCA]],11,FALSE)</f>
        <v>0</v>
      </c>
      <c r="DO344" s="643">
        <f>VLOOKUP(WWWW[[#This Row],[Site Name]],SiteDB6[[Site Name]:[Lat]],12,FALSE)</f>
        <v>20.068620681762699</v>
      </c>
      <c r="DP344" s="643">
        <f>VLOOKUP(WWWW[[#This Row],[Site Name]],SiteDB6[[Site Name]:[Long]],13,FALSE)</f>
        <v>92.934440612792997</v>
      </c>
      <c r="DQ344" s="643">
        <f>VLOOKUP(WWWW[[#This Row],[Site Name]],SiteDB6[[Site Name]:[Pcode]],3,FALSE)</f>
        <v>197574</v>
      </c>
      <c r="DR344" s="652" t="str">
        <f t="shared" si="11"/>
        <v>Covered</v>
      </c>
      <c r="DS344" s="652"/>
    </row>
    <row r="345" spans="1:123">
      <c r="A345" s="637" t="s">
        <v>2525</v>
      </c>
      <c r="B345" s="637" t="s">
        <v>336</v>
      </c>
      <c r="C345" s="644" t="s">
        <v>336</v>
      </c>
      <c r="D345" s="644" t="s">
        <v>352</v>
      </c>
      <c r="E345" s="663" t="s">
        <v>3014</v>
      </c>
      <c r="F345" s="644" t="s">
        <v>320</v>
      </c>
      <c r="G345" s="663" t="str">
        <f>VLOOKUP(WWWW[[#This Row],[Site Name]],SiteDB6[[Site Name]:[Location Type]],8,FALSE)</f>
        <v>Village_Not HRP</v>
      </c>
      <c r="H345" s="644" t="s">
        <v>367</v>
      </c>
      <c r="I345" s="646">
        <v>73</v>
      </c>
      <c r="J345" s="646">
        <v>306</v>
      </c>
      <c r="K345" s="653">
        <v>42887</v>
      </c>
      <c r="L345" s="654">
        <v>43616</v>
      </c>
      <c r="M345" s="646"/>
      <c r="N345" s="646"/>
      <c r="O345" s="646"/>
      <c r="P345" s="646"/>
      <c r="Q345" s="645"/>
      <c r="R345" s="646"/>
      <c r="S345" s="646"/>
      <c r="T345" s="646"/>
      <c r="U345" s="646"/>
      <c r="V345" s="646"/>
      <c r="W345" s="646"/>
      <c r="X345" s="646"/>
      <c r="Y345" s="646"/>
      <c r="Z345" s="646"/>
      <c r="AA345" s="646"/>
      <c r="AB345" s="646"/>
      <c r="AC345" s="646"/>
      <c r="AD345" s="646"/>
      <c r="AE345" s="646"/>
      <c r="AF345" s="646"/>
      <c r="AG345" s="646"/>
      <c r="AH345" s="646"/>
      <c r="AI345" s="646"/>
      <c r="AJ345" s="646"/>
      <c r="AK345" s="646"/>
      <c r="AL345" s="646"/>
      <c r="AM345" s="646"/>
      <c r="AN345" s="646"/>
      <c r="AO345" s="652"/>
      <c r="AP345" s="646"/>
      <c r="AQ345" s="646"/>
      <c r="AR345" s="648"/>
      <c r="AS345" s="646"/>
      <c r="AT345" s="646"/>
      <c r="AU345" s="646"/>
      <c r="AV345" s="646"/>
      <c r="AW345" s="646"/>
      <c r="AX345" s="643"/>
      <c r="AY345" s="652"/>
      <c r="AZ345" s="646"/>
      <c r="BA345" s="646"/>
      <c r="BB345" s="646"/>
      <c r="BC345" s="643"/>
      <c r="BD345" s="646"/>
      <c r="BE345" s="646"/>
      <c r="BF345" s="646"/>
      <c r="BG345" s="646"/>
      <c r="BH345" s="646"/>
      <c r="BI345" s="646"/>
      <c r="BJ345" s="646"/>
      <c r="BK345" s="646"/>
      <c r="BL345" s="646"/>
      <c r="BM345" s="643"/>
      <c r="BN345" s="647"/>
      <c r="BO345" s="648"/>
      <c r="BP345" s="643"/>
      <c r="BQ345" s="649" t="str">
        <f>IFERROR(WWWW[[#This Row],['#_Water sources treated]]/WWWW[[#This Row],['#_Water sources tested for contamination]],"no test")</f>
        <v>no test</v>
      </c>
      <c r="BR345" s="648" t="str">
        <f>IFERROR(WWWW[[#This Row],['#_Household received remediation action due to contamination]]/WWWW[[#This Row],['#_Household water samples tested for contamination]],"no test")</f>
        <v>no test</v>
      </c>
      <c r="BS345" s="647" t="str">
        <f>IF(AND(WWWW[[#This Row],[% of water sources treated]]="no test",WWWW[[#This Row],[% Household received corrective actions]]="no test"),"No Test","Tested")</f>
        <v>No Test</v>
      </c>
      <c r="BT345" s="647">
        <f>WWWW[[#This Row],['#_Constructed/existing protected hand dug well]]-WWWW[[#This Row],['#_Non-functional protected hand dug well]]</f>
        <v>0</v>
      </c>
      <c r="BU345" s="647">
        <f>(WWWW[[#This Row],['#_Constructed/Existing tube wells/boreholes/handpumps_WASH_agency]]+WWWW[[#This Row],['#_Non-Cluster partner water tube-wells/boreholes/handpumps]])-WWWW[[#This Row],['#_Non-functional tube wells/boreholes/handpumps]]</f>
        <v>0</v>
      </c>
      <c r="BV345" s="647">
        <f>WWWW[[#This Row],['#_Constructed/Existingwater storage tank with gravity fed reticulation system]]-WWWW[[#This Row],['#_Non-functional storage tank gravity fed reticulation system]]</f>
        <v>0</v>
      </c>
      <c r="BW345" s="647">
        <f>WWWW[[#This Row],['#_Water boating or water trucking]]</f>
        <v>0</v>
      </c>
      <c r="BX345" s="647">
        <f>WWWW[[#This Row],['#_Constructed/Existing water distribution system from river or natural spring]]</f>
        <v>0</v>
      </c>
      <c r="BY345"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45"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45" s="648">
        <f>IF(WWWW[[#This Row],[Location Type 1]]="Village",WWWW[[#This Row],[Access to safe drinking water for Village]],WWWW[[#This Row],[Access to safe drinking water for Camp]])</f>
        <v>0</v>
      </c>
      <c r="CB345" s="645">
        <f>WWWW[[#This Row],[%Equitable and continuous access to sufficient quantity of safe drinking water]]*WWWW[[#This Row],[Total PoP ]]</f>
        <v>0</v>
      </c>
      <c r="CC345" s="648">
        <f>IF((WWWW[[#This Row],['#_Constructed/Existing protected/fenced ponds]]*250)/WWWW[[#This Row],[Total PoP ]]&gt;1,1,(WWWW[[#This Row],['#_Constructed/Existing protected/fenced ponds]]*250)/WWWW[[#This Row],[Total PoP ]])</f>
        <v>0</v>
      </c>
      <c r="CD345" s="645">
        <f>WWWW[[#This Row],[% Access to unimproved water points]]*WWWW[[#This Row],[Total PoP ]]</f>
        <v>0</v>
      </c>
      <c r="CE345"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45"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45" s="645">
        <f>WWWW[[#This Row],[HRP1]]/500</f>
        <v>0</v>
      </c>
      <c r="CH345" s="650">
        <f>1-WWWW[[#This Row],[% Equitable and continuous access to sufficient quantity of domestic water]]</f>
        <v>1</v>
      </c>
      <c r="CI345" s="645">
        <f>WWWW[[#This Row],[%equitable and continuous access to sufficient quantity of safe drinking and domestic water''s GAP]]*WWWW[[#This Row],[Total PoP ]]</f>
        <v>306</v>
      </c>
      <c r="CJ345" s="647">
        <f>IF(WWWW[[#This Row],[Total required water points]]-WWWW[[#This Row],['#Water points coverage]]&lt;0,0,WWWW[[#This Row],[Total required water points]]-WWWW[[#This Row],['#Water points coverage]])</f>
        <v>1</v>
      </c>
      <c r="CK345" s="647">
        <f>ROUND(IF(WWWW[[#This Row],[Total PoP ]]&lt;500,1,WWWW[[#This Row],[Total PoP ]]/500),0)</f>
        <v>1</v>
      </c>
      <c r="CL345" s="647">
        <f>(WWWW[[#This Row],['#_Constructed latrines_by_WASHAgencies]]+WWWW[[#This Row],['#_Non Cluster partner latrines]])-WWWW[[#This Row],['#_Non-functional latrines]]</f>
        <v>0</v>
      </c>
      <c r="CM345"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45"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45"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45" s="647" t="str">
        <f>IF(WWWW[[#This Row],[Location Type 1]]="Village","NA",IF(WWWW[[#This Row],['#_Constructed/Existing latrines in TLS]]*50&gt;WWWW[[#This Row],['#_students at TLS_CFS]],WWWW[[#This Row],['#_students at TLS_CFS]],(WWWW[[#This Row],['#_Constructed/Existing latrines in TLS]]*50)))</f>
        <v>NA</v>
      </c>
      <c r="CQ345" s="647">
        <f>ROUND(IF(WWWW[[#This Row],[Location Type 1]]="camp",WWWW[[#This Row],[Total PoP ]]/20,IF(WWWW[[#This Row],[Location Type 1]]="Temporary Location",WWWW[[#This Row],[Total PoP ]]/50,(WWWW[[#This Row],[Total PoP ]]/6))),0)</f>
        <v>51</v>
      </c>
      <c r="CR345" s="647">
        <f>IF(WWWW[[#This Row],[Total required Latrines]]-(WWWW[[#This Row],['#_Constructed latrines_by_WASHAgencies]]+WWWW[[#This Row],['#_Non Cluster partner latrines]])&lt;0,0,WWWW[[#This Row],[Total required Latrines]]-(WWWW[[#This Row],['#_Constructed latrines_by_WASHAgencies]]+WWWW[[#This Row],['#_Non Cluster partner latrines]]))</f>
        <v>51</v>
      </c>
      <c r="CS345" s="79">
        <f>1-WWWW[[#This Row],[% people access to functioning Latrine]]</f>
        <v>1</v>
      </c>
      <c r="CT345" s="649">
        <f>IF(OR(WWWW[[#This Row],['#_Non-functional latrines]]="",WWWW[[#This Row],['#_Non-functional latrines]]=0),0,WWWW[[#This Row],['#_Non-functional latrines]]/(WWWW[[#This Row],['#_Constructed latrines_by_WASHAgencies]]+WWWW[[#This Row],['#_Non Cluster partner latrines]]))</f>
        <v>0</v>
      </c>
      <c r="CU345" s="645">
        <f>IF(500*(WWWW[[#This Row],['#_male hygiene promoters]]+WWWW[[#This Row],['#_female hygiene promoters]])&gt;WWWW[[#This Row],[Total PoP ]],WWWW[[#This Row],[Total PoP ]],500*(WWWW[[#This Row],['#_male hygiene promoters]]+WWWW[[#This Row],['#_female hygiene promoters]]))</f>
        <v>0</v>
      </c>
      <c r="CV345"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45"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45" s="647">
        <f>IF(WWWW[[#This Row],['# People with access to soap]]&gt;WWWW[[#This Row],['# People with access to Sanity Pads]],WWWW[[#This Row],['# People with access to soap]],WWWW[[#This Row],['# People with access to Sanity Pads]])</f>
        <v>0</v>
      </c>
      <c r="CY345"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45" s="650">
        <f>IF(WWWW[[#This Row],[HRP3]]/WWWW[[#This Row],[Total PoP ]]&gt;100%,100%,WWWW[[#This Row],[HRP3]]/WWWW[[#This Row],[Total PoP ]])</f>
        <v>0</v>
      </c>
      <c r="DA345" s="649">
        <f>1-WWWW[[#This Row],[Hygiene Coverage%]]</f>
        <v>1</v>
      </c>
      <c r="DB345" s="648">
        <f>WWWW[[#This Row],['# people reached by regular dedicated hygiene promotion_5]]/WWWW[[#This Row],[Total PoP ]]</f>
        <v>0</v>
      </c>
      <c r="DC345" s="648">
        <f>IF(WWWW[[#This Row],['#_households that received standard amount of soap for this quarter]]/WWWW[[#This Row],[Total HH]]&gt;1,1,WWWW[[#This Row],['#_households that received standard amount of soap for this quarter]]/WWWW[[#This Row],[Total HH]])</f>
        <v>0</v>
      </c>
      <c r="DD345" s="648">
        <f>IF(WWWW[[#This Row],['#_households that received standard amount of sanitary pads for this quarter]]/WWWW[[#This Row],[Total HH]]&gt;1,1,WWWW[[#This Row],['#_households that received standard amount of sanitary pads for this quarter]]/WWWW[[#This Row],[Total HH]])</f>
        <v>0</v>
      </c>
      <c r="DE345" s="647">
        <f>WWWW[[#This Row],['#_Constructed/Existing hand washing stations]]-WWWW[[#This Row],['#_Non-Functional_hand_washing_stations]]</f>
        <v>0</v>
      </c>
      <c r="DF345" s="667">
        <f>IF(WWWW[[#This Row],['# Functional hand washing stations during reporting period]]*20&gt;WWWW[[#This Row],[Total HH]],WWWW[[#This Row],[Total HH]],WWWW[[#This Row],['# Functional hand washing stations during reporting period]]*20)</f>
        <v>0</v>
      </c>
      <c r="DG345" s="645">
        <f>IF(WWWW[[#This Row],[Is sufficient soap available for TLS? (Yes/No)]]="yes",WWWW[[#This Row],['#_Constructed/Existing hand washing stations at TLS]],0)</f>
        <v>0</v>
      </c>
      <c r="DH345" s="645">
        <f>IF(WWWW[[#This Row],['# Functional hand washing stations during reporting period]]*100&gt;WWWW[[#This Row],[Total PoP ]],WWWW[[#This Row],[Total PoP ]],WWWW[[#This Row],['# Functional hand washing stations during reporting period]]*100)</f>
        <v>0</v>
      </c>
      <c r="DI345" s="645" t="str">
        <f>IF(WWWW[[#This Row],['#_students at TLS_CFS]]="","No","Yes")</f>
        <v>No</v>
      </c>
      <c r="DJ345" s="643">
        <f>VLOOKUP(WWWW[[#This Row],[Site Name]],SiteDB6[[Site Name]:[CCCM Management]],6,FALSE)</f>
        <v>0</v>
      </c>
      <c r="DK345" s="643">
        <f>VLOOKUP(WWWW[[#This Row],[Site Name]],SiteDB6[[Site Name]:[CCCM Focal Agency]],7,FALSE)</f>
        <v>0</v>
      </c>
      <c r="DL345" s="643" t="str">
        <f>VLOOKUP(WWWW[[#This Row],[Site Name]],SiteDB6[[Site Name]:[Location Type 1]],9,FALSE)</f>
        <v>Village</v>
      </c>
      <c r="DM345" s="643" t="str">
        <f>VLOOKUP(WWWW[[#This Row],[Site Name]],SiteDB6[[Site Name]:[Type of Accommodation]],10,FALSE)</f>
        <v>Village_Not HRP</v>
      </c>
      <c r="DN345" s="643" t="str">
        <f>VLOOKUP(WWWW[[#This Row],[Site Name]],SiteDB6[[Site Name]:[Ethnic or GCA/NGCA]],11,FALSE)</f>
        <v>Rakhine</v>
      </c>
      <c r="DO345" s="643">
        <f>VLOOKUP(WWWW[[#This Row],[Site Name]],SiteDB6[[Site Name]:[Lat]],12,FALSE)</f>
        <v>0</v>
      </c>
      <c r="DP345" s="643">
        <f>VLOOKUP(WWWW[[#This Row],[Site Name]],SiteDB6[[Site Name]:[Long]],13,FALSE)</f>
        <v>0</v>
      </c>
      <c r="DQ345" s="643">
        <f>VLOOKUP(WWWW[[#This Row],[Site Name]],SiteDB6[[Site Name]:[Pcode]],3,FALSE)</f>
        <v>0</v>
      </c>
      <c r="DR345" s="652" t="str">
        <f t="shared" ref="DR345:DR372" si="12">IF(C345="none","Notcovered","Covered")</f>
        <v>Covered</v>
      </c>
      <c r="DS345" s="652"/>
    </row>
    <row r="346" spans="1:123">
      <c r="A346" s="637" t="s">
        <v>2525</v>
      </c>
      <c r="B346" s="637" t="s">
        <v>336</v>
      </c>
      <c r="C346" s="644" t="s">
        <v>336</v>
      </c>
      <c r="D346" s="644" t="s">
        <v>352</v>
      </c>
      <c r="E346" s="663" t="s">
        <v>3014</v>
      </c>
      <c r="F346" s="644" t="s">
        <v>320</v>
      </c>
      <c r="G346" s="663" t="str">
        <f>VLOOKUP(WWWW[[#This Row],[Site Name]],SiteDB6[[Site Name]:[Location Type]],8,FALSE)</f>
        <v>Village_Not HRP</v>
      </c>
      <c r="H346" s="644" t="s">
        <v>2064</v>
      </c>
      <c r="I346" s="646">
        <v>168</v>
      </c>
      <c r="J346" s="646">
        <v>1002</v>
      </c>
      <c r="K346" s="653">
        <v>42887</v>
      </c>
      <c r="L346" s="654">
        <v>43616</v>
      </c>
      <c r="M346" s="646"/>
      <c r="N346" s="646"/>
      <c r="O346" s="646"/>
      <c r="P346" s="646"/>
      <c r="Q346" s="645"/>
      <c r="R346" s="646"/>
      <c r="S346" s="646"/>
      <c r="T346" s="646"/>
      <c r="U346" s="646"/>
      <c r="V346" s="646"/>
      <c r="W346" s="646"/>
      <c r="X346" s="646"/>
      <c r="Y346" s="646"/>
      <c r="Z346" s="646"/>
      <c r="AA346" s="646"/>
      <c r="AB346" s="646"/>
      <c r="AC346" s="646"/>
      <c r="AD346" s="646"/>
      <c r="AE346" s="646">
        <v>2</v>
      </c>
      <c r="AF346" s="646"/>
      <c r="AG346" s="646"/>
      <c r="AH346" s="646"/>
      <c r="AI346" s="646"/>
      <c r="AJ346" s="646"/>
      <c r="AK346" s="646"/>
      <c r="AL346" s="646"/>
      <c r="AM346" s="646"/>
      <c r="AN346" s="646"/>
      <c r="AO346" s="703" t="s">
        <v>2961</v>
      </c>
      <c r="AP346" s="646"/>
      <c r="AQ346" s="646"/>
      <c r="AR346" s="648"/>
      <c r="AS346" s="646"/>
      <c r="AT346" s="646"/>
      <c r="AU346" s="646"/>
      <c r="AV346" s="646"/>
      <c r="AW346" s="646"/>
      <c r="AX346" s="643"/>
      <c r="AY346" s="652"/>
      <c r="AZ346" s="646"/>
      <c r="BA346" s="646"/>
      <c r="BB346" s="646"/>
      <c r="BC346" s="643"/>
      <c r="BD346" s="646"/>
      <c r="BE346" s="646"/>
      <c r="BF346" s="646"/>
      <c r="BG346" s="646"/>
      <c r="BH346" s="646"/>
      <c r="BI346" s="646"/>
      <c r="BJ346" s="646"/>
      <c r="BK346" s="646"/>
      <c r="BL346" s="646"/>
      <c r="BM346" s="643"/>
      <c r="BN346" s="647"/>
      <c r="BO346" s="648"/>
      <c r="BP346" s="643"/>
      <c r="BQ346" s="649" t="str">
        <f>IFERROR(WWWW[[#This Row],['#_Water sources treated]]/WWWW[[#This Row],['#_Water sources tested for contamination]],"no test")</f>
        <v>no test</v>
      </c>
      <c r="BR346" s="648" t="str">
        <f>IFERROR(WWWW[[#This Row],['#_Household received remediation action due to contamination]]/WWWW[[#This Row],['#_Household water samples tested for contamination]],"no test")</f>
        <v>no test</v>
      </c>
      <c r="BS346" s="647" t="str">
        <f>IF(AND(WWWW[[#This Row],[% of water sources treated]]="no test",WWWW[[#This Row],[% Household received corrective actions]]="no test"),"No Test","Tested")</f>
        <v>No Test</v>
      </c>
      <c r="BT346" s="647">
        <f>WWWW[[#This Row],['#_Constructed/existing protected hand dug well]]-WWWW[[#This Row],['#_Non-functional protected hand dug well]]</f>
        <v>0</v>
      </c>
      <c r="BU346" s="647">
        <f>(WWWW[[#This Row],['#_Constructed/Existing tube wells/boreholes/handpumps_WASH_agency]]+WWWW[[#This Row],['#_Non-Cluster partner water tube-wells/boreholes/handpumps]])-WWWW[[#This Row],['#_Non-functional tube wells/boreholes/handpumps]]</f>
        <v>0</v>
      </c>
      <c r="BV346" s="647">
        <f>WWWW[[#This Row],['#_Constructed/Existingwater storage tank with gravity fed reticulation system]]-WWWW[[#This Row],['#_Non-functional storage tank gravity fed reticulation system]]</f>
        <v>0</v>
      </c>
      <c r="BW346" s="647">
        <f>WWWW[[#This Row],['#_Water boating or water trucking]]</f>
        <v>0</v>
      </c>
      <c r="BX346" s="647">
        <f>WWWW[[#This Row],['#_Constructed/Existing water distribution system from river or natural spring]]</f>
        <v>0</v>
      </c>
      <c r="BY346"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46"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46" s="648">
        <f>IF(WWWW[[#This Row],[Location Type 1]]="Village",WWWW[[#This Row],[Access to safe drinking water for Village]],WWWW[[#This Row],[Access to safe drinking water for Camp]])</f>
        <v>0</v>
      </c>
      <c r="CB346" s="645">
        <f>WWWW[[#This Row],[%Equitable and continuous access to sufficient quantity of safe drinking water]]*WWWW[[#This Row],[Total PoP ]]</f>
        <v>0</v>
      </c>
      <c r="CC346" s="648">
        <f>IF((WWWW[[#This Row],['#_Constructed/Existing protected/fenced ponds]]*250)/WWWW[[#This Row],[Total PoP ]]&gt;1,1,(WWWW[[#This Row],['#_Constructed/Existing protected/fenced ponds]]*250)/WWWW[[#This Row],[Total PoP ]])</f>
        <v>0.49900199600798401</v>
      </c>
      <c r="CD346" s="645">
        <f>WWWW[[#This Row],[% Access to unimproved water points]]*WWWW[[#This Row],[Total PoP ]]</f>
        <v>500</v>
      </c>
      <c r="CE346"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0.49900199600798401</v>
      </c>
      <c r="CF346"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500</v>
      </c>
      <c r="CG346" s="645">
        <f>WWWW[[#This Row],[HRP1]]/500</f>
        <v>1</v>
      </c>
      <c r="CH346" s="650">
        <f>1-WWWW[[#This Row],[% Equitable and continuous access to sufficient quantity of domestic water]]</f>
        <v>0.50099800399201599</v>
      </c>
      <c r="CI346" s="645">
        <f>WWWW[[#This Row],[%equitable and continuous access to sufficient quantity of safe drinking and domestic water''s GAP]]*WWWW[[#This Row],[Total PoP ]]</f>
        <v>502</v>
      </c>
      <c r="CJ346" s="647">
        <f>IF(WWWW[[#This Row],[Total required water points]]-WWWW[[#This Row],['#Water points coverage]]&lt;0,0,WWWW[[#This Row],[Total required water points]]-WWWW[[#This Row],['#Water points coverage]])</f>
        <v>1</v>
      </c>
      <c r="CK346" s="647">
        <f>ROUND(IF(WWWW[[#This Row],[Total PoP ]]&lt;500,1,WWWW[[#This Row],[Total PoP ]]/500),0)</f>
        <v>2</v>
      </c>
      <c r="CL346" s="647">
        <f>(WWWW[[#This Row],['#_Constructed latrines_by_WASHAgencies]]+WWWW[[#This Row],['#_Non Cluster partner latrines]])-WWWW[[#This Row],['#_Non-functional latrines]]</f>
        <v>0</v>
      </c>
      <c r="CM346"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46"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46"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46" s="647" t="str">
        <f>IF(WWWW[[#This Row],[Location Type 1]]="Village","NA",IF(WWWW[[#This Row],['#_Constructed/Existing latrines in TLS]]*50&gt;WWWW[[#This Row],['#_students at TLS_CFS]],WWWW[[#This Row],['#_students at TLS_CFS]],(WWWW[[#This Row],['#_Constructed/Existing latrines in TLS]]*50)))</f>
        <v>NA</v>
      </c>
      <c r="CQ346" s="647">
        <f>ROUND(IF(WWWW[[#This Row],[Location Type 1]]="camp",WWWW[[#This Row],[Total PoP ]]/20,IF(WWWW[[#This Row],[Location Type 1]]="Temporary Location",WWWW[[#This Row],[Total PoP ]]/50,(WWWW[[#This Row],[Total PoP ]]/6))),0)</f>
        <v>167</v>
      </c>
      <c r="CR346" s="647">
        <f>IF(WWWW[[#This Row],[Total required Latrines]]-(WWWW[[#This Row],['#_Constructed latrines_by_WASHAgencies]]+WWWW[[#This Row],['#_Non Cluster partner latrines]])&lt;0,0,WWWW[[#This Row],[Total required Latrines]]-(WWWW[[#This Row],['#_Constructed latrines_by_WASHAgencies]]+WWWW[[#This Row],['#_Non Cluster partner latrines]]))</f>
        <v>167</v>
      </c>
      <c r="CS346" s="79">
        <f>1-WWWW[[#This Row],[% people access to functioning Latrine]]</f>
        <v>1</v>
      </c>
      <c r="CT346" s="649">
        <f>IF(OR(WWWW[[#This Row],['#_Non-functional latrines]]="",WWWW[[#This Row],['#_Non-functional latrines]]=0),0,WWWW[[#This Row],['#_Non-functional latrines]]/(WWWW[[#This Row],['#_Constructed latrines_by_WASHAgencies]]+WWWW[[#This Row],['#_Non Cluster partner latrines]]))</f>
        <v>0</v>
      </c>
      <c r="CU346" s="645">
        <f>IF(500*(WWWW[[#This Row],['#_male hygiene promoters]]+WWWW[[#This Row],['#_female hygiene promoters]])&gt;WWWW[[#This Row],[Total PoP ]],WWWW[[#This Row],[Total PoP ]],500*(WWWW[[#This Row],['#_male hygiene promoters]]+WWWW[[#This Row],['#_female hygiene promoters]]))</f>
        <v>0</v>
      </c>
      <c r="CV346"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46"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46" s="647">
        <f>IF(WWWW[[#This Row],['# People with access to soap]]&gt;WWWW[[#This Row],['# People with access to Sanity Pads]],WWWW[[#This Row],['# People with access to soap]],WWWW[[#This Row],['# People with access to Sanity Pads]])</f>
        <v>0</v>
      </c>
      <c r="CY346"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46" s="650">
        <f>IF(WWWW[[#This Row],[HRP3]]/WWWW[[#This Row],[Total PoP ]]&gt;100%,100%,WWWW[[#This Row],[HRP3]]/WWWW[[#This Row],[Total PoP ]])</f>
        <v>0</v>
      </c>
      <c r="DA346" s="649">
        <f>1-WWWW[[#This Row],[Hygiene Coverage%]]</f>
        <v>1</v>
      </c>
      <c r="DB346" s="648">
        <f>WWWW[[#This Row],['# people reached by regular dedicated hygiene promotion_5]]/WWWW[[#This Row],[Total PoP ]]</f>
        <v>0</v>
      </c>
      <c r="DC346" s="648">
        <f>IF(WWWW[[#This Row],['#_households that received standard amount of soap for this quarter]]/WWWW[[#This Row],[Total HH]]&gt;1,1,WWWW[[#This Row],['#_households that received standard amount of soap for this quarter]]/WWWW[[#This Row],[Total HH]])</f>
        <v>0</v>
      </c>
      <c r="DD346" s="648">
        <f>IF(WWWW[[#This Row],['#_households that received standard amount of sanitary pads for this quarter]]/WWWW[[#This Row],[Total HH]]&gt;1,1,WWWW[[#This Row],['#_households that received standard amount of sanitary pads for this quarter]]/WWWW[[#This Row],[Total HH]])</f>
        <v>0</v>
      </c>
      <c r="DE346" s="647">
        <f>WWWW[[#This Row],['#_Constructed/Existing hand washing stations]]-WWWW[[#This Row],['#_Non-Functional_hand_washing_stations]]</f>
        <v>0</v>
      </c>
      <c r="DF346" s="667">
        <f>IF(WWWW[[#This Row],['# Functional hand washing stations during reporting period]]*20&gt;WWWW[[#This Row],[Total HH]],WWWW[[#This Row],[Total HH]],WWWW[[#This Row],['# Functional hand washing stations during reporting period]]*20)</f>
        <v>0</v>
      </c>
      <c r="DG346" s="645">
        <f>IF(WWWW[[#This Row],[Is sufficient soap available for TLS? (Yes/No)]]="yes",WWWW[[#This Row],['#_Constructed/Existing hand washing stations at TLS]],0)</f>
        <v>0</v>
      </c>
      <c r="DH346" s="645">
        <f>IF(WWWW[[#This Row],['# Functional hand washing stations during reporting period]]*100&gt;WWWW[[#This Row],[Total PoP ]],WWWW[[#This Row],[Total PoP ]],WWWW[[#This Row],['# Functional hand washing stations during reporting period]]*100)</f>
        <v>0</v>
      </c>
      <c r="DI346" s="645" t="str">
        <f>IF(WWWW[[#This Row],['#_students at TLS_CFS]]="","No","Yes")</f>
        <v>No</v>
      </c>
      <c r="DJ346" s="643">
        <f>VLOOKUP(WWWW[[#This Row],[Site Name]],SiteDB6[[Site Name]:[CCCM Management]],6,FALSE)</f>
        <v>0</v>
      </c>
      <c r="DK346" s="643">
        <f>VLOOKUP(WWWW[[#This Row],[Site Name]],SiteDB6[[Site Name]:[CCCM Focal Agency]],7,FALSE)</f>
        <v>0</v>
      </c>
      <c r="DL346" s="643" t="str">
        <f>VLOOKUP(WWWW[[#This Row],[Site Name]],SiteDB6[[Site Name]:[Location Type 1]],9,FALSE)</f>
        <v>Village</v>
      </c>
      <c r="DM346" s="643" t="str">
        <f>VLOOKUP(WWWW[[#This Row],[Site Name]],SiteDB6[[Site Name]:[Type of Accommodation]],10,FALSE)</f>
        <v>Village_Not HRP</v>
      </c>
      <c r="DN346" s="643" t="str">
        <f>VLOOKUP(WWWW[[#This Row],[Site Name]],SiteDB6[[Site Name]:[Ethnic or GCA/NGCA]],11,FALSE)</f>
        <v>Muslim</v>
      </c>
      <c r="DO346" s="643">
        <f>VLOOKUP(WWWW[[#This Row],[Site Name]],SiteDB6[[Site Name]:[Lat]],12,FALSE)</f>
        <v>0</v>
      </c>
      <c r="DP346" s="643">
        <f>VLOOKUP(WWWW[[#This Row],[Site Name]],SiteDB6[[Site Name]:[Long]],13,FALSE)</f>
        <v>0</v>
      </c>
      <c r="DQ346" s="643">
        <f>VLOOKUP(WWWW[[#This Row],[Site Name]],SiteDB6[[Site Name]:[Pcode]],3,FALSE)</f>
        <v>196818</v>
      </c>
      <c r="DR346" s="652" t="str">
        <f t="shared" si="12"/>
        <v>Covered</v>
      </c>
      <c r="DS346" s="652"/>
    </row>
    <row r="347" spans="1:123">
      <c r="A347" s="637" t="s">
        <v>2525</v>
      </c>
      <c r="B347" s="637" t="s">
        <v>336</v>
      </c>
      <c r="C347" s="644" t="s">
        <v>336</v>
      </c>
      <c r="D347" s="644" t="s">
        <v>352</v>
      </c>
      <c r="E347" s="663" t="s">
        <v>3014</v>
      </c>
      <c r="F347" s="644" t="s">
        <v>320</v>
      </c>
      <c r="G347" s="663" t="str">
        <f>VLOOKUP(WWWW[[#This Row],[Site Name]],SiteDB6[[Site Name]:[Location Type]],8,FALSE)</f>
        <v>Village_Not HRP</v>
      </c>
      <c r="H347" s="644" t="s">
        <v>2061</v>
      </c>
      <c r="I347" s="646">
        <v>45</v>
      </c>
      <c r="J347" s="646">
        <v>206</v>
      </c>
      <c r="K347" s="653">
        <v>42887</v>
      </c>
      <c r="L347" s="654">
        <v>43616</v>
      </c>
      <c r="M347" s="646"/>
      <c r="N347" s="646"/>
      <c r="O347" s="646"/>
      <c r="P347" s="646"/>
      <c r="Q347" s="645"/>
      <c r="R347" s="646"/>
      <c r="S347" s="646"/>
      <c r="T347" s="646"/>
      <c r="U347" s="646"/>
      <c r="V347" s="646"/>
      <c r="W347" s="646"/>
      <c r="X347" s="646"/>
      <c r="Y347" s="646"/>
      <c r="Z347" s="646"/>
      <c r="AA347" s="646"/>
      <c r="AB347" s="646"/>
      <c r="AC347" s="646"/>
      <c r="AD347" s="646"/>
      <c r="AE347" s="646">
        <v>1</v>
      </c>
      <c r="AF347" s="646"/>
      <c r="AG347" s="646"/>
      <c r="AH347" s="646"/>
      <c r="AI347" s="646"/>
      <c r="AJ347" s="646"/>
      <c r="AK347" s="646"/>
      <c r="AL347" s="646"/>
      <c r="AM347" s="646"/>
      <c r="AN347" s="646"/>
      <c r="AO347" s="703" t="s">
        <v>2961</v>
      </c>
      <c r="AP347" s="646"/>
      <c r="AQ347" s="646"/>
      <c r="AR347" s="648"/>
      <c r="AS347" s="646"/>
      <c r="AT347" s="646"/>
      <c r="AU347" s="646"/>
      <c r="AV347" s="646"/>
      <c r="AW347" s="646"/>
      <c r="AX347" s="643"/>
      <c r="AY347" s="652"/>
      <c r="AZ347" s="646"/>
      <c r="BA347" s="646"/>
      <c r="BB347" s="646"/>
      <c r="BC347" s="643"/>
      <c r="BD347" s="646"/>
      <c r="BE347" s="646"/>
      <c r="BF347" s="646"/>
      <c r="BG347" s="646"/>
      <c r="BH347" s="646"/>
      <c r="BI347" s="646"/>
      <c r="BJ347" s="646"/>
      <c r="BK347" s="646"/>
      <c r="BL347" s="646"/>
      <c r="BM347" s="643"/>
      <c r="BN347" s="647"/>
      <c r="BO347" s="648"/>
      <c r="BP347" s="643"/>
      <c r="BQ347" s="649" t="str">
        <f>IFERROR(WWWW[[#This Row],['#_Water sources treated]]/WWWW[[#This Row],['#_Water sources tested for contamination]],"no test")</f>
        <v>no test</v>
      </c>
      <c r="BR347" s="648" t="str">
        <f>IFERROR(WWWW[[#This Row],['#_Household received remediation action due to contamination]]/WWWW[[#This Row],['#_Household water samples tested for contamination]],"no test")</f>
        <v>no test</v>
      </c>
      <c r="BS347" s="647" t="str">
        <f>IF(AND(WWWW[[#This Row],[% of water sources treated]]="no test",WWWW[[#This Row],[% Household received corrective actions]]="no test"),"No Test","Tested")</f>
        <v>No Test</v>
      </c>
      <c r="BT347" s="647">
        <f>WWWW[[#This Row],['#_Constructed/existing protected hand dug well]]-WWWW[[#This Row],['#_Non-functional protected hand dug well]]</f>
        <v>0</v>
      </c>
      <c r="BU347" s="647">
        <f>(WWWW[[#This Row],['#_Constructed/Existing tube wells/boreholes/handpumps_WASH_agency]]+WWWW[[#This Row],['#_Non-Cluster partner water tube-wells/boreholes/handpumps]])-WWWW[[#This Row],['#_Non-functional tube wells/boreholes/handpumps]]</f>
        <v>0</v>
      </c>
      <c r="BV347" s="647">
        <f>WWWW[[#This Row],['#_Constructed/Existingwater storage tank with gravity fed reticulation system]]-WWWW[[#This Row],['#_Non-functional storage tank gravity fed reticulation system]]</f>
        <v>0</v>
      </c>
      <c r="BW347" s="647">
        <f>WWWW[[#This Row],['#_Water boating or water trucking]]</f>
        <v>0</v>
      </c>
      <c r="BX347" s="647">
        <f>WWWW[[#This Row],['#_Constructed/Existing water distribution system from river or natural spring]]</f>
        <v>0</v>
      </c>
      <c r="BY347"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47"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47" s="648">
        <f>IF(WWWW[[#This Row],[Location Type 1]]="Village",WWWW[[#This Row],[Access to safe drinking water for Village]],WWWW[[#This Row],[Access to safe drinking water for Camp]])</f>
        <v>0</v>
      </c>
      <c r="CB347" s="645">
        <f>WWWW[[#This Row],[%Equitable and continuous access to sufficient quantity of safe drinking water]]*WWWW[[#This Row],[Total PoP ]]</f>
        <v>0</v>
      </c>
      <c r="CC347" s="648">
        <f>IF((WWWW[[#This Row],['#_Constructed/Existing protected/fenced ponds]]*250)/WWWW[[#This Row],[Total PoP ]]&gt;1,1,(WWWW[[#This Row],['#_Constructed/Existing protected/fenced ponds]]*250)/WWWW[[#This Row],[Total PoP ]])</f>
        <v>1</v>
      </c>
      <c r="CD347" s="645">
        <f>WWWW[[#This Row],[% Access to unimproved water points]]*WWWW[[#This Row],[Total PoP ]]</f>
        <v>206</v>
      </c>
      <c r="CE347"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47"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206</v>
      </c>
      <c r="CG347" s="645">
        <f>WWWW[[#This Row],[HRP1]]/500</f>
        <v>0.41199999999999998</v>
      </c>
      <c r="CH347" s="650">
        <f>1-WWWW[[#This Row],[% Equitable and continuous access to sufficient quantity of domestic water]]</f>
        <v>0</v>
      </c>
      <c r="CI347" s="645">
        <f>WWWW[[#This Row],[%equitable and continuous access to sufficient quantity of safe drinking and domestic water''s GAP]]*WWWW[[#This Row],[Total PoP ]]</f>
        <v>0</v>
      </c>
      <c r="CJ347" s="647">
        <f>IF(WWWW[[#This Row],[Total required water points]]-WWWW[[#This Row],['#Water points coverage]]&lt;0,0,WWWW[[#This Row],[Total required water points]]-WWWW[[#This Row],['#Water points coverage]])</f>
        <v>0.58800000000000008</v>
      </c>
      <c r="CK347" s="647">
        <f>ROUND(IF(WWWW[[#This Row],[Total PoP ]]&lt;500,1,WWWW[[#This Row],[Total PoP ]]/500),0)</f>
        <v>1</v>
      </c>
      <c r="CL347" s="647">
        <f>(WWWW[[#This Row],['#_Constructed latrines_by_WASHAgencies]]+WWWW[[#This Row],['#_Non Cluster partner latrines]])-WWWW[[#This Row],['#_Non-functional latrines]]</f>
        <v>0</v>
      </c>
      <c r="CM347"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47"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47"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47" s="647" t="str">
        <f>IF(WWWW[[#This Row],[Location Type 1]]="Village","NA",IF(WWWW[[#This Row],['#_Constructed/Existing latrines in TLS]]*50&gt;WWWW[[#This Row],['#_students at TLS_CFS]],WWWW[[#This Row],['#_students at TLS_CFS]],(WWWW[[#This Row],['#_Constructed/Existing latrines in TLS]]*50)))</f>
        <v>NA</v>
      </c>
      <c r="CQ347" s="647">
        <f>ROUND(IF(WWWW[[#This Row],[Location Type 1]]="camp",WWWW[[#This Row],[Total PoP ]]/20,IF(WWWW[[#This Row],[Location Type 1]]="Temporary Location",WWWW[[#This Row],[Total PoP ]]/50,(WWWW[[#This Row],[Total PoP ]]/6))),0)</f>
        <v>34</v>
      </c>
      <c r="CR347" s="647">
        <f>IF(WWWW[[#This Row],[Total required Latrines]]-(WWWW[[#This Row],['#_Constructed latrines_by_WASHAgencies]]+WWWW[[#This Row],['#_Non Cluster partner latrines]])&lt;0,0,WWWW[[#This Row],[Total required Latrines]]-(WWWW[[#This Row],['#_Constructed latrines_by_WASHAgencies]]+WWWW[[#This Row],['#_Non Cluster partner latrines]]))</f>
        <v>34</v>
      </c>
      <c r="CS347" s="79">
        <f>1-WWWW[[#This Row],[% people access to functioning Latrine]]</f>
        <v>1</v>
      </c>
      <c r="CT347" s="649">
        <f>IF(OR(WWWW[[#This Row],['#_Non-functional latrines]]="",WWWW[[#This Row],['#_Non-functional latrines]]=0),0,WWWW[[#This Row],['#_Non-functional latrines]]/(WWWW[[#This Row],['#_Constructed latrines_by_WASHAgencies]]+WWWW[[#This Row],['#_Non Cluster partner latrines]]))</f>
        <v>0</v>
      </c>
      <c r="CU347" s="645">
        <f>IF(500*(WWWW[[#This Row],['#_male hygiene promoters]]+WWWW[[#This Row],['#_female hygiene promoters]])&gt;WWWW[[#This Row],[Total PoP ]],WWWW[[#This Row],[Total PoP ]],500*(WWWW[[#This Row],['#_male hygiene promoters]]+WWWW[[#This Row],['#_female hygiene promoters]]))</f>
        <v>0</v>
      </c>
      <c r="CV347"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47"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47" s="647">
        <f>IF(WWWW[[#This Row],['# People with access to soap]]&gt;WWWW[[#This Row],['# People with access to Sanity Pads]],WWWW[[#This Row],['# People with access to soap]],WWWW[[#This Row],['# People with access to Sanity Pads]])</f>
        <v>0</v>
      </c>
      <c r="CY347"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47" s="650">
        <f>IF(WWWW[[#This Row],[HRP3]]/WWWW[[#This Row],[Total PoP ]]&gt;100%,100%,WWWW[[#This Row],[HRP3]]/WWWW[[#This Row],[Total PoP ]])</f>
        <v>0</v>
      </c>
      <c r="DA347" s="649">
        <f>1-WWWW[[#This Row],[Hygiene Coverage%]]</f>
        <v>1</v>
      </c>
      <c r="DB347" s="648">
        <f>WWWW[[#This Row],['# people reached by regular dedicated hygiene promotion_5]]/WWWW[[#This Row],[Total PoP ]]</f>
        <v>0</v>
      </c>
      <c r="DC347" s="648">
        <f>IF(WWWW[[#This Row],['#_households that received standard amount of soap for this quarter]]/WWWW[[#This Row],[Total HH]]&gt;1,1,WWWW[[#This Row],['#_households that received standard amount of soap for this quarter]]/WWWW[[#This Row],[Total HH]])</f>
        <v>0</v>
      </c>
      <c r="DD347" s="648">
        <f>IF(WWWW[[#This Row],['#_households that received standard amount of sanitary pads for this quarter]]/WWWW[[#This Row],[Total HH]]&gt;1,1,WWWW[[#This Row],['#_households that received standard amount of sanitary pads for this quarter]]/WWWW[[#This Row],[Total HH]])</f>
        <v>0</v>
      </c>
      <c r="DE347" s="647">
        <f>WWWW[[#This Row],['#_Constructed/Existing hand washing stations]]-WWWW[[#This Row],['#_Non-Functional_hand_washing_stations]]</f>
        <v>0</v>
      </c>
      <c r="DF347" s="667">
        <f>IF(WWWW[[#This Row],['# Functional hand washing stations during reporting period]]*20&gt;WWWW[[#This Row],[Total HH]],WWWW[[#This Row],[Total HH]],WWWW[[#This Row],['# Functional hand washing stations during reporting period]]*20)</f>
        <v>0</v>
      </c>
      <c r="DG347" s="645">
        <f>IF(WWWW[[#This Row],[Is sufficient soap available for TLS? (Yes/No)]]="yes",WWWW[[#This Row],['#_Constructed/Existing hand washing stations at TLS]],0)</f>
        <v>0</v>
      </c>
      <c r="DH347" s="645">
        <f>IF(WWWW[[#This Row],['# Functional hand washing stations during reporting period]]*100&gt;WWWW[[#This Row],[Total PoP ]],WWWW[[#This Row],[Total PoP ]],WWWW[[#This Row],['# Functional hand washing stations during reporting period]]*100)</f>
        <v>0</v>
      </c>
      <c r="DI347" s="645" t="str">
        <f>IF(WWWW[[#This Row],['#_students at TLS_CFS]]="","No","Yes")</f>
        <v>No</v>
      </c>
      <c r="DJ347" s="643">
        <f>VLOOKUP(WWWW[[#This Row],[Site Name]],SiteDB6[[Site Name]:[CCCM Management]],6,FALSE)</f>
        <v>0</v>
      </c>
      <c r="DK347" s="643">
        <f>VLOOKUP(WWWW[[#This Row],[Site Name]],SiteDB6[[Site Name]:[CCCM Focal Agency]],7,FALSE)</f>
        <v>0</v>
      </c>
      <c r="DL347" s="643" t="str">
        <f>VLOOKUP(WWWW[[#This Row],[Site Name]],SiteDB6[[Site Name]:[Location Type 1]],9,FALSE)</f>
        <v>Village</v>
      </c>
      <c r="DM347" s="643" t="str">
        <f>VLOOKUP(WWWW[[#This Row],[Site Name]],SiteDB6[[Site Name]:[Type of Accommodation]],10,FALSE)</f>
        <v>Village_Not HRP</v>
      </c>
      <c r="DN347" s="643" t="str">
        <f>VLOOKUP(WWWW[[#This Row],[Site Name]],SiteDB6[[Site Name]:[Ethnic or GCA/NGCA]],11,FALSE)</f>
        <v>Rakhine</v>
      </c>
      <c r="DO347" s="643">
        <f>VLOOKUP(WWWW[[#This Row],[Site Name]],SiteDB6[[Site Name]:[Lat]],12,FALSE)</f>
        <v>0</v>
      </c>
      <c r="DP347" s="643">
        <f>VLOOKUP(WWWW[[#This Row],[Site Name]],SiteDB6[[Site Name]:[Long]],13,FALSE)</f>
        <v>0</v>
      </c>
      <c r="DQ347" s="643">
        <f>VLOOKUP(WWWW[[#This Row],[Site Name]],SiteDB6[[Site Name]:[Pcode]],3,FALSE)</f>
        <v>0</v>
      </c>
      <c r="DR347" s="652" t="str">
        <f t="shared" si="12"/>
        <v>Covered</v>
      </c>
      <c r="DS347" s="652"/>
    </row>
    <row r="348" spans="1:123">
      <c r="A348" s="637" t="s">
        <v>2525</v>
      </c>
      <c r="B348" s="637" t="s">
        <v>336</v>
      </c>
      <c r="C348" s="644" t="s">
        <v>336</v>
      </c>
      <c r="D348" s="644" t="s">
        <v>352</v>
      </c>
      <c r="E348" s="663" t="s">
        <v>3014</v>
      </c>
      <c r="F348" s="644" t="s">
        <v>320</v>
      </c>
      <c r="G348" s="663" t="str">
        <f>VLOOKUP(WWWW[[#This Row],[Site Name]],SiteDB6[[Site Name]:[Location Type]],8,FALSE)</f>
        <v>Village_Not HRP</v>
      </c>
      <c r="H348" s="644" t="s">
        <v>656</v>
      </c>
      <c r="I348" s="646">
        <v>513</v>
      </c>
      <c r="J348" s="646">
        <v>3224</v>
      </c>
      <c r="K348" s="653">
        <v>42887</v>
      </c>
      <c r="L348" s="654">
        <v>43616</v>
      </c>
      <c r="M348" s="646"/>
      <c r="N348" s="646"/>
      <c r="O348" s="646"/>
      <c r="P348" s="646"/>
      <c r="Q348" s="645"/>
      <c r="R348" s="646"/>
      <c r="S348" s="646"/>
      <c r="T348" s="646"/>
      <c r="U348" s="646"/>
      <c r="V348" s="646"/>
      <c r="W348" s="646"/>
      <c r="X348" s="646"/>
      <c r="Y348" s="646"/>
      <c r="Z348" s="646"/>
      <c r="AA348" s="646"/>
      <c r="AB348" s="646"/>
      <c r="AC348" s="646"/>
      <c r="AD348" s="646"/>
      <c r="AE348" s="646">
        <v>3</v>
      </c>
      <c r="AF348" s="646"/>
      <c r="AG348" s="646"/>
      <c r="AH348" s="646"/>
      <c r="AI348" s="646"/>
      <c r="AJ348" s="646"/>
      <c r="AK348" s="646"/>
      <c r="AL348" s="646"/>
      <c r="AM348" s="646"/>
      <c r="AN348" s="646"/>
      <c r="AO348" s="703" t="s">
        <v>2961</v>
      </c>
      <c r="AP348" s="646"/>
      <c r="AQ348" s="646"/>
      <c r="AR348" s="648"/>
      <c r="AS348" s="646"/>
      <c r="AT348" s="646"/>
      <c r="AU348" s="646"/>
      <c r="AV348" s="646"/>
      <c r="AW348" s="646"/>
      <c r="AX348" s="643"/>
      <c r="AY348" s="652"/>
      <c r="AZ348" s="646"/>
      <c r="BA348" s="646"/>
      <c r="BB348" s="646"/>
      <c r="BC348" s="643"/>
      <c r="BD348" s="646"/>
      <c r="BE348" s="646"/>
      <c r="BF348" s="646"/>
      <c r="BG348" s="646"/>
      <c r="BH348" s="646"/>
      <c r="BI348" s="646"/>
      <c r="BJ348" s="646"/>
      <c r="BK348" s="646"/>
      <c r="BL348" s="646"/>
      <c r="BM348" s="643"/>
      <c r="BN348" s="647"/>
      <c r="BO348" s="648"/>
      <c r="BP348" s="643"/>
      <c r="BQ348" s="649" t="str">
        <f>IFERROR(WWWW[[#This Row],['#_Water sources treated]]/WWWW[[#This Row],['#_Water sources tested for contamination]],"no test")</f>
        <v>no test</v>
      </c>
      <c r="BR348" s="648" t="str">
        <f>IFERROR(WWWW[[#This Row],['#_Household received remediation action due to contamination]]/WWWW[[#This Row],['#_Household water samples tested for contamination]],"no test")</f>
        <v>no test</v>
      </c>
      <c r="BS348" s="647" t="str">
        <f>IF(AND(WWWW[[#This Row],[% of water sources treated]]="no test",WWWW[[#This Row],[% Household received corrective actions]]="no test"),"No Test","Tested")</f>
        <v>No Test</v>
      </c>
      <c r="BT348" s="647">
        <f>WWWW[[#This Row],['#_Constructed/existing protected hand dug well]]-WWWW[[#This Row],['#_Non-functional protected hand dug well]]</f>
        <v>0</v>
      </c>
      <c r="BU348" s="647">
        <f>(WWWW[[#This Row],['#_Constructed/Existing tube wells/boreholes/handpumps_WASH_agency]]+WWWW[[#This Row],['#_Non-Cluster partner water tube-wells/boreholes/handpumps]])-WWWW[[#This Row],['#_Non-functional tube wells/boreholes/handpumps]]</f>
        <v>0</v>
      </c>
      <c r="BV348" s="647">
        <f>WWWW[[#This Row],['#_Constructed/Existingwater storage tank with gravity fed reticulation system]]-WWWW[[#This Row],['#_Non-functional storage tank gravity fed reticulation system]]</f>
        <v>0</v>
      </c>
      <c r="BW348" s="647">
        <f>WWWW[[#This Row],['#_Water boating or water trucking]]</f>
        <v>0</v>
      </c>
      <c r="BX348" s="647">
        <f>WWWW[[#This Row],['#_Constructed/Existing water distribution system from river or natural spring]]</f>
        <v>0</v>
      </c>
      <c r="BY348"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48"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48" s="648">
        <f>IF(WWWW[[#This Row],[Location Type 1]]="Village",WWWW[[#This Row],[Access to safe drinking water for Village]],WWWW[[#This Row],[Access to safe drinking water for Camp]])</f>
        <v>0</v>
      </c>
      <c r="CB348" s="645">
        <f>WWWW[[#This Row],[%Equitable and continuous access to sufficient quantity of safe drinking water]]*WWWW[[#This Row],[Total PoP ]]</f>
        <v>0</v>
      </c>
      <c r="CC348" s="648">
        <f>IF((WWWW[[#This Row],['#_Constructed/Existing protected/fenced ponds]]*250)/WWWW[[#This Row],[Total PoP ]]&gt;1,1,(WWWW[[#This Row],['#_Constructed/Existing protected/fenced ponds]]*250)/WWWW[[#This Row],[Total PoP ]])</f>
        <v>0.2326302729528536</v>
      </c>
      <c r="CD348" s="645">
        <f>WWWW[[#This Row],[% Access to unimproved water points]]*WWWW[[#This Row],[Total PoP ]]</f>
        <v>750</v>
      </c>
      <c r="CE348"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0.2326302729528536</v>
      </c>
      <c r="CF348"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750</v>
      </c>
      <c r="CG348" s="645">
        <f>WWWW[[#This Row],[HRP1]]/500</f>
        <v>1.5</v>
      </c>
      <c r="CH348" s="650">
        <f>1-WWWW[[#This Row],[% Equitable and continuous access to sufficient quantity of domestic water]]</f>
        <v>0.76736972704714645</v>
      </c>
      <c r="CI348" s="645">
        <f>WWWW[[#This Row],[%equitable and continuous access to sufficient quantity of safe drinking and domestic water''s GAP]]*WWWW[[#This Row],[Total PoP ]]</f>
        <v>2474</v>
      </c>
      <c r="CJ348" s="647">
        <f>IF(WWWW[[#This Row],[Total required water points]]-WWWW[[#This Row],['#Water points coverage]]&lt;0,0,WWWW[[#This Row],[Total required water points]]-WWWW[[#This Row],['#Water points coverage]])</f>
        <v>4.5</v>
      </c>
      <c r="CK348" s="647">
        <f>ROUND(IF(WWWW[[#This Row],[Total PoP ]]&lt;500,1,WWWW[[#This Row],[Total PoP ]]/500),0)</f>
        <v>6</v>
      </c>
      <c r="CL348" s="647">
        <f>(WWWW[[#This Row],['#_Constructed latrines_by_WASHAgencies]]+WWWW[[#This Row],['#_Non Cluster partner latrines]])-WWWW[[#This Row],['#_Non-functional latrines]]</f>
        <v>0</v>
      </c>
      <c r="CM348"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48"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48"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48" s="647" t="str">
        <f>IF(WWWW[[#This Row],[Location Type 1]]="Village","NA",IF(WWWW[[#This Row],['#_Constructed/Existing latrines in TLS]]*50&gt;WWWW[[#This Row],['#_students at TLS_CFS]],WWWW[[#This Row],['#_students at TLS_CFS]],(WWWW[[#This Row],['#_Constructed/Existing latrines in TLS]]*50)))</f>
        <v>NA</v>
      </c>
      <c r="CQ348" s="647">
        <f>ROUND(IF(WWWW[[#This Row],[Location Type 1]]="camp",WWWW[[#This Row],[Total PoP ]]/20,IF(WWWW[[#This Row],[Location Type 1]]="Temporary Location",WWWW[[#This Row],[Total PoP ]]/50,(WWWW[[#This Row],[Total PoP ]]/6))),0)</f>
        <v>537</v>
      </c>
      <c r="CR348" s="647">
        <f>IF(WWWW[[#This Row],[Total required Latrines]]-(WWWW[[#This Row],['#_Constructed latrines_by_WASHAgencies]]+WWWW[[#This Row],['#_Non Cluster partner latrines]])&lt;0,0,WWWW[[#This Row],[Total required Latrines]]-(WWWW[[#This Row],['#_Constructed latrines_by_WASHAgencies]]+WWWW[[#This Row],['#_Non Cluster partner latrines]]))</f>
        <v>537</v>
      </c>
      <c r="CS348" s="79">
        <f>1-WWWW[[#This Row],[% people access to functioning Latrine]]</f>
        <v>1</v>
      </c>
      <c r="CT348" s="649">
        <f>IF(OR(WWWW[[#This Row],['#_Non-functional latrines]]="",WWWW[[#This Row],['#_Non-functional latrines]]=0),0,WWWW[[#This Row],['#_Non-functional latrines]]/(WWWW[[#This Row],['#_Constructed latrines_by_WASHAgencies]]+WWWW[[#This Row],['#_Non Cluster partner latrines]]))</f>
        <v>0</v>
      </c>
      <c r="CU348" s="645">
        <f>IF(500*(WWWW[[#This Row],['#_male hygiene promoters]]+WWWW[[#This Row],['#_female hygiene promoters]])&gt;WWWW[[#This Row],[Total PoP ]],WWWW[[#This Row],[Total PoP ]],500*(WWWW[[#This Row],['#_male hygiene promoters]]+WWWW[[#This Row],['#_female hygiene promoters]]))</f>
        <v>0</v>
      </c>
      <c r="CV348"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48"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48" s="647">
        <f>IF(WWWW[[#This Row],['# People with access to soap]]&gt;WWWW[[#This Row],['# People with access to Sanity Pads]],WWWW[[#This Row],['# People with access to soap]],WWWW[[#This Row],['# People with access to Sanity Pads]])</f>
        <v>0</v>
      </c>
      <c r="CY348"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48" s="650">
        <f>IF(WWWW[[#This Row],[HRP3]]/WWWW[[#This Row],[Total PoP ]]&gt;100%,100%,WWWW[[#This Row],[HRP3]]/WWWW[[#This Row],[Total PoP ]])</f>
        <v>0</v>
      </c>
      <c r="DA348" s="649">
        <f>1-WWWW[[#This Row],[Hygiene Coverage%]]</f>
        <v>1</v>
      </c>
      <c r="DB348" s="648">
        <f>WWWW[[#This Row],['# people reached by regular dedicated hygiene promotion_5]]/WWWW[[#This Row],[Total PoP ]]</f>
        <v>0</v>
      </c>
      <c r="DC348" s="648">
        <f>IF(WWWW[[#This Row],['#_households that received standard amount of soap for this quarter]]/WWWW[[#This Row],[Total HH]]&gt;1,1,WWWW[[#This Row],['#_households that received standard amount of soap for this quarter]]/WWWW[[#This Row],[Total HH]])</f>
        <v>0</v>
      </c>
      <c r="DD348" s="648">
        <f>IF(WWWW[[#This Row],['#_households that received standard amount of sanitary pads for this quarter]]/WWWW[[#This Row],[Total HH]]&gt;1,1,WWWW[[#This Row],['#_households that received standard amount of sanitary pads for this quarter]]/WWWW[[#This Row],[Total HH]])</f>
        <v>0</v>
      </c>
      <c r="DE348" s="647">
        <f>WWWW[[#This Row],['#_Constructed/Existing hand washing stations]]-WWWW[[#This Row],['#_Non-Functional_hand_washing_stations]]</f>
        <v>0</v>
      </c>
      <c r="DF348" s="667">
        <f>IF(WWWW[[#This Row],['# Functional hand washing stations during reporting period]]*20&gt;WWWW[[#This Row],[Total HH]],WWWW[[#This Row],[Total HH]],WWWW[[#This Row],['# Functional hand washing stations during reporting period]]*20)</f>
        <v>0</v>
      </c>
      <c r="DG348" s="645">
        <f>IF(WWWW[[#This Row],[Is sufficient soap available for TLS? (Yes/No)]]="yes",WWWW[[#This Row],['#_Constructed/Existing hand washing stations at TLS]],0)</f>
        <v>0</v>
      </c>
      <c r="DH348" s="645">
        <f>IF(WWWW[[#This Row],['# Functional hand washing stations during reporting period]]*100&gt;WWWW[[#This Row],[Total PoP ]],WWWW[[#This Row],[Total PoP ]],WWWW[[#This Row],['# Functional hand washing stations during reporting period]]*100)</f>
        <v>0</v>
      </c>
      <c r="DI348" s="645" t="str">
        <f>IF(WWWW[[#This Row],['#_students at TLS_CFS]]="","No","Yes")</f>
        <v>No</v>
      </c>
      <c r="DJ348" s="643">
        <f>VLOOKUP(WWWW[[#This Row],[Site Name]],SiteDB6[[Site Name]:[CCCM Management]],6,FALSE)</f>
        <v>0</v>
      </c>
      <c r="DK348" s="643">
        <f>VLOOKUP(WWWW[[#This Row],[Site Name]],SiteDB6[[Site Name]:[CCCM Focal Agency]],7,FALSE)</f>
        <v>0</v>
      </c>
      <c r="DL348" s="643" t="str">
        <f>VLOOKUP(WWWW[[#This Row],[Site Name]],SiteDB6[[Site Name]:[Location Type 1]],9,FALSE)</f>
        <v>Village</v>
      </c>
      <c r="DM348" s="643" t="str">
        <f>VLOOKUP(WWWW[[#This Row],[Site Name]],SiteDB6[[Site Name]:[Type of Accommodation]],10,FALSE)</f>
        <v>Village_Not HRP</v>
      </c>
      <c r="DN348" s="643" t="str">
        <f>VLOOKUP(WWWW[[#This Row],[Site Name]],SiteDB6[[Site Name]:[Ethnic or GCA/NGCA]],11,FALSE)</f>
        <v>Muslim</v>
      </c>
      <c r="DO348" s="643">
        <f>VLOOKUP(WWWW[[#This Row],[Site Name]],SiteDB6[[Site Name]:[Lat]],12,FALSE)</f>
        <v>20.864519120000001</v>
      </c>
      <c r="DP348" s="643">
        <f>VLOOKUP(WWWW[[#This Row],[Site Name]],SiteDB6[[Site Name]:[Long]],13,FALSE)</f>
        <v>92.940399170000006</v>
      </c>
      <c r="DQ348" s="643">
        <f>VLOOKUP(WWWW[[#This Row],[Site Name]],SiteDB6[[Site Name]:[Pcode]],3,FALSE)</f>
        <v>196817</v>
      </c>
      <c r="DR348" s="652" t="str">
        <f t="shared" si="12"/>
        <v>Covered</v>
      </c>
      <c r="DS348" s="652"/>
    </row>
    <row r="349" spans="1:123">
      <c r="A349" s="637" t="s">
        <v>2525</v>
      </c>
      <c r="B349" s="637" t="s">
        <v>336</v>
      </c>
      <c r="C349" s="644" t="s">
        <v>336</v>
      </c>
      <c r="D349" s="644" t="s">
        <v>352</v>
      </c>
      <c r="E349" s="663" t="s">
        <v>3014</v>
      </c>
      <c r="F349" s="644" t="s">
        <v>320</v>
      </c>
      <c r="G349" s="663" t="str">
        <f>VLOOKUP(WWWW[[#This Row],[Site Name]],SiteDB6[[Site Name]:[Location Type]],8,FALSE)</f>
        <v>Village_Not HRP</v>
      </c>
      <c r="H349" s="644" t="s">
        <v>708</v>
      </c>
      <c r="I349" s="646">
        <v>454</v>
      </c>
      <c r="J349" s="646">
        <v>3020</v>
      </c>
      <c r="K349" s="653">
        <v>42887</v>
      </c>
      <c r="L349" s="654">
        <v>43616</v>
      </c>
      <c r="M349" s="646"/>
      <c r="N349" s="646"/>
      <c r="O349" s="646"/>
      <c r="P349" s="646"/>
      <c r="Q349" s="645"/>
      <c r="R349" s="646"/>
      <c r="S349" s="646"/>
      <c r="T349" s="646"/>
      <c r="U349" s="646"/>
      <c r="V349" s="646"/>
      <c r="W349" s="646"/>
      <c r="X349" s="646"/>
      <c r="Y349" s="646"/>
      <c r="Z349" s="646"/>
      <c r="AA349" s="646"/>
      <c r="AB349" s="646"/>
      <c r="AC349" s="646"/>
      <c r="AD349" s="646"/>
      <c r="AE349" s="646">
        <v>2</v>
      </c>
      <c r="AF349" s="646"/>
      <c r="AG349" s="646"/>
      <c r="AH349" s="646"/>
      <c r="AI349" s="646"/>
      <c r="AJ349" s="646"/>
      <c r="AK349" s="646"/>
      <c r="AL349" s="646"/>
      <c r="AM349" s="646"/>
      <c r="AN349" s="646"/>
      <c r="AO349" s="703" t="s">
        <v>2961</v>
      </c>
      <c r="AP349" s="646"/>
      <c r="AQ349" s="646"/>
      <c r="AR349" s="648"/>
      <c r="AS349" s="646"/>
      <c r="AT349" s="646"/>
      <c r="AU349" s="646"/>
      <c r="AV349" s="646"/>
      <c r="AW349" s="646"/>
      <c r="AX349" s="643"/>
      <c r="AY349" s="652"/>
      <c r="AZ349" s="646"/>
      <c r="BA349" s="646"/>
      <c r="BB349" s="646"/>
      <c r="BC349" s="643"/>
      <c r="BD349" s="646"/>
      <c r="BE349" s="646"/>
      <c r="BF349" s="646"/>
      <c r="BG349" s="646"/>
      <c r="BH349" s="646"/>
      <c r="BI349" s="646"/>
      <c r="BJ349" s="646"/>
      <c r="BK349" s="646"/>
      <c r="BL349" s="646"/>
      <c r="BM349" s="643"/>
      <c r="BN349" s="647"/>
      <c r="BO349" s="648"/>
      <c r="BP349" s="643"/>
      <c r="BQ349" s="649" t="str">
        <f>IFERROR(WWWW[[#This Row],['#_Water sources treated]]/WWWW[[#This Row],['#_Water sources tested for contamination]],"no test")</f>
        <v>no test</v>
      </c>
      <c r="BR349" s="648" t="str">
        <f>IFERROR(WWWW[[#This Row],['#_Household received remediation action due to contamination]]/WWWW[[#This Row],['#_Household water samples tested for contamination]],"no test")</f>
        <v>no test</v>
      </c>
      <c r="BS349" s="647" t="str">
        <f>IF(AND(WWWW[[#This Row],[% of water sources treated]]="no test",WWWW[[#This Row],[% Household received corrective actions]]="no test"),"No Test","Tested")</f>
        <v>No Test</v>
      </c>
      <c r="BT349" s="647">
        <f>WWWW[[#This Row],['#_Constructed/existing protected hand dug well]]-WWWW[[#This Row],['#_Non-functional protected hand dug well]]</f>
        <v>0</v>
      </c>
      <c r="BU349" s="647">
        <f>(WWWW[[#This Row],['#_Constructed/Existing tube wells/boreholes/handpumps_WASH_agency]]+WWWW[[#This Row],['#_Non-Cluster partner water tube-wells/boreholes/handpumps]])-WWWW[[#This Row],['#_Non-functional tube wells/boreholes/handpumps]]</f>
        <v>0</v>
      </c>
      <c r="BV349" s="647">
        <f>WWWW[[#This Row],['#_Constructed/Existingwater storage tank with gravity fed reticulation system]]-WWWW[[#This Row],['#_Non-functional storage tank gravity fed reticulation system]]</f>
        <v>0</v>
      </c>
      <c r="BW349" s="647">
        <f>WWWW[[#This Row],['#_Water boating or water trucking]]</f>
        <v>0</v>
      </c>
      <c r="BX349" s="647">
        <f>WWWW[[#This Row],['#_Constructed/Existing water distribution system from river or natural spring]]</f>
        <v>0</v>
      </c>
      <c r="BY349"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49"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49" s="648">
        <f>IF(WWWW[[#This Row],[Location Type 1]]="Village",WWWW[[#This Row],[Access to safe drinking water for Village]],WWWW[[#This Row],[Access to safe drinking water for Camp]])</f>
        <v>0</v>
      </c>
      <c r="CB349" s="645">
        <f>WWWW[[#This Row],[%Equitable and continuous access to sufficient quantity of safe drinking water]]*WWWW[[#This Row],[Total PoP ]]</f>
        <v>0</v>
      </c>
      <c r="CC349" s="648">
        <f>IF((WWWW[[#This Row],['#_Constructed/Existing protected/fenced ponds]]*250)/WWWW[[#This Row],[Total PoP ]]&gt;1,1,(WWWW[[#This Row],['#_Constructed/Existing protected/fenced ponds]]*250)/WWWW[[#This Row],[Total PoP ]])</f>
        <v>0.16556291390728478</v>
      </c>
      <c r="CD349" s="645">
        <f>WWWW[[#This Row],[% Access to unimproved water points]]*WWWW[[#This Row],[Total PoP ]]</f>
        <v>500.00000000000006</v>
      </c>
      <c r="CE349"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0.16556291390728478</v>
      </c>
      <c r="CF349"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500.00000000000006</v>
      </c>
      <c r="CG349" s="645">
        <f>WWWW[[#This Row],[HRP1]]/500</f>
        <v>1.0000000000000002</v>
      </c>
      <c r="CH349" s="650">
        <f>1-WWWW[[#This Row],[% Equitable and continuous access to sufficient quantity of domestic water]]</f>
        <v>0.83443708609271527</v>
      </c>
      <c r="CI349" s="645">
        <f>WWWW[[#This Row],[%equitable and continuous access to sufficient quantity of safe drinking and domestic water''s GAP]]*WWWW[[#This Row],[Total PoP ]]</f>
        <v>2520</v>
      </c>
      <c r="CJ349" s="647">
        <f>IF(WWWW[[#This Row],[Total required water points]]-WWWW[[#This Row],['#Water points coverage]]&lt;0,0,WWWW[[#This Row],[Total required water points]]-WWWW[[#This Row],['#Water points coverage]])</f>
        <v>5</v>
      </c>
      <c r="CK349" s="647">
        <f>ROUND(IF(WWWW[[#This Row],[Total PoP ]]&lt;500,1,WWWW[[#This Row],[Total PoP ]]/500),0)</f>
        <v>6</v>
      </c>
      <c r="CL349" s="647">
        <f>(WWWW[[#This Row],['#_Constructed latrines_by_WASHAgencies]]+WWWW[[#This Row],['#_Non Cluster partner latrines]])-WWWW[[#This Row],['#_Non-functional latrines]]</f>
        <v>0</v>
      </c>
      <c r="CM349"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49"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49"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49" s="647" t="str">
        <f>IF(WWWW[[#This Row],[Location Type 1]]="Village","NA",IF(WWWW[[#This Row],['#_Constructed/Existing latrines in TLS]]*50&gt;WWWW[[#This Row],['#_students at TLS_CFS]],WWWW[[#This Row],['#_students at TLS_CFS]],(WWWW[[#This Row],['#_Constructed/Existing latrines in TLS]]*50)))</f>
        <v>NA</v>
      </c>
      <c r="CQ349" s="647">
        <f>ROUND(IF(WWWW[[#This Row],[Location Type 1]]="camp",WWWW[[#This Row],[Total PoP ]]/20,IF(WWWW[[#This Row],[Location Type 1]]="Temporary Location",WWWW[[#This Row],[Total PoP ]]/50,(WWWW[[#This Row],[Total PoP ]]/6))),0)</f>
        <v>503</v>
      </c>
      <c r="CR349" s="647">
        <f>IF(WWWW[[#This Row],[Total required Latrines]]-(WWWW[[#This Row],['#_Constructed latrines_by_WASHAgencies]]+WWWW[[#This Row],['#_Non Cluster partner latrines]])&lt;0,0,WWWW[[#This Row],[Total required Latrines]]-(WWWW[[#This Row],['#_Constructed latrines_by_WASHAgencies]]+WWWW[[#This Row],['#_Non Cluster partner latrines]]))</f>
        <v>503</v>
      </c>
      <c r="CS349" s="79">
        <f>1-WWWW[[#This Row],[% people access to functioning Latrine]]</f>
        <v>1</v>
      </c>
      <c r="CT349" s="649">
        <f>IF(OR(WWWW[[#This Row],['#_Non-functional latrines]]="",WWWW[[#This Row],['#_Non-functional latrines]]=0),0,WWWW[[#This Row],['#_Non-functional latrines]]/(WWWW[[#This Row],['#_Constructed latrines_by_WASHAgencies]]+WWWW[[#This Row],['#_Non Cluster partner latrines]]))</f>
        <v>0</v>
      </c>
      <c r="CU349" s="645">
        <f>IF(500*(WWWW[[#This Row],['#_male hygiene promoters]]+WWWW[[#This Row],['#_female hygiene promoters]])&gt;WWWW[[#This Row],[Total PoP ]],WWWW[[#This Row],[Total PoP ]],500*(WWWW[[#This Row],['#_male hygiene promoters]]+WWWW[[#This Row],['#_female hygiene promoters]]))</f>
        <v>0</v>
      </c>
      <c r="CV349"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49"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49" s="647">
        <f>IF(WWWW[[#This Row],['# People with access to soap]]&gt;WWWW[[#This Row],['# People with access to Sanity Pads]],WWWW[[#This Row],['# People with access to soap]],WWWW[[#This Row],['# People with access to Sanity Pads]])</f>
        <v>0</v>
      </c>
      <c r="CY349"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49" s="650">
        <f>IF(WWWW[[#This Row],[HRP3]]/WWWW[[#This Row],[Total PoP ]]&gt;100%,100%,WWWW[[#This Row],[HRP3]]/WWWW[[#This Row],[Total PoP ]])</f>
        <v>0</v>
      </c>
      <c r="DA349" s="649">
        <f>1-WWWW[[#This Row],[Hygiene Coverage%]]</f>
        <v>1</v>
      </c>
      <c r="DB349" s="648">
        <f>WWWW[[#This Row],['# people reached by regular dedicated hygiene promotion_5]]/WWWW[[#This Row],[Total PoP ]]</f>
        <v>0</v>
      </c>
      <c r="DC349" s="648">
        <f>IF(WWWW[[#This Row],['#_households that received standard amount of soap for this quarter]]/WWWW[[#This Row],[Total HH]]&gt;1,1,WWWW[[#This Row],['#_households that received standard amount of soap for this quarter]]/WWWW[[#This Row],[Total HH]])</f>
        <v>0</v>
      </c>
      <c r="DD349" s="648">
        <f>IF(WWWW[[#This Row],['#_households that received standard amount of sanitary pads for this quarter]]/WWWW[[#This Row],[Total HH]]&gt;1,1,WWWW[[#This Row],['#_households that received standard amount of sanitary pads for this quarter]]/WWWW[[#This Row],[Total HH]])</f>
        <v>0</v>
      </c>
      <c r="DE349" s="647">
        <f>WWWW[[#This Row],['#_Constructed/Existing hand washing stations]]-WWWW[[#This Row],['#_Non-Functional_hand_washing_stations]]</f>
        <v>0</v>
      </c>
      <c r="DF349" s="667">
        <f>IF(WWWW[[#This Row],['# Functional hand washing stations during reporting period]]*20&gt;WWWW[[#This Row],[Total HH]],WWWW[[#This Row],[Total HH]],WWWW[[#This Row],['# Functional hand washing stations during reporting period]]*20)</f>
        <v>0</v>
      </c>
      <c r="DG349" s="645">
        <f>IF(WWWW[[#This Row],[Is sufficient soap available for TLS? (Yes/No)]]="yes",WWWW[[#This Row],['#_Constructed/Existing hand washing stations at TLS]],0)</f>
        <v>0</v>
      </c>
      <c r="DH349" s="645">
        <f>IF(WWWW[[#This Row],['# Functional hand washing stations during reporting period]]*100&gt;WWWW[[#This Row],[Total PoP ]],WWWW[[#This Row],[Total PoP ]],WWWW[[#This Row],['# Functional hand washing stations during reporting period]]*100)</f>
        <v>0</v>
      </c>
      <c r="DI349" s="645" t="str">
        <f>IF(WWWW[[#This Row],['#_students at TLS_CFS]]="","No","Yes")</f>
        <v>No</v>
      </c>
      <c r="DJ349" s="643">
        <f>VLOOKUP(WWWW[[#This Row],[Site Name]],SiteDB6[[Site Name]:[CCCM Management]],6,FALSE)</f>
        <v>0</v>
      </c>
      <c r="DK349" s="643">
        <f>VLOOKUP(WWWW[[#This Row],[Site Name]],SiteDB6[[Site Name]:[CCCM Focal Agency]],7,FALSE)</f>
        <v>0</v>
      </c>
      <c r="DL349" s="643" t="str">
        <f>VLOOKUP(WWWW[[#This Row],[Site Name]],SiteDB6[[Site Name]:[Location Type 1]],9,FALSE)</f>
        <v>Village</v>
      </c>
      <c r="DM349" s="643" t="str">
        <f>VLOOKUP(WWWW[[#This Row],[Site Name]],SiteDB6[[Site Name]:[Type of Accommodation]],10,FALSE)</f>
        <v>Village_Not HRP</v>
      </c>
      <c r="DN349" s="643" t="str">
        <f>VLOOKUP(WWWW[[#This Row],[Site Name]],SiteDB6[[Site Name]:[Ethnic or GCA/NGCA]],11,FALSE)</f>
        <v>Muslim</v>
      </c>
      <c r="DO349" s="643">
        <f>VLOOKUP(WWWW[[#This Row],[Site Name]],SiteDB6[[Site Name]:[Lat]],12,FALSE)</f>
        <v>20.85956955</v>
      </c>
      <c r="DP349" s="643">
        <f>VLOOKUP(WWWW[[#This Row],[Site Name]],SiteDB6[[Site Name]:[Long]],13,FALSE)</f>
        <v>92.941146849999996</v>
      </c>
      <c r="DQ349" s="643">
        <f>VLOOKUP(WWWW[[#This Row],[Site Name]],SiteDB6[[Site Name]:[Pcode]],3,FALSE)</f>
        <v>196823</v>
      </c>
      <c r="DR349" s="652" t="str">
        <f t="shared" si="12"/>
        <v>Covered</v>
      </c>
      <c r="DS349" s="652"/>
    </row>
    <row r="350" spans="1:123">
      <c r="A350" s="637" t="s">
        <v>2525</v>
      </c>
      <c r="B350" s="637" t="s">
        <v>336</v>
      </c>
      <c r="C350" s="644" t="s">
        <v>336</v>
      </c>
      <c r="D350" s="644" t="s">
        <v>352</v>
      </c>
      <c r="E350" s="663" t="s">
        <v>3014</v>
      </c>
      <c r="F350" s="644" t="s">
        <v>320</v>
      </c>
      <c r="G350" s="663" t="str">
        <f>VLOOKUP(WWWW[[#This Row],[Site Name]],SiteDB6[[Site Name]:[Location Type]],8,FALSE)</f>
        <v>Village_Not HRP</v>
      </c>
      <c r="H350" s="644" t="s">
        <v>671</v>
      </c>
      <c r="I350" s="646">
        <v>170</v>
      </c>
      <c r="J350" s="646">
        <v>825</v>
      </c>
      <c r="K350" s="653">
        <v>42887</v>
      </c>
      <c r="L350" s="654">
        <v>43616</v>
      </c>
      <c r="M350" s="646"/>
      <c r="N350" s="646"/>
      <c r="O350" s="646"/>
      <c r="P350" s="646"/>
      <c r="Q350" s="645"/>
      <c r="R350" s="646"/>
      <c r="S350" s="646"/>
      <c r="T350" s="646"/>
      <c r="U350" s="646"/>
      <c r="V350" s="646"/>
      <c r="W350" s="646"/>
      <c r="X350" s="646"/>
      <c r="Y350" s="646"/>
      <c r="Z350" s="646"/>
      <c r="AA350" s="646"/>
      <c r="AB350" s="646"/>
      <c r="AC350" s="646"/>
      <c r="AD350" s="646"/>
      <c r="AE350" s="646">
        <v>1</v>
      </c>
      <c r="AF350" s="646"/>
      <c r="AG350" s="646"/>
      <c r="AH350" s="646"/>
      <c r="AI350" s="646"/>
      <c r="AJ350" s="646"/>
      <c r="AK350" s="646"/>
      <c r="AL350" s="646"/>
      <c r="AM350" s="646"/>
      <c r="AN350" s="646"/>
      <c r="AO350" s="703" t="s">
        <v>2961</v>
      </c>
      <c r="AP350" s="646"/>
      <c r="AQ350" s="646"/>
      <c r="AR350" s="648"/>
      <c r="AS350" s="646"/>
      <c r="AT350" s="646"/>
      <c r="AU350" s="646"/>
      <c r="AV350" s="646"/>
      <c r="AW350" s="646"/>
      <c r="AX350" s="643"/>
      <c r="AY350" s="652"/>
      <c r="AZ350" s="646"/>
      <c r="BA350" s="646"/>
      <c r="BB350" s="646"/>
      <c r="BC350" s="643"/>
      <c r="BD350" s="646"/>
      <c r="BE350" s="646"/>
      <c r="BF350" s="646"/>
      <c r="BG350" s="646"/>
      <c r="BH350" s="646"/>
      <c r="BI350" s="646"/>
      <c r="BJ350" s="646"/>
      <c r="BK350" s="646"/>
      <c r="BL350" s="646"/>
      <c r="BM350" s="643"/>
      <c r="BN350" s="647"/>
      <c r="BO350" s="648"/>
      <c r="BP350" s="643"/>
      <c r="BQ350" s="649" t="str">
        <f>IFERROR(WWWW[[#This Row],['#_Water sources treated]]/WWWW[[#This Row],['#_Water sources tested for contamination]],"no test")</f>
        <v>no test</v>
      </c>
      <c r="BR350" s="648" t="str">
        <f>IFERROR(WWWW[[#This Row],['#_Household received remediation action due to contamination]]/WWWW[[#This Row],['#_Household water samples tested for contamination]],"no test")</f>
        <v>no test</v>
      </c>
      <c r="BS350" s="647" t="str">
        <f>IF(AND(WWWW[[#This Row],[% of water sources treated]]="no test",WWWW[[#This Row],[% Household received corrective actions]]="no test"),"No Test","Tested")</f>
        <v>No Test</v>
      </c>
      <c r="BT350" s="647">
        <f>WWWW[[#This Row],['#_Constructed/existing protected hand dug well]]-WWWW[[#This Row],['#_Non-functional protected hand dug well]]</f>
        <v>0</v>
      </c>
      <c r="BU350" s="647">
        <f>(WWWW[[#This Row],['#_Constructed/Existing tube wells/boreholes/handpumps_WASH_agency]]+WWWW[[#This Row],['#_Non-Cluster partner water tube-wells/boreholes/handpumps]])-WWWW[[#This Row],['#_Non-functional tube wells/boreholes/handpumps]]</f>
        <v>0</v>
      </c>
      <c r="BV350" s="647">
        <f>WWWW[[#This Row],['#_Constructed/Existingwater storage tank with gravity fed reticulation system]]-WWWW[[#This Row],['#_Non-functional storage tank gravity fed reticulation system]]</f>
        <v>0</v>
      </c>
      <c r="BW350" s="647">
        <f>WWWW[[#This Row],['#_Water boating or water trucking]]</f>
        <v>0</v>
      </c>
      <c r="BX350" s="647">
        <f>WWWW[[#This Row],['#_Constructed/Existing water distribution system from river or natural spring]]</f>
        <v>0</v>
      </c>
      <c r="BY350"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50"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50" s="648">
        <f>IF(WWWW[[#This Row],[Location Type 1]]="Village",WWWW[[#This Row],[Access to safe drinking water for Village]],WWWW[[#This Row],[Access to safe drinking water for Camp]])</f>
        <v>0</v>
      </c>
      <c r="CB350" s="645">
        <f>WWWW[[#This Row],[%Equitable and continuous access to sufficient quantity of safe drinking water]]*WWWW[[#This Row],[Total PoP ]]</f>
        <v>0</v>
      </c>
      <c r="CC350" s="648">
        <f>IF((WWWW[[#This Row],['#_Constructed/Existing protected/fenced ponds]]*250)/WWWW[[#This Row],[Total PoP ]]&gt;1,1,(WWWW[[#This Row],['#_Constructed/Existing protected/fenced ponds]]*250)/WWWW[[#This Row],[Total PoP ]])</f>
        <v>0.30303030303030304</v>
      </c>
      <c r="CD350" s="645">
        <f>WWWW[[#This Row],[% Access to unimproved water points]]*WWWW[[#This Row],[Total PoP ]]</f>
        <v>250</v>
      </c>
      <c r="CE350"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0.30303030303030304</v>
      </c>
      <c r="CF350"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250</v>
      </c>
      <c r="CG350" s="645">
        <f>WWWW[[#This Row],[HRP1]]/500</f>
        <v>0.5</v>
      </c>
      <c r="CH350" s="650">
        <f>1-WWWW[[#This Row],[% Equitable and continuous access to sufficient quantity of domestic water]]</f>
        <v>0.69696969696969702</v>
      </c>
      <c r="CI350" s="645">
        <f>WWWW[[#This Row],[%equitable and continuous access to sufficient quantity of safe drinking and domestic water''s GAP]]*WWWW[[#This Row],[Total PoP ]]</f>
        <v>575</v>
      </c>
      <c r="CJ350" s="647">
        <f>IF(WWWW[[#This Row],[Total required water points]]-WWWW[[#This Row],['#Water points coverage]]&lt;0,0,WWWW[[#This Row],[Total required water points]]-WWWW[[#This Row],['#Water points coverage]])</f>
        <v>1.5</v>
      </c>
      <c r="CK350" s="647">
        <f>ROUND(IF(WWWW[[#This Row],[Total PoP ]]&lt;500,1,WWWW[[#This Row],[Total PoP ]]/500),0)</f>
        <v>2</v>
      </c>
      <c r="CL350" s="647">
        <f>(WWWW[[#This Row],['#_Constructed latrines_by_WASHAgencies]]+WWWW[[#This Row],['#_Non Cluster partner latrines]])-WWWW[[#This Row],['#_Non-functional latrines]]</f>
        <v>0</v>
      </c>
      <c r="CM350"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50"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50"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50" s="647" t="str">
        <f>IF(WWWW[[#This Row],[Location Type 1]]="Village","NA",IF(WWWW[[#This Row],['#_Constructed/Existing latrines in TLS]]*50&gt;WWWW[[#This Row],['#_students at TLS_CFS]],WWWW[[#This Row],['#_students at TLS_CFS]],(WWWW[[#This Row],['#_Constructed/Existing latrines in TLS]]*50)))</f>
        <v>NA</v>
      </c>
      <c r="CQ350" s="647">
        <f>ROUND(IF(WWWW[[#This Row],[Location Type 1]]="camp",WWWW[[#This Row],[Total PoP ]]/20,IF(WWWW[[#This Row],[Location Type 1]]="Temporary Location",WWWW[[#This Row],[Total PoP ]]/50,(WWWW[[#This Row],[Total PoP ]]/6))),0)</f>
        <v>138</v>
      </c>
      <c r="CR350" s="647">
        <f>IF(WWWW[[#This Row],[Total required Latrines]]-(WWWW[[#This Row],['#_Constructed latrines_by_WASHAgencies]]+WWWW[[#This Row],['#_Non Cluster partner latrines]])&lt;0,0,WWWW[[#This Row],[Total required Latrines]]-(WWWW[[#This Row],['#_Constructed latrines_by_WASHAgencies]]+WWWW[[#This Row],['#_Non Cluster partner latrines]]))</f>
        <v>138</v>
      </c>
      <c r="CS350" s="79">
        <f>1-WWWW[[#This Row],[% people access to functioning Latrine]]</f>
        <v>1</v>
      </c>
      <c r="CT350" s="649">
        <f>IF(OR(WWWW[[#This Row],['#_Non-functional latrines]]="",WWWW[[#This Row],['#_Non-functional latrines]]=0),0,WWWW[[#This Row],['#_Non-functional latrines]]/(WWWW[[#This Row],['#_Constructed latrines_by_WASHAgencies]]+WWWW[[#This Row],['#_Non Cluster partner latrines]]))</f>
        <v>0</v>
      </c>
      <c r="CU350" s="645">
        <f>IF(500*(WWWW[[#This Row],['#_male hygiene promoters]]+WWWW[[#This Row],['#_female hygiene promoters]])&gt;WWWW[[#This Row],[Total PoP ]],WWWW[[#This Row],[Total PoP ]],500*(WWWW[[#This Row],['#_male hygiene promoters]]+WWWW[[#This Row],['#_female hygiene promoters]]))</f>
        <v>0</v>
      </c>
      <c r="CV350"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50"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50" s="647">
        <f>IF(WWWW[[#This Row],['# People with access to soap]]&gt;WWWW[[#This Row],['# People with access to Sanity Pads]],WWWW[[#This Row],['# People with access to soap]],WWWW[[#This Row],['# People with access to Sanity Pads]])</f>
        <v>0</v>
      </c>
      <c r="CY350"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50" s="650">
        <f>IF(WWWW[[#This Row],[HRP3]]/WWWW[[#This Row],[Total PoP ]]&gt;100%,100%,WWWW[[#This Row],[HRP3]]/WWWW[[#This Row],[Total PoP ]])</f>
        <v>0</v>
      </c>
      <c r="DA350" s="649">
        <f>1-WWWW[[#This Row],[Hygiene Coverage%]]</f>
        <v>1</v>
      </c>
      <c r="DB350" s="648">
        <f>WWWW[[#This Row],['# people reached by regular dedicated hygiene promotion_5]]/WWWW[[#This Row],[Total PoP ]]</f>
        <v>0</v>
      </c>
      <c r="DC350" s="648">
        <f>IF(WWWW[[#This Row],['#_households that received standard amount of soap for this quarter]]/WWWW[[#This Row],[Total HH]]&gt;1,1,WWWW[[#This Row],['#_households that received standard amount of soap for this quarter]]/WWWW[[#This Row],[Total HH]])</f>
        <v>0</v>
      </c>
      <c r="DD350" s="648">
        <f>IF(WWWW[[#This Row],['#_households that received standard amount of sanitary pads for this quarter]]/WWWW[[#This Row],[Total HH]]&gt;1,1,WWWW[[#This Row],['#_households that received standard amount of sanitary pads for this quarter]]/WWWW[[#This Row],[Total HH]])</f>
        <v>0</v>
      </c>
      <c r="DE350" s="647">
        <f>WWWW[[#This Row],['#_Constructed/Existing hand washing stations]]-WWWW[[#This Row],['#_Non-Functional_hand_washing_stations]]</f>
        <v>0</v>
      </c>
      <c r="DF350" s="667">
        <f>IF(WWWW[[#This Row],['# Functional hand washing stations during reporting period]]*20&gt;WWWW[[#This Row],[Total HH]],WWWW[[#This Row],[Total HH]],WWWW[[#This Row],['# Functional hand washing stations during reporting period]]*20)</f>
        <v>0</v>
      </c>
      <c r="DG350" s="645">
        <f>IF(WWWW[[#This Row],[Is sufficient soap available for TLS? (Yes/No)]]="yes",WWWW[[#This Row],['#_Constructed/Existing hand washing stations at TLS]],0)</f>
        <v>0</v>
      </c>
      <c r="DH350" s="645">
        <f>IF(WWWW[[#This Row],['# Functional hand washing stations during reporting period]]*100&gt;WWWW[[#This Row],[Total PoP ]],WWWW[[#This Row],[Total PoP ]],WWWW[[#This Row],['# Functional hand washing stations during reporting period]]*100)</f>
        <v>0</v>
      </c>
      <c r="DI350" s="645" t="str">
        <f>IF(WWWW[[#This Row],['#_students at TLS_CFS]]="","No","Yes")</f>
        <v>No</v>
      </c>
      <c r="DJ350" s="643">
        <f>VLOOKUP(WWWW[[#This Row],[Site Name]],SiteDB6[[Site Name]:[CCCM Management]],6,FALSE)</f>
        <v>0</v>
      </c>
      <c r="DK350" s="643">
        <f>VLOOKUP(WWWW[[#This Row],[Site Name]],SiteDB6[[Site Name]:[CCCM Focal Agency]],7,FALSE)</f>
        <v>0</v>
      </c>
      <c r="DL350" s="643" t="str">
        <f>VLOOKUP(WWWW[[#This Row],[Site Name]],SiteDB6[[Site Name]:[Location Type 1]],9,FALSE)</f>
        <v>Village</v>
      </c>
      <c r="DM350" s="643" t="str">
        <f>VLOOKUP(WWWW[[#This Row],[Site Name]],SiteDB6[[Site Name]:[Type of Accommodation]],10,FALSE)</f>
        <v>Village_Not HRP</v>
      </c>
      <c r="DN350" s="643" t="str">
        <f>VLOOKUP(WWWW[[#This Row],[Site Name]],SiteDB6[[Site Name]:[Ethnic or GCA/NGCA]],11,FALSE)</f>
        <v>Rakhine</v>
      </c>
      <c r="DO350" s="643">
        <f>VLOOKUP(WWWW[[#This Row],[Site Name]],SiteDB6[[Site Name]:[Lat]],12,FALSE)</f>
        <v>20.894269940000001</v>
      </c>
      <c r="DP350" s="643">
        <f>VLOOKUP(WWWW[[#This Row],[Site Name]],SiteDB6[[Site Name]:[Long]],13,FALSE)</f>
        <v>92.920730590000005</v>
      </c>
      <c r="DQ350" s="643">
        <f>VLOOKUP(WWWW[[#This Row],[Site Name]],SiteDB6[[Site Name]:[Pcode]],3,FALSE)</f>
        <v>196814</v>
      </c>
      <c r="DR350" s="652" t="str">
        <f t="shared" si="12"/>
        <v>Covered</v>
      </c>
      <c r="DS350" s="652"/>
    </row>
    <row r="351" spans="1:123">
      <c r="A351" s="637" t="s">
        <v>2525</v>
      </c>
      <c r="B351" s="637" t="s">
        <v>336</v>
      </c>
      <c r="C351" s="644" t="s">
        <v>336</v>
      </c>
      <c r="D351" s="644" t="s">
        <v>352</v>
      </c>
      <c r="E351" s="663" t="s">
        <v>3014</v>
      </c>
      <c r="F351" s="644" t="s">
        <v>320</v>
      </c>
      <c r="G351" s="663" t="str">
        <f>VLOOKUP(WWWW[[#This Row],[Site Name]],SiteDB6[[Site Name]:[Location Type]],8,FALSE)</f>
        <v>Village_Not HRP</v>
      </c>
      <c r="H351" s="644" t="s">
        <v>354</v>
      </c>
      <c r="I351" s="646">
        <v>144</v>
      </c>
      <c r="J351" s="646">
        <v>792</v>
      </c>
      <c r="K351" s="653">
        <v>42887</v>
      </c>
      <c r="L351" s="654">
        <v>43616</v>
      </c>
      <c r="M351" s="646"/>
      <c r="N351" s="646"/>
      <c r="O351" s="646"/>
      <c r="P351" s="646"/>
      <c r="Q351" s="645"/>
      <c r="R351" s="646"/>
      <c r="S351" s="646"/>
      <c r="T351" s="646"/>
      <c r="U351" s="646"/>
      <c r="V351" s="646"/>
      <c r="W351" s="646"/>
      <c r="X351" s="646"/>
      <c r="Y351" s="646"/>
      <c r="Z351" s="646"/>
      <c r="AA351" s="646"/>
      <c r="AB351" s="646"/>
      <c r="AC351" s="646"/>
      <c r="AD351" s="646"/>
      <c r="AE351" s="646"/>
      <c r="AF351" s="646"/>
      <c r="AG351" s="646"/>
      <c r="AH351" s="646"/>
      <c r="AI351" s="646"/>
      <c r="AJ351" s="646"/>
      <c r="AK351" s="646"/>
      <c r="AL351" s="646"/>
      <c r="AM351" s="646"/>
      <c r="AN351" s="646"/>
      <c r="AO351" s="652"/>
      <c r="AP351" s="646"/>
      <c r="AQ351" s="646"/>
      <c r="AR351" s="648"/>
      <c r="AS351" s="646"/>
      <c r="AT351" s="646"/>
      <c r="AU351" s="646"/>
      <c r="AV351" s="646"/>
      <c r="AW351" s="646"/>
      <c r="AX351" s="643"/>
      <c r="AY351" s="652"/>
      <c r="AZ351" s="646"/>
      <c r="BA351" s="646"/>
      <c r="BB351" s="646"/>
      <c r="BC351" s="643"/>
      <c r="BD351" s="646"/>
      <c r="BE351" s="646"/>
      <c r="BF351" s="646"/>
      <c r="BG351" s="646"/>
      <c r="BH351" s="646"/>
      <c r="BI351" s="646"/>
      <c r="BJ351" s="646"/>
      <c r="BK351" s="646"/>
      <c r="BL351" s="646"/>
      <c r="BM351" s="643"/>
      <c r="BN351" s="647"/>
      <c r="BO351" s="648"/>
      <c r="BP351" s="643"/>
      <c r="BQ351" s="649" t="str">
        <f>IFERROR(WWWW[[#This Row],['#_Water sources treated]]/WWWW[[#This Row],['#_Water sources tested for contamination]],"no test")</f>
        <v>no test</v>
      </c>
      <c r="BR351" s="648" t="str">
        <f>IFERROR(WWWW[[#This Row],['#_Household received remediation action due to contamination]]/WWWW[[#This Row],['#_Household water samples tested for contamination]],"no test")</f>
        <v>no test</v>
      </c>
      <c r="BS351" s="647" t="str">
        <f>IF(AND(WWWW[[#This Row],[% of water sources treated]]="no test",WWWW[[#This Row],[% Household received corrective actions]]="no test"),"No Test","Tested")</f>
        <v>No Test</v>
      </c>
      <c r="BT351" s="647">
        <f>WWWW[[#This Row],['#_Constructed/existing protected hand dug well]]-WWWW[[#This Row],['#_Non-functional protected hand dug well]]</f>
        <v>0</v>
      </c>
      <c r="BU351" s="647">
        <f>(WWWW[[#This Row],['#_Constructed/Existing tube wells/boreholes/handpumps_WASH_agency]]+WWWW[[#This Row],['#_Non-Cluster partner water tube-wells/boreholes/handpumps]])-WWWW[[#This Row],['#_Non-functional tube wells/boreholes/handpumps]]</f>
        <v>0</v>
      </c>
      <c r="BV351" s="647">
        <f>WWWW[[#This Row],['#_Constructed/Existingwater storage tank with gravity fed reticulation system]]-WWWW[[#This Row],['#_Non-functional storage tank gravity fed reticulation system]]</f>
        <v>0</v>
      </c>
      <c r="BW351" s="647">
        <f>WWWW[[#This Row],['#_Water boating or water trucking]]</f>
        <v>0</v>
      </c>
      <c r="BX351" s="647">
        <f>WWWW[[#This Row],['#_Constructed/Existing water distribution system from river or natural spring]]</f>
        <v>0</v>
      </c>
      <c r="BY351"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51"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51" s="648">
        <f>IF(WWWW[[#This Row],[Location Type 1]]="Village",WWWW[[#This Row],[Access to safe drinking water for Village]],WWWW[[#This Row],[Access to safe drinking water for Camp]])</f>
        <v>0</v>
      </c>
      <c r="CB351" s="645">
        <f>WWWW[[#This Row],[%Equitable and continuous access to sufficient quantity of safe drinking water]]*WWWW[[#This Row],[Total PoP ]]</f>
        <v>0</v>
      </c>
      <c r="CC351" s="648">
        <f>IF((WWWW[[#This Row],['#_Constructed/Existing protected/fenced ponds]]*250)/WWWW[[#This Row],[Total PoP ]]&gt;1,1,(WWWW[[#This Row],['#_Constructed/Existing protected/fenced ponds]]*250)/WWWW[[#This Row],[Total PoP ]])</f>
        <v>0</v>
      </c>
      <c r="CD351" s="645">
        <f>WWWW[[#This Row],[% Access to unimproved water points]]*WWWW[[#This Row],[Total PoP ]]</f>
        <v>0</v>
      </c>
      <c r="CE351"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51"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51" s="645">
        <f>WWWW[[#This Row],[HRP1]]/500</f>
        <v>0</v>
      </c>
      <c r="CH351" s="650">
        <f>1-WWWW[[#This Row],[% Equitable and continuous access to sufficient quantity of domestic water]]</f>
        <v>1</v>
      </c>
      <c r="CI351" s="645">
        <f>WWWW[[#This Row],[%equitable and continuous access to sufficient quantity of safe drinking and domestic water''s GAP]]*WWWW[[#This Row],[Total PoP ]]</f>
        <v>792</v>
      </c>
      <c r="CJ351" s="647">
        <f>IF(WWWW[[#This Row],[Total required water points]]-WWWW[[#This Row],['#Water points coverage]]&lt;0,0,WWWW[[#This Row],[Total required water points]]-WWWW[[#This Row],['#Water points coverage]])</f>
        <v>2</v>
      </c>
      <c r="CK351" s="647">
        <f>ROUND(IF(WWWW[[#This Row],[Total PoP ]]&lt;500,1,WWWW[[#This Row],[Total PoP ]]/500),0)</f>
        <v>2</v>
      </c>
      <c r="CL351" s="647">
        <f>(WWWW[[#This Row],['#_Constructed latrines_by_WASHAgencies]]+WWWW[[#This Row],['#_Non Cluster partner latrines]])-WWWW[[#This Row],['#_Non-functional latrines]]</f>
        <v>0</v>
      </c>
      <c r="CM351"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51"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51"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51" s="647" t="str">
        <f>IF(WWWW[[#This Row],[Location Type 1]]="Village","NA",IF(WWWW[[#This Row],['#_Constructed/Existing latrines in TLS]]*50&gt;WWWW[[#This Row],['#_students at TLS_CFS]],WWWW[[#This Row],['#_students at TLS_CFS]],(WWWW[[#This Row],['#_Constructed/Existing latrines in TLS]]*50)))</f>
        <v>NA</v>
      </c>
      <c r="CQ351" s="647">
        <f>ROUND(IF(WWWW[[#This Row],[Location Type 1]]="camp",WWWW[[#This Row],[Total PoP ]]/20,IF(WWWW[[#This Row],[Location Type 1]]="Temporary Location",WWWW[[#This Row],[Total PoP ]]/50,(WWWW[[#This Row],[Total PoP ]]/6))),0)</f>
        <v>132</v>
      </c>
      <c r="CR351" s="647">
        <f>IF(WWWW[[#This Row],[Total required Latrines]]-(WWWW[[#This Row],['#_Constructed latrines_by_WASHAgencies]]+WWWW[[#This Row],['#_Non Cluster partner latrines]])&lt;0,0,WWWW[[#This Row],[Total required Latrines]]-(WWWW[[#This Row],['#_Constructed latrines_by_WASHAgencies]]+WWWW[[#This Row],['#_Non Cluster partner latrines]]))</f>
        <v>132</v>
      </c>
      <c r="CS351" s="79">
        <f>1-WWWW[[#This Row],[% people access to functioning Latrine]]</f>
        <v>1</v>
      </c>
      <c r="CT351" s="649">
        <f>IF(OR(WWWW[[#This Row],['#_Non-functional latrines]]="",WWWW[[#This Row],['#_Non-functional latrines]]=0),0,WWWW[[#This Row],['#_Non-functional latrines]]/(WWWW[[#This Row],['#_Constructed latrines_by_WASHAgencies]]+WWWW[[#This Row],['#_Non Cluster partner latrines]]))</f>
        <v>0</v>
      </c>
      <c r="CU351" s="645">
        <f>IF(500*(WWWW[[#This Row],['#_male hygiene promoters]]+WWWW[[#This Row],['#_female hygiene promoters]])&gt;WWWW[[#This Row],[Total PoP ]],WWWW[[#This Row],[Total PoP ]],500*(WWWW[[#This Row],['#_male hygiene promoters]]+WWWW[[#This Row],['#_female hygiene promoters]]))</f>
        <v>0</v>
      </c>
      <c r="CV351"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51"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51" s="647">
        <f>IF(WWWW[[#This Row],['# People with access to soap]]&gt;WWWW[[#This Row],['# People with access to Sanity Pads]],WWWW[[#This Row],['# People with access to soap]],WWWW[[#This Row],['# People with access to Sanity Pads]])</f>
        <v>0</v>
      </c>
      <c r="CY351"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51" s="650">
        <f>IF(WWWW[[#This Row],[HRP3]]/WWWW[[#This Row],[Total PoP ]]&gt;100%,100%,WWWW[[#This Row],[HRP3]]/WWWW[[#This Row],[Total PoP ]])</f>
        <v>0</v>
      </c>
      <c r="DA351" s="649">
        <f>1-WWWW[[#This Row],[Hygiene Coverage%]]</f>
        <v>1</v>
      </c>
      <c r="DB351" s="648">
        <f>WWWW[[#This Row],['# people reached by regular dedicated hygiene promotion_5]]/WWWW[[#This Row],[Total PoP ]]</f>
        <v>0</v>
      </c>
      <c r="DC351" s="648">
        <f>IF(WWWW[[#This Row],['#_households that received standard amount of soap for this quarter]]/WWWW[[#This Row],[Total HH]]&gt;1,1,WWWW[[#This Row],['#_households that received standard amount of soap for this quarter]]/WWWW[[#This Row],[Total HH]])</f>
        <v>0</v>
      </c>
      <c r="DD351" s="648">
        <f>IF(WWWW[[#This Row],['#_households that received standard amount of sanitary pads for this quarter]]/WWWW[[#This Row],[Total HH]]&gt;1,1,WWWW[[#This Row],['#_households that received standard amount of sanitary pads for this quarter]]/WWWW[[#This Row],[Total HH]])</f>
        <v>0</v>
      </c>
      <c r="DE351" s="647">
        <f>WWWW[[#This Row],['#_Constructed/Existing hand washing stations]]-WWWW[[#This Row],['#_Non-Functional_hand_washing_stations]]</f>
        <v>0</v>
      </c>
      <c r="DF351" s="667">
        <f>IF(WWWW[[#This Row],['# Functional hand washing stations during reporting period]]*20&gt;WWWW[[#This Row],[Total HH]],WWWW[[#This Row],[Total HH]],WWWW[[#This Row],['# Functional hand washing stations during reporting period]]*20)</f>
        <v>0</v>
      </c>
      <c r="DG351" s="645">
        <f>IF(WWWW[[#This Row],[Is sufficient soap available for TLS? (Yes/No)]]="yes",WWWW[[#This Row],['#_Constructed/Existing hand washing stations at TLS]],0)</f>
        <v>0</v>
      </c>
      <c r="DH351" s="645">
        <f>IF(WWWW[[#This Row],['# Functional hand washing stations during reporting period]]*100&gt;WWWW[[#This Row],[Total PoP ]],WWWW[[#This Row],[Total PoP ]],WWWW[[#This Row],['# Functional hand washing stations during reporting period]]*100)</f>
        <v>0</v>
      </c>
      <c r="DI351" s="645" t="str">
        <f>IF(WWWW[[#This Row],['#_students at TLS_CFS]]="","No","Yes")</f>
        <v>No</v>
      </c>
      <c r="DJ351" s="643">
        <f>VLOOKUP(WWWW[[#This Row],[Site Name]],SiteDB6[[Site Name]:[CCCM Management]],6,FALSE)</f>
        <v>0</v>
      </c>
      <c r="DK351" s="643">
        <f>VLOOKUP(WWWW[[#This Row],[Site Name]],SiteDB6[[Site Name]:[CCCM Focal Agency]],7,FALSE)</f>
        <v>0</v>
      </c>
      <c r="DL351" s="643" t="str">
        <f>VLOOKUP(WWWW[[#This Row],[Site Name]],SiteDB6[[Site Name]:[Location Type 1]],9,FALSE)</f>
        <v>Village</v>
      </c>
      <c r="DM351" s="643" t="str">
        <f>VLOOKUP(WWWW[[#This Row],[Site Name]],SiteDB6[[Site Name]:[Type of Accommodation]],10,FALSE)</f>
        <v>Village_Not HRP</v>
      </c>
      <c r="DN351" s="643" t="str">
        <f>VLOOKUP(WWWW[[#This Row],[Site Name]],SiteDB6[[Site Name]:[Ethnic or GCA/NGCA]],11,FALSE)</f>
        <v>Dinet</v>
      </c>
      <c r="DO351" s="643">
        <f>VLOOKUP(WWWW[[#This Row],[Site Name]],SiteDB6[[Site Name]:[Lat]],12,FALSE)</f>
        <v>0</v>
      </c>
      <c r="DP351" s="643">
        <f>VLOOKUP(WWWW[[#This Row],[Site Name]],SiteDB6[[Site Name]:[Long]],13,FALSE)</f>
        <v>0</v>
      </c>
      <c r="DQ351" s="643">
        <f>VLOOKUP(WWWW[[#This Row],[Site Name]],SiteDB6[[Site Name]:[Pcode]],3,FALSE)</f>
        <v>196815</v>
      </c>
      <c r="DR351" s="652" t="str">
        <f t="shared" si="12"/>
        <v>Covered</v>
      </c>
      <c r="DS351" s="652"/>
    </row>
    <row r="352" spans="1:123">
      <c r="A352" s="637" t="s">
        <v>2525</v>
      </c>
      <c r="B352" s="637" t="s">
        <v>336</v>
      </c>
      <c r="C352" s="644" t="s">
        <v>336</v>
      </c>
      <c r="D352" s="644" t="s">
        <v>352</v>
      </c>
      <c r="E352" s="663" t="s">
        <v>3014</v>
      </c>
      <c r="F352" s="644" t="s">
        <v>320</v>
      </c>
      <c r="G352" s="663" t="str">
        <f>VLOOKUP(WWWW[[#This Row],[Site Name]],SiteDB6[[Site Name]:[Location Type]],8,FALSE)</f>
        <v>Village_Not HRP</v>
      </c>
      <c r="H352" s="644" t="s">
        <v>672</v>
      </c>
      <c r="I352" s="646">
        <v>50</v>
      </c>
      <c r="J352" s="646">
        <v>207</v>
      </c>
      <c r="K352" s="653">
        <v>42887</v>
      </c>
      <c r="L352" s="654">
        <v>43616</v>
      </c>
      <c r="M352" s="646"/>
      <c r="N352" s="646"/>
      <c r="O352" s="646"/>
      <c r="P352" s="646"/>
      <c r="Q352" s="645"/>
      <c r="R352" s="646"/>
      <c r="S352" s="646"/>
      <c r="T352" s="646"/>
      <c r="U352" s="646"/>
      <c r="V352" s="646"/>
      <c r="W352" s="646"/>
      <c r="X352" s="646"/>
      <c r="Y352" s="646"/>
      <c r="Z352" s="646"/>
      <c r="AA352" s="646"/>
      <c r="AB352" s="646"/>
      <c r="AC352" s="646"/>
      <c r="AD352" s="646"/>
      <c r="AE352" s="646">
        <v>2</v>
      </c>
      <c r="AF352" s="646"/>
      <c r="AG352" s="646"/>
      <c r="AH352" s="646"/>
      <c r="AI352" s="646"/>
      <c r="AJ352" s="646"/>
      <c r="AK352" s="646"/>
      <c r="AL352" s="646"/>
      <c r="AM352" s="646"/>
      <c r="AN352" s="646"/>
      <c r="AO352" s="703" t="s">
        <v>2961</v>
      </c>
      <c r="AP352" s="646"/>
      <c r="AQ352" s="646"/>
      <c r="AR352" s="648"/>
      <c r="AS352" s="646"/>
      <c r="AT352" s="646"/>
      <c r="AU352" s="646"/>
      <c r="AV352" s="646"/>
      <c r="AW352" s="646"/>
      <c r="AX352" s="643"/>
      <c r="AY352" s="652"/>
      <c r="AZ352" s="646"/>
      <c r="BA352" s="646"/>
      <c r="BB352" s="646"/>
      <c r="BC352" s="643"/>
      <c r="BD352" s="646"/>
      <c r="BE352" s="646"/>
      <c r="BF352" s="646"/>
      <c r="BG352" s="646"/>
      <c r="BH352" s="646"/>
      <c r="BI352" s="646"/>
      <c r="BJ352" s="646"/>
      <c r="BK352" s="646"/>
      <c r="BL352" s="646"/>
      <c r="BM352" s="643"/>
      <c r="BN352" s="647"/>
      <c r="BO352" s="648"/>
      <c r="BP352" s="643"/>
      <c r="BQ352" s="649" t="str">
        <f>IFERROR(WWWW[[#This Row],['#_Water sources treated]]/WWWW[[#This Row],['#_Water sources tested for contamination]],"no test")</f>
        <v>no test</v>
      </c>
      <c r="BR352" s="648" t="str">
        <f>IFERROR(WWWW[[#This Row],['#_Household received remediation action due to contamination]]/WWWW[[#This Row],['#_Household water samples tested for contamination]],"no test")</f>
        <v>no test</v>
      </c>
      <c r="BS352" s="647" t="str">
        <f>IF(AND(WWWW[[#This Row],[% of water sources treated]]="no test",WWWW[[#This Row],[% Household received corrective actions]]="no test"),"No Test","Tested")</f>
        <v>No Test</v>
      </c>
      <c r="BT352" s="647">
        <f>WWWW[[#This Row],['#_Constructed/existing protected hand dug well]]-WWWW[[#This Row],['#_Non-functional protected hand dug well]]</f>
        <v>0</v>
      </c>
      <c r="BU352" s="647">
        <f>(WWWW[[#This Row],['#_Constructed/Existing tube wells/boreholes/handpumps_WASH_agency]]+WWWW[[#This Row],['#_Non-Cluster partner water tube-wells/boreholes/handpumps]])-WWWW[[#This Row],['#_Non-functional tube wells/boreholes/handpumps]]</f>
        <v>0</v>
      </c>
      <c r="BV352" s="647">
        <f>WWWW[[#This Row],['#_Constructed/Existingwater storage tank with gravity fed reticulation system]]-WWWW[[#This Row],['#_Non-functional storage tank gravity fed reticulation system]]</f>
        <v>0</v>
      </c>
      <c r="BW352" s="647">
        <f>WWWW[[#This Row],['#_Water boating or water trucking]]</f>
        <v>0</v>
      </c>
      <c r="BX352" s="647">
        <f>WWWW[[#This Row],['#_Constructed/Existing water distribution system from river or natural spring]]</f>
        <v>0</v>
      </c>
      <c r="BY352"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52"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52" s="648">
        <f>IF(WWWW[[#This Row],[Location Type 1]]="Village",WWWW[[#This Row],[Access to safe drinking water for Village]],WWWW[[#This Row],[Access to safe drinking water for Camp]])</f>
        <v>0</v>
      </c>
      <c r="CB352" s="645">
        <f>WWWW[[#This Row],[%Equitable and continuous access to sufficient quantity of safe drinking water]]*WWWW[[#This Row],[Total PoP ]]</f>
        <v>0</v>
      </c>
      <c r="CC352" s="648">
        <f>IF((WWWW[[#This Row],['#_Constructed/Existing protected/fenced ponds]]*250)/WWWW[[#This Row],[Total PoP ]]&gt;1,1,(WWWW[[#This Row],['#_Constructed/Existing protected/fenced ponds]]*250)/WWWW[[#This Row],[Total PoP ]])</f>
        <v>1</v>
      </c>
      <c r="CD352" s="645">
        <f>WWWW[[#This Row],[% Access to unimproved water points]]*WWWW[[#This Row],[Total PoP ]]</f>
        <v>207</v>
      </c>
      <c r="CE352"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52"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207</v>
      </c>
      <c r="CG352" s="645">
        <f>WWWW[[#This Row],[HRP1]]/500</f>
        <v>0.41399999999999998</v>
      </c>
      <c r="CH352" s="650">
        <f>1-WWWW[[#This Row],[% Equitable and continuous access to sufficient quantity of domestic water]]</f>
        <v>0</v>
      </c>
      <c r="CI352" s="645">
        <f>WWWW[[#This Row],[%equitable and continuous access to sufficient quantity of safe drinking and domestic water''s GAP]]*WWWW[[#This Row],[Total PoP ]]</f>
        <v>0</v>
      </c>
      <c r="CJ352" s="647">
        <f>IF(WWWW[[#This Row],[Total required water points]]-WWWW[[#This Row],['#Water points coverage]]&lt;0,0,WWWW[[#This Row],[Total required water points]]-WWWW[[#This Row],['#Water points coverage]])</f>
        <v>0.58600000000000008</v>
      </c>
      <c r="CK352" s="647">
        <f>ROUND(IF(WWWW[[#This Row],[Total PoP ]]&lt;500,1,WWWW[[#This Row],[Total PoP ]]/500),0)</f>
        <v>1</v>
      </c>
      <c r="CL352" s="647">
        <f>(WWWW[[#This Row],['#_Constructed latrines_by_WASHAgencies]]+WWWW[[#This Row],['#_Non Cluster partner latrines]])-WWWW[[#This Row],['#_Non-functional latrines]]</f>
        <v>0</v>
      </c>
      <c r="CM352"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52"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52"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52" s="647" t="str">
        <f>IF(WWWW[[#This Row],[Location Type 1]]="Village","NA",IF(WWWW[[#This Row],['#_Constructed/Existing latrines in TLS]]*50&gt;WWWW[[#This Row],['#_students at TLS_CFS]],WWWW[[#This Row],['#_students at TLS_CFS]],(WWWW[[#This Row],['#_Constructed/Existing latrines in TLS]]*50)))</f>
        <v>NA</v>
      </c>
      <c r="CQ352" s="647">
        <f>ROUND(IF(WWWW[[#This Row],[Location Type 1]]="camp",WWWW[[#This Row],[Total PoP ]]/20,IF(WWWW[[#This Row],[Location Type 1]]="Temporary Location",WWWW[[#This Row],[Total PoP ]]/50,(WWWW[[#This Row],[Total PoP ]]/6))),0)</f>
        <v>35</v>
      </c>
      <c r="CR352" s="647">
        <f>IF(WWWW[[#This Row],[Total required Latrines]]-(WWWW[[#This Row],['#_Constructed latrines_by_WASHAgencies]]+WWWW[[#This Row],['#_Non Cluster partner latrines]])&lt;0,0,WWWW[[#This Row],[Total required Latrines]]-(WWWW[[#This Row],['#_Constructed latrines_by_WASHAgencies]]+WWWW[[#This Row],['#_Non Cluster partner latrines]]))</f>
        <v>35</v>
      </c>
      <c r="CS352" s="79">
        <f>1-WWWW[[#This Row],[% people access to functioning Latrine]]</f>
        <v>1</v>
      </c>
      <c r="CT352" s="649">
        <f>IF(OR(WWWW[[#This Row],['#_Non-functional latrines]]="",WWWW[[#This Row],['#_Non-functional latrines]]=0),0,WWWW[[#This Row],['#_Non-functional latrines]]/(WWWW[[#This Row],['#_Constructed latrines_by_WASHAgencies]]+WWWW[[#This Row],['#_Non Cluster partner latrines]]))</f>
        <v>0</v>
      </c>
      <c r="CU352" s="645">
        <f>IF(500*(WWWW[[#This Row],['#_male hygiene promoters]]+WWWW[[#This Row],['#_female hygiene promoters]])&gt;WWWW[[#This Row],[Total PoP ]],WWWW[[#This Row],[Total PoP ]],500*(WWWW[[#This Row],['#_male hygiene promoters]]+WWWW[[#This Row],['#_female hygiene promoters]]))</f>
        <v>0</v>
      </c>
      <c r="CV352"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52"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52" s="647">
        <f>IF(WWWW[[#This Row],['# People with access to soap]]&gt;WWWW[[#This Row],['# People with access to Sanity Pads]],WWWW[[#This Row],['# People with access to soap]],WWWW[[#This Row],['# People with access to Sanity Pads]])</f>
        <v>0</v>
      </c>
      <c r="CY352"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52" s="650">
        <f>IF(WWWW[[#This Row],[HRP3]]/WWWW[[#This Row],[Total PoP ]]&gt;100%,100%,WWWW[[#This Row],[HRP3]]/WWWW[[#This Row],[Total PoP ]])</f>
        <v>0</v>
      </c>
      <c r="DA352" s="649">
        <f>1-WWWW[[#This Row],[Hygiene Coverage%]]</f>
        <v>1</v>
      </c>
      <c r="DB352" s="648">
        <f>WWWW[[#This Row],['# people reached by regular dedicated hygiene promotion_5]]/WWWW[[#This Row],[Total PoP ]]</f>
        <v>0</v>
      </c>
      <c r="DC352" s="648">
        <f>IF(WWWW[[#This Row],['#_households that received standard amount of soap for this quarter]]/WWWW[[#This Row],[Total HH]]&gt;1,1,WWWW[[#This Row],['#_households that received standard amount of soap for this quarter]]/WWWW[[#This Row],[Total HH]])</f>
        <v>0</v>
      </c>
      <c r="DD352" s="648">
        <f>IF(WWWW[[#This Row],['#_households that received standard amount of sanitary pads for this quarter]]/WWWW[[#This Row],[Total HH]]&gt;1,1,WWWW[[#This Row],['#_households that received standard amount of sanitary pads for this quarter]]/WWWW[[#This Row],[Total HH]])</f>
        <v>0</v>
      </c>
      <c r="DE352" s="647">
        <f>WWWW[[#This Row],['#_Constructed/Existing hand washing stations]]-WWWW[[#This Row],['#_Non-Functional_hand_washing_stations]]</f>
        <v>0</v>
      </c>
      <c r="DF352" s="667">
        <f>IF(WWWW[[#This Row],['# Functional hand washing stations during reporting period]]*20&gt;WWWW[[#This Row],[Total HH]],WWWW[[#This Row],[Total HH]],WWWW[[#This Row],['# Functional hand washing stations during reporting period]]*20)</f>
        <v>0</v>
      </c>
      <c r="DG352" s="645">
        <f>IF(WWWW[[#This Row],[Is sufficient soap available for TLS? (Yes/No)]]="yes",WWWW[[#This Row],['#_Constructed/Existing hand washing stations at TLS]],0)</f>
        <v>0</v>
      </c>
      <c r="DH352" s="645">
        <f>IF(WWWW[[#This Row],['# Functional hand washing stations during reporting period]]*100&gt;WWWW[[#This Row],[Total PoP ]],WWWW[[#This Row],[Total PoP ]],WWWW[[#This Row],['# Functional hand washing stations during reporting period]]*100)</f>
        <v>0</v>
      </c>
      <c r="DI352" s="645" t="str">
        <f>IF(WWWW[[#This Row],['#_students at TLS_CFS]]="","No","Yes")</f>
        <v>No</v>
      </c>
      <c r="DJ352" s="643">
        <f>VLOOKUP(WWWW[[#This Row],[Site Name]],SiteDB6[[Site Name]:[CCCM Management]],6,FALSE)</f>
        <v>0</v>
      </c>
      <c r="DK352" s="643">
        <f>VLOOKUP(WWWW[[#This Row],[Site Name]],SiteDB6[[Site Name]:[CCCM Focal Agency]],7,FALSE)</f>
        <v>0</v>
      </c>
      <c r="DL352" s="643" t="str">
        <f>VLOOKUP(WWWW[[#This Row],[Site Name]],SiteDB6[[Site Name]:[Location Type 1]],9,FALSE)</f>
        <v>Village</v>
      </c>
      <c r="DM352" s="643" t="str">
        <f>VLOOKUP(WWWW[[#This Row],[Site Name]],SiteDB6[[Site Name]:[Type of Accommodation]],10,FALSE)</f>
        <v>Village_Not HRP</v>
      </c>
      <c r="DN352" s="643" t="str">
        <f>VLOOKUP(WWWW[[#This Row],[Site Name]],SiteDB6[[Site Name]:[Ethnic or GCA/NGCA]],11,FALSE)</f>
        <v>Mro</v>
      </c>
      <c r="DO352" s="643">
        <f>VLOOKUP(WWWW[[#This Row],[Site Name]],SiteDB6[[Site Name]:[Lat]],12,FALSE)</f>
        <v>20.895059589999999</v>
      </c>
      <c r="DP352" s="643">
        <f>VLOOKUP(WWWW[[#This Row],[Site Name]],SiteDB6[[Site Name]:[Long]],13,FALSE)</f>
        <v>92.90735626</v>
      </c>
      <c r="DQ352" s="643">
        <f>VLOOKUP(WWWW[[#This Row],[Site Name]],SiteDB6[[Site Name]:[Pcode]],3,FALSE)</f>
        <v>196807</v>
      </c>
      <c r="DR352" s="652" t="str">
        <f t="shared" si="12"/>
        <v>Covered</v>
      </c>
      <c r="DS352" s="652"/>
    </row>
    <row r="353" spans="1:123">
      <c r="A353" s="637" t="s">
        <v>2525</v>
      </c>
      <c r="B353" s="637" t="s">
        <v>336</v>
      </c>
      <c r="C353" s="644" t="s">
        <v>336</v>
      </c>
      <c r="D353" s="644" t="s">
        <v>352</v>
      </c>
      <c r="E353" s="663" t="s">
        <v>3014</v>
      </c>
      <c r="F353" s="644" t="s">
        <v>320</v>
      </c>
      <c r="G353" s="663" t="str">
        <f>VLOOKUP(WWWW[[#This Row],[Site Name]],SiteDB6[[Site Name]:[Location Type]],8,FALSE)</f>
        <v>Village_Not HRP</v>
      </c>
      <c r="H353" s="644" t="s">
        <v>710</v>
      </c>
      <c r="I353" s="646">
        <v>90</v>
      </c>
      <c r="J353" s="646">
        <v>375</v>
      </c>
      <c r="K353" s="653">
        <v>42887</v>
      </c>
      <c r="L353" s="654">
        <v>43616</v>
      </c>
      <c r="M353" s="646"/>
      <c r="N353" s="646"/>
      <c r="O353" s="646"/>
      <c r="P353" s="646"/>
      <c r="Q353" s="645"/>
      <c r="R353" s="646"/>
      <c r="S353" s="646"/>
      <c r="T353" s="646"/>
      <c r="U353" s="646"/>
      <c r="V353" s="646"/>
      <c r="W353" s="646"/>
      <c r="X353" s="646"/>
      <c r="Y353" s="646"/>
      <c r="Z353" s="646"/>
      <c r="AA353" s="646"/>
      <c r="AB353" s="646"/>
      <c r="AC353" s="646"/>
      <c r="AD353" s="646"/>
      <c r="AE353" s="646">
        <v>1</v>
      </c>
      <c r="AF353" s="646"/>
      <c r="AG353" s="646"/>
      <c r="AH353" s="646"/>
      <c r="AI353" s="646"/>
      <c r="AJ353" s="646"/>
      <c r="AK353" s="646"/>
      <c r="AL353" s="646"/>
      <c r="AM353" s="646"/>
      <c r="AN353" s="646"/>
      <c r="AO353" s="703" t="s">
        <v>2961</v>
      </c>
      <c r="AP353" s="646"/>
      <c r="AQ353" s="646"/>
      <c r="AR353" s="648"/>
      <c r="AS353" s="646"/>
      <c r="AT353" s="646"/>
      <c r="AU353" s="646"/>
      <c r="AV353" s="646"/>
      <c r="AW353" s="646"/>
      <c r="AX353" s="643"/>
      <c r="AY353" s="652"/>
      <c r="AZ353" s="646"/>
      <c r="BA353" s="646"/>
      <c r="BB353" s="646"/>
      <c r="BC353" s="643"/>
      <c r="BD353" s="646"/>
      <c r="BE353" s="646"/>
      <c r="BF353" s="646"/>
      <c r="BG353" s="646"/>
      <c r="BH353" s="646"/>
      <c r="BI353" s="646"/>
      <c r="BJ353" s="646"/>
      <c r="BK353" s="646"/>
      <c r="BL353" s="646"/>
      <c r="BM353" s="643"/>
      <c r="BN353" s="647"/>
      <c r="BO353" s="648"/>
      <c r="BP353" s="643"/>
      <c r="BQ353" s="649" t="str">
        <f>IFERROR(WWWW[[#This Row],['#_Water sources treated]]/WWWW[[#This Row],['#_Water sources tested for contamination]],"no test")</f>
        <v>no test</v>
      </c>
      <c r="BR353" s="648" t="str">
        <f>IFERROR(WWWW[[#This Row],['#_Household received remediation action due to contamination]]/WWWW[[#This Row],['#_Household water samples tested for contamination]],"no test")</f>
        <v>no test</v>
      </c>
      <c r="BS353" s="647" t="str">
        <f>IF(AND(WWWW[[#This Row],[% of water sources treated]]="no test",WWWW[[#This Row],[% Household received corrective actions]]="no test"),"No Test","Tested")</f>
        <v>No Test</v>
      </c>
      <c r="BT353" s="647">
        <f>WWWW[[#This Row],['#_Constructed/existing protected hand dug well]]-WWWW[[#This Row],['#_Non-functional protected hand dug well]]</f>
        <v>0</v>
      </c>
      <c r="BU353" s="647">
        <f>(WWWW[[#This Row],['#_Constructed/Existing tube wells/boreholes/handpumps_WASH_agency]]+WWWW[[#This Row],['#_Non-Cluster partner water tube-wells/boreholes/handpumps]])-WWWW[[#This Row],['#_Non-functional tube wells/boreholes/handpumps]]</f>
        <v>0</v>
      </c>
      <c r="BV353" s="647">
        <f>WWWW[[#This Row],['#_Constructed/Existingwater storage tank with gravity fed reticulation system]]-WWWW[[#This Row],['#_Non-functional storage tank gravity fed reticulation system]]</f>
        <v>0</v>
      </c>
      <c r="BW353" s="647">
        <f>WWWW[[#This Row],['#_Water boating or water trucking]]</f>
        <v>0</v>
      </c>
      <c r="BX353" s="647">
        <f>WWWW[[#This Row],['#_Constructed/Existing water distribution system from river or natural spring]]</f>
        <v>0</v>
      </c>
      <c r="BY353"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53"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53" s="648">
        <f>IF(WWWW[[#This Row],[Location Type 1]]="Village",WWWW[[#This Row],[Access to safe drinking water for Village]],WWWW[[#This Row],[Access to safe drinking water for Camp]])</f>
        <v>0</v>
      </c>
      <c r="CB353" s="645">
        <f>WWWW[[#This Row],[%Equitable and continuous access to sufficient quantity of safe drinking water]]*WWWW[[#This Row],[Total PoP ]]</f>
        <v>0</v>
      </c>
      <c r="CC353" s="648">
        <f>IF((WWWW[[#This Row],['#_Constructed/Existing protected/fenced ponds]]*250)/WWWW[[#This Row],[Total PoP ]]&gt;1,1,(WWWW[[#This Row],['#_Constructed/Existing protected/fenced ponds]]*250)/WWWW[[#This Row],[Total PoP ]])</f>
        <v>0.66666666666666663</v>
      </c>
      <c r="CD353" s="645">
        <f>WWWW[[#This Row],[% Access to unimproved water points]]*WWWW[[#This Row],[Total PoP ]]</f>
        <v>250</v>
      </c>
      <c r="CE353"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0.66666666666666663</v>
      </c>
      <c r="CF353"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250</v>
      </c>
      <c r="CG353" s="645">
        <f>WWWW[[#This Row],[HRP1]]/500</f>
        <v>0.5</v>
      </c>
      <c r="CH353" s="650">
        <f>1-WWWW[[#This Row],[% Equitable and continuous access to sufficient quantity of domestic water]]</f>
        <v>0.33333333333333337</v>
      </c>
      <c r="CI353" s="645">
        <f>WWWW[[#This Row],[%equitable and continuous access to sufficient quantity of safe drinking and domestic water''s GAP]]*WWWW[[#This Row],[Total PoP ]]</f>
        <v>125.00000000000001</v>
      </c>
      <c r="CJ353" s="647">
        <f>IF(WWWW[[#This Row],[Total required water points]]-WWWW[[#This Row],['#Water points coverage]]&lt;0,0,WWWW[[#This Row],[Total required water points]]-WWWW[[#This Row],['#Water points coverage]])</f>
        <v>0.5</v>
      </c>
      <c r="CK353" s="647">
        <f>ROUND(IF(WWWW[[#This Row],[Total PoP ]]&lt;500,1,WWWW[[#This Row],[Total PoP ]]/500),0)</f>
        <v>1</v>
      </c>
      <c r="CL353" s="647">
        <f>(WWWW[[#This Row],['#_Constructed latrines_by_WASHAgencies]]+WWWW[[#This Row],['#_Non Cluster partner latrines]])-WWWW[[#This Row],['#_Non-functional latrines]]</f>
        <v>0</v>
      </c>
      <c r="CM353"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53"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53"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53" s="647" t="str">
        <f>IF(WWWW[[#This Row],[Location Type 1]]="Village","NA",IF(WWWW[[#This Row],['#_Constructed/Existing latrines in TLS]]*50&gt;WWWW[[#This Row],['#_students at TLS_CFS]],WWWW[[#This Row],['#_students at TLS_CFS]],(WWWW[[#This Row],['#_Constructed/Existing latrines in TLS]]*50)))</f>
        <v>NA</v>
      </c>
      <c r="CQ353" s="647">
        <f>ROUND(IF(WWWW[[#This Row],[Location Type 1]]="camp",WWWW[[#This Row],[Total PoP ]]/20,IF(WWWW[[#This Row],[Location Type 1]]="Temporary Location",WWWW[[#This Row],[Total PoP ]]/50,(WWWW[[#This Row],[Total PoP ]]/6))),0)</f>
        <v>63</v>
      </c>
      <c r="CR353" s="647">
        <f>IF(WWWW[[#This Row],[Total required Latrines]]-(WWWW[[#This Row],['#_Constructed latrines_by_WASHAgencies]]+WWWW[[#This Row],['#_Non Cluster partner latrines]])&lt;0,0,WWWW[[#This Row],[Total required Latrines]]-(WWWW[[#This Row],['#_Constructed latrines_by_WASHAgencies]]+WWWW[[#This Row],['#_Non Cluster partner latrines]]))</f>
        <v>63</v>
      </c>
      <c r="CS353" s="79">
        <f>1-WWWW[[#This Row],[% people access to functioning Latrine]]</f>
        <v>1</v>
      </c>
      <c r="CT353" s="649">
        <f>IF(OR(WWWW[[#This Row],['#_Non-functional latrines]]="",WWWW[[#This Row],['#_Non-functional latrines]]=0),0,WWWW[[#This Row],['#_Non-functional latrines]]/(WWWW[[#This Row],['#_Constructed latrines_by_WASHAgencies]]+WWWW[[#This Row],['#_Non Cluster partner latrines]]))</f>
        <v>0</v>
      </c>
      <c r="CU353" s="645">
        <f>IF(500*(WWWW[[#This Row],['#_male hygiene promoters]]+WWWW[[#This Row],['#_female hygiene promoters]])&gt;WWWW[[#This Row],[Total PoP ]],WWWW[[#This Row],[Total PoP ]],500*(WWWW[[#This Row],['#_male hygiene promoters]]+WWWW[[#This Row],['#_female hygiene promoters]]))</f>
        <v>0</v>
      </c>
      <c r="CV353"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53"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53" s="647">
        <f>IF(WWWW[[#This Row],['# People with access to soap]]&gt;WWWW[[#This Row],['# People with access to Sanity Pads]],WWWW[[#This Row],['# People with access to soap]],WWWW[[#This Row],['# People with access to Sanity Pads]])</f>
        <v>0</v>
      </c>
      <c r="CY353"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53" s="650">
        <f>IF(WWWW[[#This Row],[HRP3]]/WWWW[[#This Row],[Total PoP ]]&gt;100%,100%,WWWW[[#This Row],[HRP3]]/WWWW[[#This Row],[Total PoP ]])</f>
        <v>0</v>
      </c>
      <c r="DA353" s="649">
        <f>1-WWWW[[#This Row],[Hygiene Coverage%]]</f>
        <v>1</v>
      </c>
      <c r="DB353" s="648">
        <f>WWWW[[#This Row],['# people reached by regular dedicated hygiene promotion_5]]/WWWW[[#This Row],[Total PoP ]]</f>
        <v>0</v>
      </c>
      <c r="DC353" s="648">
        <f>IF(WWWW[[#This Row],['#_households that received standard amount of soap for this quarter]]/WWWW[[#This Row],[Total HH]]&gt;1,1,WWWW[[#This Row],['#_households that received standard amount of soap for this quarter]]/WWWW[[#This Row],[Total HH]])</f>
        <v>0</v>
      </c>
      <c r="DD353" s="648">
        <f>IF(WWWW[[#This Row],['#_households that received standard amount of sanitary pads for this quarter]]/WWWW[[#This Row],[Total HH]]&gt;1,1,WWWW[[#This Row],['#_households that received standard amount of sanitary pads for this quarter]]/WWWW[[#This Row],[Total HH]])</f>
        <v>0</v>
      </c>
      <c r="DE353" s="647">
        <f>WWWW[[#This Row],['#_Constructed/Existing hand washing stations]]-WWWW[[#This Row],['#_Non-Functional_hand_washing_stations]]</f>
        <v>0</v>
      </c>
      <c r="DF353" s="667">
        <f>IF(WWWW[[#This Row],['# Functional hand washing stations during reporting period]]*20&gt;WWWW[[#This Row],[Total HH]],WWWW[[#This Row],[Total HH]],WWWW[[#This Row],['# Functional hand washing stations during reporting period]]*20)</f>
        <v>0</v>
      </c>
      <c r="DG353" s="645">
        <f>IF(WWWW[[#This Row],[Is sufficient soap available for TLS? (Yes/No)]]="yes",WWWW[[#This Row],['#_Constructed/Existing hand washing stations at TLS]],0)</f>
        <v>0</v>
      </c>
      <c r="DH353" s="645">
        <f>IF(WWWW[[#This Row],['# Functional hand washing stations during reporting period]]*100&gt;WWWW[[#This Row],[Total PoP ]],WWWW[[#This Row],[Total PoP ]],WWWW[[#This Row],['# Functional hand washing stations during reporting period]]*100)</f>
        <v>0</v>
      </c>
      <c r="DI353" s="645" t="str">
        <f>IF(WWWW[[#This Row],['#_students at TLS_CFS]]="","No","Yes")</f>
        <v>No</v>
      </c>
      <c r="DJ353" s="643">
        <f>VLOOKUP(WWWW[[#This Row],[Site Name]],SiteDB6[[Site Name]:[CCCM Management]],6,FALSE)</f>
        <v>0</v>
      </c>
      <c r="DK353" s="643">
        <f>VLOOKUP(WWWW[[#This Row],[Site Name]],SiteDB6[[Site Name]:[CCCM Focal Agency]],7,FALSE)</f>
        <v>0</v>
      </c>
      <c r="DL353" s="643" t="str">
        <f>VLOOKUP(WWWW[[#This Row],[Site Name]],SiteDB6[[Site Name]:[Location Type 1]],9,FALSE)</f>
        <v>Village</v>
      </c>
      <c r="DM353" s="643" t="str">
        <f>VLOOKUP(WWWW[[#This Row],[Site Name]],SiteDB6[[Site Name]:[Type of Accommodation]],10,FALSE)</f>
        <v>Village_Not HRP</v>
      </c>
      <c r="DN353" s="643" t="str">
        <f>VLOOKUP(WWWW[[#This Row],[Site Name]],SiteDB6[[Site Name]:[Ethnic or GCA/NGCA]],11,FALSE)</f>
        <v>Rakhine</v>
      </c>
      <c r="DO353" s="643">
        <f>VLOOKUP(WWWW[[#This Row],[Site Name]],SiteDB6[[Site Name]:[Lat]],12,FALSE)</f>
        <v>20.803710939999998</v>
      </c>
      <c r="DP353" s="643">
        <f>VLOOKUP(WWWW[[#This Row],[Site Name]],SiteDB6[[Site Name]:[Long]],13,FALSE)</f>
        <v>92.946136469999999</v>
      </c>
      <c r="DQ353" s="643">
        <f>VLOOKUP(WWWW[[#This Row],[Site Name]],SiteDB6[[Site Name]:[Pcode]],3,FALSE)</f>
        <v>196886</v>
      </c>
      <c r="DR353" s="652" t="str">
        <f t="shared" si="12"/>
        <v>Covered</v>
      </c>
      <c r="DS353" s="652"/>
    </row>
    <row r="354" spans="1:123">
      <c r="A354" s="637" t="s">
        <v>2525</v>
      </c>
      <c r="B354" s="637" t="s">
        <v>336</v>
      </c>
      <c r="C354" s="644" t="s">
        <v>336</v>
      </c>
      <c r="D354" s="644" t="s">
        <v>352</v>
      </c>
      <c r="E354" s="663" t="s">
        <v>3014</v>
      </c>
      <c r="F354" s="644" t="s">
        <v>320</v>
      </c>
      <c r="G354" s="663" t="str">
        <f>VLOOKUP(WWWW[[#This Row],[Site Name]],SiteDB6[[Site Name]:[Location Type]],8,FALSE)</f>
        <v>Village_Not HRP</v>
      </c>
      <c r="H354" s="644" t="s">
        <v>953</v>
      </c>
      <c r="I354" s="646">
        <v>173</v>
      </c>
      <c r="J354" s="646">
        <v>867</v>
      </c>
      <c r="K354" s="653">
        <v>42887</v>
      </c>
      <c r="L354" s="654">
        <v>43616</v>
      </c>
      <c r="M354" s="646"/>
      <c r="N354" s="646"/>
      <c r="O354" s="646"/>
      <c r="P354" s="646"/>
      <c r="Q354" s="645"/>
      <c r="R354" s="646"/>
      <c r="S354" s="646"/>
      <c r="T354" s="646"/>
      <c r="U354" s="646"/>
      <c r="V354" s="646"/>
      <c r="W354" s="646"/>
      <c r="X354" s="646"/>
      <c r="Y354" s="646"/>
      <c r="Z354" s="646"/>
      <c r="AA354" s="646"/>
      <c r="AB354" s="646"/>
      <c r="AC354" s="646"/>
      <c r="AD354" s="646"/>
      <c r="AE354" s="646">
        <v>2</v>
      </c>
      <c r="AF354" s="646"/>
      <c r="AG354" s="646"/>
      <c r="AH354" s="646"/>
      <c r="AI354" s="646"/>
      <c r="AJ354" s="646"/>
      <c r="AK354" s="646"/>
      <c r="AL354" s="646"/>
      <c r="AM354" s="646"/>
      <c r="AN354" s="646"/>
      <c r="AO354" s="703" t="s">
        <v>2961</v>
      </c>
      <c r="AP354" s="646"/>
      <c r="AQ354" s="646"/>
      <c r="AR354" s="648"/>
      <c r="AS354" s="646"/>
      <c r="AT354" s="646"/>
      <c r="AU354" s="646"/>
      <c r="AV354" s="646"/>
      <c r="AW354" s="646"/>
      <c r="AX354" s="643"/>
      <c r="AY354" s="652"/>
      <c r="AZ354" s="646"/>
      <c r="BA354" s="646"/>
      <c r="BB354" s="646"/>
      <c r="BC354" s="643"/>
      <c r="BD354" s="646"/>
      <c r="BE354" s="646"/>
      <c r="BF354" s="646"/>
      <c r="BG354" s="646"/>
      <c r="BH354" s="646"/>
      <c r="BI354" s="646"/>
      <c r="BJ354" s="646"/>
      <c r="BK354" s="646"/>
      <c r="BL354" s="646"/>
      <c r="BM354" s="643"/>
      <c r="BN354" s="647"/>
      <c r="BO354" s="648"/>
      <c r="BP354" s="643"/>
      <c r="BQ354" s="649" t="str">
        <f>IFERROR(WWWW[[#This Row],['#_Water sources treated]]/WWWW[[#This Row],['#_Water sources tested for contamination]],"no test")</f>
        <v>no test</v>
      </c>
      <c r="BR354" s="648" t="str">
        <f>IFERROR(WWWW[[#This Row],['#_Household received remediation action due to contamination]]/WWWW[[#This Row],['#_Household water samples tested for contamination]],"no test")</f>
        <v>no test</v>
      </c>
      <c r="BS354" s="647" t="str">
        <f>IF(AND(WWWW[[#This Row],[% of water sources treated]]="no test",WWWW[[#This Row],[% Household received corrective actions]]="no test"),"No Test","Tested")</f>
        <v>No Test</v>
      </c>
      <c r="BT354" s="647">
        <f>WWWW[[#This Row],['#_Constructed/existing protected hand dug well]]-WWWW[[#This Row],['#_Non-functional protected hand dug well]]</f>
        <v>0</v>
      </c>
      <c r="BU354" s="647">
        <f>(WWWW[[#This Row],['#_Constructed/Existing tube wells/boreholes/handpumps_WASH_agency]]+WWWW[[#This Row],['#_Non-Cluster partner water tube-wells/boreholes/handpumps]])-WWWW[[#This Row],['#_Non-functional tube wells/boreholes/handpumps]]</f>
        <v>0</v>
      </c>
      <c r="BV354" s="647">
        <f>WWWW[[#This Row],['#_Constructed/Existingwater storage tank with gravity fed reticulation system]]-WWWW[[#This Row],['#_Non-functional storage tank gravity fed reticulation system]]</f>
        <v>0</v>
      </c>
      <c r="BW354" s="647">
        <f>WWWW[[#This Row],['#_Water boating or water trucking]]</f>
        <v>0</v>
      </c>
      <c r="BX354" s="647">
        <f>WWWW[[#This Row],['#_Constructed/Existing water distribution system from river or natural spring]]</f>
        <v>0</v>
      </c>
      <c r="BY354"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54"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54" s="648">
        <f>IF(WWWW[[#This Row],[Location Type 1]]="Village",WWWW[[#This Row],[Access to safe drinking water for Village]],WWWW[[#This Row],[Access to safe drinking water for Camp]])</f>
        <v>0</v>
      </c>
      <c r="CB354" s="645">
        <f>WWWW[[#This Row],[%Equitable and continuous access to sufficient quantity of safe drinking water]]*WWWW[[#This Row],[Total PoP ]]</f>
        <v>0</v>
      </c>
      <c r="CC354" s="648">
        <f>IF((WWWW[[#This Row],['#_Constructed/Existing protected/fenced ponds]]*250)/WWWW[[#This Row],[Total PoP ]]&gt;1,1,(WWWW[[#This Row],['#_Constructed/Existing protected/fenced ponds]]*250)/WWWW[[#This Row],[Total PoP ]])</f>
        <v>0.57670126874279126</v>
      </c>
      <c r="CD354" s="645">
        <f>WWWW[[#This Row],[% Access to unimproved water points]]*WWWW[[#This Row],[Total PoP ]]</f>
        <v>500</v>
      </c>
      <c r="CE354"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0.57670126874279126</v>
      </c>
      <c r="CF354"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500</v>
      </c>
      <c r="CG354" s="645">
        <f>WWWW[[#This Row],[HRP1]]/500</f>
        <v>1</v>
      </c>
      <c r="CH354" s="650">
        <f>1-WWWW[[#This Row],[% Equitable and continuous access to sufficient quantity of domestic water]]</f>
        <v>0.42329873125720874</v>
      </c>
      <c r="CI354" s="645">
        <f>WWWW[[#This Row],[%equitable and continuous access to sufficient quantity of safe drinking and domestic water''s GAP]]*WWWW[[#This Row],[Total PoP ]]</f>
        <v>367</v>
      </c>
      <c r="CJ354" s="647">
        <f>IF(WWWW[[#This Row],[Total required water points]]-WWWW[[#This Row],['#Water points coverage]]&lt;0,0,WWWW[[#This Row],[Total required water points]]-WWWW[[#This Row],['#Water points coverage]])</f>
        <v>1</v>
      </c>
      <c r="CK354" s="647">
        <f>ROUND(IF(WWWW[[#This Row],[Total PoP ]]&lt;500,1,WWWW[[#This Row],[Total PoP ]]/500),0)</f>
        <v>2</v>
      </c>
      <c r="CL354" s="647">
        <f>(WWWW[[#This Row],['#_Constructed latrines_by_WASHAgencies]]+WWWW[[#This Row],['#_Non Cluster partner latrines]])-WWWW[[#This Row],['#_Non-functional latrines]]</f>
        <v>0</v>
      </c>
      <c r="CM354"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54"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54"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54" s="647" t="str">
        <f>IF(WWWW[[#This Row],[Location Type 1]]="Village","NA",IF(WWWW[[#This Row],['#_Constructed/Existing latrines in TLS]]*50&gt;WWWW[[#This Row],['#_students at TLS_CFS]],WWWW[[#This Row],['#_students at TLS_CFS]],(WWWW[[#This Row],['#_Constructed/Existing latrines in TLS]]*50)))</f>
        <v>NA</v>
      </c>
      <c r="CQ354" s="647">
        <f>ROUND(IF(WWWW[[#This Row],[Location Type 1]]="camp",WWWW[[#This Row],[Total PoP ]]/20,IF(WWWW[[#This Row],[Location Type 1]]="Temporary Location",WWWW[[#This Row],[Total PoP ]]/50,(WWWW[[#This Row],[Total PoP ]]/6))),0)</f>
        <v>145</v>
      </c>
      <c r="CR354" s="647">
        <f>IF(WWWW[[#This Row],[Total required Latrines]]-(WWWW[[#This Row],['#_Constructed latrines_by_WASHAgencies]]+WWWW[[#This Row],['#_Non Cluster partner latrines]])&lt;0,0,WWWW[[#This Row],[Total required Latrines]]-(WWWW[[#This Row],['#_Constructed latrines_by_WASHAgencies]]+WWWW[[#This Row],['#_Non Cluster partner latrines]]))</f>
        <v>145</v>
      </c>
      <c r="CS354" s="79">
        <f>1-WWWW[[#This Row],[% people access to functioning Latrine]]</f>
        <v>1</v>
      </c>
      <c r="CT354" s="649">
        <f>IF(OR(WWWW[[#This Row],['#_Non-functional latrines]]="",WWWW[[#This Row],['#_Non-functional latrines]]=0),0,WWWW[[#This Row],['#_Non-functional latrines]]/(WWWW[[#This Row],['#_Constructed latrines_by_WASHAgencies]]+WWWW[[#This Row],['#_Non Cluster partner latrines]]))</f>
        <v>0</v>
      </c>
      <c r="CU354" s="645">
        <f>IF(500*(WWWW[[#This Row],['#_male hygiene promoters]]+WWWW[[#This Row],['#_female hygiene promoters]])&gt;WWWW[[#This Row],[Total PoP ]],WWWW[[#This Row],[Total PoP ]],500*(WWWW[[#This Row],['#_male hygiene promoters]]+WWWW[[#This Row],['#_female hygiene promoters]]))</f>
        <v>0</v>
      </c>
      <c r="CV354"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54"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54" s="647">
        <f>IF(WWWW[[#This Row],['# People with access to soap]]&gt;WWWW[[#This Row],['# People with access to Sanity Pads]],WWWW[[#This Row],['# People with access to soap]],WWWW[[#This Row],['# People with access to Sanity Pads]])</f>
        <v>0</v>
      </c>
      <c r="CY354"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54" s="650">
        <f>IF(WWWW[[#This Row],[HRP3]]/WWWW[[#This Row],[Total PoP ]]&gt;100%,100%,WWWW[[#This Row],[HRP3]]/WWWW[[#This Row],[Total PoP ]])</f>
        <v>0</v>
      </c>
      <c r="DA354" s="649">
        <f>1-WWWW[[#This Row],[Hygiene Coverage%]]</f>
        <v>1</v>
      </c>
      <c r="DB354" s="648">
        <f>WWWW[[#This Row],['# people reached by regular dedicated hygiene promotion_5]]/WWWW[[#This Row],[Total PoP ]]</f>
        <v>0</v>
      </c>
      <c r="DC354" s="648">
        <f>IF(WWWW[[#This Row],['#_households that received standard amount of soap for this quarter]]/WWWW[[#This Row],[Total HH]]&gt;1,1,WWWW[[#This Row],['#_households that received standard amount of soap for this quarter]]/WWWW[[#This Row],[Total HH]])</f>
        <v>0</v>
      </c>
      <c r="DD354" s="648">
        <f>IF(WWWW[[#This Row],['#_households that received standard amount of sanitary pads for this quarter]]/WWWW[[#This Row],[Total HH]]&gt;1,1,WWWW[[#This Row],['#_households that received standard amount of sanitary pads for this quarter]]/WWWW[[#This Row],[Total HH]])</f>
        <v>0</v>
      </c>
      <c r="DE354" s="647">
        <f>WWWW[[#This Row],['#_Constructed/Existing hand washing stations]]-WWWW[[#This Row],['#_Non-Functional_hand_washing_stations]]</f>
        <v>0</v>
      </c>
      <c r="DF354" s="667">
        <f>IF(WWWW[[#This Row],['# Functional hand washing stations during reporting period]]*20&gt;WWWW[[#This Row],[Total HH]],WWWW[[#This Row],[Total HH]],WWWW[[#This Row],['# Functional hand washing stations during reporting period]]*20)</f>
        <v>0</v>
      </c>
      <c r="DG354" s="645">
        <f>IF(WWWW[[#This Row],[Is sufficient soap available for TLS? (Yes/No)]]="yes",WWWW[[#This Row],['#_Constructed/Existing hand washing stations at TLS]],0)</f>
        <v>0</v>
      </c>
      <c r="DH354" s="645">
        <f>IF(WWWW[[#This Row],['# Functional hand washing stations during reporting period]]*100&gt;WWWW[[#This Row],[Total PoP ]],WWWW[[#This Row],[Total PoP ]],WWWW[[#This Row],['# Functional hand washing stations during reporting period]]*100)</f>
        <v>0</v>
      </c>
      <c r="DI354" s="645" t="str">
        <f>IF(WWWW[[#This Row],['#_students at TLS_CFS]]="","No","Yes")</f>
        <v>No</v>
      </c>
      <c r="DJ354" s="643">
        <f>VLOOKUP(WWWW[[#This Row],[Site Name]],SiteDB6[[Site Name]:[CCCM Management]],6,FALSE)</f>
        <v>0</v>
      </c>
      <c r="DK354" s="643">
        <f>VLOOKUP(WWWW[[#This Row],[Site Name]],SiteDB6[[Site Name]:[CCCM Focal Agency]],7,FALSE)</f>
        <v>0</v>
      </c>
      <c r="DL354" s="643" t="str">
        <f>VLOOKUP(WWWW[[#This Row],[Site Name]],SiteDB6[[Site Name]:[Location Type 1]],9,FALSE)</f>
        <v>Village</v>
      </c>
      <c r="DM354" s="643" t="str">
        <f>VLOOKUP(WWWW[[#This Row],[Site Name]],SiteDB6[[Site Name]:[Type of Accommodation]],10,FALSE)</f>
        <v>Village_Not HRP</v>
      </c>
      <c r="DN354" s="643">
        <f>VLOOKUP(WWWW[[#This Row],[Site Name]],SiteDB6[[Site Name]:[Ethnic or GCA/NGCA]],11,FALSE)</f>
        <v>0</v>
      </c>
      <c r="DO354" s="643">
        <f>VLOOKUP(WWWW[[#This Row],[Site Name]],SiteDB6[[Site Name]:[Lat]],12,FALSE)</f>
        <v>20.80635071</v>
      </c>
      <c r="DP354" s="643">
        <f>VLOOKUP(WWWW[[#This Row],[Site Name]],SiteDB6[[Site Name]:[Long]],13,FALSE)</f>
        <v>92.948310849999999</v>
      </c>
      <c r="DQ354" s="643">
        <f>VLOOKUP(WWWW[[#This Row],[Site Name]],SiteDB6[[Site Name]:[Pcode]],3,FALSE)</f>
        <v>196885</v>
      </c>
      <c r="DR354" s="652" t="str">
        <f t="shared" si="12"/>
        <v>Covered</v>
      </c>
      <c r="DS354" s="652"/>
    </row>
    <row r="355" spans="1:123">
      <c r="A355" s="637" t="s">
        <v>2525</v>
      </c>
      <c r="B355" s="637" t="s">
        <v>336</v>
      </c>
      <c r="C355" s="644" t="s">
        <v>336</v>
      </c>
      <c r="D355" s="644" t="s">
        <v>352</v>
      </c>
      <c r="E355" s="663" t="s">
        <v>3014</v>
      </c>
      <c r="F355" s="644" t="s">
        <v>320</v>
      </c>
      <c r="G355" s="663" t="str">
        <f>VLOOKUP(WWWW[[#This Row],[Site Name]],SiteDB6[[Site Name]:[Location Type]],8,FALSE)</f>
        <v>Village_Not HRP</v>
      </c>
      <c r="H355" s="644" t="s">
        <v>648</v>
      </c>
      <c r="I355" s="646">
        <v>98</v>
      </c>
      <c r="J355" s="646">
        <v>418</v>
      </c>
      <c r="K355" s="653">
        <v>42887</v>
      </c>
      <c r="L355" s="654">
        <v>43616</v>
      </c>
      <c r="M355" s="646"/>
      <c r="N355" s="646"/>
      <c r="O355" s="646"/>
      <c r="P355" s="646"/>
      <c r="Q355" s="645"/>
      <c r="R355" s="646"/>
      <c r="S355" s="646"/>
      <c r="T355" s="646"/>
      <c r="U355" s="646"/>
      <c r="V355" s="646"/>
      <c r="W355" s="646"/>
      <c r="X355" s="646"/>
      <c r="Y355" s="646"/>
      <c r="Z355" s="646"/>
      <c r="AA355" s="646"/>
      <c r="AB355" s="646"/>
      <c r="AC355" s="646"/>
      <c r="AD355" s="646"/>
      <c r="AE355" s="646"/>
      <c r="AF355" s="646"/>
      <c r="AG355" s="646"/>
      <c r="AH355" s="646"/>
      <c r="AI355" s="646"/>
      <c r="AJ355" s="646"/>
      <c r="AK355" s="646"/>
      <c r="AL355" s="646"/>
      <c r="AM355" s="646"/>
      <c r="AN355" s="646"/>
      <c r="AO355" s="652"/>
      <c r="AP355" s="646"/>
      <c r="AQ355" s="646"/>
      <c r="AR355" s="648"/>
      <c r="AS355" s="646"/>
      <c r="AT355" s="646"/>
      <c r="AU355" s="646"/>
      <c r="AV355" s="646"/>
      <c r="AW355" s="646"/>
      <c r="AX355" s="643"/>
      <c r="AY355" s="652"/>
      <c r="AZ355" s="646"/>
      <c r="BA355" s="646"/>
      <c r="BB355" s="646"/>
      <c r="BC355" s="643"/>
      <c r="BD355" s="646"/>
      <c r="BE355" s="646"/>
      <c r="BF355" s="646"/>
      <c r="BG355" s="646"/>
      <c r="BH355" s="646"/>
      <c r="BI355" s="646"/>
      <c r="BJ355" s="646"/>
      <c r="BK355" s="646"/>
      <c r="BL355" s="646"/>
      <c r="BM355" s="643"/>
      <c r="BN355" s="647"/>
      <c r="BO355" s="648"/>
      <c r="BP355" s="643"/>
      <c r="BQ355" s="649" t="str">
        <f>IFERROR(WWWW[[#This Row],['#_Water sources treated]]/WWWW[[#This Row],['#_Water sources tested for contamination]],"no test")</f>
        <v>no test</v>
      </c>
      <c r="BR355" s="648" t="str">
        <f>IFERROR(WWWW[[#This Row],['#_Household received remediation action due to contamination]]/WWWW[[#This Row],['#_Household water samples tested for contamination]],"no test")</f>
        <v>no test</v>
      </c>
      <c r="BS355" s="647" t="str">
        <f>IF(AND(WWWW[[#This Row],[% of water sources treated]]="no test",WWWW[[#This Row],[% Household received corrective actions]]="no test"),"No Test","Tested")</f>
        <v>No Test</v>
      </c>
      <c r="BT355" s="647">
        <f>WWWW[[#This Row],['#_Constructed/existing protected hand dug well]]-WWWW[[#This Row],['#_Non-functional protected hand dug well]]</f>
        <v>0</v>
      </c>
      <c r="BU355" s="647">
        <f>(WWWW[[#This Row],['#_Constructed/Existing tube wells/boreholes/handpumps_WASH_agency]]+WWWW[[#This Row],['#_Non-Cluster partner water tube-wells/boreholes/handpumps]])-WWWW[[#This Row],['#_Non-functional tube wells/boreholes/handpumps]]</f>
        <v>0</v>
      </c>
      <c r="BV355" s="647">
        <f>WWWW[[#This Row],['#_Constructed/Existingwater storage tank with gravity fed reticulation system]]-WWWW[[#This Row],['#_Non-functional storage tank gravity fed reticulation system]]</f>
        <v>0</v>
      </c>
      <c r="BW355" s="647">
        <f>WWWW[[#This Row],['#_Water boating or water trucking]]</f>
        <v>0</v>
      </c>
      <c r="BX355" s="647">
        <f>WWWW[[#This Row],['#_Constructed/Existing water distribution system from river or natural spring]]</f>
        <v>0</v>
      </c>
      <c r="BY355"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55"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55" s="648">
        <f>IF(WWWW[[#This Row],[Location Type 1]]="Village",WWWW[[#This Row],[Access to safe drinking water for Village]],WWWW[[#This Row],[Access to safe drinking water for Camp]])</f>
        <v>0</v>
      </c>
      <c r="CB355" s="645">
        <f>WWWW[[#This Row],[%Equitable and continuous access to sufficient quantity of safe drinking water]]*WWWW[[#This Row],[Total PoP ]]</f>
        <v>0</v>
      </c>
      <c r="CC355" s="648">
        <f>IF((WWWW[[#This Row],['#_Constructed/Existing protected/fenced ponds]]*250)/WWWW[[#This Row],[Total PoP ]]&gt;1,1,(WWWW[[#This Row],['#_Constructed/Existing protected/fenced ponds]]*250)/WWWW[[#This Row],[Total PoP ]])</f>
        <v>0</v>
      </c>
      <c r="CD355" s="645">
        <f>WWWW[[#This Row],[% Access to unimproved water points]]*WWWW[[#This Row],[Total PoP ]]</f>
        <v>0</v>
      </c>
      <c r="CE355"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55"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55" s="645">
        <f>WWWW[[#This Row],[HRP1]]/500</f>
        <v>0</v>
      </c>
      <c r="CH355" s="650">
        <f>1-WWWW[[#This Row],[% Equitable and continuous access to sufficient quantity of domestic water]]</f>
        <v>1</v>
      </c>
      <c r="CI355" s="645">
        <f>WWWW[[#This Row],[%equitable and continuous access to sufficient quantity of safe drinking and domestic water''s GAP]]*WWWW[[#This Row],[Total PoP ]]</f>
        <v>418</v>
      </c>
      <c r="CJ355" s="647">
        <f>IF(WWWW[[#This Row],[Total required water points]]-WWWW[[#This Row],['#Water points coverage]]&lt;0,0,WWWW[[#This Row],[Total required water points]]-WWWW[[#This Row],['#Water points coverage]])</f>
        <v>1</v>
      </c>
      <c r="CK355" s="647">
        <f>ROUND(IF(WWWW[[#This Row],[Total PoP ]]&lt;500,1,WWWW[[#This Row],[Total PoP ]]/500),0)</f>
        <v>1</v>
      </c>
      <c r="CL355" s="647">
        <f>(WWWW[[#This Row],['#_Constructed latrines_by_WASHAgencies]]+WWWW[[#This Row],['#_Non Cluster partner latrines]])-WWWW[[#This Row],['#_Non-functional latrines]]</f>
        <v>0</v>
      </c>
      <c r="CM355"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55"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55"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55" s="647" t="str">
        <f>IF(WWWW[[#This Row],[Location Type 1]]="Village","NA",IF(WWWW[[#This Row],['#_Constructed/Existing latrines in TLS]]*50&gt;WWWW[[#This Row],['#_students at TLS_CFS]],WWWW[[#This Row],['#_students at TLS_CFS]],(WWWW[[#This Row],['#_Constructed/Existing latrines in TLS]]*50)))</f>
        <v>NA</v>
      </c>
      <c r="CQ355" s="647">
        <f>ROUND(IF(WWWW[[#This Row],[Location Type 1]]="camp",WWWW[[#This Row],[Total PoP ]]/20,IF(WWWW[[#This Row],[Location Type 1]]="Temporary Location",WWWW[[#This Row],[Total PoP ]]/50,(WWWW[[#This Row],[Total PoP ]]/6))),0)</f>
        <v>70</v>
      </c>
      <c r="CR355" s="647">
        <f>IF(WWWW[[#This Row],[Total required Latrines]]-(WWWW[[#This Row],['#_Constructed latrines_by_WASHAgencies]]+WWWW[[#This Row],['#_Non Cluster partner latrines]])&lt;0,0,WWWW[[#This Row],[Total required Latrines]]-(WWWW[[#This Row],['#_Constructed latrines_by_WASHAgencies]]+WWWW[[#This Row],['#_Non Cluster partner latrines]]))</f>
        <v>70</v>
      </c>
      <c r="CS355" s="79">
        <f>1-WWWW[[#This Row],[% people access to functioning Latrine]]</f>
        <v>1</v>
      </c>
      <c r="CT355" s="649">
        <f>IF(OR(WWWW[[#This Row],['#_Non-functional latrines]]="",WWWW[[#This Row],['#_Non-functional latrines]]=0),0,WWWW[[#This Row],['#_Non-functional latrines]]/(WWWW[[#This Row],['#_Constructed latrines_by_WASHAgencies]]+WWWW[[#This Row],['#_Non Cluster partner latrines]]))</f>
        <v>0</v>
      </c>
      <c r="CU355" s="645">
        <f>IF(500*(WWWW[[#This Row],['#_male hygiene promoters]]+WWWW[[#This Row],['#_female hygiene promoters]])&gt;WWWW[[#This Row],[Total PoP ]],WWWW[[#This Row],[Total PoP ]],500*(WWWW[[#This Row],['#_male hygiene promoters]]+WWWW[[#This Row],['#_female hygiene promoters]]))</f>
        <v>0</v>
      </c>
      <c r="CV355"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55"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55" s="647">
        <f>IF(WWWW[[#This Row],['# People with access to soap]]&gt;WWWW[[#This Row],['# People with access to Sanity Pads]],WWWW[[#This Row],['# People with access to soap]],WWWW[[#This Row],['# People with access to Sanity Pads]])</f>
        <v>0</v>
      </c>
      <c r="CY355"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55" s="650">
        <f>IF(WWWW[[#This Row],[HRP3]]/WWWW[[#This Row],[Total PoP ]]&gt;100%,100%,WWWW[[#This Row],[HRP3]]/WWWW[[#This Row],[Total PoP ]])</f>
        <v>0</v>
      </c>
      <c r="DA355" s="649">
        <f>1-WWWW[[#This Row],[Hygiene Coverage%]]</f>
        <v>1</v>
      </c>
      <c r="DB355" s="648">
        <f>WWWW[[#This Row],['# people reached by regular dedicated hygiene promotion_5]]/WWWW[[#This Row],[Total PoP ]]</f>
        <v>0</v>
      </c>
      <c r="DC355" s="648">
        <f>IF(WWWW[[#This Row],['#_households that received standard amount of soap for this quarter]]/WWWW[[#This Row],[Total HH]]&gt;1,1,WWWW[[#This Row],['#_households that received standard amount of soap for this quarter]]/WWWW[[#This Row],[Total HH]])</f>
        <v>0</v>
      </c>
      <c r="DD355" s="648">
        <f>IF(WWWW[[#This Row],['#_households that received standard amount of sanitary pads for this quarter]]/WWWW[[#This Row],[Total HH]]&gt;1,1,WWWW[[#This Row],['#_households that received standard amount of sanitary pads for this quarter]]/WWWW[[#This Row],[Total HH]])</f>
        <v>0</v>
      </c>
      <c r="DE355" s="647">
        <f>WWWW[[#This Row],['#_Constructed/Existing hand washing stations]]-WWWW[[#This Row],['#_Non-Functional_hand_washing_stations]]</f>
        <v>0</v>
      </c>
      <c r="DF355" s="667">
        <f>IF(WWWW[[#This Row],['# Functional hand washing stations during reporting period]]*20&gt;WWWW[[#This Row],[Total HH]],WWWW[[#This Row],[Total HH]],WWWW[[#This Row],['# Functional hand washing stations during reporting period]]*20)</f>
        <v>0</v>
      </c>
      <c r="DG355" s="645">
        <f>IF(WWWW[[#This Row],[Is sufficient soap available for TLS? (Yes/No)]]="yes",WWWW[[#This Row],['#_Constructed/Existing hand washing stations at TLS]],0)</f>
        <v>0</v>
      </c>
      <c r="DH355" s="645">
        <f>IF(WWWW[[#This Row],['# Functional hand washing stations during reporting period]]*100&gt;WWWW[[#This Row],[Total PoP ]],WWWW[[#This Row],[Total PoP ]],WWWW[[#This Row],['# Functional hand washing stations during reporting period]]*100)</f>
        <v>0</v>
      </c>
      <c r="DI355" s="645" t="str">
        <f>IF(WWWW[[#This Row],['#_students at TLS_CFS]]="","No","Yes")</f>
        <v>No</v>
      </c>
      <c r="DJ355" s="643">
        <f>VLOOKUP(WWWW[[#This Row],[Site Name]],SiteDB6[[Site Name]:[CCCM Management]],6,FALSE)</f>
        <v>0</v>
      </c>
      <c r="DK355" s="643">
        <f>VLOOKUP(WWWW[[#This Row],[Site Name]],SiteDB6[[Site Name]:[CCCM Focal Agency]],7,FALSE)</f>
        <v>0</v>
      </c>
      <c r="DL355" s="643" t="str">
        <f>VLOOKUP(WWWW[[#This Row],[Site Name]],SiteDB6[[Site Name]:[Location Type 1]],9,FALSE)</f>
        <v>Village</v>
      </c>
      <c r="DM355" s="643" t="str">
        <f>VLOOKUP(WWWW[[#This Row],[Site Name]],SiteDB6[[Site Name]:[Type of Accommodation]],10,FALSE)</f>
        <v>Village_Not HRP</v>
      </c>
      <c r="DN355" s="643" t="str">
        <f>VLOOKUP(WWWW[[#This Row],[Site Name]],SiteDB6[[Site Name]:[Ethnic or GCA/NGCA]],11,FALSE)</f>
        <v>Mro</v>
      </c>
      <c r="DO355" s="643">
        <f>VLOOKUP(WWWW[[#This Row],[Site Name]],SiteDB6[[Site Name]:[Lat]],12,FALSE)</f>
        <v>20.831729889999998</v>
      </c>
      <c r="DP355" s="643">
        <f>VLOOKUP(WWWW[[#This Row],[Site Name]],SiteDB6[[Site Name]:[Long]],13,FALSE)</f>
        <v>92.919639590000003</v>
      </c>
      <c r="DQ355" s="643">
        <f>VLOOKUP(WWWW[[#This Row],[Site Name]],SiteDB6[[Site Name]:[Pcode]],3,FALSE)</f>
        <v>196880</v>
      </c>
      <c r="DR355" s="652" t="str">
        <f t="shared" si="12"/>
        <v>Covered</v>
      </c>
      <c r="DS355" s="652"/>
    </row>
    <row r="356" spans="1:123">
      <c r="A356" s="637" t="s">
        <v>2525</v>
      </c>
      <c r="B356" s="637" t="s">
        <v>336</v>
      </c>
      <c r="C356" s="644" t="s">
        <v>336</v>
      </c>
      <c r="D356" s="644" t="s">
        <v>352</v>
      </c>
      <c r="E356" s="663" t="s">
        <v>3014</v>
      </c>
      <c r="F356" s="644" t="s">
        <v>320</v>
      </c>
      <c r="G356" s="663" t="str">
        <f>VLOOKUP(WWWW[[#This Row],[Site Name]],SiteDB6[[Site Name]:[Location Type]],8,FALSE)</f>
        <v>Village_Not HRP</v>
      </c>
      <c r="H356" s="644" t="s">
        <v>351</v>
      </c>
      <c r="I356" s="646">
        <v>47</v>
      </c>
      <c r="J356" s="646">
        <v>203</v>
      </c>
      <c r="K356" s="653">
        <v>42887</v>
      </c>
      <c r="L356" s="654">
        <v>43616</v>
      </c>
      <c r="M356" s="646"/>
      <c r="N356" s="646"/>
      <c r="O356" s="646"/>
      <c r="P356" s="646"/>
      <c r="Q356" s="645"/>
      <c r="R356" s="646"/>
      <c r="S356" s="646"/>
      <c r="T356" s="646"/>
      <c r="U356" s="646"/>
      <c r="V356" s="646"/>
      <c r="W356" s="646"/>
      <c r="X356" s="646"/>
      <c r="Y356" s="646"/>
      <c r="Z356" s="646"/>
      <c r="AA356" s="646"/>
      <c r="AB356" s="646"/>
      <c r="AC356" s="646"/>
      <c r="AD356" s="646"/>
      <c r="AE356" s="646"/>
      <c r="AF356" s="646"/>
      <c r="AG356" s="646"/>
      <c r="AH356" s="646"/>
      <c r="AI356" s="646"/>
      <c r="AJ356" s="646"/>
      <c r="AK356" s="646"/>
      <c r="AL356" s="646"/>
      <c r="AM356" s="646"/>
      <c r="AN356" s="646"/>
      <c r="AO356" s="652"/>
      <c r="AP356" s="646"/>
      <c r="AQ356" s="646"/>
      <c r="AR356" s="648"/>
      <c r="AS356" s="646"/>
      <c r="AT356" s="646"/>
      <c r="AU356" s="646"/>
      <c r="AV356" s="646"/>
      <c r="AW356" s="646"/>
      <c r="AX356" s="643"/>
      <c r="AY356" s="652"/>
      <c r="AZ356" s="646"/>
      <c r="BA356" s="646"/>
      <c r="BB356" s="646"/>
      <c r="BC356" s="643"/>
      <c r="BD356" s="646"/>
      <c r="BE356" s="646"/>
      <c r="BF356" s="646"/>
      <c r="BG356" s="646"/>
      <c r="BH356" s="646"/>
      <c r="BI356" s="646"/>
      <c r="BJ356" s="646"/>
      <c r="BK356" s="646"/>
      <c r="BL356" s="646"/>
      <c r="BM356" s="643"/>
      <c r="BN356" s="647"/>
      <c r="BO356" s="648"/>
      <c r="BP356" s="643"/>
      <c r="BQ356" s="649" t="str">
        <f>IFERROR(WWWW[[#This Row],['#_Water sources treated]]/WWWW[[#This Row],['#_Water sources tested for contamination]],"no test")</f>
        <v>no test</v>
      </c>
      <c r="BR356" s="648" t="str">
        <f>IFERROR(WWWW[[#This Row],['#_Household received remediation action due to contamination]]/WWWW[[#This Row],['#_Household water samples tested for contamination]],"no test")</f>
        <v>no test</v>
      </c>
      <c r="BS356" s="647" t="str">
        <f>IF(AND(WWWW[[#This Row],[% of water sources treated]]="no test",WWWW[[#This Row],[% Household received corrective actions]]="no test"),"No Test","Tested")</f>
        <v>No Test</v>
      </c>
      <c r="BT356" s="647">
        <f>WWWW[[#This Row],['#_Constructed/existing protected hand dug well]]-WWWW[[#This Row],['#_Non-functional protected hand dug well]]</f>
        <v>0</v>
      </c>
      <c r="BU356" s="647">
        <f>(WWWW[[#This Row],['#_Constructed/Existing tube wells/boreholes/handpumps_WASH_agency]]+WWWW[[#This Row],['#_Non-Cluster partner water tube-wells/boreholes/handpumps]])-WWWW[[#This Row],['#_Non-functional tube wells/boreholes/handpumps]]</f>
        <v>0</v>
      </c>
      <c r="BV356" s="647">
        <f>WWWW[[#This Row],['#_Constructed/Existingwater storage tank with gravity fed reticulation system]]-WWWW[[#This Row],['#_Non-functional storage tank gravity fed reticulation system]]</f>
        <v>0</v>
      </c>
      <c r="BW356" s="647">
        <f>WWWW[[#This Row],['#_Water boating or water trucking]]</f>
        <v>0</v>
      </c>
      <c r="BX356" s="647">
        <f>WWWW[[#This Row],['#_Constructed/Existing water distribution system from river or natural spring]]</f>
        <v>0</v>
      </c>
      <c r="BY356"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56"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56" s="648">
        <f>IF(WWWW[[#This Row],[Location Type 1]]="Village",WWWW[[#This Row],[Access to safe drinking water for Village]],WWWW[[#This Row],[Access to safe drinking water for Camp]])</f>
        <v>0</v>
      </c>
      <c r="CB356" s="645">
        <f>WWWW[[#This Row],[%Equitable and continuous access to sufficient quantity of safe drinking water]]*WWWW[[#This Row],[Total PoP ]]</f>
        <v>0</v>
      </c>
      <c r="CC356" s="648">
        <f>IF((WWWW[[#This Row],['#_Constructed/Existing protected/fenced ponds]]*250)/WWWW[[#This Row],[Total PoP ]]&gt;1,1,(WWWW[[#This Row],['#_Constructed/Existing protected/fenced ponds]]*250)/WWWW[[#This Row],[Total PoP ]])</f>
        <v>0</v>
      </c>
      <c r="CD356" s="645">
        <f>WWWW[[#This Row],[% Access to unimproved water points]]*WWWW[[#This Row],[Total PoP ]]</f>
        <v>0</v>
      </c>
      <c r="CE356"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56"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56" s="645">
        <f>WWWW[[#This Row],[HRP1]]/500</f>
        <v>0</v>
      </c>
      <c r="CH356" s="650">
        <f>1-WWWW[[#This Row],[% Equitable and continuous access to sufficient quantity of domestic water]]</f>
        <v>1</v>
      </c>
      <c r="CI356" s="645">
        <f>WWWW[[#This Row],[%equitable and continuous access to sufficient quantity of safe drinking and domestic water''s GAP]]*WWWW[[#This Row],[Total PoP ]]</f>
        <v>203</v>
      </c>
      <c r="CJ356" s="647">
        <f>IF(WWWW[[#This Row],[Total required water points]]-WWWW[[#This Row],['#Water points coverage]]&lt;0,0,WWWW[[#This Row],[Total required water points]]-WWWW[[#This Row],['#Water points coverage]])</f>
        <v>1</v>
      </c>
      <c r="CK356" s="647">
        <f>ROUND(IF(WWWW[[#This Row],[Total PoP ]]&lt;500,1,WWWW[[#This Row],[Total PoP ]]/500),0)</f>
        <v>1</v>
      </c>
      <c r="CL356" s="647">
        <f>(WWWW[[#This Row],['#_Constructed latrines_by_WASHAgencies]]+WWWW[[#This Row],['#_Non Cluster partner latrines]])-WWWW[[#This Row],['#_Non-functional latrines]]</f>
        <v>0</v>
      </c>
      <c r="CM356"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56"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56"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56" s="647" t="str">
        <f>IF(WWWW[[#This Row],[Location Type 1]]="Village","NA",IF(WWWW[[#This Row],['#_Constructed/Existing latrines in TLS]]*50&gt;WWWW[[#This Row],['#_students at TLS_CFS]],WWWW[[#This Row],['#_students at TLS_CFS]],(WWWW[[#This Row],['#_Constructed/Existing latrines in TLS]]*50)))</f>
        <v>NA</v>
      </c>
      <c r="CQ356" s="647">
        <f>ROUND(IF(WWWW[[#This Row],[Location Type 1]]="camp",WWWW[[#This Row],[Total PoP ]]/20,IF(WWWW[[#This Row],[Location Type 1]]="Temporary Location",WWWW[[#This Row],[Total PoP ]]/50,(WWWW[[#This Row],[Total PoP ]]/6))),0)</f>
        <v>34</v>
      </c>
      <c r="CR356" s="647">
        <f>IF(WWWW[[#This Row],[Total required Latrines]]-(WWWW[[#This Row],['#_Constructed latrines_by_WASHAgencies]]+WWWW[[#This Row],['#_Non Cluster partner latrines]])&lt;0,0,WWWW[[#This Row],[Total required Latrines]]-(WWWW[[#This Row],['#_Constructed latrines_by_WASHAgencies]]+WWWW[[#This Row],['#_Non Cluster partner latrines]]))</f>
        <v>34</v>
      </c>
      <c r="CS356" s="79">
        <f>1-WWWW[[#This Row],[% people access to functioning Latrine]]</f>
        <v>1</v>
      </c>
      <c r="CT356" s="649">
        <f>IF(OR(WWWW[[#This Row],['#_Non-functional latrines]]="",WWWW[[#This Row],['#_Non-functional latrines]]=0),0,WWWW[[#This Row],['#_Non-functional latrines]]/(WWWW[[#This Row],['#_Constructed latrines_by_WASHAgencies]]+WWWW[[#This Row],['#_Non Cluster partner latrines]]))</f>
        <v>0</v>
      </c>
      <c r="CU356" s="645">
        <f>IF(500*(WWWW[[#This Row],['#_male hygiene promoters]]+WWWW[[#This Row],['#_female hygiene promoters]])&gt;WWWW[[#This Row],[Total PoP ]],WWWW[[#This Row],[Total PoP ]],500*(WWWW[[#This Row],['#_male hygiene promoters]]+WWWW[[#This Row],['#_female hygiene promoters]]))</f>
        <v>0</v>
      </c>
      <c r="CV356"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56"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56" s="647">
        <f>IF(WWWW[[#This Row],['# People with access to soap]]&gt;WWWW[[#This Row],['# People with access to Sanity Pads]],WWWW[[#This Row],['# People with access to soap]],WWWW[[#This Row],['# People with access to Sanity Pads]])</f>
        <v>0</v>
      </c>
      <c r="CY356"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56" s="650">
        <f>IF(WWWW[[#This Row],[HRP3]]/WWWW[[#This Row],[Total PoP ]]&gt;100%,100%,WWWW[[#This Row],[HRP3]]/WWWW[[#This Row],[Total PoP ]])</f>
        <v>0</v>
      </c>
      <c r="DA356" s="649">
        <f>1-WWWW[[#This Row],[Hygiene Coverage%]]</f>
        <v>1</v>
      </c>
      <c r="DB356" s="648">
        <f>WWWW[[#This Row],['# people reached by regular dedicated hygiene promotion_5]]/WWWW[[#This Row],[Total PoP ]]</f>
        <v>0</v>
      </c>
      <c r="DC356" s="648">
        <f>IF(WWWW[[#This Row],['#_households that received standard amount of soap for this quarter]]/WWWW[[#This Row],[Total HH]]&gt;1,1,WWWW[[#This Row],['#_households that received standard amount of soap for this quarter]]/WWWW[[#This Row],[Total HH]])</f>
        <v>0</v>
      </c>
      <c r="DD356" s="648">
        <f>IF(WWWW[[#This Row],['#_households that received standard amount of sanitary pads for this quarter]]/WWWW[[#This Row],[Total HH]]&gt;1,1,WWWW[[#This Row],['#_households that received standard amount of sanitary pads for this quarter]]/WWWW[[#This Row],[Total HH]])</f>
        <v>0</v>
      </c>
      <c r="DE356" s="647">
        <f>WWWW[[#This Row],['#_Constructed/Existing hand washing stations]]-WWWW[[#This Row],['#_Non-Functional_hand_washing_stations]]</f>
        <v>0</v>
      </c>
      <c r="DF356" s="667">
        <f>IF(WWWW[[#This Row],['# Functional hand washing stations during reporting period]]*20&gt;WWWW[[#This Row],[Total HH]],WWWW[[#This Row],[Total HH]],WWWW[[#This Row],['# Functional hand washing stations during reporting period]]*20)</f>
        <v>0</v>
      </c>
      <c r="DG356" s="645">
        <f>IF(WWWW[[#This Row],[Is sufficient soap available for TLS? (Yes/No)]]="yes",WWWW[[#This Row],['#_Constructed/Existing hand washing stations at TLS]],0)</f>
        <v>0</v>
      </c>
      <c r="DH356" s="645">
        <f>IF(WWWW[[#This Row],['# Functional hand washing stations during reporting period]]*100&gt;WWWW[[#This Row],[Total PoP ]],WWWW[[#This Row],[Total PoP ]],WWWW[[#This Row],['# Functional hand washing stations during reporting period]]*100)</f>
        <v>0</v>
      </c>
      <c r="DI356" s="645" t="str">
        <f>IF(WWWW[[#This Row],['#_students at TLS_CFS]]="","No","Yes")</f>
        <v>No</v>
      </c>
      <c r="DJ356" s="643">
        <f>VLOOKUP(WWWW[[#This Row],[Site Name]],SiteDB6[[Site Name]:[CCCM Management]],6,FALSE)</f>
        <v>0</v>
      </c>
      <c r="DK356" s="643">
        <f>VLOOKUP(WWWW[[#This Row],[Site Name]],SiteDB6[[Site Name]:[CCCM Focal Agency]],7,FALSE)</f>
        <v>0</v>
      </c>
      <c r="DL356" s="643" t="str">
        <f>VLOOKUP(WWWW[[#This Row],[Site Name]],SiteDB6[[Site Name]:[Location Type 1]],9,FALSE)</f>
        <v>Village</v>
      </c>
      <c r="DM356" s="643" t="str">
        <f>VLOOKUP(WWWW[[#This Row],[Site Name]],SiteDB6[[Site Name]:[Type of Accommodation]],10,FALSE)</f>
        <v>Village_Not HRP</v>
      </c>
      <c r="DN356" s="643" t="str">
        <f>VLOOKUP(WWWW[[#This Row],[Site Name]],SiteDB6[[Site Name]:[Ethnic or GCA/NGCA]],11,FALSE)</f>
        <v>Mro</v>
      </c>
      <c r="DO356" s="643">
        <f>VLOOKUP(WWWW[[#This Row],[Site Name]],SiteDB6[[Site Name]:[Lat]],12,FALSE)</f>
        <v>0</v>
      </c>
      <c r="DP356" s="643">
        <f>VLOOKUP(WWWW[[#This Row],[Site Name]],SiteDB6[[Site Name]:[Long]],13,FALSE)</f>
        <v>0</v>
      </c>
      <c r="DQ356" s="643">
        <f>VLOOKUP(WWWW[[#This Row],[Site Name]],SiteDB6[[Site Name]:[Pcode]],3,FALSE)</f>
        <v>0</v>
      </c>
      <c r="DR356" s="652" t="str">
        <f t="shared" si="12"/>
        <v>Covered</v>
      </c>
      <c r="DS356" s="652"/>
    </row>
    <row r="357" spans="1:123">
      <c r="A357" s="637" t="s">
        <v>2525</v>
      </c>
      <c r="B357" s="637" t="s">
        <v>336</v>
      </c>
      <c r="C357" s="644" t="s">
        <v>336</v>
      </c>
      <c r="D357" s="644" t="s">
        <v>352</v>
      </c>
      <c r="E357" s="663" t="s">
        <v>3014</v>
      </c>
      <c r="F357" s="644" t="s">
        <v>320</v>
      </c>
      <c r="G357" s="663" t="str">
        <f>VLOOKUP(WWWW[[#This Row],[Site Name]],SiteDB6[[Site Name]:[Location Type]],8,FALSE)</f>
        <v>Village_Not HRP</v>
      </c>
      <c r="H357" s="644" t="s">
        <v>634</v>
      </c>
      <c r="I357" s="646">
        <v>131</v>
      </c>
      <c r="J357" s="646">
        <v>631</v>
      </c>
      <c r="K357" s="653">
        <v>42887</v>
      </c>
      <c r="L357" s="654">
        <v>43616</v>
      </c>
      <c r="M357" s="646"/>
      <c r="N357" s="646"/>
      <c r="O357" s="646"/>
      <c r="P357" s="646"/>
      <c r="Q357" s="645"/>
      <c r="R357" s="646"/>
      <c r="S357" s="646"/>
      <c r="T357" s="646"/>
      <c r="U357" s="646"/>
      <c r="V357" s="646"/>
      <c r="W357" s="646"/>
      <c r="X357" s="646"/>
      <c r="Y357" s="646"/>
      <c r="Z357" s="646"/>
      <c r="AA357" s="646"/>
      <c r="AB357" s="646"/>
      <c r="AC357" s="646"/>
      <c r="AD357" s="646"/>
      <c r="AE357" s="646">
        <v>1</v>
      </c>
      <c r="AF357" s="646"/>
      <c r="AG357" s="646"/>
      <c r="AH357" s="646"/>
      <c r="AI357" s="646"/>
      <c r="AJ357" s="646"/>
      <c r="AK357" s="646"/>
      <c r="AL357" s="646"/>
      <c r="AM357" s="646"/>
      <c r="AN357" s="646"/>
      <c r="AO357" s="703" t="s">
        <v>2961</v>
      </c>
      <c r="AP357" s="646"/>
      <c r="AQ357" s="646"/>
      <c r="AR357" s="648"/>
      <c r="AS357" s="646"/>
      <c r="AT357" s="646"/>
      <c r="AU357" s="646"/>
      <c r="AV357" s="646"/>
      <c r="AW357" s="646"/>
      <c r="AX357" s="643"/>
      <c r="AY357" s="652"/>
      <c r="AZ357" s="646"/>
      <c r="BA357" s="646"/>
      <c r="BB357" s="646"/>
      <c r="BC357" s="643"/>
      <c r="BD357" s="646"/>
      <c r="BE357" s="646"/>
      <c r="BF357" s="646"/>
      <c r="BG357" s="646"/>
      <c r="BH357" s="646"/>
      <c r="BI357" s="646"/>
      <c r="BJ357" s="646"/>
      <c r="BK357" s="646"/>
      <c r="BL357" s="646"/>
      <c r="BM357" s="643"/>
      <c r="BN357" s="647"/>
      <c r="BO357" s="648"/>
      <c r="BP357" s="643"/>
      <c r="BQ357" s="649" t="str">
        <f>IFERROR(WWWW[[#This Row],['#_Water sources treated]]/WWWW[[#This Row],['#_Water sources tested for contamination]],"no test")</f>
        <v>no test</v>
      </c>
      <c r="BR357" s="648" t="str">
        <f>IFERROR(WWWW[[#This Row],['#_Household received remediation action due to contamination]]/WWWW[[#This Row],['#_Household water samples tested for contamination]],"no test")</f>
        <v>no test</v>
      </c>
      <c r="BS357" s="647" t="str">
        <f>IF(AND(WWWW[[#This Row],[% of water sources treated]]="no test",WWWW[[#This Row],[% Household received corrective actions]]="no test"),"No Test","Tested")</f>
        <v>No Test</v>
      </c>
      <c r="BT357" s="647">
        <f>WWWW[[#This Row],['#_Constructed/existing protected hand dug well]]-WWWW[[#This Row],['#_Non-functional protected hand dug well]]</f>
        <v>0</v>
      </c>
      <c r="BU357" s="647">
        <f>(WWWW[[#This Row],['#_Constructed/Existing tube wells/boreholes/handpumps_WASH_agency]]+WWWW[[#This Row],['#_Non-Cluster partner water tube-wells/boreholes/handpumps]])-WWWW[[#This Row],['#_Non-functional tube wells/boreholes/handpumps]]</f>
        <v>0</v>
      </c>
      <c r="BV357" s="647">
        <f>WWWW[[#This Row],['#_Constructed/Existingwater storage tank with gravity fed reticulation system]]-WWWW[[#This Row],['#_Non-functional storage tank gravity fed reticulation system]]</f>
        <v>0</v>
      </c>
      <c r="BW357" s="647">
        <f>WWWW[[#This Row],['#_Water boating or water trucking]]</f>
        <v>0</v>
      </c>
      <c r="BX357" s="647">
        <f>WWWW[[#This Row],['#_Constructed/Existing water distribution system from river or natural spring]]</f>
        <v>0</v>
      </c>
      <c r="BY357"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57"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57" s="648">
        <f>IF(WWWW[[#This Row],[Location Type 1]]="Village",WWWW[[#This Row],[Access to safe drinking water for Village]],WWWW[[#This Row],[Access to safe drinking water for Camp]])</f>
        <v>0</v>
      </c>
      <c r="CB357" s="645">
        <f>WWWW[[#This Row],[%Equitable and continuous access to sufficient quantity of safe drinking water]]*WWWW[[#This Row],[Total PoP ]]</f>
        <v>0</v>
      </c>
      <c r="CC357" s="648">
        <f>IF((WWWW[[#This Row],['#_Constructed/Existing protected/fenced ponds]]*250)/WWWW[[#This Row],[Total PoP ]]&gt;1,1,(WWWW[[#This Row],['#_Constructed/Existing protected/fenced ponds]]*250)/WWWW[[#This Row],[Total PoP ]])</f>
        <v>0.39619651347068147</v>
      </c>
      <c r="CD357" s="645">
        <f>WWWW[[#This Row],[% Access to unimproved water points]]*WWWW[[#This Row],[Total PoP ]]</f>
        <v>250</v>
      </c>
      <c r="CE357"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0.39619651347068147</v>
      </c>
      <c r="CF357"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250</v>
      </c>
      <c r="CG357" s="645">
        <f>WWWW[[#This Row],[HRP1]]/500</f>
        <v>0.5</v>
      </c>
      <c r="CH357" s="650">
        <f>1-WWWW[[#This Row],[% Equitable and continuous access to sufficient quantity of domestic water]]</f>
        <v>0.60380348652931848</v>
      </c>
      <c r="CI357" s="645">
        <f>WWWW[[#This Row],[%equitable and continuous access to sufficient quantity of safe drinking and domestic water''s GAP]]*WWWW[[#This Row],[Total PoP ]]</f>
        <v>380.99999999999994</v>
      </c>
      <c r="CJ357" s="647">
        <f>IF(WWWW[[#This Row],[Total required water points]]-WWWW[[#This Row],['#Water points coverage]]&lt;0,0,WWWW[[#This Row],[Total required water points]]-WWWW[[#This Row],['#Water points coverage]])</f>
        <v>0.5</v>
      </c>
      <c r="CK357" s="647">
        <f>ROUND(IF(WWWW[[#This Row],[Total PoP ]]&lt;500,1,WWWW[[#This Row],[Total PoP ]]/500),0)</f>
        <v>1</v>
      </c>
      <c r="CL357" s="647">
        <f>(WWWW[[#This Row],['#_Constructed latrines_by_WASHAgencies]]+WWWW[[#This Row],['#_Non Cluster partner latrines]])-WWWW[[#This Row],['#_Non-functional latrines]]</f>
        <v>0</v>
      </c>
      <c r="CM357"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57"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57"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57" s="647" t="str">
        <f>IF(WWWW[[#This Row],[Location Type 1]]="Village","NA",IF(WWWW[[#This Row],['#_Constructed/Existing latrines in TLS]]*50&gt;WWWW[[#This Row],['#_students at TLS_CFS]],WWWW[[#This Row],['#_students at TLS_CFS]],(WWWW[[#This Row],['#_Constructed/Existing latrines in TLS]]*50)))</f>
        <v>NA</v>
      </c>
      <c r="CQ357" s="647">
        <f>ROUND(IF(WWWW[[#This Row],[Location Type 1]]="camp",WWWW[[#This Row],[Total PoP ]]/20,IF(WWWW[[#This Row],[Location Type 1]]="Temporary Location",WWWW[[#This Row],[Total PoP ]]/50,(WWWW[[#This Row],[Total PoP ]]/6))),0)</f>
        <v>105</v>
      </c>
      <c r="CR357" s="647">
        <f>IF(WWWW[[#This Row],[Total required Latrines]]-(WWWW[[#This Row],['#_Constructed latrines_by_WASHAgencies]]+WWWW[[#This Row],['#_Non Cluster partner latrines]])&lt;0,0,WWWW[[#This Row],[Total required Latrines]]-(WWWW[[#This Row],['#_Constructed latrines_by_WASHAgencies]]+WWWW[[#This Row],['#_Non Cluster partner latrines]]))</f>
        <v>105</v>
      </c>
      <c r="CS357" s="79">
        <f>1-WWWW[[#This Row],[% people access to functioning Latrine]]</f>
        <v>1</v>
      </c>
      <c r="CT357" s="649">
        <f>IF(OR(WWWW[[#This Row],['#_Non-functional latrines]]="",WWWW[[#This Row],['#_Non-functional latrines]]=0),0,WWWW[[#This Row],['#_Non-functional latrines]]/(WWWW[[#This Row],['#_Constructed latrines_by_WASHAgencies]]+WWWW[[#This Row],['#_Non Cluster partner latrines]]))</f>
        <v>0</v>
      </c>
      <c r="CU357" s="645">
        <f>IF(500*(WWWW[[#This Row],['#_male hygiene promoters]]+WWWW[[#This Row],['#_female hygiene promoters]])&gt;WWWW[[#This Row],[Total PoP ]],WWWW[[#This Row],[Total PoP ]],500*(WWWW[[#This Row],['#_male hygiene promoters]]+WWWW[[#This Row],['#_female hygiene promoters]]))</f>
        <v>0</v>
      </c>
      <c r="CV357"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57"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57" s="647">
        <f>IF(WWWW[[#This Row],['# People with access to soap]]&gt;WWWW[[#This Row],['# People with access to Sanity Pads]],WWWW[[#This Row],['# People with access to soap]],WWWW[[#This Row],['# People with access to Sanity Pads]])</f>
        <v>0</v>
      </c>
      <c r="CY357"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57" s="650">
        <f>IF(WWWW[[#This Row],[HRP3]]/WWWW[[#This Row],[Total PoP ]]&gt;100%,100%,WWWW[[#This Row],[HRP3]]/WWWW[[#This Row],[Total PoP ]])</f>
        <v>0</v>
      </c>
      <c r="DA357" s="649">
        <f>1-WWWW[[#This Row],[Hygiene Coverage%]]</f>
        <v>1</v>
      </c>
      <c r="DB357" s="648">
        <f>WWWW[[#This Row],['# people reached by regular dedicated hygiene promotion_5]]/WWWW[[#This Row],[Total PoP ]]</f>
        <v>0</v>
      </c>
      <c r="DC357" s="648">
        <f>IF(WWWW[[#This Row],['#_households that received standard amount of soap for this quarter]]/WWWW[[#This Row],[Total HH]]&gt;1,1,WWWW[[#This Row],['#_households that received standard amount of soap for this quarter]]/WWWW[[#This Row],[Total HH]])</f>
        <v>0</v>
      </c>
      <c r="DD357" s="648">
        <f>IF(WWWW[[#This Row],['#_households that received standard amount of sanitary pads for this quarter]]/WWWW[[#This Row],[Total HH]]&gt;1,1,WWWW[[#This Row],['#_households that received standard amount of sanitary pads for this quarter]]/WWWW[[#This Row],[Total HH]])</f>
        <v>0</v>
      </c>
      <c r="DE357" s="647">
        <f>WWWW[[#This Row],['#_Constructed/Existing hand washing stations]]-WWWW[[#This Row],['#_Non-Functional_hand_washing_stations]]</f>
        <v>0</v>
      </c>
      <c r="DF357" s="667">
        <f>IF(WWWW[[#This Row],['# Functional hand washing stations during reporting period]]*20&gt;WWWW[[#This Row],[Total HH]],WWWW[[#This Row],[Total HH]],WWWW[[#This Row],['# Functional hand washing stations during reporting period]]*20)</f>
        <v>0</v>
      </c>
      <c r="DG357" s="645">
        <f>IF(WWWW[[#This Row],[Is sufficient soap available for TLS? (Yes/No)]]="yes",WWWW[[#This Row],['#_Constructed/Existing hand washing stations at TLS]],0)</f>
        <v>0</v>
      </c>
      <c r="DH357" s="645">
        <f>IF(WWWW[[#This Row],['# Functional hand washing stations during reporting period]]*100&gt;WWWW[[#This Row],[Total PoP ]],WWWW[[#This Row],[Total PoP ]],WWWW[[#This Row],['# Functional hand washing stations during reporting period]]*100)</f>
        <v>0</v>
      </c>
      <c r="DI357" s="645" t="str">
        <f>IF(WWWW[[#This Row],['#_students at TLS_CFS]]="","No","Yes")</f>
        <v>No</v>
      </c>
      <c r="DJ357" s="643">
        <f>VLOOKUP(WWWW[[#This Row],[Site Name]],SiteDB6[[Site Name]:[CCCM Management]],6,FALSE)</f>
        <v>0</v>
      </c>
      <c r="DK357" s="643">
        <f>VLOOKUP(WWWW[[#This Row],[Site Name]],SiteDB6[[Site Name]:[CCCM Focal Agency]],7,FALSE)</f>
        <v>0</v>
      </c>
      <c r="DL357" s="643" t="str">
        <f>VLOOKUP(WWWW[[#This Row],[Site Name]],SiteDB6[[Site Name]:[Location Type 1]],9,FALSE)</f>
        <v>Village</v>
      </c>
      <c r="DM357" s="643" t="str">
        <f>VLOOKUP(WWWW[[#This Row],[Site Name]],SiteDB6[[Site Name]:[Type of Accommodation]],10,FALSE)</f>
        <v>Village_Not HRP</v>
      </c>
      <c r="DN357" s="643" t="str">
        <f>VLOOKUP(WWWW[[#This Row],[Site Name]],SiteDB6[[Site Name]:[Ethnic or GCA/NGCA]],11,FALSE)</f>
        <v>Mro</v>
      </c>
      <c r="DO357" s="643">
        <f>VLOOKUP(WWWW[[#This Row],[Site Name]],SiteDB6[[Site Name]:[Lat]],12,FALSE)</f>
        <v>20.809240339999999</v>
      </c>
      <c r="DP357" s="643">
        <f>VLOOKUP(WWWW[[#This Row],[Site Name]],SiteDB6[[Site Name]:[Long]],13,FALSE)</f>
        <v>92.923919679999997</v>
      </c>
      <c r="DQ357" s="643">
        <f>VLOOKUP(WWWW[[#This Row],[Site Name]],SiteDB6[[Site Name]:[Pcode]],3,FALSE)</f>
        <v>196881</v>
      </c>
      <c r="DR357" s="652" t="str">
        <f t="shared" si="12"/>
        <v>Covered</v>
      </c>
      <c r="DS357" s="652"/>
    </row>
    <row r="358" spans="1:123">
      <c r="A358" s="637" t="s">
        <v>2525</v>
      </c>
      <c r="B358" s="637" t="s">
        <v>336</v>
      </c>
      <c r="C358" s="644" t="s">
        <v>336</v>
      </c>
      <c r="D358" s="644" t="s">
        <v>352</v>
      </c>
      <c r="E358" s="663" t="s">
        <v>3014</v>
      </c>
      <c r="F358" s="644" t="s">
        <v>320</v>
      </c>
      <c r="G358" s="663" t="str">
        <f>VLOOKUP(WWWW[[#This Row],[Site Name]],SiteDB6[[Site Name]:[Location Type]],8,FALSE)</f>
        <v>Village_Not HRP</v>
      </c>
      <c r="H358" s="644" t="s">
        <v>633</v>
      </c>
      <c r="I358" s="646">
        <v>42</v>
      </c>
      <c r="J358" s="646">
        <v>184</v>
      </c>
      <c r="K358" s="653">
        <v>42887</v>
      </c>
      <c r="L358" s="654">
        <v>43616</v>
      </c>
      <c r="M358" s="646"/>
      <c r="N358" s="646"/>
      <c r="O358" s="646"/>
      <c r="P358" s="646"/>
      <c r="Q358" s="645"/>
      <c r="R358" s="646"/>
      <c r="S358" s="646"/>
      <c r="T358" s="646"/>
      <c r="U358" s="646"/>
      <c r="V358" s="646"/>
      <c r="W358" s="646"/>
      <c r="X358" s="646"/>
      <c r="Y358" s="646"/>
      <c r="Z358" s="646"/>
      <c r="AA358" s="646"/>
      <c r="AB358" s="646"/>
      <c r="AC358" s="646"/>
      <c r="AD358" s="646"/>
      <c r="AE358" s="646">
        <v>1</v>
      </c>
      <c r="AF358" s="646"/>
      <c r="AG358" s="646"/>
      <c r="AH358" s="646"/>
      <c r="AI358" s="646"/>
      <c r="AJ358" s="646"/>
      <c r="AK358" s="646"/>
      <c r="AL358" s="646"/>
      <c r="AM358" s="646"/>
      <c r="AN358" s="646"/>
      <c r="AO358" s="703" t="s">
        <v>2961</v>
      </c>
      <c r="AP358" s="646"/>
      <c r="AQ358" s="646"/>
      <c r="AR358" s="648"/>
      <c r="AS358" s="646"/>
      <c r="AT358" s="646"/>
      <c r="AU358" s="646"/>
      <c r="AV358" s="646"/>
      <c r="AW358" s="646"/>
      <c r="AX358" s="643"/>
      <c r="AY358" s="652"/>
      <c r="AZ358" s="646"/>
      <c r="BA358" s="646"/>
      <c r="BB358" s="646"/>
      <c r="BC358" s="643"/>
      <c r="BD358" s="646"/>
      <c r="BE358" s="646"/>
      <c r="BF358" s="646"/>
      <c r="BG358" s="646"/>
      <c r="BH358" s="646"/>
      <c r="BI358" s="646"/>
      <c r="BJ358" s="646"/>
      <c r="BK358" s="646"/>
      <c r="BL358" s="646"/>
      <c r="BM358" s="643"/>
      <c r="BN358" s="647"/>
      <c r="BO358" s="648"/>
      <c r="BP358" s="643"/>
      <c r="BQ358" s="649" t="str">
        <f>IFERROR(WWWW[[#This Row],['#_Water sources treated]]/WWWW[[#This Row],['#_Water sources tested for contamination]],"no test")</f>
        <v>no test</v>
      </c>
      <c r="BR358" s="648" t="str">
        <f>IFERROR(WWWW[[#This Row],['#_Household received remediation action due to contamination]]/WWWW[[#This Row],['#_Household water samples tested for contamination]],"no test")</f>
        <v>no test</v>
      </c>
      <c r="BS358" s="647" t="str">
        <f>IF(AND(WWWW[[#This Row],[% of water sources treated]]="no test",WWWW[[#This Row],[% Household received corrective actions]]="no test"),"No Test","Tested")</f>
        <v>No Test</v>
      </c>
      <c r="BT358" s="647">
        <f>WWWW[[#This Row],['#_Constructed/existing protected hand dug well]]-WWWW[[#This Row],['#_Non-functional protected hand dug well]]</f>
        <v>0</v>
      </c>
      <c r="BU358" s="647">
        <f>(WWWW[[#This Row],['#_Constructed/Existing tube wells/boreholes/handpumps_WASH_agency]]+WWWW[[#This Row],['#_Non-Cluster partner water tube-wells/boreholes/handpumps]])-WWWW[[#This Row],['#_Non-functional tube wells/boreholes/handpumps]]</f>
        <v>0</v>
      </c>
      <c r="BV358" s="647">
        <f>WWWW[[#This Row],['#_Constructed/Existingwater storage tank with gravity fed reticulation system]]-WWWW[[#This Row],['#_Non-functional storage tank gravity fed reticulation system]]</f>
        <v>0</v>
      </c>
      <c r="BW358" s="647">
        <f>WWWW[[#This Row],['#_Water boating or water trucking]]</f>
        <v>0</v>
      </c>
      <c r="BX358" s="647">
        <f>WWWW[[#This Row],['#_Constructed/Existing water distribution system from river or natural spring]]</f>
        <v>0</v>
      </c>
      <c r="BY358"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58"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58" s="648">
        <f>IF(WWWW[[#This Row],[Location Type 1]]="Village",WWWW[[#This Row],[Access to safe drinking water for Village]],WWWW[[#This Row],[Access to safe drinking water for Camp]])</f>
        <v>0</v>
      </c>
      <c r="CB358" s="645">
        <f>WWWW[[#This Row],[%Equitable and continuous access to sufficient quantity of safe drinking water]]*WWWW[[#This Row],[Total PoP ]]</f>
        <v>0</v>
      </c>
      <c r="CC358" s="648">
        <f>IF((WWWW[[#This Row],['#_Constructed/Existing protected/fenced ponds]]*250)/WWWW[[#This Row],[Total PoP ]]&gt;1,1,(WWWW[[#This Row],['#_Constructed/Existing protected/fenced ponds]]*250)/WWWW[[#This Row],[Total PoP ]])</f>
        <v>1</v>
      </c>
      <c r="CD358" s="645">
        <f>WWWW[[#This Row],[% Access to unimproved water points]]*WWWW[[#This Row],[Total PoP ]]</f>
        <v>184</v>
      </c>
      <c r="CE358"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58"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184</v>
      </c>
      <c r="CG358" s="645">
        <f>WWWW[[#This Row],[HRP1]]/500</f>
        <v>0.36799999999999999</v>
      </c>
      <c r="CH358" s="650">
        <f>1-WWWW[[#This Row],[% Equitable and continuous access to sufficient quantity of domestic water]]</f>
        <v>0</v>
      </c>
      <c r="CI358" s="645">
        <f>WWWW[[#This Row],[%equitable and continuous access to sufficient quantity of safe drinking and domestic water''s GAP]]*WWWW[[#This Row],[Total PoP ]]</f>
        <v>0</v>
      </c>
      <c r="CJ358" s="647">
        <f>IF(WWWW[[#This Row],[Total required water points]]-WWWW[[#This Row],['#Water points coverage]]&lt;0,0,WWWW[[#This Row],[Total required water points]]-WWWW[[#This Row],['#Water points coverage]])</f>
        <v>0.63200000000000001</v>
      </c>
      <c r="CK358" s="647">
        <f>ROUND(IF(WWWW[[#This Row],[Total PoP ]]&lt;500,1,WWWW[[#This Row],[Total PoP ]]/500),0)</f>
        <v>1</v>
      </c>
      <c r="CL358" s="647">
        <f>(WWWW[[#This Row],['#_Constructed latrines_by_WASHAgencies]]+WWWW[[#This Row],['#_Non Cluster partner latrines]])-WWWW[[#This Row],['#_Non-functional latrines]]</f>
        <v>0</v>
      </c>
      <c r="CM358"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58"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58"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58" s="647" t="str">
        <f>IF(WWWW[[#This Row],[Location Type 1]]="Village","NA",IF(WWWW[[#This Row],['#_Constructed/Existing latrines in TLS]]*50&gt;WWWW[[#This Row],['#_students at TLS_CFS]],WWWW[[#This Row],['#_students at TLS_CFS]],(WWWW[[#This Row],['#_Constructed/Existing latrines in TLS]]*50)))</f>
        <v>NA</v>
      </c>
      <c r="CQ358" s="647">
        <f>ROUND(IF(WWWW[[#This Row],[Location Type 1]]="camp",WWWW[[#This Row],[Total PoP ]]/20,IF(WWWW[[#This Row],[Location Type 1]]="Temporary Location",WWWW[[#This Row],[Total PoP ]]/50,(WWWW[[#This Row],[Total PoP ]]/6))),0)</f>
        <v>31</v>
      </c>
      <c r="CR358" s="647">
        <f>IF(WWWW[[#This Row],[Total required Latrines]]-(WWWW[[#This Row],['#_Constructed latrines_by_WASHAgencies]]+WWWW[[#This Row],['#_Non Cluster partner latrines]])&lt;0,0,WWWW[[#This Row],[Total required Latrines]]-(WWWW[[#This Row],['#_Constructed latrines_by_WASHAgencies]]+WWWW[[#This Row],['#_Non Cluster partner latrines]]))</f>
        <v>31</v>
      </c>
      <c r="CS358" s="79">
        <f>1-WWWW[[#This Row],[% people access to functioning Latrine]]</f>
        <v>1</v>
      </c>
      <c r="CT358" s="649">
        <f>IF(OR(WWWW[[#This Row],['#_Non-functional latrines]]="",WWWW[[#This Row],['#_Non-functional latrines]]=0),0,WWWW[[#This Row],['#_Non-functional latrines]]/(WWWW[[#This Row],['#_Constructed latrines_by_WASHAgencies]]+WWWW[[#This Row],['#_Non Cluster partner latrines]]))</f>
        <v>0</v>
      </c>
      <c r="CU358" s="645">
        <f>IF(500*(WWWW[[#This Row],['#_male hygiene promoters]]+WWWW[[#This Row],['#_female hygiene promoters]])&gt;WWWW[[#This Row],[Total PoP ]],WWWW[[#This Row],[Total PoP ]],500*(WWWW[[#This Row],['#_male hygiene promoters]]+WWWW[[#This Row],['#_female hygiene promoters]]))</f>
        <v>0</v>
      </c>
      <c r="CV358"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58"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58" s="647">
        <f>IF(WWWW[[#This Row],['# People with access to soap]]&gt;WWWW[[#This Row],['# People with access to Sanity Pads]],WWWW[[#This Row],['# People with access to soap]],WWWW[[#This Row],['# People with access to Sanity Pads]])</f>
        <v>0</v>
      </c>
      <c r="CY358"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58" s="650">
        <f>IF(WWWW[[#This Row],[HRP3]]/WWWW[[#This Row],[Total PoP ]]&gt;100%,100%,WWWW[[#This Row],[HRP3]]/WWWW[[#This Row],[Total PoP ]])</f>
        <v>0</v>
      </c>
      <c r="DA358" s="649">
        <f>1-WWWW[[#This Row],[Hygiene Coverage%]]</f>
        <v>1</v>
      </c>
      <c r="DB358" s="648">
        <f>WWWW[[#This Row],['# people reached by regular dedicated hygiene promotion_5]]/WWWW[[#This Row],[Total PoP ]]</f>
        <v>0</v>
      </c>
      <c r="DC358" s="648">
        <f>IF(WWWW[[#This Row],['#_households that received standard amount of soap for this quarter]]/WWWW[[#This Row],[Total HH]]&gt;1,1,WWWW[[#This Row],['#_households that received standard amount of soap for this quarter]]/WWWW[[#This Row],[Total HH]])</f>
        <v>0</v>
      </c>
      <c r="DD358" s="648">
        <f>IF(WWWW[[#This Row],['#_households that received standard amount of sanitary pads for this quarter]]/WWWW[[#This Row],[Total HH]]&gt;1,1,WWWW[[#This Row],['#_households that received standard amount of sanitary pads for this quarter]]/WWWW[[#This Row],[Total HH]])</f>
        <v>0</v>
      </c>
      <c r="DE358" s="647">
        <f>WWWW[[#This Row],['#_Constructed/Existing hand washing stations]]-WWWW[[#This Row],['#_Non-Functional_hand_washing_stations]]</f>
        <v>0</v>
      </c>
      <c r="DF358" s="667">
        <f>IF(WWWW[[#This Row],['# Functional hand washing stations during reporting period]]*20&gt;WWWW[[#This Row],[Total HH]],WWWW[[#This Row],[Total HH]],WWWW[[#This Row],['# Functional hand washing stations during reporting period]]*20)</f>
        <v>0</v>
      </c>
      <c r="DG358" s="645">
        <f>IF(WWWW[[#This Row],[Is sufficient soap available for TLS? (Yes/No)]]="yes",WWWW[[#This Row],['#_Constructed/Existing hand washing stations at TLS]],0)</f>
        <v>0</v>
      </c>
      <c r="DH358" s="645">
        <f>IF(WWWW[[#This Row],['# Functional hand washing stations during reporting period]]*100&gt;WWWW[[#This Row],[Total PoP ]],WWWW[[#This Row],[Total PoP ]],WWWW[[#This Row],['# Functional hand washing stations during reporting period]]*100)</f>
        <v>0</v>
      </c>
      <c r="DI358" s="645" t="str">
        <f>IF(WWWW[[#This Row],['#_students at TLS_CFS]]="","No","Yes")</f>
        <v>No</v>
      </c>
      <c r="DJ358" s="643">
        <f>VLOOKUP(WWWW[[#This Row],[Site Name]],SiteDB6[[Site Name]:[CCCM Management]],6,FALSE)</f>
        <v>0</v>
      </c>
      <c r="DK358" s="643">
        <f>VLOOKUP(WWWW[[#This Row],[Site Name]],SiteDB6[[Site Name]:[CCCM Focal Agency]],7,FALSE)</f>
        <v>0</v>
      </c>
      <c r="DL358" s="643" t="str">
        <f>VLOOKUP(WWWW[[#This Row],[Site Name]],SiteDB6[[Site Name]:[Location Type 1]],9,FALSE)</f>
        <v>Village</v>
      </c>
      <c r="DM358" s="643" t="str">
        <f>VLOOKUP(WWWW[[#This Row],[Site Name]],SiteDB6[[Site Name]:[Type of Accommodation]],10,FALSE)</f>
        <v>Village_Not HRP</v>
      </c>
      <c r="DN358" s="643" t="str">
        <f>VLOOKUP(WWWW[[#This Row],[Site Name]],SiteDB6[[Site Name]:[Ethnic or GCA/NGCA]],11,FALSE)</f>
        <v>Mro</v>
      </c>
      <c r="DO358" s="643">
        <f>VLOOKUP(WWWW[[#This Row],[Site Name]],SiteDB6[[Site Name]:[Lat]],12,FALSE)</f>
        <v>20.807970050000002</v>
      </c>
      <c r="DP358" s="643">
        <f>VLOOKUP(WWWW[[#This Row],[Site Name]],SiteDB6[[Site Name]:[Long]],13,FALSE)</f>
        <v>92.929046630000002</v>
      </c>
      <c r="DQ358" s="643">
        <f>VLOOKUP(WWWW[[#This Row],[Site Name]],SiteDB6[[Site Name]:[Pcode]],3,FALSE)</f>
        <v>196882</v>
      </c>
      <c r="DR358" s="652" t="str">
        <f t="shared" si="12"/>
        <v>Covered</v>
      </c>
      <c r="DS358" s="652"/>
    </row>
    <row r="359" spans="1:123">
      <c r="A359" s="637" t="s">
        <v>2525</v>
      </c>
      <c r="B359" s="637" t="s">
        <v>336</v>
      </c>
      <c r="C359" s="644" t="s">
        <v>336</v>
      </c>
      <c r="D359" s="644" t="s">
        <v>352</v>
      </c>
      <c r="E359" s="663" t="s">
        <v>3014</v>
      </c>
      <c r="F359" s="644" t="s">
        <v>320</v>
      </c>
      <c r="G359" s="663" t="str">
        <f>VLOOKUP(WWWW[[#This Row],[Site Name]],SiteDB6[[Site Name]:[Location Type]],8,FALSE)</f>
        <v>Village_Not HRP</v>
      </c>
      <c r="H359" s="644" t="s">
        <v>625</v>
      </c>
      <c r="I359" s="646">
        <v>73</v>
      </c>
      <c r="J359" s="646">
        <v>343</v>
      </c>
      <c r="K359" s="653">
        <v>42887</v>
      </c>
      <c r="L359" s="654">
        <v>43616</v>
      </c>
      <c r="M359" s="646"/>
      <c r="N359" s="646"/>
      <c r="O359" s="646"/>
      <c r="P359" s="646"/>
      <c r="Q359" s="645"/>
      <c r="R359" s="646"/>
      <c r="S359" s="646"/>
      <c r="T359" s="646"/>
      <c r="U359" s="646"/>
      <c r="V359" s="646"/>
      <c r="W359" s="646"/>
      <c r="X359" s="646"/>
      <c r="Y359" s="646"/>
      <c r="Z359" s="646"/>
      <c r="AA359" s="646"/>
      <c r="AB359" s="646"/>
      <c r="AC359" s="646"/>
      <c r="AD359" s="646"/>
      <c r="AE359" s="646"/>
      <c r="AF359" s="646"/>
      <c r="AG359" s="646"/>
      <c r="AH359" s="646"/>
      <c r="AI359" s="646"/>
      <c r="AJ359" s="646"/>
      <c r="AK359" s="646"/>
      <c r="AL359" s="646"/>
      <c r="AM359" s="646"/>
      <c r="AN359" s="646"/>
      <c r="AO359" s="652"/>
      <c r="AP359" s="646"/>
      <c r="AQ359" s="646"/>
      <c r="AR359" s="648"/>
      <c r="AS359" s="646"/>
      <c r="AT359" s="646"/>
      <c r="AU359" s="646"/>
      <c r="AV359" s="646"/>
      <c r="AW359" s="646"/>
      <c r="AX359" s="643"/>
      <c r="AY359" s="652"/>
      <c r="AZ359" s="646"/>
      <c r="BA359" s="646"/>
      <c r="BB359" s="646"/>
      <c r="BC359" s="643"/>
      <c r="BD359" s="646"/>
      <c r="BE359" s="646"/>
      <c r="BF359" s="646"/>
      <c r="BG359" s="646"/>
      <c r="BH359" s="646"/>
      <c r="BI359" s="646"/>
      <c r="BJ359" s="646"/>
      <c r="BK359" s="646"/>
      <c r="BL359" s="646"/>
      <c r="BM359" s="643"/>
      <c r="BN359" s="647"/>
      <c r="BO359" s="648"/>
      <c r="BP359" s="643"/>
      <c r="BQ359" s="649" t="str">
        <f>IFERROR(WWWW[[#This Row],['#_Water sources treated]]/WWWW[[#This Row],['#_Water sources tested for contamination]],"no test")</f>
        <v>no test</v>
      </c>
      <c r="BR359" s="648" t="str">
        <f>IFERROR(WWWW[[#This Row],['#_Household received remediation action due to contamination]]/WWWW[[#This Row],['#_Household water samples tested for contamination]],"no test")</f>
        <v>no test</v>
      </c>
      <c r="BS359" s="647" t="str">
        <f>IF(AND(WWWW[[#This Row],[% of water sources treated]]="no test",WWWW[[#This Row],[% Household received corrective actions]]="no test"),"No Test","Tested")</f>
        <v>No Test</v>
      </c>
      <c r="BT359" s="647">
        <f>WWWW[[#This Row],['#_Constructed/existing protected hand dug well]]-WWWW[[#This Row],['#_Non-functional protected hand dug well]]</f>
        <v>0</v>
      </c>
      <c r="BU359" s="647">
        <f>(WWWW[[#This Row],['#_Constructed/Existing tube wells/boreholes/handpumps_WASH_agency]]+WWWW[[#This Row],['#_Non-Cluster partner water tube-wells/boreholes/handpumps]])-WWWW[[#This Row],['#_Non-functional tube wells/boreholes/handpumps]]</f>
        <v>0</v>
      </c>
      <c r="BV359" s="647">
        <f>WWWW[[#This Row],['#_Constructed/Existingwater storage tank with gravity fed reticulation system]]-WWWW[[#This Row],['#_Non-functional storage tank gravity fed reticulation system]]</f>
        <v>0</v>
      </c>
      <c r="BW359" s="647">
        <f>WWWW[[#This Row],['#_Water boating or water trucking]]</f>
        <v>0</v>
      </c>
      <c r="BX359" s="647">
        <f>WWWW[[#This Row],['#_Constructed/Existing water distribution system from river or natural spring]]</f>
        <v>0</v>
      </c>
      <c r="BY359"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59"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59" s="648">
        <f>IF(WWWW[[#This Row],[Location Type 1]]="Village",WWWW[[#This Row],[Access to safe drinking water for Village]],WWWW[[#This Row],[Access to safe drinking water for Camp]])</f>
        <v>0</v>
      </c>
      <c r="CB359" s="645">
        <f>WWWW[[#This Row],[%Equitable and continuous access to sufficient quantity of safe drinking water]]*WWWW[[#This Row],[Total PoP ]]</f>
        <v>0</v>
      </c>
      <c r="CC359" s="648">
        <f>IF((WWWW[[#This Row],['#_Constructed/Existing protected/fenced ponds]]*250)/WWWW[[#This Row],[Total PoP ]]&gt;1,1,(WWWW[[#This Row],['#_Constructed/Existing protected/fenced ponds]]*250)/WWWW[[#This Row],[Total PoP ]])</f>
        <v>0</v>
      </c>
      <c r="CD359" s="645">
        <f>WWWW[[#This Row],[% Access to unimproved water points]]*WWWW[[#This Row],[Total PoP ]]</f>
        <v>0</v>
      </c>
      <c r="CE359"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59"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59" s="645">
        <f>WWWW[[#This Row],[HRP1]]/500</f>
        <v>0</v>
      </c>
      <c r="CH359" s="650">
        <f>1-WWWW[[#This Row],[% Equitable and continuous access to sufficient quantity of domestic water]]</f>
        <v>1</v>
      </c>
      <c r="CI359" s="645">
        <f>WWWW[[#This Row],[%equitable and continuous access to sufficient quantity of safe drinking and domestic water''s GAP]]*WWWW[[#This Row],[Total PoP ]]</f>
        <v>343</v>
      </c>
      <c r="CJ359" s="647">
        <f>IF(WWWW[[#This Row],[Total required water points]]-WWWW[[#This Row],['#Water points coverage]]&lt;0,0,WWWW[[#This Row],[Total required water points]]-WWWW[[#This Row],['#Water points coverage]])</f>
        <v>1</v>
      </c>
      <c r="CK359" s="647">
        <f>ROUND(IF(WWWW[[#This Row],[Total PoP ]]&lt;500,1,WWWW[[#This Row],[Total PoP ]]/500),0)</f>
        <v>1</v>
      </c>
      <c r="CL359" s="647">
        <f>(WWWW[[#This Row],['#_Constructed latrines_by_WASHAgencies]]+WWWW[[#This Row],['#_Non Cluster partner latrines]])-WWWW[[#This Row],['#_Non-functional latrines]]</f>
        <v>0</v>
      </c>
      <c r="CM359"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59"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59"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59" s="647" t="str">
        <f>IF(WWWW[[#This Row],[Location Type 1]]="Village","NA",IF(WWWW[[#This Row],['#_Constructed/Existing latrines in TLS]]*50&gt;WWWW[[#This Row],['#_students at TLS_CFS]],WWWW[[#This Row],['#_students at TLS_CFS]],(WWWW[[#This Row],['#_Constructed/Existing latrines in TLS]]*50)))</f>
        <v>NA</v>
      </c>
      <c r="CQ359" s="647">
        <f>ROUND(IF(WWWW[[#This Row],[Location Type 1]]="camp",WWWW[[#This Row],[Total PoP ]]/20,IF(WWWW[[#This Row],[Location Type 1]]="Temporary Location",WWWW[[#This Row],[Total PoP ]]/50,(WWWW[[#This Row],[Total PoP ]]/6))),0)</f>
        <v>57</v>
      </c>
      <c r="CR359" s="647">
        <f>IF(WWWW[[#This Row],[Total required Latrines]]-(WWWW[[#This Row],['#_Constructed latrines_by_WASHAgencies]]+WWWW[[#This Row],['#_Non Cluster partner latrines]])&lt;0,0,WWWW[[#This Row],[Total required Latrines]]-(WWWW[[#This Row],['#_Constructed latrines_by_WASHAgencies]]+WWWW[[#This Row],['#_Non Cluster partner latrines]]))</f>
        <v>57</v>
      </c>
      <c r="CS359" s="79">
        <f>1-WWWW[[#This Row],[% people access to functioning Latrine]]</f>
        <v>1</v>
      </c>
      <c r="CT359" s="649">
        <f>IF(OR(WWWW[[#This Row],['#_Non-functional latrines]]="",WWWW[[#This Row],['#_Non-functional latrines]]=0),0,WWWW[[#This Row],['#_Non-functional latrines]]/(WWWW[[#This Row],['#_Constructed latrines_by_WASHAgencies]]+WWWW[[#This Row],['#_Non Cluster partner latrines]]))</f>
        <v>0</v>
      </c>
      <c r="CU359" s="645">
        <f>IF(500*(WWWW[[#This Row],['#_male hygiene promoters]]+WWWW[[#This Row],['#_female hygiene promoters]])&gt;WWWW[[#This Row],[Total PoP ]],WWWW[[#This Row],[Total PoP ]],500*(WWWW[[#This Row],['#_male hygiene promoters]]+WWWW[[#This Row],['#_female hygiene promoters]]))</f>
        <v>0</v>
      </c>
      <c r="CV359"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59"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59" s="647">
        <f>IF(WWWW[[#This Row],['# People with access to soap]]&gt;WWWW[[#This Row],['# People with access to Sanity Pads]],WWWW[[#This Row],['# People with access to soap]],WWWW[[#This Row],['# People with access to Sanity Pads]])</f>
        <v>0</v>
      </c>
      <c r="CY359"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59" s="650">
        <f>IF(WWWW[[#This Row],[HRP3]]/WWWW[[#This Row],[Total PoP ]]&gt;100%,100%,WWWW[[#This Row],[HRP3]]/WWWW[[#This Row],[Total PoP ]])</f>
        <v>0</v>
      </c>
      <c r="DA359" s="649">
        <f>1-WWWW[[#This Row],[Hygiene Coverage%]]</f>
        <v>1</v>
      </c>
      <c r="DB359" s="648">
        <f>WWWW[[#This Row],['# people reached by regular dedicated hygiene promotion_5]]/WWWW[[#This Row],[Total PoP ]]</f>
        <v>0</v>
      </c>
      <c r="DC359" s="648">
        <f>IF(WWWW[[#This Row],['#_households that received standard amount of soap for this quarter]]/WWWW[[#This Row],[Total HH]]&gt;1,1,WWWW[[#This Row],['#_households that received standard amount of soap for this quarter]]/WWWW[[#This Row],[Total HH]])</f>
        <v>0</v>
      </c>
      <c r="DD359" s="648">
        <f>IF(WWWW[[#This Row],['#_households that received standard amount of sanitary pads for this quarter]]/WWWW[[#This Row],[Total HH]]&gt;1,1,WWWW[[#This Row],['#_households that received standard amount of sanitary pads for this quarter]]/WWWW[[#This Row],[Total HH]])</f>
        <v>0</v>
      </c>
      <c r="DE359" s="647">
        <f>WWWW[[#This Row],['#_Constructed/Existing hand washing stations]]-WWWW[[#This Row],['#_Non-Functional_hand_washing_stations]]</f>
        <v>0</v>
      </c>
      <c r="DF359" s="667">
        <f>IF(WWWW[[#This Row],['# Functional hand washing stations during reporting period]]*20&gt;WWWW[[#This Row],[Total HH]],WWWW[[#This Row],[Total HH]],WWWW[[#This Row],['# Functional hand washing stations during reporting period]]*20)</f>
        <v>0</v>
      </c>
      <c r="DG359" s="645">
        <f>IF(WWWW[[#This Row],[Is sufficient soap available for TLS? (Yes/No)]]="yes",WWWW[[#This Row],['#_Constructed/Existing hand washing stations at TLS]],0)</f>
        <v>0</v>
      </c>
      <c r="DH359" s="645">
        <f>IF(WWWW[[#This Row],['# Functional hand washing stations during reporting period]]*100&gt;WWWW[[#This Row],[Total PoP ]],WWWW[[#This Row],[Total PoP ]],WWWW[[#This Row],['# Functional hand washing stations during reporting period]]*100)</f>
        <v>0</v>
      </c>
      <c r="DI359" s="645" t="str">
        <f>IF(WWWW[[#This Row],['#_students at TLS_CFS]]="","No","Yes")</f>
        <v>No</v>
      </c>
      <c r="DJ359" s="643">
        <f>VLOOKUP(WWWW[[#This Row],[Site Name]],SiteDB6[[Site Name]:[CCCM Management]],6,FALSE)</f>
        <v>0</v>
      </c>
      <c r="DK359" s="643">
        <f>VLOOKUP(WWWW[[#This Row],[Site Name]],SiteDB6[[Site Name]:[CCCM Focal Agency]],7,FALSE)</f>
        <v>0</v>
      </c>
      <c r="DL359" s="643" t="str">
        <f>VLOOKUP(WWWW[[#This Row],[Site Name]],SiteDB6[[Site Name]:[Location Type 1]],9,FALSE)</f>
        <v>Village</v>
      </c>
      <c r="DM359" s="643" t="str">
        <f>VLOOKUP(WWWW[[#This Row],[Site Name]],SiteDB6[[Site Name]:[Type of Accommodation]],10,FALSE)</f>
        <v>Village_Not HRP</v>
      </c>
      <c r="DN359" s="643" t="str">
        <f>VLOOKUP(WWWW[[#This Row],[Site Name]],SiteDB6[[Site Name]:[Ethnic or GCA/NGCA]],11,FALSE)</f>
        <v>Mro</v>
      </c>
      <c r="DO359" s="643">
        <f>VLOOKUP(WWWW[[#This Row],[Site Name]],SiteDB6[[Site Name]:[Lat]],12,FALSE)</f>
        <v>20.803529739999998</v>
      </c>
      <c r="DP359" s="643">
        <f>VLOOKUP(WWWW[[#This Row],[Site Name]],SiteDB6[[Site Name]:[Long]],13,FALSE)</f>
        <v>92.929466250000004</v>
      </c>
      <c r="DQ359" s="643">
        <f>VLOOKUP(WWWW[[#This Row],[Site Name]],SiteDB6[[Site Name]:[Pcode]],3,FALSE)</f>
        <v>196883</v>
      </c>
      <c r="DR359" s="652" t="str">
        <f t="shared" si="12"/>
        <v>Covered</v>
      </c>
      <c r="DS359" s="652"/>
    </row>
    <row r="360" spans="1:123">
      <c r="A360" s="637" t="s">
        <v>2525</v>
      </c>
      <c r="B360" s="637" t="s">
        <v>336</v>
      </c>
      <c r="C360" s="644" t="s">
        <v>336</v>
      </c>
      <c r="D360" s="644" t="s">
        <v>352</v>
      </c>
      <c r="E360" s="663" t="s">
        <v>3014</v>
      </c>
      <c r="F360" s="644" t="s">
        <v>320</v>
      </c>
      <c r="G360" s="663" t="str">
        <f>VLOOKUP(WWWW[[#This Row],[Site Name]],SiteDB6[[Site Name]:[Location Type]],8,FALSE)</f>
        <v>Village</v>
      </c>
      <c r="H360" s="644" t="s">
        <v>654</v>
      </c>
      <c r="I360" s="646">
        <v>93</v>
      </c>
      <c r="J360" s="646">
        <v>415</v>
      </c>
      <c r="K360" s="653">
        <v>42887</v>
      </c>
      <c r="L360" s="654">
        <v>43616</v>
      </c>
      <c r="M360" s="646"/>
      <c r="N360" s="646"/>
      <c r="O360" s="646"/>
      <c r="P360" s="646"/>
      <c r="Q360" s="645"/>
      <c r="R360" s="646"/>
      <c r="S360" s="646"/>
      <c r="T360" s="646"/>
      <c r="U360" s="646"/>
      <c r="V360" s="646"/>
      <c r="W360" s="646"/>
      <c r="X360" s="646"/>
      <c r="Y360" s="646"/>
      <c r="Z360" s="646"/>
      <c r="AA360" s="646"/>
      <c r="AB360" s="646"/>
      <c r="AC360" s="646"/>
      <c r="AD360" s="646"/>
      <c r="AE360" s="646">
        <v>2</v>
      </c>
      <c r="AF360" s="646"/>
      <c r="AG360" s="646"/>
      <c r="AH360" s="646"/>
      <c r="AI360" s="646"/>
      <c r="AJ360" s="646"/>
      <c r="AK360" s="646"/>
      <c r="AL360" s="646"/>
      <c r="AM360" s="646"/>
      <c r="AN360" s="646"/>
      <c r="AO360" s="703" t="s">
        <v>2961</v>
      </c>
      <c r="AP360" s="646"/>
      <c r="AQ360" s="646"/>
      <c r="AR360" s="648"/>
      <c r="AS360" s="646"/>
      <c r="AT360" s="646"/>
      <c r="AU360" s="646"/>
      <c r="AV360" s="646"/>
      <c r="AW360" s="646"/>
      <c r="AX360" s="643"/>
      <c r="AY360" s="652"/>
      <c r="AZ360" s="646"/>
      <c r="BA360" s="646"/>
      <c r="BB360" s="646"/>
      <c r="BC360" s="643"/>
      <c r="BD360" s="646"/>
      <c r="BE360" s="646"/>
      <c r="BF360" s="646"/>
      <c r="BG360" s="646"/>
      <c r="BH360" s="646"/>
      <c r="BI360" s="646"/>
      <c r="BJ360" s="646"/>
      <c r="BK360" s="646"/>
      <c r="BL360" s="646"/>
      <c r="BM360" s="643"/>
      <c r="BN360" s="647"/>
      <c r="BO360" s="648"/>
      <c r="BP360" s="643"/>
      <c r="BQ360" s="649" t="str">
        <f>IFERROR(WWWW[[#This Row],['#_Water sources treated]]/WWWW[[#This Row],['#_Water sources tested for contamination]],"no test")</f>
        <v>no test</v>
      </c>
      <c r="BR360" s="648" t="str">
        <f>IFERROR(WWWW[[#This Row],['#_Household received remediation action due to contamination]]/WWWW[[#This Row],['#_Household water samples tested for contamination]],"no test")</f>
        <v>no test</v>
      </c>
      <c r="BS360" s="647" t="str">
        <f>IF(AND(WWWW[[#This Row],[% of water sources treated]]="no test",WWWW[[#This Row],[% Household received corrective actions]]="no test"),"No Test","Tested")</f>
        <v>No Test</v>
      </c>
      <c r="BT360" s="647">
        <f>WWWW[[#This Row],['#_Constructed/existing protected hand dug well]]-WWWW[[#This Row],['#_Non-functional protected hand dug well]]</f>
        <v>0</v>
      </c>
      <c r="BU360" s="647">
        <f>(WWWW[[#This Row],['#_Constructed/Existing tube wells/boreholes/handpumps_WASH_agency]]+WWWW[[#This Row],['#_Non-Cluster partner water tube-wells/boreholes/handpumps]])-WWWW[[#This Row],['#_Non-functional tube wells/boreholes/handpumps]]</f>
        <v>0</v>
      </c>
      <c r="BV360" s="647">
        <f>WWWW[[#This Row],['#_Constructed/Existingwater storage tank with gravity fed reticulation system]]-WWWW[[#This Row],['#_Non-functional storage tank gravity fed reticulation system]]</f>
        <v>0</v>
      </c>
      <c r="BW360" s="647">
        <f>WWWW[[#This Row],['#_Water boating or water trucking]]</f>
        <v>0</v>
      </c>
      <c r="BX360" s="647">
        <f>WWWW[[#This Row],['#_Constructed/Existing water distribution system from river or natural spring]]</f>
        <v>0</v>
      </c>
      <c r="BY360"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60"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60" s="648">
        <f>IF(WWWW[[#This Row],[Location Type 1]]="Village",WWWW[[#This Row],[Access to safe drinking water for Village]],WWWW[[#This Row],[Access to safe drinking water for Camp]])</f>
        <v>0</v>
      </c>
      <c r="CB360" s="645">
        <f>WWWW[[#This Row],[%Equitable and continuous access to sufficient quantity of safe drinking water]]*WWWW[[#This Row],[Total PoP ]]</f>
        <v>0</v>
      </c>
      <c r="CC360" s="648">
        <f>IF((WWWW[[#This Row],['#_Constructed/Existing protected/fenced ponds]]*250)/WWWW[[#This Row],[Total PoP ]]&gt;1,1,(WWWW[[#This Row],['#_Constructed/Existing protected/fenced ponds]]*250)/WWWW[[#This Row],[Total PoP ]])</f>
        <v>1</v>
      </c>
      <c r="CD360" s="645">
        <f>WWWW[[#This Row],[% Access to unimproved water points]]*WWWW[[#This Row],[Total PoP ]]</f>
        <v>415</v>
      </c>
      <c r="CE360"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60"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415</v>
      </c>
      <c r="CG360" s="645">
        <f>WWWW[[#This Row],[HRP1]]/500</f>
        <v>0.83</v>
      </c>
      <c r="CH360" s="650">
        <f>1-WWWW[[#This Row],[% Equitable and continuous access to sufficient quantity of domestic water]]</f>
        <v>0</v>
      </c>
      <c r="CI360" s="645">
        <f>WWWW[[#This Row],[%equitable and continuous access to sufficient quantity of safe drinking and domestic water''s GAP]]*WWWW[[#This Row],[Total PoP ]]</f>
        <v>0</v>
      </c>
      <c r="CJ360" s="647">
        <f>IF(WWWW[[#This Row],[Total required water points]]-WWWW[[#This Row],['#Water points coverage]]&lt;0,0,WWWW[[#This Row],[Total required water points]]-WWWW[[#This Row],['#Water points coverage]])</f>
        <v>0.17000000000000004</v>
      </c>
      <c r="CK360" s="647">
        <f>ROUND(IF(WWWW[[#This Row],[Total PoP ]]&lt;500,1,WWWW[[#This Row],[Total PoP ]]/500),0)</f>
        <v>1</v>
      </c>
      <c r="CL360" s="647">
        <f>(WWWW[[#This Row],['#_Constructed latrines_by_WASHAgencies]]+WWWW[[#This Row],['#_Non Cluster partner latrines]])-WWWW[[#This Row],['#_Non-functional latrines]]</f>
        <v>0</v>
      </c>
      <c r="CM360"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60"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60"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60" s="647" t="str">
        <f>IF(WWWW[[#This Row],[Location Type 1]]="Village","NA",IF(WWWW[[#This Row],['#_Constructed/Existing latrines in TLS]]*50&gt;WWWW[[#This Row],['#_students at TLS_CFS]],WWWW[[#This Row],['#_students at TLS_CFS]],(WWWW[[#This Row],['#_Constructed/Existing latrines in TLS]]*50)))</f>
        <v>NA</v>
      </c>
      <c r="CQ360" s="647">
        <f>ROUND(IF(WWWW[[#This Row],[Location Type 1]]="camp",WWWW[[#This Row],[Total PoP ]]/20,IF(WWWW[[#This Row],[Location Type 1]]="Temporary Location",WWWW[[#This Row],[Total PoP ]]/50,(WWWW[[#This Row],[Total PoP ]]/6))),0)</f>
        <v>69</v>
      </c>
      <c r="CR360" s="647">
        <f>IF(WWWW[[#This Row],[Total required Latrines]]-(WWWW[[#This Row],['#_Constructed latrines_by_WASHAgencies]]+WWWW[[#This Row],['#_Non Cluster partner latrines]])&lt;0,0,WWWW[[#This Row],[Total required Latrines]]-(WWWW[[#This Row],['#_Constructed latrines_by_WASHAgencies]]+WWWW[[#This Row],['#_Non Cluster partner latrines]]))</f>
        <v>69</v>
      </c>
      <c r="CS360" s="79">
        <f>1-WWWW[[#This Row],[% people access to functioning Latrine]]</f>
        <v>1</v>
      </c>
      <c r="CT360" s="649">
        <f>IF(OR(WWWW[[#This Row],['#_Non-functional latrines]]="",WWWW[[#This Row],['#_Non-functional latrines]]=0),0,WWWW[[#This Row],['#_Non-functional latrines]]/(WWWW[[#This Row],['#_Constructed latrines_by_WASHAgencies]]+WWWW[[#This Row],['#_Non Cluster partner latrines]]))</f>
        <v>0</v>
      </c>
      <c r="CU360" s="645">
        <f>IF(500*(WWWW[[#This Row],['#_male hygiene promoters]]+WWWW[[#This Row],['#_female hygiene promoters]])&gt;WWWW[[#This Row],[Total PoP ]],WWWW[[#This Row],[Total PoP ]],500*(WWWW[[#This Row],['#_male hygiene promoters]]+WWWW[[#This Row],['#_female hygiene promoters]]))</f>
        <v>0</v>
      </c>
      <c r="CV360"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60"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60" s="647">
        <f>IF(WWWW[[#This Row],['# People with access to soap]]&gt;WWWW[[#This Row],['# People with access to Sanity Pads]],WWWW[[#This Row],['# People with access to soap]],WWWW[[#This Row],['# People with access to Sanity Pads]])</f>
        <v>0</v>
      </c>
      <c r="CY360"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60" s="650">
        <f>IF(WWWW[[#This Row],[HRP3]]/WWWW[[#This Row],[Total PoP ]]&gt;100%,100%,WWWW[[#This Row],[HRP3]]/WWWW[[#This Row],[Total PoP ]])</f>
        <v>0</v>
      </c>
      <c r="DA360" s="649">
        <f>1-WWWW[[#This Row],[Hygiene Coverage%]]</f>
        <v>1</v>
      </c>
      <c r="DB360" s="648">
        <f>WWWW[[#This Row],['# people reached by regular dedicated hygiene promotion_5]]/WWWW[[#This Row],[Total PoP ]]</f>
        <v>0</v>
      </c>
      <c r="DC360" s="648">
        <f>IF(WWWW[[#This Row],['#_households that received standard amount of soap for this quarter]]/WWWW[[#This Row],[Total HH]]&gt;1,1,WWWW[[#This Row],['#_households that received standard amount of soap for this quarter]]/WWWW[[#This Row],[Total HH]])</f>
        <v>0</v>
      </c>
      <c r="DD360" s="648">
        <f>IF(WWWW[[#This Row],['#_households that received standard amount of sanitary pads for this quarter]]/WWWW[[#This Row],[Total HH]]&gt;1,1,WWWW[[#This Row],['#_households that received standard amount of sanitary pads for this quarter]]/WWWW[[#This Row],[Total HH]])</f>
        <v>0</v>
      </c>
      <c r="DE360" s="647">
        <f>WWWW[[#This Row],['#_Constructed/Existing hand washing stations]]-WWWW[[#This Row],['#_Non-Functional_hand_washing_stations]]</f>
        <v>0</v>
      </c>
      <c r="DF360" s="667">
        <f>IF(WWWW[[#This Row],['# Functional hand washing stations during reporting period]]*20&gt;WWWW[[#This Row],[Total HH]],WWWW[[#This Row],[Total HH]],WWWW[[#This Row],['# Functional hand washing stations during reporting period]]*20)</f>
        <v>0</v>
      </c>
      <c r="DG360" s="645">
        <f>IF(WWWW[[#This Row],[Is sufficient soap available for TLS? (Yes/No)]]="yes",WWWW[[#This Row],['#_Constructed/Existing hand washing stations at TLS]],0)</f>
        <v>0</v>
      </c>
      <c r="DH360" s="645">
        <f>IF(WWWW[[#This Row],['# Functional hand washing stations during reporting period]]*100&gt;WWWW[[#This Row],[Total PoP ]],WWWW[[#This Row],[Total PoP ]],WWWW[[#This Row],['# Functional hand washing stations during reporting period]]*100)</f>
        <v>0</v>
      </c>
      <c r="DI360" s="645" t="str">
        <f>IF(WWWW[[#This Row],['#_students at TLS_CFS]]="","No","Yes")</f>
        <v>No</v>
      </c>
      <c r="DJ360" s="643">
        <f>VLOOKUP(WWWW[[#This Row],[Site Name]],SiteDB6[[Site Name]:[CCCM Management]],6,FALSE)</f>
        <v>0</v>
      </c>
      <c r="DK360" s="643">
        <f>VLOOKUP(WWWW[[#This Row],[Site Name]],SiteDB6[[Site Name]:[CCCM Focal Agency]],7,FALSE)</f>
        <v>0</v>
      </c>
      <c r="DL360" s="643" t="str">
        <f>VLOOKUP(WWWW[[#This Row],[Site Name]],SiteDB6[[Site Name]:[Location Type 1]],9,FALSE)</f>
        <v>Village</v>
      </c>
      <c r="DM360" s="643" t="str">
        <f>VLOOKUP(WWWW[[#This Row],[Site Name]],SiteDB6[[Site Name]:[Type of Accommodation]],10,FALSE)</f>
        <v>Village</v>
      </c>
      <c r="DN360" s="643" t="str">
        <f>VLOOKUP(WWWW[[#This Row],[Site Name]],SiteDB6[[Site Name]:[Ethnic or GCA/NGCA]],11,FALSE)</f>
        <v>Mro</v>
      </c>
      <c r="DO360" s="643">
        <f>VLOOKUP(WWWW[[#This Row],[Site Name]],SiteDB6[[Site Name]:[Lat]],12,FALSE)</f>
        <v>20.855012890000001</v>
      </c>
      <c r="DP360" s="643">
        <f>VLOOKUP(WWWW[[#This Row],[Site Name]],SiteDB6[[Site Name]:[Long]],13,FALSE)</f>
        <v>92.91</v>
      </c>
      <c r="DQ360" s="643">
        <f>VLOOKUP(WWWW[[#This Row],[Site Name]],SiteDB6[[Site Name]:[Pcode]],3,FALSE)</f>
        <v>196824</v>
      </c>
      <c r="DR360" s="652" t="str">
        <f t="shared" si="12"/>
        <v>Covered</v>
      </c>
      <c r="DS360" s="652"/>
    </row>
    <row r="361" spans="1:123">
      <c r="A361" s="637" t="s">
        <v>2525</v>
      </c>
      <c r="B361" s="637" t="s">
        <v>336</v>
      </c>
      <c r="C361" s="644" t="s">
        <v>336</v>
      </c>
      <c r="D361" s="644" t="s">
        <v>352</v>
      </c>
      <c r="E361" s="663" t="s">
        <v>3014</v>
      </c>
      <c r="F361" s="644" t="s">
        <v>320</v>
      </c>
      <c r="G361" s="663" t="str">
        <f>VLOOKUP(WWWW[[#This Row],[Site Name]],SiteDB6[[Site Name]:[Location Type]],8,FALSE)</f>
        <v>Village_Not HRP</v>
      </c>
      <c r="H361" s="644" t="s">
        <v>653</v>
      </c>
      <c r="I361" s="646">
        <v>73</v>
      </c>
      <c r="J361" s="646">
        <v>397</v>
      </c>
      <c r="K361" s="653">
        <v>42887</v>
      </c>
      <c r="L361" s="654">
        <v>43616</v>
      </c>
      <c r="M361" s="646"/>
      <c r="N361" s="646"/>
      <c r="O361" s="646"/>
      <c r="P361" s="646"/>
      <c r="Q361" s="645"/>
      <c r="R361" s="646"/>
      <c r="S361" s="646"/>
      <c r="T361" s="646"/>
      <c r="U361" s="646"/>
      <c r="V361" s="646"/>
      <c r="W361" s="646"/>
      <c r="X361" s="646"/>
      <c r="Y361" s="646"/>
      <c r="Z361" s="646"/>
      <c r="AA361" s="646"/>
      <c r="AB361" s="646"/>
      <c r="AC361" s="646"/>
      <c r="AD361" s="646"/>
      <c r="AE361" s="646">
        <v>1</v>
      </c>
      <c r="AF361" s="646"/>
      <c r="AG361" s="646"/>
      <c r="AH361" s="646"/>
      <c r="AI361" s="646"/>
      <c r="AJ361" s="646"/>
      <c r="AK361" s="646"/>
      <c r="AL361" s="646"/>
      <c r="AM361" s="646"/>
      <c r="AN361" s="646"/>
      <c r="AO361" s="703" t="s">
        <v>2961</v>
      </c>
      <c r="AP361" s="646"/>
      <c r="AQ361" s="646"/>
      <c r="AR361" s="648"/>
      <c r="AS361" s="646"/>
      <c r="AT361" s="646"/>
      <c r="AU361" s="646"/>
      <c r="AV361" s="646"/>
      <c r="AW361" s="646"/>
      <c r="AX361" s="643"/>
      <c r="AY361" s="652"/>
      <c r="AZ361" s="646"/>
      <c r="BA361" s="646"/>
      <c r="BB361" s="646"/>
      <c r="BC361" s="643"/>
      <c r="BD361" s="646"/>
      <c r="BE361" s="646"/>
      <c r="BF361" s="646"/>
      <c r="BG361" s="646"/>
      <c r="BH361" s="646"/>
      <c r="BI361" s="646"/>
      <c r="BJ361" s="646"/>
      <c r="BK361" s="646"/>
      <c r="BL361" s="646"/>
      <c r="BM361" s="643"/>
      <c r="BN361" s="647"/>
      <c r="BO361" s="648"/>
      <c r="BP361" s="643"/>
      <c r="BQ361" s="649" t="str">
        <f>IFERROR(WWWW[[#This Row],['#_Water sources treated]]/WWWW[[#This Row],['#_Water sources tested for contamination]],"no test")</f>
        <v>no test</v>
      </c>
      <c r="BR361" s="648" t="str">
        <f>IFERROR(WWWW[[#This Row],['#_Household received remediation action due to contamination]]/WWWW[[#This Row],['#_Household water samples tested for contamination]],"no test")</f>
        <v>no test</v>
      </c>
      <c r="BS361" s="647" t="str">
        <f>IF(AND(WWWW[[#This Row],[% of water sources treated]]="no test",WWWW[[#This Row],[% Household received corrective actions]]="no test"),"No Test","Tested")</f>
        <v>No Test</v>
      </c>
      <c r="BT361" s="647">
        <f>WWWW[[#This Row],['#_Constructed/existing protected hand dug well]]-WWWW[[#This Row],['#_Non-functional protected hand dug well]]</f>
        <v>0</v>
      </c>
      <c r="BU361" s="647">
        <f>(WWWW[[#This Row],['#_Constructed/Existing tube wells/boreholes/handpumps_WASH_agency]]+WWWW[[#This Row],['#_Non-Cluster partner water tube-wells/boreholes/handpumps]])-WWWW[[#This Row],['#_Non-functional tube wells/boreholes/handpumps]]</f>
        <v>0</v>
      </c>
      <c r="BV361" s="647">
        <f>WWWW[[#This Row],['#_Constructed/Existingwater storage tank with gravity fed reticulation system]]-WWWW[[#This Row],['#_Non-functional storage tank gravity fed reticulation system]]</f>
        <v>0</v>
      </c>
      <c r="BW361" s="647">
        <f>WWWW[[#This Row],['#_Water boating or water trucking]]</f>
        <v>0</v>
      </c>
      <c r="BX361" s="647">
        <f>WWWW[[#This Row],['#_Constructed/Existing water distribution system from river or natural spring]]</f>
        <v>0</v>
      </c>
      <c r="BY361"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61"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61" s="648">
        <f>IF(WWWW[[#This Row],[Location Type 1]]="Village",WWWW[[#This Row],[Access to safe drinking water for Village]],WWWW[[#This Row],[Access to safe drinking water for Camp]])</f>
        <v>0</v>
      </c>
      <c r="CB361" s="645">
        <f>WWWW[[#This Row],[%Equitable and continuous access to sufficient quantity of safe drinking water]]*WWWW[[#This Row],[Total PoP ]]</f>
        <v>0</v>
      </c>
      <c r="CC361" s="648">
        <f>IF((WWWW[[#This Row],['#_Constructed/Existing protected/fenced ponds]]*250)/WWWW[[#This Row],[Total PoP ]]&gt;1,1,(WWWW[[#This Row],['#_Constructed/Existing protected/fenced ponds]]*250)/WWWW[[#This Row],[Total PoP ]])</f>
        <v>0.62972292191435764</v>
      </c>
      <c r="CD361" s="645">
        <f>WWWW[[#This Row],[% Access to unimproved water points]]*WWWW[[#This Row],[Total PoP ]]</f>
        <v>249.99999999999997</v>
      </c>
      <c r="CE361"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0.62972292191435764</v>
      </c>
      <c r="CF361"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249.99999999999997</v>
      </c>
      <c r="CG361" s="645">
        <f>WWWW[[#This Row],[HRP1]]/500</f>
        <v>0.49999999999999994</v>
      </c>
      <c r="CH361" s="650">
        <f>1-WWWW[[#This Row],[% Equitable and continuous access to sufficient quantity of domestic water]]</f>
        <v>0.37027707808564236</v>
      </c>
      <c r="CI361" s="645">
        <f>WWWW[[#This Row],[%equitable and continuous access to sufficient quantity of safe drinking and domestic water''s GAP]]*WWWW[[#This Row],[Total PoP ]]</f>
        <v>147.00000000000003</v>
      </c>
      <c r="CJ361" s="647">
        <f>IF(WWWW[[#This Row],[Total required water points]]-WWWW[[#This Row],['#Water points coverage]]&lt;0,0,WWWW[[#This Row],[Total required water points]]-WWWW[[#This Row],['#Water points coverage]])</f>
        <v>0.5</v>
      </c>
      <c r="CK361" s="647">
        <f>ROUND(IF(WWWW[[#This Row],[Total PoP ]]&lt;500,1,WWWW[[#This Row],[Total PoP ]]/500),0)</f>
        <v>1</v>
      </c>
      <c r="CL361" s="647">
        <f>(WWWW[[#This Row],['#_Constructed latrines_by_WASHAgencies]]+WWWW[[#This Row],['#_Non Cluster partner latrines]])-WWWW[[#This Row],['#_Non-functional latrines]]</f>
        <v>0</v>
      </c>
      <c r="CM361"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61"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61"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61" s="647" t="str">
        <f>IF(WWWW[[#This Row],[Location Type 1]]="Village","NA",IF(WWWW[[#This Row],['#_Constructed/Existing latrines in TLS]]*50&gt;WWWW[[#This Row],['#_students at TLS_CFS]],WWWW[[#This Row],['#_students at TLS_CFS]],(WWWW[[#This Row],['#_Constructed/Existing latrines in TLS]]*50)))</f>
        <v>NA</v>
      </c>
      <c r="CQ361" s="647">
        <f>ROUND(IF(WWWW[[#This Row],[Location Type 1]]="camp",WWWW[[#This Row],[Total PoP ]]/20,IF(WWWW[[#This Row],[Location Type 1]]="Temporary Location",WWWW[[#This Row],[Total PoP ]]/50,(WWWW[[#This Row],[Total PoP ]]/6))),0)</f>
        <v>66</v>
      </c>
      <c r="CR361" s="647">
        <f>IF(WWWW[[#This Row],[Total required Latrines]]-(WWWW[[#This Row],['#_Constructed latrines_by_WASHAgencies]]+WWWW[[#This Row],['#_Non Cluster partner latrines]])&lt;0,0,WWWW[[#This Row],[Total required Latrines]]-(WWWW[[#This Row],['#_Constructed latrines_by_WASHAgencies]]+WWWW[[#This Row],['#_Non Cluster partner latrines]]))</f>
        <v>66</v>
      </c>
      <c r="CS361" s="79">
        <f>1-WWWW[[#This Row],[% people access to functioning Latrine]]</f>
        <v>1</v>
      </c>
      <c r="CT361" s="649">
        <f>IF(OR(WWWW[[#This Row],['#_Non-functional latrines]]="",WWWW[[#This Row],['#_Non-functional latrines]]=0),0,WWWW[[#This Row],['#_Non-functional latrines]]/(WWWW[[#This Row],['#_Constructed latrines_by_WASHAgencies]]+WWWW[[#This Row],['#_Non Cluster partner latrines]]))</f>
        <v>0</v>
      </c>
      <c r="CU361" s="645">
        <f>IF(500*(WWWW[[#This Row],['#_male hygiene promoters]]+WWWW[[#This Row],['#_female hygiene promoters]])&gt;WWWW[[#This Row],[Total PoP ]],WWWW[[#This Row],[Total PoP ]],500*(WWWW[[#This Row],['#_male hygiene promoters]]+WWWW[[#This Row],['#_female hygiene promoters]]))</f>
        <v>0</v>
      </c>
      <c r="CV361"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61"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61" s="647">
        <f>IF(WWWW[[#This Row],['# People with access to soap]]&gt;WWWW[[#This Row],['# People with access to Sanity Pads]],WWWW[[#This Row],['# People with access to soap]],WWWW[[#This Row],['# People with access to Sanity Pads]])</f>
        <v>0</v>
      </c>
      <c r="CY361"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61" s="650">
        <f>IF(WWWW[[#This Row],[HRP3]]/WWWW[[#This Row],[Total PoP ]]&gt;100%,100%,WWWW[[#This Row],[HRP3]]/WWWW[[#This Row],[Total PoP ]])</f>
        <v>0</v>
      </c>
      <c r="DA361" s="649">
        <f>1-WWWW[[#This Row],[Hygiene Coverage%]]</f>
        <v>1</v>
      </c>
      <c r="DB361" s="648">
        <f>WWWW[[#This Row],['# people reached by regular dedicated hygiene promotion_5]]/WWWW[[#This Row],[Total PoP ]]</f>
        <v>0</v>
      </c>
      <c r="DC361" s="648">
        <f>IF(WWWW[[#This Row],['#_households that received standard amount of soap for this quarter]]/WWWW[[#This Row],[Total HH]]&gt;1,1,WWWW[[#This Row],['#_households that received standard amount of soap for this quarter]]/WWWW[[#This Row],[Total HH]])</f>
        <v>0</v>
      </c>
      <c r="DD361" s="648">
        <f>IF(WWWW[[#This Row],['#_households that received standard amount of sanitary pads for this quarter]]/WWWW[[#This Row],[Total HH]]&gt;1,1,WWWW[[#This Row],['#_households that received standard amount of sanitary pads for this quarter]]/WWWW[[#This Row],[Total HH]])</f>
        <v>0</v>
      </c>
      <c r="DE361" s="647">
        <f>WWWW[[#This Row],['#_Constructed/Existing hand washing stations]]-WWWW[[#This Row],['#_Non-Functional_hand_washing_stations]]</f>
        <v>0</v>
      </c>
      <c r="DF361" s="667">
        <f>IF(WWWW[[#This Row],['# Functional hand washing stations during reporting period]]*20&gt;WWWW[[#This Row],[Total HH]],WWWW[[#This Row],[Total HH]],WWWW[[#This Row],['# Functional hand washing stations during reporting period]]*20)</f>
        <v>0</v>
      </c>
      <c r="DG361" s="645">
        <f>IF(WWWW[[#This Row],[Is sufficient soap available for TLS? (Yes/No)]]="yes",WWWW[[#This Row],['#_Constructed/Existing hand washing stations at TLS]],0)</f>
        <v>0</v>
      </c>
      <c r="DH361" s="645">
        <f>IF(WWWW[[#This Row],['# Functional hand washing stations during reporting period]]*100&gt;WWWW[[#This Row],[Total PoP ]],WWWW[[#This Row],[Total PoP ]],WWWW[[#This Row],['# Functional hand washing stations during reporting period]]*100)</f>
        <v>0</v>
      </c>
      <c r="DI361" s="645" t="str">
        <f>IF(WWWW[[#This Row],['#_students at TLS_CFS]]="","No","Yes")</f>
        <v>No</v>
      </c>
      <c r="DJ361" s="643">
        <f>VLOOKUP(WWWW[[#This Row],[Site Name]],SiteDB6[[Site Name]:[CCCM Management]],6,FALSE)</f>
        <v>0</v>
      </c>
      <c r="DK361" s="643">
        <f>VLOOKUP(WWWW[[#This Row],[Site Name]],SiteDB6[[Site Name]:[CCCM Focal Agency]],7,FALSE)</f>
        <v>0</v>
      </c>
      <c r="DL361" s="643" t="str">
        <f>VLOOKUP(WWWW[[#This Row],[Site Name]],SiteDB6[[Site Name]:[Location Type 1]],9,FALSE)</f>
        <v>Village</v>
      </c>
      <c r="DM361" s="643" t="str">
        <f>VLOOKUP(WWWW[[#This Row],[Site Name]],SiteDB6[[Site Name]:[Type of Accommodation]],10,FALSE)</f>
        <v>Village_Not HRP</v>
      </c>
      <c r="DN361" s="643" t="str">
        <f>VLOOKUP(WWWW[[#This Row],[Site Name]],SiteDB6[[Site Name]:[Ethnic or GCA/NGCA]],11,FALSE)</f>
        <v>Mro</v>
      </c>
      <c r="DO361" s="643">
        <f>VLOOKUP(WWWW[[#This Row],[Site Name]],SiteDB6[[Site Name]:[Lat]],12,FALSE)</f>
        <v>20.851089479999999</v>
      </c>
      <c r="DP361" s="643">
        <f>VLOOKUP(WWWW[[#This Row],[Site Name]],SiteDB6[[Site Name]:[Long]],13,FALSE)</f>
        <v>92.916893009999995</v>
      </c>
      <c r="DQ361" s="643">
        <f>VLOOKUP(WWWW[[#This Row],[Site Name]],SiteDB6[[Site Name]:[Pcode]],3,FALSE)</f>
        <v>196825</v>
      </c>
      <c r="DR361" s="652" t="str">
        <f t="shared" si="12"/>
        <v>Covered</v>
      </c>
      <c r="DS361" s="652"/>
    </row>
    <row r="362" spans="1:123">
      <c r="A362" s="637" t="s">
        <v>2525</v>
      </c>
      <c r="B362" s="637" t="s">
        <v>336</v>
      </c>
      <c r="C362" s="644" t="s">
        <v>336</v>
      </c>
      <c r="D362" s="644" t="s">
        <v>352</v>
      </c>
      <c r="E362" s="663" t="s">
        <v>3014</v>
      </c>
      <c r="F362" s="644" t="s">
        <v>320</v>
      </c>
      <c r="G362" s="663" t="str">
        <f>VLOOKUP(WWWW[[#This Row],[Site Name]],SiteDB6[[Site Name]:[Location Type]],8,FALSE)</f>
        <v>Village_Not HRP</v>
      </c>
      <c r="H362" s="644" t="s">
        <v>712</v>
      </c>
      <c r="I362" s="646">
        <v>138</v>
      </c>
      <c r="J362" s="646">
        <v>609</v>
      </c>
      <c r="K362" s="653">
        <v>42887</v>
      </c>
      <c r="L362" s="654">
        <v>43616</v>
      </c>
      <c r="M362" s="646"/>
      <c r="N362" s="646"/>
      <c r="O362" s="646"/>
      <c r="P362" s="646"/>
      <c r="Q362" s="645"/>
      <c r="R362" s="646"/>
      <c r="S362" s="646"/>
      <c r="T362" s="646"/>
      <c r="U362" s="646"/>
      <c r="V362" s="646"/>
      <c r="W362" s="646"/>
      <c r="X362" s="646"/>
      <c r="Y362" s="646"/>
      <c r="Z362" s="646"/>
      <c r="AA362" s="646"/>
      <c r="AB362" s="646"/>
      <c r="AC362" s="646"/>
      <c r="AD362" s="646"/>
      <c r="AE362" s="646">
        <v>3</v>
      </c>
      <c r="AF362" s="646"/>
      <c r="AG362" s="646"/>
      <c r="AH362" s="646"/>
      <c r="AI362" s="646"/>
      <c r="AJ362" s="646"/>
      <c r="AK362" s="646"/>
      <c r="AL362" s="646"/>
      <c r="AM362" s="646"/>
      <c r="AN362" s="646"/>
      <c r="AO362" s="703" t="s">
        <v>2961</v>
      </c>
      <c r="AP362" s="646"/>
      <c r="AQ362" s="646"/>
      <c r="AR362" s="648"/>
      <c r="AS362" s="646"/>
      <c r="AT362" s="646"/>
      <c r="AU362" s="646"/>
      <c r="AV362" s="646"/>
      <c r="AW362" s="646"/>
      <c r="AX362" s="643"/>
      <c r="AY362" s="652"/>
      <c r="AZ362" s="646"/>
      <c r="BA362" s="646"/>
      <c r="BB362" s="646"/>
      <c r="BC362" s="643"/>
      <c r="BD362" s="646"/>
      <c r="BE362" s="646"/>
      <c r="BF362" s="646"/>
      <c r="BG362" s="646"/>
      <c r="BH362" s="646"/>
      <c r="BI362" s="646"/>
      <c r="BJ362" s="646"/>
      <c r="BK362" s="646"/>
      <c r="BL362" s="646"/>
      <c r="BM362" s="643"/>
      <c r="BN362" s="647"/>
      <c r="BO362" s="648"/>
      <c r="BP362" s="643"/>
      <c r="BQ362" s="649" t="str">
        <f>IFERROR(WWWW[[#This Row],['#_Water sources treated]]/WWWW[[#This Row],['#_Water sources tested for contamination]],"no test")</f>
        <v>no test</v>
      </c>
      <c r="BR362" s="648" t="str">
        <f>IFERROR(WWWW[[#This Row],['#_Household received remediation action due to contamination]]/WWWW[[#This Row],['#_Household water samples tested for contamination]],"no test")</f>
        <v>no test</v>
      </c>
      <c r="BS362" s="647" t="str">
        <f>IF(AND(WWWW[[#This Row],[% of water sources treated]]="no test",WWWW[[#This Row],[% Household received corrective actions]]="no test"),"No Test","Tested")</f>
        <v>No Test</v>
      </c>
      <c r="BT362" s="647">
        <f>WWWW[[#This Row],['#_Constructed/existing protected hand dug well]]-WWWW[[#This Row],['#_Non-functional protected hand dug well]]</f>
        <v>0</v>
      </c>
      <c r="BU362" s="647">
        <f>(WWWW[[#This Row],['#_Constructed/Existing tube wells/boreholes/handpumps_WASH_agency]]+WWWW[[#This Row],['#_Non-Cluster partner water tube-wells/boreholes/handpumps]])-WWWW[[#This Row],['#_Non-functional tube wells/boreholes/handpumps]]</f>
        <v>0</v>
      </c>
      <c r="BV362" s="647">
        <f>WWWW[[#This Row],['#_Constructed/Existingwater storage tank with gravity fed reticulation system]]-WWWW[[#This Row],['#_Non-functional storage tank gravity fed reticulation system]]</f>
        <v>0</v>
      </c>
      <c r="BW362" s="647">
        <f>WWWW[[#This Row],['#_Water boating or water trucking]]</f>
        <v>0</v>
      </c>
      <c r="BX362" s="647">
        <f>WWWW[[#This Row],['#_Constructed/Existing water distribution system from river or natural spring]]</f>
        <v>0</v>
      </c>
      <c r="BY362"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62"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62" s="648">
        <f>IF(WWWW[[#This Row],[Location Type 1]]="Village",WWWW[[#This Row],[Access to safe drinking water for Village]],WWWW[[#This Row],[Access to safe drinking water for Camp]])</f>
        <v>0</v>
      </c>
      <c r="CB362" s="645">
        <f>WWWW[[#This Row],[%Equitable and continuous access to sufficient quantity of safe drinking water]]*WWWW[[#This Row],[Total PoP ]]</f>
        <v>0</v>
      </c>
      <c r="CC362" s="648">
        <f>IF((WWWW[[#This Row],['#_Constructed/Existing protected/fenced ponds]]*250)/WWWW[[#This Row],[Total PoP ]]&gt;1,1,(WWWW[[#This Row],['#_Constructed/Existing protected/fenced ponds]]*250)/WWWW[[#This Row],[Total PoP ]])</f>
        <v>1</v>
      </c>
      <c r="CD362" s="645">
        <f>WWWW[[#This Row],[% Access to unimproved water points]]*WWWW[[#This Row],[Total PoP ]]</f>
        <v>609</v>
      </c>
      <c r="CE362"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62"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609</v>
      </c>
      <c r="CG362" s="645">
        <f>WWWW[[#This Row],[HRP1]]/500</f>
        <v>1.218</v>
      </c>
      <c r="CH362" s="650">
        <f>1-WWWW[[#This Row],[% Equitable and continuous access to sufficient quantity of domestic water]]</f>
        <v>0</v>
      </c>
      <c r="CI362" s="645">
        <f>WWWW[[#This Row],[%equitable and continuous access to sufficient quantity of safe drinking and domestic water''s GAP]]*WWWW[[#This Row],[Total PoP ]]</f>
        <v>0</v>
      </c>
      <c r="CJ362" s="647">
        <f>IF(WWWW[[#This Row],[Total required water points]]-WWWW[[#This Row],['#Water points coverage]]&lt;0,0,WWWW[[#This Row],[Total required water points]]-WWWW[[#This Row],['#Water points coverage]])</f>
        <v>0</v>
      </c>
      <c r="CK362" s="647">
        <f>ROUND(IF(WWWW[[#This Row],[Total PoP ]]&lt;500,1,WWWW[[#This Row],[Total PoP ]]/500),0)</f>
        <v>1</v>
      </c>
      <c r="CL362" s="647">
        <f>(WWWW[[#This Row],['#_Constructed latrines_by_WASHAgencies]]+WWWW[[#This Row],['#_Non Cluster partner latrines]])-WWWW[[#This Row],['#_Non-functional latrines]]</f>
        <v>0</v>
      </c>
      <c r="CM362"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62"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62"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62" s="647" t="str">
        <f>IF(WWWW[[#This Row],[Location Type 1]]="Village","NA",IF(WWWW[[#This Row],['#_Constructed/Existing latrines in TLS]]*50&gt;WWWW[[#This Row],['#_students at TLS_CFS]],WWWW[[#This Row],['#_students at TLS_CFS]],(WWWW[[#This Row],['#_Constructed/Existing latrines in TLS]]*50)))</f>
        <v>NA</v>
      </c>
      <c r="CQ362" s="647">
        <f>ROUND(IF(WWWW[[#This Row],[Location Type 1]]="camp",WWWW[[#This Row],[Total PoP ]]/20,IF(WWWW[[#This Row],[Location Type 1]]="Temporary Location",WWWW[[#This Row],[Total PoP ]]/50,(WWWW[[#This Row],[Total PoP ]]/6))),0)</f>
        <v>102</v>
      </c>
      <c r="CR362" s="647">
        <f>IF(WWWW[[#This Row],[Total required Latrines]]-(WWWW[[#This Row],['#_Constructed latrines_by_WASHAgencies]]+WWWW[[#This Row],['#_Non Cluster partner latrines]])&lt;0,0,WWWW[[#This Row],[Total required Latrines]]-(WWWW[[#This Row],['#_Constructed latrines_by_WASHAgencies]]+WWWW[[#This Row],['#_Non Cluster partner latrines]]))</f>
        <v>102</v>
      </c>
      <c r="CS362" s="79">
        <f>1-WWWW[[#This Row],[% people access to functioning Latrine]]</f>
        <v>1</v>
      </c>
      <c r="CT362" s="649">
        <f>IF(OR(WWWW[[#This Row],['#_Non-functional latrines]]="",WWWW[[#This Row],['#_Non-functional latrines]]=0),0,WWWW[[#This Row],['#_Non-functional latrines]]/(WWWW[[#This Row],['#_Constructed latrines_by_WASHAgencies]]+WWWW[[#This Row],['#_Non Cluster partner latrines]]))</f>
        <v>0</v>
      </c>
      <c r="CU362" s="645">
        <f>IF(500*(WWWW[[#This Row],['#_male hygiene promoters]]+WWWW[[#This Row],['#_female hygiene promoters]])&gt;WWWW[[#This Row],[Total PoP ]],WWWW[[#This Row],[Total PoP ]],500*(WWWW[[#This Row],['#_male hygiene promoters]]+WWWW[[#This Row],['#_female hygiene promoters]]))</f>
        <v>0</v>
      </c>
      <c r="CV362"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62"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62" s="647">
        <f>IF(WWWW[[#This Row],['# People with access to soap]]&gt;WWWW[[#This Row],['# People with access to Sanity Pads]],WWWW[[#This Row],['# People with access to soap]],WWWW[[#This Row],['# People with access to Sanity Pads]])</f>
        <v>0</v>
      </c>
      <c r="CY362"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62" s="650">
        <f>IF(WWWW[[#This Row],[HRP3]]/WWWW[[#This Row],[Total PoP ]]&gt;100%,100%,WWWW[[#This Row],[HRP3]]/WWWW[[#This Row],[Total PoP ]])</f>
        <v>0</v>
      </c>
      <c r="DA362" s="649">
        <f>1-WWWW[[#This Row],[Hygiene Coverage%]]</f>
        <v>1</v>
      </c>
      <c r="DB362" s="648">
        <f>WWWW[[#This Row],['# people reached by regular dedicated hygiene promotion_5]]/WWWW[[#This Row],[Total PoP ]]</f>
        <v>0</v>
      </c>
      <c r="DC362" s="648">
        <f>IF(WWWW[[#This Row],['#_households that received standard amount of soap for this quarter]]/WWWW[[#This Row],[Total HH]]&gt;1,1,WWWW[[#This Row],['#_households that received standard amount of soap for this quarter]]/WWWW[[#This Row],[Total HH]])</f>
        <v>0</v>
      </c>
      <c r="DD362" s="648">
        <f>IF(WWWW[[#This Row],['#_households that received standard amount of sanitary pads for this quarter]]/WWWW[[#This Row],[Total HH]]&gt;1,1,WWWW[[#This Row],['#_households that received standard amount of sanitary pads for this quarter]]/WWWW[[#This Row],[Total HH]])</f>
        <v>0</v>
      </c>
      <c r="DE362" s="647">
        <f>WWWW[[#This Row],['#_Constructed/Existing hand washing stations]]-WWWW[[#This Row],['#_Non-Functional_hand_washing_stations]]</f>
        <v>0</v>
      </c>
      <c r="DF362" s="667">
        <f>IF(WWWW[[#This Row],['# Functional hand washing stations during reporting period]]*20&gt;WWWW[[#This Row],[Total HH]],WWWW[[#This Row],[Total HH]],WWWW[[#This Row],['# Functional hand washing stations during reporting period]]*20)</f>
        <v>0</v>
      </c>
      <c r="DG362" s="645">
        <f>IF(WWWW[[#This Row],[Is sufficient soap available for TLS? (Yes/No)]]="yes",WWWW[[#This Row],['#_Constructed/Existing hand washing stations at TLS]],0)</f>
        <v>0</v>
      </c>
      <c r="DH362" s="645">
        <f>IF(WWWW[[#This Row],['# Functional hand washing stations during reporting period]]*100&gt;WWWW[[#This Row],[Total PoP ]],WWWW[[#This Row],[Total PoP ]],WWWW[[#This Row],['# Functional hand washing stations during reporting period]]*100)</f>
        <v>0</v>
      </c>
      <c r="DI362" s="645" t="str">
        <f>IF(WWWW[[#This Row],['#_students at TLS_CFS]]="","No","Yes")</f>
        <v>No</v>
      </c>
      <c r="DJ362" s="643">
        <f>VLOOKUP(WWWW[[#This Row],[Site Name]],SiteDB6[[Site Name]:[CCCM Management]],6,FALSE)</f>
        <v>0</v>
      </c>
      <c r="DK362" s="643">
        <f>VLOOKUP(WWWW[[#This Row],[Site Name]],SiteDB6[[Site Name]:[CCCM Focal Agency]],7,FALSE)</f>
        <v>0</v>
      </c>
      <c r="DL362" s="643" t="str">
        <f>VLOOKUP(WWWW[[#This Row],[Site Name]],SiteDB6[[Site Name]:[Location Type 1]],9,FALSE)</f>
        <v>Village</v>
      </c>
      <c r="DM362" s="643" t="str">
        <f>VLOOKUP(WWWW[[#This Row],[Site Name]],SiteDB6[[Site Name]:[Type of Accommodation]],10,FALSE)</f>
        <v>Village_Not HRP</v>
      </c>
      <c r="DN362" s="643" t="str">
        <f>VLOOKUP(WWWW[[#This Row],[Site Name]],SiteDB6[[Site Name]:[Ethnic or GCA/NGCA]],11,FALSE)</f>
        <v>Rakhine</v>
      </c>
      <c r="DO362" s="643">
        <f>VLOOKUP(WWWW[[#This Row],[Site Name]],SiteDB6[[Site Name]:[Lat]],12,FALSE)</f>
        <v>20.67705917</v>
      </c>
      <c r="DP362" s="643">
        <f>VLOOKUP(WWWW[[#This Row],[Site Name]],SiteDB6[[Site Name]:[Long]],13,FALSE)</f>
        <v>92.953247070000003</v>
      </c>
      <c r="DQ362" s="643">
        <f>VLOOKUP(WWWW[[#This Row],[Site Name]],SiteDB6[[Site Name]:[Pcode]],3,FALSE)</f>
        <v>196929</v>
      </c>
      <c r="DR362" s="652" t="str">
        <f t="shared" si="12"/>
        <v>Covered</v>
      </c>
      <c r="DS362" s="652"/>
    </row>
    <row r="363" spans="1:123">
      <c r="A363" s="637" t="s">
        <v>2525</v>
      </c>
      <c r="B363" s="637" t="s">
        <v>336</v>
      </c>
      <c r="C363" s="644" t="s">
        <v>336</v>
      </c>
      <c r="D363" s="644" t="s">
        <v>352</v>
      </c>
      <c r="E363" s="663" t="s">
        <v>3014</v>
      </c>
      <c r="F363" s="644" t="s">
        <v>320</v>
      </c>
      <c r="G363" s="663" t="str">
        <f>VLOOKUP(WWWW[[#This Row],[Site Name]],SiteDB6[[Site Name]:[Location Type]],8,FALSE)</f>
        <v>Village_Not HRP</v>
      </c>
      <c r="H363" s="644" t="s">
        <v>554</v>
      </c>
      <c r="I363" s="646">
        <v>76</v>
      </c>
      <c r="J363" s="646">
        <v>394</v>
      </c>
      <c r="K363" s="653">
        <v>42887</v>
      </c>
      <c r="L363" s="654">
        <v>43616</v>
      </c>
      <c r="M363" s="646"/>
      <c r="N363" s="646"/>
      <c r="O363" s="646"/>
      <c r="P363" s="646"/>
      <c r="Q363" s="645"/>
      <c r="R363" s="646"/>
      <c r="S363" s="646"/>
      <c r="T363" s="646"/>
      <c r="U363" s="646"/>
      <c r="V363" s="646"/>
      <c r="W363" s="646"/>
      <c r="X363" s="646"/>
      <c r="Y363" s="646"/>
      <c r="Z363" s="646"/>
      <c r="AA363" s="646"/>
      <c r="AB363" s="646"/>
      <c r="AC363" s="646"/>
      <c r="AD363" s="646"/>
      <c r="AE363" s="646">
        <v>2</v>
      </c>
      <c r="AF363" s="646"/>
      <c r="AG363" s="646"/>
      <c r="AH363" s="646"/>
      <c r="AI363" s="646"/>
      <c r="AJ363" s="646"/>
      <c r="AK363" s="646"/>
      <c r="AL363" s="646"/>
      <c r="AM363" s="646"/>
      <c r="AN363" s="646"/>
      <c r="AO363" s="703" t="s">
        <v>2961</v>
      </c>
      <c r="AP363" s="646"/>
      <c r="AQ363" s="646"/>
      <c r="AR363" s="648"/>
      <c r="AS363" s="646"/>
      <c r="AT363" s="646"/>
      <c r="AU363" s="646"/>
      <c r="AV363" s="646"/>
      <c r="AW363" s="646"/>
      <c r="AX363" s="643"/>
      <c r="AY363" s="652"/>
      <c r="AZ363" s="646"/>
      <c r="BA363" s="646"/>
      <c r="BB363" s="646"/>
      <c r="BC363" s="643"/>
      <c r="BD363" s="646"/>
      <c r="BE363" s="646"/>
      <c r="BF363" s="646"/>
      <c r="BG363" s="646"/>
      <c r="BH363" s="646"/>
      <c r="BI363" s="646"/>
      <c r="BJ363" s="646"/>
      <c r="BK363" s="646"/>
      <c r="BL363" s="646"/>
      <c r="BM363" s="643"/>
      <c r="BN363" s="647"/>
      <c r="BO363" s="648"/>
      <c r="BP363" s="643"/>
      <c r="BQ363" s="649" t="str">
        <f>IFERROR(WWWW[[#This Row],['#_Water sources treated]]/WWWW[[#This Row],['#_Water sources tested for contamination]],"no test")</f>
        <v>no test</v>
      </c>
      <c r="BR363" s="648" t="str">
        <f>IFERROR(WWWW[[#This Row],['#_Household received remediation action due to contamination]]/WWWW[[#This Row],['#_Household water samples tested for contamination]],"no test")</f>
        <v>no test</v>
      </c>
      <c r="BS363" s="647" t="str">
        <f>IF(AND(WWWW[[#This Row],[% of water sources treated]]="no test",WWWW[[#This Row],[% Household received corrective actions]]="no test"),"No Test","Tested")</f>
        <v>No Test</v>
      </c>
      <c r="BT363" s="647">
        <f>WWWW[[#This Row],['#_Constructed/existing protected hand dug well]]-WWWW[[#This Row],['#_Non-functional protected hand dug well]]</f>
        <v>0</v>
      </c>
      <c r="BU363" s="647">
        <f>(WWWW[[#This Row],['#_Constructed/Existing tube wells/boreholes/handpumps_WASH_agency]]+WWWW[[#This Row],['#_Non-Cluster partner water tube-wells/boreholes/handpumps]])-WWWW[[#This Row],['#_Non-functional tube wells/boreholes/handpumps]]</f>
        <v>0</v>
      </c>
      <c r="BV363" s="647">
        <f>WWWW[[#This Row],['#_Constructed/Existingwater storage tank with gravity fed reticulation system]]-WWWW[[#This Row],['#_Non-functional storage tank gravity fed reticulation system]]</f>
        <v>0</v>
      </c>
      <c r="BW363" s="647">
        <f>WWWW[[#This Row],['#_Water boating or water trucking]]</f>
        <v>0</v>
      </c>
      <c r="BX363" s="647">
        <f>WWWW[[#This Row],['#_Constructed/Existing water distribution system from river or natural spring]]</f>
        <v>0</v>
      </c>
      <c r="BY363"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63"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63" s="648">
        <f>IF(WWWW[[#This Row],[Location Type 1]]="Village",WWWW[[#This Row],[Access to safe drinking water for Village]],WWWW[[#This Row],[Access to safe drinking water for Camp]])</f>
        <v>0</v>
      </c>
      <c r="CB363" s="645">
        <f>WWWW[[#This Row],[%Equitable and continuous access to sufficient quantity of safe drinking water]]*WWWW[[#This Row],[Total PoP ]]</f>
        <v>0</v>
      </c>
      <c r="CC363" s="648">
        <f>IF((WWWW[[#This Row],['#_Constructed/Existing protected/fenced ponds]]*250)/WWWW[[#This Row],[Total PoP ]]&gt;1,1,(WWWW[[#This Row],['#_Constructed/Existing protected/fenced ponds]]*250)/WWWW[[#This Row],[Total PoP ]])</f>
        <v>1</v>
      </c>
      <c r="CD363" s="645">
        <f>WWWW[[#This Row],[% Access to unimproved water points]]*WWWW[[#This Row],[Total PoP ]]</f>
        <v>394</v>
      </c>
      <c r="CE363"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63"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394</v>
      </c>
      <c r="CG363" s="645">
        <f>WWWW[[#This Row],[HRP1]]/500</f>
        <v>0.78800000000000003</v>
      </c>
      <c r="CH363" s="650">
        <f>1-WWWW[[#This Row],[% Equitable and continuous access to sufficient quantity of domestic water]]</f>
        <v>0</v>
      </c>
      <c r="CI363" s="645">
        <f>WWWW[[#This Row],[%equitable and continuous access to sufficient quantity of safe drinking and domestic water''s GAP]]*WWWW[[#This Row],[Total PoP ]]</f>
        <v>0</v>
      </c>
      <c r="CJ363" s="647">
        <f>IF(WWWW[[#This Row],[Total required water points]]-WWWW[[#This Row],['#Water points coverage]]&lt;0,0,WWWW[[#This Row],[Total required water points]]-WWWW[[#This Row],['#Water points coverage]])</f>
        <v>0.21199999999999997</v>
      </c>
      <c r="CK363" s="647">
        <f>ROUND(IF(WWWW[[#This Row],[Total PoP ]]&lt;500,1,WWWW[[#This Row],[Total PoP ]]/500),0)</f>
        <v>1</v>
      </c>
      <c r="CL363" s="647">
        <f>(WWWW[[#This Row],['#_Constructed latrines_by_WASHAgencies]]+WWWW[[#This Row],['#_Non Cluster partner latrines]])-WWWW[[#This Row],['#_Non-functional latrines]]</f>
        <v>0</v>
      </c>
      <c r="CM363"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63"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63"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63" s="647" t="str">
        <f>IF(WWWW[[#This Row],[Location Type 1]]="Village","NA",IF(WWWW[[#This Row],['#_Constructed/Existing latrines in TLS]]*50&gt;WWWW[[#This Row],['#_students at TLS_CFS]],WWWW[[#This Row],['#_students at TLS_CFS]],(WWWW[[#This Row],['#_Constructed/Existing latrines in TLS]]*50)))</f>
        <v>NA</v>
      </c>
      <c r="CQ363" s="647">
        <f>ROUND(IF(WWWW[[#This Row],[Location Type 1]]="camp",WWWW[[#This Row],[Total PoP ]]/20,IF(WWWW[[#This Row],[Location Type 1]]="Temporary Location",WWWW[[#This Row],[Total PoP ]]/50,(WWWW[[#This Row],[Total PoP ]]/6))),0)</f>
        <v>66</v>
      </c>
      <c r="CR363" s="647">
        <f>IF(WWWW[[#This Row],[Total required Latrines]]-(WWWW[[#This Row],['#_Constructed latrines_by_WASHAgencies]]+WWWW[[#This Row],['#_Non Cluster partner latrines]])&lt;0,0,WWWW[[#This Row],[Total required Latrines]]-(WWWW[[#This Row],['#_Constructed latrines_by_WASHAgencies]]+WWWW[[#This Row],['#_Non Cluster partner latrines]]))</f>
        <v>66</v>
      </c>
      <c r="CS363" s="79">
        <f>1-WWWW[[#This Row],[% people access to functioning Latrine]]</f>
        <v>1</v>
      </c>
      <c r="CT363" s="649">
        <f>IF(OR(WWWW[[#This Row],['#_Non-functional latrines]]="",WWWW[[#This Row],['#_Non-functional latrines]]=0),0,WWWW[[#This Row],['#_Non-functional latrines]]/(WWWW[[#This Row],['#_Constructed latrines_by_WASHAgencies]]+WWWW[[#This Row],['#_Non Cluster partner latrines]]))</f>
        <v>0</v>
      </c>
      <c r="CU363" s="645">
        <f>IF(500*(WWWW[[#This Row],['#_male hygiene promoters]]+WWWW[[#This Row],['#_female hygiene promoters]])&gt;WWWW[[#This Row],[Total PoP ]],WWWW[[#This Row],[Total PoP ]],500*(WWWW[[#This Row],['#_male hygiene promoters]]+WWWW[[#This Row],['#_female hygiene promoters]]))</f>
        <v>0</v>
      </c>
      <c r="CV363"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63"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63" s="647">
        <f>IF(WWWW[[#This Row],['# People with access to soap]]&gt;WWWW[[#This Row],['# People with access to Sanity Pads]],WWWW[[#This Row],['# People with access to soap]],WWWW[[#This Row],['# People with access to Sanity Pads]])</f>
        <v>0</v>
      </c>
      <c r="CY363"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63" s="650">
        <f>IF(WWWW[[#This Row],[HRP3]]/WWWW[[#This Row],[Total PoP ]]&gt;100%,100%,WWWW[[#This Row],[HRP3]]/WWWW[[#This Row],[Total PoP ]])</f>
        <v>0</v>
      </c>
      <c r="DA363" s="649">
        <f>1-WWWW[[#This Row],[Hygiene Coverage%]]</f>
        <v>1</v>
      </c>
      <c r="DB363" s="648">
        <f>WWWW[[#This Row],['# people reached by regular dedicated hygiene promotion_5]]/WWWW[[#This Row],[Total PoP ]]</f>
        <v>0</v>
      </c>
      <c r="DC363" s="648">
        <f>IF(WWWW[[#This Row],['#_households that received standard amount of soap for this quarter]]/WWWW[[#This Row],[Total HH]]&gt;1,1,WWWW[[#This Row],['#_households that received standard amount of soap for this quarter]]/WWWW[[#This Row],[Total HH]])</f>
        <v>0</v>
      </c>
      <c r="DD363" s="648">
        <f>IF(WWWW[[#This Row],['#_households that received standard amount of sanitary pads for this quarter]]/WWWW[[#This Row],[Total HH]]&gt;1,1,WWWW[[#This Row],['#_households that received standard amount of sanitary pads for this quarter]]/WWWW[[#This Row],[Total HH]])</f>
        <v>0</v>
      </c>
      <c r="DE363" s="647">
        <f>WWWW[[#This Row],['#_Constructed/Existing hand washing stations]]-WWWW[[#This Row],['#_Non-Functional_hand_washing_stations]]</f>
        <v>0</v>
      </c>
      <c r="DF363" s="667">
        <f>IF(WWWW[[#This Row],['# Functional hand washing stations during reporting period]]*20&gt;WWWW[[#This Row],[Total HH]],WWWW[[#This Row],[Total HH]],WWWW[[#This Row],['# Functional hand washing stations during reporting period]]*20)</f>
        <v>0</v>
      </c>
      <c r="DG363" s="645">
        <f>IF(WWWW[[#This Row],[Is sufficient soap available for TLS? (Yes/No)]]="yes",WWWW[[#This Row],['#_Constructed/Existing hand washing stations at TLS]],0)</f>
        <v>0</v>
      </c>
      <c r="DH363" s="645">
        <f>IF(WWWW[[#This Row],['# Functional hand washing stations during reporting period]]*100&gt;WWWW[[#This Row],[Total PoP ]],WWWW[[#This Row],[Total PoP ]],WWWW[[#This Row],['# Functional hand washing stations during reporting period]]*100)</f>
        <v>0</v>
      </c>
      <c r="DI363" s="645" t="str">
        <f>IF(WWWW[[#This Row],['#_students at TLS_CFS]]="","No","Yes")</f>
        <v>No</v>
      </c>
      <c r="DJ363" s="643">
        <f>VLOOKUP(WWWW[[#This Row],[Site Name]],SiteDB6[[Site Name]:[CCCM Management]],6,FALSE)</f>
        <v>0</v>
      </c>
      <c r="DK363" s="643">
        <f>VLOOKUP(WWWW[[#This Row],[Site Name]],SiteDB6[[Site Name]:[CCCM Focal Agency]],7,FALSE)</f>
        <v>0</v>
      </c>
      <c r="DL363" s="643" t="str">
        <f>VLOOKUP(WWWW[[#This Row],[Site Name]],SiteDB6[[Site Name]:[Location Type 1]],9,FALSE)</f>
        <v>Village</v>
      </c>
      <c r="DM363" s="643" t="str">
        <f>VLOOKUP(WWWW[[#This Row],[Site Name]],SiteDB6[[Site Name]:[Type of Accommodation]],10,FALSE)</f>
        <v>Village_Not HRP</v>
      </c>
      <c r="DN363" s="643" t="str">
        <f>VLOOKUP(WWWW[[#This Row],[Site Name]],SiteDB6[[Site Name]:[Ethnic or GCA/NGCA]],11,FALSE)</f>
        <v>Rakhine, Mro, Khami</v>
      </c>
      <c r="DO363" s="643">
        <f>VLOOKUP(WWWW[[#This Row],[Site Name]],SiteDB6[[Site Name]:[Lat]],12,FALSE)</f>
        <v>20.681715010000001</v>
      </c>
      <c r="DP363" s="643">
        <f>VLOOKUP(WWWW[[#This Row],[Site Name]],SiteDB6[[Site Name]:[Long]],13,FALSE)</f>
        <v>92.94140625</v>
      </c>
      <c r="DQ363" s="643">
        <f>VLOOKUP(WWWW[[#This Row],[Site Name]],SiteDB6[[Site Name]:[Pcode]],3,FALSE)</f>
        <v>196930</v>
      </c>
      <c r="DR363" s="652" t="str">
        <f t="shared" si="12"/>
        <v>Covered</v>
      </c>
      <c r="DS363" s="652"/>
    </row>
    <row r="364" spans="1:123">
      <c r="A364" s="637" t="s">
        <v>2525</v>
      </c>
      <c r="B364" s="637" t="s">
        <v>336</v>
      </c>
      <c r="C364" s="644" t="s">
        <v>336</v>
      </c>
      <c r="D364" s="644" t="s">
        <v>352</v>
      </c>
      <c r="E364" s="663" t="s">
        <v>3014</v>
      </c>
      <c r="F364" s="644" t="s">
        <v>320</v>
      </c>
      <c r="G364" s="663" t="str">
        <f>VLOOKUP(WWWW[[#This Row],[Site Name]],SiteDB6[[Site Name]:[Location Type]],8,FALSE)</f>
        <v>Village_Not HRP</v>
      </c>
      <c r="H364" s="644" t="s">
        <v>709</v>
      </c>
      <c r="I364" s="646">
        <v>185</v>
      </c>
      <c r="J364" s="646">
        <v>915</v>
      </c>
      <c r="K364" s="653">
        <v>42887</v>
      </c>
      <c r="L364" s="654">
        <v>43616</v>
      </c>
      <c r="M364" s="646"/>
      <c r="N364" s="646"/>
      <c r="O364" s="646"/>
      <c r="P364" s="646"/>
      <c r="Q364" s="645"/>
      <c r="R364" s="646"/>
      <c r="S364" s="646"/>
      <c r="T364" s="646"/>
      <c r="U364" s="646"/>
      <c r="V364" s="646"/>
      <c r="W364" s="646"/>
      <c r="X364" s="646"/>
      <c r="Y364" s="646"/>
      <c r="Z364" s="646"/>
      <c r="AA364" s="646"/>
      <c r="AB364" s="646"/>
      <c r="AC364" s="646"/>
      <c r="AD364" s="646"/>
      <c r="AE364" s="646">
        <v>3</v>
      </c>
      <c r="AF364" s="646"/>
      <c r="AG364" s="646"/>
      <c r="AH364" s="646"/>
      <c r="AI364" s="646"/>
      <c r="AJ364" s="646"/>
      <c r="AK364" s="646"/>
      <c r="AL364" s="646"/>
      <c r="AM364" s="646"/>
      <c r="AN364" s="646"/>
      <c r="AO364" s="703" t="s">
        <v>2961</v>
      </c>
      <c r="AP364" s="646"/>
      <c r="AQ364" s="646"/>
      <c r="AR364" s="648"/>
      <c r="AS364" s="646"/>
      <c r="AT364" s="646"/>
      <c r="AU364" s="646"/>
      <c r="AV364" s="646"/>
      <c r="AW364" s="646"/>
      <c r="AX364" s="643"/>
      <c r="AY364" s="652"/>
      <c r="AZ364" s="646"/>
      <c r="BA364" s="646"/>
      <c r="BB364" s="646"/>
      <c r="BC364" s="643"/>
      <c r="BD364" s="646"/>
      <c r="BE364" s="646"/>
      <c r="BF364" s="646"/>
      <c r="BG364" s="646"/>
      <c r="BH364" s="646"/>
      <c r="BI364" s="646"/>
      <c r="BJ364" s="646"/>
      <c r="BK364" s="646"/>
      <c r="BL364" s="646"/>
      <c r="BM364" s="643"/>
      <c r="BN364" s="647"/>
      <c r="BO364" s="648"/>
      <c r="BP364" s="643"/>
      <c r="BQ364" s="649" t="str">
        <f>IFERROR(WWWW[[#This Row],['#_Water sources treated]]/WWWW[[#This Row],['#_Water sources tested for contamination]],"no test")</f>
        <v>no test</v>
      </c>
      <c r="BR364" s="648" t="str">
        <f>IFERROR(WWWW[[#This Row],['#_Household received remediation action due to contamination]]/WWWW[[#This Row],['#_Household water samples tested for contamination]],"no test")</f>
        <v>no test</v>
      </c>
      <c r="BS364" s="647" t="str">
        <f>IF(AND(WWWW[[#This Row],[% of water sources treated]]="no test",WWWW[[#This Row],[% Household received corrective actions]]="no test"),"No Test","Tested")</f>
        <v>No Test</v>
      </c>
      <c r="BT364" s="647">
        <f>WWWW[[#This Row],['#_Constructed/existing protected hand dug well]]-WWWW[[#This Row],['#_Non-functional protected hand dug well]]</f>
        <v>0</v>
      </c>
      <c r="BU364" s="647">
        <f>(WWWW[[#This Row],['#_Constructed/Existing tube wells/boreholes/handpumps_WASH_agency]]+WWWW[[#This Row],['#_Non-Cluster partner water tube-wells/boreholes/handpumps]])-WWWW[[#This Row],['#_Non-functional tube wells/boreholes/handpumps]]</f>
        <v>0</v>
      </c>
      <c r="BV364" s="647">
        <f>WWWW[[#This Row],['#_Constructed/Existingwater storage tank with gravity fed reticulation system]]-WWWW[[#This Row],['#_Non-functional storage tank gravity fed reticulation system]]</f>
        <v>0</v>
      </c>
      <c r="BW364" s="647">
        <f>WWWW[[#This Row],['#_Water boating or water trucking]]</f>
        <v>0</v>
      </c>
      <c r="BX364" s="647">
        <f>WWWW[[#This Row],['#_Constructed/Existing water distribution system from river or natural spring]]</f>
        <v>0</v>
      </c>
      <c r="BY364"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64"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64" s="648">
        <f>IF(WWWW[[#This Row],[Location Type 1]]="Village",WWWW[[#This Row],[Access to safe drinking water for Village]],WWWW[[#This Row],[Access to safe drinking water for Camp]])</f>
        <v>0</v>
      </c>
      <c r="CB364" s="645">
        <f>WWWW[[#This Row],[%Equitable and continuous access to sufficient quantity of safe drinking water]]*WWWW[[#This Row],[Total PoP ]]</f>
        <v>0</v>
      </c>
      <c r="CC364" s="648">
        <f>IF((WWWW[[#This Row],['#_Constructed/Existing protected/fenced ponds]]*250)/WWWW[[#This Row],[Total PoP ]]&gt;1,1,(WWWW[[#This Row],['#_Constructed/Existing protected/fenced ponds]]*250)/WWWW[[#This Row],[Total PoP ]])</f>
        <v>0.81967213114754101</v>
      </c>
      <c r="CD364" s="645">
        <f>WWWW[[#This Row],[% Access to unimproved water points]]*WWWW[[#This Row],[Total PoP ]]</f>
        <v>750</v>
      </c>
      <c r="CE364"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0.81967213114754101</v>
      </c>
      <c r="CF364"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750</v>
      </c>
      <c r="CG364" s="645">
        <f>WWWW[[#This Row],[HRP1]]/500</f>
        <v>1.5</v>
      </c>
      <c r="CH364" s="650">
        <f>1-WWWW[[#This Row],[% Equitable and continuous access to sufficient quantity of domestic water]]</f>
        <v>0.18032786885245899</v>
      </c>
      <c r="CI364" s="645">
        <f>WWWW[[#This Row],[%equitable and continuous access to sufficient quantity of safe drinking and domestic water''s GAP]]*WWWW[[#This Row],[Total PoP ]]</f>
        <v>164.99999999999997</v>
      </c>
      <c r="CJ364" s="647">
        <f>IF(WWWW[[#This Row],[Total required water points]]-WWWW[[#This Row],['#Water points coverage]]&lt;0,0,WWWW[[#This Row],[Total required water points]]-WWWW[[#This Row],['#Water points coverage]])</f>
        <v>0.5</v>
      </c>
      <c r="CK364" s="647">
        <f>ROUND(IF(WWWW[[#This Row],[Total PoP ]]&lt;500,1,WWWW[[#This Row],[Total PoP ]]/500),0)</f>
        <v>2</v>
      </c>
      <c r="CL364" s="647">
        <f>(WWWW[[#This Row],['#_Constructed latrines_by_WASHAgencies]]+WWWW[[#This Row],['#_Non Cluster partner latrines]])-WWWW[[#This Row],['#_Non-functional latrines]]</f>
        <v>0</v>
      </c>
      <c r="CM364"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64"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64"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64" s="647" t="str">
        <f>IF(WWWW[[#This Row],[Location Type 1]]="Village","NA",IF(WWWW[[#This Row],['#_Constructed/Existing latrines in TLS]]*50&gt;WWWW[[#This Row],['#_students at TLS_CFS]],WWWW[[#This Row],['#_students at TLS_CFS]],(WWWW[[#This Row],['#_Constructed/Existing latrines in TLS]]*50)))</f>
        <v>NA</v>
      </c>
      <c r="CQ364" s="647">
        <f>ROUND(IF(WWWW[[#This Row],[Location Type 1]]="camp",WWWW[[#This Row],[Total PoP ]]/20,IF(WWWW[[#This Row],[Location Type 1]]="Temporary Location",WWWW[[#This Row],[Total PoP ]]/50,(WWWW[[#This Row],[Total PoP ]]/6))),0)</f>
        <v>153</v>
      </c>
      <c r="CR364" s="647">
        <f>IF(WWWW[[#This Row],[Total required Latrines]]-(WWWW[[#This Row],['#_Constructed latrines_by_WASHAgencies]]+WWWW[[#This Row],['#_Non Cluster partner latrines]])&lt;0,0,WWWW[[#This Row],[Total required Latrines]]-(WWWW[[#This Row],['#_Constructed latrines_by_WASHAgencies]]+WWWW[[#This Row],['#_Non Cluster partner latrines]]))</f>
        <v>153</v>
      </c>
      <c r="CS364" s="79">
        <f>1-WWWW[[#This Row],[% people access to functioning Latrine]]</f>
        <v>1</v>
      </c>
      <c r="CT364" s="649">
        <f>IF(OR(WWWW[[#This Row],['#_Non-functional latrines]]="",WWWW[[#This Row],['#_Non-functional latrines]]=0),0,WWWW[[#This Row],['#_Non-functional latrines]]/(WWWW[[#This Row],['#_Constructed latrines_by_WASHAgencies]]+WWWW[[#This Row],['#_Non Cluster partner latrines]]))</f>
        <v>0</v>
      </c>
      <c r="CU364" s="645">
        <f>IF(500*(WWWW[[#This Row],['#_male hygiene promoters]]+WWWW[[#This Row],['#_female hygiene promoters]])&gt;WWWW[[#This Row],[Total PoP ]],WWWW[[#This Row],[Total PoP ]],500*(WWWW[[#This Row],['#_male hygiene promoters]]+WWWW[[#This Row],['#_female hygiene promoters]]))</f>
        <v>0</v>
      </c>
      <c r="CV364"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64"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64" s="647">
        <f>IF(WWWW[[#This Row],['# People with access to soap]]&gt;WWWW[[#This Row],['# People with access to Sanity Pads]],WWWW[[#This Row],['# People with access to soap]],WWWW[[#This Row],['# People with access to Sanity Pads]])</f>
        <v>0</v>
      </c>
      <c r="CY364"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64" s="650">
        <f>IF(WWWW[[#This Row],[HRP3]]/WWWW[[#This Row],[Total PoP ]]&gt;100%,100%,WWWW[[#This Row],[HRP3]]/WWWW[[#This Row],[Total PoP ]])</f>
        <v>0</v>
      </c>
      <c r="DA364" s="649">
        <f>1-WWWW[[#This Row],[Hygiene Coverage%]]</f>
        <v>1</v>
      </c>
      <c r="DB364" s="648">
        <f>WWWW[[#This Row],['# people reached by regular dedicated hygiene promotion_5]]/WWWW[[#This Row],[Total PoP ]]</f>
        <v>0</v>
      </c>
      <c r="DC364" s="648">
        <f>IF(WWWW[[#This Row],['#_households that received standard amount of soap for this quarter]]/WWWW[[#This Row],[Total HH]]&gt;1,1,WWWW[[#This Row],['#_households that received standard amount of soap for this quarter]]/WWWW[[#This Row],[Total HH]])</f>
        <v>0</v>
      </c>
      <c r="DD364" s="648">
        <f>IF(WWWW[[#This Row],['#_households that received standard amount of sanitary pads for this quarter]]/WWWW[[#This Row],[Total HH]]&gt;1,1,WWWW[[#This Row],['#_households that received standard amount of sanitary pads for this quarter]]/WWWW[[#This Row],[Total HH]])</f>
        <v>0</v>
      </c>
      <c r="DE364" s="647">
        <f>WWWW[[#This Row],['#_Constructed/Existing hand washing stations]]-WWWW[[#This Row],['#_Non-Functional_hand_washing_stations]]</f>
        <v>0</v>
      </c>
      <c r="DF364" s="667">
        <f>IF(WWWW[[#This Row],['# Functional hand washing stations during reporting period]]*20&gt;WWWW[[#This Row],[Total HH]],WWWW[[#This Row],[Total HH]],WWWW[[#This Row],['# Functional hand washing stations during reporting period]]*20)</f>
        <v>0</v>
      </c>
      <c r="DG364" s="645">
        <f>IF(WWWW[[#This Row],[Is sufficient soap available for TLS? (Yes/No)]]="yes",WWWW[[#This Row],['#_Constructed/Existing hand washing stations at TLS]],0)</f>
        <v>0</v>
      </c>
      <c r="DH364" s="645">
        <f>IF(WWWW[[#This Row],['# Functional hand washing stations during reporting period]]*100&gt;WWWW[[#This Row],[Total PoP ]],WWWW[[#This Row],[Total PoP ]],WWWW[[#This Row],['# Functional hand washing stations during reporting period]]*100)</f>
        <v>0</v>
      </c>
      <c r="DI364" s="645" t="str">
        <f>IF(WWWW[[#This Row],['#_students at TLS_CFS]]="","No","Yes")</f>
        <v>No</v>
      </c>
      <c r="DJ364" s="643">
        <f>VLOOKUP(WWWW[[#This Row],[Site Name]],SiteDB6[[Site Name]:[CCCM Management]],6,FALSE)</f>
        <v>0</v>
      </c>
      <c r="DK364" s="643">
        <f>VLOOKUP(WWWW[[#This Row],[Site Name]],SiteDB6[[Site Name]:[CCCM Focal Agency]],7,FALSE)</f>
        <v>0</v>
      </c>
      <c r="DL364" s="643" t="str">
        <f>VLOOKUP(WWWW[[#This Row],[Site Name]],SiteDB6[[Site Name]:[Location Type 1]],9,FALSE)</f>
        <v>village</v>
      </c>
      <c r="DM364" s="643" t="str">
        <f>VLOOKUP(WWWW[[#This Row],[Site Name]],SiteDB6[[Site Name]:[Type of Accommodation]],10,FALSE)</f>
        <v>Village_Not HRP</v>
      </c>
      <c r="DN364" s="643" t="str">
        <f>VLOOKUP(WWWW[[#This Row],[Site Name]],SiteDB6[[Site Name]:[Ethnic or GCA/NGCA]],11,FALSE)</f>
        <v>Rakhine</v>
      </c>
      <c r="DO364" s="643">
        <f>VLOOKUP(WWWW[[#This Row],[Site Name]],SiteDB6[[Site Name]:[Lat]],12,FALSE)</f>
        <v>20.786739350000001</v>
      </c>
      <c r="DP364" s="643">
        <f>VLOOKUP(WWWW[[#This Row],[Site Name]],SiteDB6[[Site Name]:[Long]],13,FALSE)</f>
        <v>92.944313050000005</v>
      </c>
      <c r="DQ364" s="643">
        <f>VLOOKUP(WWWW[[#This Row],[Site Name]],SiteDB6[[Site Name]:[Pcode]],3,FALSE)</f>
        <v>196884</v>
      </c>
      <c r="DR364" s="652" t="str">
        <f t="shared" si="12"/>
        <v>Covered</v>
      </c>
      <c r="DS364" s="652"/>
    </row>
    <row r="365" spans="1:123">
      <c r="A365" s="637" t="s">
        <v>2525</v>
      </c>
      <c r="B365" s="637" t="s">
        <v>336</v>
      </c>
      <c r="C365" s="644" t="s">
        <v>336</v>
      </c>
      <c r="D365" s="644" t="s">
        <v>352</v>
      </c>
      <c r="E365" s="663" t="s">
        <v>3014</v>
      </c>
      <c r="F365" s="644" t="s">
        <v>320</v>
      </c>
      <c r="G365" s="663" t="str">
        <f>VLOOKUP(WWWW[[#This Row],[Site Name]],SiteDB6[[Site Name]:[Location Type]],8,FALSE)</f>
        <v>Village_Not HRP</v>
      </c>
      <c r="H365" s="644" t="s">
        <v>573</v>
      </c>
      <c r="I365" s="646">
        <v>293</v>
      </c>
      <c r="J365" s="646">
        <v>1503</v>
      </c>
      <c r="K365" s="653">
        <v>42887</v>
      </c>
      <c r="L365" s="654">
        <v>43616</v>
      </c>
      <c r="M365" s="646"/>
      <c r="N365" s="646"/>
      <c r="O365" s="646"/>
      <c r="P365" s="646"/>
      <c r="Q365" s="645"/>
      <c r="R365" s="646"/>
      <c r="S365" s="646"/>
      <c r="T365" s="646"/>
      <c r="U365" s="646"/>
      <c r="V365" s="646"/>
      <c r="W365" s="646"/>
      <c r="X365" s="646"/>
      <c r="Y365" s="646"/>
      <c r="Z365" s="646"/>
      <c r="AA365" s="646"/>
      <c r="AB365" s="646"/>
      <c r="AC365" s="646"/>
      <c r="AD365" s="646"/>
      <c r="AE365" s="646">
        <v>4</v>
      </c>
      <c r="AF365" s="646"/>
      <c r="AG365" s="646"/>
      <c r="AH365" s="646"/>
      <c r="AI365" s="646"/>
      <c r="AJ365" s="646"/>
      <c r="AK365" s="646"/>
      <c r="AL365" s="646"/>
      <c r="AM365" s="646"/>
      <c r="AN365" s="646"/>
      <c r="AO365" s="703" t="s">
        <v>2961</v>
      </c>
      <c r="AP365" s="646"/>
      <c r="AQ365" s="646"/>
      <c r="AR365" s="648"/>
      <c r="AS365" s="646"/>
      <c r="AT365" s="646"/>
      <c r="AU365" s="646"/>
      <c r="AV365" s="646"/>
      <c r="AW365" s="646"/>
      <c r="AX365" s="643"/>
      <c r="AY365" s="652"/>
      <c r="AZ365" s="646"/>
      <c r="BA365" s="646"/>
      <c r="BB365" s="646"/>
      <c r="BC365" s="643"/>
      <c r="BD365" s="646"/>
      <c r="BE365" s="646"/>
      <c r="BF365" s="646"/>
      <c r="BG365" s="646"/>
      <c r="BH365" s="646"/>
      <c r="BI365" s="646"/>
      <c r="BJ365" s="646"/>
      <c r="BK365" s="646"/>
      <c r="BL365" s="646"/>
      <c r="BM365" s="643"/>
      <c r="BN365" s="647"/>
      <c r="BO365" s="648"/>
      <c r="BP365" s="643"/>
      <c r="BQ365" s="649" t="str">
        <f>IFERROR(WWWW[[#This Row],['#_Water sources treated]]/WWWW[[#This Row],['#_Water sources tested for contamination]],"no test")</f>
        <v>no test</v>
      </c>
      <c r="BR365" s="648" t="str">
        <f>IFERROR(WWWW[[#This Row],['#_Household received remediation action due to contamination]]/WWWW[[#This Row],['#_Household water samples tested for contamination]],"no test")</f>
        <v>no test</v>
      </c>
      <c r="BS365" s="647" t="str">
        <f>IF(AND(WWWW[[#This Row],[% of water sources treated]]="no test",WWWW[[#This Row],[% Household received corrective actions]]="no test"),"No Test","Tested")</f>
        <v>No Test</v>
      </c>
      <c r="BT365" s="647">
        <f>WWWW[[#This Row],['#_Constructed/existing protected hand dug well]]-WWWW[[#This Row],['#_Non-functional protected hand dug well]]</f>
        <v>0</v>
      </c>
      <c r="BU365" s="647">
        <f>(WWWW[[#This Row],['#_Constructed/Existing tube wells/boreholes/handpumps_WASH_agency]]+WWWW[[#This Row],['#_Non-Cluster partner water tube-wells/boreholes/handpumps]])-WWWW[[#This Row],['#_Non-functional tube wells/boreholes/handpumps]]</f>
        <v>0</v>
      </c>
      <c r="BV365" s="647">
        <f>WWWW[[#This Row],['#_Constructed/Existingwater storage tank with gravity fed reticulation system]]-WWWW[[#This Row],['#_Non-functional storage tank gravity fed reticulation system]]</f>
        <v>0</v>
      </c>
      <c r="BW365" s="647">
        <f>WWWW[[#This Row],['#_Water boating or water trucking]]</f>
        <v>0</v>
      </c>
      <c r="BX365" s="647">
        <f>WWWW[[#This Row],['#_Constructed/Existing water distribution system from river or natural spring]]</f>
        <v>0</v>
      </c>
      <c r="BY365"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65"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65" s="648">
        <f>IF(WWWW[[#This Row],[Location Type 1]]="Village",WWWW[[#This Row],[Access to safe drinking water for Village]],WWWW[[#This Row],[Access to safe drinking water for Camp]])</f>
        <v>0</v>
      </c>
      <c r="CB365" s="645">
        <f>WWWW[[#This Row],[%Equitable and continuous access to sufficient quantity of safe drinking water]]*WWWW[[#This Row],[Total PoP ]]</f>
        <v>0</v>
      </c>
      <c r="CC365" s="648">
        <f>IF((WWWW[[#This Row],['#_Constructed/Existing protected/fenced ponds]]*250)/WWWW[[#This Row],[Total PoP ]]&gt;1,1,(WWWW[[#This Row],['#_Constructed/Existing protected/fenced ponds]]*250)/WWWW[[#This Row],[Total PoP ]])</f>
        <v>0.66533599467731208</v>
      </c>
      <c r="CD365" s="645">
        <f>WWWW[[#This Row],[% Access to unimproved water points]]*WWWW[[#This Row],[Total PoP ]]</f>
        <v>1000.0000000000001</v>
      </c>
      <c r="CE365"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0.66533599467731208</v>
      </c>
      <c r="CF365"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1000.0000000000001</v>
      </c>
      <c r="CG365" s="645">
        <f>WWWW[[#This Row],[HRP1]]/500</f>
        <v>2.0000000000000004</v>
      </c>
      <c r="CH365" s="650">
        <f>1-WWWW[[#This Row],[% Equitable and continuous access to sufficient quantity of domestic water]]</f>
        <v>0.33466400532268792</v>
      </c>
      <c r="CI365" s="645">
        <f>WWWW[[#This Row],[%equitable and continuous access to sufficient quantity of safe drinking and domestic water''s GAP]]*WWWW[[#This Row],[Total PoP ]]</f>
        <v>502.99999999999994</v>
      </c>
      <c r="CJ365" s="647">
        <f>IF(WWWW[[#This Row],[Total required water points]]-WWWW[[#This Row],['#Water points coverage]]&lt;0,0,WWWW[[#This Row],[Total required water points]]-WWWW[[#This Row],['#Water points coverage]])</f>
        <v>0.99999999999999956</v>
      </c>
      <c r="CK365" s="647">
        <f>ROUND(IF(WWWW[[#This Row],[Total PoP ]]&lt;500,1,WWWW[[#This Row],[Total PoP ]]/500),0)</f>
        <v>3</v>
      </c>
      <c r="CL365" s="647">
        <f>(WWWW[[#This Row],['#_Constructed latrines_by_WASHAgencies]]+WWWW[[#This Row],['#_Non Cluster partner latrines]])-WWWW[[#This Row],['#_Non-functional latrines]]</f>
        <v>0</v>
      </c>
      <c r="CM365"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65"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65"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65" s="647" t="str">
        <f>IF(WWWW[[#This Row],[Location Type 1]]="Village","NA",IF(WWWW[[#This Row],['#_Constructed/Existing latrines in TLS]]*50&gt;WWWW[[#This Row],['#_students at TLS_CFS]],WWWW[[#This Row],['#_students at TLS_CFS]],(WWWW[[#This Row],['#_Constructed/Existing latrines in TLS]]*50)))</f>
        <v>NA</v>
      </c>
      <c r="CQ365" s="647">
        <f>ROUND(IF(WWWW[[#This Row],[Location Type 1]]="camp",WWWW[[#This Row],[Total PoP ]]/20,IF(WWWW[[#This Row],[Location Type 1]]="Temporary Location",WWWW[[#This Row],[Total PoP ]]/50,(WWWW[[#This Row],[Total PoP ]]/6))),0)</f>
        <v>251</v>
      </c>
      <c r="CR365" s="647">
        <f>IF(WWWW[[#This Row],[Total required Latrines]]-(WWWW[[#This Row],['#_Constructed latrines_by_WASHAgencies]]+WWWW[[#This Row],['#_Non Cluster partner latrines]])&lt;0,0,WWWW[[#This Row],[Total required Latrines]]-(WWWW[[#This Row],['#_Constructed latrines_by_WASHAgencies]]+WWWW[[#This Row],['#_Non Cluster partner latrines]]))</f>
        <v>251</v>
      </c>
      <c r="CS365" s="79">
        <f>1-WWWW[[#This Row],[% people access to functioning Latrine]]</f>
        <v>1</v>
      </c>
      <c r="CT365" s="649">
        <f>IF(OR(WWWW[[#This Row],['#_Non-functional latrines]]="",WWWW[[#This Row],['#_Non-functional latrines]]=0),0,WWWW[[#This Row],['#_Non-functional latrines]]/(WWWW[[#This Row],['#_Constructed latrines_by_WASHAgencies]]+WWWW[[#This Row],['#_Non Cluster partner latrines]]))</f>
        <v>0</v>
      </c>
      <c r="CU365" s="645">
        <f>IF(500*(WWWW[[#This Row],['#_male hygiene promoters]]+WWWW[[#This Row],['#_female hygiene promoters]])&gt;WWWW[[#This Row],[Total PoP ]],WWWW[[#This Row],[Total PoP ]],500*(WWWW[[#This Row],['#_male hygiene promoters]]+WWWW[[#This Row],['#_female hygiene promoters]]))</f>
        <v>0</v>
      </c>
      <c r="CV365"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65"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65" s="647">
        <f>IF(WWWW[[#This Row],['# People with access to soap]]&gt;WWWW[[#This Row],['# People with access to Sanity Pads]],WWWW[[#This Row],['# People with access to soap]],WWWW[[#This Row],['# People with access to Sanity Pads]])</f>
        <v>0</v>
      </c>
      <c r="CY365"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65" s="650">
        <f>IF(WWWW[[#This Row],[HRP3]]/WWWW[[#This Row],[Total PoP ]]&gt;100%,100%,WWWW[[#This Row],[HRP3]]/WWWW[[#This Row],[Total PoP ]])</f>
        <v>0</v>
      </c>
      <c r="DA365" s="649">
        <f>1-WWWW[[#This Row],[Hygiene Coverage%]]</f>
        <v>1</v>
      </c>
      <c r="DB365" s="648">
        <f>WWWW[[#This Row],['# people reached by regular dedicated hygiene promotion_5]]/WWWW[[#This Row],[Total PoP ]]</f>
        <v>0</v>
      </c>
      <c r="DC365" s="648">
        <f>IF(WWWW[[#This Row],['#_households that received standard amount of soap for this quarter]]/WWWW[[#This Row],[Total HH]]&gt;1,1,WWWW[[#This Row],['#_households that received standard amount of soap for this quarter]]/WWWW[[#This Row],[Total HH]])</f>
        <v>0</v>
      </c>
      <c r="DD365" s="648">
        <f>IF(WWWW[[#This Row],['#_households that received standard amount of sanitary pads for this quarter]]/WWWW[[#This Row],[Total HH]]&gt;1,1,WWWW[[#This Row],['#_households that received standard amount of sanitary pads for this quarter]]/WWWW[[#This Row],[Total HH]])</f>
        <v>0</v>
      </c>
      <c r="DE365" s="647">
        <f>WWWW[[#This Row],['#_Constructed/Existing hand washing stations]]-WWWW[[#This Row],['#_Non-Functional_hand_washing_stations]]</f>
        <v>0</v>
      </c>
      <c r="DF365" s="667">
        <f>IF(WWWW[[#This Row],['# Functional hand washing stations during reporting period]]*20&gt;WWWW[[#This Row],[Total HH]],WWWW[[#This Row],[Total HH]],WWWW[[#This Row],['# Functional hand washing stations during reporting period]]*20)</f>
        <v>0</v>
      </c>
      <c r="DG365" s="645">
        <f>IF(WWWW[[#This Row],[Is sufficient soap available for TLS? (Yes/No)]]="yes",WWWW[[#This Row],['#_Constructed/Existing hand washing stations at TLS]],0)</f>
        <v>0</v>
      </c>
      <c r="DH365" s="645">
        <f>IF(WWWW[[#This Row],['# Functional hand washing stations during reporting period]]*100&gt;WWWW[[#This Row],[Total PoP ]],WWWW[[#This Row],[Total PoP ]],WWWW[[#This Row],['# Functional hand washing stations during reporting period]]*100)</f>
        <v>0</v>
      </c>
      <c r="DI365" s="645" t="str">
        <f>IF(WWWW[[#This Row],['#_students at TLS_CFS]]="","No","Yes")</f>
        <v>No</v>
      </c>
      <c r="DJ365" s="643">
        <f>VLOOKUP(WWWW[[#This Row],[Site Name]],SiteDB6[[Site Name]:[CCCM Management]],6,FALSE)</f>
        <v>0</v>
      </c>
      <c r="DK365" s="643">
        <f>VLOOKUP(WWWW[[#This Row],[Site Name]],SiteDB6[[Site Name]:[CCCM Focal Agency]],7,FALSE)</f>
        <v>0</v>
      </c>
      <c r="DL365" s="643" t="str">
        <f>VLOOKUP(WWWW[[#This Row],[Site Name]],SiteDB6[[Site Name]:[Location Type 1]],9,FALSE)</f>
        <v>Village</v>
      </c>
      <c r="DM365" s="643" t="str">
        <f>VLOOKUP(WWWW[[#This Row],[Site Name]],SiteDB6[[Site Name]:[Type of Accommodation]],10,FALSE)</f>
        <v>Village_Not HRP</v>
      </c>
      <c r="DN365" s="643" t="str">
        <f>VLOOKUP(WWWW[[#This Row],[Site Name]],SiteDB6[[Site Name]:[Ethnic or GCA/NGCA]],11,FALSE)</f>
        <v>Rakhine</v>
      </c>
      <c r="DO365" s="643">
        <f>VLOOKUP(WWWW[[#This Row],[Site Name]],SiteDB6[[Site Name]:[Lat]],12,FALSE)</f>
        <v>20.71134949</v>
      </c>
      <c r="DP365" s="643">
        <f>VLOOKUP(WWWW[[#This Row],[Site Name]],SiteDB6[[Site Name]:[Long]],13,FALSE)</f>
        <v>92.980506899999995</v>
      </c>
      <c r="DQ365" s="643">
        <f>VLOOKUP(WWWW[[#This Row],[Site Name]],SiteDB6[[Site Name]:[Pcode]],3,FALSE)</f>
        <v>196944</v>
      </c>
      <c r="DR365" s="652" t="str">
        <f t="shared" si="12"/>
        <v>Covered</v>
      </c>
      <c r="DS365" s="652"/>
    </row>
    <row r="366" spans="1:123">
      <c r="A366" s="637" t="s">
        <v>2525</v>
      </c>
      <c r="B366" s="637" t="s">
        <v>336</v>
      </c>
      <c r="C366" s="644" t="s">
        <v>336</v>
      </c>
      <c r="D366" s="644" t="s">
        <v>352</v>
      </c>
      <c r="E366" s="663" t="s">
        <v>3014</v>
      </c>
      <c r="F366" s="644" t="s">
        <v>320</v>
      </c>
      <c r="G366" s="663" t="str">
        <f>VLOOKUP(WWWW[[#This Row],[Site Name]],SiteDB6[[Site Name]:[Location Type]],8,FALSE)</f>
        <v>Village_Not HRP</v>
      </c>
      <c r="H366" s="644" t="s">
        <v>614</v>
      </c>
      <c r="I366" s="646">
        <v>122</v>
      </c>
      <c r="J366" s="646">
        <v>486</v>
      </c>
      <c r="K366" s="653">
        <v>42887</v>
      </c>
      <c r="L366" s="654">
        <v>43616</v>
      </c>
      <c r="M366" s="646"/>
      <c r="N366" s="646"/>
      <c r="O366" s="646"/>
      <c r="P366" s="646"/>
      <c r="Q366" s="645"/>
      <c r="R366" s="646"/>
      <c r="S366" s="646"/>
      <c r="T366" s="646"/>
      <c r="U366" s="646"/>
      <c r="V366" s="646"/>
      <c r="W366" s="646"/>
      <c r="X366" s="646"/>
      <c r="Y366" s="646"/>
      <c r="Z366" s="646"/>
      <c r="AA366" s="646"/>
      <c r="AB366" s="646"/>
      <c r="AC366" s="646"/>
      <c r="AD366" s="646"/>
      <c r="AE366" s="646">
        <v>3</v>
      </c>
      <c r="AF366" s="646"/>
      <c r="AG366" s="646"/>
      <c r="AH366" s="646"/>
      <c r="AI366" s="646"/>
      <c r="AJ366" s="646"/>
      <c r="AK366" s="646"/>
      <c r="AL366" s="646"/>
      <c r="AM366" s="646"/>
      <c r="AN366" s="646"/>
      <c r="AO366" s="703" t="s">
        <v>2961</v>
      </c>
      <c r="AP366" s="646"/>
      <c r="AQ366" s="646"/>
      <c r="AR366" s="648"/>
      <c r="AS366" s="646"/>
      <c r="AT366" s="646"/>
      <c r="AU366" s="646"/>
      <c r="AV366" s="646"/>
      <c r="AW366" s="646"/>
      <c r="AX366" s="643"/>
      <c r="AY366" s="652"/>
      <c r="AZ366" s="646"/>
      <c r="BA366" s="646"/>
      <c r="BB366" s="646"/>
      <c r="BC366" s="643"/>
      <c r="BD366" s="646"/>
      <c r="BE366" s="646"/>
      <c r="BF366" s="646"/>
      <c r="BG366" s="646"/>
      <c r="BH366" s="646"/>
      <c r="BI366" s="646"/>
      <c r="BJ366" s="646"/>
      <c r="BK366" s="646"/>
      <c r="BL366" s="646"/>
      <c r="BM366" s="643"/>
      <c r="BN366" s="647"/>
      <c r="BO366" s="648"/>
      <c r="BP366" s="643"/>
      <c r="BQ366" s="649" t="str">
        <f>IFERROR(WWWW[[#This Row],['#_Water sources treated]]/WWWW[[#This Row],['#_Water sources tested for contamination]],"no test")</f>
        <v>no test</v>
      </c>
      <c r="BR366" s="648" t="str">
        <f>IFERROR(WWWW[[#This Row],['#_Household received remediation action due to contamination]]/WWWW[[#This Row],['#_Household water samples tested for contamination]],"no test")</f>
        <v>no test</v>
      </c>
      <c r="BS366" s="647" t="str">
        <f>IF(AND(WWWW[[#This Row],[% of water sources treated]]="no test",WWWW[[#This Row],[% Household received corrective actions]]="no test"),"No Test","Tested")</f>
        <v>No Test</v>
      </c>
      <c r="BT366" s="647">
        <f>WWWW[[#This Row],['#_Constructed/existing protected hand dug well]]-WWWW[[#This Row],['#_Non-functional protected hand dug well]]</f>
        <v>0</v>
      </c>
      <c r="BU366" s="647">
        <f>(WWWW[[#This Row],['#_Constructed/Existing tube wells/boreholes/handpumps_WASH_agency]]+WWWW[[#This Row],['#_Non-Cluster partner water tube-wells/boreholes/handpumps]])-WWWW[[#This Row],['#_Non-functional tube wells/boreholes/handpumps]]</f>
        <v>0</v>
      </c>
      <c r="BV366" s="647">
        <f>WWWW[[#This Row],['#_Constructed/Existingwater storage tank with gravity fed reticulation system]]-WWWW[[#This Row],['#_Non-functional storage tank gravity fed reticulation system]]</f>
        <v>0</v>
      </c>
      <c r="BW366" s="647">
        <f>WWWW[[#This Row],['#_Water boating or water trucking]]</f>
        <v>0</v>
      </c>
      <c r="BX366" s="647">
        <f>WWWW[[#This Row],['#_Constructed/Existing water distribution system from river or natural spring]]</f>
        <v>0</v>
      </c>
      <c r="BY366"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66"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66" s="648">
        <f>IF(WWWW[[#This Row],[Location Type 1]]="Village",WWWW[[#This Row],[Access to safe drinking water for Village]],WWWW[[#This Row],[Access to safe drinking water for Camp]])</f>
        <v>0</v>
      </c>
      <c r="CB366" s="645">
        <f>WWWW[[#This Row],[%Equitable and continuous access to sufficient quantity of safe drinking water]]*WWWW[[#This Row],[Total PoP ]]</f>
        <v>0</v>
      </c>
      <c r="CC366" s="648">
        <f>IF((WWWW[[#This Row],['#_Constructed/Existing protected/fenced ponds]]*250)/WWWW[[#This Row],[Total PoP ]]&gt;1,1,(WWWW[[#This Row],['#_Constructed/Existing protected/fenced ponds]]*250)/WWWW[[#This Row],[Total PoP ]])</f>
        <v>1</v>
      </c>
      <c r="CD366" s="645">
        <f>WWWW[[#This Row],[% Access to unimproved water points]]*WWWW[[#This Row],[Total PoP ]]</f>
        <v>486</v>
      </c>
      <c r="CE366"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366"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486</v>
      </c>
      <c r="CG366" s="645">
        <f>WWWW[[#This Row],[HRP1]]/500</f>
        <v>0.97199999999999998</v>
      </c>
      <c r="CH366" s="650">
        <f>1-WWWW[[#This Row],[% Equitable and continuous access to sufficient quantity of domestic water]]</f>
        <v>0</v>
      </c>
      <c r="CI366" s="645">
        <f>WWWW[[#This Row],[%equitable and continuous access to sufficient quantity of safe drinking and domestic water''s GAP]]*WWWW[[#This Row],[Total PoP ]]</f>
        <v>0</v>
      </c>
      <c r="CJ366" s="647">
        <f>IF(WWWW[[#This Row],[Total required water points]]-WWWW[[#This Row],['#Water points coverage]]&lt;0,0,WWWW[[#This Row],[Total required water points]]-WWWW[[#This Row],['#Water points coverage]])</f>
        <v>2.8000000000000025E-2</v>
      </c>
      <c r="CK366" s="647">
        <f>ROUND(IF(WWWW[[#This Row],[Total PoP ]]&lt;500,1,WWWW[[#This Row],[Total PoP ]]/500),0)</f>
        <v>1</v>
      </c>
      <c r="CL366" s="647">
        <f>(WWWW[[#This Row],['#_Constructed latrines_by_WASHAgencies]]+WWWW[[#This Row],['#_Non Cluster partner latrines]])-WWWW[[#This Row],['#_Non-functional latrines]]</f>
        <v>0</v>
      </c>
      <c r="CM366"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66"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66"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66" s="647" t="str">
        <f>IF(WWWW[[#This Row],[Location Type 1]]="Village","NA",IF(WWWW[[#This Row],['#_Constructed/Existing latrines in TLS]]*50&gt;WWWW[[#This Row],['#_students at TLS_CFS]],WWWW[[#This Row],['#_students at TLS_CFS]],(WWWW[[#This Row],['#_Constructed/Existing latrines in TLS]]*50)))</f>
        <v>NA</v>
      </c>
      <c r="CQ366" s="647">
        <f>ROUND(IF(WWWW[[#This Row],[Location Type 1]]="camp",WWWW[[#This Row],[Total PoP ]]/20,IF(WWWW[[#This Row],[Location Type 1]]="Temporary Location",WWWW[[#This Row],[Total PoP ]]/50,(WWWW[[#This Row],[Total PoP ]]/6))),0)</f>
        <v>81</v>
      </c>
      <c r="CR366" s="647">
        <f>IF(WWWW[[#This Row],[Total required Latrines]]-(WWWW[[#This Row],['#_Constructed latrines_by_WASHAgencies]]+WWWW[[#This Row],['#_Non Cluster partner latrines]])&lt;0,0,WWWW[[#This Row],[Total required Latrines]]-(WWWW[[#This Row],['#_Constructed latrines_by_WASHAgencies]]+WWWW[[#This Row],['#_Non Cluster partner latrines]]))</f>
        <v>81</v>
      </c>
      <c r="CS366" s="79">
        <f>1-WWWW[[#This Row],[% people access to functioning Latrine]]</f>
        <v>1</v>
      </c>
      <c r="CT366" s="649">
        <f>IF(OR(WWWW[[#This Row],['#_Non-functional latrines]]="",WWWW[[#This Row],['#_Non-functional latrines]]=0),0,WWWW[[#This Row],['#_Non-functional latrines]]/(WWWW[[#This Row],['#_Constructed latrines_by_WASHAgencies]]+WWWW[[#This Row],['#_Non Cluster partner latrines]]))</f>
        <v>0</v>
      </c>
      <c r="CU366" s="645">
        <f>IF(500*(WWWW[[#This Row],['#_male hygiene promoters]]+WWWW[[#This Row],['#_female hygiene promoters]])&gt;WWWW[[#This Row],[Total PoP ]],WWWW[[#This Row],[Total PoP ]],500*(WWWW[[#This Row],['#_male hygiene promoters]]+WWWW[[#This Row],['#_female hygiene promoters]]))</f>
        <v>0</v>
      </c>
      <c r="CV366"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66"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66" s="647">
        <f>IF(WWWW[[#This Row],['# People with access to soap]]&gt;WWWW[[#This Row],['# People with access to Sanity Pads]],WWWW[[#This Row],['# People with access to soap]],WWWW[[#This Row],['# People with access to Sanity Pads]])</f>
        <v>0</v>
      </c>
      <c r="CY366"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66" s="650">
        <f>IF(WWWW[[#This Row],[HRP3]]/WWWW[[#This Row],[Total PoP ]]&gt;100%,100%,WWWW[[#This Row],[HRP3]]/WWWW[[#This Row],[Total PoP ]])</f>
        <v>0</v>
      </c>
      <c r="DA366" s="649">
        <f>1-WWWW[[#This Row],[Hygiene Coverage%]]</f>
        <v>1</v>
      </c>
      <c r="DB366" s="648">
        <f>WWWW[[#This Row],['# people reached by regular dedicated hygiene promotion_5]]/WWWW[[#This Row],[Total PoP ]]</f>
        <v>0</v>
      </c>
      <c r="DC366" s="648">
        <f>IF(WWWW[[#This Row],['#_households that received standard amount of soap for this quarter]]/WWWW[[#This Row],[Total HH]]&gt;1,1,WWWW[[#This Row],['#_households that received standard amount of soap for this quarter]]/WWWW[[#This Row],[Total HH]])</f>
        <v>0</v>
      </c>
      <c r="DD366" s="648">
        <f>IF(WWWW[[#This Row],['#_households that received standard amount of sanitary pads for this quarter]]/WWWW[[#This Row],[Total HH]]&gt;1,1,WWWW[[#This Row],['#_households that received standard amount of sanitary pads for this quarter]]/WWWW[[#This Row],[Total HH]])</f>
        <v>0</v>
      </c>
      <c r="DE366" s="647">
        <f>WWWW[[#This Row],['#_Constructed/Existing hand washing stations]]-WWWW[[#This Row],['#_Non-Functional_hand_washing_stations]]</f>
        <v>0</v>
      </c>
      <c r="DF366" s="667">
        <f>IF(WWWW[[#This Row],['# Functional hand washing stations during reporting period]]*20&gt;WWWW[[#This Row],[Total HH]],WWWW[[#This Row],[Total HH]],WWWW[[#This Row],['# Functional hand washing stations during reporting period]]*20)</f>
        <v>0</v>
      </c>
      <c r="DG366" s="645">
        <f>IF(WWWW[[#This Row],[Is sufficient soap available for TLS? (Yes/No)]]="yes",WWWW[[#This Row],['#_Constructed/Existing hand washing stations at TLS]],0)</f>
        <v>0</v>
      </c>
      <c r="DH366" s="645">
        <f>IF(WWWW[[#This Row],['# Functional hand washing stations during reporting period]]*100&gt;WWWW[[#This Row],[Total PoP ]],WWWW[[#This Row],[Total PoP ]],WWWW[[#This Row],['# Functional hand washing stations during reporting period]]*100)</f>
        <v>0</v>
      </c>
      <c r="DI366" s="645" t="str">
        <f>IF(WWWW[[#This Row],['#_students at TLS_CFS]]="","No","Yes")</f>
        <v>No</v>
      </c>
      <c r="DJ366" s="643">
        <f>VLOOKUP(WWWW[[#This Row],[Site Name]],SiteDB6[[Site Name]:[CCCM Management]],6,FALSE)</f>
        <v>0</v>
      </c>
      <c r="DK366" s="643">
        <f>VLOOKUP(WWWW[[#This Row],[Site Name]],SiteDB6[[Site Name]:[CCCM Focal Agency]],7,FALSE)</f>
        <v>0</v>
      </c>
      <c r="DL366" s="643" t="str">
        <f>VLOOKUP(WWWW[[#This Row],[Site Name]],SiteDB6[[Site Name]:[Location Type 1]],9,FALSE)</f>
        <v>Village</v>
      </c>
      <c r="DM366" s="643" t="str">
        <f>VLOOKUP(WWWW[[#This Row],[Site Name]],SiteDB6[[Site Name]:[Type of Accommodation]],10,FALSE)</f>
        <v>Village_Not HRP</v>
      </c>
      <c r="DN366" s="643" t="str">
        <f>VLOOKUP(WWWW[[#This Row],[Site Name]],SiteDB6[[Site Name]:[Ethnic or GCA/NGCA]],11,FALSE)</f>
        <v>Mro</v>
      </c>
      <c r="DO366" s="643">
        <f>VLOOKUP(WWWW[[#This Row],[Site Name]],SiteDB6[[Site Name]:[Lat]],12,FALSE)</f>
        <v>20.785770419999999</v>
      </c>
      <c r="DP366" s="643">
        <f>VLOOKUP(WWWW[[#This Row],[Site Name]],SiteDB6[[Site Name]:[Long]],13,FALSE)</f>
        <v>92.931426999999999</v>
      </c>
      <c r="DQ366" s="643">
        <f>VLOOKUP(WWWW[[#This Row],[Site Name]],SiteDB6[[Site Name]:[Pcode]],3,FALSE)</f>
        <v>196887</v>
      </c>
      <c r="DR366" s="652" t="str">
        <f t="shared" si="12"/>
        <v>Covered</v>
      </c>
      <c r="DS366" s="652"/>
    </row>
    <row r="367" spans="1:123">
      <c r="A367" s="637" t="s">
        <v>2525</v>
      </c>
      <c r="B367" s="637" t="s">
        <v>336</v>
      </c>
      <c r="C367" s="644" t="s">
        <v>336</v>
      </c>
      <c r="D367" s="644" t="s">
        <v>352</v>
      </c>
      <c r="E367" s="663" t="s">
        <v>3014</v>
      </c>
      <c r="F367" s="644" t="s">
        <v>320</v>
      </c>
      <c r="G367" s="663" t="str">
        <f>VLOOKUP(WWWW[[#This Row],[Site Name]],SiteDB6[[Site Name]:[Location Type]],8,FALSE)</f>
        <v>Village</v>
      </c>
      <c r="H367" s="644" t="s">
        <v>565</v>
      </c>
      <c r="I367" s="646">
        <v>326</v>
      </c>
      <c r="J367" s="646">
        <v>1786</v>
      </c>
      <c r="K367" s="653">
        <v>42887</v>
      </c>
      <c r="L367" s="654">
        <v>43616</v>
      </c>
      <c r="M367" s="646"/>
      <c r="N367" s="646"/>
      <c r="O367" s="646"/>
      <c r="P367" s="646"/>
      <c r="Q367" s="645"/>
      <c r="R367" s="646"/>
      <c r="S367" s="646"/>
      <c r="T367" s="646"/>
      <c r="U367" s="646"/>
      <c r="V367" s="646"/>
      <c r="W367" s="646"/>
      <c r="X367" s="646"/>
      <c r="Y367" s="646"/>
      <c r="Z367" s="646"/>
      <c r="AA367" s="646"/>
      <c r="AB367" s="646"/>
      <c r="AC367" s="646"/>
      <c r="AD367" s="646"/>
      <c r="AE367" s="646">
        <v>2</v>
      </c>
      <c r="AF367" s="646"/>
      <c r="AG367" s="646"/>
      <c r="AH367" s="646"/>
      <c r="AI367" s="646"/>
      <c r="AJ367" s="646"/>
      <c r="AK367" s="646"/>
      <c r="AL367" s="646"/>
      <c r="AM367" s="646"/>
      <c r="AN367" s="646"/>
      <c r="AO367" s="703" t="s">
        <v>2961</v>
      </c>
      <c r="AP367" s="646"/>
      <c r="AQ367" s="646"/>
      <c r="AR367" s="648"/>
      <c r="AS367" s="646"/>
      <c r="AT367" s="646"/>
      <c r="AU367" s="646"/>
      <c r="AV367" s="646"/>
      <c r="AW367" s="646"/>
      <c r="AX367" s="643"/>
      <c r="AY367" s="652"/>
      <c r="AZ367" s="646"/>
      <c r="BA367" s="646"/>
      <c r="BB367" s="646"/>
      <c r="BC367" s="643"/>
      <c r="BD367" s="646"/>
      <c r="BE367" s="646"/>
      <c r="BF367" s="646"/>
      <c r="BG367" s="646"/>
      <c r="BH367" s="646"/>
      <c r="BI367" s="646"/>
      <c r="BJ367" s="646"/>
      <c r="BK367" s="646"/>
      <c r="BL367" s="646"/>
      <c r="BM367" s="643"/>
      <c r="BN367" s="647"/>
      <c r="BO367" s="648"/>
      <c r="BP367" s="643"/>
      <c r="BQ367" s="649" t="str">
        <f>IFERROR(WWWW[[#This Row],['#_Water sources treated]]/WWWW[[#This Row],['#_Water sources tested for contamination]],"no test")</f>
        <v>no test</v>
      </c>
      <c r="BR367" s="648" t="str">
        <f>IFERROR(WWWW[[#This Row],['#_Household received remediation action due to contamination]]/WWWW[[#This Row],['#_Household water samples tested for contamination]],"no test")</f>
        <v>no test</v>
      </c>
      <c r="BS367" s="647" t="str">
        <f>IF(AND(WWWW[[#This Row],[% of water sources treated]]="no test",WWWW[[#This Row],[% Household received corrective actions]]="no test"),"No Test","Tested")</f>
        <v>No Test</v>
      </c>
      <c r="BT367" s="647">
        <f>WWWW[[#This Row],['#_Constructed/existing protected hand dug well]]-WWWW[[#This Row],['#_Non-functional protected hand dug well]]</f>
        <v>0</v>
      </c>
      <c r="BU367" s="647">
        <f>(WWWW[[#This Row],['#_Constructed/Existing tube wells/boreholes/handpumps_WASH_agency]]+WWWW[[#This Row],['#_Non-Cluster partner water tube-wells/boreholes/handpumps]])-WWWW[[#This Row],['#_Non-functional tube wells/boreholes/handpumps]]</f>
        <v>0</v>
      </c>
      <c r="BV367" s="647">
        <f>WWWW[[#This Row],['#_Constructed/Existingwater storage tank with gravity fed reticulation system]]-WWWW[[#This Row],['#_Non-functional storage tank gravity fed reticulation system]]</f>
        <v>0</v>
      </c>
      <c r="BW367" s="647">
        <f>WWWW[[#This Row],['#_Water boating or water trucking]]</f>
        <v>0</v>
      </c>
      <c r="BX367" s="647">
        <f>WWWW[[#This Row],['#_Constructed/Existing water distribution system from river or natural spring]]</f>
        <v>0</v>
      </c>
      <c r="BY367"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67"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67" s="648">
        <f>IF(WWWW[[#This Row],[Location Type 1]]="Village",WWWW[[#This Row],[Access to safe drinking water for Village]],WWWW[[#This Row],[Access to safe drinking water for Camp]])</f>
        <v>0</v>
      </c>
      <c r="CB367" s="645">
        <f>WWWW[[#This Row],[%Equitable and continuous access to sufficient quantity of safe drinking water]]*WWWW[[#This Row],[Total PoP ]]</f>
        <v>0</v>
      </c>
      <c r="CC367" s="648">
        <f>IF((WWWW[[#This Row],['#_Constructed/Existing protected/fenced ponds]]*250)/WWWW[[#This Row],[Total PoP ]]&gt;1,1,(WWWW[[#This Row],['#_Constructed/Existing protected/fenced ponds]]*250)/WWWW[[#This Row],[Total PoP ]])</f>
        <v>0.27995520716685329</v>
      </c>
      <c r="CD367" s="645">
        <f>WWWW[[#This Row],[% Access to unimproved water points]]*WWWW[[#This Row],[Total PoP ]]</f>
        <v>500</v>
      </c>
      <c r="CE367"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0.27995520716685329</v>
      </c>
      <c r="CF367"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500</v>
      </c>
      <c r="CG367" s="645">
        <f>WWWW[[#This Row],[HRP1]]/500</f>
        <v>1</v>
      </c>
      <c r="CH367" s="650">
        <f>1-WWWW[[#This Row],[% Equitable and continuous access to sufficient quantity of domestic water]]</f>
        <v>0.72004479283314671</v>
      </c>
      <c r="CI367" s="645">
        <f>WWWW[[#This Row],[%equitable and continuous access to sufficient quantity of safe drinking and domestic water''s GAP]]*WWWW[[#This Row],[Total PoP ]]</f>
        <v>1286</v>
      </c>
      <c r="CJ367" s="647">
        <f>IF(WWWW[[#This Row],[Total required water points]]-WWWW[[#This Row],['#Water points coverage]]&lt;0,0,WWWW[[#This Row],[Total required water points]]-WWWW[[#This Row],['#Water points coverage]])</f>
        <v>3</v>
      </c>
      <c r="CK367" s="647">
        <f>ROUND(IF(WWWW[[#This Row],[Total PoP ]]&lt;500,1,WWWW[[#This Row],[Total PoP ]]/500),0)</f>
        <v>4</v>
      </c>
      <c r="CL367" s="647">
        <f>(WWWW[[#This Row],['#_Constructed latrines_by_WASHAgencies]]+WWWW[[#This Row],['#_Non Cluster partner latrines]])-WWWW[[#This Row],['#_Non-functional latrines]]</f>
        <v>0</v>
      </c>
      <c r="CM367"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67"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67"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67" s="647" t="str">
        <f>IF(WWWW[[#This Row],[Location Type 1]]="Village","NA",IF(WWWW[[#This Row],['#_Constructed/Existing latrines in TLS]]*50&gt;WWWW[[#This Row],['#_students at TLS_CFS]],WWWW[[#This Row],['#_students at TLS_CFS]],(WWWW[[#This Row],['#_Constructed/Existing latrines in TLS]]*50)))</f>
        <v>NA</v>
      </c>
      <c r="CQ367" s="647">
        <f>ROUND(IF(WWWW[[#This Row],[Location Type 1]]="camp",WWWW[[#This Row],[Total PoP ]]/20,IF(WWWW[[#This Row],[Location Type 1]]="Temporary Location",WWWW[[#This Row],[Total PoP ]]/50,(WWWW[[#This Row],[Total PoP ]]/6))),0)</f>
        <v>298</v>
      </c>
      <c r="CR367" s="647">
        <f>IF(WWWW[[#This Row],[Total required Latrines]]-(WWWW[[#This Row],['#_Constructed latrines_by_WASHAgencies]]+WWWW[[#This Row],['#_Non Cluster partner latrines]])&lt;0,0,WWWW[[#This Row],[Total required Latrines]]-(WWWW[[#This Row],['#_Constructed latrines_by_WASHAgencies]]+WWWW[[#This Row],['#_Non Cluster partner latrines]]))</f>
        <v>298</v>
      </c>
      <c r="CS367" s="79">
        <f>1-WWWW[[#This Row],[% people access to functioning Latrine]]</f>
        <v>1</v>
      </c>
      <c r="CT367" s="649">
        <f>IF(OR(WWWW[[#This Row],['#_Non-functional latrines]]="",WWWW[[#This Row],['#_Non-functional latrines]]=0),0,WWWW[[#This Row],['#_Non-functional latrines]]/(WWWW[[#This Row],['#_Constructed latrines_by_WASHAgencies]]+WWWW[[#This Row],['#_Non Cluster partner latrines]]))</f>
        <v>0</v>
      </c>
      <c r="CU367" s="645">
        <f>IF(500*(WWWW[[#This Row],['#_male hygiene promoters]]+WWWW[[#This Row],['#_female hygiene promoters]])&gt;WWWW[[#This Row],[Total PoP ]],WWWW[[#This Row],[Total PoP ]],500*(WWWW[[#This Row],['#_male hygiene promoters]]+WWWW[[#This Row],['#_female hygiene promoters]]))</f>
        <v>0</v>
      </c>
      <c r="CV367"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67"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67" s="647">
        <f>IF(WWWW[[#This Row],['# People with access to soap]]&gt;WWWW[[#This Row],['# People with access to Sanity Pads]],WWWW[[#This Row],['# People with access to soap]],WWWW[[#This Row],['# People with access to Sanity Pads]])</f>
        <v>0</v>
      </c>
      <c r="CY367"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67" s="650">
        <f>IF(WWWW[[#This Row],[HRP3]]/WWWW[[#This Row],[Total PoP ]]&gt;100%,100%,WWWW[[#This Row],[HRP3]]/WWWW[[#This Row],[Total PoP ]])</f>
        <v>0</v>
      </c>
      <c r="DA367" s="649">
        <f>1-WWWW[[#This Row],[Hygiene Coverage%]]</f>
        <v>1</v>
      </c>
      <c r="DB367" s="648">
        <f>WWWW[[#This Row],['# people reached by regular dedicated hygiene promotion_5]]/WWWW[[#This Row],[Total PoP ]]</f>
        <v>0</v>
      </c>
      <c r="DC367" s="648">
        <f>IF(WWWW[[#This Row],['#_households that received standard amount of soap for this quarter]]/WWWW[[#This Row],[Total HH]]&gt;1,1,WWWW[[#This Row],['#_households that received standard amount of soap for this quarter]]/WWWW[[#This Row],[Total HH]])</f>
        <v>0</v>
      </c>
      <c r="DD367" s="648">
        <f>IF(WWWW[[#This Row],['#_households that received standard amount of sanitary pads for this quarter]]/WWWW[[#This Row],[Total HH]]&gt;1,1,WWWW[[#This Row],['#_households that received standard amount of sanitary pads for this quarter]]/WWWW[[#This Row],[Total HH]])</f>
        <v>0</v>
      </c>
      <c r="DE367" s="647">
        <f>WWWW[[#This Row],['#_Constructed/Existing hand washing stations]]-WWWW[[#This Row],['#_Non-Functional_hand_washing_stations]]</f>
        <v>0</v>
      </c>
      <c r="DF367" s="667">
        <f>IF(WWWW[[#This Row],['# Functional hand washing stations during reporting period]]*20&gt;WWWW[[#This Row],[Total HH]],WWWW[[#This Row],[Total HH]],WWWW[[#This Row],['# Functional hand washing stations during reporting period]]*20)</f>
        <v>0</v>
      </c>
      <c r="DG367" s="645">
        <f>IF(WWWW[[#This Row],[Is sufficient soap available for TLS? (Yes/No)]]="yes",WWWW[[#This Row],['#_Constructed/Existing hand washing stations at TLS]],0)</f>
        <v>0</v>
      </c>
      <c r="DH367" s="645">
        <f>IF(WWWW[[#This Row],['# Functional hand washing stations during reporting period]]*100&gt;WWWW[[#This Row],[Total PoP ]],WWWW[[#This Row],[Total PoP ]],WWWW[[#This Row],['# Functional hand washing stations during reporting period]]*100)</f>
        <v>0</v>
      </c>
      <c r="DI367" s="645" t="str">
        <f>IF(WWWW[[#This Row],['#_students at TLS_CFS]]="","No","Yes")</f>
        <v>No</v>
      </c>
      <c r="DJ367" s="643">
        <f>VLOOKUP(WWWW[[#This Row],[Site Name]],SiteDB6[[Site Name]:[CCCM Management]],6,FALSE)</f>
        <v>0</v>
      </c>
      <c r="DK367" s="643">
        <f>VLOOKUP(WWWW[[#This Row],[Site Name]],SiteDB6[[Site Name]:[CCCM Focal Agency]],7,FALSE)</f>
        <v>0</v>
      </c>
      <c r="DL367" s="643" t="str">
        <f>VLOOKUP(WWWW[[#This Row],[Site Name]],SiteDB6[[Site Name]:[Location Type 1]],9,FALSE)</f>
        <v>Village</v>
      </c>
      <c r="DM367" s="643" t="str">
        <f>VLOOKUP(WWWW[[#This Row],[Site Name]],SiteDB6[[Site Name]:[Type of Accommodation]],10,FALSE)</f>
        <v>Returned</v>
      </c>
      <c r="DN367" s="643" t="str">
        <f>VLOOKUP(WWWW[[#This Row],[Site Name]],SiteDB6[[Site Name]:[Ethnic or GCA/NGCA]],11,FALSE)</f>
        <v>Muslim</v>
      </c>
      <c r="DO367" s="643" t="str">
        <f>VLOOKUP(WWWW[[#This Row],[Site Name]],SiteDB6[[Site Name]:[Lat]],12,FALSE)</f>
        <v xml:space="preserve">WASH - resettled, relocated, surrounding communities &amp; host communities </v>
      </c>
      <c r="DP367" s="643">
        <f>VLOOKUP(WWWW[[#This Row],[Site Name]],SiteDB6[[Site Name]:[Long]],13,FALSE)</f>
        <v>93.009900000000002</v>
      </c>
      <c r="DQ367" s="643" t="str">
        <f>VLOOKUP(WWWW[[#This Row],[Site Name]],SiteDB6[[Site Name]:[Pcode]],3,FALSE)</f>
        <v>MMR012CMP026</v>
      </c>
      <c r="DR367" s="652" t="str">
        <f t="shared" si="12"/>
        <v>Covered</v>
      </c>
      <c r="DS367" s="652"/>
    </row>
    <row r="368" spans="1:123">
      <c r="A368" s="637" t="s">
        <v>2525</v>
      </c>
      <c r="B368" s="637" t="s">
        <v>336</v>
      </c>
      <c r="C368" s="644" t="s">
        <v>336</v>
      </c>
      <c r="D368" s="644" t="s">
        <v>352</v>
      </c>
      <c r="E368" s="663" t="s">
        <v>3014</v>
      </c>
      <c r="F368" s="644" t="s">
        <v>320</v>
      </c>
      <c r="G368" s="663" t="str">
        <f>VLOOKUP(WWWW[[#This Row],[Site Name]],SiteDB6[[Site Name]:[Location Type]],8,FALSE)</f>
        <v>Village_Not HRP</v>
      </c>
      <c r="H368" s="644" t="s">
        <v>570</v>
      </c>
      <c r="I368" s="646">
        <v>361</v>
      </c>
      <c r="J368" s="646">
        <v>1669</v>
      </c>
      <c r="K368" s="653">
        <v>42887</v>
      </c>
      <c r="L368" s="654">
        <v>43616</v>
      </c>
      <c r="M368" s="646"/>
      <c r="N368" s="646"/>
      <c r="O368" s="646"/>
      <c r="P368" s="646"/>
      <c r="Q368" s="645"/>
      <c r="R368" s="646"/>
      <c r="S368" s="646"/>
      <c r="T368" s="646"/>
      <c r="U368" s="646"/>
      <c r="V368" s="646"/>
      <c r="W368" s="646"/>
      <c r="X368" s="646"/>
      <c r="Y368" s="646"/>
      <c r="Z368" s="646"/>
      <c r="AA368" s="646"/>
      <c r="AB368" s="646"/>
      <c r="AC368" s="646"/>
      <c r="AD368" s="646"/>
      <c r="AE368" s="646">
        <v>2</v>
      </c>
      <c r="AF368" s="646"/>
      <c r="AG368" s="646"/>
      <c r="AH368" s="646"/>
      <c r="AI368" s="646"/>
      <c r="AJ368" s="646"/>
      <c r="AK368" s="646"/>
      <c r="AL368" s="646"/>
      <c r="AM368" s="646"/>
      <c r="AN368" s="646"/>
      <c r="AO368" s="703" t="s">
        <v>2961</v>
      </c>
      <c r="AP368" s="646"/>
      <c r="AQ368" s="646"/>
      <c r="AR368" s="648"/>
      <c r="AS368" s="646"/>
      <c r="AT368" s="646"/>
      <c r="AU368" s="646"/>
      <c r="AV368" s="646"/>
      <c r="AW368" s="646"/>
      <c r="AX368" s="643"/>
      <c r="AY368" s="652"/>
      <c r="AZ368" s="646"/>
      <c r="BA368" s="646"/>
      <c r="BB368" s="646"/>
      <c r="BC368" s="643"/>
      <c r="BD368" s="646"/>
      <c r="BE368" s="646"/>
      <c r="BF368" s="646"/>
      <c r="BG368" s="646"/>
      <c r="BH368" s="646"/>
      <c r="BI368" s="646"/>
      <c r="BJ368" s="646"/>
      <c r="BK368" s="646"/>
      <c r="BL368" s="646"/>
      <c r="BM368" s="643"/>
      <c r="BN368" s="647"/>
      <c r="BO368" s="648"/>
      <c r="BP368" s="643"/>
      <c r="BQ368" s="649" t="str">
        <f>IFERROR(WWWW[[#This Row],['#_Water sources treated]]/WWWW[[#This Row],['#_Water sources tested for contamination]],"no test")</f>
        <v>no test</v>
      </c>
      <c r="BR368" s="648" t="str">
        <f>IFERROR(WWWW[[#This Row],['#_Household received remediation action due to contamination]]/WWWW[[#This Row],['#_Household water samples tested for contamination]],"no test")</f>
        <v>no test</v>
      </c>
      <c r="BS368" s="647" t="str">
        <f>IF(AND(WWWW[[#This Row],[% of water sources treated]]="no test",WWWW[[#This Row],[% Household received corrective actions]]="no test"),"No Test","Tested")</f>
        <v>No Test</v>
      </c>
      <c r="BT368" s="647">
        <f>WWWW[[#This Row],['#_Constructed/existing protected hand dug well]]-WWWW[[#This Row],['#_Non-functional protected hand dug well]]</f>
        <v>0</v>
      </c>
      <c r="BU368" s="647">
        <f>(WWWW[[#This Row],['#_Constructed/Existing tube wells/boreholes/handpumps_WASH_agency]]+WWWW[[#This Row],['#_Non-Cluster partner water tube-wells/boreholes/handpumps]])-WWWW[[#This Row],['#_Non-functional tube wells/boreholes/handpumps]]</f>
        <v>0</v>
      </c>
      <c r="BV368" s="647">
        <f>WWWW[[#This Row],['#_Constructed/Existingwater storage tank with gravity fed reticulation system]]-WWWW[[#This Row],['#_Non-functional storage tank gravity fed reticulation system]]</f>
        <v>0</v>
      </c>
      <c r="BW368" s="647">
        <f>WWWW[[#This Row],['#_Water boating or water trucking]]</f>
        <v>0</v>
      </c>
      <c r="BX368" s="647">
        <f>WWWW[[#This Row],['#_Constructed/Existing water distribution system from river or natural spring]]</f>
        <v>0</v>
      </c>
      <c r="BY368"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68"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68" s="648">
        <f>IF(WWWW[[#This Row],[Location Type 1]]="Village",WWWW[[#This Row],[Access to safe drinking water for Village]],WWWW[[#This Row],[Access to safe drinking water for Camp]])</f>
        <v>0</v>
      </c>
      <c r="CB368" s="645">
        <f>WWWW[[#This Row],[%Equitable and continuous access to sufficient quantity of safe drinking water]]*WWWW[[#This Row],[Total PoP ]]</f>
        <v>0</v>
      </c>
      <c r="CC368" s="648">
        <f>IF((WWWW[[#This Row],['#_Constructed/Existing protected/fenced ponds]]*250)/WWWW[[#This Row],[Total PoP ]]&gt;1,1,(WWWW[[#This Row],['#_Constructed/Existing protected/fenced ponds]]*250)/WWWW[[#This Row],[Total PoP ]])</f>
        <v>0.29958058717795089</v>
      </c>
      <c r="CD368" s="645">
        <f>WWWW[[#This Row],[% Access to unimproved water points]]*WWWW[[#This Row],[Total PoP ]]</f>
        <v>500</v>
      </c>
      <c r="CE368"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0.29958058717795089</v>
      </c>
      <c r="CF368"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500</v>
      </c>
      <c r="CG368" s="645">
        <f>WWWW[[#This Row],[HRP1]]/500</f>
        <v>1</v>
      </c>
      <c r="CH368" s="650">
        <f>1-WWWW[[#This Row],[% Equitable and continuous access to sufficient quantity of domestic water]]</f>
        <v>0.70041941282204911</v>
      </c>
      <c r="CI368" s="645">
        <f>WWWW[[#This Row],[%equitable and continuous access to sufficient quantity of safe drinking and domestic water''s GAP]]*WWWW[[#This Row],[Total PoP ]]</f>
        <v>1169</v>
      </c>
      <c r="CJ368" s="647">
        <f>IF(WWWW[[#This Row],[Total required water points]]-WWWW[[#This Row],['#Water points coverage]]&lt;0,0,WWWW[[#This Row],[Total required water points]]-WWWW[[#This Row],['#Water points coverage]])</f>
        <v>2</v>
      </c>
      <c r="CK368" s="647">
        <f>ROUND(IF(WWWW[[#This Row],[Total PoP ]]&lt;500,1,WWWW[[#This Row],[Total PoP ]]/500),0)</f>
        <v>3</v>
      </c>
      <c r="CL368" s="647">
        <f>(WWWW[[#This Row],['#_Constructed latrines_by_WASHAgencies]]+WWWW[[#This Row],['#_Non Cluster partner latrines]])-WWWW[[#This Row],['#_Non-functional latrines]]</f>
        <v>0</v>
      </c>
      <c r="CM368"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68"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68"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68" s="647" t="str">
        <f>IF(WWWW[[#This Row],[Location Type 1]]="Village","NA",IF(WWWW[[#This Row],['#_Constructed/Existing latrines in TLS]]*50&gt;WWWW[[#This Row],['#_students at TLS_CFS]],WWWW[[#This Row],['#_students at TLS_CFS]],(WWWW[[#This Row],['#_Constructed/Existing latrines in TLS]]*50)))</f>
        <v>NA</v>
      </c>
      <c r="CQ368" s="647">
        <f>ROUND(IF(WWWW[[#This Row],[Location Type 1]]="camp",WWWW[[#This Row],[Total PoP ]]/20,IF(WWWW[[#This Row],[Location Type 1]]="Temporary Location",WWWW[[#This Row],[Total PoP ]]/50,(WWWW[[#This Row],[Total PoP ]]/6))),0)</f>
        <v>278</v>
      </c>
      <c r="CR368" s="647">
        <f>IF(WWWW[[#This Row],[Total required Latrines]]-(WWWW[[#This Row],['#_Constructed latrines_by_WASHAgencies]]+WWWW[[#This Row],['#_Non Cluster partner latrines]])&lt;0,0,WWWW[[#This Row],[Total required Latrines]]-(WWWW[[#This Row],['#_Constructed latrines_by_WASHAgencies]]+WWWW[[#This Row],['#_Non Cluster partner latrines]]))</f>
        <v>278</v>
      </c>
      <c r="CS368" s="79">
        <f>1-WWWW[[#This Row],[% people access to functioning Latrine]]</f>
        <v>1</v>
      </c>
      <c r="CT368" s="649">
        <f>IF(OR(WWWW[[#This Row],['#_Non-functional latrines]]="",WWWW[[#This Row],['#_Non-functional latrines]]=0),0,WWWW[[#This Row],['#_Non-functional latrines]]/(WWWW[[#This Row],['#_Constructed latrines_by_WASHAgencies]]+WWWW[[#This Row],['#_Non Cluster partner latrines]]))</f>
        <v>0</v>
      </c>
      <c r="CU368" s="645">
        <f>IF(500*(WWWW[[#This Row],['#_male hygiene promoters]]+WWWW[[#This Row],['#_female hygiene promoters]])&gt;WWWW[[#This Row],[Total PoP ]],WWWW[[#This Row],[Total PoP ]],500*(WWWW[[#This Row],['#_male hygiene promoters]]+WWWW[[#This Row],['#_female hygiene promoters]]))</f>
        <v>0</v>
      </c>
      <c r="CV368"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68"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68" s="647">
        <f>IF(WWWW[[#This Row],['# People with access to soap]]&gt;WWWW[[#This Row],['# People with access to Sanity Pads]],WWWW[[#This Row],['# People with access to soap]],WWWW[[#This Row],['# People with access to Sanity Pads]])</f>
        <v>0</v>
      </c>
      <c r="CY368"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68" s="650">
        <f>IF(WWWW[[#This Row],[HRP3]]/WWWW[[#This Row],[Total PoP ]]&gt;100%,100%,WWWW[[#This Row],[HRP3]]/WWWW[[#This Row],[Total PoP ]])</f>
        <v>0</v>
      </c>
      <c r="DA368" s="649">
        <f>1-WWWW[[#This Row],[Hygiene Coverage%]]</f>
        <v>1</v>
      </c>
      <c r="DB368" s="648">
        <f>WWWW[[#This Row],['# people reached by regular dedicated hygiene promotion_5]]/WWWW[[#This Row],[Total PoP ]]</f>
        <v>0</v>
      </c>
      <c r="DC368" s="648">
        <f>IF(WWWW[[#This Row],['#_households that received standard amount of soap for this quarter]]/WWWW[[#This Row],[Total HH]]&gt;1,1,WWWW[[#This Row],['#_households that received standard amount of soap for this quarter]]/WWWW[[#This Row],[Total HH]])</f>
        <v>0</v>
      </c>
      <c r="DD368" s="648">
        <f>IF(WWWW[[#This Row],['#_households that received standard amount of sanitary pads for this quarter]]/WWWW[[#This Row],[Total HH]]&gt;1,1,WWWW[[#This Row],['#_households that received standard amount of sanitary pads for this quarter]]/WWWW[[#This Row],[Total HH]])</f>
        <v>0</v>
      </c>
      <c r="DE368" s="647">
        <f>WWWW[[#This Row],['#_Constructed/Existing hand washing stations]]-WWWW[[#This Row],['#_Non-Functional_hand_washing_stations]]</f>
        <v>0</v>
      </c>
      <c r="DF368" s="667">
        <f>IF(WWWW[[#This Row],['# Functional hand washing stations during reporting period]]*20&gt;WWWW[[#This Row],[Total HH]],WWWW[[#This Row],[Total HH]],WWWW[[#This Row],['# Functional hand washing stations during reporting period]]*20)</f>
        <v>0</v>
      </c>
      <c r="DG368" s="645">
        <f>IF(WWWW[[#This Row],[Is sufficient soap available for TLS? (Yes/No)]]="yes",WWWW[[#This Row],['#_Constructed/Existing hand washing stations at TLS]],0)</f>
        <v>0</v>
      </c>
      <c r="DH368" s="645">
        <f>IF(WWWW[[#This Row],['# Functional hand washing stations during reporting period]]*100&gt;WWWW[[#This Row],[Total PoP ]],WWWW[[#This Row],[Total PoP ]],WWWW[[#This Row],['# Functional hand washing stations during reporting period]]*100)</f>
        <v>0</v>
      </c>
      <c r="DI368" s="645" t="str">
        <f>IF(WWWW[[#This Row],['#_students at TLS_CFS]]="","No","Yes")</f>
        <v>No</v>
      </c>
      <c r="DJ368" s="643">
        <f>VLOOKUP(WWWW[[#This Row],[Site Name]],SiteDB6[[Site Name]:[CCCM Management]],6,FALSE)</f>
        <v>0</v>
      </c>
      <c r="DK368" s="643">
        <f>VLOOKUP(WWWW[[#This Row],[Site Name]],SiteDB6[[Site Name]:[CCCM Focal Agency]],7,FALSE)</f>
        <v>0</v>
      </c>
      <c r="DL368" s="643" t="str">
        <f>VLOOKUP(WWWW[[#This Row],[Site Name]],SiteDB6[[Site Name]:[Location Type 1]],9,FALSE)</f>
        <v>Village</v>
      </c>
      <c r="DM368" s="643" t="str">
        <f>VLOOKUP(WWWW[[#This Row],[Site Name]],SiteDB6[[Site Name]:[Type of Accommodation]],10,FALSE)</f>
        <v>Village_Not HRP</v>
      </c>
      <c r="DN368" s="643" t="str">
        <f>VLOOKUP(WWWW[[#This Row],[Site Name]],SiteDB6[[Site Name]:[Ethnic or GCA/NGCA]],11,FALSE)</f>
        <v>Rakhine</v>
      </c>
      <c r="DO368" s="643">
        <f>VLOOKUP(WWWW[[#This Row],[Site Name]],SiteDB6[[Site Name]:[Lat]],12,FALSE)</f>
        <v>20.705930710000001</v>
      </c>
      <c r="DP368" s="643">
        <f>VLOOKUP(WWWW[[#This Row],[Site Name]],SiteDB6[[Site Name]:[Long]],13,FALSE)</f>
        <v>93.001953130000004</v>
      </c>
      <c r="DQ368" s="643">
        <f>VLOOKUP(WWWW[[#This Row],[Site Name]],SiteDB6[[Site Name]:[Pcode]],3,FALSE)</f>
        <v>196943</v>
      </c>
      <c r="DR368" s="652" t="str">
        <f t="shared" si="12"/>
        <v>Covered</v>
      </c>
      <c r="DS368" s="652"/>
    </row>
    <row r="369" spans="1:126">
      <c r="A369" s="637" t="s">
        <v>2525</v>
      </c>
      <c r="B369" s="637" t="s">
        <v>336</v>
      </c>
      <c r="C369" s="644" t="s">
        <v>336</v>
      </c>
      <c r="D369" s="644" t="s">
        <v>307</v>
      </c>
      <c r="E369" s="663" t="s">
        <v>3014</v>
      </c>
      <c r="F369" s="644" t="s">
        <v>320</v>
      </c>
      <c r="G369" s="663" t="str">
        <f>VLOOKUP(WWWW[[#This Row],[Site Name]],SiteDB6[[Site Name]:[Location Type]],8,FALSE)</f>
        <v>Village</v>
      </c>
      <c r="H369" s="644" t="s">
        <v>2313</v>
      </c>
      <c r="I369" s="646">
        <v>128</v>
      </c>
      <c r="J369" s="646">
        <v>770</v>
      </c>
      <c r="K369" s="653">
        <v>43374</v>
      </c>
      <c r="L369" s="654">
        <v>43738</v>
      </c>
      <c r="M369" s="646"/>
      <c r="N369" s="646"/>
      <c r="O369" s="646"/>
      <c r="P369" s="646"/>
      <c r="Q369" s="645"/>
      <c r="R369" s="646"/>
      <c r="S369" s="646"/>
      <c r="T369" s="646"/>
      <c r="U369" s="646"/>
      <c r="V369" s="646"/>
      <c r="W369" s="646"/>
      <c r="X369" s="646"/>
      <c r="Y369" s="646"/>
      <c r="Z369" s="646"/>
      <c r="AA369" s="646"/>
      <c r="AB369" s="646"/>
      <c r="AC369" s="646"/>
      <c r="AD369" s="646"/>
      <c r="AE369" s="646"/>
      <c r="AF369" s="646"/>
      <c r="AG369" s="646"/>
      <c r="AH369" s="646"/>
      <c r="AI369" s="646"/>
      <c r="AJ369" s="646"/>
      <c r="AK369" s="646"/>
      <c r="AL369" s="646"/>
      <c r="AM369" s="646"/>
      <c r="AN369" s="646"/>
      <c r="AO369" s="652"/>
      <c r="AP369" s="646"/>
      <c r="AQ369" s="646"/>
      <c r="AR369" s="648"/>
      <c r="AS369" s="646"/>
      <c r="AT369" s="646"/>
      <c r="AU369" s="646"/>
      <c r="AV369" s="646"/>
      <c r="AW369" s="646"/>
      <c r="AX369" s="643"/>
      <c r="AY369" s="652"/>
      <c r="AZ369" s="646"/>
      <c r="BA369" s="646"/>
      <c r="BB369" s="646"/>
      <c r="BC369" s="643"/>
      <c r="BD369" s="646"/>
      <c r="BE369" s="646"/>
      <c r="BF369" s="646"/>
      <c r="BG369" s="646"/>
      <c r="BH369" s="646"/>
      <c r="BI369" s="646"/>
      <c r="BJ369" s="646"/>
      <c r="BK369" s="646"/>
      <c r="BL369" s="646"/>
      <c r="BM369" s="643"/>
      <c r="BN369" s="647"/>
      <c r="BO369" s="648"/>
      <c r="BP369" s="643"/>
      <c r="BQ369" s="649" t="str">
        <f>IFERROR(WWWW[[#This Row],['#_Water sources treated]]/WWWW[[#This Row],['#_Water sources tested for contamination]],"no test")</f>
        <v>no test</v>
      </c>
      <c r="BR369" s="648" t="str">
        <f>IFERROR(WWWW[[#This Row],['#_Household received remediation action due to contamination]]/WWWW[[#This Row],['#_Household water samples tested for contamination]],"no test")</f>
        <v>no test</v>
      </c>
      <c r="BS369" s="647" t="str">
        <f>IF(AND(WWWW[[#This Row],[% of water sources treated]]="no test",WWWW[[#This Row],[% Household received corrective actions]]="no test"),"No Test","Tested")</f>
        <v>No Test</v>
      </c>
      <c r="BT369" s="647">
        <f>WWWW[[#This Row],['#_Constructed/existing protected hand dug well]]-WWWW[[#This Row],['#_Non-functional protected hand dug well]]</f>
        <v>0</v>
      </c>
      <c r="BU369" s="647">
        <f>(WWWW[[#This Row],['#_Constructed/Existing tube wells/boreholes/handpumps_WASH_agency]]+WWWW[[#This Row],['#_Non-Cluster partner water tube-wells/boreholes/handpumps]])-WWWW[[#This Row],['#_Non-functional tube wells/boreholes/handpumps]]</f>
        <v>0</v>
      </c>
      <c r="BV369" s="647">
        <f>WWWW[[#This Row],['#_Constructed/Existingwater storage tank with gravity fed reticulation system]]-WWWW[[#This Row],['#_Non-functional storage tank gravity fed reticulation system]]</f>
        <v>0</v>
      </c>
      <c r="BW369" s="647">
        <f>WWWW[[#This Row],['#_Water boating or water trucking]]</f>
        <v>0</v>
      </c>
      <c r="BX369" s="647">
        <f>WWWW[[#This Row],['#_Constructed/Existing water distribution system from river or natural spring]]</f>
        <v>0</v>
      </c>
      <c r="BY369"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69"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69" s="648">
        <f>IF(WWWW[[#This Row],[Location Type 1]]="Village",WWWW[[#This Row],[Access to safe drinking water for Village]],WWWW[[#This Row],[Access to safe drinking water for Camp]])</f>
        <v>0</v>
      </c>
      <c r="CB369" s="645">
        <f>WWWW[[#This Row],[%Equitable and continuous access to sufficient quantity of safe drinking water]]*WWWW[[#This Row],[Total PoP ]]</f>
        <v>0</v>
      </c>
      <c r="CC369" s="648">
        <f>IF((WWWW[[#This Row],['#_Constructed/Existing protected/fenced ponds]]*250)/WWWW[[#This Row],[Total PoP ]]&gt;1,1,(WWWW[[#This Row],['#_Constructed/Existing protected/fenced ponds]]*250)/WWWW[[#This Row],[Total PoP ]])</f>
        <v>0</v>
      </c>
      <c r="CD369" s="645">
        <f>WWWW[[#This Row],[% Access to unimproved water points]]*WWWW[[#This Row],[Total PoP ]]</f>
        <v>0</v>
      </c>
      <c r="CE369"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69"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69" s="645">
        <f>WWWW[[#This Row],[HRP1]]/500</f>
        <v>0</v>
      </c>
      <c r="CH369" s="650">
        <f>1-WWWW[[#This Row],[% Equitable and continuous access to sufficient quantity of domestic water]]</f>
        <v>1</v>
      </c>
      <c r="CI369" s="645">
        <f>WWWW[[#This Row],[%equitable and continuous access to sufficient quantity of safe drinking and domestic water''s GAP]]*WWWW[[#This Row],[Total PoP ]]</f>
        <v>770</v>
      </c>
      <c r="CJ369" s="647">
        <f>IF(WWWW[[#This Row],[Total required water points]]-WWWW[[#This Row],['#Water points coverage]]&lt;0,0,WWWW[[#This Row],[Total required water points]]-WWWW[[#This Row],['#Water points coverage]])</f>
        <v>2</v>
      </c>
      <c r="CK369" s="647">
        <f>ROUND(IF(WWWW[[#This Row],[Total PoP ]]&lt;500,1,WWWW[[#This Row],[Total PoP ]]/500),0)</f>
        <v>2</v>
      </c>
      <c r="CL369" s="647">
        <f>(WWWW[[#This Row],['#_Constructed latrines_by_WASHAgencies]]+WWWW[[#This Row],['#_Non Cluster partner latrines]])-WWWW[[#This Row],['#_Non-functional latrines]]</f>
        <v>0</v>
      </c>
      <c r="CM369"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69"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69"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69" s="647" t="str">
        <f>IF(WWWW[[#This Row],[Location Type 1]]="Village","NA",IF(WWWW[[#This Row],['#_Constructed/Existing latrines in TLS]]*50&gt;WWWW[[#This Row],['#_students at TLS_CFS]],WWWW[[#This Row],['#_students at TLS_CFS]],(WWWW[[#This Row],['#_Constructed/Existing latrines in TLS]]*50)))</f>
        <v>NA</v>
      </c>
      <c r="CQ369" s="647">
        <f>ROUND(IF(WWWW[[#This Row],[Location Type 1]]="camp",WWWW[[#This Row],[Total PoP ]]/20,IF(WWWW[[#This Row],[Location Type 1]]="Temporary Location",WWWW[[#This Row],[Total PoP ]]/50,(WWWW[[#This Row],[Total PoP ]]/6))),0)</f>
        <v>128</v>
      </c>
      <c r="CR369" s="647">
        <f>IF(WWWW[[#This Row],[Total required Latrines]]-(WWWW[[#This Row],['#_Constructed latrines_by_WASHAgencies]]+WWWW[[#This Row],['#_Non Cluster partner latrines]])&lt;0,0,WWWW[[#This Row],[Total required Latrines]]-(WWWW[[#This Row],['#_Constructed latrines_by_WASHAgencies]]+WWWW[[#This Row],['#_Non Cluster partner latrines]]))</f>
        <v>128</v>
      </c>
      <c r="CS369" s="79">
        <f>1-WWWW[[#This Row],[% people access to functioning Latrine]]</f>
        <v>1</v>
      </c>
      <c r="CT369" s="649">
        <f>IF(OR(WWWW[[#This Row],['#_Non-functional latrines]]="",WWWW[[#This Row],['#_Non-functional latrines]]=0),0,WWWW[[#This Row],['#_Non-functional latrines]]/(WWWW[[#This Row],['#_Constructed latrines_by_WASHAgencies]]+WWWW[[#This Row],['#_Non Cluster partner latrines]]))</f>
        <v>0</v>
      </c>
      <c r="CU369" s="645">
        <f>IF(500*(WWWW[[#This Row],['#_male hygiene promoters]]+WWWW[[#This Row],['#_female hygiene promoters]])&gt;WWWW[[#This Row],[Total PoP ]],WWWW[[#This Row],[Total PoP ]],500*(WWWW[[#This Row],['#_male hygiene promoters]]+WWWW[[#This Row],['#_female hygiene promoters]]))</f>
        <v>0</v>
      </c>
      <c r="CV369"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69"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69" s="647">
        <f>IF(WWWW[[#This Row],['# People with access to soap]]&gt;WWWW[[#This Row],['# People with access to Sanity Pads]],WWWW[[#This Row],['# People with access to soap]],WWWW[[#This Row],['# People with access to Sanity Pads]])</f>
        <v>0</v>
      </c>
      <c r="CY369"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69" s="650">
        <f>IF(WWWW[[#This Row],[HRP3]]/WWWW[[#This Row],[Total PoP ]]&gt;100%,100%,WWWW[[#This Row],[HRP3]]/WWWW[[#This Row],[Total PoP ]])</f>
        <v>0</v>
      </c>
      <c r="DA369" s="649">
        <f>1-WWWW[[#This Row],[Hygiene Coverage%]]</f>
        <v>1</v>
      </c>
      <c r="DB369" s="648">
        <f>WWWW[[#This Row],['# people reached by regular dedicated hygiene promotion_5]]/WWWW[[#This Row],[Total PoP ]]</f>
        <v>0</v>
      </c>
      <c r="DC369" s="648">
        <f>IF(WWWW[[#This Row],['#_households that received standard amount of soap for this quarter]]/WWWW[[#This Row],[Total HH]]&gt;1,1,WWWW[[#This Row],['#_households that received standard amount of soap for this quarter]]/WWWW[[#This Row],[Total HH]])</f>
        <v>0</v>
      </c>
      <c r="DD369" s="648">
        <f>IF(WWWW[[#This Row],['#_households that received standard amount of sanitary pads for this quarter]]/WWWW[[#This Row],[Total HH]]&gt;1,1,WWWW[[#This Row],['#_households that received standard amount of sanitary pads for this quarter]]/WWWW[[#This Row],[Total HH]])</f>
        <v>0</v>
      </c>
      <c r="DE369" s="647">
        <f>WWWW[[#This Row],['#_Constructed/Existing hand washing stations]]-WWWW[[#This Row],['#_Non-Functional_hand_washing_stations]]</f>
        <v>0</v>
      </c>
      <c r="DF369" s="667">
        <f>IF(WWWW[[#This Row],['# Functional hand washing stations during reporting period]]*20&gt;WWWW[[#This Row],[Total HH]],WWWW[[#This Row],[Total HH]],WWWW[[#This Row],['# Functional hand washing stations during reporting period]]*20)</f>
        <v>0</v>
      </c>
      <c r="DG369" s="645">
        <f>IF(WWWW[[#This Row],[Is sufficient soap available for TLS? (Yes/No)]]="yes",WWWW[[#This Row],['#_Constructed/Existing hand washing stations at TLS]],0)</f>
        <v>0</v>
      </c>
      <c r="DH369" s="645">
        <f>IF(WWWW[[#This Row],['# Functional hand washing stations during reporting period]]*100&gt;WWWW[[#This Row],[Total PoP ]],WWWW[[#This Row],[Total PoP ]],WWWW[[#This Row],['# Functional hand washing stations during reporting period]]*100)</f>
        <v>0</v>
      </c>
      <c r="DI369" s="645" t="str">
        <f>IF(WWWW[[#This Row],['#_students at TLS_CFS]]="","No","Yes")</f>
        <v>No</v>
      </c>
      <c r="DJ369" s="643">
        <f>VLOOKUP(WWWW[[#This Row],[Site Name]],SiteDB6[[Site Name]:[CCCM Management]],6,FALSE)</f>
        <v>0</v>
      </c>
      <c r="DK369" s="643">
        <f>VLOOKUP(WWWW[[#This Row],[Site Name]],SiteDB6[[Site Name]:[CCCM Focal Agency]],7,FALSE)</f>
        <v>0</v>
      </c>
      <c r="DL369" s="643" t="str">
        <f>VLOOKUP(WWWW[[#This Row],[Site Name]],SiteDB6[[Site Name]:[Location Type 1]],9,FALSE)</f>
        <v>Village</v>
      </c>
      <c r="DM369" s="643" t="str">
        <f>VLOOKUP(WWWW[[#This Row],[Site Name]],SiteDB6[[Site Name]:[Type of Accommodation]],10,FALSE)</f>
        <v>Village</v>
      </c>
      <c r="DN369" s="643">
        <f>VLOOKUP(WWWW[[#This Row],[Site Name]],SiteDB6[[Site Name]:[Ethnic or GCA/NGCA]],11,FALSE)</f>
        <v>0</v>
      </c>
      <c r="DO369" s="643">
        <f>VLOOKUP(WWWW[[#This Row],[Site Name]],SiteDB6[[Site Name]:[Lat]],12,FALSE)</f>
        <v>20.727590559999999</v>
      </c>
      <c r="DP369" s="643">
        <f>VLOOKUP(WWWW[[#This Row],[Site Name]],SiteDB6[[Site Name]:[Long]],13,FALSE)</f>
        <v>92.969352720000003</v>
      </c>
      <c r="DQ369" s="643">
        <f>VLOOKUP(WWWW[[#This Row],[Site Name]],SiteDB6[[Site Name]:[Pcode]],3,FALSE)</f>
        <v>196816</v>
      </c>
      <c r="DR369" s="652" t="str">
        <f t="shared" si="12"/>
        <v>Covered</v>
      </c>
      <c r="DS369" s="652"/>
    </row>
    <row r="370" spans="1:126">
      <c r="A370" s="637" t="s">
        <v>2525</v>
      </c>
      <c r="B370" s="637" t="s">
        <v>336</v>
      </c>
      <c r="C370" s="644" t="s">
        <v>336</v>
      </c>
      <c r="D370" s="644" t="s">
        <v>307</v>
      </c>
      <c r="E370" s="663" t="s">
        <v>3014</v>
      </c>
      <c r="F370" s="644" t="s">
        <v>320</v>
      </c>
      <c r="G370" s="663" t="str">
        <f>VLOOKUP(WWWW[[#This Row],[Site Name]],SiteDB6[[Site Name]:[Location Type]],8,FALSE)</f>
        <v>Village</v>
      </c>
      <c r="H370" s="644" t="s">
        <v>2312</v>
      </c>
      <c r="I370" s="646">
        <v>120</v>
      </c>
      <c r="J370" s="646">
        <v>531</v>
      </c>
      <c r="K370" s="653">
        <v>43374</v>
      </c>
      <c r="L370" s="654">
        <v>43738</v>
      </c>
      <c r="M370" s="646"/>
      <c r="N370" s="646"/>
      <c r="O370" s="646"/>
      <c r="P370" s="646"/>
      <c r="Q370" s="645"/>
      <c r="R370" s="646"/>
      <c r="S370" s="646"/>
      <c r="T370" s="646"/>
      <c r="U370" s="646"/>
      <c r="V370" s="646"/>
      <c r="W370" s="646"/>
      <c r="X370" s="646"/>
      <c r="Y370" s="646"/>
      <c r="Z370" s="646"/>
      <c r="AA370" s="646"/>
      <c r="AB370" s="646"/>
      <c r="AC370" s="646"/>
      <c r="AD370" s="646"/>
      <c r="AE370" s="646"/>
      <c r="AF370" s="646"/>
      <c r="AG370" s="646"/>
      <c r="AH370" s="646"/>
      <c r="AI370" s="646"/>
      <c r="AJ370" s="646"/>
      <c r="AK370" s="646"/>
      <c r="AL370" s="646"/>
      <c r="AM370" s="646"/>
      <c r="AN370" s="646"/>
      <c r="AO370" s="652"/>
      <c r="AP370" s="646"/>
      <c r="AQ370" s="646"/>
      <c r="AR370" s="648"/>
      <c r="AS370" s="646"/>
      <c r="AT370" s="646"/>
      <c r="AU370" s="646"/>
      <c r="AV370" s="646"/>
      <c r="AW370" s="646"/>
      <c r="AX370" s="643"/>
      <c r="AY370" s="652"/>
      <c r="AZ370" s="646"/>
      <c r="BA370" s="646"/>
      <c r="BB370" s="646"/>
      <c r="BC370" s="643"/>
      <c r="BD370" s="646"/>
      <c r="BE370" s="646"/>
      <c r="BF370" s="646"/>
      <c r="BG370" s="646"/>
      <c r="BH370" s="646"/>
      <c r="BI370" s="646"/>
      <c r="BJ370" s="646"/>
      <c r="BK370" s="646"/>
      <c r="BL370" s="646"/>
      <c r="BM370" s="643"/>
      <c r="BN370" s="647"/>
      <c r="BO370" s="648"/>
      <c r="BP370" s="643"/>
      <c r="BQ370" s="649" t="str">
        <f>IFERROR(WWWW[[#This Row],['#_Water sources treated]]/WWWW[[#This Row],['#_Water sources tested for contamination]],"no test")</f>
        <v>no test</v>
      </c>
      <c r="BR370" s="648" t="str">
        <f>IFERROR(WWWW[[#This Row],['#_Household received remediation action due to contamination]]/WWWW[[#This Row],['#_Household water samples tested for contamination]],"no test")</f>
        <v>no test</v>
      </c>
      <c r="BS370" s="647" t="str">
        <f>IF(AND(WWWW[[#This Row],[% of water sources treated]]="no test",WWWW[[#This Row],[% Household received corrective actions]]="no test"),"No Test","Tested")</f>
        <v>No Test</v>
      </c>
      <c r="BT370" s="647">
        <f>WWWW[[#This Row],['#_Constructed/existing protected hand dug well]]-WWWW[[#This Row],['#_Non-functional protected hand dug well]]</f>
        <v>0</v>
      </c>
      <c r="BU370" s="647">
        <f>(WWWW[[#This Row],['#_Constructed/Existing tube wells/boreholes/handpumps_WASH_agency]]+WWWW[[#This Row],['#_Non-Cluster partner water tube-wells/boreholes/handpumps]])-WWWW[[#This Row],['#_Non-functional tube wells/boreholes/handpumps]]</f>
        <v>0</v>
      </c>
      <c r="BV370" s="647">
        <f>WWWW[[#This Row],['#_Constructed/Existingwater storage tank with gravity fed reticulation system]]-WWWW[[#This Row],['#_Non-functional storage tank gravity fed reticulation system]]</f>
        <v>0</v>
      </c>
      <c r="BW370" s="647">
        <f>WWWW[[#This Row],['#_Water boating or water trucking]]</f>
        <v>0</v>
      </c>
      <c r="BX370" s="647">
        <f>WWWW[[#This Row],['#_Constructed/Existing water distribution system from river or natural spring]]</f>
        <v>0</v>
      </c>
      <c r="BY370"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70"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70" s="648">
        <f>IF(WWWW[[#This Row],[Location Type 1]]="Village",WWWW[[#This Row],[Access to safe drinking water for Village]],WWWW[[#This Row],[Access to safe drinking water for Camp]])</f>
        <v>0</v>
      </c>
      <c r="CB370" s="645">
        <f>WWWW[[#This Row],[%Equitable and continuous access to sufficient quantity of safe drinking water]]*WWWW[[#This Row],[Total PoP ]]</f>
        <v>0</v>
      </c>
      <c r="CC370" s="648">
        <f>IF((WWWW[[#This Row],['#_Constructed/Existing protected/fenced ponds]]*250)/WWWW[[#This Row],[Total PoP ]]&gt;1,1,(WWWW[[#This Row],['#_Constructed/Existing protected/fenced ponds]]*250)/WWWW[[#This Row],[Total PoP ]])</f>
        <v>0</v>
      </c>
      <c r="CD370" s="645">
        <f>WWWW[[#This Row],[% Access to unimproved water points]]*WWWW[[#This Row],[Total PoP ]]</f>
        <v>0</v>
      </c>
      <c r="CE370"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70"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70" s="645">
        <f>WWWW[[#This Row],[HRP1]]/500</f>
        <v>0</v>
      </c>
      <c r="CH370" s="650">
        <f>1-WWWW[[#This Row],[% Equitable and continuous access to sufficient quantity of domestic water]]</f>
        <v>1</v>
      </c>
      <c r="CI370" s="645">
        <f>WWWW[[#This Row],[%equitable and continuous access to sufficient quantity of safe drinking and domestic water''s GAP]]*WWWW[[#This Row],[Total PoP ]]</f>
        <v>531</v>
      </c>
      <c r="CJ370" s="647">
        <f>IF(WWWW[[#This Row],[Total required water points]]-WWWW[[#This Row],['#Water points coverage]]&lt;0,0,WWWW[[#This Row],[Total required water points]]-WWWW[[#This Row],['#Water points coverage]])</f>
        <v>1</v>
      </c>
      <c r="CK370" s="647">
        <f>ROUND(IF(WWWW[[#This Row],[Total PoP ]]&lt;500,1,WWWW[[#This Row],[Total PoP ]]/500),0)</f>
        <v>1</v>
      </c>
      <c r="CL370" s="647">
        <f>(WWWW[[#This Row],['#_Constructed latrines_by_WASHAgencies]]+WWWW[[#This Row],['#_Non Cluster partner latrines]])-WWWW[[#This Row],['#_Non-functional latrines]]</f>
        <v>0</v>
      </c>
      <c r="CM370"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70"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70"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70" s="647" t="str">
        <f>IF(WWWW[[#This Row],[Location Type 1]]="Village","NA",IF(WWWW[[#This Row],['#_Constructed/Existing latrines in TLS]]*50&gt;WWWW[[#This Row],['#_students at TLS_CFS]],WWWW[[#This Row],['#_students at TLS_CFS]],(WWWW[[#This Row],['#_Constructed/Existing latrines in TLS]]*50)))</f>
        <v>NA</v>
      </c>
      <c r="CQ370" s="647">
        <f>ROUND(IF(WWWW[[#This Row],[Location Type 1]]="camp",WWWW[[#This Row],[Total PoP ]]/20,IF(WWWW[[#This Row],[Location Type 1]]="Temporary Location",WWWW[[#This Row],[Total PoP ]]/50,(WWWW[[#This Row],[Total PoP ]]/6))),0)</f>
        <v>89</v>
      </c>
      <c r="CR370" s="647">
        <f>IF(WWWW[[#This Row],[Total required Latrines]]-(WWWW[[#This Row],['#_Constructed latrines_by_WASHAgencies]]+WWWW[[#This Row],['#_Non Cluster partner latrines]])&lt;0,0,WWWW[[#This Row],[Total required Latrines]]-(WWWW[[#This Row],['#_Constructed latrines_by_WASHAgencies]]+WWWW[[#This Row],['#_Non Cluster partner latrines]]))</f>
        <v>89</v>
      </c>
      <c r="CS370" s="79">
        <f>1-WWWW[[#This Row],[% people access to functioning Latrine]]</f>
        <v>1</v>
      </c>
      <c r="CT370" s="649">
        <f>IF(OR(WWWW[[#This Row],['#_Non-functional latrines]]="",WWWW[[#This Row],['#_Non-functional latrines]]=0),0,WWWW[[#This Row],['#_Non-functional latrines]]/(WWWW[[#This Row],['#_Constructed latrines_by_WASHAgencies]]+WWWW[[#This Row],['#_Non Cluster partner latrines]]))</f>
        <v>0</v>
      </c>
      <c r="CU370" s="645">
        <f>IF(500*(WWWW[[#This Row],['#_male hygiene promoters]]+WWWW[[#This Row],['#_female hygiene promoters]])&gt;WWWW[[#This Row],[Total PoP ]],WWWW[[#This Row],[Total PoP ]],500*(WWWW[[#This Row],['#_male hygiene promoters]]+WWWW[[#This Row],['#_female hygiene promoters]]))</f>
        <v>0</v>
      </c>
      <c r="CV370"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70"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70" s="647">
        <f>IF(WWWW[[#This Row],['# People with access to soap]]&gt;WWWW[[#This Row],['# People with access to Sanity Pads]],WWWW[[#This Row],['# People with access to soap]],WWWW[[#This Row],['# People with access to Sanity Pads]])</f>
        <v>0</v>
      </c>
      <c r="CY370"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70" s="650">
        <f>IF(WWWW[[#This Row],[HRP3]]/WWWW[[#This Row],[Total PoP ]]&gt;100%,100%,WWWW[[#This Row],[HRP3]]/WWWW[[#This Row],[Total PoP ]])</f>
        <v>0</v>
      </c>
      <c r="DA370" s="649">
        <f>1-WWWW[[#This Row],[Hygiene Coverage%]]</f>
        <v>1</v>
      </c>
      <c r="DB370" s="648">
        <f>WWWW[[#This Row],['# people reached by regular dedicated hygiene promotion_5]]/WWWW[[#This Row],[Total PoP ]]</f>
        <v>0</v>
      </c>
      <c r="DC370" s="648">
        <f>IF(WWWW[[#This Row],['#_households that received standard amount of soap for this quarter]]/WWWW[[#This Row],[Total HH]]&gt;1,1,WWWW[[#This Row],['#_households that received standard amount of soap for this quarter]]/WWWW[[#This Row],[Total HH]])</f>
        <v>0</v>
      </c>
      <c r="DD370" s="648">
        <f>IF(WWWW[[#This Row],['#_households that received standard amount of sanitary pads for this quarter]]/WWWW[[#This Row],[Total HH]]&gt;1,1,WWWW[[#This Row],['#_households that received standard amount of sanitary pads for this quarter]]/WWWW[[#This Row],[Total HH]])</f>
        <v>0</v>
      </c>
      <c r="DE370" s="647">
        <f>WWWW[[#This Row],['#_Constructed/Existing hand washing stations]]-WWWW[[#This Row],['#_Non-Functional_hand_washing_stations]]</f>
        <v>0</v>
      </c>
      <c r="DF370" s="667">
        <f>IF(WWWW[[#This Row],['# Functional hand washing stations during reporting period]]*20&gt;WWWW[[#This Row],[Total HH]],WWWW[[#This Row],[Total HH]],WWWW[[#This Row],['# Functional hand washing stations during reporting period]]*20)</f>
        <v>0</v>
      </c>
      <c r="DG370" s="645">
        <f>IF(WWWW[[#This Row],[Is sufficient soap available for TLS? (Yes/No)]]="yes",WWWW[[#This Row],['#_Constructed/Existing hand washing stations at TLS]],0)</f>
        <v>0</v>
      </c>
      <c r="DH370" s="645">
        <f>IF(WWWW[[#This Row],['# Functional hand washing stations during reporting period]]*100&gt;WWWW[[#This Row],[Total PoP ]],WWWW[[#This Row],[Total PoP ]],WWWW[[#This Row],['# Functional hand washing stations during reporting period]]*100)</f>
        <v>0</v>
      </c>
      <c r="DI370" s="645" t="str">
        <f>IF(WWWW[[#This Row],['#_students at TLS_CFS]]="","No","Yes")</f>
        <v>No</v>
      </c>
      <c r="DJ370" s="643">
        <f>VLOOKUP(WWWW[[#This Row],[Site Name]],SiteDB6[[Site Name]:[CCCM Management]],6,FALSE)</f>
        <v>0</v>
      </c>
      <c r="DK370" s="643">
        <f>VLOOKUP(WWWW[[#This Row],[Site Name]],SiteDB6[[Site Name]:[CCCM Focal Agency]],7,FALSE)</f>
        <v>0</v>
      </c>
      <c r="DL370" s="643" t="str">
        <f>VLOOKUP(WWWW[[#This Row],[Site Name]],SiteDB6[[Site Name]:[Location Type 1]],9,FALSE)</f>
        <v>Village</v>
      </c>
      <c r="DM370" s="643" t="str">
        <f>VLOOKUP(WWWW[[#This Row],[Site Name]],SiteDB6[[Site Name]:[Type of Accommodation]],10,FALSE)</f>
        <v>Village</v>
      </c>
      <c r="DN370" s="643">
        <f>VLOOKUP(WWWW[[#This Row],[Site Name]],SiteDB6[[Site Name]:[Ethnic or GCA/NGCA]],11,FALSE)</f>
        <v>0</v>
      </c>
      <c r="DO370" s="643">
        <f>VLOOKUP(WWWW[[#This Row],[Site Name]],SiteDB6[[Site Name]:[Lat]],12,FALSE)</f>
        <v>20.896429059999999</v>
      </c>
      <c r="DP370" s="643">
        <f>VLOOKUP(WWWW[[#This Row],[Site Name]],SiteDB6[[Site Name]:[Long]],13,FALSE)</f>
        <v>92.940193179999994</v>
      </c>
      <c r="DQ370" s="643">
        <f>VLOOKUP(WWWW[[#This Row],[Site Name]],SiteDB6[[Site Name]:[Pcode]],3,FALSE)</f>
        <v>196804</v>
      </c>
      <c r="DR370" s="652" t="str">
        <f t="shared" si="12"/>
        <v>Covered</v>
      </c>
      <c r="DS370" s="652"/>
    </row>
    <row r="371" spans="1:126">
      <c r="A371" s="637" t="s">
        <v>2525</v>
      </c>
      <c r="B371" s="637" t="s">
        <v>336</v>
      </c>
      <c r="C371" s="644" t="s">
        <v>336</v>
      </c>
      <c r="D371" s="644" t="s">
        <v>307</v>
      </c>
      <c r="E371" s="663" t="s">
        <v>3014</v>
      </c>
      <c r="F371" s="644" t="s">
        <v>320</v>
      </c>
      <c r="G371" s="663" t="str">
        <f>VLOOKUP(WWWW[[#This Row],[Site Name]],SiteDB6[[Site Name]:[Location Type]],8,FALSE)</f>
        <v>Village</v>
      </c>
      <c r="H371" s="644" t="s">
        <v>2305</v>
      </c>
      <c r="I371" s="646">
        <v>116</v>
      </c>
      <c r="J371" s="646">
        <v>667</v>
      </c>
      <c r="K371" s="653">
        <v>43374</v>
      </c>
      <c r="L371" s="654">
        <v>43738</v>
      </c>
      <c r="M371" s="646"/>
      <c r="N371" s="646"/>
      <c r="O371" s="646"/>
      <c r="P371" s="646"/>
      <c r="Q371" s="645"/>
      <c r="R371" s="646"/>
      <c r="S371" s="646"/>
      <c r="T371" s="646"/>
      <c r="U371" s="646"/>
      <c r="V371" s="646"/>
      <c r="W371" s="646"/>
      <c r="X371" s="646"/>
      <c r="Y371" s="646"/>
      <c r="Z371" s="646"/>
      <c r="AA371" s="646"/>
      <c r="AB371" s="646"/>
      <c r="AC371" s="646"/>
      <c r="AD371" s="646"/>
      <c r="AE371" s="646"/>
      <c r="AF371" s="646"/>
      <c r="AG371" s="646"/>
      <c r="AH371" s="646"/>
      <c r="AI371" s="646"/>
      <c r="AJ371" s="646"/>
      <c r="AK371" s="646"/>
      <c r="AL371" s="646"/>
      <c r="AM371" s="646"/>
      <c r="AN371" s="646"/>
      <c r="AO371" s="652"/>
      <c r="AP371" s="646"/>
      <c r="AQ371" s="646"/>
      <c r="AR371" s="648"/>
      <c r="AS371" s="646"/>
      <c r="AT371" s="646"/>
      <c r="AU371" s="646"/>
      <c r="AV371" s="646"/>
      <c r="AW371" s="646"/>
      <c r="AX371" s="643"/>
      <c r="AY371" s="652"/>
      <c r="AZ371" s="646"/>
      <c r="BA371" s="646"/>
      <c r="BB371" s="646"/>
      <c r="BC371" s="643"/>
      <c r="BD371" s="646"/>
      <c r="BE371" s="646"/>
      <c r="BF371" s="646"/>
      <c r="BG371" s="646"/>
      <c r="BH371" s="646"/>
      <c r="BI371" s="646"/>
      <c r="BJ371" s="646"/>
      <c r="BK371" s="646"/>
      <c r="BL371" s="646"/>
      <c r="BM371" s="643"/>
      <c r="BN371" s="647"/>
      <c r="BO371" s="648"/>
      <c r="BP371" s="643"/>
      <c r="BQ371" s="649" t="str">
        <f>IFERROR(WWWW[[#This Row],['#_Water sources treated]]/WWWW[[#This Row],['#_Water sources tested for contamination]],"no test")</f>
        <v>no test</v>
      </c>
      <c r="BR371" s="648" t="str">
        <f>IFERROR(WWWW[[#This Row],['#_Household received remediation action due to contamination]]/WWWW[[#This Row],['#_Household water samples tested for contamination]],"no test")</f>
        <v>no test</v>
      </c>
      <c r="BS371" s="647" t="str">
        <f>IF(AND(WWWW[[#This Row],[% of water sources treated]]="no test",WWWW[[#This Row],[% Household received corrective actions]]="no test"),"No Test","Tested")</f>
        <v>No Test</v>
      </c>
      <c r="BT371" s="647">
        <f>WWWW[[#This Row],['#_Constructed/existing protected hand dug well]]-WWWW[[#This Row],['#_Non-functional protected hand dug well]]</f>
        <v>0</v>
      </c>
      <c r="BU371" s="647">
        <f>(WWWW[[#This Row],['#_Constructed/Existing tube wells/boreholes/handpumps_WASH_agency]]+WWWW[[#This Row],['#_Non-Cluster partner water tube-wells/boreholes/handpumps]])-WWWW[[#This Row],['#_Non-functional tube wells/boreholes/handpumps]]</f>
        <v>0</v>
      </c>
      <c r="BV371" s="647">
        <f>WWWW[[#This Row],['#_Constructed/Existingwater storage tank with gravity fed reticulation system]]-WWWW[[#This Row],['#_Non-functional storage tank gravity fed reticulation system]]</f>
        <v>0</v>
      </c>
      <c r="BW371" s="647">
        <f>WWWW[[#This Row],['#_Water boating or water trucking]]</f>
        <v>0</v>
      </c>
      <c r="BX371" s="647">
        <f>WWWW[[#This Row],['#_Constructed/Existing water distribution system from river or natural spring]]</f>
        <v>0</v>
      </c>
      <c r="BY371"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71"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71" s="648">
        <f>IF(WWWW[[#This Row],[Location Type 1]]="Village",WWWW[[#This Row],[Access to safe drinking water for Village]],WWWW[[#This Row],[Access to safe drinking water for Camp]])</f>
        <v>0</v>
      </c>
      <c r="CB371" s="645">
        <f>WWWW[[#This Row],[%Equitable and continuous access to sufficient quantity of safe drinking water]]*WWWW[[#This Row],[Total PoP ]]</f>
        <v>0</v>
      </c>
      <c r="CC371" s="648">
        <f>IF((WWWW[[#This Row],['#_Constructed/Existing protected/fenced ponds]]*250)/WWWW[[#This Row],[Total PoP ]]&gt;1,1,(WWWW[[#This Row],['#_Constructed/Existing protected/fenced ponds]]*250)/WWWW[[#This Row],[Total PoP ]])</f>
        <v>0</v>
      </c>
      <c r="CD371" s="645">
        <f>WWWW[[#This Row],[% Access to unimproved water points]]*WWWW[[#This Row],[Total PoP ]]</f>
        <v>0</v>
      </c>
      <c r="CE371"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71"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71" s="645">
        <f>WWWW[[#This Row],[HRP1]]/500</f>
        <v>0</v>
      </c>
      <c r="CH371" s="650">
        <f>1-WWWW[[#This Row],[% Equitable and continuous access to sufficient quantity of domestic water]]</f>
        <v>1</v>
      </c>
      <c r="CI371" s="645">
        <f>WWWW[[#This Row],[%equitable and continuous access to sufficient quantity of safe drinking and domestic water''s GAP]]*WWWW[[#This Row],[Total PoP ]]</f>
        <v>667</v>
      </c>
      <c r="CJ371" s="647">
        <f>IF(WWWW[[#This Row],[Total required water points]]-WWWW[[#This Row],['#Water points coverage]]&lt;0,0,WWWW[[#This Row],[Total required water points]]-WWWW[[#This Row],['#Water points coverage]])</f>
        <v>1</v>
      </c>
      <c r="CK371" s="647">
        <f>ROUND(IF(WWWW[[#This Row],[Total PoP ]]&lt;500,1,WWWW[[#This Row],[Total PoP ]]/500),0)</f>
        <v>1</v>
      </c>
      <c r="CL371" s="647">
        <f>(WWWW[[#This Row],['#_Constructed latrines_by_WASHAgencies]]+WWWW[[#This Row],['#_Non Cluster partner latrines]])-WWWW[[#This Row],['#_Non-functional latrines]]</f>
        <v>0</v>
      </c>
      <c r="CM371"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71"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71"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71" s="647" t="str">
        <f>IF(WWWW[[#This Row],[Location Type 1]]="Village","NA",IF(WWWW[[#This Row],['#_Constructed/Existing latrines in TLS]]*50&gt;WWWW[[#This Row],['#_students at TLS_CFS]],WWWW[[#This Row],['#_students at TLS_CFS]],(WWWW[[#This Row],['#_Constructed/Existing latrines in TLS]]*50)))</f>
        <v>NA</v>
      </c>
      <c r="CQ371" s="647">
        <f>ROUND(IF(WWWW[[#This Row],[Location Type 1]]="camp",WWWW[[#This Row],[Total PoP ]]/20,IF(WWWW[[#This Row],[Location Type 1]]="Temporary Location",WWWW[[#This Row],[Total PoP ]]/50,(WWWW[[#This Row],[Total PoP ]]/6))),0)</f>
        <v>111</v>
      </c>
      <c r="CR371" s="647">
        <f>IF(WWWW[[#This Row],[Total required Latrines]]-(WWWW[[#This Row],['#_Constructed latrines_by_WASHAgencies]]+WWWW[[#This Row],['#_Non Cluster partner latrines]])&lt;0,0,WWWW[[#This Row],[Total required Latrines]]-(WWWW[[#This Row],['#_Constructed latrines_by_WASHAgencies]]+WWWW[[#This Row],['#_Non Cluster partner latrines]]))</f>
        <v>111</v>
      </c>
      <c r="CS371" s="79">
        <f>1-WWWW[[#This Row],[% people access to functioning Latrine]]</f>
        <v>1</v>
      </c>
      <c r="CT371" s="649">
        <f>IF(OR(WWWW[[#This Row],['#_Non-functional latrines]]="",WWWW[[#This Row],['#_Non-functional latrines]]=0),0,WWWW[[#This Row],['#_Non-functional latrines]]/(WWWW[[#This Row],['#_Constructed latrines_by_WASHAgencies]]+WWWW[[#This Row],['#_Non Cluster partner latrines]]))</f>
        <v>0</v>
      </c>
      <c r="CU371" s="645">
        <f>IF(500*(WWWW[[#This Row],['#_male hygiene promoters]]+WWWW[[#This Row],['#_female hygiene promoters]])&gt;WWWW[[#This Row],[Total PoP ]],WWWW[[#This Row],[Total PoP ]],500*(WWWW[[#This Row],['#_male hygiene promoters]]+WWWW[[#This Row],['#_female hygiene promoters]]))</f>
        <v>0</v>
      </c>
      <c r="CV371"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71"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71" s="647">
        <f>IF(WWWW[[#This Row],['# People with access to soap]]&gt;WWWW[[#This Row],['# People with access to Sanity Pads]],WWWW[[#This Row],['# People with access to soap]],WWWW[[#This Row],['# People with access to Sanity Pads]])</f>
        <v>0</v>
      </c>
      <c r="CY371"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71" s="650">
        <f>IF(WWWW[[#This Row],[HRP3]]/WWWW[[#This Row],[Total PoP ]]&gt;100%,100%,WWWW[[#This Row],[HRP3]]/WWWW[[#This Row],[Total PoP ]])</f>
        <v>0</v>
      </c>
      <c r="DA371" s="649">
        <f>1-WWWW[[#This Row],[Hygiene Coverage%]]</f>
        <v>1</v>
      </c>
      <c r="DB371" s="648">
        <f>WWWW[[#This Row],['# people reached by regular dedicated hygiene promotion_5]]/WWWW[[#This Row],[Total PoP ]]</f>
        <v>0</v>
      </c>
      <c r="DC371" s="648">
        <f>IF(WWWW[[#This Row],['#_households that received standard amount of soap for this quarter]]/WWWW[[#This Row],[Total HH]]&gt;1,1,WWWW[[#This Row],['#_households that received standard amount of soap for this quarter]]/WWWW[[#This Row],[Total HH]])</f>
        <v>0</v>
      </c>
      <c r="DD371" s="648">
        <f>IF(WWWW[[#This Row],['#_households that received standard amount of sanitary pads for this quarter]]/WWWW[[#This Row],[Total HH]]&gt;1,1,WWWW[[#This Row],['#_households that received standard amount of sanitary pads for this quarter]]/WWWW[[#This Row],[Total HH]])</f>
        <v>0</v>
      </c>
      <c r="DE371" s="647">
        <f>WWWW[[#This Row],['#_Constructed/Existing hand washing stations]]-WWWW[[#This Row],['#_Non-Functional_hand_washing_stations]]</f>
        <v>0</v>
      </c>
      <c r="DF371" s="667">
        <f>IF(WWWW[[#This Row],['# Functional hand washing stations during reporting period]]*20&gt;WWWW[[#This Row],[Total HH]],WWWW[[#This Row],[Total HH]],WWWW[[#This Row],['# Functional hand washing stations during reporting period]]*20)</f>
        <v>0</v>
      </c>
      <c r="DG371" s="645">
        <f>IF(WWWW[[#This Row],[Is sufficient soap available for TLS? (Yes/No)]]="yes",WWWW[[#This Row],['#_Constructed/Existing hand washing stations at TLS]],0)</f>
        <v>0</v>
      </c>
      <c r="DH371" s="645">
        <f>IF(WWWW[[#This Row],['# Functional hand washing stations during reporting period]]*100&gt;WWWW[[#This Row],[Total PoP ]],WWWW[[#This Row],[Total PoP ]],WWWW[[#This Row],['# Functional hand washing stations during reporting period]]*100)</f>
        <v>0</v>
      </c>
      <c r="DI371" s="645" t="str">
        <f>IF(WWWW[[#This Row],['#_students at TLS_CFS]]="","No","Yes")</f>
        <v>No</v>
      </c>
      <c r="DJ371" s="643">
        <f>VLOOKUP(WWWW[[#This Row],[Site Name]],SiteDB6[[Site Name]:[CCCM Management]],6,FALSE)</f>
        <v>0</v>
      </c>
      <c r="DK371" s="643">
        <f>VLOOKUP(WWWW[[#This Row],[Site Name]],SiteDB6[[Site Name]:[CCCM Focal Agency]],7,FALSE)</f>
        <v>0</v>
      </c>
      <c r="DL371" s="643" t="str">
        <f>VLOOKUP(WWWW[[#This Row],[Site Name]],SiteDB6[[Site Name]:[Location Type 1]],9,FALSE)</f>
        <v>Village</v>
      </c>
      <c r="DM371" s="643" t="str">
        <f>VLOOKUP(WWWW[[#This Row],[Site Name]],SiteDB6[[Site Name]:[Type of Accommodation]],10,FALSE)</f>
        <v>Village</v>
      </c>
      <c r="DN371" s="643">
        <f>VLOOKUP(WWWW[[#This Row],[Site Name]],SiteDB6[[Site Name]:[Ethnic or GCA/NGCA]],11,FALSE)</f>
        <v>0</v>
      </c>
      <c r="DO371" s="643">
        <f>VLOOKUP(WWWW[[#This Row],[Site Name]],SiteDB6[[Site Name]:[Lat]],12,FALSE)</f>
        <v>20.889249800000002</v>
      </c>
      <c r="DP371" s="643">
        <f>VLOOKUP(WWWW[[#This Row],[Site Name]],SiteDB6[[Site Name]:[Long]],13,FALSE)</f>
        <v>92.939201350000005</v>
      </c>
      <c r="DQ371" s="643">
        <f>VLOOKUP(WWWW[[#This Row],[Site Name]],SiteDB6[[Site Name]:[Pcode]],3,FALSE)</f>
        <v>0</v>
      </c>
      <c r="DR371" s="652" t="str">
        <f t="shared" si="12"/>
        <v>Covered</v>
      </c>
      <c r="DS371" s="652"/>
    </row>
    <row r="372" spans="1:126">
      <c r="A372" s="637" t="s">
        <v>2525</v>
      </c>
      <c r="B372" s="637" t="s">
        <v>336</v>
      </c>
      <c r="C372" s="644" t="s">
        <v>336</v>
      </c>
      <c r="D372" s="644" t="s">
        <v>307</v>
      </c>
      <c r="E372" s="663" t="s">
        <v>3014</v>
      </c>
      <c r="F372" s="644" t="s">
        <v>320</v>
      </c>
      <c r="G372" s="663" t="str">
        <f>VLOOKUP(WWWW[[#This Row],[Site Name]],SiteDB6[[Site Name]:[Location Type]],8,FALSE)</f>
        <v>Village</v>
      </c>
      <c r="H372" s="644" t="s">
        <v>591</v>
      </c>
      <c r="I372" s="646">
        <v>173</v>
      </c>
      <c r="J372" s="646">
        <v>1090</v>
      </c>
      <c r="K372" s="653">
        <v>43374</v>
      </c>
      <c r="L372" s="654">
        <v>43738</v>
      </c>
      <c r="M372" s="646"/>
      <c r="N372" s="646"/>
      <c r="O372" s="646"/>
      <c r="P372" s="646"/>
      <c r="Q372" s="645"/>
      <c r="R372" s="646"/>
      <c r="S372" s="646"/>
      <c r="T372" s="646"/>
      <c r="U372" s="646"/>
      <c r="V372" s="646"/>
      <c r="W372" s="646"/>
      <c r="X372" s="646"/>
      <c r="Y372" s="646"/>
      <c r="Z372" s="646"/>
      <c r="AA372" s="646"/>
      <c r="AB372" s="646"/>
      <c r="AC372" s="646"/>
      <c r="AD372" s="646"/>
      <c r="AE372" s="646"/>
      <c r="AF372" s="646"/>
      <c r="AG372" s="646"/>
      <c r="AH372" s="646"/>
      <c r="AI372" s="646"/>
      <c r="AJ372" s="646"/>
      <c r="AK372" s="646"/>
      <c r="AL372" s="646"/>
      <c r="AM372" s="646"/>
      <c r="AN372" s="646"/>
      <c r="AO372" s="652"/>
      <c r="AP372" s="646"/>
      <c r="AQ372" s="646"/>
      <c r="AR372" s="648"/>
      <c r="AS372" s="646"/>
      <c r="AT372" s="646"/>
      <c r="AU372" s="646"/>
      <c r="AV372" s="646"/>
      <c r="AW372" s="646"/>
      <c r="AX372" s="643"/>
      <c r="AY372" s="652"/>
      <c r="AZ372" s="646"/>
      <c r="BA372" s="646"/>
      <c r="BB372" s="646"/>
      <c r="BC372" s="643"/>
      <c r="BD372" s="646"/>
      <c r="BE372" s="646"/>
      <c r="BF372" s="646"/>
      <c r="BG372" s="646"/>
      <c r="BH372" s="646"/>
      <c r="BI372" s="646"/>
      <c r="BJ372" s="646"/>
      <c r="BK372" s="646"/>
      <c r="BL372" s="646"/>
      <c r="BM372" s="643"/>
      <c r="BN372" s="647"/>
      <c r="BO372" s="648"/>
      <c r="BP372" s="643"/>
      <c r="BQ372" s="649" t="str">
        <f>IFERROR(WWWW[[#This Row],['#_Water sources treated]]/WWWW[[#This Row],['#_Water sources tested for contamination]],"no test")</f>
        <v>no test</v>
      </c>
      <c r="BR372" s="648" t="str">
        <f>IFERROR(WWWW[[#This Row],['#_Household received remediation action due to contamination]]/WWWW[[#This Row],['#_Household water samples tested for contamination]],"no test")</f>
        <v>no test</v>
      </c>
      <c r="BS372" s="647" t="str">
        <f>IF(AND(WWWW[[#This Row],[% of water sources treated]]="no test",WWWW[[#This Row],[% Household received corrective actions]]="no test"),"No Test","Tested")</f>
        <v>No Test</v>
      </c>
      <c r="BT372" s="647">
        <f>WWWW[[#This Row],['#_Constructed/existing protected hand dug well]]-WWWW[[#This Row],['#_Non-functional protected hand dug well]]</f>
        <v>0</v>
      </c>
      <c r="BU372" s="647">
        <f>(WWWW[[#This Row],['#_Constructed/Existing tube wells/boreholes/handpumps_WASH_agency]]+WWWW[[#This Row],['#_Non-Cluster partner water tube-wells/boreholes/handpumps]])-WWWW[[#This Row],['#_Non-functional tube wells/boreholes/handpumps]]</f>
        <v>0</v>
      </c>
      <c r="BV372" s="647">
        <f>WWWW[[#This Row],['#_Constructed/Existingwater storage tank with gravity fed reticulation system]]-WWWW[[#This Row],['#_Non-functional storage tank gravity fed reticulation system]]</f>
        <v>0</v>
      </c>
      <c r="BW372" s="647">
        <f>WWWW[[#This Row],['#_Water boating or water trucking]]</f>
        <v>0</v>
      </c>
      <c r="BX372" s="647">
        <f>WWWW[[#This Row],['#_Constructed/Existing water distribution system from river or natural spring]]</f>
        <v>0</v>
      </c>
      <c r="BY372"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72"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72" s="648">
        <f>IF(WWWW[[#This Row],[Location Type 1]]="Village",WWWW[[#This Row],[Access to safe drinking water for Village]],WWWW[[#This Row],[Access to safe drinking water for Camp]])</f>
        <v>0</v>
      </c>
      <c r="CB372" s="645">
        <f>WWWW[[#This Row],[%Equitable and continuous access to sufficient quantity of safe drinking water]]*WWWW[[#This Row],[Total PoP ]]</f>
        <v>0</v>
      </c>
      <c r="CC372" s="648">
        <f>IF((WWWW[[#This Row],['#_Constructed/Existing protected/fenced ponds]]*250)/WWWW[[#This Row],[Total PoP ]]&gt;1,1,(WWWW[[#This Row],['#_Constructed/Existing protected/fenced ponds]]*250)/WWWW[[#This Row],[Total PoP ]])</f>
        <v>0</v>
      </c>
      <c r="CD372" s="645">
        <f>WWWW[[#This Row],[% Access to unimproved water points]]*WWWW[[#This Row],[Total PoP ]]</f>
        <v>0</v>
      </c>
      <c r="CE372"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72"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72" s="645">
        <f>WWWW[[#This Row],[HRP1]]/500</f>
        <v>0</v>
      </c>
      <c r="CH372" s="650">
        <f>1-WWWW[[#This Row],[% Equitable and continuous access to sufficient quantity of domestic water]]</f>
        <v>1</v>
      </c>
      <c r="CI372" s="645">
        <f>WWWW[[#This Row],[%equitable and continuous access to sufficient quantity of safe drinking and domestic water''s GAP]]*WWWW[[#This Row],[Total PoP ]]</f>
        <v>1090</v>
      </c>
      <c r="CJ372" s="647">
        <f>IF(WWWW[[#This Row],[Total required water points]]-WWWW[[#This Row],['#Water points coverage]]&lt;0,0,WWWW[[#This Row],[Total required water points]]-WWWW[[#This Row],['#Water points coverage]])</f>
        <v>2</v>
      </c>
      <c r="CK372" s="647">
        <f>ROUND(IF(WWWW[[#This Row],[Total PoP ]]&lt;500,1,WWWW[[#This Row],[Total PoP ]]/500),0)</f>
        <v>2</v>
      </c>
      <c r="CL372" s="647">
        <f>(WWWW[[#This Row],['#_Constructed latrines_by_WASHAgencies]]+WWWW[[#This Row],['#_Non Cluster partner latrines]])-WWWW[[#This Row],['#_Non-functional latrines]]</f>
        <v>0</v>
      </c>
      <c r="CM372"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72"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72"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72" s="647" t="str">
        <f>IF(WWWW[[#This Row],[Location Type 1]]="Village","NA",IF(WWWW[[#This Row],['#_Constructed/Existing latrines in TLS]]*50&gt;WWWW[[#This Row],['#_students at TLS_CFS]],WWWW[[#This Row],['#_students at TLS_CFS]],(WWWW[[#This Row],['#_Constructed/Existing latrines in TLS]]*50)))</f>
        <v>NA</v>
      </c>
      <c r="CQ372" s="647">
        <f>ROUND(IF(WWWW[[#This Row],[Location Type 1]]="camp",WWWW[[#This Row],[Total PoP ]]/20,IF(WWWW[[#This Row],[Location Type 1]]="Temporary Location",WWWW[[#This Row],[Total PoP ]]/50,(WWWW[[#This Row],[Total PoP ]]/6))),0)</f>
        <v>182</v>
      </c>
      <c r="CR372" s="647">
        <f>IF(WWWW[[#This Row],[Total required Latrines]]-(WWWW[[#This Row],['#_Constructed latrines_by_WASHAgencies]]+WWWW[[#This Row],['#_Non Cluster partner latrines]])&lt;0,0,WWWW[[#This Row],[Total required Latrines]]-(WWWW[[#This Row],['#_Constructed latrines_by_WASHAgencies]]+WWWW[[#This Row],['#_Non Cluster partner latrines]]))</f>
        <v>182</v>
      </c>
      <c r="CS372" s="79">
        <f>1-WWWW[[#This Row],[% people access to functioning Latrine]]</f>
        <v>1</v>
      </c>
      <c r="CT372" s="649">
        <f>IF(OR(WWWW[[#This Row],['#_Non-functional latrines]]="",WWWW[[#This Row],['#_Non-functional latrines]]=0),0,WWWW[[#This Row],['#_Non-functional latrines]]/(WWWW[[#This Row],['#_Constructed latrines_by_WASHAgencies]]+WWWW[[#This Row],['#_Non Cluster partner latrines]]))</f>
        <v>0</v>
      </c>
      <c r="CU372" s="645">
        <f>IF(500*(WWWW[[#This Row],['#_male hygiene promoters]]+WWWW[[#This Row],['#_female hygiene promoters]])&gt;WWWW[[#This Row],[Total PoP ]],WWWW[[#This Row],[Total PoP ]],500*(WWWW[[#This Row],['#_male hygiene promoters]]+WWWW[[#This Row],['#_female hygiene promoters]]))</f>
        <v>0</v>
      </c>
      <c r="CV372"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72"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72" s="647">
        <f>IF(WWWW[[#This Row],['# People with access to soap]]&gt;WWWW[[#This Row],['# People with access to Sanity Pads]],WWWW[[#This Row],['# People with access to soap]],WWWW[[#This Row],['# People with access to Sanity Pads]])</f>
        <v>0</v>
      </c>
      <c r="CY372"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72" s="650">
        <f>IF(WWWW[[#This Row],[HRP3]]/WWWW[[#This Row],[Total PoP ]]&gt;100%,100%,WWWW[[#This Row],[HRP3]]/WWWW[[#This Row],[Total PoP ]])</f>
        <v>0</v>
      </c>
      <c r="DA372" s="649">
        <f>1-WWWW[[#This Row],[Hygiene Coverage%]]</f>
        <v>1</v>
      </c>
      <c r="DB372" s="648">
        <f>WWWW[[#This Row],['# people reached by regular dedicated hygiene promotion_5]]/WWWW[[#This Row],[Total PoP ]]</f>
        <v>0</v>
      </c>
      <c r="DC372" s="648">
        <f>IF(WWWW[[#This Row],['#_households that received standard amount of soap for this quarter]]/WWWW[[#This Row],[Total HH]]&gt;1,1,WWWW[[#This Row],['#_households that received standard amount of soap for this quarter]]/WWWW[[#This Row],[Total HH]])</f>
        <v>0</v>
      </c>
      <c r="DD372" s="648">
        <f>IF(WWWW[[#This Row],['#_households that received standard amount of sanitary pads for this quarter]]/WWWW[[#This Row],[Total HH]]&gt;1,1,WWWW[[#This Row],['#_households that received standard amount of sanitary pads for this quarter]]/WWWW[[#This Row],[Total HH]])</f>
        <v>0</v>
      </c>
      <c r="DE372" s="647">
        <f>WWWW[[#This Row],['#_Constructed/Existing hand washing stations]]-WWWW[[#This Row],['#_Non-Functional_hand_washing_stations]]</f>
        <v>0</v>
      </c>
      <c r="DF372" s="667">
        <f>IF(WWWW[[#This Row],['# Functional hand washing stations during reporting period]]*20&gt;WWWW[[#This Row],[Total HH]],WWWW[[#This Row],[Total HH]],WWWW[[#This Row],['# Functional hand washing stations during reporting period]]*20)</f>
        <v>0</v>
      </c>
      <c r="DG372" s="645">
        <f>IF(WWWW[[#This Row],[Is sufficient soap available for TLS? (Yes/No)]]="yes",WWWW[[#This Row],['#_Constructed/Existing hand washing stations at TLS]],0)</f>
        <v>0</v>
      </c>
      <c r="DH372" s="645">
        <f>IF(WWWW[[#This Row],['# Functional hand washing stations during reporting period]]*100&gt;WWWW[[#This Row],[Total PoP ]],WWWW[[#This Row],[Total PoP ]],WWWW[[#This Row],['# Functional hand washing stations during reporting period]]*100)</f>
        <v>0</v>
      </c>
      <c r="DI372" s="645" t="str">
        <f>IF(WWWW[[#This Row],['#_students at TLS_CFS]]="","No","Yes")</f>
        <v>No</v>
      </c>
      <c r="DJ372" s="643">
        <f>VLOOKUP(WWWW[[#This Row],[Site Name]],SiteDB6[[Site Name]:[CCCM Management]],6,FALSE)</f>
        <v>0</v>
      </c>
      <c r="DK372" s="643">
        <f>VLOOKUP(WWWW[[#This Row],[Site Name]],SiteDB6[[Site Name]:[CCCM Focal Agency]],7,FALSE)</f>
        <v>0</v>
      </c>
      <c r="DL372" s="643" t="str">
        <f>VLOOKUP(WWWW[[#This Row],[Site Name]],SiteDB6[[Site Name]:[Location Type 1]],9,FALSE)</f>
        <v>Village</v>
      </c>
      <c r="DM372" s="643" t="str">
        <f>VLOOKUP(WWWW[[#This Row],[Site Name]],SiteDB6[[Site Name]:[Type of Accommodation]],10,FALSE)</f>
        <v>Returned</v>
      </c>
      <c r="DN372" s="643" t="str">
        <f>VLOOKUP(WWWW[[#This Row],[Site Name]],SiteDB6[[Site Name]:[Ethnic or GCA/NGCA]],11,FALSE)</f>
        <v>Muslim</v>
      </c>
      <c r="DO372" s="643">
        <f>VLOOKUP(WWWW[[#This Row],[Site Name]],SiteDB6[[Site Name]:[Lat]],12,FALSE)</f>
        <v>20.727589999999999</v>
      </c>
      <c r="DP372" s="643">
        <f>VLOOKUP(WWWW[[#This Row],[Site Name]],SiteDB6[[Site Name]:[Long]],13,FALSE)</f>
        <v>92.969350000000006</v>
      </c>
      <c r="DQ372" s="643" t="str">
        <f>VLOOKUP(WWWW[[#This Row],[Site Name]],SiteDB6[[Site Name]:[Pcode]],3,FALSE)</f>
        <v>MMR012CMP028</v>
      </c>
      <c r="DR372" s="652" t="str">
        <f t="shared" si="12"/>
        <v>Covered</v>
      </c>
      <c r="DS372" s="652"/>
    </row>
    <row r="373" spans="1:126">
      <c r="A373" s="637" t="s">
        <v>2525</v>
      </c>
      <c r="B373" s="637" t="s">
        <v>336</v>
      </c>
      <c r="C373" s="644" t="s">
        <v>336</v>
      </c>
      <c r="D373" s="644" t="s">
        <v>307</v>
      </c>
      <c r="E373" s="663" t="s">
        <v>3014</v>
      </c>
      <c r="F373" s="644" t="s">
        <v>320</v>
      </c>
      <c r="G373" s="663" t="str">
        <f>VLOOKUP(WWWW[[#This Row],[Site Name]],SiteDB6[[Site Name]:[Location Type]],8,FALSE)</f>
        <v>Village</v>
      </c>
      <c r="H373" s="644" t="s">
        <v>2314</v>
      </c>
      <c r="I373" s="646">
        <v>174</v>
      </c>
      <c r="J373" s="646">
        <v>665</v>
      </c>
      <c r="K373" s="653">
        <v>43374</v>
      </c>
      <c r="L373" s="654">
        <v>43738</v>
      </c>
      <c r="M373" s="646"/>
      <c r="N373" s="646"/>
      <c r="O373" s="646"/>
      <c r="P373" s="646"/>
      <c r="Q373" s="645"/>
      <c r="R373" s="646"/>
      <c r="S373" s="646"/>
      <c r="T373" s="646"/>
      <c r="U373" s="646"/>
      <c r="V373" s="646"/>
      <c r="W373" s="646"/>
      <c r="X373" s="646"/>
      <c r="Y373" s="646"/>
      <c r="Z373" s="646"/>
      <c r="AA373" s="646"/>
      <c r="AB373" s="646"/>
      <c r="AC373" s="646"/>
      <c r="AD373" s="646"/>
      <c r="AE373" s="646"/>
      <c r="AF373" s="646"/>
      <c r="AG373" s="646"/>
      <c r="AH373" s="646"/>
      <c r="AI373" s="646"/>
      <c r="AJ373" s="646"/>
      <c r="AK373" s="646"/>
      <c r="AL373" s="646"/>
      <c r="AM373" s="646"/>
      <c r="AN373" s="646"/>
      <c r="AO373" s="652"/>
      <c r="AP373" s="646"/>
      <c r="AQ373" s="646"/>
      <c r="AR373" s="648"/>
      <c r="AS373" s="646"/>
      <c r="AT373" s="646"/>
      <c r="AU373" s="646"/>
      <c r="AV373" s="646"/>
      <c r="AW373" s="646"/>
      <c r="AX373" s="643"/>
      <c r="AY373" s="652"/>
      <c r="AZ373" s="646"/>
      <c r="BA373" s="646"/>
      <c r="BB373" s="646"/>
      <c r="BC373" s="643"/>
      <c r="BD373" s="646"/>
      <c r="BE373" s="646"/>
      <c r="BF373" s="646"/>
      <c r="BG373" s="646"/>
      <c r="BH373" s="646"/>
      <c r="BI373" s="646"/>
      <c r="BJ373" s="646"/>
      <c r="BK373" s="646"/>
      <c r="BL373" s="646"/>
      <c r="BM373" s="643"/>
      <c r="BN373" s="647"/>
      <c r="BO373" s="648"/>
      <c r="BP373" s="643"/>
      <c r="BQ373" s="649" t="str">
        <f>IFERROR(WWWW[[#This Row],['#_Water sources treated]]/WWWW[[#This Row],['#_Water sources tested for contamination]],"no test")</f>
        <v>no test</v>
      </c>
      <c r="BR373" s="648" t="str">
        <f>IFERROR(WWWW[[#This Row],['#_Household received remediation action due to contamination]]/WWWW[[#This Row],['#_Household water samples tested for contamination]],"no test")</f>
        <v>no test</v>
      </c>
      <c r="BS373" s="647" t="str">
        <f>IF(AND(WWWW[[#This Row],[% of water sources treated]]="no test",WWWW[[#This Row],[% Household received corrective actions]]="no test"),"No Test","Tested")</f>
        <v>No Test</v>
      </c>
      <c r="BT373" s="647">
        <f>WWWW[[#This Row],['#_Constructed/existing protected hand dug well]]-WWWW[[#This Row],['#_Non-functional protected hand dug well]]</f>
        <v>0</v>
      </c>
      <c r="BU373" s="647">
        <f>(WWWW[[#This Row],['#_Constructed/Existing tube wells/boreholes/handpumps_WASH_agency]]+WWWW[[#This Row],['#_Non-Cluster partner water tube-wells/boreholes/handpumps]])-WWWW[[#This Row],['#_Non-functional tube wells/boreholes/handpumps]]</f>
        <v>0</v>
      </c>
      <c r="BV373" s="647">
        <f>WWWW[[#This Row],['#_Constructed/Existingwater storage tank with gravity fed reticulation system]]-WWWW[[#This Row],['#_Non-functional storage tank gravity fed reticulation system]]</f>
        <v>0</v>
      </c>
      <c r="BW373" s="647">
        <f>WWWW[[#This Row],['#_Water boating or water trucking]]</f>
        <v>0</v>
      </c>
      <c r="BX373" s="647">
        <f>WWWW[[#This Row],['#_Constructed/Existing water distribution system from river or natural spring]]</f>
        <v>0</v>
      </c>
      <c r="BY373"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73"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73" s="648">
        <f>IF(WWWW[[#This Row],[Location Type 1]]="Village",WWWW[[#This Row],[Access to safe drinking water for Village]],WWWW[[#This Row],[Access to safe drinking water for Camp]])</f>
        <v>0</v>
      </c>
      <c r="CB373" s="645">
        <f>WWWW[[#This Row],[%Equitable and continuous access to sufficient quantity of safe drinking water]]*WWWW[[#This Row],[Total PoP ]]</f>
        <v>0</v>
      </c>
      <c r="CC373" s="648">
        <f>IF((WWWW[[#This Row],['#_Constructed/Existing protected/fenced ponds]]*250)/WWWW[[#This Row],[Total PoP ]]&gt;1,1,(WWWW[[#This Row],['#_Constructed/Existing protected/fenced ponds]]*250)/WWWW[[#This Row],[Total PoP ]])</f>
        <v>0</v>
      </c>
      <c r="CD373" s="645">
        <f>WWWW[[#This Row],[% Access to unimproved water points]]*WWWW[[#This Row],[Total PoP ]]</f>
        <v>0</v>
      </c>
      <c r="CE373"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73"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73" s="645">
        <f>WWWW[[#This Row],[HRP1]]/500</f>
        <v>0</v>
      </c>
      <c r="CH373" s="650">
        <f>1-WWWW[[#This Row],[% Equitable and continuous access to sufficient quantity of domestic water]]</f>
        <v>1</v>
      </c>
      <c r="CI373" s="645">
        <f>WWWW[[#This Row],[%equitable and continuous access to sufficient quantity of safe drinking and domestic water''s GAP]]*WWWW[[#This Row],[Total PoP ]]</f>
        <v>665</v>
      </c>
      <c r="CJ373" s="647">
        <f>IF(WWWW[[#This Row],[Total required water points]]-WWWW[[#This Row],['#Water points coverage]]&lt;0,0,WWWW[[#This Row],[Total required water points]]-WWWW[[#This Row],['#Water points coverage]])</f>
        <v>1</v>
      </c>
      <c r="CK373" s="647">
        <f>ROUND(IF(WWWW[[#This Row],[Total PoP ]]&lt;500,1,WWWW[[#This Row],[Total PoP ]]/500),0)</f>
        <v>1</v>
      </c>
      <c r="CL373" s="647">
        <f>(WWWW[[#This Row],['#_Constructed latrines_by_WASHAgencies]]+WWWW[[#This Row],['#_Non Cluster partner latrines]])-WWWW[[#This Row],['#_Non-functional latrines]]</f>
        <v>0</v>
      </c>
      <c r="CM373"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73"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73"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73" s="647" t="str">
        <f>IF(WWWW[[#This Row],[Location Type 1]]="Village","NA",IF(WWWW[[#This Row],['#_Constructed/Existing latrines in TLS]]*50&gt;WWWW[[#This Row],['#_students at TLS_CFS]],WWWW[[#This Row],['#_students at TLS_CFS]],(WWWW[[#This Row],['#_Constructed/Existing latrines in TLS]]*50)))</f>
        <v>NA</v>
      </c>
      <c r="CQ373" s="647">
        <f>ROUND(IF(WWWW[[#This Row],[Location Type 1]]="camp",WWWW[[#This Row],[Total PoP ]]/20,IF(WWWW[[#This Row],[Location Type 1]]="Temporary Location",WWWW[[#This Row],[Total PoP ]]/50,(WWWW[[#This Row],[Total PoP ]]/6))),0)</f>
        <v>111</v>
      </c>
      <c r="CR373" s="647">
        <f>IF(WWWW[[#This Row],[Total required Latrines]]-(WWWW[[#This Row],['#_Constructed latrines_by_WASHAgencies]]+WWWW[[#This Row],['#_Non Cluster partner latrines]])&lt;0,0,WWWW[[#This Row],[Total required Latrines]]-(WWWW[[#This Row],['#_Constructed latrines_by_WASHAgencies]]+WWWW[[#This Row],['#_Non Cluster partner latrines]]))</f>
        <v>111</v>
      </c>
      <c r="CS373" s="79">
        <f>1-WWWW[[#This Row],[% people access to functioning Latrine]]</f>
        <v>1</v>
      </c>
      <c r="CT373" s="649">
        <f>IF(OR(WWWW[[#This Row],['#_Non-functional latrines]]="",WWWW[[#This Row],['#_Non-functional latrines]]=0),0,WWWW[[#This Row],['#_Non-functional latrines]]/(WWWW[[#This Row],['#_Constructed latrines_by_WASHAgencies]]+WWWW[[#This Row],['#_Non Cluster partner latrines]]))</f>
        <v>0</v>
      </c>
      <c r="CU373" s="645">
        <f>IF(500*(WWWW[[#This Row],['#_male hygiene promoters]]+WWWW[[#This Row],['#_female hygiene promoters]])&gt;WWWW[[#This Row],[Total PoP ]],WWWW[[#This Row],[Total PoP ]],500*(WWWW[[#This Row],['#_male hygiene promoters]]+WWWW[[#This Row],['#_female hygiene promoters]]))</f>
        <v>0</v>
      </c>
      <c r="CV373"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73"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73" s="647">
        <f>IF(WWWW[[#This Row],['# People with access to soap]]&gt;WWWW[[#This Row],['# People with access to Sanity Pads]],WWWW[[#This Row],['# People with access to soap]],WWWW[[#This Row],['# People with access to Sanity Pads]])</f>
        <v>0</v>
      </c>
      <c r="CY373"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73" s="650">
        <f>IF(WWWW[[#This Row],[HRP3]]/WWWW[[#This Row],[Total PoP ]]&gt;100%,100%,WWWW[[#This Row],[HRP3]]/WWWW[[#This Row],[Total PoP ]])</f>
        <v>0</v>
      </c>
      <c r="DA373" s="649">
        <f>1-WWWW[[#This Row],[Hygiene Coverage%]]</f>
        <v>1</v>
      </c>
      <c r="DB373" s="648">
        <f>WWWW[[#This Row],['# people reached by regular dedicated hygiene promotion_5]]/WWWW[[#This Row],[Total PoP ]]</f>
        <v>0</v>
      </c>
      <c r="DC373" s="648">
        <f>IF(WWWW[[#This Row],['#_households that received standard amount of soap for this quarter]]/WWWW[[#This Row],[Total HH]]&gt;1,1,WWWW[[#This Row],['#_households that received standard amount of soap for this quarter]]/WWWW[[#This Row],[Total HH]])</f>
        <v>0</v>
      </c>
      <c r="DD373" s="648">
        <f>IF(WWWW[[#This Row],['#_households that received standard amount of sanitary pads for this quarter]]/WWWW[[#This Row],[Total HH]]&gt;1,1,WWWW[[#This Row],['#_households that received standard amount of sanitary pads for this quarter]]/WWWW[[#This Row],[Total HH]])</f>
        <v>0</v>
      </c>
      <c r="DE373" s="647">
        <f>WWWW[[#This Row],['#_Constructed/Existing hand washing stations]]-WWWW[[#This Row],['#_Non-Functional_hand_washing_stations]]</f>
        <v>0</v>
      </c>
      <c r="DF373" s="667">
        <f>IF(WWWW[[#This Row],['# Functional hand washing stations during reporting period]]*20&gt;WWWW[[#This Row],[Total HH]],WWWW[[#This Row],[Total HH]],WWWW[[#This Row],['# Functional hand washing stations during reporting period]]*20)</f>
        <v>0</v>
      </c>
      <c r="DG373" s="645">
        <f>IF(WWWW[[#This Row],[Is sufficient soap available for TLS? (Yes/No)]]="yes",WWWW[[#This Row],['#_Constructed/Existing hand washing stations at TLS]],0)</f>
        <v>0</v>
      </c>
      <c r="DH373" s="645">
        <f>IF(WWWW[[#This Row],['# Functional hand washing stations during reporting period]]*100&gt;WWWW[[#This Row],[Total PoP ]],WWWW[[#This Row],[Total PoP ]],WWWW[[#This Row],['# Functional hand washing stations during reporting period]]*100)</f>
        <v>0</v>
      </c>
      <c r="DI373" s="645" t="str">
        <f>IF(WWWW[[#This Row],['#_students at TLS_CFS]]="","No","Yes")</f>
        <v>No</v>
      </c>
      <c r="DJ373" s="643">
        <f>VLOOKUP(WWWW[[#This Row],[Site Name]],SiteDB6[[Site Name]:[CCCM Management]],6,FALSE)</f>
        <v>0</v>
      </c>
      <c r="DK373" s="643">
        <f>VLOOKUP(WWWW[[#This Row],[Site Name]],SiteDB6[[Site Name]:[CCCM Focal Agency]],7,FALSE)</f>
        <v>0</v>
      </c>
      <c r="DL373" s="643" t="str">
        <f>VLOOKUP(WWWW[[#This Row],[Site Name]],SiteDB6[[Site Name]:[Location Type 1]],9,FALSE)</f>
        <v>Village</v>
      </c>
      <c r="DM373" s="643" t="str">
        <f>VLOOKUP(WWWW[[#This Row],[Site Name]],SiteDB6[[Site Name]:[Type of Accommodation]],10,FALSE)</f>
        <v>Village</v>
      </c>
      <c r="DN373" s="643">
        <f>VLOOKUP(WWWW[[#This Row],[Site Name]],SiteDB6[[Site Name]:[Ethnic or GCA/NGCA]],11,FALSE)</f>
        <v>0</v>
      </c>
      <c r="DO373" s="643">
        <f>VLOOKUP(WWWW[[#This Row],[Site Name]],SiteDB6[[Site Name]:[Lat]],12,FALSE)</f>
        <v>20.883239750000001</v>
      </c>
      <c r="DP373" s="643">
        <f>VLOOKUP(WWWW[[#This Row],[Site Name]],SiteDB6[[Site Name]:[Long]],13,FALSE)</f>
        <v>92.936859130000002</v>
      </c>
      <c r="DQ373" s="643">
        <f>VLOOKUP(WWWW[[#This Row],[Site Name]],SiteDB6[[Site Name]:[Pcode]],3,FALSE)</f>
        <v>196813</v>
      </c>
      <c r="DR373" s="652" t="str">
        <f t="shared" ref="DR373:DR436" si="13">IF(C373="none","Notcovered","Covered")</f>
        <v>Covered</v>
      </c>
      <c r="DS373" s="652"/>
    </row>
    <row r="374" spans="1:126">
      <c r="A374" s="637" t="s">
        <v>2525</v>
      </c>
      <c r="B374" s="637" t="s">
        <v>336</v>
      </c>
      <c r="C374" s="644" t="s">
        <v>336</v>
      </c>
      <c r="D374" s="644" t="s">
        <v>307</v>
      </c>
      <c r="E374" s="663" t="s">
        <v>3014</v>
      </c>
      <c r="F374" s="644" t="s">
        <v>320</v>
      </c>
      <c r="G374" s="663" t="str">
        <f>VLOOKUP(WWWW[[#This Row],[Site Name]],SiteDB6[[Site Name]:[Location Type]],8,FALSE)</f>
        <v>Village</v>
      </c>
      <c r="H374" s="644" t="s">
        <v>2316</v>
      </c>
      <c r="I374" s="646">
        <v>82</v>
      </c>
      <c r="J374" s="646">
        <v>304</v>
      </c>
      <c r="K374" s="653">
        <v>43374</v>
      </c>
      <c r="L374" s="654">
        <v>43738</v>
      </c>
      <c r="M374" s="646"/>
      <c r="N374" s="646"/>
      <c r="O374" s="646"/>
      <c r="P374" s="646"/>
      <c r="Q374" s="645"/>
      <c r="R374" s="646"/>
      <c r="S374" s="646"/>
      <c r="T374" s="646"/>
      <c r="U374" s="646"/>
      <c r="V374" s="646"/>
      <c r="W374" s="646"/>
      <c r="X374" s="646"/>
      <c r="Y374" s="646"/>
      <c r="Z374" s="646"/>
      <c r="AA374" s="646"/>
      <c r="AB374" s="646"/>
      <c r="AC374" s="646"/>
      <c r="AD374" s="646"/>
      <c r="AE374" s="646"/>
      <c r="AF374" s="646"/>
      <c r="AG374" s="646"/>
      <c r="AH374" s="646"/>
      <c r="AI374" s="646"/>
      <c r="AJ374" s="646"/>
      <c r="AK374" s="646"/>
      <c r="AL374" s="646"/>
      <c r="AM374" s="646"/>
      <c r="AN374" s="646"/>
      <c r="AO374" s="652"/>
      <c r="AP374" s="646"/>
      <c r="AQ374" s="646"/>
      <c r="AR374" s="648"/>
      <c r="AS374" s="646"/>
      <c r="AT374" s="646"/>
      <c r="AU374" s="646"/>
      <c r="AV374" s="646"/>
      <c r="AW374" s="646"/>
      <c r="AX374" s="643"/>
      <c r="AY374" s="652"/>
      <c r="AZ374" s="646"/>
      <c r="BA374" s="646"/>
      <c r="BB374" s="646"/>
      <c r="BC374" s="643"/>
      <c r="BD374" s="646"/>
      <c r="BE374" s="646"/>
      <c r="BF374" s="646"/>
      <c r="BG374" s="646"/>
      <c r="BH374" s="646"/>
      <c r="BI374" s="646"/>
      <c r="BJ374" s="646"/>
      <c r="BK374" s="646"/>
      <c r="BL374" s="646"/>
      <c r="BM374" s="643"/>
      <c r="BN374" s="647"/>
      <c r="BO374" s="648"/>
      <c r="BP374" s="643"/>
      <c r="BQ374" s="649" t="str">
        <f>IFERROR(WWWW[[#This Row],['#_Water sources treated]]/WWWW[[#This Row],['#_Water sources tested for contamination]],"no test")</f>
        <v>no test</v>
      </c>
      <c r="BR374" s="648" t="str">
        <f>IFERROR(WWWW[[#This Row],['#_Household received remediation action due to contamination]]/WWWW[[#This Row],['#_Household water samples tested for contamination]],"no test")</f>
        <v>no test</v>
      </c>
      <c r="BS374" s="647" t="str">
        <f>IF(AND(WWWW[[#This Row],[% of water sources treated]]="no test",WWWW[[#This Row],[% Household received corrective actions]]="no test"),"No Test","Tested")</f>
        <v>No Test</v>
      </c>
      <c r="BT374" s="647">
        <f>WWWW[[#This Row],['#_Constructed/existing protected hand dug well]]-WWWW[[#This Row],['#_Non-functional protected hand dug well]]</f>
        <v>0</v>
      </c>
      <c r="BU374" s="647">
        <f>(WWWW[[#This Row],['#_Constructed/Existing tube wells/boreholes/handpumps_WASH_agency]]+WWWW[[#This Row],['#_Non-Cluster partner water tube-wells/boreholes/handpumps]])-WWWW[[#This Row],['#_Non-functional tube wells/boreholes/handpumps]]</f>
        <v>0</v>
      </c>
      <c r="BV374" s="647">
        <f>WWWW[[#This Row],['#_Constructed/Existingwater storage tank with gravity fed reticulation system]]-WWWW[[#This Row],['#_Non-functional storage tank gravity fed reticulation system]]</f>
        <v>0</v>
      </c>
      <c r="BW374" s="647">
        <f>WWWW[[#This Row],['#_Water boating or water trucking]]</f>
        <v>0</v>
      </c>
      <c r="BX374" s="647">
        <f>WWWW[[#This Row],['#_Constructed/Existing water distribution system from river or natural spring]]</f>
        <v>0</v>
      </c>
      <c r="BY374"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74"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74" s="648">
        <f>IF(WWWW[[#This Row],[Location Type 1]]="Village",WWWW[[#This Row],[Access to safe drinking water for Village]],WWWW[[#This Row],[Access to safe drinking water for Camp]])</f>
        <v>0</v>
      </c>
      <c r="CB374" s="645">
        <f>WWWW[[#This Row],[%Equitable and continuous access to sufficient quantity of safe drinking water]]*WWWW[[#This Row],[Total PoP ]]</f>
        <v>0</v>
      </c>
      <c r="CC374" s="648">
        <f>IF((WWWW[[#This Row],['#_Constructed/Existing protected/fenced ponds]]*250)/WWWW[[#This Row],[Total PoP ]]&gt;1,1,(WWWW[[#This Row],['#_Constructed/Existing protected/fenced ponds]]*250)/WWWW[[#This Row],[Total PoP ]])</f>
        <v>0</v>
      </c>
      <c r="CD374" s="645">
        <f>WWWW[[#This Row],[% Access to unimproved water points]]*WWWW[[#This Row],[Total PoP ]]</f>
        <v>0</v>
      </c>
      <c r="CE374"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74"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74" s="645">
        <f>WWWW[[#This Row],[HRP1]]/500</f>
        <v>0</v>
      </c>
      <c r="CH374" s="650">
        <f>1-WWWW[[#This Row],[% Equitable and continuous access to sufficient quantity of domestic water]]</f>
        <v>1</v>
      </c>
      <c r="CI374" s="645">
        <f>WWWW[[#This Row],[%equitable and continuous access to sufficient quantity of safe drinking and domestic water''s GAP]]*WWWW[[#This Row],[Total PoP ]]</f>
        <v>304</v>
      </c>
      <c r="CJ374" s="647">
        <f>IF(WWWW[[#This Row],[Total required water points]]-WWWW[[#This Row],['#Water points coverage]]&lt;0,0,WWWW[[#This Row],[Total required water points]]-WWWW[[#This Row],['#Water points coverage]])</f>
        <v>1</v>
      </c>
      <c r="CK374" s="647">
        <f>ROUND(IF(WWWW[[#This Row],[Total PoP ]]&lt;500,1,WWWW[[#This Row],[Total PoP ]]/500),0)</f>
        <v>1</v>
      </c>
      <c r="CL374" s="647">
        <f>(WWWW[[#This Row],['#_Constructed latrines_by_WASHAgencies]]+WWWW[[#This Row],['#_Non Cluster partner latrines]])-WWWW[[#This Row],['#_Non-functional latrines]]</f>
        <v>0</v>
      </c>
      <c r="CM374"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74"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74"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74" s="647" t="str">
        <f>IF(WWWW[[#This Row],[Location Type 1]]="Village","NA",IF(WWWW[[#This Row],['#_Constructed/Existing latrines in TLS]]*50&gt;WWWW[[#This Row],['#_students at TLS_CFS]],WWWW[[#This Row],['#_students at TLS_CFS]],(WWWW[[#This Row],['#_Constructed/Existing latrines in TLS]]*50)))</f>
        <v>NA</v>
      </c>
      <c r="CQ374" s="647">
        <f>ROUND(IF(WWWW[[#This Row],[Location Type 1]]="camp",WWWW[[#This Row],[Total PoP ]]/20,IF(WWWW[[#This Row],[Location Type 1]]="Temporary Location",WWWW[[#This Row],[Total PoP ]]/50,(WWWW[[#This Row],[Total PoP ]]/6))),0)</f>
        <v>51</v>
      </c>
      <c r="CR374" s="647">
        <f>IF(WWWW[[#This Row],[Total required Latrines]]-(WWWW[[#This Row],['#_Constructed latrines_by_WASHAgencies]]+WWWW[[#This Row],['#_Non Cluster partner latrines]])&lt;0,0,WWWW[[#This Row],[Total required Latrines]]-(WWWW[[#This Row],['#_Constructed latrines_by_WASHAgencies]]+WWWW[[#This Row],['#_Non Cluster partner latrines]]))</f>
        <v>51</v>
      </c>
      <c r="CS374" s="79">
        <f>1-WWWW[[#This Row],[% people access to functioning Latrine]]</f>
        <v>1</v>
      </c>
      <c r="CT374" s="649">
        <f>IF(OR(WWWW[[#This Row],['#_Non-functional latrines]]="",WWWW[[#This Row],['#_Non-functional latrines]]=0),0,WWWW[[#This Row],['#_Non-functional latrines]]/(WWWW[[#This Row],['#_Constructed latrines_by_WASHAgencies]]+WWWW[[#This Row],['#_Non Cluster partner latrines]]))</f>
        <v>0</v>
      </c>
      <c r="CU374" s="645">
        <f>IF(500*(WWWW[[#This Row],['#_male hygiene promoters]]+WWWW[[#This Row],['#_female hygiene promoters]])&gt;WWWW[[#This Row],[Total PoP ]],WWWW[[#This Row],[Total PoP ]],500*(WWWW[[#This Row],['#_male hygiene promoters]]+WWWW[[#This Row],['#_female hygiene promoters]]))</f>
        <v>0</v>
      </c>
      <c r="CV374"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74"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74" s="647">
        <f>IF(WWWW[[#This Row],['# People with access to soap]]&gt;WWWW[[#This Row],['# People with access to Sanity Pads]],WWWW[[#This Row],['# People with access to soap]],WWWW[[#This Row],['# People with access to Sanity Pads]])</f>
        <v>0</v>
      </c>
      <c r="CY374"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74" s="650">
        <f>IF(WWWW[[#This Row],[HRP3]]/WWWW[[#This Row],[Total PoP ]]&gt;100%,100%,WWWW[[#This Row],[HRP3]]/WWWW[[#This Row],[Total PoP ]])</f>
        <v>0</v>
      </c>
      <c r="DA374" s="649">
        <f>1-WWWW[[#This Row],[Hygiene Coverage%]]</f>
        <v>1</v>
      </c>
      <c r="DB374" s="648">
        <f>WWWW[[#This Row],['# people reached by regular dedicated hygiene promotion_5]]/WWWW[[#This Row],[Total PoP ]]</f>
        <v>0</v>
      </c>
      <c r="DC374" s="648">
        <f>IF(WWWW[[#This Row],['#_households that received standard amount of soap for this quarter]]/WWWW[[#This Row],[Total HH]]&gt;1,1,WWWW[[#This Row],['#_households that received standard amount of soap for this quarter]]/WWWW[[#This Row],[Total HH]])</f>
        <v>0</v>
      </c>
      <c r="DD374" s="648">
        <f>IF(WWWW[[#This Row],['#_households that received standard amount of sanitary pads for this quarter]]/WWWW[[#This Row],[Total HH]]&gt;1,1,WWWW[[#This Row],['#_households that received standard amount of sanitary pads for this quarter]]/WWWW[[#This Row],[Total HH]])</f>
        <v>0</v>
      </c>
      <c r="DE374" s="647">
        <f>WWWW[[#This Row],['#_Constructed/Existing hand washing stations]]-WWWW[[#This Row],['#_Non-Functional_hand_washing_stations]]</f>
        <v>0</v>
      </c>
      <c r="DF374" s="667">
        <f>IF(WWWW[[#This Row],['# Functional hand washing stations during reporting period]]*20&gt;WWWW[[#This Row],[Total HH]],WWWW[[#This Row],[Total HH]],WWWW[[#This Row],['# Functional hand washing stations during reporting period]]*20)</f>
        <v>0</v>
      </c>
      <c r="DG374" s="645">
        <f>IF(WWWW[[#This Row],[Is sufficient soap available for TLS? (Yes/No)]]="yes",WWWW[[#This Row],['#_Constructed/Existing hand washing stations at TLS]],0)</f>
        <v>0</v>
      </c>
      <c r="DH374" s="645">
        <f>IF(WWWW[[#This Row],['# Functional hand washing stations during reporting period]]*100&gt;WWWW[[#This Row],[Total PoP ]],WWWW[[#This Row],[Total PoP ]],WWWW[[#This Row],['# Functional hand washing stations during reporting period]]*100)</f>
        <v>0</v>
      </c>
      <c r="DI374" s="645" t="str">
        <f>IF(WWWW[[#This Row],['#_students at TLS_CFS]]="","No","Yes")</f>
        <v>No</v>
      </c>
      <c r="DJ374" s="643">
        <f>VLOOKUP(WWWW[[#This Row],[Site Name]],SiteDB6[[Site Name]:[CCCM Management]],6,FALSE)</f>
        <v>0</v>
      </c>
      <c r="DK374" s="643">
        <f>VLOOKUP(WWWW[[#This Row],[Site Name]],SiteDB6[[Site Name]:[CCCM Focal Agency]],7,FALSE)</f>
        <v>0</v>
      </c>
      <c r="DL374" s="643" t="str">
        <f>VLOOKUP(WWWW[[#This Row],[Site Name]],SiteDB6[[Site Name]:[Location Type 1]],9,FALSE)</f>
        <v>Village</v>
      </c>
      <c r="DM374" s="643" t="str">
        <f>VLOOKUP(WWWW[[#This Row],[Site Name]],SiteDB6[[Site Name]:[Type of Accommodation]],10,FALSE)</f>
        <v>Village</v>
      </c>
      <c r="DN374" s="643">
        <f>VLOOKUP(WWWW[[#This Row],[Site Name]],SiteDB6[[Site Name]:[Ethnic or GCA/NGCA]],11,FALSE)</f>
        <v>0</v>
      </c>
      <c r="DO374" s="643">
        <f>VLOOKUP(WWWW[[#This Row],[Site Name]],SiteDB6[[Site Name]:[Lat]],12,FALSE)</f>
        <v>20.932960510000001</v>
      </c>
      <c r="DP374" s="643">
        <f>VLOOKUP(WWWW[[#This Row],[Site Name]],SiteDB6[[Site Name]:[Long]],13,FALSE)</f>
        <v>92.930267330000007</v>
      </c>
      <c r="DQ374" s="643">
        <f>VLOOKUP(WWWW[[#This Row],[Site Name]],SiteDB6[[Site Name]:[Pcode]],3,FALSE)</f>
        <v>196755</v>
      </c>
      <c r="DR374" s="652" t="str">
        <f t="shared" si="13"/>
        <v>Covered</v>
      </c>
      <c r="DS374" s="652"/>
    </row>
    <row r="375" spans="1:126">
      <c r="A375" s="637" t="s">
        <v>2525</v>
      </c>
      <c r="B375" s="637" t="s">
        <v>336</v>
      </c>
      <c r="C375" s="644" t="s">
        <v>336</v>
      </c>
      <c r="D375" s="644" t="s">
        <v>307</v>
      </c>
      <c r="E375" s="663" t="s">
        <v>3014</v>
      </c>
      <c r="F375" s="644" t="s">
        <v>320</v>
      </c>
      <c r="G375" s="663" t="str">
        <f>VLOOKUP(WWWW[[#This Row],[Site Name]],SiteDB6[[Site Name]:[Location Type]],8,FALSE)</f>
        <v>Village</v>
      </c>
      <c r="H375" s="644" t="s">
        <v>2315</v>
      </c>
      <c r="I375" s="646">
        <v>71</v>
      </c>
      <c r="J375" s="646">
        <v>292</v>
      </c>
      <c r="K375" s="653">
        <v>43374</v>
      </c>
      <c r="L375" s="654">
        <v>43738</v>
      </c>
      <c r="M375" s="646"/>
      <c r="N375" s="646"/>
      <c r="O375" s="646"/>
      <c r="P375" s="646"/>
      <c r="Q375" s="645"/>
      <c r="R375" s="646"/>
      <c r="S375" s="646"/>
      <c r="T375" s="646"/>
      <c r="U375" s="646"/>
      <c r="V375" s="646"/>
      <c r="W375" s="646"/>
      <c r="X375" s="646"/>
      <c r="Y375" s="646"/>
      <c r="Z375" s="646"/>
      <c r="AA375" s="646"/>
      <c r="AB375" s="646"/>
      <c r="AC375" s="646"/>
      <c r="AD375" s="646"/>
      <c r="AE375" s="646"/>
      <c r="AF375" s="646"/>
      <c r="AG375" s="646"/>
      <c r="AH375" s="646"/>
      <c r="AI375" s="646"/>
      <c r="AJ375" s="646"/>
      <c r="AK375" s="646"/>
      <c r="AL375" s="646"/>
      <c r="AM375" s="646"/>
      <c r="AN375" s="646"/>
      <c r="AO375" s="652"/>
      <c r="AP375" s="646"/>
      <c r="AQ375" s="646"/>
      <c r="AR375" s="648"/>
      <c r="AS375" s="646"/>
      <c r="AT375" s="646"/>
      <c r="AU375" s="646"/>
      <c r="AV375" s="646"/>
      <c r="AW375" s="646"/>
      <c r="AX375" s="643"/>
      <c r="AY375" s="652"/>
      <c r="AZ375" s="646"/>
      <c r="BA375" s="646"/>
      <c r="BB375" s="646"/>
      <c r="BC375" s="643"/>
      <c r="BD375" s="646"/>
      <c r="BE375" s="646"/>
      <c r="BF375" s="646"/>
      <c r="BG375" s="646"/>
      <c r="BH375" s="646"/>
      <c r="BI375" s="646"/>
      <c r="BJ375" s="646"/>
      <c r="BK375" s="646"/>
      <c r="BL375" s="646"/>
      <c r="BM375" s="643"/>
      <c r="BN375" s="647"/>
      <c r="BO375" s="648"/>
      <c r="BP375" s="643"/>
      <c r="BQ375" s="649" t="str">
        <f>IFERROR(WWWW[[#This Row],['#_Water sources treated]]/WWWW[[#This Row],['#_Water sources tested for contamination]],"no test")</f>
        <v>no test</v>
      </c>
      <c r="BR375" s="648" t="str">
        <f>IFERROR(WWWW[[#This Row],['#_Household received remediation action due to contamination]]/WWWW[[#This Row],['#_Household water samples tested for contamination]],"no test")</f>
        <v>no test</v>
      </c>
      <c r="BS375" s="647" t="str">
        <f>IF(AND(WWWW[[#This Row],[% of water sources treated]]="no test",WWWW[[#This Row],[% Household received corrective actions]]="no test"),"No Test","Tested")</f>
        <v>No Test</v>
      </c>
      <c r="BT375" s="647">
        <f>WWWW[[#This Row],['#_Constructed/existing protected hand dug well]]-WWWW[[#This Row],['#_Non-functional protected hand dug well]]</f>
        <v>0</v>
      </c>
      <c r="BU375" s="647">
        <f>(WWWW[[#This Row],['#_Constructed/Existing tube wells/boreholes/handpumps_WASH_agency]]+WWWW[[#This Row],['#_Non-Cluster partner water tube-wells/boreholes/handpumps]])-WWWW[[#This Row],['#_Non-functional tube wells/boreholes/handpumps]]</f>
        <v>0</v>
      </c>
      <c r="BV375" s="647">
        <f>WWWW[[#This Row],['#_Constructed/Existingwater storage tank with gravity fed reticulation system]]-WWWW[[#This Row],['#_Non-functional storage tank gravity fed reticulation system]]</f>
        <v>0</v>
      </c>
      <c r="BW375" s="647">
        <f>WWWW[[#This Row],['#_Water boating or water trucking]]</f>
        <v>0</v>
      </c>
      <c r="BX375" s="647">
        <f>WWWW[[#This Row],['#_Constructed/Existing water distribution system from river or natural spring]]</f>
        <v>0</v>
      </c>
      <c r="BY375"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75"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75" s="648">
        <f>IF(WWWW[[#This Row],[Location Type 1]]="Village",WWWW[[#This Row],[Access to safe drinking water for Village]],WWWW[[#This Row],[Access to safe drinking water for Camp]])</f>
        <v>0</v>
      </c>
      <c r="CB375" s="645">
        <f>WWWW[[#This Row],[%Equitable and continuous access to sufficient quantity of safe drinking water]]*WWWW[[#This Row],[Total PoP ]]</f>
        <v>0</v>
      </c>
      <c r="CC375" s="648">
        <f>IF((WWWW[[#This Row],['#_Constructed/Existing protected/fenced ponds]]*250)/WWWW[[#This Row],[Total PoP ]]&gt;1,1,(WWWW[[#This Row],['#_Constructed/Existing protected/fenced ponds]]*250)/WWWW[[#This Row],[Total PoP ]])</f>
        <v>0</v>
      </c>
      <c r="CD375" s="645">
        <f>WWWW[[#This Row],[% Access to unimproved water points]]*WWWW[[#This Row],[Total PoP ]]</f>
        <v>0</v>
      </c>
      <c r="CE375"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75"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75" s="645">
        <f>WWWW[[#This Row],[HRP1]]/500</f>
        <v>0</v>
      </c>
      <c r="CH375" s="650">
        <f>1-WWWW[[#This Row],[% Equitable and continuous access to sufficient quantity of domestic water]]</f>
        <v>1</v>
      </c>
      <c r="CI375" s="645">
        <f>WWWW[[#This Row],[%equitable and continuous access to sufficient quantity of safe drinking and domestic water''s GAP]]*WWWW[[#This Row],[Total PoP ]]</f>
        <v>292</v>
      </c>
      <c r="CJ375" s="647">
        <f>IF(WWWW[[#This Row],[Total required water points]]-WWWW[[#This Row],['#Water points coverage]]&lt;0,0,WWWW[[#This Row],[Total required water points]]-WWWW[[#This Row],['#Water points coverage]])</f>
        <v>1</v>
      </c>
      <c r="CK375" s="647">
        <f>ROUND(IF(WWWW[[#This Row],[Total PoP ]]&lt;500,1,WWWW[[#This Row],[Total PoP ]]/500),0)</f>
        <v>1</v>
      </c>
      <c r="CL375" s="647">
        <f>(WWWW[[#This Row],['#_Constructed latrines_by_WASHAgencies]]+WWWW[[#This Row],['#_Non Cluster partner latrines]])-WWWW[[#This Row],['#_Non-functional latrines]]</f>
        <v>0</v>
      </c>
      <c r="CM375"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75"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75"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75" s="647" t="str">
        <f>IF(WWWW[[#This Row],[Location Type 1]]="Village","NA",IF(WWWW[[#This Row],['#_Constructed/Existing latrines in TLS]]*50&gt;WWWW[[#This Row],['#_students at TLS_CFS]],WWWW[[#This Row],['#_students at TLS_CFS]],(WWWW[[#This Row],['#_Constructed/Existing latrines in TLS]]*50)))</f>
        <v>NA</v>
      </c>
      <c r="CQ375" s="647">
        <f>ROUND(IF(WWWW[[#This Row],[Location Type 1]]="camp",WWWW[[#This Row],[Total PoP ]]/20,IF(WWWW[[#This Row],[Location Type 1]]="Temporary Location",WWWW[[#This Row],[Total PoP ]]/50,(WWWW[[#This Row],[Total PoP ]]/6))),0)</f>
        <v>49</v>
      </c>
      <c r="CR375" s="647">
        <f>IF(WWWW[[#This Row],[Total required Latrines]]-(WWWW[[#This Row],['#_Constructed latrines_by_WASHAgencies]]+WWWW[[#This Row],['#_Non Cluster partner latrines]])&lt;0,0,WWWW[[#This Row],[Total required Latrines]]-(WWWW[[#This Row],['#_Constructed latrines_by_WASHAgencies]]+WWWW[[#This Row],['#_Non Cluster partner latrines]]))</f>
        <v>49</v>
      </c>
      <c r="CS375" s="79">
        <f>1-WWWW[[#This Row],[% people access to functioning Latrine]]</f>
        <v>1</v>
      </c>
      <c r="CT375" s="649">
        <f>IF(OR(WWWW[[#This Row],['#_Non-functional latrines]]="",WWWW[[#This Row],['#_Non-functional latrines]]=0),0,WWWW[[#This Row],['#_Non-functional latrines]]/(WWWW[[#This Row],['#_Constructed latrines_by_WASHAgencies]]+WWWW[[#This Row],['#_Non Cluster partner latrines]]))</f>
        <v>0</v>
      </c>
      <c r="CU375" s="645">
        <f>IF(500*(WWWW[[#This Row],['#_male hygiene promoters]]+WWWW[[#This Row],['#_female hygiene promoters]])&gt;WWWW[[#This Row],[Total PoP ]],WWWW[[#This Row],[Total PoP ]],500*(WWWW[[#This Row],['#_male hygiene promoters]]+WWWW[[#This Row],['#_female hygiene promoters]]))</f>
        <v>0</v>
      </c>
      <c r="CV375"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75"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75" s="647">
        <f>IF(WWWW[[#This Row],['# People with access to soap]]&gt;WWWW[[#This Row],['# People with access to Sanity Pads]],WWWW[[#This Row],['# People with access to soap]],WWWW[[#This Row],['# People with access to Sanity Pads]])</f>
        <v>0</v>
      </c>
      <c r="CY375"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75" s="650">
        <f>IF(WWWW[[#This Row],[HRP3]]/WWWW[[#This Row],[Total PoP ]]&gt;100%,100%,WWWW[[#This Row],[HRP3]]/WWWW[[#This Row],[Total PoP ]])</f>
        <v>0</v>
      </c>
      <c r="DA375" s="649">
        <f>1-WWWW[[#This Row],[Hygiene Coverage%]]</f>
        <v>1</v>
      </c>
      <c r="DB375" s="648">
        <f>WWWW[[#This Row],['# people reached by regular dedicated hygiene promotion_5]]/WWWW[[#This Row],[Total PoP ]]</f>
        <v>0</v>
      </c>
      <c r="DC375" s="648">
        <f>IF(WWWW[[#This Row],['#_households that received standard amount of soap for this quarter]]/WWWW[[#This Row],[Total HH]]&gt;1,1,WWWW[[#This Row],['#_households that received standard amount of soap for this quarter]]/WWWW[[#This Row],[Total HH]])</f>
        <v>0</v>
      </c>
      <c r="DD375" s="648">
        <f>IF(WWWW[[#This Row],['#_households that received standard amount of sanitary pads for this quarter]]/WWWW[[#This Row],[Total HH]]&gt;1,1,WWWW[[#This Row],['#_households that received standard amount of sanitary pads for this quarter]]/WWWW[[#This Row],[Total HH]])</f>
        <v>0</v>
      </c>
      <c r="DE375" s="647">
        <f>WWWW[[#This Row],['#_Constructed/Existing hand washing stations]]-WWWW[[#This Row],['#_Non-Functional_hand_washing_stations]]</f>
        <v>0</v>
      </c>
      <c r="DF375" s="667">
        <f>IF(WWWW[[#This Row],['# Functional hand washing stations during reporting period]]*20&gt;WWWW[[#This Row],[Total HH]],WWWW[[#This Row],[Total HH]],WWWW[[#This Row],['# Functional hand washing stations during reporting period]]*20)</f>
        <v>0</v>
      </c>
      <c r="DG375" s="645">
        <f>IF(WWWW[[#This Row],[Is sufficient soap available for TLS? (Yes/No)]]="yes",WWWW[[#This Row],['#_Constructed/Existing hand washing stations at TLS]],0)</f>
        <v>0</v>
      </c>
      <c r="DH375" s="645">
        <f>IF(WWWW[[#This Row],['# Functional hand washing stations during reporting period]]*100&gt;WWWW[[#This Row],[Total PoP ]],WWWW[[#This Row],[Total PoP ]],WWWW[[#This Row],['# Functional hand washing stations during reporting period]]*100)</f>
        <v>0</v>
      </c>
      <c r="DI375" s="645" t="str">
        <f>IF(WWWW[[#This Row],['#_students at TLS_CFS]]="","No","Yes")</f>
        <v>No</v>
      </c>
      <c r="DJ375" s="643">
        <f>VLOOKUP(WWWW[[#This Row],[Site Name]],SiteDB6[[Site Name]:[CCCM Management]],6,FALSE)</f>
        <v>0</v>
      </c>
      <c r="DK375" s="643">
        <f>VLOOKUP(WWWW[[#This Row],[Site Name]],SiteDB6[[Site Name]:[CCCM Focal Agency]],7,FALSE)</f>
        <v>0</v>
      </c>
      <c r="DL375" s="643" t="str">
        <f>VLOOKUP(WWWW[[#This Row],[Site Name]],SiteDB6[[Site Name]:[Location Type 1]],9,FALSE)</f>
        <v>Village</v>
      </c>
      <c r="DM375" s="643" t="str">
        <f>VLOOKUP(WWWW[[#This Row],[Site Name]],SiteDB6[[Site Name]:[Type of Accommodation]],10,FALSE)</f>
        <v>Village</v>
      </c>
      <c r="DN375" s="643">
        <f>VLOOKUP(WWWW[[#This Row],[Site Name]],SiteDB6[[Site Name]:[Ethnic or GCA/NGCA]],11,FALSE)</f>
        <v>0</v>
      </c>
      <c r="DO375" s="643">
        <f>VLOOKUP(WWWW[[#This Row],[Site Name]],SiteDB6[[Site Name]:[Lat]],12,FALSE)</f>
        <v>0</v>
      </c>
      <c r="DP375" s="643">
        <f>VLOOKUP(WWWW[[#This Row],[Site Name]],SiteDB6[[Site Name]:[Long]],13,FALSE)</f>
        <v>0</v>
      </c>
      <c r="DQ375" s="643">
        <f>VLOOKUP(WWWW[[#This Row],[Site Name]],SiteDB6[[Site Name]:[Pcode]],3,FALSE)</f>
        <v>220647</v>
      </c>
      <c r="DR375" s="652" t="str">
        <f t="shared" si="13"/>
        <v>Covered</v>
      </c>
      <c r="DS375" s="652"/>
    </row>
    <row r="376" spans="1:126">
      <c r="A376" s="637" t="s">
        <v>2525</v>
      </c>
      <c r="B376" s="637" t="s">
        <v>336</v>
      </c>
      <c r="C376" s="644" t="s">
        <v>336</v>
      </c>
      <c r="D376" s="644" t="s">
        <v>307</v>
      </c>
      <c r="E376" s="663" t="s">
        <v>3014</v>
      </c>
      <c r="F376" s="644" t="s">
        <v>320</v>
      </c>
      <c r="G376" s="663" t="str">
        <f>VLOOKUP(WWWW[[#This Row],[Site Name]],SiteDB6[[Site Name]:[Location Type]],8,FALSE)</f>
        <v>Village</v>
      </c>
      <c r="H376" s="644" t="s">
        <v>2317</v>
      </c>
      <c r="I376" s="646">
        <v>156</v>
      </c>
      <c r="J376" s="646">
        <v>677</v>
      </c>
      <c r="K376" s="653">
        <v>43374</v>
      </c>
      <c r="L376" s="654">
        <v>43738</v>
      </c>
      <c r="M376" s="646"/>
      <c r="N376" s="646"/>
      <c r="O376" s="646"/>
      <c r="P376" s="646"/>
      <c r="Q376" s="645"/>
      <c r="R376" s="646"/>
      <c r="S376" s="646"/>
      <c r="T376" s="646"/>
      <c r="U376" s="646"/>
      <c r="V376" s="646"/>
      <c r="W376" s="646"/>
      <c r="X376" s="646"/>
      <c r="Y376" s="646"/>
      <c r="Z376" s="646"/>
      <c r="AA376" s="646"/>
      <c r="AB376" s="646"/>
      <c r="AC376" s="646"/>
      <c r="AD376" s="646"/>
      <c r="AE376" s="646"/>
      <c r="AF376" s="646"/>
      <c r="AG376" s="646"/>
      <c r="AH376" s="646"/>
      <c r="AI376" s="646"/>
      <c r="AJ376" s="646"/>
      <c r="AK376" s="646"/>
      <c r="AL376" s="646"/>
      <c r="AM376" s="646"/>
      <c r="AN376" s="646"/>
      <c r="AO376" s="652"/>
      <c r="AP376" s="646"/>
      <c r="AQ376" s="646"/>
      <c r="AR376" s="648"/>
      <c r="AS376" s="646"/>
      <c r="AT376" s="646"/>
      <c r="AU376" s="646"/>
      <c r="AV376" s="646"/>
      <c r="AW376" s="646"/>
      <c r="AX376" s="643"/>
      <c r="AY376" s="652"/>
      <c r="AZ376" s="646"/>
      <c r="BA376" s="646"/>
      <c r="BB376" s="646"/>
      <c r="BC376" s="643"/>
      <c r="BD376" s="646"/>
      <c r="BE376" s="646"/>
      <c r="BF376" s="646"/>
      <c r="BG376" s="646"/>
      <c r="BH376" s="646"/>
      <c r="BI376" s="646"/>
      <c r="BJ376" s="646"/>
      <c r="BK376" s="646"/>
      <c r="BL376" s="646"/>
      <c r="BM376" s="643"/>
      <c r="BN376" s="647"/>
      <c r="BO376" s="648"/>
      <c r="BP376" s="643"/>
      <c r="BQ376" s="649" t="str">
        <f>IFERROR(WWWW[[#This Row],['#_Water sources treated]]/WWWW[[#This Row],['#_Water sources tested for contamination]],"no test")</f>
        <v>no test</v>
      </c>
      <c r="BR376" s="648" t="str">
        <f>IFERROR(WWWW[[#This Row],['#_Household received remediation action due to contamination]]/WWWW[[#This Row],['#_Household water samples tested for contamination]],"no test")</f>
        <v>no test</v>
      </c>
      <c r="BS376" s="647" t="str">
        <f>IF(AND(WWWW[[#This Row],[% of water sources treated]]="no test",WWWW[[#This Row],[% Household received corrective actions]]="no test"),"No Test","Tested")</f>
        <v>No Test</v>
      </c>
      <c r="BT376" s="647">
        <f>WWWW[[#This Row],['#_Constructed/existing protected hand dug well]]-WWWW[[#This Row],['#_Non-functional protected hand dug well]]</f>
        <v>0</v>
      </c>
      <c r="BU376" s="647">
        <f>(WWWW[[#This Row],['#_Constructed/Existing tube wells/boreholes/handpumps_WASH_agency]]+WWWW[[#This Row],['#_Non-Cluster partner water tube-wells/boreholes/handpumps]])-WWWW[[#This Row],['#_Non-functional tube wells/boreholes/handpumps]]</f>
        <v>0</v>
      </c>
      <c r="BV376" s="647">
        <f>WWWW[[#This Row],['#_Constructed/Existingwater storage tank with gravity fed reticulation system]]-WWWW[[#This Row],['#_Non-functional storage tank gravity fed reticulation system]]</f>
        <v>0</v>
      </c>
      <c r="BW376" s="647">
        <f>WWWW[[#This Row],['#_Water boating or water trucking]]</f>
        <v>0</v>
      </c>
      <c r="BX376" s="647">
        <f>WWWW[[#This Row],['#_Constructed/Existing water distribution system from river or natural spring]]</f>
        <v>0</v>
      </c>
      <c r="BY376"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76"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76" s="648">
        <f>IF(WWWW[[#This Row],[Location Type 1]]="Village",WWWW[[#This Row],[Access to safe drinking water for Village]],WWWW[[#This Row],[Access to safe drinking water for Camp]])</f>
        <v>0</v>
      </c>
      <c r="CB376" s="645">
        <f>WWWW[[#This Row],[%Equitable and continuous access to sufficient quantity of safe drinking water]]*WWWW[[#This Row],[Total PoP ]]</f>
        <v>0</v>
      </c>
      <c r="CC376" s="648">
        <f>IF((WWWW[[#This Row],['#_Constructed/Existing protected/fenced ponds]]*250)/WWWW[[#This Row],[Total PoP ]]&gt;1,1,(WWWW[[#This Row],['#_Constructed/Existing protected/fenced ponds]]*250)/WWWW[[#This Row],[Total PoP ]])</f>
        <v>0</v>
      </c>
      <c r="CD376" s="645">
        <f>WWWW[[#This Row],[% Access to unimproved water points]]*WWWW[[#This Row],[Total PoP ]]</f>
        <v>0</v>
      </c>
      <c r="CE376"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76"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76" s="645">
        <f>WWWW[[#This Row],[HRP1]]/500</f>
        <v>0</v>
      </c>
      <c r="CH376" s="650">
        <f>1-WWWW[[#This Row],[% Equitable and continuous access to sufficient quantity of domestic water]]</f>
        <v>1</v>
      </c>
      <c r="CI376" s="645">
        <f>WWWW[[#This Row],[%equitable and continuous access to sufficient quantity of safe drinking and domestic water''s GAP]]*WWWW[[#This Row],[Total PoP ]]</f>
        <v>677</v>
      </c>
      <c r="CJ376" s="647">
        <f>IF(WWWW[[#This Row],[Total required water points]]-WWWW[[#This Row],['#Water points coverage]]&lt;0,0,WWWW[[#This Row],[Total required water points]]-WWWW[[#This Row],['#Water points coverage]])</f>
        <v>1</v>
      </c>
      <c r="CK376" s="647">
        <f>ROUND(IF(WWWW[[#This Row],[Total PoP ]]&lt;500,1,WWWW[[#This Row],[Total PoP ]]/500),0)</f>
        <v>1</v>
      </c>
      <c r="CL376" s="647">
        <f>(WWWW[[#This Row],['#_Constructed latrines_by_WASHAgencies]]+WWWW[[#This Row],['#_Non Cluster partner latrines]])-WWWW[[#This Row],['#_Non-functional latrines]]</f>
        <v>0</v>
      </c>
      <c r="CM376"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76"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76"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76" s="647" t="str">
        <f>IF(WWWW[[#This Row],[Location Type 1]]="Village","NA",IF(WWWW[[#This Row],['#_Constructed/Existing latrines in TLS]]*50&gt;WWWW[[#This Row],['#_students at TLS_CFS]],WWWW[[#This Row],['#_students at TLS_CFS]],(WWWW[[#This Row],['#_Constructed/Existing latrines in TLS]]*50)))</f>
        <v>NA</v>
      </c>
      <c r="CQ376" s="647">
        <f>ROUND(IF(WWWW[[#This Row],[Location Type 1]]="camp",WWWW[[#This Row],[Total PoP ]]/20,IF(WWWW[[#This Row],[Location Type 1]]="Temporary Location",WWWW[[#This Row],[Total PoP ]]/50,(WWWW[[#This Row],[Total PoP ]]/6))),0)</f>
        <v>113</v>
      </c>
      <c r="CR376" s="647">
        <f>IF(WWWW[[#This Row],[Total required Latrines]]-(WWWW[[#This Row],['#_Constructed latrines_by_WASHAgencies]]+WWWW[[#This Row],['#_Non Cluster partner latrines]])&lt;0,0,WWWW[[#This Row],[Total required Latrines]]-(WWWW[[#This Row],['#_Constructed latrines_by_WASHAgencies]]+WWWW[[#This Row],['#_Non Cluster partner latrines]]))</f>
        <v>113</v>
      </c>
      <c r="CS376" s="79">
        <f>1-WWWW[[#This Row],[% people access to functioning Latrine]]</f>
        <v>1</v>
      </c>
      <c r="CT376" s="649">
        <f>IF(OR(WWWW[[#This Row],['#_Non-functional latrines]]="",WWWW[[#This Row],['#_Non-functional latrines]]=0),0,WWWW[[#This Row],['#_Non-functional latrines]]/(WWWW[[#This Row],['#_Constructed latrines_by_WASHAgencies]]+WWWW[[#This Row],['#_Non Cluster partner latrines]]))</f>
        <v>0</v>
      </c>
      <c r="CU376" s="645">
        <f>IF(500*(WWWW[[#This Row],['#_male hygiene promoters]]+WWWW[[#This Row],['#_female hygiene promoters]])&gt;WWWW[[#This Row],[Total PoP ]],WWWW[[#This Row],[Total PoP ]],500*(WWWW[[#This Row],['#_male hygiene promoters]]+WWWW[[#This Row],['#_female hygiene promoters]]))</f>
        <v>0</v>
      </c>
      <c r="CV376"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76"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76" s="647">
        <f>IF(WWWW[[#This Row],['# People with access to soap]]&gt;WWWW[[#This Row],['# People with access to Sanity Pads]],WWWW[[#This Row],['# People with access to soap]],WWWW[[#This Row],['# People with access to Sanity Pads]])</f>
        <v>0</v>
      </c>
      <c r="CY376"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76" s="650">
        <f>IF(WWWW[[#This Row],[HRP3]]/WWWW[[#This Row],[Total PoP ]]&gt;100%,100%,WWWW[[#This Row],[HRP3]]/WWWW[[#This Row],[Total PoP ]])</f>
        <v>0</v>
      </c>
      <c r="DA376" s="649">
        <f>1-WWWW[[#This Row],[Hygiene Coverage%]]</f>
        <v>1</v>
      </c>
      <c r="DB376" s="648">
        <f>WWWW[[#This Row],['# people reached by regular dedicated hygiene promotion_5]]/WWWW[[#This Row],[Total PoP ]]</f>
        <v>0</v>
      </c>
      <c r="DC376" s="648">
        <f>IF(WWWW[[#This Row],['#_households that received standard amount of soap for this quarter]]/WWWW[[#This Row],[Total HH]]&gt;1,1,WWWW[[#This Row],['#_households that received standard amount of soap for this quarter]]/WWWW[[#This Row],[Total HH]])</f>
        <v>0</v>
      </c>
      <c r="DD376" s="648">
        <f>IF(WWWW[[#This Row],['#_households that received standard amount of sanitary pads for this quarter]]/WWWW[[#This Row],[Total HH]]&gt;1,1,WWWW[[#This Row],['#_households that received standard amount of sanitary pads for this quarter]]/WWWW[[#This Row],[Total HH]])</f>
        <v>0</v>
      </c>
      <c r="DE376" s="647">
        <f>WWWW[[#This Row],['#_Constructed/Existing hand washing stations]]-WWWW[[#This Row],['#_Non-Functional_hand_washing_stations]]</f>
        <v>0</v>
      </c>
      <c r="DF376" s="667">
        <f>IF(WWWW[[#This Row],['# Functional hand washing stations during reporting period]]*20&gt;WWWW[[#This Row],[Total HH]],WWWW[[#This Row],[Total HH]],WWWW[[#This Row],['# Functional hand washing stations during reporting period]]*20)</f>
        <v>0</v>
      </c>
      <c r="DG376" s="645">
        <f>IF(WWWW[[#This Row],[Is sufficient soap available for TLS? (Yes/No)]]="yes",WWWW[[#This Row],['#_Constructed/Existing hand washing stations at TLS]],0)</f>
        <v>0</v>
      </c>
      <c r="DH376" s="645">
        <f>IF(WWWW[[#This Row],['# Functional hand washing stations during reporting period]]*100&gt;WWWW[[#This Row],[Total PoP ]],WWWW[[#This Row],[Total PoP ]],WWWW[[#This Row],['# Functional hand washing stations during reporting period]]*100)</f>
        <v>0</v>
      </c>
      <c r="DI376" s="645" t="str">
        <f>IF(WWWW[[#This Row],['#_students at TLS_CFS]]="","No","Yes")</f>
        <v>No</v>
      </c>
      <c r="DJ376" s="643">
        <f>VLOOKUP(WWWW[[#This Row],[Site Name]],SiteDB6[[Site Name]:[CCCM Management]],6,FALSE)</f>
        <v>0</v>
      </c>
      <c r="DK376" s="643">
        <f>VLOOKUP(WWWW[[#This Row],[Site Name]],SiteDB6[[Site Name]:[CCCM Focal Agency]],7,FALSE)</f>
        <v>0</v>
      </c>
      <c r="DL376" s="643" t="str">
        <f>VLOOKUP(WWWW[[#This Row],[Site Name]],SiteDB6[[Site Name]:[Location Type 1]],9,FALSE)</f>
        <v>Village</v>
      </c>
      <c r="DM376" s="643" t="str">
        <f>VLOOKUP(WWWW[[#This Row],[Site Name]],SiteDB6[[Site Name]:[Type of Accommodation]],10,FALSE)</f>
        <v>Village</v>
      </c>
      <c r="DN376" s="643">
        <f>VLOOKUP(WWWW[[#This Row],[Site Name]],SiteDB6[[Site Name]:[Ethnic or GCA/NGCA]],11,FALSE)</f>
        <v>0</v>
      </c>
      <c r="DO376" s="643">
        <f>VLOOKUP(WWWW[[#This Row],[Site Name]],SiteDB6[[Site Name]:[Lat]],12,FALSE)</f>
        <v>20.760820389999999</v>
      </c>
      <c r="DP376" s="643">
        <f>VLOOKUP(WWWW[[#This Row],[Site Name]],SiteDB6[[Site Name]:[Long]],13,FALSE)</f>
        <v>92.960083010000005</v>
      </c>
      <c r="DQ376" s="643">
        <f>VLOOKUP(WWWW[[#This Row],[Site Name]],SiteDB6[[Site Name]:[Pcode]],3,FALSE)</f>
        <v>196893</v>
      </c>
      <c r="DR376" s="652" t="str">
        <f t="shared" si="13"/>
        <v>Covered</v>
      </c>
      <c r="DS376" s="652"/>
    </row>
    <row r="377" spans="1:126">
      <c r="A377" s="637" t="s">
        <v>2525</v>
      </c>
      <c r="B377" s="637" t="s">
        <v>336</v>
      </c>
      <c r="C377" s="644" t="s">
        <v>336</v>
      </c>
      <c r="D377" s="644" t="s">
        <v>307</v>
      </c>
      <c r="E377" s="663" t="s">
        <v>3014</v>
      </c>
      <c r="F377" s="644" t="s">
        <v>320</v>
      </c>
      <c r="G377" s="663" t="str">
        <f>VLOOKUP(WWWW[[#This Row],[Site Name]],SiteDB6[[Site Name]:[Location Type]],8,FALSE)</f>
        <v>Village</v>
      </c>
      <c r="H377" s="644" t="s">
        <v>2318</v>
      </c>
      <c r="I377" s="646">
        <v>286</v>
      </c>
      <c r="J377" s="646">
        <v>1372</v>
      </c>
      <c r="K377" s="653">
        <v>43374</v>
      </c>
      <c r="L377" s="654">
        <v>43738</v>
      </c>
      <c r="M377" s="646"/>
      <c r="N377" s="646"/>
      <c r="O377" s="646"/>
      <c r="P377" s="646"/>
      <c r="Q377" s="645"/>
      <c r="R377" s="646"/>
      <c r="S377" s="646"/>
      <c r="T377" s="646"/>
      <c r="U377" s="646"/>
      <c r="V377" s="646"/>
      <c r="W377" s="646"/>
      <c r="X377" s="646"/>
      <c r="Y377" s="646"/>
      <c r="Z377" s="646"/>
      <c r="AA377" s="646"/>
      <c r="AB377" s="646"/>
      <c r="AC377" s="646"/>
      <c r="AD377" s="646"/>
      <c r="AE377" s="646"/>
      <c r="AF377" s="646"/>
      <c r="AG377" s="646"/>
      <c r="AH377" s="646"/>
      <c r="AI377" s="646"/>
      <c r="AJ377" s="646"/>
      <c r="AK377" s="646"/>
      <c r="AL377" s="646"/>
      <c r="AM377" s="646"/>
      <c r="AN377" s="646"/>
      <c r="AO377" s="652"/>
      <c r="AP377" s="646"/>
      <c r="AQ377" s="646"/>
      <c r="AR377" s="648"/>
      <c r="AS377" s="646"/>
      <c r="AT377" s="646"/>
      <c r="AU377" s="646"/>
      <c r="AV377" s="646"/>
      <c r="AW377" s="646"/>
      <c r="AX377" s="643"/>
      <c r="AY377" s="652"/>
      <c r="AZ377" s="646"/>
      <c r="BA377" s="646"/>
      <c r="BB377" s="646"/>
      <c r="BC377" s="643"/>
      <c r="BD377" s="646"/>
      <c r="BE377" s="646"/>
      <c r="BF377" s="646"/>
      <c r="BG377" s="646"/>
      <c r="BH377" s="646"/>
      <c r="BI377" s="646"/>
      <c r="BJ377" s="646"/>
      <c r="BK377" s="646"/>
      <c r="BL377" s="646"/>
      <c r="BM377" s="643"/>
      <c r="BN377" s="647"/>
      <c r="BO377" s="648"/>
      <c r="BP377" s="643"/>
      <c r="BQ377" s="649" t="str">
        <f>IFERROR(WWWW[[#This Row],['#_Water sources treated]]/WWWW[[#This Row],['#_Water sources tested for contamination]],"no test")</f>
        <v>no test</v>
      </c>
      <c r="BR377" s="648" t="str">
        <f>IFERROR(WWWW[[#This Row],['#_Household received remediation action due to contamination]]/WWWW[[#This Row],['#_Household water samples tested for contamination]],"no test")</f>
        <v>no test</v>
      </c>
      <c r="BS377" s="647" t="str">
        <f>IF(AND(WWWW[[#This Row],[% of water sources treated]]="no test",WWWW[[#This Row],[% Household received corrective actions]]="no test"),"No Test","Tested")</f>
        <v>No Test</v>
      </c>
      <c r="BT377" s="647">
        <f>WWWW[[#This Row],['#_Constructed/existing protected hand dug well]]-WWWW[[#This Row],['#_Non-functional protected hand dug well]]</f>
        <v>0</v>
      </c>
      <c r="BU377" s="647">
        <f>(WWWW[[#This Row],['#_Constructed/Existing tube wells/boreholes/handpumps_WASH_agency]]+WWWW[[#This Row],['#_Non-Cluster partner water tube-wells/boreholes/handpumps]])-WWWW[[#This Row],['#_Non-functional tube wells/boreholes/handpumps]]</f>
        <v>0</v>
      </c>
      <c r="BV377" s="647">
        <f>WWWW[[#This Row],['#_Constructed/Existingwater storage tank with gravity fed reticulation system]]-WWWW[[#This Row],['#_Non-functional storage tank gravity fed reticulation system]]</f>
        <v>0</v>
      </c>
      <c r="BW377" s="647">
        <f>WWWW[[#This Row],['#_Water boating or water trucking]]</f>
        <v>0</v>
      </c>
      <c r="BX377" s="647">
        <f>WWWW[[#This Row],['#_Constructed/Existing water distribution system from river or natural spring]]</f>
        <v>0</v>
      </c>
      <c r="BY377"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77"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77" s="648">
        <f>IF(WWWW[[#This Row],[Location Type 1]]="Village",WWWW[[#This Row],[Access to safe drinking water for Village]],WWWW[[#This Row],[Access to safe drinking water for Camp]])</f>
        <v>0</v>
      </c>
      <c r="CB377" s="645">
        <f>WWWW[[#This Row],[%Equitable and continuous access to sufficient quantity of safe drinking water]]*WWWW[[#This Row],[Total PoP ]]</f>
        <v>0</v>
      </c>
      <c r="CC377" s="648">
        <f>IF((WWWW[[#This Row],['#_Constructed/Existing protected/fenced ponds]]*250)/WWWW[[#This Row],[Total PoP ]]&gt;1,1,(WWWW[[#This Row],['#_Constructed/Existing protected/fenced ponds]]*250)/WWWW[[#This Row],[Total PoP ]])</f>
        <v>0</v>
      </c>
      <c r="CD377" s="645">
        <f>WWWW[[#This Row],[% Access to unimproved water points]]*WWWW[[#This Row],[Total PoP ]]</f>
        <v>0</v>
      </c>
      <c r="CE377"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77"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77" s="645">
        <f>WWWW[[#This Row],[HRP1]]/500</f>
        <v>0</v>
      </c>
      <c r="CH377" s="650">
        <f>1-WWWW[[#This Row],[% Equitable and continuous access to sufficient quantity of domestic water]]</f>
        <v>1</v>
      </c>
      <c r="CI377" s="645">
        <f>WWWW[[#This Row],[%equitable and continuous access to sufficient quantity of safe drinking and domestic water''s GAP]]*WWWW[[#This Row],[Total PoP ]]</f>
        <v>1372</v>
      </c>
      <c r="CJ377" s="647">
        <f>IF(WWWW[[#This Row],[Total required water points]]-WWWW[[#This Row],['#Water points coverage]]&lt;0,0,WWWW[[#This Row],[Total required water points]]-WWWW[[#This Row],['#Water points coverage]])</f>
        <v>3</v>
      </c>
      <c r="CK377" s="647">
        <f>ROUND(IF(WWWW[[#This Row],[Total PoP ]]&lt;500,1,WWWW[[#This Row],[Total PoP ]]/500),0)</f>
        <v>3</v>
      </c>
      <c r="CL377" s="647">
        <f>(WWWW[[#This Row],['#_Constructed latrines_by_WASHAgencies]]+WWWW[[#This Row],['#_Non Cluster partner latrines]])-WWWW[[#This Row],['#_Non-functional latrines]]</f>
        <v>0</v>
      </c>
      <c r="CM377"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77"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77" s="651"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77" s="647" t="str">
        <f>IF(WWWW[[#This Row],[Location Type 1]]="Village","NA",IF(WWWW[[#This Row],['#_Constructed/Existing latrines in TLS]]*50&gt;WWWW[[#This Row],['#_students at TLS_CFS]],WWWW[[#This Row],['#_students at TLS_CFS]],(WWWW[[#This Row],['#_Constructed/Existing latrines in TLS]]*50)))</f>
        <v>NA</v>
      </c>
      <c r="CQ377" s="647">
        <f>ROUND(IF(WWWW[[#This Row],[Location Type 1]]="camp",WWWW[[#This Row],[Total PoP ]]/20,IF(WWWW[[#This Row],[Location Type 1]]="Temporary Location",WWWW[[#This Row],[Total PoP ]]/50,(WWWW[[#This Row],[Total PoP ]]/6))),0)</f>
        <v>229</v>
      </c>
      <c r="CR377" s="647">
        <f>IF(WWWW[[#This Row],[Total required Latrines]]-(WWWW[[#This Row],['#_Constructed latrines_by_WASHAgencies]]+WWWW[[#This Row],['#_Non Cluster partner latrines]])&lt;0,0,WWWW[[#This Row],[Total required Latrines]]-(WWWW[[#This Row],['#_Constructed latrines_by_WASHAgencies]]+WWWW[[#This Row],['#_Non Cluster partner latrines]]))</f>
        <v>229</v>
      </c>
      <c r="CS377" s="79">
        <f>1-WWWW[[#This Row],[% people access to functioning Latrine]]</f>
        <v>1</v>
      </c>
      <c r="CT377" s="649">
        <f>IF(OR(WWWW[[#This Row],['#_Non-functional latrines]]="",WWWW[[#This Row],['#_Non-functional latrines]]=0),0,WWWW[[#This Row],['#_Non-functional latrines]]/(WWWW[[#This Row],['#_Constructed latrines_by_WASHAgencies]]+WWWW[[#This Row],['#_Non Cluster partner latrines]]))</f>
        <v>0</v>
      </c>
      <c r="CU377" s="645">
        <f>IF(500*(WWWW[[#This Row],['#_male hygiene promoters]]+WWWW[[#This Row],['#_female hygiene promoters]])&gt;WWWW[[#This Row],[Total PoP ]],WWWW[[#This Row],[Total PoP ]],500*(WWWW[[#This Row],['#_male hygiene promoters]]+WWWW[[#This Row],['#_female hygiene promoters]]))</f>
        <v>0</v>
      </c>
      <c r="CV377"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77"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77" s="647">
        <f>IF(WWWW[[#This Row],['# People with access to soap]]&gt;WWWW[[#This Row],['# People with access to Sanity Pads]],WWWW[[#This Row],['# People with access to soap]],WWWW[[#This Row],['# People with access to Sanity Pads]])</f>
        <v>0</v>
      </c>
      <c r="CY377"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77" s="650">
        <f>IF(WWWW[[#This Row],[HRP3]]/WWWW[[#This Row],[Total PoP ]]&gt;100%,100%,WWWW[[#This Row],[HRP3]]/WWWW[[#This Row],[Total PoP ]])</f>
        <v>0</v>
      </c>
      <c r="DA377" s="649">
        <f>1-WWWW[[#This Row],[Hygiene Coverage%]]</f>
        <v>1</v>
      </c>
      <c r="DB377" s="648">
        <f>WWWW[[#This Row],['# people reached by regular dedicated hygiene promotion_5]]/WWWW[[#This Row],[Total PoP ]]</f>
        <v>0</v>
      </c>
      <c r="DC377" s="648">
        <f>IF(WWWW[[#This Row],['#_households that received standard amount of soap for this quarter]]/WWWW[[#This Row],[Total HH]]&gt;1,1,WWWW[[#This Row],['#_households that received standard amount of soap for this quarter]]/WWWW[[#This Row],[Total HH]])</f>
        <v>0</v>
      </c>
      <c r="DD377" s="648">
        <f>IF(WWWW[[#This Row],['#_households that received standard amount of sanitary pads for this quarter]]/WWWW[[#This Row],[Total HH]]&gt;1,1,WWWW[[#This Row],['#_households that received standard amount of sanitary pads for this quarter]]/WWWW[[#This Row],[Total HH]])</f>
        <v>0</v>
      </c>
      <c r="DE377" s="647">
        <f>WWWW[[#This Row],['#_Constructed/Existing hand washing stations]]-WWWW[[#This Row],['#_Non-Functional_hand_washing_stations]]</f>
        <v>0</v>
      </c>
      <c r="DF377" s="667">
        <f>IF(WWWW[[#This Row],['# Functional hand washing stations during reporting period]]*20&gt;WWWW[[#This Row],[Total HH]],WWWW[[#This Row],[Total HH]],WWWW[[#This Row],['# Functional hand washing stations during reporting period]]*20)</f>
        <v>0</v>
      </c>
      <c r="DG377" s="645">
        <f>IF(WWWW[[#This Row],[Is sufficient soap available for TLS? (Yes/No)]]="yes",WWWW[[#This Row],['#_Constructed/Existing hand washing stations at TLS]],0)</f>
        <v>0</v>
      </c>
      <c r="DH377" s="645">
        <f>IF(WWWW[[#This Row],['# Functional hand washing stations during reporting period]]*100&gt;WWWW[[#This Row],[Total PoP ]],WWWW[[#This Row],[Total PoP ]],WWWW[[#This Row],['# Functional hand washing stations during reporting period]]*100)</f>
        <v>0</v>
      </c>
      <c r="DI377" s="645" t="str">
        <f>IF(WWWW[[#This Row],['#_students at TLS_CFS]]="","No","Yes")</f>
        <v>No</v>
      </c>
      <c r="DJ377" s="643">
        <f>VLOOKUP(WWWW[[#This Row],[Site Name]],SiteDB6[[Site Name]:[CCCM Management]],6,FALSE)</f>
        <v>0</v>
      </c>
      <c r="DK377" s="643">
        <f>VLOOKUP(WWWW[[#This Row],[Site Name]],SiteDB6[[Site Name]:[CCCM Focal Agency]],7,FALSE)</f>
        <v>0</v>
      </c>
      <c r="DL377" s="643" t="str">
        <f>VLOOKUP(WWWW[[#This Row],[Site Name]],SiteDB6[[Site Name]:[Location Type 1]],9,FALSE)</f>
        <v>Village</v>
      </c>
      <c r="DM377" s="643" t="str">
        <f>VLOOKUP(WWWW[[#This Row],[Site Name]],SiteDB6[[Site Name]:[Type of Accommodation]],10,FALSE)</f>
        <v>Village</v>
      </c>
      <c r="DN377" s="643">
        <f>VLOOKUP(WWWW[[#This Row],[Site Name]],SiteDB6[[Site Name]:[Ethnic or GCA/NGCA]],11,FALSE)</f>
        <v>0</v>
      </c>
      <c r="DO377" s="643">
        <f>VLOOKUP(WWWW[[#This Row],[Site Name]],SiteDB6[[Site Name]:[Lat]],12,FALSE)</f>
        <v>20.785549159999999</v>
      </c>
      <c r="DP377" s="643">
        <f>VLOOKUP(WWWW[[#This Row],[Site Name]],SiteDB6[[Site Name]:[Long]],13,FALSE)</f>
        <v>92.971076969999999</v>
      </c>
      <c r="DQ377" s="643">
        <f>VLOOKUP(WWWW[[#This Row],[Site Name]],SiteDB6[[Site Name]:[Pcode]],3,FALSE)</f>
        <v>196889</v>
      </c>
      <c r="DR377" s="652" t="str">
        <f t="shared" si="13"/>
        <v>Covered</v>
      </c>
      <c r="DS377" s="652"/>
    </row>
    <row r="378" spans="1:126">
      <c r="A378" s="637" t="s">
        <v>2525</v>
      </c>
      <c r="B378" s="716" t="s">
        <v>317</v>
      </c>
      <c r="C378" s="716" t="s">
        <v>317</v>
      </c>
      <c r="D378" s="701"/>
      <c r="E378" s="663" t="s">
        <v>3014</v>
      </c>
      <c r="F378" s="701" t="s">
        <v>320</v>
      </c>
      <c r="G378" s="694" t="str">
        <f>VLOOKUP(WWWW[[#This Row],[Site Name]],SiteDB6[[Site Name]:[Location Type]],8,FALSE)</f>
        <v>Village</v>
      </c>
      <c r="H378" s="701" t="s">
        <v>584</v>
      </c>
      <c r="I378" s="379">
        <v>92</v>
      </c>
      <c r="J378" s="379">
        <v>559</v>
      </c>
      <c r="K378" s="710"/>
      <c r="L378" s="58"/>
      <c r="M378" s="379"/>
      <c r="N378" s="379"/>
      <c r="O378" s="379"/>
      <c r="P378" s="379"/>
      <c r="Q378" s="702"/>
      <c r="R378" s="379"/>
      <c r="S378" s="379"/>
      <c r="T378" s="379"/>
      <c r="U378" s="379"/>
      <c r="V378" s="379"/>
      <c r="W378" s="379"/>
      <c r="X378" s="379"/>
      <c r="Y378" s="379"/>
      <c r="Z378" s="379"/>
      <c r="AA378" s="379"/>
      <c r="AB378" s="379"/>
      <c r="AC378" s="379"/>
      <c r="AD378" s="379"/>
      <c r="AE378" s="379"/>
      <c r="AF378" s="379"/>
      <c r="AG378" s="379"/>
      <c r="AH378" s="379"/>
      <c r="AI378" s="379"/>
      <c r="AJ378" s="379"/>
      <c r="AK378" s="379"/>
      <c r="AL378" s="379"/>
      <c r="AM378" s="379"/>
      <c r="AN378" s="379"/>
      <c r="AO378" s="703"/>
      <c r="AP378" s="379"/>
      <c r="AQ378" s="379"/>
      <c r="AR378" s="711"/>
      <c r="AS378" s="379"/>
      <c r="AT378" s="379"/>
      <c r="AU378" s="379"/>
      <c r="AV378" s="379"/>
      <c r="AW378" s="379"/>
      <c r="AX378" s="709"/>
      <c r="AY378" s="703"/>
      <c r="AZ378" s="379"/>
      <c r="BA378" s="379"/>
      <c r="BB378" s="379"/>
      <c r="BC378" s="709"/>
      <c r="BD378" s="379"/>
      <c r="BE378" s="379"/>
      <c r="BF378" s="379"/>
      <c r="BG378" s="379"/>
      <c r="BH378" s="379"/>
      <c r="BI378" s="379"/>
      <c r="BJ378" s="379"/>
      <c r="BK378" s="379"/>
      <c r="BL378" s="379"/>
      <c r="BM378" s="709"/>
      <c r="BN378" s="712"/>
      <c r="BO378" s="711"/>
      <c r="BP378" s="709"/>
      <c r="BQ378" s="713" t="str">
        <f>IFERROR(WWWW[[#This Row],['#_Water sources treated]]/WWWW[[#This Row],['#_Water sources tested for contamination]],"no test")</f>
        <v>no test</v>
      </c>
      <c r="BR378" s="711" t="str">
        <f>IFERROR(WWWW[[#This Row],['#_Household received remediation action due to contamination]]/WWWW[[#This Row],['#_Household water samples tested for contamination]],"no test")</f>
        <v>no test</v>
      </c>
      <c r="BS378" s="712" t="str">
        <f>IF(AND(WWWW[[#This Row],[% of water sources treated]]="no test",WWWW[[#This Row],[% Household received corrective actions]]="no test"),"No Test","Tested")</f>
        <v>No Test</v>
      </c>
      <c r="BT378" s="712">
        <f>WWWW[[#This Row],['#_Constructed/existing protected hand dug well]]-WWWW[[#This Row],['#_Non-functional protected hand dug well]]</f>
        <v>0</v>
      </c>
      <c r="BU378" s="712">
        <f>(WWWW[[#This Row],['#_Constructed/Existing tube wells/boreholes/handpumps_WASH_agency]]+WWWW[[#This Row],['#_Non-Cluster partner water tube-wells/boreholes/handpumps]])-WWWW[[#This Row],['#_Non-functional tube wells/boreholes/handpumps]]</f>
        <v>0</v>
      </c>
      <c r="BV378" s="712">
        <f>WWWW[[#This Row],['#_Constructed/Existingwater storage tank with gravity fed reticulation system]]-WWWW[[#This Row],['#_Non-functional storage tank gravity fed reticulation system]]</f>
        <v>0</v>
      </c>
      <c r="BW378" s="712">
        <f>WWWW[[#This Row],['#_Water boating or water trucking]]</f>
        <v>0</v>
      </c>
      <c r="BX378" s="712">
        <f>WWWW[[#This Row],['#_Constructed/Existing water distribution system from river or natural spring]]</f>
        <v>0</v>
      </c>
      <c r="BY378" s="713">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78" s="713">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78" s="711">
        <f>IF(WWWW[[#This Row],[Location Type 1]]="Village",WWWW[[#This Row],[Access to safe drinking water for Village]],WWWW[[#This Row],[Access to safe drinking water for Camp]])</f>
        <v>0</v>
      </c>
      <c r="CB378" s="702">
        <f>WWWW[[#This Row],[%Equitable and continuous access to sufficient quantity of safe drinking water]]*WWWW[[#This Row],[Total PoP ]]</f>
        <v>0</v>
      </c>
      <c r="CC378" s="711">
        <f>IF((WWWW[[#This Row],['#_Constructed/Existing protected/fenced ponds]]*250)/WWWW[[#This Row],[Total PoP ]]&gt;1,1,(WWWW[[#This Row],['#_Constructed/Existing protected/fenced ponds]]*250)/WWWW[[#This Row],[Total PoP ]])</f>
        <v>0</v>
      </c>
      <c r="CD378" s="702">
        <f>WWWW[[#This Row],[% Access to unimproved water points]]*WWWW[[#This Row],[Total PoP ]]</f>
        <v>0</v>
      </c>
      <c r="CE378" s="711">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78" s="70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78" s="702">
        <f>WWWW[[#This Row],[HRP1]]/500</f>
        <v>0</v>
      </c>
      <c r="CH378" s="714">
        <f>1-WWWW[[#This Row],[% Equitable and continuous access to sufficient quantity of domestic water]]</f>
        <v>1</v>
      </c>
      <c r="CI378" s="702">
        <f>WWWW[[#This Row],[%equitable and continuous access to sufficient quantity of safe drinking and domestic water''s GAP]]*WWWW[[#This Row],[Total PoP ]]</f>
        <v>559</v>
      </c>
      <c r="CJ378" s="712">
        <f>IF(WWWW[[#This Row],[Total required water points]]-WWWW[[#This Row],['#Water points coverage]]&lt;0,0,WWWW[[#This Row],[Total required water points]]-WWWW[[#This Row],['#Water points coverage]])</f>
        <v>1</v>
      </c>
      <c r="CK378" s="712">
        <f>ROUND(IF(WWWW[[#This Row],[Total PoP ]]&lt;500,1,WWWW[[#This Row],[Total PoP ]]/500),0)</f>
        <v>1</v>
      </c>
      <c r="CL378" s="712">
        <f>(WWWW[[#This Row],['#_Constructed latrines_by_WASHAgencies]]+WWWW[[#This Row],['#_Non Cluster partner latrines]])-WWWW[[#This Row],['#_Non-functional latrines]]</f>
        <v>0</v>
      </c>
      <c r="CM378" s="711">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78" s="702">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78" s="715"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78" s="712" t="str">
        <f>IF(WWWW[[#This Row],[Location Type 1]]="Village","NA",IF(WWWW[[#This Row],['#_Constructed/Existing latrines in TLS]]*50&gt;WWWW[[#This Row],['#_students at TLS_CFS]],WWWW[[#This Row],['#_students at TLS_CFS]],(WWWW[[#This Row],['#_Constructed/Existing latrines in TLS]]*50)))</f>
        <v>NA</v>
      </c>
      <c r="CQ378" s="712">
        <f>ROUND(IF(WWWW[[#This Row],[Location Type 1]]="camp",WWWW[[#This Row],[Total PoP ]]/20,IF(WWWW[[#This Row],[Location Type 1]]="Temporary Location",WWWW[[#This Row],[Total PoP ]]/50,(WWWW[[#This Row],[Total PoP ]]/6))),0)</f>
        <v>93</v>
      </c>
      <c r="CR378" s="712">
        <f>IF(WWWW[[#This Row],[Total required Latrines]]-(WWWW[[#This Row],['#_Constructed latrines_by_WASHAgencies]]+WWWW[[#This Row],['#_Non Cluster partner latrines]])&lt;0,0,WWWW[[#This Row],[Total required Latrines]]-(WWWW[[#This Row],['#_Constructed latrines_by_WASHAgencies]]+WWWW[[#This Row],['#_Non Cluster partner latrines]]))</f>
        <v>93</v>
      </c>
      <c r="CS378" s="79">
        <f>1-WWWW[[#This Row],[% people access to functioning Latrine]]</f>
        <v>1</v>
      </c>
      <c r="CT378" s="713">
        <f>IF(OR(WWWW[[#This Row],['#_Non-functional latrines]]="",WWWW[[#This Row],['#_Non-functional latrines]]=0),0,WWWW[[#This Row],['#_Non-functional latrines]]/(WWWW[[#This Row],['#_Constructed latrines_by_WASHAgencies]]+WWWW[[#This Row],['#_Non Cluster partner latrines]]))</f>
        <v>0</v>
      </c>
      <c r="CU378" s="702">
        <f>IF(500*(WWWW[[#This Row],['#_male hygiene promoters]]+WWWW[[#This Row],['#_female hygiene promoters]])&gt;WWWW[[#This Row],[Total PoP ]],WWWW[[#This Row],[Total PoP ]],500*(WWWW[[#This Row],['#_male hygiene promoters]]+WWWW[[#This Row],['#_female hygiene promoters]]))</f>
        <v>0</v>
      </c>
      <c r="CV378" s="712">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78" s="712">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78" s="712">
        <f>IF(WWWW[[#This Row],['# People with access to soap]]&gt;WWWW[[#This Row],['# People with access to Sanity Pads]],WWWW[[#This Row],['# People with access to soap]],WWWW[[#This Row],['# People with access to Sanity Pads]])</f>
        <v>0</v>
      </c>
      <c r="CY378" s="712">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78" s="714">
        <f>IF(WWWW[[#This Row],[HRP3]]/WWWW[[#This Row],[Total PoP ]]&gt;100%,100%,WWWW[[#This Row],[HRP3]]/WWWW[[#This Row],[Total PoP ]])</f>
        <v>0</v>
      </c>
      <c r="DA378" s="713">
        <f>1-WWWW[[#This Row],[Hygiene Coverage%]]</f>
        <v>1</v>
      </c>
      <c r="DB378" s="711">
        <f>WWWW[[#This Row],['# people reached by regular dedicated hygiene promotion_5]]/WWWW[[#This Row],[Total PoP ]]</f>
        <v>0</v>
      </c>
      <c r="DC378" s="711">
        <f>IF(WWWW[[#This Row],['#_households that received standard amount of soap for this quarter]]/WWWW[[#This Row],[Total HH]]&gt;1,1,WWWW[[#This Row],['#_households that received standard amount of soap for this quarter]]/WWWW[[#This Row],[Total HH]])</f>
        <v>0</v>
      </c>
      <c r="DD378" s="711">
        <f>IF(WWWW[[#This Row],['#_households that received standard amount of sanitary pads for this quarter]]/WWWW[[#This Row],[Total HH]]&gt;1,1,WWWW[[#This Row],['#_households that received standard amount of sanitary pads for this quarter]]/WWWW[[#This Row],[Total HH]])</f>
        <v>0</v>
      </c>
      <c r="DE378" s="712">
        <f>WWWW[[#This Row],['#_Constructed/Existing hand washing stations]]-WWWW[[#This Row],['#_Non-Functional_hand_washing_stations]]</f>
        <v>0</v>
      </c>
      <c r="DF378" s="667">
        <f>IF(WWWW[[#This Row],['# Functional hand washing stations during reporting period]]*20&gt;WWWW[[#This Row],[Total HH]],WWWW[[#This Row],[Total HH]],WWWW[[#This Row],['# Functional hand washing stations during reporting period]]*20)</f>
        <v>0</v>
      </c>
      <c r="DG378" s="702">
        <f>IF(WWWW[[#This Row],[Is sufficient soap available for TLS? (Yes/No)]]="yes",WWWW[[#This Row],['#_Constructed/Existing hand washing stations at TLS]],0)</f>
        <v>0</v>
      </c>
      <c r="DH378" s="702">
        <f>IF(WWWW[[#This Row],['# Functional hand washing stations during reporting period]]*100&gt;WWWW[[#This Row],[Total PoP ]],WWWW[[#This Row],[Total PoP ]],WWWW[[#This Row],['# Functional hand washing stations during reporting period]]*100)</f>
        <v>0</v>
      </c>
      <c r="DI378" s="702" t="str">
        <f>IF(WWWW[[#This Row],['#_students at TLS_CFS]]="","No","Yes")</f>
        <v>No</v>
      </c>
      <c r="DJ378" s="709">
        <f>VLOOKUP(WWWW[[#This Row],[Site Name]],SiteDB6[[Site Name]:[CCCM Management]],6,FALSE)</f>
        <v>0</v>
      </c>
      <c r="DK378" s="709">
        <f>VLOOKUP(WWWW[[#This Row],[Site Name]],SiteDB6[[Site Name]:[CCCM Focal Agency]],7,FALSE)</f>
        <v>0</v>
      </c>
      <c r="DL378" s="709" t="str">
        <f>VLOOKUP(WWWW[[#This Row],[Site Name]],SiteDB6[[Site Name]:[Location Type 1]],9,FALSE)</f>
        <v>Village</v>
      </c>
      <c r="DM378" s="709" t="str">
        <f>VLOOKUP(WWWW[[#This Row],[Site Name]],SiteDB6[[Site Name]:[Type of Accommodation]],10,FALSE)</f>
        <v>Returned</v>
      </c>
      <c r="DN378" s="709" t="str">
        <f>VLOOKUP(WWWW[[#This Row],[Site Name]],SiteDB6[[Site Name]:[Ethnic or GCA/NGCA]],11,FALSE)</f>
        <v>Rakhine</v>
      </c>
      <c r="DO378" s="709">
        <f>VLOOKUP(WWWW[[#This Row],[Site Name]],SiteDB6[[Site Name]:[Lat]],12,FALSE)</f>
        <v>20.720213000000001</v>
      </c>
      <c r="DP378" s="709">
        <f>VLOOKUP(WWWW[[#This Row],[Site Name]],SiteDB6[[Site Name]:[Long]],13,FALSE)</f>
        <v>92.961841000000007</v>
      </c>
      <c r="DQ378" s="709" t="str">
        <f>VLOOKUP(WWWW[[#This Row],[Site Name]],SiteDB6[[Site Name]:[Pcode]],3,FALSE)</f>
        <v>MMR012CMP024</v>
      </c>
      <c r="DR378" s="703" t="str">
        <f t="shared" si="13"/>
        <v>Notcovered</v>
      </c>
      <c r="DS378" s="703"/>
      <c r="DV378" s="661"/>
    </row>
    <row r="379" spans="1:126">
      <c r="A379" s="637" t="s">
        <v>2525</v>
      </c>
      <c r="B379" s="716" t="s">
        <v>317</v>
      </c>
      <c r="C379" s="716" t="s">
        <v>317</v>
      </c>
      <c r="D379" s="701"/>
      <c r="E379" s="663" t="s">
        <v>3014</v>
      </c>
      <c r="F379" s="701" t="s">
        <v>320</v>
      </c>
      <c r="G379" s="694" t="str">
        <f>VLOOKUP(WWWW[[#This Row],[Site Name]],SiteDB6[[Site Name]:[Location Type]],8,FALSE)</f>
        <v>Village</v>
      </c>
      <c r="H379" s="701" t="s">
        <v>574</v>
      </c>
      <c r="I379" s="379">
        <v>116</v>
      </c>
      <c r="J379" s="379">
        <v>802</v>
      </c>
      <c r="K379" s="710"/>
      <c r="L379" s="58"/>
      <c r="M379" s="379"/>
      <c r="N379" s="379"/>
      <c r="O379" s="379"/>
      <c r="P379" s="379"/>
      <c r="Q379" s="702"/>
      <c r="R379" s="379"/>
      <c r="S379" s="379"/>
      <c r="T379" s="379"/>
      <c r="U379" s="379"/>
      <c r="V379" s="379"/>
      <c r="W379" s="379"/>
      <c r="X379" s="379"/>
      <c r="Y379" s="379"/>
      <c r="Z379" s="379"/>
      <c r="AA379" s="379"/>
      <c r="AB379" s="379"/>
      <c r="AC379" s="379"/>
      <c r="AD379" s="379"/>
      <c r="AE379" s="379"/>
      <c r="AF379" s="379"/>
      <c r="AG379" s="379"/>
      <c r="AH379" s="379"/>
      <c r="AI379" s="379"/>
      <c r="AJ379" s="379"/>
      <c r="AK379" s="379"/>
      <c r="AL379" s="379"/>
      <c r="AM379" s="379"/>
      <c r="AN379" s="379"/>
      <c r="AO379" s="703"/>
      <c r="AP379" s="379"/>
      <c r="AQ379" s="379"/>
      <c r="AR379" s="711"/>
      <c r="AS379" s="379"/>
      <c r="AT379" s="379"/>
      <c r="AU379" s="379"/>
      <c r="AV379" s="379"/>
      <c r="AW379" s="379"/>
      <c r="AX379" s="709"/>
      <c r="AY379" s="703"/>
      <c r="AZ379" s="379"/>
      <c r="BA379" s="379"/>
      <c r="BB379" s="379"/>
      <c r="BC379" s="709"/>
      <c r="BD379" s="379"/>
      <c r="BE379" s="379"/>
      <c r="BF379" s="379"/>
      <c r="BG379" s="379"/>
      <c r="BH379" s="379"/>
      <c r="BI379" s="379"/>
      <c r="BJ379" s="379"/>
      <c r="BK379" s="379"/>
      <c r="BL379" s="379"/>
      <c r="BM379" s="709"/>
      <c r="BN379" s="712"/>
      <c r="BO379" s="711"/>
      <c r="BP379" s="709"/>
      <c r="BQ379" s="713" t="str">
        <f>IFERROR(WWWW[[#This Row],['#_Water sources treated]]/WWWW[[#This Row],['#_Water sources tested for contamination]],"no test")</f>
        <v>no test</v>
      </c>
      <c r="BR379" s="711" t="str">
        <f>IFERROR(WWWW[[#This Row],['#_Household received remediation action due to contamination]]/WWWW[[#This Row],['#_Household water samples tested for contamination]],"no test")</f>
        <v>no test</v>
      </c>
      <c r="BS379" s="712" t="str">
        <f>IF(AND(WWWW[[#This Row],[% of water sources treated]]="no test",WWWW[[#This Row],[% Household received corrective actions]]="no test"),"No Test","Tested")</f>
        <v>No Test</v>
      </c>
      <c r="BT379" s="712">
        <f>WWWW[[#This Row],['#_Constructed/existing protected hand dug well]]-WWWW[[#This Row],['#_Non-functional protected hand dug well]]</f>
        <v>0</v>
      </c>
      <c r="BU379" s="712">
        <f>(WWWW[[#This Row],['#_Constructed/Existing tube wells/boreholes/handpumps_WASH_agency]]+WWWW[[#This Row],['#_Non-Cluster partner water tube-wells/boreholes/handpumps]])-WWWW[[#This Row],['#_Non-functional tube wells/boreholes/handpumps]]</f>
        <v>0</v>
      </c>
      <c r="BV379" s="712">
        <f>WWWW[[#This Row],['#_Constructed/Existingwater storage tank with gravity fed reticulation system]]-WWWW[[#This Row],['#_Non-functional storage tank gravity fed reticulation system]]</f>
        <v>0</v>
      </c>
      <c r="BW379" s="712">
        <f>WWWW[[#This Row],['#_Water boating or water trucking]]</f>
        <v>0</v>
      </c>
      <c r="BX379" s="712">
        <f>WWWW[[#This Row],['#_Constructed/Existing water distribution system from river or natural spring]]</f>
        <v>0</v>
      </c>
      <c r="BY379" s="713">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79" s="713">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79" s="711">
        <f>IF(WWWW[[#This Row],[Location Type 1]]="Village",WWWW[[#This Row],[Access to safe drinking water for Village]],WWWW[[#This Row],[Access to safe drinking water for Camp]])</f>
        <v>0</v>
      </c>
      <c r="CB379" s="702">
        <f>WWWW[[#This Row],[%Equitable and continuous access to sufficient quantity of safe drinking water]]*WWWW[[#This Row],[Total PoP ]]</f>
        <v>0</v>
      </c>
      <c r="CC379" s="711">
        <f>IF((WWWW[[#This Row],['#_Constructed/Existing protected/fenced ponds]]*250)/WWWW[[#This Row],[Total PoP ]]&gt;1,1,(WWWW[[#This Row],['#_Constructed/Existing protected/fenced ponds]]*250)/WWWW[[#This Row],[Total PoP ]])</f>
        <v>0</v>
      </c>
      <c r="CD379" s="702">
        <f>WWWW[[#This Row],[% Access to unimproved water points]]*WWWW[[#This Row],[Total PoP ]]</f>
        <v>0</v>
      </c>
      <c r="CE379" s="711">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79" s="70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79" s="702">
        <f>WWWW[[#This Row],[HRP1]]/500</f>
        <v>0</v>
      </c>
      <c r="CH379" s="714">
        <f>1-WWWW[[#This Row],[% Equitable and continuous access to sufficient quantity of domestic water]]</f>
        <v>1</v>
      </c>
      <c r="CI379" s="702">
        <f>WWWW[[#This Row],[%equitable and continuous access to sufficient quantity of safe drinking and domestic water''s GAP]]*WWWW[[#This Row],[Total PoP ]]</f>
        <v>802</v>
      </c>
      <c r="CJ379" s="712">
        <f>IF(WWWW[[#This Row],[Total required water points]]-WWWW[[#This Row],['#Water points coverage]]&lt;0,0,WWWW[[#This Row],[Total required water points]]-WWWW[[#This Row],['#Water points coverage]])</f>
        <v>2</v>
      </c>
      <c r="CK379" s="712">
        <f>ROUND(IF(WWWW[[#This Row],[Total PoP ]]&lt;500,1,WWWW[[#This Row],[Total PoP ]]/500),0)</f>
        <v>2</v>
      </c>
      <c r="CL379" s="712">
        <f>(WWWW[[#This Row],['#_Constructed latrines_by_WASHAgencies]]+WWWW[[#This Row],['#_Non Cluster partner latrines]])-WWWW[[#This Row],['#_Non-functional latrines]]</f>
        <v>0</v>
      </c>
      <c r="CM379" s="711">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79" s="702">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79" s="715"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79" s="712" t="str">
        <f>IF(WWWW[[#This Row],[Location Type 1]]="Village","NA",IF(WWWW[[#This Row],['#_Constructed/Existing latrines in TLS]]*50&gt;WWWW[[#This Row],['#_students at TLS_CFS]],WWWW[[#This Row],['#_students at TLS_CFS]],(WWWW[[#This Row],['#_Constructed/Existing latrines in TLS]]*50)))</f>
        <v>NA</v>
      </c>
      <c r="CQ379" s="712">
        <f>ROUND(IF(WWWW[[#This Row],[Location Type 1]]="camp",WWWW[[#This Row],[Total PoP ]]/20,IF(WWWW[[#This Row],[Location Type 1]]="Temporary Location",WWWW[[#This Row],[Total PoP ]]/50,(WWWW[[#This Row],[Total PoP ]]/6))),0)</f>
        <v>134</v>
      </c>
      <c r="CR379" s="712">
        <f>IF(WWWW[[#This Row],[Total required Latrines]]-(WWWW[[#This Row],['#_Constructed latrines_by_WASHAgencies]]+WWWW[[#This Row],['#_Non Cluster partner latrines]])&lt;0,0,WWWW[[#This Row],[Total required Latrines]]-(WWWW[[#This Row],['#_Constructed latrines_by_WASHAgencies]]+WWWW[[#This Row],['#_Non Cluster partner latrines]]))</f>
        <v>134</v>
      </c>
      <c r="CS379" s="79">
        <f>1-WWWW[[#This Row],[% people access to functioning Latrine]]</f>
        <v>1</v>
      </c>
      <c r="CT379" s="713">
        <f>IF(OR(WWWW[[#This Row],['#_Non-functional latrines]]="",WWWW[[#This Row],['#_Non-functional latrines]]=0),0,WWWW[[#This Row],['#_Non-functional latrines]]/(WWWW[[#This Row],['#_Constructed latrines_by_WASHAgencies]]+WWWW[[#This Row],['#_Non Cluster partner latrines]]))</f>
        <v>0</v>
      </c>
      <c r="CU379" s="702">
        <f>IF(500*(WWWW[[#This Row],['#_male hygiene promoters]]+WWWW[[#This Row],['#_female hygiene promoters]])&gt;WWWW[[#This Row],[Total PoP ]],WWWW[[#This Row],[Total PoP ]],500*(WWWW[[#This Row],['#_male hygiene promoters]]+WWWW[[#This Row],['#_female hygiene promoters]]))</f>
        <v>0</v>
      </c>
      <c r="CV379" s="712">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79" s="712">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79" s="712">
        <f>IF(WWWW[[#This Row],['# People with access to soap]]&gt;WWWW[[#This Row],['# People with access to Sanity Pads]],WWWW[[#This Row],['# People with access to soap]],WWWW[[#This Row],['# People with access to Sanity Pads]])</f>
        <v>0</v>
      </c>
      <c r="CY379" s="712">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79" s="714">
        <f>IF(WWWW[[#This Row],[HRP3]]/WWWW[[#This Row],[Total PoP ]]&gt;100%,100%,WWWW[[#This Row],[HRP3]]/WWWW[[#This Row],[Total PoP ]])</f>
        <v>0</v>
      </c>
      <c r="DA379" s="713">
        <f>1-WWWW[[#This Row],[Hygiene Coverage%]]</f>
        <v>1</v>
      </c>
      <c r="DB379" s="711">
        <f>WWWW[[#This Row],['# people reached by regular dedicated hygiene promotion_5]]/WWWW[[#This Row],[Total PoP ]]</f>
        <v>0</v>
      </c>
      <c r="DC379" s="711">
        <f>IF(WWWW[[#This Row],['#_households that received standard amount of soap for this quarter]]/WWWW[[#This Row],[Total HH]]&gt;1,1,WWWW[[#This Row],['#_households that received standard amount of soap for this quarter]]/WWWW[[#This Row],[Total HH]])</f>
        <v>0</v>
      </c>
      <c r="DD379" s="711">
        <f>IF(WWWW[[#This Row],['#_households that received standard amount of sanitary pads for this quarter]]/WWWW[[#This Row],[Total HH]]&gt;1,1,WWWW[[#This Row],['#_households that received standard amount of sanitary pads for this quarter]]/WWWW[[#This Row],[Total HH]])</f>
        <v>0</v>
      </c>
      <c r="DE379" s="712">
        <f>WWWW[[#This Row],['#_Constructed/Existing hand washing stations]]-WWWW[[#This Row],['#_Non-Functional_hand_washing_stations]]</f>
        <v>0</v>
      </c>
      <c r="DF379" s="667">
        <f>IF(WWWW[[#This Row],['# Functional hand washing stations during reporting period]]*20&gt;WWWW[[#This Row],[Total HH]],WWWW[[#This Row],[Total HH]],WWWW[[#This Row],['# Functional hand washing stations during reporting period]]*20)</f>
        <v>0</v>
      </c>
      <c r="DG379" s="702">
        <f>IF(WWWW[[#This Row],[Is sufficient soap available for TLS? (Yes/No)]]="yes",WWWW[[#This Row],['#_Constructed/Existing hand washing stations at TLS]],0)</f>
        <v>0</v>
      </c>
      <c r="DH379" s="702">
        <f>IF(WWWW[[#This Row],['# Functional hand washing stations during reporting period]]*100&gt;WWWW[[#This Row],[Total PoP ]],WWWW[[#This Row],[Total PoP ]],WWWW[[#This Row],['# Functional hand washing stations during reporting period]]*100)</f>
        <v>0</v>
      </c>
      <c r="DI379" s="702" t="str">
        <f>IF(WWWW[[#This Row],['#_students at TLS_CFS]]="","No","Yes")</f>
        <v>No</v>
      </c>
      <c r="DJ379" s="709">
        <f>VLOOKUP(WWWW[[#This Row],[Site Name]],SiteDB6[[Site Name]:[CCCM Management]],6,FALSE)</f>
        <v>0</v>
      </c>
      <c r="DK379" s="709">
        <f>VLOOKUP(WWWW[[#This Row],[Site Name]],SiteDB6[[Site Name]:[CCCM Focal Agency]],7,FALSE)</f>
        <v>0</v>
      </c>
      <c r="DL379" s="709" t="str">
        <f>VLOOKUP(WWWW[[#This Row],[Site Name]],SiteDB6[[Site Name]:[Location Type 1]],9,FALSE)</f>
        <v>Village</v>
      </c>
      <c r="DM379" s="709" t="str">
        <f>VLOOKUP(WWWW[[#This Row],[Site Name]],SiteDB6[[Site Name]:[Type of Accommodation]],10,FALSE)</f>
        <v>Returned</v>
      </c>
      <c r="DN379" s="709" t="str">
        <f>VLOOKUP(WWWW[[#This Row],[Site Name]],SiteDB6[[Site Name]:[Ethnic or GCA/NGCA]],11,FALSE)</f>
        <v>Muslim</v>
      </c>
      <c r="DO379" s="709">
        <f>VLOOKUP(WWWW[[#This Row],[Site Name]],SiteDB6[[Site Name]:[Lat]],12,FALSE)</f>
        <v>20.713259999999998</v>
      </c>
      <c r="DP379" s="709">
        <f>VLOOKUP(WWWW[[#This Row],[Site Name]],SiteDB6[[Site Name]:[Long]],13,FALSE)</f>
        <v>93.014089999999996</v>
      </c>
      <c r="DQ379" s="709" t="str">
        <f>VLOOKUP(WWWW[[#This Row],[Site Name]],SiteDB6[[Site Name]:[Pcode]],3,FALSE)</f>
        <v>MMR012CMP027</v>
      </c>
      <c r="DR379" s="703" t="str">
        <f t="shared" si="13"/>
        <v>Notcovered</v>
      </c>
      <c r="DS379" s="703"/>
      <c r="DV379" s="661"/>
    </row>
    <row r="380" spans="1:126">
      <c r="A380" s="637" t="s">
        <v>2525</v>
      </c>
      <c r="B380" s="716" t="s">
        <v>317</v>
      </c>
      <c r="C380" s="716" t="s">
        <v>317</v>
      </c>
      <c r="D380" s="701"/>
      <c r="E380" s="663" t="s">
        <v>3014</v>
      </c>
      <c r="F380" s="701" t="s">
        <v>320</v>
      </c>
      <c r="G380" s="694" t="str">
        <f>VLOOKUP(WWWW[[#This Row],[Site Name]],SiteDB6[[Site Name]:[Location Type]],8,FALSE)</f>
        <v>Village</v>
      </c>
      <c r="H380" s="701" t="s">
        <v>663</v>
      </c>
      <c r="I380" s="379">
        <v>97</v>
      </c>
      <c r="J380" s="379">
        <v>557</v>
      </c>
      <c r="K380" s="710"/>
      <c r="L380" s="58"/>
      <c r="M380" s="379"/>
      <c r="N380" s="379"/>
      <c r="O380" s="379"/>
      <c r="P380" s="379"/>
      <c r="Q380" s="702"/>
      <c r="R380" s="379"/>
      <c r="S380" s="379"/>
      <c r="T380" s="379"/>
      <c r="U380" s="379"/>
      <c r="V380" s="379"/>
      <c r="W380" s="379"/>
      <c r="X380" s="379"/>
      <c r="Y380" s="379"/>
      <c r="Z380" s="379"/>
      <c r="AA380" s="379"/>
      <c r="AB380" s="379"/>
      <c r="AC380" s="379"/>
      <c r="AD380" s="379"/>
      <c r="AE380" s="379"/>
      <c r="AF380" s="379"/>
      <c r="AG380" s="379"/>
      <c r="AH380" s="379"/>
      <c r="AI380" s="379"/>
      <c r="AJ380" s="379"/>
      <c r="AK380" s="379"/>
      <c r="AL380" s="379"/>
      <c r="AM380" s="379"/>
      <c r="AN380" s="379"/>
      <c r="AO380" s="703"/>
      <c r="AP380" s="379"/>
      <c r="AQ380" s="379"/>
      <c r="AR380" s="711"/>
      <c r="AS380" s="379"/>
      <c r="AT380" s="379"/>
      <c r="AU380" s="379"/>
      <c r="AV380" s="379"/>
      <c r="AW380" s="379"/>
      <c r="AX380" s="709"/>
      <c r="AY380" s="703"/>
      <c r="AZ380" s="379"/>
      <c r="BA380" s="379"/>
      <c r="BB380" s="379"/>
      <c r="BC380" s="709"/>
      <c r="BD380" s="379"/>
      <c r="BE380" s="379"/>
      <c r="BF380" s="379"/>
      <c r="BG380" s="379"/>
      <c r="BH380" s="379"/>
      <c r="BI380" s="379"/>
      <c r="BJ380" s="379"/>
      <c r="BK380" s="379"/>
      <c r="BL380" s="379"/>
      <c r="BM380" s="709"/>
      <c r="BN380" s="712"/>
      <c r="BO380" s="711"/>
      <c r="BP380" s="709"/>
      <c r="BQ380" s="713" t="str">
        <f>IFERROR(WWWW[[#This Row],['#_Water sources treated]]/WWWW[[#This Row],['#_Water sources tested for contamination]],"no test")</f>
        <v>no test</v>
      </c>
      <c r="BR380" s="711" t="str">
        <f>IFERROR(WWWW[[#This Row],['#_Household received remediation action due to contamination]]/WWWW[[#This Row],['#_Household water samples tested for contamination]],"no test")</f>
        <v>no test</v>
      </c>
      <c r="BS380" s="712" t="str">
        <f>IF(AND(WWWW[[#This Row],[% of water sources treated]]="no test",WWWW[[#This Row],[% Household received corrective actions]]="no test"),"No Test","Tested")</f>
        <v>No Test</v>
      </c>
      <c r="BT380" s="712">
        <f>WWWW[[#This Row],['#_Constructed/existing protected hand dug well]]-WWWW[[#This Row],['#_Non-functional protected hand dug well]]</f>
        <v>0</v>
      </c>
      <c r="BU380" s="712">
        <f>(WWWW[[#This Row],['#_Constructed/Existing tube wells/boreholes/handpumps_WASH_agency]]+WWWW[[#This Row],['#_Non-Cluster partner water tube-wells/boreholes/handpumps]])-WWWW[[#This Row],['#_Non-functional tube wells/boreholes/handpumps]]</f>
        <v>0</v>
      </c>
      <c r="BV380" s="712">
        <f>WWWW[[#This Row],['#_Constructed/Existingwater storage tank with gravity fed reticulation system]]-WWWW[[#This Row],['#_Non-functional storage tank gravity fed reticulation system]]</f>
        <v>0</v>
      </c>
      <c r="BW380" s="712">
        <f>WWWW[[#This Row],['#_Water boating or water trucking]]</f>
        <v>0</v>
      </c>
      <c r="BX380" s="712">
        <f>WWWW[[#This Row],['#_Constructed/Existing water distribution system from river or natural spring]]</f>
        <v>0</v>
      </c>
      <c r="BY380" s="713">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80" s="713">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80" s="711">
        <f>IF(WWWW[[#This Row],[Location Type 1]]="Village",WWWW[[#This Row],[Access to safe drinking water for Village]],WWWW[[#This Row],[Access to safe drinking water for Camp]])</f>
        <v>0</v>
      </c>
      <c r="CB380" s="702">
        <f>WWWW[[#This Row],[%Equitable and continuous access to sufficient quantity of safe drinking water]]*WWWW[[#This Row],[Total PoP ]]</f>
        <v>0</v>
      </c>
      <c r="CC380" s="711">
        <f>IF((WWWW[[#This Row],['#_Constructed/Existing protected/fenced ponds]]*250)/WWWW[[#This Row],[Total PoP ]]&gt;1,1,(WWWW[[#This Row],['#_Constructed/Existing protected/fenced ponds]]*250)/WWWW[[#This Row],[Total PoP ]])</f>
        <v>0</v>
      </c>
      <c r="CD380" s="702">
        <f>WWWW[[#This Row],[% Access to unimproved water points]]*WWWW[[#This Row],[Total PoP ]]</f>
        <v>0</v>
      </c>
      <c r="CE380" s="711">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80" s="70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80" s="702">
        <f>WWWW[[#This Row],[HRP1]]/500</f>
        <v>0</v>
      </c>
      <c r="CH380" s="714">
        <f>1-WWWW[[#This Row],[% Equitable and continuous access to sufficient quantity of domestic water]]</f>
        <v>1</v>
      </c>
      <c r="CI380" s="702">
        <f>WWWW[[#This Row],[%equitable and continuous access to sufficient quantity of safe drinking and domestic water''s GAP]]*WWWW[[#This Row],[Total PoP ]]</f>
        <v>557</v>
      </c>
      <c r="CJ380" s="712">
        <f>IF(WWWW[[#This Row],[Total required water points]]-WWWW[[#This Row],['#Water points coverage]]&lt;0,0,WWWW[[#This Row],[Total required water points]]-WWWW[[#This Row],['#Water points coverage]])</f>
        <v>1</v>
      </c>
      <c r="CK380" s="712">
        <f>ROUND(IF(WWWW[[#This Row],[Total PoP ]]&lt;500,1,WWWW[[#This Row],[Total PoP ]]/500),0)</f>
        <v>1</v>
      </c>
      <c r="CL380" s="712">
        <f>(WWWW[[#This Row],['#_Constructed latrines_by_WASHAgencies]]+WWWW[[#This Row],['#_Non Cluster partner latrines]])-WWWW[[#This Row],['#_Non-functional latrines]]</f>
        <v>0</v>
      </c>
      <c r="CM380" s="711">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80" s="702">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80" s="715"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80" s="712" t="str">
        <f>IF(WWWW[[#This Row],[Location Type 1]]="Village","NA",IF(WWWW[[#This Row],['#_Constructed/Existing latrines in TLS]]*50&gt;WWWW[[#This Row],['#_students at TLS_CFS]],WWWW[[#This Row],['#_students at TLS_CFS]],(WWWW[[#This Row],['#_Constructed/Existing latrines in TLS]]*50)))</f>
        <v>NA</v>
      </c>
      <c r="CQ380" s="712">
        <f>ROUND(IF(WWWW[[#This Row],[Location Type 1]]="camp",WWWW[[#This Row],[Total PoP ]]/20,IF(WWWW[[#This Row],[Location Type 1]]="Temporary Location",WWWW[[#This Row],[Total PoP ]]/50,(WWWW[[#This Row],[Total PoP ]]/6))),0)</f>
        <v>93</v>
      </c>
      <c r="CR380" s="712">
        <f>IF(WWWW[[#This Row],[Total required Latrines]]-(WWWW[[#This Row],['#_Constructed latrines_by_WASHAgencies]]+WWWW[[#This Row],['#_Non Cluster partner latrines]])&lt;0,0,WWWW[[#This Row],[Total required Latrines]]-(WWWW[[#This Row],['#_Constructed latrines_by_WASHAgencies]]+WWWW[[#This Row],['#_Non Cluster partner latrines]]))</f>
        <v>93</v>
      </c>
      <c r="CS380" s="79">
        <f>1-WWWW[[#This Row],[% people access to functioning Latrine]]</f>
        <v>1</v>
      </c>
      <c r="CT380" s="713">
        <f>IF(OR(WWWW[[#This Row],['#_Non-functional latrines]]="",WWWW[[#This Row],['#_Non-functional latrines]]=0),0,WWWW[[#This Row],['#_Non-functional latrines]]/(WWWW[[#This Row],['#_Constructed latrines_by_WASHAgencies]]+WWWW[[#This Row],['#_Non Cluster partner latrines]]))</f>
        <v>0</v>
      </c>
      <c r="CU380" s="702">
        <f>IF(500*(WWWW[[#This Row],['#_male hygiene promoters]]+WWWW[[#This Row],['#_female hygiene promoters]])&gt;WWWW[[#This Row],[Total PoP ]],WWWW[[#This Row],[Total PoP ]],500*(WWWW[[#This Row],['#_male hygiene promoters]]+WWWW[[#This Row],['#_female hygiene promoters]]))</f>
        <v>0</v>
      </c>
      <c r="CV380" s="712">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80" s="712">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80" s="712">
        <f>IF(WWWW[[#This Row],['# People with access to soap]]&gt;WWWW[[#This Row],['# People with access to Sanity Pads]],WWWW[[#This Row],['# People with access to soap]],WWWW[[#This Row],['# People with access to Sanity Pads]])</f>
        <v>0</v>
      </c>
      <c r="CY380" s="712">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80" s="714">
        <f>IF(WWWW[[#This Row],[HRP3]]/WWWW[[#This Row],[Total PoP ]]&gt;100%,100%,WWWW[[#This Row],[HRP3]]/WWWW[[#This Row],[Total PoP ]])</f>
        <v>0</v>
      </c>
      <c r="DA380" s="713">
        <f>1-WWWW[[#This Row],[Hygiene Coverage%]]</f>
        <v>1</v>
      </c>
      <c r="DB380" s="711">
        <f>WWWW[[#This Row],['# people reached by regular dedicated hygiene promotion_5]]/WWWW[[#This Row],[Total PoP ]]</f>
        <v>0</v>
      </c>
      <c r="DC380" s="711">
        <f>IF(WWWW[[#This Row],['#_households that received standard amount of soap for this quarter]]/WWWW[[#This Row],[Total HH]]&gt;1,1,WWWW[[#This Row],['#_households that received standard amount of soap for this quarter]]/WWWW[[#This Row],[Total HH]])</f>
        <v>0</v>
      </c>
      <c r="DD380" s="711">
        <f>IF(WWWW[[#This Row],['#_households that received standard amount of sanitary pads for this quarter]]/WWWW[[#This Row],[Total HH]]&gt;1,1,WWWW[[#This Row],['#_households that received standard amount of sanitary pads for this quarter]]/WWWW[[#This Row],[Total HH]])</f>
        <v>0</v>
      </c>
      <c r="DE380" s="712">
        <f>WWWW[[#This Row],['#_Constructed/Existing hand washing stations]]-WWWW[[#This Row],['#_Non-Functional_hand_washing_stations]]</f>
        <v>0</v>
      </c>
      <c r="DF380" s="667">
        <f>IF(WWWW[[#This Row],['# Functional hand washing stations during reporting period]]*20&gt;WWWW[[#This Row],[Total HH]],WWWW[[#This Row],[Total HH]],WWWW[[#This Row],['# Functional hand washing stations during reporting period]]*20)</f>
        <v>0</v>
      </c>
      <c r="DG380" s="702">
        <f>IF(WWWW[[#This Row],[Is sufficient soap available for TLS? (Yes/No)]]="yes",WWWW[[#This Row],['#_Constructed/Existing hand washing stations at TLS]],0)</f>
        <v>0</v>
      </c>
      <c r="DH380" s="702">
        <f>IF(WWWW[[#This Row],['# Functional hand washing stations during reporting period]]*100&gt;WWWW[[#This Row],[Total PoP ]],WWWW[[#This Row],[Total PoP ]],WWWW[[#This Row],['# Functional hand washing stations during reporting period]]*100)</f>
        <v>0</v>
      </c>
      <c r="DI380" s="702" t="str">
        <f>IF(WWWW[[#This Row],['#_students at TLS_CFS]]="","No","Yes")</f>
        <v>No</v>
      </c>
      <c r="DJ380" s="709">
        <f>VLOOKUP(WWWW[[#This Row],[Site Name]],SiteDB6[[Site Name]:[CCCM Management]],6,FALSE)</f>
        <v>0</v>
      </c>
      <c r="DK380" s="709">
        <f>VLOOKUP(WWWW[[#This Row],[Site Name]],SiteDB6[[Site Name]:[CCCM Focal Agency]],7,FALSE)</f>
        <v>0</v>
      </c>
      <c r="DL380" s="709" t="str">
        <f>VLOOKUP(WWWW[[#This Row],[Site Name]],SiteDB6[[Site Name]:[Location Type 1]],9,FALSE)</f>
        <v>Village</v>
      </c>
      <c r="DM380" s="709" t="str">
        <f>VLOOKUP(WWWW[[#This Row],[Site Name]],SiteDB6[[Site Name]:[Type of Accommodation]],10,FALSE)</f>
        <v>Relocated</v>
      </c>
      <c r="DN380" s="709" t="str">
        <f>VLOOKUP(WWWW[[#This Row],[Site Name]],SiteDB6[[Site Name]:[Ethnic or GCA/NGCA]],11,FALSE)</f>
        <v>Muslim</v>
      </c>
      <c r="DO380" s="709">
        <f>VLOOKUP(WWWW[[#This Row],[Site Name]],SiteDB6[[Site Name]:[Lat]],12,FALSE)</f>
        <v>20.886997999999998</v>
      </c>
      <c r="DP380" s="709">
        <f>VLOOKUP(WWWW[[#This Row],[Site Name]],SiteDB6[[Site Name]:[Long]],13,FALSE)</f>
        <v>93.006497999999993</v>
      </c>
      <c r="DQ380" s="709" t="str">
        <f>VLOOKUP(WWWW[[#This Row],[Site Name]],SiteDB6[[Site Name]:[Pcode]],3,FALSE)</f>
        <v>MMR012CMP030</v>
      </c>
      <c r="DR380" s="703" t="str">
        <f t="shared" si="13"/>
        <v>Notcovered</v>
      </c>
      <c r="DS380" s="703"/>
      <c r="DV380" s="661"/>
    </row>
    <row r="381" spans="1:126">
      <c r="A381" s="637" t="s">
        <v>2525</v>
      </c>
      <c r="B381" s="716" t="s">
        <v>317</v>
      </c>
      <c r="C381" s="716" t="s">
        <v>317</v>
      </c>
      <c r="D381" s="701"/>
      <c r="E381" s="663" t="s">
        <v>3014</v>
      </c>
      <c r="F381" s="701" t="s">
        <v>320</v>
      </c>
      <c r="G381" s="694" t="str">
        <f>VLOOKUP(WWWW[[#This Row],[Site Name]],SiteDB6[[Site Name]:[Location Type]],8,FALSE)</f>
        <v>Village</v>
      </c>
      <c r="H381" s="701" t="s">
        <v>628</v>
      </c>
      <c r="I381" s="379">
        <v>18</v>
      </c>
      <c r="J381" s="379">
        <v>157</v>
      </c>
      <c r="K381" s="710"/>
      <c r="L381" s="58"/>
      <c r="M381" s="379"/>
      <c r="N381" s="379"/>
      <c r="O381" s="379"/>
      <c r="P381" s="379"/>
      <c r="Q381" s="702"/>
      <c r="R381" s="379"/>
      <c r="S381" s="379"/>
      <c r="T381" s="379"/>
      <c r="U381" s="379"/>
      <c r="V381" s="379"/>
      <c r="W381" s="379"/>
      <c r="X381" s="379"/>
      <c r="Y381" s="379"/>
      <c r="Z381" s="379"/>
      <c r="AA381" s="379"/>
      <c r="AB381" s="379"/>
      <c r="AC381" s="379"/>
      <c r="AD381" s="379"/>
      <c r="AE381" s="379"/>
      <c r="AF381" s="379"/>
      <c r="AG381" s="379"/>
      <c r="AH381" s="379"/>
      <c r="AI381" s="379"/>
      <c r="AJ381" s="379"/>
      <c r="AK381" s="379"/>
      <c r="AL381" s="379"/>
      <c r="AM381" s="379"/>
      <c r="AN381" s="379"/>
      <c r="AO381" s="703"/>
      <c r="AP381" s="379"/>
      <c r="AQ381" s="379"/>
      <c r="AR381" s="711"/>
      <c r="AS381" s="379"/>
      <c r="AT381" s="379"/>
      <c r="AU381" s="379"/>
      <c r="AV381" s="379"/>
      <c r="AW381" s="379"/>
      <c r="AX381" s="709"/>
      <c r="AY381" s="703"/>
      <c r="AZ381" s="379"/>
      <c r="BA381" s="379"/>
      <c r="BB381" s="379"/>
      <c r="BC381" s="709"/>
      <c r="BD381" s="379"/>
      <c r="BE381" s="379"/>
      <c r="BF381" s="379"/>
      <c r="BG381" s="379"/>
      <c r="BH381" s="379"/>
      <c r="BI381" s="379"/>
      <c r="BJ381" s="379"/>
      <c r="BK381" s="379"/>
      <c r="BL381" s="379"/>
      <c r="BM381" s="709"/>
      <c r="BN381" s="712"/>
      <c r="BO381" s="711"/>
      <c r="BP381" s="709"/>
      <c r="BQ381" s="713" t="str">
        <f>IFERROR(WWWW[[#This Row],['#_Water sources treated]]/WWWW[[#This Row],['#_Water sources tested for contamination]],"no test")</f>
        <v>no test</v>
      </c>
      <c r="BR381" s="711" t="str">
        <f>IFERROR(WWWW[[#This Row],['#_Household received remediation action due to contamination]]/WWWW[[#This Row],['#_Household water samples tested for contamination]],"no test")</f>
        <v>no test</v>
      </c>
      <c r="BS381" s="712" t="str">
        <f>IF(AND(WWWW[[#This Row],[% of water sources treated]]="no test",WWWW[[#This Row],[% Household received corrective actions]]="no test"),"No Test","Tested")</f>
        <v>No Test</v>
      </c>
      <c r="BT381" s="712">
        <f>WWWW[[#This Row],['#_Constructed/existing protected hand dug well]]-WWWW[[#This Row],['#_Non-functional protected hand dug well]]</f>
        <v>0</v>
      </c>
      <c r="BU381" s="712">
        <f>(WWWW[[#This Row],['#_Constructed/Existing tube wells/boreholes/handpumps_WASH_agency]]+WWWW[[#This Row],['#_Non-Cluster partner water tube-wells/boreholes/handpumps]])-WWWW[[#This Row],['#_Non-functional tube wells/boreholes/handpumps]]</f>
        <v>0</v>
      </c>
      <c r="BV381" s="712">
        <f>WWWW[[#This Row],['#_Constructed/Existingwater storage tank with gravity fed reticulation system]]-WWWW[[#This Row],['#_Non-functional storage tank gravity fed reticulation system]]</f>
        <v>0</v>
      </c>
      <c r="BW381" s="712">
        <f>WWWW[[#This Row],['#_Water boating or water trucking]]</f>
        <v>0</v>
      </c>
      <c r="BX381" s="712">
        <f>WWWW[[#This Row],['#_Constructed/Existing water distribution system from river or natural spring]]</f>
        <v>0</v>
      </c>
      <c r="BY381" s="713">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81" s="713">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81" s="711">
        <f>IF(WWWW[[#This Row],[Location Type 1]]="Village",WWWW[[#This Row],[Access to safe drinking water for Village]],WWWW[[#This Row],[Access to safe drinking water for Camp]])</f>
        <v>0</v>
      </c>
      <c r="CB381" s="702">
        <f>WWWW[[#This Row],[%Equitable and continuous access to sufficient quantity of safe drinking water]]*WWWW[[#This Row],[Total PoP ]]</f>
        <v>0</v>
      </c>
      <c r="CC381" s="711">
        <f>IF((WWWW[[#This Row],['#_Constructed/Existing protected/fenced ponds]]*250)/WWWW[[#This Row],[Total PoP ]]&gt;1,1,(WWWW[[#This Row],['#_Constructed/Existing protected/fenced ponds]]*250)/WWWW[[#This Row],[Total PoP ]])</f>
        <v>0</v>
      </c>
      <c r="CD381" s="702">
        <f>WWWW[[#This Row],[% Access to unimproved water points]]*WWWW[[#This Row],[Total PoP ]]</f>
        <v>0</v>
      </c>
      <c r="CE381" s="711">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81" s="70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81" s="702">
        <f>WWWW[[#This Row],[HRP1]]/500</f>
        <v>0</v>
      </c>
      <c r="CH381" s="714">
        <f>1-WWWW[[#This Row],[% Equitable and continuous access to sufficient quantity of domestic water]]</f>
        <v>1</v>
      </c>
      <c r="CI381" s="702">
        <f>WWWW[[#This Row],[%equitable and continuous access to sufficient quantity of safe drinking and domestic water''s GAP]]*WWWW[[#This Row],[Total PoP ]]</f>
        <v>157</v>
      </c>
      <c r="CJ381" s="712">
        <f>IF(WWWW[[#This Row],[Total required water points]]-WWWW[[#This Row],['#Water points coverage]]&lt;0,0,WWWW[[#This Row],[Total required water points]]-WWWW[[#This Row],['#Water points coverage]])</f>
        <v>1</v>
      </c>
      <c r="CK381" s="712">
        <f>ROUND(IF(WWWW[[#This Row],[Total PoP ]]&lt;500,1,WWWW[[#This Row],[Total PoP ]]/500),0)</f>
        <v>1</v>
      </c>
      <c r="CL381" s="712">
        <f>(WWWW[[#This Row],['#_Constructed latrines_by_WASHAgencies]]+WWWW[[#This Row],['#_Non Cluster partner latrines]])-WWWW[[#This Row],['#_Non-functional latrines]]</f>
        <v>0</v>
      </c>
      <c r="CM381" s="711">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81" s="702">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81" s="715"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81" s="712" t="str">
        <f>IF(WWWW[[#This Row],[Location Type 1]]="Village","NA",IF(WWWW[[#This Row],['#_Constructed/Existing latrines in TLS]]*50&gt;WWWW[[#This Row],['#_students at TLS_CFS]],WWWW[[#This Row],['#_students at TLS_CFS]],(WWWW[[#This Row],['#_Constructed/Existing latrines in TLS]]*50)))</f>
        <v>NA</v>
      </c>
      <c r="CQ381" s="712">
        <f>ROUND(IF(WWWW[[#This Row],[Location Type 1]]="camp",WWWW[[#This Row],[Total PoP ]]/20,IF(WWWW[[#This Row],[Location Type 1]]="Temporary Location",WWWW[[#This Row],[Total PoP ]]/50,(WWWW[[#This Row],[Total PoP ]]/6))),0)</f>
        <v>26</v>
      </c>
      <c r="CR381" s="712">
        <f>IF(WWWW[[#This Row],[Total required Latrines]]-(WWWW[[#This Row],['#_Constructed latrines_by_WASHAgencies]]+WWWW[[#This Row],['#_Non Cluster partner latrines]])&lt;0,0,WWWW[[#This Row],[Total required Latrines]]-(WWWW[[#This Row],['#_Constructed latrines_by_WASHAgencies]]+WWWW[[#This Row],['#_Non Cluster partner latrines]]))</f>
        <v>26</v>
      </c>
      <c r="CS381" s="79">
        <f>1-WWWW[[#This Row],[% people access to functioning Latrine]]</f>
        <v>1</v>
      </c>
      <c r="CT381" s="713">
        <f>IF(OR(WWWW[[#This Row],['#_Non-functional latrines]]="",WWWW[[#This Row],['#_Non-functional latrines]]=0),0,WWWW[[#This Row],['#_Non-functional latrines]]/(WWWW[[#This Row],['#_Constructed latrines_by_WASHAgencies]]+WWWW[[#This Row],['#_Non Cluster partner latrines]]))</f>
        <v>0</v>
      </c>
      <c r="CU381" s="702">
        <f>IF(500*(WWWW[[#This Row],['#_male hygiene promoters]]+WWWW[[#This Row],['#_female hygiene promoters]])&gt;WWWW[[#This Row],[Total PoP ]],WWWW[[#This Row],[Total PoP ]],500*(WWWW[[#This Row],['#_male hygiene promoters]]+WWWW[[#This Row],['#_female hygiene promoters]]))</f>
        <v>0</v>
      </c>
      <c r="CV381" s="712">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81" s="712">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81" s="712">
        <f>IF(WWWW[[#This Row],['# People with access to soap]]&gt;WWWW[[#This Row],['# People with access to Sanity Pads]],WWWW[[#This Row],['# People with access to soap]],WWWW[[#This Row],['# People with access to Sanity Pads]])</f>
        <v>0</v>
      </c>
      <c r="CY381" s="712">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81" s="714">
        <f>IF(WWWW[[#This Row],[HRP3]]/WWWW[[#This Row],[Total PoP ]]&gt;100%,100%,WWWW[[#This Row],[HRP3]]/WWWW[[#This Row],[Total PoP ]])</f>
        <v>0</v>
      </c>
      <c r="DA381" s="713">
        <f>1-WWWW[[#This Row],[Hygiene Coverage%]]</f>
        <v>1</v>
      </c>
      <c r="DB381" s="711">
        <f>WWWW[[#This Row],['# people reached by regular dedicated hygiene promotion_5]]/WWWW[[#This Row],[Total PoP ]]</f>
        <v>0</v>
      </c>
      <c r="DC381" s="711">
        <f>IF(WWWW[[#This Row],['#_households that received standard amount of soap for this quarter]]/WWWW[[#This Row],[Total HH]]&gt;1,1,WWWW[[#This Row],['#_households that received standard amount of soap for this quarter]]/WWWW[[#This Row],[Total HH]])</f>
        <v>0</v>
      </c>
      <c r="DD381" s="711">
        <f>IF(WWWW[[#This Row],['#_households that received standard amount of sanitary pads for this quarter]]/WWWW[[#This Row],[Total HH]]&gt;1,1,WWWW[[#This Row],['#_households that received standard amount of sanitary pads for this quarter]]/WWWW[[#This Row],[Total HH]])</f>
        <v>0</v>
      </c>
      <c r="DE381" s="712">
        <f>WWWW[[#This Row],['#_Constructed/Existing hand washing stations]]-WWWW[[#This Row],['#_Non-Functional_hand_washing_stations]]</f>
        <v>0</v>
      </c>
      <c r="DF381" s="667">
        <f>IF(WWWW[[#This Row],['# Functional hand washing stations during reporting period]]*20&gt;WWWW[[#This Row],[Total HH]],WWWW[[#This Row],[Total HH]],WWWW[[#This Row],['# Functional hand washing stations during reporting period]]*20)</f>
        <v>0</v>
      </c>
      <c r="DG381" s="702">
        <f>IF(WWWW[[#This Row],[Is sufficient soap available for TLS? (Yes/No)]]="yes",WWWW[[#This Row],['#_Constructed/Existing hand washing stations at TLS]],0)</f>
        <v>0</v>
      </c>
      <c r="DH381" s="702">
        <f>IF(WWWW[[#This Row],['# Functional hand washing stations during reporting period]]*100&gt;WWWW[[#This Row],[Total PoP ]],WWWW[[#This Row],[Total PoP ]],WWWW[[#This Row],['# Functional hand washing stations during reporting period]]*100)</f>
        <v>0</v>
      </c>
      <c r="DI381" s="702" t="str">
        <f>IF(WWWW[[#This Row],['#_students at TLS_CFS]]="","No","Yes")</f>
        <v>No</v>
      </c>
      <c r="DJ381" s="709">
        <f>VLOOKUP(WWWW[[#This Row],[Site Name]],SiteDB6[[Site Name]:[CCCM Management]],6,FALSE)</f>
        <v>0</v>
      </c>
      <c r="DK381" s="709">
        <f>VLOOKUP(WWWW[[#This Row],[Site Name]],SiteDB6[[Site Name]:[CCCM Focal Agency]],7,FALSE)</f>
        <v>0</v>
      </c>
      <c r="DL381" s="709" t="str">
        <f>VLOOKUP(WWWW[[#This Row],[Site Name]],SiteDB6[[Site Name]:[Location Type 1]],9,FALSE)</f>
        <v>Village</v>
      </c>
      <c r="DM381" s="709" t="str">
        <f>VLOOKUP(WWWW[[#This Row],[Site Name]],SiteDB6[[Site Name]:[Type of Accommodation]],10,FALSE)</f>
        <v>Returned</v>
      </c>
      <c r="DN381" s="709" t="str">
        <f>VLOOKUP(WWWW[[#This Row],[Site Name]],SiteDB6[[Site Name]:[Ethnic or GCA/NGCA]],11,FALSE)</f>
        <v>Muslim</v>
      </c>
      <c r="DO381" s="709">
        <f>VLOOKUP(WWWW[[#This Row],[Site Name]],SiteDB6[[Site Name]:[Lat]],12,FALSE)</f>
        <v>20.805734000000001</v>
      </c>
      <c r="DP381" s="709">
        <f>VLOOKUP(WWWW[[#This Row],[Site Name]],SiteDB6[[Site Name]:[Long]],13,FALSE)</f>
        <v>92.982675999999998</v>
      </c>
      <c r="DQ381" s="709" t="str">
        <f>VLOOKUP(WWWW[[#This Row],[Site Name]],SiteDB6[[Site Name]:[Pcode]],3,FALSE)</f>
        <v>MMR012CMP020</v>
      </c>
      <c r="DR381" s="703" t="str">
        <f t="shared" si="13"/>
        <v>Notcovered</v>
      </c>
      <c r="DS381" s="703"/>
      <c r="DV381" s="661"/>
    </row>
    <row r="382" spans="1:126">
      <c r="A382" s="637" t="s">
        <v>2525</v>
      </c>
      <c r="B382" s="716" t="s">
        <v>317</v>
      </c>
      <c r="C382" s="716" t="s">
        <v>317</v>
      </c>
      <c r="D382" s="701"/>
      <c r="E382" s="663" t="s">
        <v>3014</v>
      </c>
      <c r="F382" s="701" t="s">
        <v>320</v>
      </c>
      <c r="G382" s="694" t="str">
        <f>VLOOKUP(WWWW[[#This Row],[Site Name]],SiteDB6[[Site Name]:[Location Type]],8,FALSE)</f>
        <v>Village</v>
      </c>
      <c r="H382" s="701" t="s">
        <v>611</v>
      </c>
      <c r="I382" s="379">
        <v>144</v>
      </c>
      <c r="J382" s="379">
        <v>1006</v>
      </c>
      <c r="K382" s="710"/>
      <c r="L382" s="58"/>
      <c r="M382" s="379"/>
      <c r="N382" s="379"/>
      <c r="O382" s="379"/>
      <c r="P382" s="379"/>
      <c r="Q382" s="702"/>
      <c r="R382" s="379"/>
      <c r="S382" s="379"/>
      <c r="T382" s="379"/>
      <c r="U382" s="379"/>
      <c r="V382" s="379"/>
      <c r="W382" s="379"/>
      <c r="X382" s="379"/>
      <c r="Y382" s="379"/>
      <c r="Z382" s="379"/>
      <c r="AA382" s="379"/>
      <c r="AB382" s="379"/>
      <c r="AC382" s="379"/>
      <c r="AD382" s="379"/>
      <c r="AE382" s="379"/>
      <c r="AF382" s="379"/>
      <c r="AG382" s="379"/>
      <c r="AH382" s="379"/>
      <c r="AI382" s="379"/>
      <c r="AJ382" s="379"/>
      <c r="AK382" s="379"/>
      <c r="AL382" s="379"/>
      <c r="AM382" s="379"/>
      <c r="AN382" s="379"/>
      <c r="AO382" s="703"/>
      <c r="AP382" s="379"/>
      <c r="AQ382" s="379"/>
      <c r="AR382" s="711"/>
      <c r="AS382" s="379"/>
      <c r="AT382" s="379"/>
      <c r="AU382" s="379"/>
      <c r="AV382" s="379"/>
      <c r="AW382" s="379"/>
      <c r="AX382" s="709"/>
      <c r="AY382" s="703"/>
      <c r="AZ382" s="379"/>
      <c r="BA382" s="379"/>
      <c r="BB382" s="379"/>
      <c r="BC382" s="709"/>
      <c r="BD382" s="379"/>
      <c r="BE382" s="379"/>
      <c r="BF382" s="379"/>
      <c r="BG382" s="379"/>
      <c r="BH382" s="379"/>
      <c r="BI382" s="379"/>
      <c r="BJ382" s="379"/>
      <c r="BK382" s="379"/>
      <c r="BL382" s="379"/>
      <c r="BM382" s="709"/>
      <c r="BN382" s="712"/>
      <c r="BO382" s="711"/>
      <c r="BP382" s="709"/>
      <c r="BQ382" s="713" t="str">
        <f>IFERROR(WWWW[[#This Row],['#_Water sources treated]]/WWWW[[#This Row],['#_Water sources tested for contamination]],"no test")</f>
        <v>no test</v>
      </c>
      <c r="BR382" s="711" t="str">
        <f>IFERROR(WWWW[[#This Row],['#_Household received remediation action due to contamination]]/WWWW[[#This Row],['#_Household water samples tested for contamination]],"no test")</f>
        <v>no test</v>
      </c>
      <c r="BS382" s="712" t="str">
        <f>IF(AND(WWWW[[#This Row],[% of water sources treated]]="no test",WWWW[[#This Row],[% Household received corrective actions]]="no test"),"No Test","Tested")</f>
        <v>No Test</v>
      </c>
      <c r="BT382" s="712">
        <f>WWWW[[#This Row],['#_Constructed/existing protected hand dug well]]-WWWW[[#This Row],['#_Non-functional protected hand dug well]]</f>
        <v>0</v>
      </c>
      <c r="BU382" s="712">
        <f>(WWWW[[#This Row],['#_Constructed/Existing tube wells/boreholes/handpumps_WASH_agency]]+WWWW[[#This Row],['#_Non-Cluster partner water tube-wells/boreholes/handpumps]])-WWWW[[#This Row],['#_Non-functional tube wells/boreholes/handpumps]]</f>
        <v>0</v>
      </c>
      <c r="BV382" s="712">
        <f>WWWW[[#This Row],['#_Constructed/Existingwater storage tank with gravity fed reticulation system]]-WWWW[[#This Row],['#_Non-functional storage tank gravity fed reticulation system]]</f>
        <v>0</v>
      </c>
      <c r="BW382" s="712">
        <f>WWWW[[#This Row],['#_Water boating or water trucking]]</f>
        <v>0</v>
      </c>
      <c r="BX382" s="712">
        <f>WWWW[[#This Row],['#_Constructed/Existing water distribution system from river or natural spring]]</f>
        <v>0</v>
      </c>
      <c r="BY382" s="713">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82" s="713">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82" s="711">
        <f>IF(WWWW[[#This Row],[Location Type 1]]="Village",WWWW[[#This Row],[Access to safe drinking water for Village]],WWWW[[#This Row],[Access to safe drinking water for Camp]])</f>
        <v>0</v>
      </c>
      <c r="CB382" s="702">
        <f>WWWW[[#This Row],[%Equitable and continuous access to sufficient quantity of safe drinking water]]*WWWW[[#This Row],[Total PoP ]]</f>
        <v>0</v>
      </c>
      <c r="CC382" s="711">
        <f>IF((WWWW[[#This Row],['#_Constructed/Existing protected/fenced ponds]]*250)/WWWW[[#This Row],[Total PoP ]]&gt;1,1,(WWWW[[#This Row],['#_Constructed/Existing protected/fenced ponds]]*250)/WWWW[[#This Row],[Total PoP ]])</f>
        <v>0</v>
      </c>
      <c r="CD382" s="702">
        <f>WWWW[[#This Row],[% Access to unimproved water points]]*WWWW[[#This Row],[Total PoP ]]</f>
        <v>0</v>
      </c>
      <c r="CE382" s="711">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82" s="70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82" s="702">
        <f>WWWW[[#This Row],[HRP1]]/500</f>
        <v>0</v>
      </c>
      <c r="CH382" s="714">
        <f>1-WWWW[[#This Row],[% Equitable and continuous access to sufficient quantity of domestic water]]</f>
        <v>1</v>
      </c>
      <c r="CI382" s="702">
        <f>WWWW[[#This Row],[%equitable and continuous access to sufficient quantity of safe drinking and domestic water''s GAP]]*WWWW[[#This Row],[Total PoP ]]</f>
        <v>1006</v>
      </c>
      <c r="CJ382" s="712">
        <f>IF(WWWW[[#This Row],[Total required water points]]-WWWW[[#This Row],['#Water points coverage]]&lt;0,0,WWWW[[#This Row],[Total required water points]]-WWWW[[#This Row],['#Water points coverage]])</f>
        <v>2</v>
      </c>
      <c r="CK382" s="712">
        <f>ROUND(IF(WWWW[[#This Row],[Total PoP ]]&lt;500,1,WWWW[[#This Row],[Total PoP ]]/500),0)</f>
        <v>2</v>
      </c>
      <c r="CL382" s="712">
        <f>(WWWW[[#This Row],['#_Constructed latrines_by_WASHAgencies]]+WWWW[[#This Row],['#_Non Cluster partner latrines]])-WWWW[[#This Row],['#_Non-functional latrines]]</f>
        <v>0</v>
      </c>
      <c r="CM382" s="711">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82" s="702">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82" s="715"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82" s="712" t="str">
        <f>IF(WWWW[[#This Row],[Location Type 1]]="Village","NA",IF(WWWW[[#This Row],['#_Constructed/Existing latrines in TLS]]*50&gt;WWWW[[#This Row],['#_students at TLS_CFS]],WWWW[[#This Row],['#_students at TLS_CFS]],(WWWW[[#This Row],['#_Constructed/Existing latrines in TLS]]*50)))</f>
        <v>NA</v>
      </c>
      <c r="CQ382" s="712">
        <f>ROUND(IF(WWWW[[#This Row],[Location Type 1]]="camp",WWWW[[#This Row],[Total PoP ]]/20,IF(WWWW[[#This Row],[Location Type 1]]="Temporary Location",WWWW[[#This Row],[Total PoP ]]/50,(WWWW[[#This Row],[Total PoP ]]/6))),0)</f>
        <v>168</v>
      </c>
      <c r="CR382" s="712">
        <f>IF(WWWW[[#This Row],[Total required Latrines]]-(WWWW[[#This Row],['#_Constructed latrines_by_WASHAgencies]]+WWWW[[#This Row],['#_Non Cluster partner latrines]])&lt;0,0,WWWW[[#This Row],[Total required Latrines]]-(WWWW[[#This Row],['#_Constructed latrines_by_WASHAgencies]]+WWWW[[#This Row],['#_Non Cluster partner latrines]]))</f>
        <v>168</v>
      </c>
      <c r="CS382" s="79">
        <f>1-WWWW[[#This Row],[% people access to functioning Latrine]]</f>
        <v>1</v>
      </c>
      <c r="CT382" s="713">
        <f>IF(OR(WWWW[[#This Row],['#_Non-functional latrines]]="",WWWW[[#This Row],['#_Non-functional latrines]]=0),0,WWWW[[#This Row],['#_Non-functional latrines]]/(WWWW[[#This Row],['#_Constructed latrines_by_WASHAgencies]]+WWWW[[#This Row],['#_Non Cluster partner latrines]]))</f>
        <v>0</v>
      </c>
      <c r="CU382" s="702">
        <f>IF(500*(WWWW[[#This Row],['#_male hygiene promoters]]+WWWW[[#This Row],['#_female hygiene promoters]])&gt;WWWW[[#This Row],[Total PoP ]],WWWW[[#This Row],[Total PoP ]],500*(WWWW[[#This Row],['#_male hygiene promoters]]+WWWW[[#This Row],['#_female hygiene promoters]]))</f>
        <v>0</v>
      </c>
      <c r="CV382" s="712">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82" s="712">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82" s="712">
        <f>IF(WWWW[[#This Row],['# People with access to soap]]&gt;WWWW[[#This Row],['# People with access to Sanity Pads]],WWWW[[#This Row],['# People with access to soap]],WWWW[[#This Row],['# People with access to Sanity Pads]])</f>
        <v>0</v>
      </c>
      <c r="CY382" s="712">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82" s="714">
        <f>IF(WWWW[[#This Row],[HRP3]]/WWWW[[#This Row],[Total PoP ]]&gt;100%,100%,WWWW[[#This Row],[HRP3]]/WWWW[[#This Row],[Total PoP ]])</f>
        <v>0</v>
      </c>
      <c r="DA382" s="713">
        <f>1-WWWW[[#This Row],[Hygiene Coverage%]]</f>
        <v>1</v>
      </c>
      <c r="DB382" s="711">
        <f>WWWW[[#This Row],['# people reached by regular dedicated hygiene promotion_5]]/WWWW[[#This Row],[Total PoP ]]</f>
        <v>0</v>
      </c>
      <c r="DC382" s="711">
        <f>IF(WWWW[[#This Row],['#_households that received standard amount of soap for this quarter]]/WWWW[[#This Row],[Total HH]]&gt;1,1,WWWW[[#This Row],['#_households that received standard amount of soap for this quarter]]/WWWW[[#This Row],[Total HH]])</f>
        <v>0</v>
      </c>
      <c r="DD382" s="711">
        <f>IF(WWWW[[#This Row],['#_households that received standard amount of sanitary pads for this quarter]]/WWWW[[#This Row],[Total HH]]&gt;1,1,WWWW[[#This Row],['#_households that received standard amount of sanitary pads for this quarter]]/WWWW[[#This Row],[Total HH]])</f>
        <v>0</v>
      </c>
      <c r="DE382" s="712">
        <f>WWWW[[#This Row],['#_Constructed/Existing hand washing stations]]-WWWW[[#This Row],['#_Non-Functional_hand_washing_stations]]</f>
        <v>0</v>
      </c>
      <c r="DF382" s="667">
        <f>IF(WWWW[[#This Row],['# Functional hand washing stations during reporting period]]*20&gt;WWWW[[#This Row],[Total HH]],WWWW[[#This Row],[Total HH]],WWWW[[#This Row],['# Functional hand washing stations during reporting period]]*20)</f>
        <v>0</v>
      </c>
      <c r="DG382" s="702">
        <f>IF(WWWW[[#This Row],[Is sufficient soap available for TLS? (Yes/No)]]="yes",WWWW[[#This Row],['#_Constructed/Existing hand washing stations at TLS]],0)</f>
        <v>0</v>
      </c>
      <c r="DH382" s="702">
        <f>IF(WWWW[[#This Row],['# Functional hand washing stations during reporting period]]*100&gt;WWWW[[#This Row],[Total PoP ]],WWWW[[#This Row],[Total PoP ]],WWWW[[#This Row],['# Functional hand washing stations during reporting period]]*100)</f>
        <v>0</v>
      </c>
      <c r="DI382" s="702" t="str">
        <f>IF(WWWW[[#This Row],['#_students at TLS_CFS]]="","No","Yes")</f>
        <v>No</v>
      </c>
      <c r="DJ382" s="709">
        <f>VLOOKUP(WWWW[[#This Row],[Site Name]],SiteDB6[[Site Name]:[CCCM Management]],6,FALSE)</f>
        <v>0</v>
      </c>
      <c r="DK382" s="709">
        <f>VLOOKUP(WWWW[[#This Row],[Site Name]],SiteDB6[[Site Name]:[CCCM Focal Agency]],7,FALSE)</f>
        <v>0</v>
      </c>
      <c r="DL382" s="709" t="str">
        <f>VLOOKUP(WWWW[[#This Row],[Site Name]],SiteDB6[[Site Name]:[Location Type 1]],9,FALSE)</f>
        <v>Village</v>
      </c>
      <c r="DM382" s="709" t="str">
        <f>VLOOKUP(WWWW[[#This Row],[Site Name]],SiteDB6[[Site Name]:[Type of Accommodation]],10,FALSE)</f>
        <v>Returned</v>
      </c>
      <c r="DN382" s="709" t="str">
        <f>VLOOKUP(WWWW[[#This Row],[Site Name]],SiteDB6[[Site Name]:[Ethnic or GCA/NGCA]],11,FALSE)</f>
        <v>Muslim</v>
      </c>
      <c r="DO382" s="709">
        <f>VLOOKUP(WWWW[[#This Row],[Site Name]],SiteDB6[[Site Name]:[Lat]],12,FALSE)</f>
        <v>20.78332</v>
      </c>
      <c r="DP382" s="709">
        <f>VLOOKUP(WWWW[[#This Row],[Site Name]],SiteDB6[[Site Name]:[Long]],13,FALSE)</f>
        <v>92.987399999999994</v>
      </c>
      <c r="DQ382" s="709" t="str">
        <f>VLOOKUP(WWWW[[#This Row],[Site Name]],SiteDB6[[Site Name]:[Pcode]],3,FALSE)</f>
        <v>MMR012CMP029</v>
      </c>
      <c r="DR382" s="703" t="str">
        <f t="shared" si="13"/>
        <v>Notcovered</v>
      </c>
      <c r="DS382" s="703"/>
      <c r="DV382" s="661"/>
    </row>
    <row r="383" spans="1:126">
      <c r="A383" s="637" t="s">
        <v>2525</v>
      </c>
      <c r="B383" s="716" t="s">
        <v>326</v>
      </c>
      <c r="C383" s="716" t="s">
        <v>326</v>
      </c>
      <c r="D383" s="701" t="s">
        <v>3003</v>
      </c>
      <c r="E383" s="663" t="s">
        <v>3013</v>
      </c>
      <c r="F383" s="701" t="s">
        <v>323</v>
      </c>
      <c r="G383" s="694" t="str">
        <f>VLOOKUP(WWWW[[#This Row],[Site Name]],SiteDB6[[Site Name]:[Location Type]],8,FALSE)</f>
        <v>Village</v>
      </c>
      <c r="H383" s="701" t="s">
        <v>2073</v>
      </c>
      <c r="I383" s="379">
        <v>210</v>
      </c>
      <c r="J383" s="379">
        <v>694</v>
      </c>
      <c r="K383" s="710">
        <v>44134</v>
      </c>
      <c r="L383" s="58"/>
      <c r="M383" s="379"/>
      <c r="N383" s="379"/>
      <c r="O383" s="379"/>
      <c r="P383" s="379"/>
      <c r="Q383" s="702"/>
      <c r="R383" s="379"/>
      <c r="S383" s="379"/>
      <c r="T383" s="379"/>
      <c r="U383" s="379"/>
      <c r="V383" s="379"/>
      <c r="W383" s="379"/>
      <c r="X383" s="379"/>
      <c r="Y383" s="379"/>
      <c r="Z383" s="379"/>
      <c r="AA383" s="379"/>
      <c r="AB383" s="379"/>
      <c r="AC383" s="379"/>
      <c r="AD383" s="379"/>
      <c r="AE383" s="379"/>
      <c r="AF383" s="379"/>
      <c r="AG383" s="379"/>
      <c r="AH383" s="379"/>
      <c r="AI383" s="379"/>
      <c r="AJ383" s="379"/>
      <c r="AK383" s="379"/>
      <c r="AL383" s="379"/>
      <c r="AM383" s="379"/>
      <c r="AN383" s="379"/>
      <c r="AO383" s="703"/>
      <c r="AP383" s="379"/>
      <c r="AQ383" s="379"/>
      <c r="AR383" s="711"/>
      <c r="AS383" s="379"/>
      <c r="AT383" s="379"/>
      <c r="AU383" s="379"/>
      <c r="AV383" s="379"/>
      <c r="AW383" s="379"/>
      <c r="AX383" s="709"/>
      <c r="AY383" s="703"/>
      <c r="AZ383" s="379"/>
      <c r="BA383" s="379"/>
      <c r="BB383" s="379"/>
      <c r="BC383" s="709"/>
      <c r="BD383" s="379"/>
      <c r="BE383" s="379"/>
      <c r="BF383" s="379"/>
      <c r="BG383" s="379"/>
      <c r="BH383" s="379"/>
      <c r="BI383" s="379"/>
      <c r="BJ383" s="379"/>
      <c r="BK383" s="379"/>
      <c r="BL383" s="379"/>
      <c r="BM383" s="709"/>
      <c r="BN383" s="712"/>
      <c r="BO383" s="711"/>
      <c r="BP383" s="709"/>
      <c r="BQ383" s="713" t="str">
        <f>IFERROR(WWWW[[#This Row],['#_Water sources treated]]/WWWW[[#This Row],['#_Water sources tested for contamination]],"no test")</f>
        <v>no test</v>
      </c>
      <c r="BR383" s="711" t="str">
        <f>IFERROR(WWWW[[#This Row],['#_Household received remediation action due to contamination]]/WWWW[[#This Row],['#_Household water samples tested for contamination]],"no test")</f>
        <v>no test</v>
      </c>
      <c r="BS383" s="712" t="str">
        <f>IF(AND(WWWW[[#This Row],[% of water sources treated]]="no test",WWWW[[#This Row],[% Household received corrective actions]]="no test"),"No Test","Tested")</f>
        <v>No Test</v>
      </c>
      <c r="BT383" s="712">
        <f>WWWW[[#This Row],['#_Constructed/existing protected hand dug well]]-WWWW[[#This Row],['#_Non-functional protected hand dug well]]</f>
        <v>0</v>
      </c>
      <c r="BU383" s="712">
        <f>(WWWW[[#This Row],['#_Constructed/Existing tube wells/boreholes/handpumps_WASH_agency]]+WWWW[[#This Row],['#_Non-Cluster partner water tube-wells/boreholes/handpumps]])-WWWW[[#This Row],['#_Non-functional tube wells/boreholes/handpumps]]</f>
        <v>0</v>
      </c>
      <c r="BV383" s="712">
        <f>WWWW[[#This Row],['#_Constructed/Existingwater storage tank with gravity fed reticulation system]]-WWWW[[#This Row],['#_Non-functional storage tank gravity fed reticulation system]]</f>
        <v>0</v>
      </c>
      <c r="BW383" s="712">
        <f>WWWW[[#This Row],['#_Water boating or water trucking]]</f>
        <v>0</v>
      </c>
      <c r="BX383" s="712">
        <f>WWWW[[#This Row],['#_Constructed/Existing water distribution system from river or natural spring]]</f>
        <v>0</v>
      </c>
      <c r="BY383" s="713">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83" s="713">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83" s="711">
        <f>IF(WWWW[[#This Row],[Location Type 1]]="Village",WWWW[[#This Row],[Access to safe drinking water for Village]],WWWW[[#This Row],[Access to safe drinking water for Camp]])</f>
        <v>0</v>
      </c>
      <c r="CB383" s="702">
        <f>WWWW[[#This Row],[%Equitable and continuous access to sufficient quantity of safe drinking water]]*WWWW[[#This Row],[Total PoP ]]</f>
        <v>0</v>
      </c>
      <c r="CC383" s="711">
        <f>IF((WWWW[[#This Row],['#_Constructed/Existing protected/fenced ponds]]*250)/WWWW[[#This Row],[Total PoP ]]&gt;1,1,(WWWW[[#This Row],['#_Constructed/Existing protected/fenced ponds]]*250)/WWWW[[#This Row],[Total PoP ]])</f>
        <v>0</v>
      </c>
      <c r="CD383" s="702">
        <f>WWWW[[#This Row],[% Access to unimproved water points]]*WWWW[[#This Row],[Total PoP ]]</f>
        <v>0</v>
      </c>
      <c r="CE383" s="711">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83" s="70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83" s="702">
        <f>WWWW[[#This Row],[HRP1]]/500</f>
        <v>0</v>
      </c>
      <c r="CH383" s="714">
        <f>1-WWWW[[#This Row],[% Equitable and continuous access to sufficient quantity of domestic water]]</f>
        <v>1</v>
      </c>
      <c r="CI383" s="702">
        <f>WWWW[[#This Row],[%equitable and continuous access to sufficient quantity of safe drinking and domestic water''s GAP]]*WWWW[[#This Row],[Total PoP ]]</f>
        <v>694</v>
      </c>
      <c r="CJ383" s="712">
        <f>IF(WWWW[[#This Row],[Total required water points]]-WWWW[[#This Row],['#Water points coverage]]&lt;0,0,WWWW[[#This Row],[Total required water points]]-WWWW[[#This Row],['#Water points coverage]])</f>
        <v>1</v>
      </c>
      <c r="CK383" s="712">
        <f>ROUND(IF(WWWW[[#This Row],[Total PoP ]]&lt;500,1,WWWW[[#This Row],[Total PoP ]]/500),0)</f>
        <v>1</v>
      </c>
      <c r="CL383" s="712">
        <f>(WWWW[[#This Row],['#_Constructed latrines_by_WASHAgencies]]+WWWW[[#This Row],['#_Non Cluster partner latrines]])-WWWW[[#This Row],['#_Non-functional latrines]]</f>
        <v>0</v>
      </c>
      <c r="CM383" s="711">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83" s="702">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83" s="715"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83" s="712" t="str">
        <f>IF(WWWW[[#This Row],[Location Type 1]]="Village","NA",IF(WWWW[[#This Row],['#_Constructed/Existing latrines in TLS]]*50&gt;WWWW[[#This Row],['#_students at TLS_CFS]],WWWW[[#This Row],['#_students at TLS_CFS]],(WWWW[[#This Row],['#_Constructed/Existing latrines in TLS]]*50)))</f>
        <v>NA</v>
      </c>
      <c r="CQ383" s="712">
        <f>ROUND(IF(WWWW[[#This Row],[Location Type 1]]="camp",WWWW[[#This Row],[Total PoP ]]/20,IF(WWWW[[#This Row],[Location Type 1]]="Temporary Location",WWWW[[#This Row],[Total PoP ]]/50,(WWWW[[#This Row],[Total PoP ]]/6))),0)</f>
        <v>116</v>
      </c>
      <c r="CR383" s="712">
        <f>IF(WWWW[[#This Row],[Total required Latrines]]-(WWWW[[#This Row],['#_Constructed latrines_by_WASHAgencies]]+WWWW[[#This Row],['#_Non Cluster partner latrines]])&lt;0,0,WWWW[[#This Row],[Total required Latrines]]-(WWWW[[#This Row],['#_Constructed latrines_by_WASHAgencies]]+WWWW[[#This Row],['#_Non Cluster partner latrines]]))</f>
        <v>116</v>
      </c>
      <c r="CS383" s="79">
        <f>1-WWWW[[#This Row],[% people access to functioning Latrine]]</f>
        <v>1</v>
      </c>
      <c r="CT383" s="713">
        <f>IF(OR(WWWW[[#This Row],['#_Non-functional latrines]]="",WWWW[[#This Row],['#_Non-functional latrines]]=0),0,WWWW[[#This Row],['#_Non-functional latrines]]/(WWWW[[#This Row],['#_Constructed latrines_by_WASHAgencies]]+WWWW[[#This Row],['#_Non Cluster partner latrines]]))</f>
        <v>0</v>
      </c>
      <c r="CU383" s="702">
        <f>IF(500*(WWWW[[#This Row],['#_male hygiene promoters]]+WWWW[[#This Row],['#_female hygiene promoters]])&gt;WWWW[[#This Row],[Total PoP ]],WWWW[[#This Row],[Total PoP ]],500*(WWWW[[#This Row],['#_male hygiene promoters]]+WWWW[[#This Row],['#_female hygiene promoters]]))</f>
        <v>0</v>
      </c>
      <c r="CV383" s="712">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83" s="712">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83" s="712">
        <f>IF(WWWW[[#This Row],['# People with access to soap]]&gt;WWWW[[#This Row],['# People with access to Sanity Pads]],WWWW[[#This Row],['# People with access to soap]],WWWW[[#This Row],['# People with access to Sanity Pads]])</f>
        <v>0</v>
      </c>
      <c r="CY383" s="712">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83" s="714">
        <f>IF(WWWW[[#This Row],[HRP3]]/WWWW[[#This Row],[Total PoP ]]&gt;100%,100%,WWWW[[#This Row],[HRP3]]/WWWW[[#This Row],[Total PoP ]])</f>
        <v>0</v>
      </c>
      <c r="DA383" s="713">
        <f>1-WWWW[[#This Row],[Hygiene Coverage%]]</f>
        <v>1</v>
      </c>
      <c r="DB383" s="711">
        <f>WWWW[[#This Row],['# people reached by regular dedicated hygiene promotion_5]]/WWWW[[#This Row],[Total PoP ]]</f>
        <v>0</v>
      </c>
      <c r="DC383" s="711">
        <f>IF(WWWW[[#This Row],['#_households that received standard amount of soap for this quarter]]/WWWW[[#This Row],[Total HH]]&gt;1,1,WWWW[[#This Row],['#_households that received standard amount of soap for this quarter]]/WWWW[[#This Row],[Total HH]])</f>
        <v>0</v>
      </c>
      <c r="DD383" s="711">
        <f>IF(WWWW[[#This Row],['#_households that received standard amount of sanitary pads for this quarter]]/WWWW[[#This Row],[Total HH]]&gt;1,1,WWWW[[#This Row],['#_households that received standard amount of sanitary pads for this quarter]]/WWWW[[#This Row],[Total HH]])</f>
        <v>0</v>
      </c>
      <c r="DE383" s="712">
        <f>WWWW[[#This Row],['#_Constructed/Existing hand washing stations]]-WWWW[[#This Row],['#_Non-Functional_hand_washing_stations]]</f>
        <v>0</v>
      </c>
      <c r="DF383" s="667">
        <f>IF(WWWW[[#This Row],['# Functional hand washing stations during reporting period]]*20&gt;WWWW[[#This Row],[Total HH]],WWWW[[#This Row],[Total HH]],WWWW[[#This Row],['# Functional hand washing stations during reporting period]]*20)</f>
        <v>0</v>
      </c>
      <c r="DG383" s="702">
        <f>IF(WWWW[[#This Row],[Is sufficient soap available for TLS? (Yes/No)]]="yes",WWWW[[#This Row],['#_Constructed/Existing hand washing stations at TLS]],0)</f>
        <v>0</v>
      </c>
      <c r="DH383" s="702">
        <f>IF(WWWW[[#This Row],['# Functional hand washing stations during reporting period]]*100&gt;WWWW[[#This Row],[Total PoP ]],WWWW[[#This Row],[Total PoP ]],WWWW[[#This Row],['# Functional hand washing stations during reporting period]]*100)</f>
        <v>0</v>
      </c>
      <c r="DI383" s="702" t="str">
        <f>IF(WWWW[[#This Row],['#_students at TLS_CFS]]="","No","Yes")</f>
        <v>No</v>
      </c>
      <c r="DJ383" s="709">
        <f>VLOOKUP(WWWW[[#This Row],[Site Name]],SiteDB6[[Site Name]:[CCCM Management]],6,FALSE)</f>
        <v>0</v>
      </c>
      <c r="DK383" s="709">
        <f>VLOOKUP(WWWW[[#This Row],[Site Name]],SiteDB6[[Site Name]:[CCCM Focal Agency]],7,FALSE)</f>
        <v>0</v>
      </c>
      <c r="DL383" s="709" t="str">
        <f>VLOOKUP(WWWW[[#This Row],[Site Name]],SiteDB6[[Site Name]:[Location Type 1]],9,FALSE)</f>
        <v>Village</v>
      </c>
      <c r="DM383" s="709" t="str">
        <f>VLOOKUP(WWWW[[#This Row],[Site Name]],SiteDB6[[Site Name]:[Type of Accommodation]],10,FALSE)</f>
        <v>Village</v>
      </c>
      <c r="DN383" s="709" t="str">
        <f>VLOOKUP(WWWW[[#This Row],[Site Name]],SiteDB6[[Site Name]:[Ethnic or GCA/NGCA]],11,FALSE)</f>
        <v>Muslim</v>
      </c>
      <c r="DO383" s="709">
        <f>VLOOKUP(WWWW[[#This Row],[Site Name]],SiteDB6[[Site Name]:[Lat]],12,FALSE)</f>
        <v>21.012830730000001</v>
      </c>
      <c r="DP383" s="709">
        <f>VLOOKUP(WWWW[[#This Row],[Site Name]],SiteDB6[[Site Name]:[Long]],13,FALSE)</f>
        <v>92.338958739999995</v>
      </c>
      <c r="DQ383" s="709">
        <f>VLOOKUP(WWWW[[#This Row],[Site Name]],SiteDB6[[Site Name]:[Pcode]],3,FALSE)</f>
        <v>197878</v>
      </c>
      <c r="DR383" s="703" t="str">
        <f t="shared" si="13"/>
        <v>Covered</v>
      </c>
      <c r="DS383" s="703"/>
      <c r="DV383" s="661"/>
    </row>
    <row r="384" spans="1:126">
      <c r="A384" s="637" t="s">
        <v>2525</v>
      </c>
      <c r="B384" s="716" t="s">
        <v>326</v>
      </c>
      <c r="C384" s="716" t="s">
        <v>326</v>
      </c>
      <c r="D384" s="701" t="s">
        <v>3003</v>
      </c>
      <c r="E384" s="663" t="s">
        <v>3013</v>
      </c>
      <c r="F384" s="701" t="s">
        <v>323</v>
      </c>
      <c r="G384" s="694" t="str">
        <f>VLOOKUP(WWWW[[#This Row],[Site Name]],SiteDB6[[Site Name]:[Location Type]],8,FALSE)</f>
        <v>Village</v>
      </c>
      <c r="H384" s="701" t="s">
        <v>2074</v>
      </c>
      <c r="I384" s="379">
        <v>87</v>
      </c>
      <c r="J384" s="379">
        <v>412</v>
      </c>
      <c r="K384" s="710">
        <v>44134</v>
      </c>
      <c r="L384" s="58"/>
      <c r="M384" s="379"/>
      <c r="N384" s="379"/>
      <c r="O384" s="379"/>
      <c r="P384" s="379"/>
      <c r="Q384" s="702"/>
      <c r="R384" s="379"/>
      <c r="S384" s="379"/>
      <c r="T384" s="379"/>
      <c r="U384" s="379"/>
      <c r="V384" s="379"/>
      <c r="W384" s="379"/>
      <c r="X384" s="379"/>
      <c r="Y384" s="379"/>
      <c r="Z384" s="379"/>
      <c r="AA384" s="379"/>
      <c r="AB384" s="379"/>
      <c r="AC384" s="379"/>
      <c r="AD384" s="379"/>
      <c r="AE384" s="379"/>
      <c r="AF384" s="379"/>
      <c r="AG384" s="379"/>
      <c r="AH384" s="379"/>
      <c r="AI384" s="379"/>
      <c r="AJ384" s="379"/>
      <c r="AK384" s="379"/>
      <c r="AL384" s="379"/>
      <c r="AM384" s="379"/>
      <c r="AN384" s="379"/>
      <c r="AO384" s="703"/>
      <c r="AP384" s="379"/>
      <c r="AQ384" s="379"/>
      <c r="AR384" s="711"/>
      <c r="AS384" s="379"/>
      <c r="AT384" s="379"/>
      <c r="AU384" s="379"/>
      <c r="AV384" s="379"/>
      <c r="AW384" s="379"/>
      <c r="AX384" s="709"/>
      <c r="AY384" s="703"/>
      <c r="AZ384" s="379"/>
      <c r="BA384" s="379"/>
      <c r="BB384" s="379"/>
      <c r="BC384" s="709"/>
      <c r="BD384" s="379"/>
      <c r="BE384" s="379"/>
      <c r="BF384" s="379"/>
      <c r="BG384" s="379"/>
      <c r="BH384" s="379"/>
      <c r="BI384" s="379"/>
      <c r="BJ384" s="379"/>
      <c r="BK384" s="379"/>
      <c r="BL384" s="379"/>
      <c r="BM384" s="709"/>
      <c r="BN384" s="712"/>
      <c r="BO384" s="711"/>
      <c r="BP384" s="709"/>
      <c r="BQ384" s="713" t="str">
        <f>IFERROR(WWWW[[#This Row],['#_Water sources treated]]/WWWW[[#This Row],['#_Water sources tested for contamination]],"no test")</f>
        <v>no test</v>
      </c>
      <c r="BR384" s="711" t="str">
        <f>IFERROR(WWWW[[#This Row],['#_Household received remediation action due to contamination]]/WWWW[[#This Row],['#_Household water samples tested for contamination]],"no test")</f>
        <v>no test</v>
      </c>
      <c r="BS384" s="712" t="str">
        <f>IF(AND(WWWW[[#This Row],[% of water sources treated]]="no test",WWWW[[#This Row],[% Household received corrective actions]]="no test"),"No Test","Tested")</f>
        <v>No Test</v>
      </c>
      <c r="BT384" s="712">
        <f>WWWW[[#This Row],['#_Constructed/existing protected hand dug well]]-WWWW[[#This Row],['#_Non-functional protected hand dug well]]</f>
        <v>0</v>
      </c>
      <c r="BU384" s="712">
        <f>(WWWW[[#This Row],['#_Constructed/Existing tube wells/boreholes/handpumps_WASH_agency]]+WWWW[[#This Row],['#_Non-Cluster partner water tube-wells/boreholes/handpumps]])-WWWW[[#This Row],['#_Non-functional tube wells/boreholes/handpumps]]</f>
        <v>0</v>
      </c>
      <c r="BV384" s="712">
        <f>WWWW[[#This Row],['#_Constructed/Existingwater storage tank with gravity fed reticulation system]]-WWWW[[#This Row],['#_Non-functional storage tank gravity fed reticulation system]]</f>
        <v>0</v>
      </c>
      <c r="BW384" s="712">
        <f>WWWW[[#This Row],['#_Water boating or water trucking]]</f>
        <v>0</v>
      </c>
      <c r="BX384" s="712">
        <f>WWWW[[#This Row],['#_Constructed/Existing water distribution system from river or natural spring]]</f>
        <v>0</v>
      </c>
      <c r="BY384" s="713">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84" s="713">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84" s="711">
        <f>IF(WWWW[[#This Row],[Location Type 1]]="Village",WWWW[[#This Row],[Access to safe drinking water for Village]],WWWW[[#This Row],[Access to safe drinking water for Camp]])</f>
        <v>0</v>
      </c>
      <c r="CB384" s="702">
        <f>WWWW[[#This Row],[%Equitable and continuous access to sufficient quantity of safe drinking water]]*WWWW[[#This Row],[Total PoP ]]</f>
        <v>0</v>
      </c>
      <c r="CC384" s="711">
        <f>IF((WWWW[[#This Row],['#_Constructed/Existing protected/fenced ponds]]*250)/WWWW[[#This Row],[Total PoP ]]&gt;1,1,(WWWW[[#This Row],['#_Constructed/Existing protected/fenced ponds]]*250)/WWWW[[#This Row],[Total PoP ]])</f>
        <v>0</v>
      </c>
      <c r="CD384" s="702">
        <f>WWWW[[#This Row],[% Access to unimproved water points]]*WWWW[[#This Row],[Total PoP ]]</f>
        <v>0</v>
      </c>
      <c r="CE384" s="711">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84" s="70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84" s="702">
        <f>WWWW[[#This Row],[HRP1]]/500</f>
        <v>0</v>
      </c>
      <c r="CH384" s="714">
        <f>1-WWWW[[#This Row],[% Equitable and continuous access to sufficient quantity of domestic water]]</f>
        <v>1</v>
      </c>
      <c r="CI384" s="702">
        <f>WWWW[[#This Row],[%equitable and continuous access to sufficient quantity of safe drinking and domestic water''s GAP]]*WWWW[[#This Row],[Total PoP ]]</f>
        <v>412</v>
      </c>
      <c r="CJ384" s="712">
        <f>IF(WWWW[[#This Row],[Total required water points]]-WWWW[[#This Row],['#Water points coverage]]&lt;0,0,WWWW[[#This Row],[Total required water points]]-WWWW[[#This Row],['#Water points coverage]])</f>
        <v>1</v>
      </c>
      <c r="CK384" s="712">
        <f>ROUND(IF(WWWW[[#This Row],[Total PoP ]]&lt;500,1,WWWW[[#This Row],[Total PoP ]]/500),0)</f>
        <v>1</v>
      </c>
      <c r="CL384" s="712">
        <f>(WWWW[[#This Row],['#_Constructed latrines_by_WASHAgencies]]+WWWW[[#This Row],['#_Non Cluster partner latrines]])-WWWW[[#This Row],['#_Non-functional latrines]]</f>
        <v>0</v>
      </c>
      <c r="CM384" s="711">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84" s="702">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84" s="715"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84" s="712" t="str">
        <f>IF(WWWW[[#This Row],[Location Type 1]]="Village","NA",IF(WWWW[[#This Row],['#_Constructed/Existing latrines in TLS]]*50&gt;WWWW[[#This Row],['#_students at TLS_CFS]],WWWW[[#This Row],['#_students at TLS_CFS]],(WWWW[[#This Row],['#_Constructed/Existing latrines in TLS]]*50)))</f>
        <v>NA</v>
      </c>
      <c r="CQ384" s="712">
        <f>ROUND(IF(WWWW[[#This Row],[Location Type 1]]="camp",WWWW[[#This Row],[Total PoP ]]/20,IF(WWWW[[#This Row],[Location Type 1]]="Temporary Location",WWWW[[#This Row],[Total PoP ]]/50,(WWWW[[#This Row],[Total PoP ]]/6))),0)</f>
        <v>69</v>
      </c>
      <c r="CR384" s="712">
        <f>IF(WWWW[[#This Row],[Total required Latrines]]-(WWWW[[#This Row],['#_Constructed latrines_by_WASHAgencies]]+WWWW[[#This Row],['#_Non Cluster partner latrines]])&lt;0,0,WWWW[[#This Row],[Total required Latrines]]-(WWWW[[#This Row],['#_Constructed latrines_by_WASHAgencies]]+WWWW[[#This Row],['#_Non Cluster partner latrines]]))</f>
        <v>69</v>
      </c>
      <c r="CS384" s="79">
        <f>1-WWWW[[#This Row],[% people access to functioning Latrine]]</f>
        <v>1</v>
      </c>
      <c r="CT384" s="713">
        <f>IF(OR(WWWW[[#This Row],['#_Non-functional latrines]]="",WWWW[[#This Row],['#_Non-functional latrines]]=0),0,WWWW[[#This Row],['#_Non-functional latrines]]/(WWWW[[#This Row],['#_Constructed latrines_by_WASHAgencies]]+WWWW[[#This Row],['#_Non Cluster partner latrines]]))</f>
        <v>0</v>
      </c>
      <c r="CU384" s="702">
        <f>IF(500*(WWWW[[#This Row],['#_male hygiene promoters]]+WWWW[[#This Row],['#_female hygiene promoters]])&gt;WWWW[[#This Row],[Total PoP ]],WWWW[[#This Row],[Total PoP ]],500*(WWWW[[#This Row],['#_male hygiene promoters]]+WWWW[[#This Row],['#_female hygiene promoters]]))</f>
        <v>0</v>
      </c>
      <c r="CV384" s="712">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84" s="712">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84" s="712">
        <f>IF(WWWW[[#This Row],['# People with access to soap]]&gt;WWWW[[#This Row],['# People with access to Sanity Pads]],WWWW[[#This Row],['# People with access to soap]],WWWW[[#This Row],['# People with access to Sanity Pads]])</f>
        <v>0</v>
      </c>
      <c r="CY384" s="712">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84" s="714">
        <f>IF(WWWW[[#This Row],[HRP3]]/WWWW[[#This Row],[Total PoP ]]&gt;100%,100%,WWWW[[#This Row],[HRP3]]/WWWW[[#This Row],[Total PoP ]])</f>
        <v>0</v>
      </c>
      <c r="DA384" s="713">
        <f>1-WWWW[[#This Row],[Hygiene Coverage%]]</f>
        <v>1</v>
      </c>
      <c r="DB384" s="711">
        <f>WWWW[[#This Row],['# people reached by regular dedicated hygiene promotion_5]]/WWWW[[#This Row],[Total PoP ]]</f>
        <v>0</v>
      </c>
      <c r="DC384" s="711">
        <f>IF(WWWW[[#This Row],['#_households that received standard amount of soap for this quarter]]/WWWW[[#This Row],[Total HH]]&gt;1,1,WWWW[[#This Row],['#_households that received standard amount of soap for this quarter]]/WWWW[[#This Row],[Total HH]])</f>
        <v>0</v>
      </c>
      <c r="DD384" s="711">
        <f>IF(WWWW[[#This Row],['#_households that received standard amount of sanitary pads for this quarter]]/WWWW[[#This Row],[Total HH]]&gt;1,1,WWWW[[#This Row],['#_households that received standard amount of sanitary pads for this quarter]]/WWWW[[#This Row],[Total HH]])</f>
        <v>0</v>
      </c>
      <c r="DE384" s="712">
        <f>WWWW[[#This Row],['#_Constructed/Existing hand washing stations]]-WWWW[[#This Row],['#_Non-Functional_hand_washing_stations]]</f>
        <v>0</v>
      </c>
      <c r="DF384" s="667">
        <f>IF(WWWW[[#This Row],['# Functional hand washing stations during reporting period]]*20&gt;WWWW[[#This Row],[Total HH]],WWWW[[#This Row],[Total HH]],WWWW[[#This Row],['# Functional hand washing stations during reporting period]]*20)</f>
        <v>0</v>
      </c>
      <c r="DG384" s="702">
        <f>IF(WWWW[[#This Row],[Is sufficient soap available for TLS? (Yes/No)]]="yes",WWWW[[#This Row],['#_Constructed/Existing hand washing stations at TLS]],0)</f>
        <v>0</v>
      </c>
      <c r="DH384" s="702">
        <f>IF(WWWW[[#This Row],['# Functional hand washing stations during reporting period]]*100&gt;WWWW[[#This Row],[Total PoP ]],WWWW[[#This Row],[Total PoP ]],WWWW[[#This Row],['# Functional hand washing stations during reporting period]]*100)</f>
        <v>0</v>
      </c>
      <c r="DI384" s="702" t="str">
        <f>IF(WWWW[[#This Row],['#_students at TLS_CFS]]="","No","Yes")</f>
        <v>No</v>
      </c>
      <c r="DJ384" s="709">
        <f>VLOOKUP(WWWW[[#This Row],[Site Name]],SiteDB6[[Site Name]:[CCCM Management]],6,FALSE)</f>
        <v>0</v>
      </c>
      <c r="DK384" s="709">
        <f>VLOOKUP(WWWW[[#This Row],[Site Name]],SiteDB6[[Site Name]:[CCCM Focal Agency]],7,FALSE)</f>
        <v>0</v>
      </c>
      <c r="DL384" s="709" t="str">
        <f>VLOOKUP(WWWW[[#This Row],[Site Name]],SiteDB6[[Site Name]:[Location Type 1]],9,FALSE)</f>
        <v>Village</v>
      </c>
      <c r="DM384" s="709" t="str">
        <f>VLOOKUP(WWWW[[#This Row],[Site Name]],SiteDB6[[Site Name]:[Type of Accommodation]],10,FALSE)</f>
        <v>Village</v>
      </c>
      <c r="DN384" s="709" t="str">
        <f>VLOOKUP(WWWW[[#This Row],[Site Name]],SiteDB6[[Site Name]:[Ethnic or GCA/NGCA]],11,FALSE)</f>
        <v>Rakhine</v>
      </c>
      <c r="DO384" s="709">
        <f>VLOOKUP(WWWW[[#This Row],[Site Name]],SiteDB6[[Site Name]:[Lat]],12,FALSE)</f>
        <v>21.218200679999999</v>
      </c>
      <c r="DP384" s="709">
        <f>VLOOKUP(WWWW[[#This Row],[Site Name]],SiteDB6[[Site Name]:[Long]],13,FALSE)</f>
        <v>92.323173519999997</v>
      </c>
      <c r="DQ384" s="709">
        <f>VLOOKUP(WWWW[[#This Row],[Site Name]],SiteDB6[[Site Name]:[Pcode]],3,FALSE)</f>
        <v>197830</v>
      </c>
      <c r="DR384" s="703" t="str">
        <f t="shared" si="13"/>
        <v>Covered</v>
      </c>
      <c r="DS384" s="703"/>
      <c r="DV384" s="661"/>
    </row>
    <row r="385" spans="1:126">
      <c r="A385" s="637" t="s">
        <v>2525</v>
      </c>
      <c r="B385" s="716" t="s">
        <v>326</v>
      </c>
      <c r="C385" s="716" t="s">
        <v>326</v>
      </c>
      <c r="D385" s="701" t="s">
        <v>3003</v>
      </c>
      <c r="E385" s="663" t="s">
        <v>3013</v>
      </c>
      <c r="F385" s="701" t="s">
        <v>323</v>
      </c>
      <c r="G385" s="694" t="str">
        <f>VLOOKUP(WWWW[[#This Row],[Site Name]],SiteDB6[[Site Name]:[Location Type]],8,FALSE)</f>
        <v>Village</v>
      </c>
      <c r="H385" s="701" t="s">
        <v>3088</v>
      </c>
      <c r="I385" s="379">
        <v>34</v>
      </c>
      <c r="J385" s="379">
        <v>163</v>
      </c>
      <c r="K385" s="710">
        <v>44134</v>
      </c>
      <c r="L385" s="58"/>
      <c r="M385" s="379"/>
      <c r="N385" s="379"/>
      <c r="O385" s="379"/>
      <c r="P385" s="379"/>
      <c r="Q385" s="702"/>
      <c r="R385" s="379"/>
      <c r="S385" s="379"/>
      <c r="T385" s="379"/>
      <c r="U385" s="379"/>
      <c r="V385" s="379"/>
      <c r="W385" s="379"/>
      <c r="X385" s="379"/>
      <c r="Y385" s="379"/>
      <c r="Z385" s="379"/>
      <c r="AA385" s="379"/>
      <c r="AB385" s="379"/>
      <c r="AC385" s="379"/>
      <c r="AD385" s="379"/>
      <c r="AE385" s="379"/>
      <c r="AF385" s="379"/>
      <c r="AG385" s="379"/>
      <c r="AH385" s="379"/>
      <c r="AI385" s="379"/>
      <c r="AJ385" s="379"/>
      <c r="AK385" s="379"/>
      <c r="AL385" s="379"/>
      <c r="AM385" s="379"/>
      <c r="AN385" s="379"/>
      <c r="AO385" s="703"/>
      <c r="AP385" s="379"/>
      <c r="AQ385" s="379"/>
      <c r="AR385" s="711"/>
      <c r="AS385" s="379"/>
      <c r="AT385" s="379"/>
      <c r="AU385" s="379"/>
      <c r="AV385" s="379"/>
      <c r="AW385" s="379"/>
      <c r="AX385" s="709"/>
      <c r="AY385" s="703"/>
      <c r="AZ385" s="379"/>
      <c r="BA385" s="379"/>
      <c r="BB385" s="379"/>
      <c r="BC385" s="709"/>
      <c r="BD385" s="379"/>
      <c r="BE385" s="379"/>
      <c r="BF385" s="379"/>
      <c r="BG385" s="379"/>
      <c r="BH385" s="379"/>
      <c r="BI385" s="379"/>
      <c r="BJ385" s="379"/>
      <c r="BK385" s="379"/>
      <c r="BL385" s="379"/>
      <c r="BM385" s="709"/>
      <c r="BN385" s="712"/>
      <c r="BO385" s="711"/>
      <c r="BP385" s="709"/>
      <c r="BQ385" s="713" t="str">
        <f>IFERROR(WWWW[[#This Row],['#_Water sources treated]]/WWWW[[#This Row],['#_Water sources tested for contamination]],"no test")</f>
        <v>no test</v>
      </c>
      <c r="BR385" s="711" t="str">
        <f>IFERROR(WWWW[[#This Row],['#_Household received remediation action due to contamination]]/WWWW[[#This Row],['#_Household water samples tested for contamination]],"no test")</f>
        <v>no test</v>
      </c>
      <c r="BS385" s="712" t="str">
        <f>IF(AND(WWWW[[#This Row],[% of water sources treated]]="no test",WWWW[[#This Row],[% Household received corrective actions]]="no test"),"No Test","Tested")</f>
        <v>No Test</v>
      </c>
      <c r="BT385" s="712">
        <f>WWWW[[#This Row],['#_Constructed/existing protected hand dug well]]-WWWW[[#This Row],['#_Non-functional protected hand dug well]]</f>
        <v>0</v>
      </c>
      <c r="BU385" s="712">
        <f>(WWWW[[#This Row],['#_Constructed/Existing tube wells/boreholes/handpumps_WASH_agency]]+WWWW[[#This Row],['#_Non-Cluster partner water tube-wells/boreholes/handpumps]])-WWWW[[#This Row],['#_Non-functional tube wells/boreholes/handpumps]]</f>
        <v>0</v>
      </c>
      <c r="BV385" s="712">
        <f>WWWW[[#This Row],['#_Constructed/Existingwater storage tank with gravity fed reticulation system]]-WWWW[[#This Row],['#_Non-functional storage tank gravity fed reticulation system]]</f>
        <v>0</v>
      </c>
      <c r="BW385" s="712">
        <f>WWWW[[#This Row],['#_Water boating or water trucking]]</f>
        <v>0</v>
      </c>
      <c r="BX385" s="712">
        <f>WWWW[[#This Row],['#_Constructed/Existing water distribution system from river or natural spring]]</f>
        <v>0</v>
      </c>
      <c r="BY385" s="713">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85" s="713">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85" s="711">
        <f>IF(WWWW[[#This Row],[Location Type 1]]="Village",WWWW[[#This Row],[Access to safe drinking water for Village]],WWWW[[#This Row],[Access to safe drinking water for Camp]])</f>
        <v>0</v>
      </c>
      <c r="CB385" s="702">
        <f>WWWW[[#This Row],[%Equitable and continuous access to sufficient quantity of safe drinking water]]*WWWW[[#This Row],[Total PoP ]]</f>
        <v>0</v>
      </c>
      <c r="CC385" s="711">
        <f>IF((WWWW[[#This Row],['#_Constructed/Existing protected/fenced ponds]]*250)/WWWW[[#This Row],[Total PoP ]]&gt;1,1,(WWWW[[#This Row],['#_Constructed/Existing protected/fenced ponds]]*250)/WWWW[[#This Row],[Total PoP ]])</f>
        <v>0</v>
      </c>
      <c r="CD385" s="702">
        <f>WWWW[[#This Row],[% Access to unimproved water points]]*WWWW[[#This Row],[Total PoP ]]</f>
        <v>0</v>
      </c>
      <c r="CE385" s="711">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85" s="70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85" s="702">
        <f>WWWW[[#This Row],[HRP1]]/500</f>
        <v>0</v>
      </c>
      <c r="CH385" s="714">
        <f>1-WWWW[[#This Row],[% Equitable and continuous access to sufficient quantity of domestic water]]</f>
        <v>1</v>
      </c>
      <c r="CI385" s="702">
        <f>WWWW[[#This Row],[%equitable and continuous access to sufficient quantity of safe drinking and domestic water''s GAP]]*WWWW[[#This Row],[Total PoP ]]</f>
        <v>163</v>
      </c>
      <c r="CJ385" s="712">
        <f>IF(WWWW[[#This Row],[Total required water points]]-WWWW[[#This Row],['#Water points coverage]]&lt;0,0,WWWW[[#This Row],[Total required water points]]-WWWW[[#This Row],['#Water points coverage]])</f>
        <v>1</v>
      </c>
      <c r="CK385" s="712">
        <f>ROUND(IF(WWWW[[#This Row],[Total PoP ]]&lt;500,1,WWWW[[#This Row],[Total PoP ]]/500),0)</f>
        <v>1</v>
      </c>
      <c r="CL385" s="712">
        <f>(WWWW[[#This Row],['#_Constructed latrines_by_WASHAgencies]]+WWWW[[#This Row],['#_Non Cluster partner latrines]])-WWWW[[#This Row],['#_Non-functional latrines]]</f>
        <v>0</v>
      </c>
      <c r="CM385" s="711">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85" s="702">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85" s="715"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85" s="712" t="str">
        <f>IF(WWWW[[#This Row],[Location Type 1]]="Village","NA",IF(WWWW[[#This Row],['#_Constructed/Existing latrines in TLS]]*50&gt;WWWW[[#This Row],['#_students at TLS_CFS]],WWWW[[#This Row],['#_students at TLS_CFS]],(WWWW[[#This Row],['#_Constructed/Existing latrines in TLS]]*50)))</f>
        <v>NA</v>
      </c>
      <c r="CQ385" s="712">
        <f>ROUND(IF(WWWW[[#This Row],[Location Type 1]]="camp",WWWW[[#This Row],[Total PoP ]]/20,IF(WWWW[[#This Row],[Location Type 1]]="Temporary Location",WWWW[[#This Row],[Total PoP ]]/50,(WWWW[[#This Row],[Total PoP ]]/6))),0)</f>
        <v>27</v>
      </c>
      <c r="CR385" s="712">
        <f>IF(WWWW[[#This Row],[Total required Latrines]]-(WWWW[[#This Row],['#_Constructed latrines_by_WASHAgencies]]+WWWW[[#This Row],['#_Non Cluster partner latrines]])&lt;0,0,WWWW[[#This Row],[Total required Latrines]]-(WWWW[[#This Row],['#_Constructed latrines_by_WASHAgencies]]+WWWW[[#This Row],['#_Non Cluster partner latrines]]))</f>
        <v>27</v>
      </c>
      <c r="CS385" s="79">
        <f>1-WWWW[[#This Row],[% people access to functioning Latrine]]</f>
        <v>1</v>
      </c>
      <c r="CT385" s="713">
        <f>IF(OR(WWWW[[#This Row],['#_Non-functional latrines]]="",WWWW[[#This Row],['#_Non-functional latrines]]=0),0,WWWW[[#This Row],['#_Non-functional latrines]]/(WWWW[[#This Row],['#_Constructed latrines_by_WASHAgencies]]+WWWW[[#This Row],['#_Non Cluster partner latrines]]))</f>
        <v>0</v>
      </c>
      <c r="CU385" s="702">
        <f>IF(500*(WWWW[[#This Row],['#_male hygiene promoters]]+WWWW[[#This Row],['#_female hygiene promoters]])&gt;WWWW[[#This Row],[Total PoP ]],WWWW[[#This Row],[Total PoP ]],500*(WWWW[[#This Row],['#_male hygiene promoters]]+WWWW[[#This Row],['#_female hygiene promoters]]))</f>
        <v>0</v>
      </c>
      <c r="CV385" s="712">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85" s="712">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85" s="712">
        <f>IF(WWWW[[#This Row],['# People with access to soap]]&gt;WWWW[[#This Row],['# People with access to Sanity Pads]],WWWW[[#This Row],['# People with access to soap]],WWWW[[#This Row],['# People with access to Sanity Pads]])</f>
        <v>0</v>
      </c>
      <c r="CY385" s="712">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85" s="714">
        <f>IF(WWWW[[#This Row],[HRP3]]/WWWW[[#This Row],[Total PoP ]]&gt;100%,100%,WWWW[[#This Row],[HRP3]]/WWWW[[#This Row],[Total PoP ]])</f>
        <v>0</v>
      </c>
      <c r="DA385" s="713">
        <f>1-WWWW[[#This Row],[Hygiene Coverage%]]</f>
        <v>1</v>
      </c>
      <c r="DB385" s="711">
        <f>WWWW[[#This Row],['# people reached by regular dedicated hygiene promotion_5]]/WWWW[[#This Row],[Total PoP ]]</f>
        <v>0</v>
      </c>
      <c r="DC385" s="711">
        <f>IF(WWWW[[#This Row],['#_households that received standard amount of soap for this quarter]]/WWWW[[#This Row],[Total HH]]&gt;1,1,WWWW[[#This Row],['#_households that received standard amount of soap for this quarter]]/WWWW[[#This Row],[Total HH]])</f>
        <v>0</v>
      </c>
      <c r="DD385" s="711">
        <f>IF(WWWW[[#This Row],['#_households that received standard amount of sanitary pads for this quarter]]/WWWW[[#This Row],[Total HH]]&gt;1,1,WWWW[[#This Row],['#_households that received standard amount of sanitary pads for this quarter]]/WWWW[[#This Row],[Total HH]])</f>
        <v>0</v>
      </c>
      <c r="DE385" s="712">
        <f>WWWW[[#This Row],['#_Constructed/Existing hand washing stations]]-WWWW[[#This Row],['#_Non-Functional_hand_washing_stations]]</f>
        <v>0</v>
      </c>
      <c r="DF385" s="667">
        <f>IF(WWWW[[#This Row],['# Functional hand washing stations during reporting period]]*20&gt;WWWW[[#This Row],[Total HH]],WWWW[[#This Row],[Total HH]],WWWW[[#This Row],['# Functional hand washing stations during reporting period]]*20)</f>
        <v>0</v>
      </c>
      <c r="DG385" s="702">
        <f>IF(WWWW[[#This Row],[Is sufficient soap available for TLS? (Yes/No)]]="yes",WWWW[[#This Row],['#_Constructed/Existing hand washing stations at TLS]],0)</f>
        <v>0</v>
      </c>
      <c r="DH385" s="702">
        <f>IF(WWWW[[#This Row],['# Functional hand washing stations during reporting period]]*100&gt;WWWW[[#This Row],[Total PoP ]],WWWW[[#This Row],[Total PoP ]],WWWW[[#This Row],['# Functional hand washing stations during reporting period]]*100)</f>
        <v>0</v>
      </c>
      <c r="DI385" s="702" t="str">
        <f>IF(WWWW[[#This Row],['#_students at TLS_CFS]]="","No","Yes")</f>
        <v>No</v>
      </c>
      <c r="DJ385" s="709">
        <f>VLOOKUP(WWWW[[#This Row],[Site Name]],SiteDB6[[Site Name]:[CCCM Management]],6,FALSE)</f>
        <v>0</v>
      </c>
      <c r="DK385" s="709">
        <f>VLOOKUP(WWWW[[#This Row],[Site Name]],SiteDB6[[Site Name]:[CCCM Focal Agency]],7,FALSE)</f>
        <v>0</v>
      </c>
      <c r="DL385" s="709" t="str">
        <f>VLOOKUP(WWWW[[#This Row],[Site Name]],SiteDB6[[Site Name]:[Location Type 1]],9,FALSE)</f>
        <v>Village</v>
      </c>
      <c r="DM385" s="709" t="str">
        <f>VLOOKUP(WWWW[[#This Row],[Site Name]],SiteDB6[[Site Name]:[Type of Accommodation]],10,FALSE)</f>
        <v>Village</v>
      </c>
      <c r="DN385" s="709" t="str">
        <f>VLOOKUP(WWWW[[#This Row],[Site Name]],SiteDB6[[Site Name]:[Ethnic or GCA/NGCA]],11,FALSE)</f>
        <v>Rakhine</v>
      </c>
      <c r="DO385" s="709">
        <f>VLOOKUP(WWWW[[#This Row],[Site Name]],SiteDB6[[Site Name]:[Lat]],12,FALSE)</f>
        <v>21.153581620000001</v>
      </c>
      <c r="DP385" s="709">
        <f>VLOOKUP(WWWW[[#This Row],[Site Name]],SiteDB6[[Site Name]:[Long]],13,FALSE)</f>
        <v>92.250885010000005</v>
      </c>
      <c r="DQ385" s="709">
        <f>VLOOKUP(WWWW[[#This Row],[Site Name]],SiteDB6[[Site Name]:[Pcode]],3,FALSE)</f>
        <v>220747</v>
      </c>
      <c r="DR385" s="703" t="str">
        <f t="shared" si="13"/>
        <v>Covered</v>
      </c>
      <c r="DS385" s="703"/>
      <c r="DV385" s="661"/>
    </row>
    <row r="386" spans="1:126">
      <c r="A386" s="637" t="s">
        <v>2525</v>
      </c>
      <c r="B386" s="716" t="s">
        <v>326</v>
      </c>
      <c r="C386" s="716" t="s">
        <v>326</v>
      </c>
      <c r="D386" s="701" t="s">
        <v>3003</v>
      </c>
      <c r="E386" s="663" t="s">
        <v>3013</v>
      </c>
      <c r="F386" s="701" t="s">
        <v>323</v>
      </c>
      <c r="G386" s="694" t="str">
        <f>VLOOKUP(WWWW[[#This Row],[Site Name]],SiteDB6[[Site Name]:[Location Type]],8,FALSE)</f>
        <v>Village</v>
      </c>
      <c r="H386" s="701" t="s">
        <v>2069</v>
      </c>
      <c r="I386" s="379">
        <v>144</v>
      </c>
      <c r="J386" s="379">
        <v>742</v>
      </c>
      <c r="K386" s="710">
        <v>44134</v>
      </c>
      <c r="L386" s="58"/>
      <c r="M386" s="379"/>
      <c r="N386" s="379"/>
      <c r="O386" s="379"/>
      <c r="P386" s="379"/>
      <c r="Q386" s="702"/>
      <c r="R386" s="379"/>
      <c r="S386" s="379"/>
      <c r="T386" s="379"/>
      <c r="U386" s="379"/>
      <c r="V386" s="379"/>
      <c r="W386" s="379"/>
      <c r="X386" s="379"/>
      <c r="Y386" s="379"/>
      <c r="Z386" s="379"/>
      <c r="AA386" s="379"/>
      <c r="AB386" s="379"/>
      <c r="AC386" s="379"/>
      <c r="AD386" s="379"/>
      <c r="AE386" s="379"/>
      <c r="AF386" s="379"/>
      <c r="AG386" s="379"/>
      <c r="AH386" s="379"/>
      <c r="AI386" s="379"/>
      <c r="AJ386" s="379"/>
      <c r="AK386" s="379"/>
      <c r="AL386" s="379"/>
      <c r="AM386" s="379"/>
      <c r="AN386" s="379"/>
      <c r="AO386" s="703"/>
      <c r="AP386" s="379"/>
      <c r="AQ386" s="379"/>
      <c r="AR386" s="711"/>
      <c r="AS386" s="379"/>
      <c r="AT386" s="379"/>
      <c r="AU386" s="379"/>
      <c r="AV386" s="379"/>
      <c r="AW386" s="379"/>
      <c r="AX386" s="709"/>
      <c r="AY386" s="703"/>
      <c r="AZ386" s="379"/>
      <c r="BA386" s="379"/>
      <c r="BB386" s="379"/>
      <c r="BC386" s="709"/>
      <c r="BD386" s="379"/>
      <c r="BE386" s="379"/>
      <c r="BF386" s="379"/>
      <c r="BG386" s="379"/>
      <c r="BH386" s="379"/>
      <c r="BI386" s="379"/>
      <c r="BJ386" s="379"/>
      <c r="BK386" s="379"/>
      <c r="BL386" s="379"/>
      <c r="BM386" s="709"/>
      <c r="BN386" s="712"/>
      <c r="BO386" s="711"/>
      <c r="BP386" s="709"/>
      <c r="BQ386" s="713" t="str">
        <f>IFERROR(WWWW[[#This Row],['#_Water sources treated]]/WWWW[[#This Row],['#_Water sources tested for contamination]],"no test")</f>
        <v>no test</v>
      </c>
      <c r="BR386" s="711" t="str">
        <f>IFERROR(WWWW[[#This Row],['#_Household received remediation action due to contamination]]/WWWW[[#This Row],['#_Household water samples tested for contamination]],"no test")</f>
        <v>no test</v>
      </c>
      <c r="BS386" s="712" t="str">
        <f>IF(AND(WWWW[[#This Row],[% of water sources treated]]="no test",WWWW[[#This Row],[% Household received corrective actions]]="no test"),"No Test","Tested")</f>
        <v>No Test</v>
      </c>
      <c r="BT386" s="712">
        <f>WWWW[[#This Row],['#_Constructed/existing protected hand dug well]]-WWWW[[#This Row],['#_Non-functional protected hand dug well]]</f>
        <v>0</v>
      </c>
      <c r="BU386" s="712">
        <f>(WWWW[[#This Row],['#_Constructed/Existing tube wells/boreholes/handpumps_WASH_agency]]+WWWW[[#This Row],['#_Non-Cluster partner water tube-wells/boreholes/handpumps]])-WWWW[[#This Row],['#_Non-functional tube wells/boreholes/handpumps]]</f>
        <v>0</v>
      </c>
      <c r="BV386" s="712">
        <f>WWWW[[#This Row],['#_Constructed/Existingwater storage tank with gravity fed reticulation system]]-WWWW[[#This Row],['#_Non-functional storage tank gravity fed reticulation system]]</f>
        <v>0</v>
      </c>
      <c r="BW386" s="712">
        <f>WWWW[[#This Row],['#_Water boating or water trucking]]</f>
        <v>0</v>
      </c>
      <c r="BX386" s="712">
        <f>WWWW[[#This Row],['#_Constructed/Existing water distribution system from river or natural spring]]</f>
        <v>0</v>
      </c>
      <c r="BY386" s="713">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86" s="713">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86" s="711">
        <f>IF(WWWW[[#This Row],[Location Type 1]]="Village",WWWW[[#This Row],[Access to safe drinking water for Village]],WWWW[[#This Row],[Access to safe drinking water for Camp]])</f>
        <v>0</v>
      </c>
      <c r="CB386" s="702">
        <f>WWWW[[#This Row],[%Equitable and continuous access to sufficient quantity of safe drinking water]]*WWWW[[#This Row],[Total PoP ]]</f>
        <v>0</v>
      </c>
      <c r="CC386" s="711">
        <f>IF((WWWW[[#This Row],['#_Constructed/Existing protected/fenced ponds]]*250)/WWWW[[#This Row],[Total PoP ]]&gt;1,1,(WWWW[[#This Row],['#_Constructed/Existing protected/fenced ponds]]*250)/WWWW[[#This Row],[Total PoP ]])</f>
        <v>0</v>
      </c>
      <c r="CD386" s="702">
        <f>WWWW[[#This Row],[% Access to unimproved water points]]*WWWW[[#This Row],[Total PoP ]]</f>
        <v>0</v>
      </c>
      <c r="CE386" s="711">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86" s="70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86" s="702">
        <f>WWWW[[#This Row],[HRP1]]/500</f>
        <v>0</v>
      </c>
      <c r="CH386" s="714">
        <f>1-WWWW[[#This Row],[% Equitable and continuous access to sufficient quantity of domestic water]]</f>
        <v>1</v>
      </c>
      <c r="CI386" s="702">
        <f>WWWW[[#This Row],[%equitable and continuous access to sufficient quantity of safe drinking and domestic water''s GAP]]*WWWW[[#This Row],[Total PoP ]]</f>
        <v>742</v>
      </c>
      <c r="CJ386" s="712">
        <f>IF(WWWW[[#This Row],[Total required water points]]-WWWW[[#This Row],['#Water points coverage]]&lt;0,0,WWWW[[#This Row],[Total required water points]]-WWWW[[#This Row],['#Water points coverage]])</f>
        <v>1</v>
      </c>
      <c r="CK386" s="712">
        <f>ROUND(IF(WWWW[[#This Row],[Total PoP ]]&lt;500,1,WWWW[[#This Row],[Total PoP ]]/500),0)</f>
        <v>1</v>
      </c>
      <c r="CL386" s="712">
        <f>(WWWW[[#This Row],['#_Constructed latrines_by_WASHAgencies]]+WWWW[[#This Row],['#_Non Cluster partner latrines]])-WWWW[[#This Row],['#_Non-functional latrines]]</f>
        <v>0</v>
      </c>
      <c r="CM386" s="711">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86" s="702">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86" s="715"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86" s="712" t="str">
        <f>IF(WWWW[[#This Row],[Location Type 1]]="Village","NA",IF(WWWW[[#This Row],['#_Constructed/Existing latrines in TLS]]*50&gt;WWWW[[#This Row],['#_students at TLS_CFS]],WWWW[[#This Row],['#_students at TLS_CFS]],(WWWW[[#This Row],['#_Constructed/Existing latrines in TLS]]*50)))</f>
        <v>NA</v>
      </c>
      <c r="CQ386" s="712">
        <f>ROUND(IF(WWWW[[#This Row],[Location Type 1]]="camp",WWWW[[#This Row],[Total PoP ]]/20,IF(WWWW[[#This Row],[Location Type 1]]="Temporary Location",WWWW[[#This Row],[Total PoP ]]/50,(WWWW[[#This Row],[Total PoP ]]/6))),0)</f>
        <v>124</v>
      </c>
      <c r="CR386" s="712">
        <f>IF(WWWW[[#This Row],[Total required Latrines]]-(WWWW[[#This Row],['#_Constructed latrines_by_WASHAgencies]]+WWWW[[#This Row],['#_Non Cluster partner latrines]])&lt;0,0,WWWW[[#This Row],[Total required Latrines]]-(WWWW[[#This Row],['#_Constructed latrines_by_WASHAgencies]]+WWWW[[#This Row],['#_Non Cluster partner latrines]]))</f>
        <v>124</v>
      </c>
      <c r="CS386" s="79">
        <f>1-WWWW[[#This Row],[% people access to functioning Latrine]]</f>
        <v>1</v>
      </c>
      <c r="CT386" s="713">
        <f>IF(OR(WWWW[[#This Row],['#_Non-functional latrines]]="",WWWW[[#This Row],['#_Non-functional latrines]]=0),0,WWWW[[#This Row],['#_Non-functional latrines]]/(WWWW[[#This Row],['#_Constructed latrines_by_WASHAgencies]]+WWWW[[#This Row],['#_Non Cluster partner latrines]]))</f>
        <v>0</v>
      </c>
      <c r="CU386" s="702">
        <f>IF(500*(WWWW[[#This Row],['#_male hygiene promoters]]+WWWW[[#This Row],['#_female hygiene promoters]])&gt;WWWW[[#This Row],[Total PoP ]],WWWW[[#This Row],[Total PoP ]],500*(WWWW[[#This Row],['#_male hygiene promoters]]+WWWW[[#This Row],['#_female hygiene promoters]]))</f>
        <v>0</v>
      </c>
      <c r="CV386" s="712">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86" s="712">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86" s="712">
        <f>IF(WWWW[[#This Row],['# People with access to soap]]&gt;WWWW[[#This Row],['# People with access to Sanity Pads]],WWWW[[#This Row],['# People with access to soap]],WWWW[[#This Row],['# People with access to Sanity Pads]])</f>
        <v>0</v>
      </c>
      <c r="CY386" s="712">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86" s="714">
        <f>IF(WWWW[[#This Row],[HRP3]]/WWWW[[#This Row],[Total PoP ]]&gt;100%,100%,WWWW[[#This Row],[HRP3]]/WWWW[[#This Row],[Total PoP ]])</f>
        <v>0</v>
      </c>
      <c r="DA386" s="713">
        <f>1-WWWW[[#This Row],[Hygiene Coverage%]]</f>
        <v>1</v>
      </c>
      <c r="DB386" s="711">
        <f>WWWW[[#This Row],['# people reached by regular dedicated hygiene promotion_5]]/WWWW[[#This Row],[Total PoP ]]</f>
        <v>0</v>
      </c>
      <c r="DC386" s="711">
        <f>IF(WWWW[[#This Row],['#_households that received standard amount of soap for this quarter]]/WWWW[[#This Row],[Total HH]]&gt;1,1,WWWW[[#This Row],['#_households that received standard amount of soap for this quarter]]/WWWW[[#This Row],[Total HH]])</f>
        <v>0</v>
      </c>
      <c r="DD386" s="711">
        <f>IF(WWWW[[#This Row],['#_households that received standard amount of sanitary pads for this quarter]]/WWWW[[#This Row],[Total HH]]&gt;1,1,WWWW[[#This Row],['#_households that received standard amount of sanitary pads for this quarter]]/WWWW[[#This Row],[Total HH]])</f>
        <v>0</v>
      </c>
      <c r="DE386" s="712">
        <f>WWWW[[#This Row],['#_Constructed/Existing hand washing stations]]-WWWW[[#This Row],['#_Non-Functional_hand_washing_stations]]</f>
        <v>0</v>
      </c>
      <c r="DF386" s="667">
        <f>IF(WWWW[[#This Row],['# Functional hand washing stations during reporting period]]*20&gt;WWWW[[#This Row],[Total HH]],WWWW[[#This Row],[Total HH]],WWWW[[#This Row],['# Functional hand washing stations during reporting period]]*20)</f>
        <v>0</v>
      </c>
      <c r="DG386" s="702">
        <f>IF(WWWW[[#This Row],[Is sufficient soap available for TLS? (Yes/No)]]="yes",WWWW[[#This Row],['#_Constructed/Existing hand washing stations at TLS]],0)</f>
        <v>0</v>
      </c>
      <c r="DH386" s="702">
        <f>IF(WWWW[[#This Row],['# Functional hand washing stations during reporting period]]*100&gt;WWWW[[#This Row],[Total PoP ]],WWWW[[#This Row],[Total PoP ]],WWWW[[#This Row],['# Functional hand washing stations during reporting period]]*100)</f>
        <v>0</v>
      </c>
      <c r="DI386" s="702" t="str">
        <f>IF(WWWW[[#This Row],['#_students at TLS_CFS]]="","No","Yes")</f>
        <v>No</v>
      </c>
      <c r="DJ386" s="709">
        <f>VLOOKUP(WWWW[[#This Row],[Site Name]],SiteDB6[[Site Name]:[CCCM Management]],6,FALSE)</f>
        <v>0</v>
      </c>
      <c r="DK386" s="709">
        <f>VLOOKUP(WWWW[[#This Row],[Site Name]],SiteDB6[[Site Name]:[CCCM Focal Agency]],7,FALSE)</f>
        <v>0</v>
      </c>
      <c r="DL386" s="709" t="str">
        <f>VLOOKUP(WWWW[[#This Row],[Site Name]],SiteDB6[[Site Name]:[Location Type 1]],9,FALSE)</f>
        <v>Village</v>
      </c>
      <c r="DM386" s="709" t="str">
        <f>VLOOKUP(WWWW[[#This Row],[Site Name]],SiteDB6[[Site Name]:[Type of Accommodation]],10,FALSE)</f>
        <v>Village</v>
      </c>
      <c r="DN386" s="709" t="str">
        <f>VLOOKUP(WWWW[[#This Row],[Site Name]],SiteDB6[[Site Name]:[Ethnic or GCA/NGCA]],11,FALSE)</f>
        <v>Rakhine</v>
      </c>
      <c r="DO386" s="709">
        <f>VLOOKUP(WWWW[[#This Row],[Site Name]],SiteDB6[[Site Name]:[Lat]],12,FALSE)</f>
        <v>21.177719119999999</v>
      </c>
      <c r="DP386" s="709">
        <f>VLOOKUP(WWWW[[#This Row],[Site Name]],SiteDB6[[Site Name]:[Long]],13,FALSE)</f>
        <v>92.239547729999998</v>
      </c>
      <c r="DQ386" s="709">
        <f>VLOOKUP(WWWW[[#This Row],[Site Name]],SiteDB6[[Site Name]:[Pcode]],3,FALSE)</f>
        <v>198101</v>
      </c>
      <c r="DR386" s="703" t="str">
        <f t="shared" si="13"/>
        <v>Covered</v>
      </c>
      <c r="DS386" s="703"/>
      <c r="DV386" s="661"/>
    </row>
    <row r="387" spans="1:126">
      <c r="A387" s="637" t="s">
        <v>2525</v>
      </c>
      <c r="B387" s="716" t="s">
        <v>317</v>
      </c>
      <c r="C387" s="716" t="s">
        <v>317</v>
      </c>
      <c r="D387" s="701"/>
      <c r="E387" s="663" t="s">
        <v>3014</v>
      </c>
      <c r="F387" s="701" t="s">
        <v>330</v>
      </c>
      <c r="G387" s="694" t="str">
        <f>VLOOKUP(WWWW[[#This Row],[Site Name]],SiteDB6[[Site Name]:[Location Type]],8,FALSE)</f>
        <v>Village</v>
      </c>
      <c r="H387" s="701" t="s">
        <v>478</v>
      </c>
      <c r="I387" s="379">
        <v>280</v>
      </c>
      <c r="J387" s="379">
        <v>1423</v>
      </c>
      <c r="K387" s="710"/>
      <c r="L387" s="58"/>
      <c r="M387" s="379"/>
      <c r="N387" s="379"/>
      <c r="O387" s="379"/>
      <c r="P387" s="379"/>
      <c r="Q387" s="702"/>
      <c r="R387" s="379"/>
      <c r="S387" s="379"/>
      <c r="T387" s="379"/>
      <c r="U387" s="379"/>
      <c r="V387" s="379"/>
      <c r="W387" s="379"/>
      <c r="X387" s="379"/>
      <c r="Y387" s="379"/>
      <c r="Z387" s="379"/>
      <c r="AA387" s="379"/>
      <c r="AB387" s="379"/>
      <c r="AC387" s="379"/>
      <c r="AD387" s="379"/>
      <c r="AE387" s="379"/>
      <c r="AF387" s="379"/>
      <c r="AG387" s="379"/>
      <c r="AH387" s="379"/>
      <c r="AI387" s="379"/>
      <c r="AJ387" s="379"/>
      <c r="AK387" s="379"/>
      <c r="AL387" s="379"/>
      <c r="AM387" s="379"/>
      <c r="AN387" s="379"/>
      <c r="AO387" s="703"/>
      <c r="AP387" s="379"/>
      <c r="AQ387" s="379"/>
      <c r="AR387" s="711"/>
      <c r="AS387" s="379"/>
      <c r="AT387" s="379"/>
      <c r="AU387" s="379"/>
      <c r="AV387" s="379"/>
      <c r="AW387" s="379"/>
      <c r="AX387" s="709"/>
      <c r="AY387" s="703"/>
      <c r="AZ387" s="379"/>
      <c r="BA387" s="379"/>
      <c r="BB387" s="379"/>
      <c r="BC387" s="709"/>
      <c r="BD387" s="379"/>
      <c r="BE387" s="379"/>
      <c r="BF387" s="379"/>
      <c r="BG387" s="379"/>
      <c r="BH387" s="379"/>
      <c r="BI387" s="379"/>
      <c r="BJ387" s="379"/>
      <c r="BK387" s="379"/>
      <c r="BL387" s="379"/>
      <c r="BM387" s="709"/>
      <c r="BN387" s="712"/>
      <c r="BO387" s="711"/>
      <c r="BP387" s="709"/>
      <c r="BQ387" s="713" t="str">
        <f>IFERROR(WWWW[[#This Row],['#_Water sources treated]]/WWWW[[#This Row],['#_Water sources tested for contamination]],"no test")</f>
        <v>no test</v>
      </c>
      <c r="BR387" s="711" t="str">
        <f>IFERROR(WWWW[[#This Row],['#_Household received remediation action due to contamination]]/WWWW[[#This Row],['#_Household water samples tested for contamination]],"no test")</f>
        <v>no test</v>
      </c>
      <c r="BS387" s="712" t="str">
        <f>IF(AND(WWWW[[#This Row],[% of water sources treated]]="no test",WWWW[[#This Row],[% Household received corrective actions]]="no test"),"No Test","Tested")</f>
        <v>No Test</v>
      </c>
      <c r="BT387" s="712">
        <f>WWWW[[#This Row],['#_Constructed/existing protected hand dug well]]-WWWW[[#This Row],['#_Non-functional protected hand dug well]]</f>
        <v>0</v>
      </c>
      <c r="BU387" s="712">
        <f>(WWWW[[#This Row],['#_Constructed/Existing tube wells/boreholes/handpumps_WASH_agency]]+WWWW[[#This Row],['#_Non-Cluster partner water tube-wells/boreholes/handpumps]])-WWWW[[#This Row],['#_Non-functional tube wells/boreholes/handpumps]]</f>
        <v>0</v>
      </c>
      <c r="BV387" s="712">
        <f>WWWW[[#This Row],['#_Constructed/Existingwater storage tank with gravity fed reticulation system]]-WWWW[[#This Row],['#_Non-functional storage tank gravity fed reticulation system]]</f>
        <v>0</v>
      </c>
      <c r="BW387" s="712">
        <f>WWWW[[#This Row],['#_Water boating or water trucking]]</f>
        <v>0</v>
      </c>
      <c r="BX387" s="712">
        <f>WWWW[[#This Row],['#_Constructed/Existing water distribution system from river or natural spring]]</f>
        <v>0</v>
      </c>
      <c r="BY387" s="713">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87" s="713">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87" s="711">
        <f>IF(WWWW[[#This Row],[Location Type 1]]="Village",WWWW[[#This Row],[Access to safe drinking water for Village]],WWWW[[#This Row],[Access to safe drinking water for Camp]])</f>
        <v>0</v>
      </c>
      <c r="CB387" s="702">
        <f>WWWW[[#This Row],[%Equitable and continuous access to sufficient quantity of safe drinking water]]*WWWW[[#This Row],[Total PoP ]]</f>
        <v>0</v>
      </c>
      <c r="CC387" s="711">
        <f>IF((WWWW[[#This Row],['#_Constructed/Existing protected/fenced ponds]]*250)/WWWW[[#This Row],[Total PoP ]]&gt;1,1,(WWWW[[#This Row],['#_Constructed/Existing protected/fenced ponds]]*250)/WWWW[[#This Row],[Total PoP ]])</f>
        <v>0</v>
      </c>
      <c r="CD387" s="702">
        <f>WWWW[[#This Row],[% Access to unimproved water points]]*WWWW[[#This Row],[Total PoP ]]</f>
        <v>0</v>
      </c>
      <c r="CE387" s="711">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87" s="70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87" s="702">
        <f>WWWW[[#This Row],[HRP1]]/500</f>
        <v>0</v>
      </c>
      <c r="CH387" s="714">
        <f>1-WWWW[[#This Row],[% Equitable and continuous access to sufficient quantity of domestic water]]</f>
        <v>1</v>
      </c>
      <c r="CI387" s="702">
        <f>WWWW[[#This Row],[%equitable and continuous access to sufficient quantity of safe drinking and domestic water''s GAP]]*WWWW[[#This Row],[Total PoP ]]</f>
        <v>1423</v>
      </c>
      <c r="CJ387" s="712">
        <f>IF(WWWW[[#This Row],[Total required water points]]-WWWW[[#This Row],['#Water points coverage]]&lt;0,0,WWWW[[#This Row],[Total required water points]]-WWWW[[#This Row],['#Water points coverage]])</f>
        <v>3</v>
      </c>
      <c r="CK387" s="712">
        <f>ROUND(IF(WWWW[[#This Row],[Total PoP ]]&lt;500,1,WWWW[[#This Row],[Total PoP ]]/500),0)</f>
        <v>3</v>
      </c>
      <c r="CL387" s="712">
        <f>(WWWW[[#This Row],['#_Constructed latrines_by_WASHAgencies]]+WWWW[[#This Row],['#_Non Cluster partner latrines]])-WWWW[[#This Row],['#_Non-functional latrines]]</f>
        <v>0</v>
      </c>
      <c r="CM387" s="711">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87" s="702">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87" s="715"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87" s="712" t="str">
        <f>IF(WWWW[[#This Row],[Location Type 1]]="Village","NA",IF(WWWW[[#This Row],['#_Constructed/Existing latrines in TLS]]*50&gt;WWWW[[#This Row],['#_students at TLS_CFS]],WWWW[[#This Row],['#_students at TLS_CFS]],(WWWW[[#This Row],['#_Constructed/Existing latrines in TLS]]*50)))</f>
        <v>NA</v>
      </c>
      <c r="CQ387" s="712">
        <f>ROUND(IF(WWWW[[#This Row],[Location Type 1]]="camp",WWWW[[#This Row],[Total PoP ]]/20,IF(WWWW[[#This Row],[Location Type 1]]="Temporary Location",WWWW[[#This Row],[Total PoP ]]/50,(WWWW[[#This Row],[Total PoP ]]/6))),0)</f>
        <v>237</v>
      </c>
      <c r="CR387" s="712">
        <f>IF(WWWW[[#This Row],[Total required Latrines]]-(WWWW[[#This Row],['#_Constructed latrines_by_WASHAgencies]]+WWWW[[#This Row],['#_Non Cluster partner latrines]])&lt;0,0,WWWW[[#This Row],[Total required Latrines]]-(WWWW[[#This Row],['#_Constructed latrines_by_WASHAgencies]]+WWWW[[#This Row],['#_Non Cluster partner latrines]]))</f>
        <v>237</v>
      </c>
      <c r="CS387" s="79">
        <f>1-WWWW[[#This Row],[% people access to functioning Latrine]]</f>
        <v>1</v>
      </c>
      <c r="CT387" s="713">
        <f>IF(OR(WWWW[[#This Row],['#_Non-functional latrines]]="",WWWW[[#This Row],['#_Non-functional latrines]]=0),0,WWWW[[#This Row],['#_Non-functional latrines]]/(WWWW[[#This Row],['#_Constructed latrines_by_WASHAgencies]]+WWWW[[#This Row],['#_Non Cluster partner latrines]]))</f>
        <v>0</v>
      </c>
      <c r="CU387" s="702">
        <f>IF(500*(WWWW[[#This Row],['#_male hygiene promoters]]+WWWW[[#This Row],['#_female hygiene promoters]])&gt;WWWW[[#This Row],[Total PoP ]],WWWW[[#This Row],[Total PoP ]],500*(WWWW[[#This Row],['#_male hygiene promoters]]+WWWW[[#This Row],['#_female hygiene promoters]]))</f>
        <v>0</v>
      </c>
      <c r="CV387" s="712">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87" s="712">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87" s="712">
        <f>IF(WWWW[[#This Row],['# People with access to soap]]&gt;WWWW[[#This Row],['# People with access to Sanity Pads]],WWWW[[#This Row],['# People with access to soap]],WWWW[[#This Row],['# People with access to Sanity Pads]])</f>
        <v>0</v>
      </c>
      <c r="CY387" s="712">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87" s="714">
        <f>IF(WWWW[[#This Row],[HRP3]]/WWWW[[#This Row],[Total PoP ]]&gt;100%,100%,WWWW[[#This Row],[HRP3]]/WWWW[[#This Row],[Total PoP ]])</f>
        <v>0</v>
      </c>
      <c r="DA387" s="713">
        <f>1-WWWW[[#This Row],[Hygiene Coverage%]]</f>
        <v>1</v>
      </c>
      <c r="DB387" s="711">
        <f>WWWW[[#This Row],['# people reached by regular dedicated hygiene promotion_5]]/WWWW[[#This Row],[Total PoP ]]</f>
        <v>0</v>
      </c>
      <c r="DC387" s="711">
        <f>IF(WWWW[[#This Row],['#_households that received standard amount of soap for this quarter]]/WWWW[[#This Row],[Total HH]]&gt;1,1,WWWW[[#This Row],['#_households that received standard amount of soap for this quarter]]/WWWW[[#This Row],[Total HH]])</f>
        <v>0</v>
      </c>
      <c r="DD387" s="711">
        <f>IF(WWWW[[#This Row],['#_households that received standard amount of sanitary pads for this quarter]]/WWWW[[#This Row],[Total HH]]&gt;1,1,WWWW[[#This Row],['#_households that received standard amount of sanitary pads for this quarter]]/WWWW[[#This Row],[Total HH]])</f>
        <v>0</v>
      </c>
      <c r="DE387" s="712">
        <f>WWWW[[#This Row],['#_Constructed/Existing hand washing stations]]-WWWW[[#This Row],['#_Non-Functional_hand_washing_stations]]</f>
        <v>0</v>
      </c>
      <c r="DF387" s="667">
        <f>IF(WWWW[[#This Row],['# Functional hand washing stations during reporting period]]*20&gt;WWWW[[#This Row],[Total HH]],WWWW[[#This Row],[Total HH]],WWWW[[#This Row],['# Functional hand washing stations during reporting period]]*20)</f>
        <v>0</v>
      </c>
      <c r="DG387" s="702">
        <f>IF(WWWW[[#This Row],[Is sufficient soap available for TLS? (Yes/No)]]="yes",WWWW[[#This Row],['#_Constructed/Existing hand washing stations at TLS]],0)</f>
        <v>0</v>
      </c>
      <c r="DH387" s="702">
        <f>IF(WWWW[[#This Row],['# Functional hand washing stations during reporting period]]*100&gt;WWWW[[#This Row],[Total PoP ]],WWWW[[#This Row],[Total PoP ]],WWWW[[#This Row],['# Functional hand washing stations during reporting period]]*100)</f>
        <v>0</v>
      </c>
      <c r="DI387" s="702" t="str">
        <f>IF(WWWW[[#This Row],['#_students at TLS_CFS]]="","No","Yes")</f>
        <v>No</v>
      </c>
      <c r="DJ387" s="709">
        <f>VLOOKUP(WWWW[[#This Row],[Site Name]],SiteDB6[[Site Name]:[CCCM Management]],6,FALSE)</f>
        <v>0</v>
      </c>
      <c r="DK387" s="709">
        <f>VLOOKUP(WWWW[[#This Row],[Site Name]],SiteDB6[[Site Name]:[CCCM Focal Agency]],7,FALSE)</f>
        <v>0</v>
      </c>
      <c r="DL387" s="709" t="str">
        <f>VLOOKUP(WWWW[[#This Row],[Site Name]],SiteDB6[[Site Name]:[Location Type 1]],9,FALSE)</f>
        <v>Village</v>
      </c>
      <c r="DM387" s="709" t="str">
        <f>VLOOKUP(WWWW[[#This Row],[Site Name]],SiteDB6[[Site Name]:[Type of Accommodation]],10,FALSE)</f>
        <v>Returned</v>
      </c>
      <c r="DN387" s="709" t="str">
        <f>VLOOKUP(WWWW[[#This Row],[Site Name]],SiteDB6[[Site Name]:[Ethnic or GCA/NGCA]],11,FALSE)</f>
        <v>Muslim</v>
      </c>
      <c r="DO387" s="709">
        <f>VLOOKUP(WWWW[[#This Row],[Site Name]],SiteDB6[[Site Name]:[Lat]],12,FALSE)</f>
        <v>20.392137999999999</v>
      </c>
      <c r="DP387" s="709">
        <f>VLOOKUP(WWWW[[#This Row],[Site Name]],SiteDB6[[Site Name]:[Long]],13,FALSE)</f>
        <v>93.257272</v>
      </c>
      <c r="DQ387" s="709" t="str">
        <f>VLOOKUP(WWWW[[#This Row],[Site Name]],SiteDB6[[Site Name]:[Pcode]],3,FALSE)</f>
        <v>MMR012CMP002</v>
      </c>
      <c r="DR387" s="703" t="str">
        <f t="shared" si="13"/>
        <v>Notcovered</v>
      </c>
      <c r="DS387" s="703"/>
      <c r="DV387" s="661"/>
    </row>
    <row r="388" spans="1:126">
      <c r="A388" s="637" t="s">
        <v>2525</v>
      </c>
      <c r="B388" s="716" t="s">
        <v>317</v>
      </c>
      <c r="C388" s="716" t="s">
        <v>317</v>
      </c>
      <c r="D388" s="701"/>
      <c r="E388" s="663" t="s">
        <v>3013</v>
      </c>
      <c r="F388" s="701" t="s">
        <v>355</v>
      </c>
      <c r="G388" s="694" t="str">
        <f>VLOOKUP(WWWW[[#This Row],[Site Name]],SiteDB6[[Site Name]:[Location Type]],8,FALSE)</f>
        <v>Village</v>
      </c>
      <c r="H388" s="701" t="s">
        <v>484</v>
      </c>
      <c r="I388" s="379">
        <v>425</v>
      </c>
      <c r="J388" s="379">
        <v>2552</v>
      </c>
      <c r="K388" s="710"/>
      <c r="L388" s="58"/>
      <c r="M388" s="379"/>
      <c r="N388" s="379"/>
      <c r="O388" s="379"/>
      <c r="P388" s="379"/>
      <c r="Q388" s="702"/>
      <c r="R388" s="379"/>
      <c r="S388" s="379"/>
      <c r="T388" s="379"/>
      <c r="U388" s="379"/>
      <c r="V388" s="379"/>
      <c r="W388" s="379"/>
      <c r="X388" s="379"/>
      <c r="Y388" s="379"/>
      <c r="Z388" s="379"/>
      <c r="AA388" s="379"/>
      <c r="AB388" s="379"/>
      <c r="AC388" s="379"/>
      <c r="AD388" s="379"/>
      <c r="AE388" s="379"/>
      <c r="AF388" s="379"/>
      <c r="AG388" s="379"/>
      <c r="AH388" s="379"/>
      <c r="AI388" s="379"/>
      <c r="AJ388" s="379"/>
      <c r="AK388" s="379"/>
      <c r="AL388" s="379"/>
      <c r="AM388" s="379"/>
      <c r="AN388" s="379"/>
      <c r="AO388" s="703"/>
      <c r="AP388" s="379"/>
      <c r="AQ388" s="379"/>
      <c r="AR388" s="711"/>
      <c r="AS388" s="379"/>
      <c r="AT388" s="379"/>
      <c r="AU388" s="379"/>
      <c r="AV388" s="379"/>
      <c r="AW388" s="379"/>
      <c r="AX388" s="709"/>
      <c r="AY388" s="703"/>
      <c r="AZ388" s="379"/>
      <c r="BA388" s="379"/>
      <c r="BB388" s="379"/>
      <c r="BC388" s="709"/>
      <c r="BD388" s="379"/>
      <c r="BE388" s="379"/>
      <c r="BF388" s="379"/>
      <c r="BG388" s="379"/>
      <c r="BH388" s="379"/>
      <c r="BI388" s="379"/>
      <c r="BJ388" s="379"/>
      <c r="BK388" s="379"/>
      <c r="BL388" s="379"/>
      <c r="BM388" s="709"/>
      <c r="BN388" s="712"/>
      <c r="BO388" s="711"/>
      <c r="BP388" s="709"/>
      <c r="BQ388" s="713" t="str">
        <f>IFERROR(WWWW[[#This Row],['#_Water sources treated]]/WWWW[[#This Row],['#_Water sources tested for contamination]],"no test")</f>
        <v>no test</v>
      </c>
      <c r="BR388" s="711" t="str">
        <f>IFERROR(WWWW[[#This Row],['#_Household received remediation action due to contamination]]/WWWW[[#This Row],['#_Household water samples tested for contamination]],"no test")</f>
        <v>no test</v>
      </c>
      <c r="BS388" s="712" t="str">
        <f>IF(AND(WWWW[[#This Row],[% of water sources treated]]="no test",WWWW[[#This Row],[% Household received corrective actions]]="no test"),"No Test","Tested")</f>
        <v>No Test</v>
      </c>
      <c r="BT388" s="712">
        <f>WWWW[[#This Row],['#_Constructed/existing protected hand dug well]]-WWWW[[#This Row],['#_Non-functional protected hand dug well]]</f>
        <v>0</v>
      </c>
      <c r="BU388" s="712">
        <f>(WWWW[[#This Row],['#_Constructed/Existing tube wells/boreholes/handpumps_WASH_agency]]+WWWW[[#This Row],['#_Non-Cluster partner water tube-wells/boreholes/handpumps]])-WWWW[[#This Row],['#_Non-functional tube wells/boreholes/handpumps]]</f>
        <v>0</v>
      </c>
      <c r="BV388" s="712">
        <f>WWWW[[#This Row],['#_Constructed/Existingwater storage tank with gravity fed reticulation system]]-WWWW[[#This Row],['#_Non-functional storage tank gravity fed reticulation system]]</f>
        <v>0</v>
      </c>
      <c r="BW388" s="712">
        <f>WWWW[[#This Row],['#_Water boating or water trucking]]</f>
        <v>0</v>
      </c>
      <c r="BX388" s="712">
        <f>WWWW[[#This Row],['#_Constructed/Existing water distribution system from river or natural spring]]</f>
        <v>0</v>
      </c>
      <c r="BY388" s="713">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88" s="713">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88" s="711">
        <f>IF(WWWW[[#This Row],[Location Type 1]]="Village",WWWW[[#This Row],[Access to safe drinking water for Village]],WWWW[[#This Row],[Access to safe drinking water for Camp]])</f>
        <v>0</v>
      </c>
      <c r="CB388" s="702">
        <f>WWWW[[#This Row],[%Equitable and continuous access to sufficient quantity of safe drinking water]]*WWWW[[#This Row],[Total PoP ]]</f>
        <v>0</v>
      </c>
      <c r="CC388" s="711">
        <f>IF((WWWW[[#This Row],['#_Constructed/Existing protected/fenced ponds]]*250)/WWWW[[#This Row],[Total PoP ]]&gt;1,1,(WWWW[[#This Row],['#_Constructed/Existing protected/fenced ponds]]*250)/WWWW[[#This Row],[Total PoP ]])</f>
        <v>0</v>
      </c>
      <c r="CD388" s="702">
        <f>WWWW[[#This Row],[% Access to unimproved water points]]*WWWW[[#This Row],[Total PoP ]]</f>
        <v>0</v>
      </c>
      <c r="CE388" s="711">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88" s="70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88" s="702">
        <f>WWWW[[#This Row],[HRP1]]/500</f>
        <v>0</v>
      </c>
      <c r="CH388" s="714">
        <f>1-WWWW[[#This Row],[% Equitable and continuous access to sufficient quantity of domestic water]]</f>
        <v>1</v>
      </c>
      <c r="CI388" s="702">
        <f>WWWW[[#This Row],[%equitable and continuous access to sufficient quantity of safe drinking and domestic water''s GAP]]*WWWW[[#This Row],[Total PoP ]]</f>
        <v>2552</v>
      </c>
      <c r="CJ388" s="712">
        <f>IF(WWWW[[#This Row],[Total required water points]]-WWWW[[#This Row],['#Water points coverage]]&lt;0,0,WWWW[[#This Row],[Total required water points]]-WWWW[[#This Row],['#Water points coverage]])</f>
        <v>5</v>
      </c>
      <c r="CK388" s="712">
        <f>ROUND(IF(WWWW[[#This Row],[Total PoP ]]&lt;500,1,WWWW[[#This Row],[Total PoP ]]/500),0)</f>
        <v>5</v>
      </c>
      <c r="CL388" s="712">
        <f>(WWWW[[#This Row],['#_Constructed latrines_by_WASHAgencies]]+WWWW[[#This Row],['#_Non Cluster partner latrines]])-WWWW[[#This Row],['#_Non-functional latrines]]</f>
        <v>0</v>
      </c>
      <c r="CM388" s="711">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88" s="702">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88" s="715"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88" s="712" t="str">
        <f>IF(WWWW[[#This Row],[Location Type 1]]="Village","NA",IF(WWWW[[#This Row],['#_Constructed/Existing latrines in TLS]]*50&gt;WWWW[[#This Row],['#_students at TLS_CFS]],WWWW[[#This Row],['#_students at TLS_CFS]],(WWWW[[#This Row],['#_Constructed/Existing latrines in TLS]]*50)))</f>
        <v>NA</v>
      </c>
      <c r="CQ388" s="712">
        <f>ROUND(IF(WWWW[[#This Row],[Location Type 1]]="camp",WWWW[[#This Row],[Total PoP ]]/20,IF(WWWW[[#This Row],[Location Type 1]]="Temporary Location",WWWW[[#This Row],[Total PoP ]]/50,(WWWW[[#This Row],[Total PoP ]]/6))),0)</f>
        <v>425</v>
      </c>
      <c r="CR388" s="712">
        <f>IF(WWWW[[#This Row],[Total required Latrines]]-(WWWW[[#This Row],['#_Constructed latrines_by_WASHAgencies]]+WWWW[[#This Row],['#_Non Cluster partner latrines]])&lt;0,0,WWWW[[#This Row],[Total required Latrines]]-(WWWW[[#This Row],['#_Constructed latrines_by_WASHAgencies]]+WWWW[[#This Row],['#_Non Cluster partner latrines]]))</f>
        <v>425</v>
      </c>
      <c r="CS388" s="79">
        <f>1-WWWW[[#This Row],[% people access to functioning Latrine]]</f>
        <v>1</v>
      </c>
      <c r="CT388" s="713">
        <f>IF(OR(WWWW[[#This Row],['#_Non-functional latrines]]="",WWWW[[#This Row],['#_Non-functional latrines]]=0),0,WWWW[[#This Row],['#_Non-functional latrines]]/(WWWW[[#This Row],['#_Constructed latrines_by_WASHAgencies]]+WWWW[[#This Row],['#_Non Cluster partner latrines]]))</f>
        <v>0</v>
      </c>
      <c r="CU388" s="702">
        <f>IF(500*(WWWW[[#This Row],['#_male hygiene promoters]]+WWWW[[#This Row],['#_female hygiene promoters]])&gt;WWWW[[#This Row],[Total PoP ]],WWWW[[#This Row],[Total PoP ]],500*(WWWW[[#This Row],['#_male hygiene promoters]]+WWWW[[#This Row],['#_female hygiene promoters]]))</f>
        <v>0</v>
      </c>
      <c r="CV388" s="712">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88" s="712">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88" s="712">
        <f>IF(WWWW[[#This Row],['# People with access to soap]]&gt;WWWW[[#This Row],['# People with access to Sanity Pads]],WWWW[[#This Row],['# People with access to soap]],WWWW[[#This Row],['# People with access to Sanity Pads]])</f>
        <v>0</v>
      </c>
      <c r="CY388" s="712">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88" s="714">
        <f>IF(WWWW[[#This Row],[HRP3]]/WWWW[[#This Row],[Total PoP ]]&gt;100%,100%,WWWW[[#This Row],[HRP3]]/WWWW[[#This Row],[Total PoP ]])</f>
        <v>0</v>
      </c>
      <c r="DA388" s="713">
        <f>1-WWWW[[#This Row],[Hygiene Coverage%]]</f>
        <v>1</v>
      </c>
      <c r="DB388" s="711">
        <f>WWWW[[#This Row],['# people reached by regular dedicated hygiene promotion_5]]/WWWW[[#This Row],[Total PoP ]]</f>
        <v>0</v>
      </c>
      <c r="DC388" s="711">
        <f>IF(WWWW[[#This Row],['#_households that received standard amount of soap for this quarter]]/WWWW[[#This Row],[Total HH]]&gt;1,1,WWWW[[#This Row],['#_households that received standard amount of soap for this quarter]]/WWWW[[#This Row],[Total HH]])</f>
        <v>0</v>
      </c>
      <c r="DD388" s="711">
        <f>IF(WWWW[[#This Row],['#_households that received standard amount of sanitary pads for this quarter]]/WWWW[[#This Row],[Total HH]]&gt;1,1,WWWW[[#This Row],['#_households that received standard amount of sanitary pads for this quarter]]/WWWW[[#This Row],[Total HH]])</f>
        <v>0</v>
      </c>
      <c r="DE388" s="712">
        <f>WWWW[[#This Row],['#_Constructed/Existing hand washing stations]]-WWWW[[#This Row],['#_Non-Functional_hand_washing_stations]]</f>
        <v>0</v>
      </c>
      <c r="DF388" s="667">
        <f>IF(WWWW[[#This Row],['# Functional hand washing stations during reporting period]]*20&gt;WWWW[[#This Row],[Total HH]],WWWW[[#This Row],[Total HH]],WWWW[[#This Row],['# Functional hand washing stations during reporting period]]*20)</f>
        <v>0</v>
      </c>
      <c r="DG388" s="702">
        <f>IF(WWWW[[#This Row],[Is sufficient soap available for TLS? (Yes/No)]]="yes",WWWW[[#This Row],['#_Constructed/Existing hand washing stations at TLS]],0)</f>
        <v>0</v>
      </c>
      <c r="DH388" s="702">
        <f>IF(WWWW[[#This Row],['# Functional hand washing stations during reporting period]]*100&gt;WWWW[[#This Row],[Total PoP ]],WWWW[[#This Row],[Total PoP ]],WWWW[[#This Row],['# Functional hand washing stations during reporting period]]*100)</f>
        <v>0</v>
      </c>
      <c r="DI388" s="702" t="str">
        <f>IF(WWWW[[#This Row],['#_students at TLS_CFS]]="","No","Yes")</f>
        <v>No</v>
      </c>
      <c r="DJ388" s="709">
        <f>VLOOKUP(WWWW[[#This Row],[Site Name]],SiteDB6[[Site Name]:[CCCM Management]],6,FALSE)</f>
        <v>0</v>
      </c>
      <c r="DK388" s="709">
        <f>VLOOKUP(WWWW[[#This Row],[Site Name]],SiteDB6[[Site Name]:[CCCM Focal Agency]],7,FALSE)</f>
        <v>0</v>
      </c>
      <c r="DL388" s="709" t="str">
        <f>VLOOKUP(WWWW[[#This Row],[Site Name]],SiteDB6[[Site Name]:[Location Type 1]],9,FALSE)</f>
        <v>Village</v>
      </c>
      <c r="DM388" s="709" t="str">
        <f>VLOOKUP(WWWW[[#This Row],[Site Name]],SiteDB6[[Site Name]:[Type of Accommodation]],10,FALSE)</f>
        <v>Returned</v>
      </c>
      <c r="DN388" s="709" t="str">
        <f>VLOOKUP(WWWW[[#This Row],[Site Name]],SiteDB6[[Site Name]:[Ethnic or GCA/NGCA]],11,FALSE)</f>
        <v>Muslim</v>
      </c>
      <c r="DO388" s="709">
        <f>VLOOKUP(WWWW[[#This Row],[Site Name]],SiteDB6[[Site Name]:[Lat]],12,FALSE)</f>
        <v>20.399269</v>
      </c>
      <c r="DP388" s="709">
        <f>VLOOKUP(WWWW[[#This Row],[Site Name]],SiteDB6[[Site Name]:[Long]],13,FALSE)</f>
        <v>92.781294000000003</v>
      </c>
      <c r="DQ388" s="709" t="str">
        <f>VLOOKUP(WWWW[[#This Row],[Site Name]],SiteDB6[[Site Name]:[Pcode]],3,FALSE)</f>
        <v>MMR012CMP032</v>
      </c>
      <c r="DR388" s="703" t="str">
        <f t="shared" si="13"/>
        <v>Notcovered</v>
      </c>
      <c r="DS388" s="703"/>
      <c r="DV388" s="661"/>
    </row>
    <row r="389" spans="1:126">
      <c r="A389" s="637" t="s">
        <v>2525</v>
      </c>
      <c r="B389" s="716" t="s">
        <v>317</v>
      </c>
      <c r="C389" s="716" t="s">
        <v>317</v>
      </c>
      <c r="D389" s="701"/>
      <c r="E389" s="663" t="s">
        <v>3013</v>
      </c>
      <c r="F389" s="701" t="s">
        <v>355</v>
      </c>
      <c r="G389" s="694" t="str">
        <f>VLOOKUP(WWWW[[#This Row],[Site Name]],SiteDB6[[Site Name]:[Location Type]],8,FALSE)</f>
        <v>Village</v>
      </c>
      <c r="H389" s="701" t="s">
        <v>475</v>
      </c>
      <c r="I389" s="379">
        <v>292</v>
      </c>
      <c r="J389" s="379">
        <v>1751</v>
      </c>
      <c r="K389" s="710"/>
      <c r="L389" s="58"/>
      <c r="M389" s="379"/>
      <c r="N389" s="379"/>
      <c r="O389" s="379"/>
      <c r="P389" s="379"/>
      <c r="Q389" s="702"/>
      <c r="R389" s="379"/>
      <c r="S389" s="379"/>
      <c r="T389" s="379"/>
      <c r="U389" s="379"/>
      <c r="V389" s="379"/>
      <c r="W389" s="379"/>
      <c r="X389" s="379"/>
      <c r="Y389" s="379"/>
      <c r="Z389" s="379"/>
      <c r="AA389" s="379"/>
      <c r="AB389" s="379"/>
      <c r="AC389" s="379"/>
      <c r="AD389" s="379"/>
      <c r="AE389" s="379"/>
      <c r="AF389" s="379"/>
      <c r="AG389" s="379"/>
      <c r="AH389" s="379"/>
      <c r="AI389" s="379"/>
      <c r="AJ389" s="379"/>
      <c r="AK389" s="379"/>
      <c r="AL389" s="379"/>
      <c r="AM389" s="379"/>
      <c r="AN389" s="379"/>
      <c r="AO389" s="703"/>
      <c r="AP389" s="379"/>
      <c r="AQ389" s="379"/>
      <c r="AR389" s="711"/>
      <c r="AS389" s="379"/>
      <c r="AT389" s="379"/>
      <c r="AU389" s="379"/>
      <c r="AV389" s="379"/>
      <c r="AW389" s="379"/>
      <c r="AX389" s="709"/>
      <c r="AY389" s="703"/>
      <c r="AZ389" s="379"/>
      <c r="BA389" s="379"/>
      <c r="BB389" s="379"/>
      <c r="BC389" s="709"/>
      <c r="BD389" s="379"/>
      <c r="BE389" s="379"/>
      <c r="BF389" s="379"/>
      <c r="BG389" s="379"/>
      <c r="BH389" s="379"/>
      <c r="BI389" s="379"/>
      <c r="BJ389" s="379"/>
      <c r="BK389" s="379"/>
      <c r="BL389" s="379"/>
      <c r="BM389" s="709"/>
      <c r="BN389" s="712"/>
      <c r="BO389" s="711"/>
      <c r="BP389" s="709"/>
      <c r="BQ389" s="713" t="str">
        <f>IFERROR(WWWW[[#This Row],['#_Water sources treated]]/WWWW[[#This Row],['#_Water sources tested for contamination]],"no test")</f>
        <v>no test</v>
      </c>
      <c r="BR389" s="711" t="str">
        <f>IFERROR(WWWW[[#This Row],['#_Household received remediation action due to contamination]]/WWWW[[#This Row],['#_Household water samples tested for contamination]],"no test")</f>
        <v>no test</v>
      </c>
      <c r="BS389" s="712" t="str">
        <f>IF(AND(WWWW[[#This Row],[% of water sources treated]]="no test",WWWW[[#This Row],[% Household received corrective actions]]="no test"),"No Test","Tested")</f>
        <v>No Test</v>
      </c>
      <c r="BT389" s="712">
        <f>WWWW[[#This Row],['#_Constructed/existing protected hand dug well]]-WWWW[[#This Row],['#_Non-functional protected hand dug well]]</f>
        <v>0</v>
      </c>
      <c r="BU389" s="712">
        <f>(WWWW[[#This Row],['#_Constructed/Existing tube wells/boreholes/handpumps_WASH_agency]]+WWWW[[#This Row],['#_Non-Cluster partner water tube-wells/boreholes/handpumps]])-WWWW[[#This Row],['#_Non-functional tube wells/boreholes/handpumps]]</f>
        <v>0</v>
      </c>
      <c r="BV389" s="712">
        <f>WWWW[[#This Row],['#_Constructed/Existingwater storage tank with gravity fed reticulation system]]-WWWW[[#This Row],['#_Non-functional storage tank gravity fed reticulation system]]</f>
        <v>0</v>
      </c>
      <c r="BW389" s="712">
        <f>WWWW[[#This Row],['#_Water boating or water trucking]]</f>
        <v>0</v>
      </c>
      <c r="BX389" s="712">
        <f>WWWW[[#This Row],['#_Constructed/Existing water distribution system from river or natural spring]]</f>
        <v>0</v>
      </c>
      <c r="BY389" s="713">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89" s="713">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89" s="711">
        <f>IF(WWWW[[#This Row],[Location Type 1]]="Village",WWWW[[#This Row],[Access to safe drinking water for Village]],WWWW[[#This Row],[Access to safe drinking water for Camp]])</f>
        <v>0</v>
      </c>
      <c r="CB389" s="702">
        <f>WWWW[[#This Row],[%Equitable and continuous access to sufficient quantity of safe drinking water]]*WWWW[[#This Row],[Total PoP ]]</f>
        <v>0</v>
      </c>
      <c r="CC389" s="711">
        <f>IF((WWWW[[#This Row],['#_Constructed/Existing protected/fenced ponds]]*250)/WWWW[[#This Row],[Total PoP ]]&gt;1,1,(WWWW[[#This Row],['#_Constructed/Existing protected/fenced ponds]]*250)/WWWW[[#This Row],[Total PoP ]])</f>
        <v>0</v>
      </c>
      <c r="CD389" s="702">
        <f>WWWW[[#This Row],[% Access to unimproved water points]]*WWWW[[#This Row],[Total PoP ]]</f>
        <v>0</v>
      </c>
      <c r="CE389" s="711">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89" s="70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89" s="702">
        <f>WWWW[[#This Row],[HRP1]]/500</f>
        <v>0</v>
      </c>
      <c r="CH389" s="714">
        <f>1-WWWW[[#This Row],[% Equitable and continuous access to sufficient quantity of domestic water]]</f>
        <v>1</v>
      </c>
      <c r="CI389" s="702">
        <f>WWWW[[#This Row],[%equitable and continuous access to sufficient quantity of safe drinking and domestic water''s GAP]]*WWWW[[#This Row],[Total PoP ]]</f>
        <v>1751</v>
      </c>
      <c r="CJ389" s="712">
        <f>IF(WWWW[[#This Row],[Total required water points]]-WWWW[[#This Row],['#Water points coverage]]&lt;0,0,WWWW[[#This Row],[Total required water points]]-WWWW[[#This Row],['#Water points coverage]])</f>
        <v>4</v>
      </c>
      <c r="CK389" s="712">
        <f>ROUND(IF(WWWW[[#This Row],[Total PoP ]]&lt;500,1,WWWW[[#This Row],[Total PoP ]]/500),0)</f>
        <v>4</v>
      </c>
      <c r="CL389" s="712">
        <f>(WWWW[[#This Row],['#_Constructed latrines_by_WASHAgencies]]+WWWW[[#This Row],['#_Non Cluster partner latrines]])-WWWW[[#This Row],['#_Non-functional latrines]]</f>
        <v>0</v>
      </c>
      <c r="CM389" s="711">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89" s="702">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89" s="715"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389" s="712" t="str">
        <f>IF(WWWW[[#This Row],[Location Type 1]]="Village","NA",IF(WWWW[[#This Row],['#_Constructed/Existing latrines in TLS]]*50&gt;WWWW[[#This Row],['#_students at TLS_CFS]],WWWW[[#This Row],['#_students at TLS_CFS]],(WWWW[[#This Row],['#_Constructed/Existing latrines in TLS]]*50)))</f>
        <v>NA</v>
      </c>
      <c r="CQ389" s="712">
        <f>ROUND(IF(WWWW[[#This Row],[Location Type 1]]="camp",WWWW[[#This Row],[Total PoP ]]/20,IF(WWWW[[#This Row],[Location Type 1]]="Temporary Location",WWWW[[#This Row],[Total PoP ]]/50,(WWWW[[#This Row],[Total PoP ]]/6))),0)</f>
        <v>292</v>
      </c>
      <c r="CR389" s="712">
        <f>IF(WWWW[[#This Row],[Total required Latrines]]-(WWWW[[#This Row],['#_Constructed latrines_by_WASHAgencies]]+WWWW[[#This Row],['#_Non Cluster partner latrines]])&lt;0,0,WWWW[[#This Row],[Total required Latrines]]-(WWWW[[#This Row],['#_Constructed latrines_by_WASHAgencies]]+WWWW[[#This Row],['#_Non Cluster partner latrines]]))</f>
        <v>292</v>
      </c>
      <c r="CS389" s="79">
        <f>1-WWWW[[#This Row],[% people access to functioning Latrine]]</f>
        <v>1</v>
      </c>
      <c r="CT389" s="713">
        <f>IF(OR(WWWW[[#This Row],['#_Non-functional latrines]]="",WWWW[[#This Row],['#_Non-functional latrines]]=0),0,WWWW[[#This Row],['#_Non-functional latrines]]/(WWWW[[#This Row],['#_Constructed latrines_by_WASHAgencies]]+WWWW[[#This Row],['#_Non Cluster partner latrines]]))</f>
        <v>0</v>
      </c>
      <c r="CU389" s="702">
        <f>IF(500*(WWWW[[#This Row],['#_male hygiene promoters]]+WWWW[[#This Row],['#_female hygiene promoters]])&gt;WWWW[[#This Row],[Total PoP ]],WWWW[[#This Row],[Total PoP ]],500*(WWWW[[#This Row],['#_male hygiene promoters]]+WWWW[[#This Row],['#_female hygiene promoters]]))</f>
        <v>0</v>
      </c>
      <c r="CV389" s="712">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89" s="712">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89" s="712">
        <f>IF(WWWW[[#This Row],['# People with access to soap]]&gt;WWWW[[#This Row],['# People with access to Sanity Pads]],WWWW[[#This Row],['# People with access to soap]],WWWW[[#This Row],['# People with access to Sanity Pads]])</f>
        <v>0</v>
      </c>
      <c r="CY389" s="712">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89" s="714">
        <f>IF(WWWW[[#This Row],[HRP3]]/WWWW[[#This Row],[Total PoP ]]&gt;100%,100%,WWWW[[#This Row],[HRP3]]/WWWW[[#This Row],[Total PoP ]])</f>
        <v>0</v>
      </c>
      <c r="DA389" s="713">
        <f>1-WWWW[[#This Row],[Hygiene Coverage%]]</f>
        <v>1</v>
      </c>
      <c r="DB389" s="711">
        <f>WWWW[[#This Row],['# people reached by regular dedicated hygiene promotion_5]]/WWWW[[#This Row],[Total PoP ]]</f>
        <v>0</v>
      </c>
      <c r="DC389" s="711">
        <f>IF(WWWW[[#This Row],['#_households that received standard amount of soap for this quarter]]/WWWW[[#This Row],[Total HH]]&gt;1,1,WWWW[[#This Row],['#_households that received standard amount of soap for this quarter]]/WWWW[[#This Row],[Total HH]])</f>
        <v>0</v>
      </c>
      <c r="DD389" s="711">
        <f>IF(WWWW[[#This Row],['#_households that received standard amount of sanitary pads for this quarter]]/WWWW[[#This Row],[Total HH]]&gt;1,1,WWWW[[#This Row],['#_households that received standard amount of sanitary pads for this quarter]]/WWWW[[#This Row],[Total HH]])</f>
        <v>0</v>
      </c>
      <c r="DE389" s="712">
        <f>WWWW[[#This Row],['#_Constructed/Existing hand washing stations]]-WWWW[[#This Row],['#_Non-Functional_hand_washing_stations]]</f>
        <v>0</v>
      </c>
      <c r="DF389" s="667">
        <f>IF(WWWW[[#This Row],['# Functional hand washing stations during reporting period]]*20&gt;WWWW[[#This Row],[Total HH]],WWWW[[#This Row],[Total HH]],WWWW[[#This Row],['# Functional hand washing stations during reporting period]]*20)</f>
        <v>0</v>
      </c>
      <c r="DG389" s="702">
        <f>IF(WWWW[[#This Row],[Is sufficient soap available for TLS? (Yes/No)]]="yes",WWWW[[#This Row],['#_Constructed/Existing hand washing stations at TLS]],0)</f>
        <v>0</v>
      </c>
      <c r="DH389" s="702">
        <f>IF(WWWW[[#This Row],['# Functional hand washing stations during reporting period]]*100&gt;WWWW[[#This Row],[Total PoP ]],WWWW[[#This Row],[Total PoP ]],WWWW[[#This Row],['# Functional hand washing stations during reporting period]]*100)</f>
        <v>0</v>
      </c>
      <c r="DI389" s="702" t="str">
        <f>IF(WWWW[[#This Row],['#_students at TLS_CFS]]="","No","Yes")</f>
        <v>No</v>
      </c>
      <c r="DJ389" s="709">
        <f>VLOOKUP(WWWW[[#This Row],[Site Name]],SiteDB6[[Site Name]:[CCCM Management]],6,FALSE)</f>
        <v>0</v>
      </c>
      <c r="DK389" s="709">
        <f>VLOOKUP(WWWW[[#This Row],[Site Name]],SiteDB6[[Site Name]:[CCCM Focal Agency]],7,FALSE)</f>
        <v>0</v>
      </c>
      <c r="DL389" s="709" t="str">
        <f>VLOOKUP(WWWW[[#This Row],[Site Name]],SiteDB6[[Site Name]:[Location Type 1]],9,FALSE)</f>
        <v>Village</v>
      </c>
      <c r="DM389" s="709" t="str">
        <f>VLOOKUP(WWWW[[#This Row],[Site Name]],SiteDB6[[Site Name]:[Type of Accommodation]],10,FALSE)</f>
        <v>Returned</v>
      </c>
      <c r="DN389" s="709" t="str">
        <f>VLOOKUP(WWWW[[#This Row],[Site Name]],SiteDB6[[Site Name]:[Ethnic or GCA/NGCA]],11,FALSE)</f>
        <v>Muslim</v>
      </c>
      <c r="DO389" s="709">
        <f>VLOOKUP(WWWW[[#This Row],[Site Name]],SiteDB6[[Site Name]:[Lat]],12,FALSE)</f>
        <v>20.335864000000001</v>
      </c>
      <c r="DP389" s="709">
        <f>VLOOKUP(WWWW[[#This Row],[Site Name]],SiteDB6[[Site Name]:[Long]],13,FALSE)</f>
        <v>92.785706000000005</v>
      </c>
      <c r="DQ389" s="709" t="str">
        <f>VLOOKUP(WWWW[[#This Row],[Site Name]],SiteDB6[[Site Name]:[Pcode]],3,FALSE)</f>
        <v>MMR012CMP031</v>
      </c>
      <c r="DR389" s="703" t="str">
        <f t="shared" si="13"/>
        <v>Notcovered</v>
      </c>
      <c r="DS389" s="703"/>
      <c r="DV389" s="661"/>
    </row>
    <row r="390" spans="1:126">
      <c r="A390" s="637" t="s">
        <v>2525</v>
      </c>
      <c r="B390" s="863" t="s">
        <v>3167</v>
      </c>
      <c r="C390" s="863" t="s">
        <v>3167</v>
      </c>
      <c r="D390" s="864"/>
      <c r="E390" s="865" t="s">
        <v>3014</v>
      </c>
      <c r="F390" s="864" t="s">
        <v>489</v>
      </c>
      <c r="G390" s="866" t="str">
        <f>VLOOKUP(WWWW[[#This Row],[Site Name]],SiteDB6[[Site Name]:[Location Type]],8,FALSE)</f>
        <v>New Temporary Site</v>
      </c>
      <c r="H390" s="864" t="s">
        <v>3247</v>
      </c>
      <c r="I390" s="867">
        <v>34</v>
      </c>
      <c r="J390" s="867">
        <v>128</v>
      </c>
      <c r="K390" s="868"/>
      <c r="L390" s="869"/>
      <c r="M390" s="867"/>
      <c r="N390" s="867"/>
      <c r="O390" s="867"/>
      <c r="P390" s="867"/>
      <c r="Q390" s="870"/>
      <c r="R390" s="867"/>
      <c r="S390" s="867"/>
      <c r="T390" s="379"/>
      <c r="U390" s="867"/>
      <c r="V390" s="867"/>
      <c r="W390" s="867"/>
      <c r="X390" s="867"/>
      <c r="Y390" s="867"/>
      <c r="Z390" s="867"/>
      <c r="AA390" s="867"/>
      <c r="AB390" s="867"/>
      <c r="AC390" s="867"/>
      <c r="AD390" s="867"/>
      <c r="AE390" s="867"/>
      <c r="AF390" s="867"/>
      <c r="AG390" s="867"/>
      <c r="AH390" s="867"/>
      <c r="AI390" s="867"/>
      <c r="AJ390" s="867"/>
      <c r="AK390" s="867"/>
      <c r="AL390" s="867"/>
      <c r="AM390" s="867"/>
      <c r="AN390" s="867"/>
      <c r="AO390" s="871"/>
      <c r="AP390" s="867">
        <v>10</v>
      </c>
      <c r="AQ390" s="867"/>
      <c r="AR390" s="872"/>
      <c r="AS390" s="867"/>
      <c r="AT390" s="867"/>
      <c r="AU390" s="867"/>
      <c r="AV390" s="867"/>
      <c r="AW390" s="867"/>
      <c r="AX390" s="873"/>
      <c r="AY390" s="871"/>
      <c r="AZ390" s="867"/>
      <c r="BA390" s="867"/>
      <c r="BB390" s="867"/>
      <c r="BC390" s="873"/>
      <c r="BD390" s="867"/>
      <c r="BE390" s="867"/>
      <c r="BF390" s="867"/>
      <c r="BG390" s="867"/>
      <c r="BH390" s="867"/>
      <c r="BI390" s="867"/>
      <c r="BJ390" s="867"/>
      <c r="BK390" s="867">
        <v>179</v>
      </c>
      <c r="BL390" s="867">
        <v>179</v>
      </c>
      <c r="BM390" s="873"/>
      <c r="BN390" s="874"/>
      <c r="BO390" s="872"/>
      <c r="BP390" s="873"/>
      <c r="BQ390" s="875" t="str">
        <f>IFERROR(WWWW[[#This Row],['#_Water sources treated]]/WWWW[[#This Row],['#_Water sources tested for contamination]],"no test")</f>
        <v>no test</v>
      </c>
      <c r="BR390" s="872" t="str">
        <f>IFERROR(WWWW[[#This Row],['#_Household received remediation action due to contamination]]/WWWW[[#This Row],['#_Household water samples tested for contamination]],"no test")</f>
        <v>no test</v>
      </c>
      <c r="BS390" s="874" t="str">
        <f>IF(AND(WWWW[[#This Row],[% of water sources treated]]="no test",WWWW[[#This Row],[% Household received corrective actions]]="no test"),"No Test","Tested")</f>
        <v>No Test</v>
      </c>
      <c r="BT390" s="874">
        <f>WWWW[[#This Row],['#_Constructed/existing protected hand dug well]]-WWWW[[#This Row],['#_Non-functional protected hand dug well]]</f>
        <v>0</v>
      </c>
      <c r="BU390" s="874">
        <f>(WWWW[[#This Row],['#_Constructed/Existing tube wells/boreholes/handpumps_WASH_agency]]+WWWW[[#This Row],['#_Non-Cluster partner water tube-wells/boreholes/handpumps]])-WWWW[[#This Row],['#_Non-functional tube wells/boreholes/handpumps]]</f>
        <v>0</v>
      </c>
      <c r="BV390" s="874">
        <f>WWWW[[#This Row],['#_Constructed/Existingwater storage tank with gravity fed reticulation system]]-WWWW[[#This Row],['#_Non-functional storage tank gravity fed reticulation system]]</f>
        <v>0</v>
      </c>
      <c r="BW390" s="874">
        <f>WWWW[[#This Row],['#_Water boating or water trucking]]</f>
        <v>0</v>
      </c>
      <c r="BX390" s="874">
        <f>WWWW[[#This Row],['#_Constructed/Existing water distribution system from river or natural spring]]</f>
        <v>0</v>
      </c>
      <c r="BY390"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90"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90" s="872">
        <f>IF(WWWW[[#This Row],[Location Type 1]]="Village",WWWW[[#This Row],[Access to safe drinking water for Village]],WWWW[[#This Row],[Access to safe drinking water for Camp]])</f>
        <v>0</v>
      </c>
      <c r="CB390" s="870">
        <f>WWWW[[#This Row],[%Equitable and continuous access to sufficient quantity of safe drinking water]]*WWWW[[#This Row],[Total PoP ]]</f>
        <v>0</v>
      </c>
      <c r="CC390" s="872">
        <f>IF((WWWW[[#This Row],['#_Constructed/Existing protected/fenced ponds]]*250)/WWWW[[#This Row],[Total PoP ]]&gt;1,1,(WWWW[[#This Row],['#_Constructed/Existing protected/fenced ponds]]*250)/WWWW[[#This Row],[Total PoP ]])</f>
        <v>0</v>
      </c>
      <c r="CD390" s="870">
        <f>WWWW[[#This Row],[% Access to unimproved water points]]*WWWW[[#This Row],[Total PoP ]]</f>
        <v>0</v>
      </c>
      <c r="CE390"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90"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90" s="870">
        <f>WWWW[[#This Row],[HRP1]]/500</f>
        <v>0</v>
      </c>
      <c r="CH390" s="876">
        <f>1-WWWW[[#This Row],[% Equitable and continuous access to sufficient quantity of domestic water]]</f>
        <v>1</v>
      </c>
      <c r="CI390" s="870">
        <f>WWWW[[#This Row],[%equitable and continuous access to sufficient quantity of safe drinking and domestic water''s GAP]]*WWWW[[#This Row],[Total PoP ]]</f>
        <v>128</v>
      </c>
      <c r="CJ390" s="874">
        <f>IF(WWWW[[#This Row],[Total required water points]]-WWWW[[#This Row],['#Water points coverage]]&lt;0,0,WWWW[[#This Row],[Total required water points]]-WWWW[[#This Row],['#Water points coverage]])</f>
        <v>1</v>
      </c>
      <c r="CK390" s="874">
        <f>ROUND(IF(WWWW[[#This Row],[Total PoP ]]&lt;500,1,WWWW[[#This Row],[Total PoP ]]/500),0)</f>
        <v>1</v>
      </c>
      <c r="CL390" s="874">
        <f>(WWWW[[#This Row],['#_Constructed latrines_by_WASHAgencies]]+WWWW[[#This Row],['#_Non Cluster partner latrines]])-WWWW[[#This Row],['#_Non-functional latrines]]</f>
        <v>10</v>
      </c>
      <c r="CM390"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390"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128</v>
      </c>
      <c r="CO390"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390" s="874">
        <f>IF(WWWW[[#This Row],[Location Type 1]]="Village","NA",IF(WWWW[[#This Row],['#_Constructed/Existing latrines in TLS]]*50&gt;WWWW[[#This Row],['#_students at TLS_CFS]],WWWW[[#This Row],['#_students at TLS_CFS]],(WWWW[[#This Row],['#_Constructed/Existing latrines in TLS]]*50)))</f>
        <v>0</v>
      </c>
      <c r="CQ390" s="874">
        <f>ROUND(IF(WWWW[[#This Row],[Location Type 1]]="camp",WWWW[[#This Row],[Total PoP ]]/20,IF(WWWW[[#This Row],[Location Type 1]]="Temporary Location",WWWW[[#This Row],[Total PoP ]]/50,(WWWW[[#This Row],[Total PoP ]]/6))),0)</f>
        <v>3</v>
      </c>
      <c r="CR390" s="874">
        <f>IF(WWWW[[#This Row],[Total required Latrines]]-(WWWW[[#This Row],['#_Constructed latrines_by_WASHAgencies]]+WWWW[[#This Row],['#_Non Cluster partner latrines]])&lt;0,0,WWWW[[#This Row],[Total required Latrines]]-(WWWW[[#This Row],['#_Constructed latrines_by_WASHAgencies]]+WWWW[[#This Row],['#_Non Cluster partner latrines]]))</f>
        <v>0</v>
      </c>
      <c r="CS390" s="878">
        <f>1-WWWW[[#This Row],[% people access to functioning Latrine]]</f>
        <v>0</v>
      </c>
      <c r="CT390" s="875">
        <f>IF(OR(WWWW[[#This Row],['#_Non-functional latrines]]="",WWWW[[#This Row],['#_Non-functional latrines]]=0),0,WWWW[[#This Row],['#_Non-functional latrines]]/(WWWW[[#This Row],['#_Constructed latrines_by_WASHAgencies]]+WWWW[[#This Row],['#_Non Cluster partner latrines]]))</f>
        <v>0</v>
      </c>
      <c r="CU390" s="870">
        <f>IF(500*(WWWW[[#This Row],['#_male hygiene promoters]]+WWWW[[#This Row],['#_female hygiene promoters]])&gt;WWWW[[#This Row],[Total PoP ]],WWWW[[#This Row],[Total PoP ]],500*(WWWW[[#This Row],['#_male hygiene promoters]]+WWWW[[#This Row],['#_female hygiene promoters]]))</f>
        <v>0</v>
      </c>
      <c r="CV390"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128</v>
      </c>
      <c r="CW390"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128</v>
      </c>
      <c r="CX390" s="874">
        <f>IF(WWWW[[#This Row],['# People with access to soap]]&gt;WWWW[[#This Row],['# People with access to Sanity Pads]],WWWW[[#This Row],['# People with access to soap]],WWWW[[#This Row],['# People with access to Sanity Pads]])</f>
        <v>128</v>
      </c>
      <c r="CY390" s="874">
        <f>IF(WWWW[[#This Row],['# people reached by regular dedicated hygiene promotion_5]]&gt;WWWW[[#This Row],['# People received regular supply of hygiene items_6]],WWWW[[#This Row],['# people reached by regular dedicated hygiene promotion_5]],WWWW[[#This Row],['# People received regular supply of hygiene items_6]])</f>
        <v>128</v>
      </c>
      <c r="CZ390" s="876">
        <f>IF(WWWW[[#This Row],[HRP3]]/WWWW[[#This Row],[Total PoP ]]&gt;100%,100%,WWWW[[#This Row],[HRP3]]/WWWW[[#This Row],[Total PoP ]])</f>
        <v>1</v>
      </c>
      <c r="DA390" s="875">
        <f>1-WWWW[[#This Row],[Hygiene Coverage%]]</f>
        <v>0</v>
      </c>
      <c r="DB390" s="872">
        <f>WWWW[[#This Row],['# people reached by regular dedicated hygiene promotion_5]]/WWWW[[#This Row],[Total PoP ]]</f>
        <v>0</v>
      </c>
      <c r="DC390" s="872">
        <f>IF(WWWW[[#This Row],['#_households that received standard amount of soap for this quarter]]/WWWW[[#This Row],[Total HH]]&gt;1,1,WWWW[[#This Row],['#_households that received standard amount of soap for this quarter]]/WWWW[[#This Row],[Total HH]])</f>
        <v>1</v>
      </c>
      <c r="DD390" s="872">
        <f>IF(WWWW[[#This Row],['#_households that received standard amount of sanitary pads for this quarter]]/WWWW[[#This Row],[Total HH]]&gt;1,1,WWWW[[#This Row],['#_households that received standard amount of sanitary pads for this quarter]]/WWWW[[#This Row],[Total HH]])</f>
        <v>1</v>
      </c>
      <c r="DE390" s="874">
        <f>WWWW[[#This Row],['#_Constructed/Existing hand washing stations]]-WWWW[[#This Row],['#_Non-Functional_hand_washing_stations]]</f>
        <v>0</v>
      </c>
      <c r="DF390" s="879" t="e">
        <f>WWWW[[#This Row],[Total HH]]*#REF!</f>
        <v>#REF!</v>
      </c>
      <c r="DG390" s="870">
        <f>IF(WWWW[[#This Row],[Is sufficient soap available for TLS? (Yes/No)]]="yes",WWWW[[#This Row],['#_Constructed/Existing hand washing stations at TLS]],0)</f>
        <v>0</v>
      </c>
      <c r="DH390" s="702">
        <f>IF(WWWW[[#This Row],['# Functional hand washing stations during reporting period]]*100&gt;WWWW[[#This Row],[Total PoP ]],WWWW[[#This Row],[Total PoP ]],WWWW[[#This Row],['# Functional hand washing stations during reporting period]]*100)</f>
        <v>0</v>
      </c>
      <c r="DI390" s="702" t="str">
        <f>IF(WWWW[[#This Row],['#_students at TLS_CFS]]="","No","Yes")</f>
        <v>No</v>
      </c>
      <c r="DJ390" s="873">
        <f>VLOOKUP(WWWW[[#This Row],[Site Name]],SiteDB6[[Site Name]:[CCCM Management]],6,FALSE)</f>
        <v>0</v>
      </c>
      <c r="DK390" s="873">
        <f>VLOOKUP(WWWW[[#This Row],[Site Name]],SiteDB6[[Site Name]:[CCCM Focal Agency]],7,FALSE)</f>
        <v>0</v>
      </c>
      <c r="DL390" s="873" t="str">
        <f>VLOOKUP(WWWW[[#This Row],[Site Name]],SiteDB6[[Site Name]:[Location Type 1]],9,FALSE)</f>
        <v>Temporary location</v>
      </c>
      <c r="DM390" s="873" t="str">
        <f>VLOOKUP(WWWW[[#This Row],[Site Name]],SiteDB6[[Site Name]:[Type of Accommodation]],10,FALSE)</f>
        <v>Temporary location</v>
      </c>
      <c r="DN390" s="873">
        <f>VLOOKUP(WWWW[[#This Row],[Site Name]],SiteDB6[[Site Name]:[Ethnic or GCA/NGCA]],11,FALSE)</f>
        <v>0</v>
      </c>
      <c r="DO390" s="873">
        <f>VLOOKUP(WWWW[[#This Row],[Site Name]],SiteDB6[[Site Name]:[Lat]],12,FALSE)</f>
        <v>20.710781097412099</v>
      </c>
      <c r="DP390" s="873">
        <f>VLOOKUP(WWWW[[#This Row],[Site Name]],SiteDB6[[Site Name]:[Long]],13,FALSE)</f>
        <v>93.127502441406307</v>
      </c>
      <c r="DQ390" s="873">
        <f>VLOOKUP(WWWW[[#This Row],[Site Name]],SiteDB6[[Site Name]:[Pcode]],3,FALSE)</f>
        <v>196610</v>
      </c>
      <c r="DR390" s="871" t="str">
        <f t="shared" si="13"/>
        <v>Covered</v>
      </c>
      <c r="DS390" s="871"/>
      <c r="DV390" s="661"/>
    </row>
    <row r="391" spans="1:126">
      <c r="A391" s="637" t="s">
        <v>2525</v>
      </c>
      <c r="B391" s="976" t="s">
        <v>317</v>
      </c>
      <c r="C391" s="976" t="s">
        <v>317</v>
      </c>
      <c r="D391" s="864"/>
      <c r="E391" s="865" t="s">
        <v>3014</v>
      </c>
      <c r="F391" s="864" t="s">
        <v>489</v>
      </c>
      <c r="G391" s="866" t="str">
        <f>VLOOKUP(WWWW[[#This Row],[Site Name]],SiteDB6[[Site Name]:[Location Type]],8,FALSE)</f>
        <v>New Temporary Site</v>
      </c>
      <c r="H391" s="864" t="s">
        <v>3176</v>
      </c>
      <c r="I391" s="867">
        <v>79</v>
      </c>
      <c r="J391" s="867">
        <v>330</v>
      </c>
      <c r="K391" s="868"/>
      <c r="L391" s="869"/>
      <c r="M391" s="867"/>
      <c r="N391" s="867"/>
      <c r="O391" s="867"/>
      <c r="P391" s="867"/>
      <c r="Q391" s="870"/>
      <c r="R391" s="867"/>
      <c r="S391" s="867"/>
      <c r="T391" s="379"/>
      <c r="U391" s="867"/>
      <c r="V391" s="867"/>
      <c r="W391" s="867"/>
      <c r="X391" s="867"/>
      <c r="Y391" s="867"/>
      <c r="Z391" s="867"/>
      <c r="AA391" s="867"/>
      <c r="AB391" s="867"/>
      <c r="AC391" s="867"/>
      <c r="AD391" s="867"/>
      <c r="AE391" s="867"/>
      <c r="AF391" s="867"/>
      <c r="AG391" s="867"/>
      <c r="AH391" s="867"/>
      <c r="AI391" s="867"/>
      <c r="AJ391" s="867"/>
      <c r="AK391" s="867"/>
      <c r="AL391" s="867"/>
      <c r="AM391" s="867"/>
      <c r="AN391" s="867"/>
      <c r="AO391" s="871"/>
      <c r="AP391" s="867"/>
      <c r="AQ391" s="867"/>
      <c r="AR391" s="872"/>
      <c r="AS391" s="867"/>
      <c r="AT391" s="867"/>
      <c r="AU391" s="867"/>
      <c r="AV391" s="867"/>
      <c r="AW391" s="867"/>
      <c r="AX391" s="873"/>
      <c r="AY391" s="871"/>
      <c r="AZ391" s="867"/>
      <c r="BA391" s="867"/>
      <c r="BB391" s="867"/>
      <c r="BC391" s="873"/>
      <c r="BD391" s="867"/>
      <c r="BE391" s="867"/>
      <c r="BF391" s="867"/>
      <c r="BG391" s="867"/>
      <c r="BH391" s="867"/>
      <c r="BI391" s="867"/>
      <c r="BJ391" s="867"/>
      <c r="BK391" s="867"/>
      <c r="BL391" s="867"/>
      <c r="BM391" s="873"/>
      <c r="BN391" s="874"/>
      <c r="BO391" s="872"/>
      <c r="BP391" s="873"/>
      <c r="BQ391" s="875" t="str">
        <f>IFERROR(WWWW[[#This Row],['#_Water sources treated]]/WWWW[[#This Row],['#_Water sources tested for contamination]],"no test")</f>
        <v>no test</v>
      </c>
      <c r="BR391" s="872" t="str">
        <f>IFERROR(WWWW[[#This Row],['#_Household received remediation action due to contamination]]/WWWW[[#This Row],['#_Household water samples tested for contamination]],"no test")</f>
        <v>no test</v>
      </c>
      <c r="BS391" s="874" t="str">
        <f>IF(AND(WWWW[[#This Row],[% of water sources treated]]="no test",WWWW[[#This Row],[% Household received corrective actions]]="no test"),"No Test","Tested")</f>
        <v>No Test</v>
      </c>
      <c r="BT391" s="874">
        <f>WWWW[[#This Row],['#_Constructed/existing protected hand dug well]]-WWWW[[#This Row],['#_Non-functional protected hand dug well]]</f>
        <v>0</v>
      </c>
      <c r="BU391" s="874">
        <f>(WWWW[[#This Row],['#_Constructed/Existing tube wells/boreholes/handpumps_WASH_agency]]+WWWW[[#This Row],['#_Non-Cluster partner water tube-wells/boreholes/handpumps]])-WWWW[[#This Row],['#_Non-functional tube wells/boreholes/handpumps]]</f>
        <v>0</v>
      </c>
      <c r="BV391" s="874">
        <f>WWWW[[#This Row],['#_Constructed/Existingwater storage tank with gravity fed reticulation system]]-WWWW[[#This Row],['#_Non-functional storage tank gravity fed reticulation system]]</f>
        <v>0</v>
      </c>
      <c r="BW391" s="874">
        <f>WWWW[[#This Row],['#_Water boating or water trucking]]</f>
        <v>0</v>
      </c>
      <c r="BX391" s="874">
        <f>WWWW[[#This Row],['#_Constructed/Existing water distribution system from river or natural spring]]</f>
        <v>0</v>
      </c>
      <c r="BY391"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91"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91" s="872">
        <f>IF(WWWW[[#This Row],[Location Type 1]]="Village",WWWW[[#This Row],[Access to safe drinking water for Village]],WWWW[[#This Row],[Access to safe drinking water for Camp]])</f>
        <v>0</v>
      </c>
      <c r="CB391" s="870">
        <f>WWWW[[#This Row],[%Equitable and continuous access to sufficient quantity of safe drinking water]]*WWWW[[#This Row],[Total PoP ]]</f>
        <v>0</v>
      </c>
      <c r="CC391" s="872">
        <f>IF((WWWW[[#This Row],['#_Constructed/Existing protected/fenced ponds]]*250)/WWWW[[#This Row],[Total PoP ]]&gt;1,1,(WWWW[[#This Row],['#_Constructed/Existing protected/fenced ponds]]*250)/WWWW[[#This Row],[Total PoP ]])</f>
        <v>0</v>
      </c>
      <c r="CD391" s="870">
        <f>WWWW[[#This Row],[% Access to unimproved water points]]*WWWW[[#This Row],[Total PoP ]]</f>
        <v>0</v>
      </c>
      <c r="CE391"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91"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91" s="870">
        <f>WWWW[[#This Row],[HRP1]]/500</f>
        <v>0</v>
      </c>
      <c r="CH391" s="876">
        <f>1-WWWW[[#This Row],[% Equitable and continuous access to sufficient quantity of domestic water]]</f>
        <v>1</v>
      </c>
      <c r="CI391" s="870">
        <f>WWWW[[#This Row],[%equitable and continuous access to sufficient quantity of safe drinking and domestic water''s GAP]]*WWWW[[#This Row],[Total PoP ]]</f>
        <v>330</v>
      </c>
      <c r="CJ391" s="874">
        <f>IF(WWWW[[#This Row],[Total required water points]]-WWWW[[#This Row],['#Water points coverage]]&lt;0,0,WWWW[[#This Row],[Total required water points]]-WWWW[[#This Row],['#Water points coverage]])</f>
        <v>1</v>
      </c>
      <c r="CK391" s="874">
        <f>ROUND(IF(WWWW[[#This Row],[Total PoP ]]&lt;500,1,WWWW[[#This Row],[Total PoP ]]/500),0)</f>
        <v>1</v>
      </c>
      <c r="CL391" s="874">
        <f>(WWWW[[#This Row],['#_Constructed latrines_by_WASHAgencies]]+WWWW[[#This Row],['#_Non Cluster partner latrines]])-WWWW[[#This Row],['#_Non-functional latrines]]</f>
        <v>0</v>
      </c>
      <c r="CM391"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91"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91"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391" s="874">
        <f>IF(WWWW[[#This Row],[Location Type 1]]="Village","NA",IF(WWWW[[#This Row],['#_Constructed/Existing latrines in TLS]]*50&gt;WWWW[[#This Row],['#_students at TLS_CFS]],WWWW[[#This Row],['#_students at TLS_CFS]],(WWWW[[#This Row],['#_Constructed/Existing latrines in TLS]]*50)))</f>
        <v>0</v>
      </c>
      <c r="CQ391" s="874">
        <f>ROUND(IF(WWWW[[#This Row],[Location Type 1]]="camp",WWWW[[#This Row],[Total PoP ]]/20,IF(WWWW[[#This Row],[Location Type 1]]="Temporary Location",WWWW[[#This Row],[Total PoP ]]/50,(WWWW[[#This Row],[Total PoP ]]/6))),0)</f>
        <v>7</v>
      </c>
      <c r="CR391" s="874">
        <f>IF(WWWW[[#This Row],[Total required Latrines]]-(WWWW[[#This Row],['#_Constructed latrines_by_WASHAgencies]]+WWWW[[#This Row],['#_Non Cluster partner latrines]])&lt;0,0,WWWW[[#This Row],[Total required Latrines]]-(WWWW[[#This Row],['#_Constructed latrines_by_WASHAgencies]]+WWWW[[#This Row],['#_Non Cluster partner latrines]]))</f>
        <v>7</v>
      </c>
      <c r="CS391" s="878">
        <f>1-WWWW[[#This Row],[% people access to functioning Latrine]]</f>
        <v>1</v>
      </c>
      <c r="CT391" s="875">
        <f>IF(OR(WWWW[[#This Row],['#_Non-functional latrines]]="",WWWW[[#This Row],['#_Non-functional latrines]]=0),0,WWWW[[#This Row],['#_Non-functional latrines]]/(WWWW[[#This Row],['#_Constructed latrines_by_WASHAgencies]]+WWWW[[#This Row],['#_Non Cluster partner latrines]]))</f>
        <v>0</v>
      </c>
      <c r="CU391" s="870">
        <f>IF(500*(WWWW[[#This Row],['#_male hygiene promoters]]+WWWW[[#This Row],['#_female hygiene promoters]])&gt;WWWW[[#This Row],[Total PoP ]],WWWW[[#This Row],[Total PoP ]],500*(WWWW[[#This Row],['#_male hygiene promoters]]+WWWW[[#This Row],['#_female hygiene promoters]]))</f>
        <v>0</v>
      </c>
      <c r="CV391"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91"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91" s="874">
        <f>IF(WWWW[[#This Row],['# People with access to soap]]&gt;WWWW[[#This Row],['# People with access to Sanity Pads]],WWWW[[#This Row],['# People with access to soap]],WWWW[[#This Row],['# People with access to Sanity Pads]])</f>
        <v>0</v>
      </c>
      <c r="CY391"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91" s="876">
        <f>IF(WWWW[[#This Row],[HRP3]]/WWWW[[#This Row],[Total PoP ]]&gt;100%,100%,WWWW[[#This Row],[HRP3]]/WWWW[[#This Row],[Total PoP ]])</f>
        <v>0</v>
      </c>
      <c r="DA391" s="875">
        <f>1-WWWW[[#This Row],[Hygiene Coverage%]]</f>
        <v>1</v>
      </c>
      <c r="DB391" s="872">
        <f>WWWW[[#This Row],['# people reached by regular dedicated hygiene promotion_5]]/WWWW[[#This Row],[Total PoP ]]</f>
        <v>0</v>
      </c>
      <c r="DC391" s="872">
        <f>IF(WWWW[[#This Row],['#_households that received standard amount of soap for this quarter]]/WWWW[[#This Row],[Total HH]]&gt;1,1,WWWW[[#This Row],['#_households that received standard amount of soap for this quarter]]/WWWW[[#This Row],[Total HH]])</f>
        <v>0</v>
      </c>
      <c r="DD391" s="872">
        <f>IF(WWWW[[#This Row],['#_households that received standard amount of sanitary pads for this quarter]]/WWWW[[#This Row],[Total HH]]&gt;1,1,WWWW[[#This Row],['#_households that received standard amount of sanitary pads for this quarter]]/WWWW[[#This Row],[Total HH]])</f>
        <v>0</v>
      </c>
      <c r="DE391" s="874">
        <f>WWWW[[#This Row],['#_Constructed/Existing hand washing stations]]-WWWW[[#This Row],['#_Non-Functional_hand_washing_stations]]</f>
        <v>0</v>
      </c>
      <c r="DF391" s="879" t="e">
        <f>WWWW[[#This Row],[Total HH]]*#REF!</f>
        <v>#REF!</v>
      </c>
      <c r="DG391" s="870">
        <f>IF(WWWW[[#This Row],[Is sufficient soap available for TLS? (Yes/No)]]="yes",WWWW[[#This Row],['#_Constructed/Existing hand washing stations at TLS]],0)</f>
        <v>0</v>
      </c>
      <c r="DH391" s="702">
        <f>IF(WWWW[[#This Row],['# Functional hand washing stations during reporting period]]*100&gt;WWWW[[#This Row],[Total PoP ]],WWWW[[#This Row],[Total PoP ]],WWWW[[#This Row],['# Functional hand washing stations during reporting period]]*100)</f>
        <v>0</v>
      </c>
      <c r="DI391" s="702" t="str">
        <f>IF(WWWW[[#This Row],['#_students at TLS_CFS]]="","No","Yes")</f>
        <v>No</v>
      </c>
      <c r="DJ391" s="873">
        <f>VLOOKUP(WWWW[[#This Row],[Site Name]],SiteDB6[[Site Name]:[CCCM Management]],6,FALSE)</f>
        <v>0</v>
      </c>
      <c r="DK391" s="873">
        <f>VLOOKUP(WWWW[[#This Row],[Site Name]],SiteDB6[[Site Name]:[CCCM Focal Agency]],7,FALSE)</f>
        <v>0</v>
      </c>
      <c r="DL391" s="873" t="str">
        <f>VLOOKUP(WWWW[[#This Row],[Site Name]],SiteDB6[[Site Name]:[Location Type 1]],9,FALSE)</f>
        <v>Temporary location</v>
      </c>
      <c r="DM391" s="873" t="str">
        <f>VLOOKUP(WWWW[[#This Row],[Site Name]],SiteDB6[[Site Name]:[Type of Accommodation]],10,FALSE)</f>
        <v>Temporary location</v>
      </c>
      <c r="DN391" s="873">
        <f>VLOOKUP(WWWW[[#This Row],[Site Name]],SiteDB6[[Site Name]:[Ethnic or GCA/NGCA]],11,FALSE)</f>
        <v>0</v>
      </c>
      <c r="DO391" s="873">
        <f>VLOOKUP(WWWW[[#This Row],[Site Name]],SiteDB6[[Site Name]:[Lat]],12,FALSE)</f>
        <v>0</v>
      </c>
      <c r="DP391" s="873">
        <f>VLOOKUP(WWWW[[#This Row],[Site Name]],SiteDB6[[Site Name]:[Long]],13,FALSE)</f>
        <v>0</v>
      </c>
      <c r="DQ391" s="873" t="str">
        <f>VLOOKUP(WWWW[[#This Row],[Site Name]],SiteDB6[[Site Name]:[Pcode]],3,FALSE)</f>
        <v>MMR012003701505</v>
      </c>
      <c r="DR391" s="871" t="str">
        <f t="shared" si="13"/>
        <v>Notcovered</v>
      </c>
      <c r="DS391" s="871"/>
      <c r="DV391" s="661"/>
    </row>
    <row r="392" spans="1:126">
      <c r="A392" s="637" t="s">
        <v>2525</v>
      </c>
      <c r="B392" s="863" t="s">
        <v>3167</v>
      </c>
      <c r="C392" s="863" t="s">
        <v>3167</v>
      </c>
      <c r="D392" s="864"/>
      <c r="E392" s="865" t="s">
        <v>3014</v>
      </c>
      <c r="F392" s="864" t="s">
        <v>489</v>
      </c>
      <c r="G392" s="866" t="str">
        <f>VLOOKUP(WWWW[[#This Row],[Site Name]],SiteDB6[[Site Name]:[Location Type]],8,FALSE)</f>
        <v>New Temporary Site</v>
      </c>
      <c r="H392" s="864" t="s">
        <v>3177</v>
      </c>
      <c r="I392" s="867">
        <v>70</v>
      </c>
      <c r="J392" s="867">
        <v>272</v>
      </c>
      <c r="K392" s="868"/>
      <c r="L392" s="869"/>
      <c r="M392" s="867"/>
      <c r="N392" s="867"/>
      <c r="O392" s="867"/>
      <c r="P392" s="867"/>
      <c r="Q392" s="870"/>
      <c r="R392" s="867"/>
      <c r="S392" s="867"/>
      <c r="T392" s="379"/>
      <c r="U392" s="867"/>
      <c r="V392" s="867"/>
      <c r="W392" s="867"/>
      <c r="X392" s="867"/>
      <c r="Y392" s="867"/>
      <c r="Z392" s="867"/>
      <c r="AA392" s="867"/>
      <c r="AB392" s="867"/>
      <c r="AC392" s="867"/>
      <c r="AD392" s="867"/>
      <c r="AE392" s="867"/>
      <c r="AF392" s="867"/>
      <c r="AG392" s="867"/>
      <c r="AH392" s="867"/>
      <c r="AI392" s="867"/>
      <c r="AJ392" s="867"/>
      <c r="AK392" s="867"/>
      <c r="AL392" s="867"/>
      <c r="AM392" s="867"/>
      <c r="AN392" s="867"/>
      <c r="AO392" s="871"/>
      <c r="AP392" s="867">
        <v>4</v>
      </c>
      <c r="AQ392" s="867"/>
      <c r="AR392" s="872"/>
      <c r="AS392" s="867"/>
      <c r="AT392" s="867"/>
      <c r="AU392" s="867"/>
      <c r="AV392" s="867"/>
      <c r="AW392" s="867"/>
      <c r="AX392" s="873"/>
      <c r="AY392" s="871"/>
      <c r="AZ392" s="867"/>
      <c r="BA392" s="867"/>
      <c r="BB392" s="867"/>
      <c r="BC392" s="873"/>
      <c r="BD392" s="867"/>
      <c r="BE392" s="867"/>
      <c r="BF392" s="867"/>
      <c r="BG392" s="867"/>
      <c r="BH392" s="867"/>
      <c r="BI392" s="867"/>
      <c r="BJ392" s="867"/>
      <c r="BK392" s="867"/>
      <c r="BL392" s="867"/>
      <c r="BM392" s="873"/>
      <c r="BN392" s="874"/>
      <c r="BO392" s="872"/>
      <c r="BP392" s="873"/>
      <c r="BQ392" s="875" t="str">
        <f>IFERROR(WWWW[[#This Row],['#_Water sources treated]]/WWWW[[#This Row],['#_Water sources tested for contamination]],"no test")</f>
        <v>no test</v>
      </c>
      <c r="BR392" s="872" t="str">
        <f>IFERROR(WWWW[[#This Row],['#_Household received remediation action due to contamination]]/WWWW[[#This Row],['#_Household water samples tested for contamination]],"no test")</f>
        <v>no test</v>
      </c>
      <c r="BS392" s="874" t="str">
        <f>IF(AND(WWWW[[#This Row],[% of water sources treated]]="no test",WWWW[[#This Row],[% Household received corrective actions]]="no test"),"No Test","Tested")</f>
        <v>No Test</v>
      </c>
      <c r="BT392" s="874">
        <f>WWWW[[#This Row],['#_Constructed/existing protected hand dug well]]-WWWW[[#This Row],['#_Non-functional protected hand dug well]]</f>
        <v>0</v>
      </c>
      <c r="BU392" s="874">
        <f>(WWWW[[#This Row],['#_Constructed/Existing tube wells/boreholes/handpumps_WASH_agency]]+WWWW[[#This Row],['#_Non-Cluster partner water tube-wells/boreholes/handpumps]])-WWWW[[#This Row],['#_Non-functional tube wells/boreholes/handpumps]]</f>
        <v>0</v>
      </c>
      <c r="BV392" s="874">
        <f>WWWW[[#This Row],['#_Constructed/Existingwater storage tank with gravity fed reticulation system]]-WWWW[[#This Row],['#_Non-functional storage tank gravity fed reticulation system]]</f>
        <v>0</v>
      </c>
      <c r="BW392" s="874">
        <f>WWWW[[#This Row],['#_Water boating or water trucking]]</f>
        <v>0</v>
      </c>
      <c r="BX392" s="874">
        <f>WWWW[[#This Row],['#_Constructed/Existing water distribution system from river or natural spring]]</f>
        <v>0</v>
      </c>
      <c r="BY392"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92"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92" s="872">
        <f>IF(WWWW[[#This Row],[Location Type 1]]="Village",WWWW[[#This Row],[Access to safe drinking water for Village]],WWWW[[#This Row],[Access to safe drinking water for Camp]])</f>
        <v>0</v>
      </c>
      <c r="CB392" s="870">
        <f>WWWW[[#This Row],[%Equitable and continuous access to sufficient quantity of safe drinking water]]*WWWW[[#This Row],[Total PoP ]]</f>
        <v>0</v>
      </c>
      <c r="CC392" s="872">
        <f>IF((WWWW[[#This Row],['#_Constructed/Existing protected/fenced ponds]]*250)/WWWW[[#This Row],[Total PoP ]]&gt;1,1,(WWWW[[#This Row],['#_Constructed/Existing protected/fenced ponds]]*250)/WWWW[[#This Row],[Total PoP ]])</f>
        <v>0</v>
      </c>
      <c r="CD392" s="870">
        <f>WWWW[[#This Row],[% Access to unimproved water points]]*WWWW[[#This Row],[Total PoP ]]</f>
        <v>0</v>
      </c>
      <c r="CE392"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92"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92" s="870">
        <f>WWWW[[#This Row],[HRP1]]/500</f>
        <v>0</v>
      </c>
      <c r="CH392" s="876">
        <f>1-WWWW[[#This Row],[% Equitable and continuous access to sufficient quantity of domestic water]]</f>
        <v>1</v>
      </c>
      <c r="CI392" s="870">
        <f>WWWW[[#This Row],[%equitable and continuous access to sufficient quantity of safe drinking and domestic water''s GAP]]*WWWW[[#This Row],[Total PoP ]]</f>
        <v>272</v>
      </c>
      <c r="CJ392" s="874">
        <f>IF(WWWW[[#This Row],[Total required water points]]-WWWW[[#This Row],['#Water points coverage]]&lt;0,0,WWWW[[#This Row],[Total required water points]]-WWWW[[#This Row],['#Water points coverage]])</f>
        <v>1</v>
      </c>
      <c r="CK392" s="874">
        <f>ROUND(IF(WWWW[[#This Row],[Total PoP ]]&lt;500,1,WWWW[[#This Row],[Total PoP ]]/500),0)</f>
        <v>1</v>
      </c>
      <c r="CL392" s="874">
        <f>(WWWW[[#This Row],['#_Constructed latrines_by_WASHAgencies]]+WWWW[[#This Row],['#_Non Cluster partner latrines]])-WWWW[[#This Row],['#_Non-functional latrines]]</f>
        <v>4</v>
      </c>
      <c r="CM392"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0.73529411764705888</v>
      </c>
      <c r="CN392"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200</v>
      </c>
      <c r="CO392"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392" s="874">
        <f>IF(WWWW[[#This Row],[Location Type 1]]="Village","NA",IF(WWWW[[#This Row],['#_Constructed/Existing latrines in TLS]]*50&gt;WWWW[[#This Row],['#_students at TLS_CFS]],WWWW[[#This Row],['#_students at TLS_CFS]],(WWWW[[#This Row],['#_Constructed/Existing latrines in TLS]]*50)))</f>
        <v>0</v>
      </c>
      <c r="CQ392" s="874">
        <f>ROUND(IF(WWWW[[#This Row],[Location Type 1]]="camp",WWWW[[#This Row],[Total PoP ]]/20,IF(WWWW[[#This Row],[Location Type 1]]="Temporary Location",WWWW[[#This Row],[Total PoP ]]/50,(WWWW[[#This Row],[Total PoP ]]/6))),0)</f>
        <v>5</v>
      </c>
      <c r="CR392" s="874">
        <f>IF(WWWW[[#This Row],[Total required Latrines]]-(WWWW[[#This Row],['#_Constructed latrines_by_WASHAgencies]]+WWWW[[#This Row],['#_Non Cluster partner latrines]])&lt;0,0,WWWW[[#This Row],[Total required Latrines]]-(WWWW[[#This Row],['#_Constructed latrines_by_WASHAgencies]]+WWWW[[#This Row],['#_Non Cluster partner latrines]]))</f>
        <v>1</v>
      </c>
      <c r="CS392" s="878">
        <f>1-WWWW[[#This Row],[% people access to functioning Latrine]]</f>
        <v>0.26470588235294112</v>
      </c>
      <c r="CT392" s="875">
        <f>IF(OR(WWWW[[#This Row],['#_Non-functional latrines]]="",WWWW[[#This Row],['#_Non-functional latrines]]=0),0,WWWW[[#This Row],['#_Non-functional latrines]]/(WWWW[[#This Row],['#_Constructed latrines_by_WASHAgencies]]+WWWW[[#This Row],['#_Non Cluster partner latrines]]))</f>
        <v>0</v>
      </c>
      <c r="CU392" s="870">
        <f>IF(500*(WWWW[[#This Row],['#_male hygiene promoters]]+WWWW[[#This Row],['#_female hygiene promoters]])&gt;WWWW[[#This Row],[Total PoP ]],WWWW[[#This Row],[Total PoP ]],500*(WWWW[[#This Row],['#_male hygiene promoters]]+WWWW[[#This Row],['#_female hygiene promoters]]))</f>
        <v>0</v>
      </c>
      <c r="CV392"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92"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92" s="874">
        <f>IF(WWWW[[#This Row],['# People with access to soap]]&gt;WWWW[[#This Row],['# People with access to Sanity Pads]],WWWW[[#This Row],['# People with access to soap]],WWWW[[#This Row],['# People with access to Sanity Pads]])</f>
        <v>0</v>
      </c>
      <c r="CY392"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92" s="876">
        <f>IF(WWWW[[#This Row],[HRP3]]/WWWW[[#This Row],[Total PoP ]]&gt;100%,100%,WWWW[[#This Row],[HRP3]]/WWWW[[#This Row],[Total PoP ]])</f>
        <v>0</v>
      </c>
      <c r="DA392" s="875">
        <f>1-WWWW[[#This Row],[Hygiene Coverage%]]</f>
        <v>1</v>
      </c>
      <c r="DB392" s="872">
        <f>WWWW[[#This Row],['# people reached by regular dedicated hygiene promotion_5]]/WWWW[[#This Row],[Total PoP ]]</f>
        <v>0</v>
      </c>
      <c r="DC392" s="872">
        <f>IF(WWWW[[#This Row],['#_households that received standard amount of soap for this quarter]]/WWWW[[#This Row],[Total HH]]&gt;1,1,WWWW[[#This Row],['#_households that received standard amount of soap for this quarter]]/WWWW[[#This Row],[Total HH]])</f>
        <v>0</v>
      </c>
      <c r="DD392" s="872">
        <f>IF(WWWW[[#This Row],['#_households that received standard amount of sanitary pads for this quarter]]/WWWW[[#This Row],[Total HH]]&gt;1,1,WWWW[[#This Row],['#_households that received standard amount of sanitary pads for this quarter]]/WWWW[[#This Row],[Total HH]])</f>
        <v>0</v>
      </c>
      <c r="DE392" s="874">
        <f>WWWW[[#This Row],['#_Constructed/Existing hand washing stations]]-WWWW[[#This Row],['#_Non-Functional_hand_washing_stations]]</f>
        <v>0</v>
      </c>
      <c r="DF392" s="879" t="e">
        <f>WWWW[[#This Row],[Total HH]]*#REF!</f>
        <v>#REF!</v>
      </c>
      <c r="DG392" s="870">
        <f>IF(WWWW[[#This Row],[Is sufficient soap available for TLS? (Yes/No)]]="yes",WWWW[[#This Row],['#_Constructed/Existing hand washing stations at TLS]],0)</f>
        <v>0</v>
      </c>
      <c r="DH392" s="702">
        <f>IF(WWWW[[#This Row],['# Functional hand washing stations during reporting period]]*100&gt;WWWW[[#This Row],[Total PoP ]],WWWW[[#This Row],[Total PoP ]],WWWW[[#This Row],['# Functional hand washing stations during reporting period]]*100)</f>
        <v>0</v>
      </c>
      <c r="DI392" s="702" t="str">
        <f>IF(WWWW[[#This Row],['#_students at TLS_CFS]]="","No","Yes")</f>
        <v>No</v>
      </c>
      <c r="DJ392" s="873">
        <f>VLOOKUP(WWWW[[#This Row],[Site Name]],SiteDB6[[Site Name]:[CCCM Management]],6,FALSE)</f>
        <v>0</v>
      </c>
      <c r="DK392" s="873">
        <f>VLOOKUP(WWWW[[#This Row],[Site Name]],SiteDB6[[Site Name]:[CCCM Focal Agency]],7,FALSE)</f>
        <v>0</v>
      </c>
      <c r="DL392" s="873" t="str">
        <f>VLOOKUP(WWWW[[#This Row],[Site Name]],SiteDB6[[Site Name]:[Location Type 1]],9,FALSE)</f>
        <v>Temporary location</v>
      </c>
      <c r="DM392" s="873" t="str">
        <f>VLOOKUP(WWWW[[#This Row],[Site Name]],SiteDB6[[Site Name]:[Type of Accommodation]],10,FALSE)</f>
        <v>Temporary location</v>
      </c>
      <c r="DN392" s="873">
        <f>VLOOKUP(WWWW[[#This Row],[Site Name]],SiteDB6[[Site Name]:[Ethnic or GCA/NGCA]],11,FALSE)</f>
        <v>0</v>
      </c>
      <c r="DO392" s="873">
        <f>VLOOKUP(WWWW[[#This Row],[Site Name]],SiteDB6[[Site Name]:[Lat]],12,FALSE)</f>
        <v>0</v>
      </c>
      <c r="DP392" s="873">
        <f>VLOOKUP(WWWW[[#This Row],[Site Name]],SiteDB6[[Site Name]:[Long]],13,FALSE)</f>
        <v>0</v>
      </c>
      <c r="DQ392" s="873" t="str">
        <f>VLOOKUP(WWWW[[#This Row],[Site Name]],SiteDB6[[Site Name]:[Pcode]],3,FALSE)</f>
        <v>MMR012003701505</v>
      </c>
      <c r="DR392" s="871" t="str">
        <f t="shared" si="13"/>
        <v>Covered</v>
      </c>
      <c r="DS392" s="871"/>
      <c r="DV392" s="661"/>
    </row>
    <row r="393" spans="1:126">
      <c r="A393" s="637" t="s">
        <v>2525</v>
      </c>
      <c r="B393" s="976" t="s">
        <v>317</v>
      </c>
      <c r="C393" s="976" t="s">
        <v>317</v>
      </c>
      <c r="D393" s="864"/>
      <c r="E393" s="865" t="s">
        <v>3014</v>
      </c>
      <c r="F393" s="864" t="s">
        <v>489</v>
      </c>
      <c r="G393" s="866" t="str">
        <f>VLOOKUP(WWWW[[#This Row],[Site Name]],SiteDB6[[Site Name]:[Location Type]],8,FALSE)</f>
        <v>New Temporary Site</v>
      </c>
      <c r="H393" s="864" t="s">
        <v>3178</v>
      </c>
      <c r="I393" s="867">
        <v>27</v>
      </c>
      <c r="J393" s="867">
        <v>119</v>
      </c>
      <c r="K393" s="868"/>
      <c r="L393" s="869"/>
      <c r="M393" s="867"/>
      <c r="N393" s="867"/>
      <c r="O393" s="867"/>
      <c r="P393" s="867"/>
      <c r="Q393" s="870"/>
      <c r="R393" s="867"/>
      <c r="S393" s="867"/>
      <c r="T393" s="379"/>
      <c r="U393" s="867"/>
      <c r="V393" s="867"/>
      <c r="W393" s="867"/>
      <c r="X393" s="867"/>
      <c r="Y393" s="867"/>
      <c r="Z393" s="867"/>
      <c r="AA393" s="867"/>
      <c r="AB393" s="867"/>
      <c r="AC393" s="867"/>
      <c r="AD393" s="867"/>
      <c r="AE393" s="867"/>
      <c r="AF393" s="867"/>
      <c r="AG393" s="867"/>
      <c r="AH393" s="867"/>
      <c r="AI393" s="867"/>
      <c r="AJ393" s="867"/>
      <c r="AK393" s="867"/>
      <c r="AL393" s="867"/>
      <c r="AM393" s="867"/>
      <c r="AN393" s="867"/>
      <c r="AO393" s="871"/>
      <c r="AP393" s="867"/>
      <c r="AQ393" s="867"/>
      <c r="AR393" s="872"/>
      <c r="AS393" s="867"/>
      <c r="AT393" s="867"/>
      <c r="AU393" s="867"/>
      <c r="AV393" s="867"/>
      <c r="AW393" s="867"/>
      <c r="AX393" s="873"/>
      <c r="AY393" s="871"/>
      <c r="AZ393" s="867"/>
      <c r="BA393" s="867"/>
      <c r="BB393" s="867"/>
      <c r="BC393" s="873"/>
      <c r="BD393" s="867"/>
      <c r="BE393" s="867"/>
      <c r="BF393" s="867"/>
      <c r="BG393" s="867"/>
      <c r="BH393" s="867"/>
      <c r="BI393" s="867"/>
      <c r="BJ393" s="867"/>
      <c r="BK393" s="867"/>
      <c r="BL393" s="867"/>
      <c r="BM393" s="873"/>
      <c r="BN393" s="874"/>
      <c r="BO393" s="872"/>
      <c r="BP393" s="873"/>
      <c r="BQ393" s="875" t="str">
        <f>IFERROR(WWWW[[#This Row],['#_Water sources treated]]/WWWW[[#This Row],['#_Water sources tested for contamination]],"no test")</f>
        <v>no test</v>
      </c>
      <c r="BR393" s="872" t="str">
        <f>IFERROR(WWWW[[#This Row],['#_Household received remediation action due to contamination]]/WWWW[[#This Row],['#_Household water samples tested for contamination]],"no test")</f>
        <v>no test</v>
      </c>
      <c r="BS393" s="874" t="str">
        <f>IF(AND(WWWW[[#This Row],[% of water sources treated]]="no test",WWWW[[#This Row],[% Household received corrective actions]]="no test"),"No Test","Tested")</f>
        <v>No Test</v>
      </c>
      <c r="BT393" s="874">
        <f>WWWW[[#This Row],['#_Constructed/existing protected hand dug well]]-WWWW[[#This Row],['#_Non-functional protected hand dug well]]</f>
        <v>0</v>
      </c>
      <c r="BU393" s="874">
        <f>(WWWW[[#This Row],['#_Constructed/Existing tube wells/boreholes/handpumps_WASH_agency]]+WWWW[[#This Row],['#_Non-Cluster partner water tube-wells/boreholes/handpumps]])-WWWW[[#This Row],['#_Non-functional tube wells/boreholes/handpumps]]</f>
        <v>0</v>
      </c>
      <c r="BV393" s="874">
        <f>WWWW[[#This Row],['#_Constructed/Existingwater storage tank with gravity fed reticulation system]]-WWWW[[#This Row],['#_Non-functional storage tank gravity fed reticulation system]]</f>
        <v>0</v>
      </c>
      <c r="BW393" s="874">
        <f>WWWW[[#This Row],['#_Water boating or water trucking]]</f>
        <v>0</v>
      </c>
      <c r="BX393" s="874">
        <f>WWWW[[#This Row],['#_Constructed/Existing water distribution system from river or natural spring]]</f>
        <v>0</v>
      </c>
      <c r="BY393"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93"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93" s="872">
        <f>IF(WWWW[[#This Row],[Location Type 1]]="Village",WWWW[[#This Row],[Access to safe drinking water for Village]],WWWW[[#This Row],[Access to safe drinking water for Camp]])</f>
        <v>0</v>
      </c>
      <c r="CB393" s="870">
        <f>WWWW[[#This Row],[%Equitable and continuous access to sufficient quantity of safe drinking water]]*WWWW[[#This Row],[Total PoP ]]</f>
        <v>0</v>
      </c>
      <c r="CC393" s="872">
        <f>IF((WWWW[[#This Row],['#_Constructed/Existing protected/fenced ponds]]*250)/WWWW[[#This Row],[Total PoP ]]&gt;1,1,(WWWW[[#This Row],['#_Constructed/Existing protected/fenced ponds]]*250)/WWWW[[#This Row],[Total PoP ]])</f>
        <v>0</v>
      </c>
      <c r="CD393" s="870">
        <f>WWWW[[#This Row],[% Access to unimproved water points]]*WWWW[[#This Row],[Total PoP ]]</f>
        <v>0</v>
      </c>
      <c r="CE393"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93"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93" s="870">
        <f>WWWW[[#This Row],[HRP1]]/500</f>
        <v>0</v>
      </c>
      <c r="CH393" s="876">
        <f>1-WWWW[[#This Row],[% Equitable and continuous access to sufficient quantity of domestic water]]</f>
        <v>1</v>
      </c>
      <c r="CI393" s="870">
        <f>WWWW[[#This Row],[%equitable and continuous access to sufficient quantity of safe drinking and domestic water''s GAP]]*WWWW[[#This Row],[Total PoP ]]</f>
        <v>119</v>
      </c>
      <c r="CJ393" s="874">
        <f>IF(WWWW[[#This Row],[Total required water points]]-WWWW[[#This Row],['#Water points coverage]]&lt;0,0,WWWW[[#This Row],[Total required water points]]-WWWW[[#This Row],['#Water points coverage]])</f>
        <v>1</v>
      </c>
      <c r="CK393" s="874">
        <f>ROUND(IF(WWWW[[#This Row],[Total PoP ]]&lt;500,1,WWWW[[#This Row],[Total PoP ]]/500),0)</f>
        <v>1</v>
      </c>
      <c r="CL393" s="874">
        <f>(WWWW[[#This Row],['#_Constructed latrines_by_WASHAgencies]]+WWWW[[#This Row],['#_Non Cluster partner latrines]])-WWWW[[#This Row],['#_Non-functional latrines]]</f>
        <v>0</v>
      </c>
      <c r="CM393"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93"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93"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393" s="874">
        <f>IF(WWWW[[#This Row],[Location Type 1]]="Village","NA",IF(WWWW[[#This Row],['#_Constructed/Existing latrines in TLS]]*50&gt;WWWW[[#This Row],['#_students at TLS_CFS]],WWWW[[#This Row],['#_students at TLS_CFS]],(WWWW[[#This Row],['#_Constructed/Existing latrines in TLS]]*50)))</f>
        <v>0</v>
      </c>
      <c r="CQ393" s="874">
        <f>ROUND(IF(WWWW[[#This Row],[Location Type 1]]="camp",WWWW[[#This Row],[Total PoP ]]/20,IF(WWWW[[#This Row],[Location Type 1]]="Temporary Location",WWWW[[#This Row],[Total PoP ]]/50,(WWWW[[#This Row],[Total PoP ]]/6))),0)</f>
        <v>2</v>
      </c>
      <c r="CR393" s="874">
        <f>IF(WWWW[[#This Row],[Total required Latrines]]-(WWWW[[#This Row],['#_Constructed latrines_by_WASHAgencies]]+WWWW[[#This Row],['#_Non Cluster partner latrines]])&lt;0,0,WWWW[[#This Row],[Total required Latrines]]-(WWWW[[#This Row],['#_Constructed latrines_by_WASHAgencies]]+WWWW[[#This Row],['#_Non Cluster partner latrines]]))</f>
        <v>2</v>
      </c>
      <c r="CS393" s="878">
        <f>1-WWWW[[#This Row],[% people access to functioning Latrine]]</f>
        <v>1</v>
      </c>
      <c r="CT393" s="875">
        <f>IF(OR(WWWW[[#This Row],['#_Non-functional latrines]]="",WWWW[[#This Row],['#_Non-functional latrines]]=0),0,WWWW[[#This Row],['#_Non-functional latrines]]/(WWWW[[#This Row],['#_Constructed latrines_by_WASHAgencies]]+WWWW[[#This Row],['#_Non Cluster partner latrines]]))</f>
        <v>0</v>
      </c>
      <c r="CU393" s="870">
        <f>IF(500*(WWWW[[#This Row],['#_male hygiene promoters]]+WWWW[[#This Row],['#_female hygiene promoters]])&gt;WWWW[[#This Row],[Total PoP ]],WWWW[[#This Row],[Total PoP ]],500*(WWWW[[#This Row],['#_male hygiene promoters]]+WWWW[[#This Row],['#_female hygiene promoters]]))</f>
        <v>0</v>
      </c>
      <c r="CV393"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93"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93" s="874">
        <f>IF(WWWW[[#This Row],['# People with access to soap]]&gt;WWWW[[#This Row],['# People with access to Sanity Pads]],WWWW[[#This Row],['# People with access to soap]],WWWW[[#This Row],['# People with access to Sanity Pads]])</f>
        <v>0</v>
      </c>
      <c r="CY393"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93" s="876">
        <f>IF(WWWW[[#This Row],[HRP3]]/WWWW[[#This Row],[Total PoP ]]&gt;100%,100%,WWWW[[#This Row],[HRP3]]/WWWW[[#This Row],[Total PoP ]])</f>
        <v>0</v>
      </c>
      <c r="DA393" s="875">
        <f>1-WWWW[[#This Row],[Hygiene Coverage%]]</f>
        <v>1</v>
      </c>
      <c r="DB393" s="872">
        <f>WWWW[[#This Row],['# people reached by regular dedicated hygiene promotion_5]]/WWWW[[#This Row],[Total PoP ]]</f>
        <v>0</v>
      </c>
      <c r="DC393" s="872">
        <f>IF(WWWW[[#This Row],['#_households that received standard amount of soap for this quarter]]/WWWW[[#This Row],[Total HH]]&gt;1,1,WWWW[[#This Row],['#_households that received standard amount of soap for this quarter]]/WWWW[[#This Row],[Total HH]])</f>
        <v>0</v>
      </c>
      <c r="DD393" s="872">
        <f>IF(WWWW[[#This Row],['#_households that received standard amount of sanitary pads for this quarter]]/WWWW[[#This Row],[Total HH]]&gt;1,1,WWWW[[#This Row],['#_households that received standard amount of sanitary pads for this quarter]]/WWWW[[#This Row],[Total HH]])</f>
        <v>0</v>
      </c>
      <c r="DE393" s="874">
        <f>WWWW[[#This Row],['#_Constructed/Existing hand washing stations]]-WWWW[[#This Row],['#_Non-Functional_hand_washing_stations]]</f>
        <v>0</v>
      </c>
      <c r="DF393" s="879" t="e">
        <f>WWWW[[#This Row],[Total HH]]*#REF!</f>
        <v>#REF!</v>
      </c>
      <c r="DG393" s="870">
        <f>IF(WWWW[[#This Row],[Is sufficient soap available for TLS? (Yes/No)]]="yes",WWWW[[#This Row],['#_Constructed/Existing hand washing stations at TLS]],0)</f>
        <v>0</v>
      </c>
      <c r="DH393" s="702">
        <f>IF(WWWW[[#This Row],['# Functional hand washing stations during reporting period]]*100&gt;WWWW[[#This Row],[Total PoP ]],WWWW[[#This Row],[Total PoP ]],WWWW[[#This Row],['# Functional hand washing stations during reporting period]]*100)</f>
        <v>0</v>
      </c>
      <c r="DI393" s="702" t="str">
        <f>IF(WWWW[[#This Row],['#_students at TLS_CFS]]="","No","Yes")</f>
        <v>No</v>
      </c>
      <c r="DJ393" s="873">
        <f>VLOOKUP(WWWW[[#This Row],[Site Name]],SiteDB6[[Site Name]:[CCCM Management]],6,FALSE)</f>
        <v>0</v>
      </c>
      <c r="DK393" s="873">
        <f>VLOOKUP(WWWW[[#This Row],[Site Name]],SiteDB6[[Site Name]:[CCCM Focal Agency]],7,FALSE)</f>
        <v>0</v>
      </c>
      <c r="DL393" s="873" t="str">
        <f>VLOOKUP(WWWW[[#This Row],[Site Name]],SiteDB6[[Site Name]:[Location Type 1]],9,FALSE)</f>
        <v>Temporary location</v>
      </c>
      <c r="DM393" s="873" t="str">
        <f>VLOOKUP(WWWW[[#This Row],[Site Name]],SiteDB6[[Site Name]:[Type of Accommodation]],10,FALSE)</f>
        <v>Temporary location</v>
      </c>
      <c r="DN393" s="873">
        <f>VLOOKUP(WWWW[[#This Row],[Site Name]],SiteDB6[[Site Name]:[Ethnic or GCA/NGCA]],11,FALSE)</f>
        <v>0</v>
      </c>
      <c r="DO393" s="873">
        <f>VLOOKUP(WWWW[[#This Row],[Site Name]],SiteDB6[[Site Name]:[Lat]],12,FALSE)</f>
        <v>0</v>
      </c>
      <c r="DP393" s="873">
        <f>VLOOKUP(WWWW[[#This Row],[Site Name]],SiteDB6[[Site Name]:[Long]],13,FALSE)</f>
        <v>0</v>
      </c>
      <c r="DQ393" s="873" t="str">
        <f>VLOOKUP(WWWW[[#This Row],[Site Name]],SiteDB6[[Site Name]:[Pcode]],3,FALSE)</f>
        <v>MMR012003701505</v>
      </c>
      <c r="DR393" s="871" t="str">
        <f t="shared" si="13"/>
        <v>Notcovered</v>
      </c>
      <c r="DS393" s="871"/>
      <c r="DV393" s="661"/>
    </row>
    <row r="394" spans="1:126">
      <c r="A394" s="637" t="s">
        <v>2525</v>
      </c>
      <c r="B394" s="976" t="s">
        <v>317</v>
      </c>
      <c r="C394" s="976" t="s">
        <v>317</v>
      </c>
      <c r="D394" s="864"/>
      <c r="E394" s="865" t="s">
        <v>3014</v>
      </c>
      <c r="F394" s="864" t="s">
        <v>489</v>
      </c>
      <c r="G394" s="866" t="str">
        <f>VLOOKUP(WWWW[[#This Row],[Site Name]],SiteDB6[[Site Name]:[Location Type]],8,FALSE)</f>
        <v>New Temporary Site</v>
      </c>
      <c r="H394" s="864" t="s">
        <v>3179</v>
      </c>
      <c r="I394" s="867">
        <v>132</v>
      </c>
      <c r="J394" s="867">
        <v>549</v>
      </c>
      <c r="K394" s="868"/>
      <c r="L394" s="869"/>
      <c r="M394" s="867"/>
      <c r="N394" s="867"/>
      <c r="O394" s="867"/>
      <c r="P394" s="867"/>
      <c r="Q394" s="870"/>
      <c r="R394" s="867"/>
      <c r="S394" s="867"/>
      <c r="T394" s="379"/>
      <c r="U394" s="867"/>
      <c r="V394" s="867"/>
      <c r="W394" s="867"/>
      <c r="X394" s="867"/>
      <c r="Y394" s="867"/>
      <c r="Z394" s="867"/>
      <c r="AA394" s="867"/>
      <c r="AB394" s="867"/>
      <c r="AC394" s="867"/>
      <c r="AD394" s="867"/>
      <c r="AE394" s="867"/>
      <c r="AF394" s="867"/>
      <c r="AG394" s="867"/>
      <c r="AH394" s="867"/>
      <c r="AI394" s="867"/>
      <c r="AJ394" s="867"/>
      <c r="AK394" s="867"/>
      <c r="AL394" s="867"/>
      <c r="AM394" s="867"/>
      <c r="AN394" s="867"/>
      <c r="AO394" s="871"/>
      <c r="AP394" s="867"/>
      <c r="AQ394" s="867"/>
      <c r="AR394" s="872"/>
      <c r="AS394" s="867"/>
      <c r="AT394" s="867"/>
      <c r="AU394" s="867"/>
      <c r="AV394" s="867"/>
      <c r="AW394" s="867"/>
      <c r="AX394" s="873"/>
      <c r="AY394" s="871"/>
      <c r="AZ394" s="867"/>
      <c r="BA394" s="867"/>
      <c r="BB394" s="867"/>
      <c r="BC394" s="873"/>
      <c r="BD394" s="867"/>
      <c r="BE394" s="867"/>
      <c r="BF394" s="867"/>
      <c r="BG394" s="867"/>
      <c r="BH394" s="867"/>
      <c r="BI394" s="867"/>
      <c r="BJ394" s="867"/>
      <c r="BK394" s="867"/>
      <c r="BL394" s="867"/>
      <c r="BM394" s="873"/>
      <c r="BN394" s="874"/>
      <c r="BO394" s="872"/>
      <c r="BP394" s="873"/>
      <c r="BQ394" s="875" t="str">
        <f>IFERROR(WWWW[[#This Row],['#_Water sources treated]]/WWWW[[#This Row],['#_Water sources tested for contamination]],"no test")</f>
        <v>no test</v>
      </c>
      <c r="BR394" s="872" t="str">
        <f>IFERROR(WWWW[[#This Row],['#_Household received remediation action due to contamination]]/WWWW[[#This Row],['#_Household water samples tested for contamination]],"no test")</f>
        <v>no test</v>
      </c>
      <c r="BS394" s="874" t="str">
        <f>IF(AND(WWWW[[#This Row],[% of water sources treated]]="no test",WWWW[[#This Row],[% Household received corrective actions]]="no test"),"No Test","Tested")</f>
        <v>No Test</v>
      </c>
      <c r="BT394" s="874">
        <f>WWWW[[#This Row],['#_Constructed/existing protected hand dug well]]-WWWW[[#This Row],['#_Non-functional protected hand dug well]]</f>
        <v>0</v>
      </c>
      <c r="BU394" s="874">
        <f>(WWWW[[#This Row],['#_Constructed/Existing tube wells/boreholes/handpumps_WASH_agency]]+WWWW[[#This Row],['#_Non-Cluster partner water tube-wells/boreholes/handpumps]])-WWWW[[#This Row],['#_Non-functional tube wells/boreholes/handpumps]]</f>
        <v>0</v>
      </c>
      <c r="BV394" s="874">
        <f>WWWW[[#This Row],['#_Constructed/Existingwater storage tank with gravity fed reticulation system]]-WWWW[[#This Row],['#_Non-functional storage tank gravity fed reticulation system]]</f>
        <v>0</v>
      </c>
      <c r="BW394" s="874">
        <f>WWWW[[#This Row],['#_Water boating or water trucking]]</f>
        <v>0</v>
      </c>
      <c r="BX394" s="874">
        <f>WWWW[[#This Row],['#_Constructed/Existing water distribution system from river or natural spring]]</f>
        <v>0</v>
      </c>
      <c r="BY394"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94"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94" s="872">
        <f>IF(WWWW[[#This Row],[Location Type 1]]="Village",WWWW[[#This Row],[Access to safe drinking water for Village]],WWWW[[#This Row],[Access to safe drinking water for Camp]])</f>
        <v>0</v>
      </c>
      <c r="CB394" s="870">
        <f>WWWW[[#This Row],[%Equitable and continuous access to sufficient quantity of safe drinking water]]*WWWW[[#This Row],[Total PoP ]]</f>
        <v>0</v>
      </c>
      <c r="CC394" s="872">
        <f>IF((WWWW[[#This Row],['#_Constructed/Existing protected/fenced ponds]]*250)/WWWW[[#This Row],[Total PoP ]]&gt;1,1,(WWWW[[#This Row],['#_Constructed/Existing protected/fenced ponds]]*250)/WWWW[[#This Row],[Total PoP ]])</f>
        <v>0</v>
      </c>
      <c r="CD394" s="870">
        <f>WWWW[[#This Row],[% Access to unimproved water points]]*WWWW[[#This Row],[Total PoP ]]</f>
        <v>0</v>
      </c>
      <c r="CE394"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94"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94" s="870">
        <f>WWWW[[#This Row],[HRP1]]/500</f>
        <v>0</v>
      </c>
      <c r="CH394" s="876">
        <f>1-WWWW[[#This Row],[% Equitable and continuous access to sufficient quantity of domestic water]]</f>
        <v>1</v>
      </c>
      <c r="CI394" s="870">
        <f>WWWW[[#This Row],[%equitable and continuous access to sufficient quantity of safe drinking and domestic water''s GAP]]*WWWW[[#This Row],[Total PoP ]]</f>
        <v>549</v>
      </c>
      <c r="CJ394" s="874">
        <f>IF(WWWW[[#This Row],[Total required water points]]-WWWW[[#This Row],['#Water points coverage]]&lt;0,0,WWWW[[#This Row],[Total required water points]]-WWWW[[#This Row],['#Water points coverage]])</f>
        <v>1</v>
      </c>
      <c r="CK394" s="874">
        <f>ROUND(IF(WWWW[[#This Row],[Total PoP ]]&lt;500,1,WWWW[[#This Row],[Total PoP ]]/500),0)</f>
        <v>1</v>
      </c>
      <c r="CL394" s="874">
        <f>(WWWW[[#This Row],['#_Constructed latrines_by_WASHAgencies]]+WWWW[[#This Row],['#_Non Cluster partner latrines]])-WWWW[[#This Row],['#_Non-functional latrines]]</f>
        <v>0</v>
      </c>
      <c r="CM394"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94"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94"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394" s="874">
        <f>IF(WWWW[[#This Row],[Location Type 1]]="Village","NA",IF(WWWW[[#This Row],['#_Constructed/Existing latrines in TLS]]*50&gt;WWWW[[#This Row],['#_students at TLS_CFS]],WWWW[[#This Row],['#_students at TLS_CFS]],(WWWW[[#This Row],['#_Constructed/Existing latrines in TLS]]*50)))</f>
        <v>0</v>
      </c>
      <c r="CQ394" s="874">
        <f>ROUND(IF(WWWW[[#This Row],[Location Type 1]]="camp",WWWW[[#This Row],[Total PoP ]]/20,IF(WWWW[[#This Row],[Location Type 1]]="Temporary Location",WWWW[[#This Row],[Total PoP ]]/50,(WWWW[[#This Row],[Total PoP ]]/6))),0)</f>
        <v>11</v>
      </c>
      <c r="CR394" s="874">
        <f>IF(WWWW[[#This Row],[Total required Latrines]]-(WWWW[[#This Row],['#_Constructed latrines_by_WASHAgencies]]+WWWW[[#This Row],['#_Non Cluster partner latrines]])&lt;0,0,WWWW[[#This Row],[Total required Latrines]]-(WWWW[[#This Row],['#_Constructed latrines_by_WASHAgencies]]+WWWW[[#This Row],['#_Non Cluster partner latrines]]))</f>
        <v>11</v>
      </c>
      <c r="CS394" s="878">
        <f>1-WWWW[[#This Row],[% people access to functioning Latrine]]</f>
        <v>1</v>
      </c>
      <c r="CT394" s="875">
        <f>IF(OR(WWWW[[#This Row],['#_Non-functional latrines]]="",WWWW[[#This Row],['#_Non-functional latrines]]=0),0,WWWW[[#This Row],['#_Non-functional latrines]]/(WWWW[[#This Row],['#_Constructed latrines_by_WASHAgencies]]+WWWW[[#This Row],['#_Non Cluster partner latrines]]))</f>
        <v>0</v>
      </c>
      <c r="CU394" s="870">
        <f>IF(500*(WWWW[[#This Row],['#_male hygiene promoters]]+WWWW[[#This Row],['#_female hygiene promoters]])&gt;WWWW[[#This Row],[Total PoP ]],WWWW[[#This Row],[Total PoP ]],500*(WWWW[[#This Row],['#_male hygiene promoters]]+WWWW[[#This Row],['#_female hygiene promoters]]))</f>
        <v>0</v>
      </c>
      <c r="CV394"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94"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94" s="874">
        <f>IF(WWWW[[#This Row],['# People with access to soap]]&gt;WWWW[[#This Row],['# People with access to Sanity Pads]],WWWW[[#This Row],['# People with access to soap]],WWWW[[#This Row],['# People with access to Sanity Pads]])</f>
        <v>0</v>
      </c>
      <c r="CY394"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94" s="876">
        <f>IF(WWWW[[#This Row],[HRP3]]/WWWW[[#This Row],[Total PoP ]]&gt;100%,100%,WWWW[[#This Row],[HRP3]]/WWWW[[#This Row],[Total PoP ]])</f>
        <v>0</v>
      </c>
      <c r="DA394" s="875">
        <f>1-WWWW[[#This Row],[Hygiene Coverage%]]</f>
        <v>1</v>
      </c>
      <c r="DB394" s="872">
        <f>WWWW[[#This Row],['# people reached by regular dedicated hygiene promotion_5]]/WWWW[[#This Row],[Total PoP ]]</f>
        <v>0</v>
      </c>
      <c r="DC394" s="872">
        <f>IF(WWWW[[#This Row],['#_households that received standard amount of soap for this quarter]]/WWWW[[#This Row],[Total HH]]&gt;1,1,WWWW[[#This Row],['#_households that received standard amount of soap for this quarter]]/WWWW[[#This Row],[Total HH]])</f>
        <v>0</v>
      </c>
      <c r="DD394" s="872">
        <f>IF(WWWW[[#This Row],['#_households that received standard amount of sanitary pads for this quarter]]/WWWW[[#This Row],[Total HH]]&gt;1,1,WWWW[[#This Row],['#_households that received standard amount of sanitary pads for this quarter]]/WWWW[[#This Row],[Total HH]])</f>
        <v>0</v>
      </c>
      <c r="DE394" s="874">
        <f>WWWW[[#This Row],['#_Constructed/Existing hand washing stations]]-WWWW[[#This Row],['#_Non-Functional_hand_washing_stations]]</f>
        <v>0</v>
      </c>
      <c r="DF394" s="879" t="e">
        <f>WWWW[[#This Row],[Total HH]]*#REF!</f>
        <v>#REF!</v>
      </c>
      <c r="DG394" s="870">
        <f>IF(WWWW[[#This Row],[Is sufficient soap available for TLS? (Yes/No)]]="yes",WWWW[[#This Row],['#_Constructed/Existing hand washing stations at TLS]],0)</f>
        <v>0</v>
      </c>
      <c r="DH394" s="702">
        <f>IF(WWWW[[#This Row],['# Functional hand washing stations during reporting period]]*100&gt;WWWW[[#This Row],[Total PoP ]],WWWW[[#This Row],[Total PoP ]],WWWW[[#This Row],['# Functional hand washing stations during reporting period]]*100)</f>
        <v>0</v>
      </c>
      <c r="DI394" s="702" t="str">
        <f>IF(WWWW[[#This Row],['#_students at TLS_CFS]]="","No","Yes")</f>
        <v>No</v>
      </c>
      <c r="DJ394" s="873">
        <f>VLOOKUP(WWWW[[#This Row],[Site Name]],SiteDB6[[Site Name]:[CCCM Management]],6,FALSE)</f>
        <v>0</v>
      </c>
      <c r="DK394" s="873">
        <f>VLOOKUP(WWWW[[#This Row],[Site Name]],SiteDB6[[Site Name]:[CCCM Focal Agency]],7,FALSE)</f>
        <v>0</v>
      </c>
      <c r="DL394" s="873" t="str">
        <f>VLOOKUP(WWWW[[#This Row],[Site Name]],SiteDB6[[Site Name]:[Location Type 1]],9,FALSE)</f>
        <v>Temporary location</v>
      </c>
      <c r="DM394" s="873" t="str">
        <f>VLOOKUP(WWWW[[#This Row],[Site Name]],SiteDB6[[Site Name]:[Type of Accommodation]],10,FALSE)</f>
        <v>Temporary location</v>
      </c>
      <c r="DN394" s="873">
        <f>VLOOKUP(WWWW[[#This Row],[Site Name]],SiteDB6[[Site Name]:[Ethnic or GCA/NGCA]],11,FALSE)</f>
        <v>0</v>
      </c>
      <c r="DO394" s="873">
        <f>VLOOKUP(WWWW[[#This Row],[Site Name]],SiteDB6[[Site Name]:[Lat]],12,FALSE)</f>
        <v>0</v>
      </c>
      <c r="DP394" s="873">
        <f>VLOOKUP(WWWW[[#This Row],[Site Name]],SiteDB6[[Site Name]:[Long]],13,FALSE)</f>
        <v>0</v>
      </c>
      <c r="DQ394" s="873" t="str">
        <f>VLOOKUP(WWWW[[#This Row],[Site Name]],SiteDB6[[Site Name]:[Pcode]],3,FALSE)</f>
        <v>MMR012003701505</v>
      </c>
      <c r="DR394" s="871" t="str">
        <f t="shared" si="13"/>
        <v>Notcovered</v>
      </c>
      <c r="DS394" s="871"/>
      <c r="DV394" s="661"/>
    </row>
    <row r="395" spans="1:126">
      <c r="A395" s="637" t="s">
        <v>2525</v>
      </c>
      <c r="B395" s="976" t="s">
        <v>317</v>
      </c>
      <c r="C395" s="976" t="s">
        <v>317</v>
      </c>
      <c r="D395" s="864"/>
      <c r="E395" s="865" t="s">
        <v>3014</v>
      </c>
      <c r="F395" s="864" t="s">
        <v>489</v>
      </c>
      <c r="G395" s="866" t="str">
        <f>VLOOKUP(WWWW[[#This Row],[Site Name]],SiteDB6[[Site Name]:[Location Type]],8,FALSE)</f>
        <v>New Temporary Site</v>
      </c>
      <c r="H395" s="864" t="s">
        <v>3180</v>
      </c>
      <c r="I395" s="867">
        <v>39</v>
      </c>
      <c r="J395" s="867">
        <v>139</v>
      </c>
      <c r="K395" s="868"/>
      <c r="L395" s="869"/>
      <c r="M395" s="867"/>
      <c r="N395" s="867"/>
      <c r="O395" s="867"/>
      <c r="P395" s="867"/>
      <c r="Q395" s="870"/>
      <c r="R395" s="867"/>
      <c r="S395" s="867"/>
      <c r="T395" s="379"/>
      <c r="U395" s="867"/>
      <c r="V395" s="867"/>
      <c r="W395" s="867"/>
      <c r="X395" s="867"/>
      <c r="Y395" s="867"/>
      <c r="Z395" s="867"/>
      <c r="AA395" s="867"/>
      <c r="AB395" s="867"/>
      <c r="AC395" s="867"/>
      <c r="AD395" s="867"/>
      <c r="AE395" s="867"/>
      <c r="AF395" s="867"/>
      <c r="AG395" s="867"/>
      <c r="AH395" s="867"/>
      <c r="AI395" s="867"/>
      <c r="AJ395" s="867"/>
      <c r="AK395" s="867"/>
      <c r="AL395" s="867"/>
      <c r="AM395" s="867"/>
      <c r="AN395" s="867"/>
      <c r="AO395" s="871"/>
      <c r="AP395" s="867"/>
      <c r="AQ395" s="867"/>
      <c r="AR395" s="872"/>
      <c r="AS395" s="867"/>
      <c r="AT395" s="867"/>
      <c r="AU395" s="867"/>
      <c r="AV395" s="867"/>
      <c r="AW395" s="867"/>
      <c r="AX395" s="873"/>
      <c r="AY395" s="871"/>
      <c r="AZ395" s="867"/>
      <c r="BA395" s="867"/>
      <c r="BB395" s="867"/>
      <c r="BC395" s="873"/>
      <c r="BD395" s="867"/>
      <c r="BE395" s="867"/>
      <c r="BF395" s="867"/>
      <c r="BG395" s="867"/>
      <c r="BH395" s="867"/>
      <c r="BI395" s="867"/>
      <c r="BJ395" s="867"/>
      <c r="BK395" s="867"/>
      <c r="BL395" s="867"/>
      <c r="BM395" s="873"/>
      <c r="BN395" s="874"/>
      <c r="BO395" s="872"/>
      <c r="BP395" s="873"/>
      <c r="BQ395" s="875" t="str">
        <f>IFERROR(WWWW[[#This Row],['#_Water sources treated]]/WWWW[[#This Row],['#_Water sources tested for contamination]],"no test")</f>
        <v>no test</v>
      </c>
      <c r="BR395" s="872" t="str">
        <f>IFERROR(WWWW[[#This Row],['#_Household received remediation action due to contamination]]/WWWW[[#This Row],['#_Household water samples tested for contamination]],"no test")</f>
        <v>no test</v>
      </c>
      <c r="BS395" s="874" t="str">
        <f>IF(AND(WWWW[[#This Row],[% of water sources treated]]="no test",WWWW[[#This Row],[% Household received corrective actions]]="no test"),"No Test","Tested")</f>
        <v>No Test</v>
      </c>
      <c r="BT395" s="874">
        <f>WWWW[[#This Row],['#_Constructed/existing protected hand dug well]]-WWWW[[#This Row],['#_Non-functional protected hand dug well]]</f>
        <v>0</v>
      </c>
      <c r="BU395" s="874">
        <f>(WWWW[[#This Row],['#_Constructed/Existing tube wells/boreholes/handpumps_WASH_agency]]+WWWW[[#This Row],['#_Non-Cluster partner water tube-wells/boreholes/handpumps]])-WWWW[[#This Row],['#_Non-functional tube wells/boreholes/handpumps]]</f>
        <v>0</v>
      </c>
      <c r="BV395" s="874">
        <f>WWWW[[#This Row],['#_Constructed/Existingwater storage tank with gravity fed reticulation system]]-WWWW[[#This Row],['#_Non-functional storage tank gravity fed reticulation system]]</f>
        <v>0</v>
      </c>
      <c r="BW395" s="874">
        <f>WWWW[[#This Row],['#_Water boating or water trucking]]</f>
        <v>0</v>
      </c>
      <c r="BX395" s="874">
        <f>WWWW[[#This Row],['#_Constructed/Existing water distribution system from river or natural spring]]</f>
        <v>0</v>
      </c>
      <c r="BY395"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95"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95" s="872">
        <f>IF(WWWW[[#This Row],[Location Type 1]]="Village",WWWW[[#This Row],[Access to safe drinking water for Village]],WWWW[[#This Row],[Access to safe drinking water for Camp]])</f>
        <v>0</v>
      </c>
      <c r="CB395" s="870">
        <f>WWWW[[#This Row],[%Equitable and continuous access to sufficient quantity of safe drinking water]]*WWWW[[#This Row],[Total PoP ]]</f>
        <v>0</v>
      </c>
      <c r="CC395" s="872">
        <f>IF((WWWW[[#This Row],['#_Constructed/Existing protected/fenced ponds]]*250)/WWWW[[#This Row],[Total PoP ]]&gt;1,1,(WWWW[[#This Row],['#_Constructed/Existing protected/fenced ponds]]*250)/WWWW[[#This Row],[Total PoP ]])</f>
        <v>0</v>
      </c>
      <c r="CD395" s="870">
        <f>WWWW[[#This Row],[% Access to unimproved water points]]*WWWW[[#This Row],[Total PoP ]]</f>
        <v>0</v>
      </c>
      <c r="CE395"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95"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95" s="870">
        <f>WWWW[[#This Row],[HRP1]]/500</f>
        <v>0</v>
      </c>
      <c r="CH395" s="876">
        <f>1-WWWW[[#This Row],[% Equitable and continuous access to sufficient quantity of domestic water]]</f>
        <v>1</v>
      </c>
      <c r="CI395" s="870">
        <f>WWWW[[#This Row],[%equitable and continuous access to sufficient quantity of safe drinking and domestic water''s GAP]]*WWWW[[#This Row],[Total PoP ]]</f>
        <v>139</v>
      </c>
      <c r="CJ395" s="874">
        <f>IF(WWWW[[#This Row],[Total required water points]]-WWWW[[#This Row],['#Water points coverage]]&lt;0,0,WWWW[[#This Row],[Total required water points]]-WWWW[[#This Row],['#Water points coverage]])</f>
        <v>1</v>
      </c>
      <c r="CK395" s="874">
        <f>ROUND(IF(WWWW[[#This Row],[Total PoP ]]&lt;500,1,WWWW[[#This Row],[Total PoP ]]/500),0)</f>
        <v>1</v>
      </c>
      <c r="CL395" s="874">
        <f>(WWWW[[#This Row],['#_Constructed latrines_by_WASHAgencies]]+WWWW[[#This Row],['#_Non Cluster partner latrines]])-WWWW[[#This Row],['#_Non-functional latrines]]</f>
        <v>0</v>
      </c>
      <c r="CM395"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95"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95"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395" s="874">
        <f>IF(WWWW[[#This Row],[Location Type 1]]="Village","NA",IF(WWWW[[#This Row],['#_Constructed/Existing latrines in TLS]]*50&gt;WWWW[[#This Row],['#_students at TLS_CFS]],WWWW[[#This Row],['#_students at TLS_CFS]],(WWWW[[#This Row],['#_Constructed/Existing latrines in TLS]]*50)))</f>
        <v>0</v>
      </c>
      <c r="CQ395" s="874">
        <f>ROUND(IF(WWWW[[#This Row],[Location Type 1]]="camp",WWWW[[#This Row],[Total PoP ]]/20,IF(WWWW[[#This Row],[Location Type 1]]="Temporary Location",WWWW[[#This Row],[Total PoP ]]/50,(WWWW[[#This Row],[Total PoP ]]/6))),0)</f>
        <v>3</v>
      </c>
      <c r="CR395" s="874">
        <f>IF(WWWW[[#This Row],[Total required Latrines]]-(WWWW[[#This Row],['#_Constructed latrines_by_WASHAgencies]]+WWWW[[#This Row],['#_Non Cluster partner latrines]])&lt;0,0,WWWW[[#This Row],[Total required Latrines]]-(WWWW[[#This Row],['#_Constructed latrines_by_WASHAgencies]]+WWWW[[#This Row],['#_Non Cluster partner latrines]]))</f>
        <v>3</v>
      </c>
      <c r="CS395" s="878">
        <f>1-WWWW[[#This Row],[% people access to functioning Latrine]]</f>
        <v>1</v>
      </c>
      <c r="CT395" s="875">
        <f>IF(OR(WWWW[[#This Row],['#_Non-functional latrines]]="",WWWW[[#This Row],['#_Non-functional latrines]]=0),0,WWWW[[#This Row],['#_Non-functional latrines]]/(WWWW[[#This Row],['#_Constructed latrines_by_WASHAgencies]]+WWWW[[#This Row],['#_Non Cluster partner latrines]]))</f>
        <v>0</v>
      </c>
      <c r="CU395" s="870">
        <f>IF(500*(WWWW[[#This Row],['#_male hygiene promoters]]+WWWW[[#This Row],['#_female hygiene promoters]])&gt;WWWW[[#This Row],[Total PoP ]],WWWW[[#This Row],[Total PoP ]],500*(WWWW[[#This Row],['#_male hygiene promoters]]+WWWW[[#This Row],['#_female hygiene promoters]]))</f>
        <v>0</v>
      </c>
      <c r="CV395"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95"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95" s="874">
        <f>IF(WWWW[[#This Row],['# People with access to soap]]&gt;WWWW[[#This Row],['# People with access to Sanity Pads]],WWWW[[#This Row],['# People with access to soap]],WWWW[[#This Row],['# People with access to Sanity Pads]])</f>
        <v>0</v>
      </c>
      <c r="CY395"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95" s="876">
        <f>IF(WWWW[[#This Row],[HRP3]]/WWWW[[#This Row],[Total PoP ]]&gt;100%,100%,WWWW[[#This Row],[HRP3]]/WWWW[[#This Row],[Total PoP ]])</f>
        <v>0</v>
      </c>
      <c r="DA395" s="875">
        <f>1-WWWW[[#This Row],[Hygiene Coverage%]]</f>
        <v>1</v>
      </c>
      <c r="DB395" s="872">
        <f>WWWW[[#This Row],['# people reached by regular dedicated hygiene promotion_5]]/WWWW[[#This Row],[Total PoP ]]</f>
        <v>0</v>
      </c>
      <c r="DC395" s="872">
        <f>IF(WWWW[[#This Row],['#_households that received standard amount of soap for this quarter]]/WWWW[[#This Row],[Total HH]]&gt;1,1,WWWW[[#This Row],['#_households that received standard amount of soap for this quarter]]/WWWW[[#This Row],[Total HH]])</f>
        <v>0</v>
      </c>
      <c r="DD395" s="872">
        <f>IF(WWWW[[#This Row],['#_households that received standard amount of sanitary pads for this quarter]]/WWWW[[#This Row],[Total HH]]&gt;1,1,WWWW[[#This Row],['#_households that received standard amount of sanitary pads for this quarter]]/WWWW[[#This Row],[Total HH]])</f>
        <v>0</v>
      </c>
      <c r="DE395" s="874">
        <f>WWWW[[#This Row],['#_Constructed/Existing hand washing stations]]-WWWW[[#This Row],['#_Non-Functional_hand_washing_stations]]</f>
        <v>0</v>
      </c>
      <c r="DF395" s="879" t="e">
        <f>WWWW[[#This Row],[Total HH]]*#REF!</f>
        <v>#REF!</v>
      </c>
      <c r="DG395" s="870">
        <f>IF(WWWW[[#This Row],[Is sufficient soap available for TLS? (Yes/No)]]="yes",WWWW[[#This Row],['#_Constructed/Existing hand washing stations at TLS]],0)</f>
        <v>0</v>
      </c>
      <c r="DH395" s="702">
        <f>IF(WWWW[[#This Row],['# Functional hand washing stations during reporting period]]*100&gt;WWWW[[#This Row],[Total PoP ]],WWWW[[#This Row],[Total PoP ]],WWWW[[#This Row],['# Functional hand washing stations during reporting period]]*100)</f>
        <v>0</v>
      </c>
      <c r="DI395" s="702" t="str">
        <f>IF(WWWW[[#This Row],['#_students at TLS_CFS]]="","No","Yes")</f>
        <v>No</v>
      </c>
      <c r="DJ395" s="873">
        <f>VLOOKUP(WWWW[[#This Row],[Site Name]],SiteDB6[[Site Name]:[CCCM Management]],6,FALSE)</f>
        <v>0</v>
      </c>
      <c r="DK395" s="873">
        <f>VLOOKUP(WWWW[[#This Row],[Site Name]],SiteDB6[[Site Name]:[CCCM Focal Agency]],7,FALSE)</f>
        <v>0</v>
      </c>
      <c r="DL395" s="873" t="str">
        <f>VLOOKUP(WWWW[[#This Row],[Site Name]],SiteDB6[[Site Name]:[Location Type 1]],9,FALSE)</f>
        <v>Temporary location</v>
      </c>
      <c r="DM395" s="873" t="str">
        <f>VLOOKUP(WWWW[[#This Row],[Site Name]],SiteDB6[[Site Name]:[Type of Accommodation]],10,FALSE)</f>
        <v>Temporary location</v>
      </c>
      <c r="DN395" s="873">
        <f>VLOOKUP(WWWW[[#This Row],[Site Name]],SiteDB6[[Site Name]:[Ethnic or GCA/NGCA]],11,FALSE)</f>
        <v>0</v>
      </c>
      <c r="DO395" s="873">
        <f>VLOOKUP(WWWW[[#This Row],[Site Name]],SiteDB6[[Site Name]:[Lat]],12,FALSE)</f>
        <v>0</v>
      </c>
      <c r="DP395" s="873">
        <f>VLOOKUP(WWWW[[#This Row],[Site Name]],SiteDB6[[Site Name]:[Long]],13,FALSE)</f>
        <v>0</v>
      </c>
      <c r="DQ395" s="873" t="str">
        <f>VLOOKUP(WWWW[[#This Row],[Site Name]],SiteDB6[[Site Name]:[Pcode]],3,FALSE)</f>
        <v>MMR012003701505</v>
      </c>
      <c r="DR395" s="871" t="str">
        <f t="shared" si="13"/>
        <v>Notcovered</v>
      </c>
      <c r="DS395" s="871"/>
      <c r="DV395" s="661"/>
    </row>
    <row r="396" spans="1:126">
      <c r="A396" s="637" t="s">
        <v>2525</v>
      </c>
      <c r="B396" s="863" t="s">
        <v>3153</v>
      </c>
      <c r="C396" s="863" t="s">
        <v>3153</v>
      </c>
      <c r="D396" s="864"/>
      <c r="E396" s="865" t="s">
        <v>3014</v>
      </c>
      <c r="F396" s="864" t="s">
        <v>489</v>
      </c>
      <c r="G396" s="866" t="str">
        <f>VLOOKUP(WWWW[[#This Row],[Site Name]],SiteDB6[[Site Name]:[Location Type]],8,FALSE)</f>
        <v>New Temporary Site</v>
      </c>
      <c r="H396" s="864" t="s">
        <v>2883</v>
      </c>
      <c r="I396" s="867">
        <v>53</v>
      </c>
      <c r="J396" s="867">
        <v>230</v>
      </c>
      <c r="K396" s="868"/>
      <c r="L396" s="869"/>
      <c r="M396" s="867"/>
      <c r="N396" s="867"/>
      <c r="O396" s="867"/>
      <c r="P396" s="867"/>
      <c r="Q396" s="870"/>
      <c r="R396" s="867"/>
      <c r="S396" s="867"/>
      <c r="T396" s="379"/>
      <c r="U396" s="867"/>
      <c r="V396" s="867"/>
      <c r="W396" s="867"/>
      <c r="X396" s="867"/>
      <c r="Y396" s="867"/>
      <c r="Z396" s="867"/>
      <c r="AA396" s="867"/>
      <c r="AB396" s="867"/>
      <c r="AC396" s="867"/>
      <c r="AD396" s="867"/>
      <c r="AE396" s="867"/>
      <c r="AF396" s="867"/>
      <c r="AG396" s="867"/>
      <c r="AH396" s="867"/>
      <c r="AI396" s="867"/>
      <c r="AJ396" s="867"/>
      <c r="AK396" s="867"/>
      <c r="AL396" s="867"/>
      <c r="AM396" s="867"/>
      <c r="AN396" s="867"/>
      <c r="AO396" s="871"/>
      <c r="AP396" s="867">
        <v>5</v>
      </c>
      <c r="AQ396" s="867"/>
      <c r="AR396" s="872"/>
      <c r="AS396" s="867"/>
      <c r="AT396" s="867"/>
      <c r="AU396" s="867"/>
      <c r="AV396" s="867"/>
      <c r="AW396" s="867"/>
      <c r="AX396" s="873"/>
      <c r="AY396" s="871"/>
      <c r="AZ396" s="867"/>
      <c r="BA396" s="867"/>
      <c r="BB396" s="867"/>
      <c r="BC396" s="873"/>
      <c r="BD396" s="867"/>
      <c r="BE396" s="867"/>
      <c r="BF396" s="867"/>
      <c r="BG396" s="867"/>
      <c r="BH396" s="867"/>
      <c r="BI396" s="867"/>
      <c r="BJ396" s="867"/>
      <c r="BK396" s="867">
        <v>272</v>
      </c>
      <c r="BL396" s="867">
        <v>272</v>
      </c>
      <c r="BM396" s="873"/>
      <c r="BN396" s="874"/>
      <c r="BO396" s="872"/>
      <c r="BP396" s="873"/>
      <c r="BQ396" s="875" t="str">
        <f>IFERROR(WWWW[[#This Row],['#_Water sources treated]]/WWWW[[#This Row],['#_Water sources tested for contamination]],"no test")</f>
        <v>no test</v>
      </c>
      <c r="BR396" s="872" t="str">
        <f>IFERROR(WWWW[[#This Row],['#_Household received remediation action due to contamination]]/WWWW[[#This Row],['#_Household water samples tested for contamination]],"no test")</f>
        <v>no test</v>
      </c>
      <c r="BS396" s="874" t="str">
        <f>IF(AND(WWWW[[#This Row],[% of water sources treated]]="no test",WWWW[[#This Row],[% Household received corrective actions]]="no test"),"No Test","Tested")</f>
        <v>No Test</v>
      </c>
      <c r="BT396" s="874">
        <f>WWWW[[#This Row],['#_Constructed/existing protected hand dug well]]-WWWW[[#This Row],['#_Non-functional protected hand dug well]]</f>
        <v>0</v>
      </c>
      <c r="BU396" s="874">
        <f>(WWWW[[#This Row],['#_Constructed/Existing tube wells/boreholes/handpumps_WASH_agency]]+WWWW[[#This Row],['#_Non-Cluster partner water tube-wells/boreholes/handpumps]])-WWWW[[#This Row],['#_Non-functional tube wells/boreholes/handpumps]]</f>
        <v>0</v>
      </c>
      <c r="BV396" s="874">
        <f>WWWW[[#This Row],['#_Constructed/Existingwater storage tank with gravity fed reticulation system]]-WWWW[[#This Row],['#_Non-functional storage tank gravity fed reticulation system]]</f>
        <v>0</v>
      </c>
      <c r="BW396" s="874">
        <f>WWWW[[#This Row],['#_Water boating or water trucking]]</f>
        <v>0</v>
      </c>
      <c r="BX396" s="874">
        <f>WWWW[[#This Row],['#_Constructed/Existing water distribution system from river or natural spring]]</f>
        <v>0</v>
      </c>
      <c r="BY396"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96"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96" s="872">
        <f>IF(WWWW[[#This Row],[Location Type 1]]="Village",WWWW[[#This Row],[Access to safe drinking water for Village]],WWWW[[#This Row],[Access to safe drinking water for Camp]])</f>
        <v>0</v>
      </c>
      <c r="CB396" s="870">
        <f>WWWW[[#This Row],[%Equitable and continuous access to sufficient quantity of safe drinking water]]*WWWW[[#This Row],[Total PoP ]]</f>
        <v>0</v>
      </c>
      <c r="CC396" s="872">
        <f>IF((WWWW[[#This Row],['#_Constructed/Existing protected/fenced ponds]]*250)/WWWW[[#This Row],[Total PoP ]]&gt;1,1,(WWWW[[#This Row],['#_Constructed/Existing protected/fenced ponds]]*250)/WWWW[[#This Row],[Total PoP ]])</f>
        <v>0</v>
      </c>
      <c r="CD396" s="870">
        <f>WWWW[[#This Row],[% Access to unimproved water points]]*WWWW[[#This Row],[Total PoP ]]</f>
        <v>0</v>
      </c>
      <c r="CE396"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96"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96" s="870">
        <f>WWWW[[#This Row],[HRP1]]/500</f>
        <v>0</v>
      </c>
      <c r="CH396" s="876">
        <f>1-WWWW[[#This Row],[% Equitable and continuous access to sufficient quantity of domestic water]]</f>
        <v>1</v>
      </c>
      <c r="CI396" s="870">
        <f>WWWW[[#This Row],[%equitable and continuous access to sufficient quantity of safe drinking and domestic water''s GAP]]*WWWW[[#This Row],[Total PoP ]]</f>
        <v>230</v>
      </c>
      <c r="CJ396" s="874">
        <f>IF(WWWW[[#This Row],[Total required water points]]-WWWW[[#This Row],['#Water points coverage]]&lt;0,0,WWWW[[#This Row],[Total required water points]]-WWWW[[#This Row],['#Water points coverage]])</f>
        <v>1</v>
      </c>
      <c r="CK396" s="874">
        <f>ROUND(IF(WWWW[[#This Row],[Total PoP ]]&lt;500,1,WWWW[[#This Row],[Total PoP ]]/500),0)</f>
        <v>1</v>
      </c>
      <c r="CL396" s="874">
        <f>(WWWW[[#This Row],['#_Constructed latrines_by_WASHAgencies]]+WWWW[[#This Row],['#_Non Cluster partner latrines]])-WWWW[[#This Row],['#_Non-functional latrines]]</f>
        <v>5</v>
      </c>
      <c r="CM396"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396"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230</v>
      </c>
      <c r="CO396"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396" s="874">
        <f>IF(WWWW[[#This Row],[Location Type 1]]="Village","NA",IF(WWWW[[#This Row],['#_Constructed/Existing latrines in TLS]]*50&gt;WWWW[[#This Row],['#_students at TLS_CFS]],WWWW[[#This Row],['#_students at TLS_CFS]],(WWWW[[#This Row],['#_Constructed/Existing latrines in TLS]]*50)))</f>
        <v>0</v>
      </c>
      <c r="CQ396" s="874">
        <f>ROUND(IF(WWWW[[#This Row],[Location Type 1]]="camp",WWWW[[#This Row],[Total PoP ]]/20,IF(WWWW[[#This Row],[Location Type 1]]="Temporary Location",WWWW[[#This Row],[Total PoP ]]/50,(WWWW[[#This Row],[Total PoP ]]/6))),0)</f>
        <v>5</v>
      </c>
      <c r="CR396" s="874">
        <f>IF(WWWW[[#This Row],[Total required Latrines]]-(WWWW[[#This Row],['#_Constructed latrines_by_WASHAgencies]]+WWWW[[#This Row],['#_Non Cluster partner latrines]])&lt;0,0,WWWW[[#This Row],[Total required Latrines]]-(WWWW[[#This Row],['#_Constructed latrines_by_WASHAgencies]]+WWWW[[#This Row],['#_Non Cluster partner latrines]]))</f>
        <v>0</v>
      </c>
      <c r="CS396" s="878">
        <f>1-WWWW[[#This Row],[% people access to functioning Latrine]]</f>
        <v>0</v>
      </c>
      <c r="CT396" s="875">
        <f>IF(OR(WWWW[[#This Row],['#_Non-functional latrines]]="",WWWW[[#This Row],['#_Non-functional latrines]]=0),0,WWWW[[#This Row],['#_Non-functional latrines]]/(WWWW[[#This Row],['#_Constructed latrines_by_WASHAgencies]]+WWWW[[#This Row],['#_Non Cluster partner latrines]]))</f>
        <v>0</v>
      </c>
      <c r="CU396" s="870">
        <f>IF(500*(WWWW[[#This Row],['#_male hygiene promoters]]+WWWW[[#This Row],['#_female hygiene promoters]])&gt;WWWW[[#This Row],[Total PoP ]],WWWW[[#This Row],[Total PoP ]],500*(WWWW[[#This Row],['#_male hygiene promoters]]+WWWW[[#This Row],['#_female hygiene promoters]]))</f>
        <v>0</v>
      </c>
      <c r="CV396"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230</v>
      </c>
      <c r="CW396"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230</v>
      </c>
      <c r="CX396" s="874">
        <f>IF(WWWW[[#This Row],['# People with access to soap]]&gt;WWWW[[#This Row],['# People with access to Sanity Pads]],WWWW[[#This Row],['# People with access to soap]],WWWW[[#This Row],['# People with access to Sanity Pads]])</f>
        <v>230</v>
      </c>
      <c r="CY396" s="874">
        <f>IF(WWWW[[#This Row],['# people reached by regular dedicated hygiene promotion_5]]&gt;WWWW[[#This Row],['# People received regular supply of hygiene items_6]],WWWW[[#This Row],['# people reached by regular dedicated hygiene promotion_5]],WWWW[[#This Row],['# People received regular supply of hygiene items_6]])</f>
        <v>230</v>
      </c>
      <c r="CZ396" s="876">
        <f>IF(WWWW[[#This Row],[HRP3]]/WWWW[[#This Row],[Total PoP ]]&gt;100%,100%,WWWW[[#This Row],[HRP3]]/WWWW[[#This Row],[Total PoP ]])</f>
        <v>1</v>
      </c>
      <c r="DA396" s="875">
        <f>1-WWWW[[#This Row],[Hygiene Coverage%]]</f>
        <v>0</v>
      </c>
      <c r="DB396" s="872">
        <f>WWWW[[#This Row],['# people reached by regular dedicated hygiene promotion_5]]/WWWW[[#This Row],[Total PoP ]]</f>
        <v>0</v>
      </c>
      <c r="DC396" s="872">
        <f>IF(WWWW[[#This Row],['#_households that received standard amount of soap for this quarter]]/WWWW[[#This Row],[Total HH]]&gt;1,1,WWWW[[#This Row],['#_households that received standard amount of soap for this quarter]]/WWWW[[#This Row],[Total HH]])</f>
        <v>1</v>
      </c>
      <c r="DD396" s="872">
        <f>IF(WWWW[[#This Row],['#_households that received standard amount of sanitary pads for this quarter]]/WWWW[[#This Row],[Total HH]]&gt;1,1,WWWW[[#This Row],['#_households that received standard amount of sanitary pads for this quarter]]/WWWW[[#This Row],[Total HH]])</f>
        <v>1</v>
      </c>
      <c r="DE396" s="874">
        <f>WWWW[[#This Row],['#_Constructed/Existing hand washing stations]]-WWWW[[#This Row],['#_Non-Functional_hand_washing_stations]]</f>
        <v>0</v>
      </c>
      <c r="DF396" s="879" t="e">
        <f>WWWW[[#This Row],[Total HH]]*#REF!</f>
        <v>#REF!</v>
      </c>
      <c r="DG396" s="870">
        <f>IF(WWWW[[#This Row],[Is sufficient soap available for TLS? (Yes/No)]]="yes",WWWW[[#This Row],['#_Constructed/Existing hand washing stations at TLS]],0)</f>
        <v>0</v>
      </c>
      <c r="DH396" s="702">
        <f>IF(WWWW[[#This Row],['# Functional hand washing stations during reporting period]]*100&gt;WWWW[[#This Row],[Total PoP ]],WWWW[[#This Row],[Total PoP ]],WWWW[[#This Row],['# Functional hand washing stations during reporting period]]*100)</f>
        <v>0</v>
      </c>
      <c r="DI396" s="702" t="str">
        <f>IF(WWWW[[#This Row],['#_students at TLS_CFS]]="","No","Yes")</f>
        <v>No</v>
      </c>
      <c r="DJ396" s="873">
        <f>VLOOKUP(WWWW[[#This Row],[Site Name]],SiteDB6[[Site Name]:[CCCM Management]],6,FALSE)</f>
        <v>0</v>
      </c>
      <c r="DK396" s="873">
        <f>VLOOKUP(WWWW[[#This Row],[Site Name]],SiteDB6[[Site Name]:[CCCM Focal Agency]],7,FALSE)</f>
        <v>0</v>
      </c>
      <c r="DL396" s="873" t="str">
        <f>VLOOKUP(WWWW[[#This Row],[Site Name]],SiteDB6[[Site Name]:[Location Type 1]],9,FALSE)</f>
        <v>Temporary location</v>
      </c>
      <c r="DM396" s="873" t="str">
        <f>VLOOKUP(WWWW[[#This Row],[Site Name]],SiteDB6[[Site Name]:[Type of Accommodation]],10,FALSE)</f>
        <v>Temporary location</v>
      </c>
      <c r="DN396" s="873">
        <f>VLOOKUP(WWWW[[#This Row],[Site Name]],SiteDB6[[Site Name]:[Ethnic or GCA/NGCA]],11,FALSE)</f>
        <v>0</v>
      </c>
      <c r="DO396" s="873">
        <f>VLOOKUP(WWWW[[#This Row],[Site Name]],SiteDB6[[Site Name]:[Lat]],12,FALSE)</f>
        <v>0</v>
      </c>
      <c r="DP396" s="873">
        <f>VLOOKUP(WWWW[[#This Row],[Site Name]],SiteDB6[[Site Name]:[Long]],13,FALSE)</f>
        <v>0</v>
      </c>
      <c r="DQ396" s="873">
        <f>VLOOKUP(WWWW[[#This Row],[Site Name]],SiteDB6[[Site Name]:[Pcode]],3,FALSE)</f>
        <v>0</v>
      </c>
      <c r="DR396" s="871" t="str">
        <f t="shared" si="13"/>
        <v>Covered</v>
      </c>
      <c r="DS396" s="871"/>
      <c r="DV396" s="661"/>
    </row>
    <row r="397" spans="1:126">
      <c r="A397" s="637" t="s">
        <v>2525</v>
      </c>
      <c r="B397" s="976" t="s">
        <v>317</v>
      </c>
      <c r="C397" s="976" t="s">
        <v>317</v>
      </c>
      <c r="D397" s="864"/>
      <c r="E397" s="865" t="s">
        <v>3014</v>
      </c>
      <c r="F397" s="864" t="s">
        <v>489</v>
      </c>
      <c r="G397" s="866" t="str">
        <f>VLOOKUP(WWWW[[#This Row],[Site Name]],SiteDB6[[Site Name]:[Location Type]],8,FALSE)</f>
        <v>New Temporary Site</v>
      </c>
      <c r="H397" s="864" t="s">
        <v>569</v>
      </c>
      <c r="I397" s="867">
        <v>87</v>
      </c>
      <c r="J397" s="867">
        <v>397</v>
      </c>
      <c r="K397" s="868"/>
      <c r="L397" s="869"/>
      <c r="M397" s="867"/>
      <c r="N397" s="867"/>
      <c r="O397" s="867"/>
      <c r="P397" s="867"/>
      <c r="Q397" s="870"/>
      <c r="R397" s="867"/>
      <c r="S397" s="867"/>
      <c r="T397" s="379"/>
      <c r="U397" s="867"/>
      <c r="V397" s="867"/>
      <c r="W397" s="867"/>
      <c r="X397" s="867"/>
      <c r="Y397" s="867"/>
      <c r="Z397" s="867"/>
      <c r="AA397" s="867"/>
      <c r="AB397" s="867"/>
      <c r="AC397" s="867"/>
      <c r="AD397" s="867"/>
      <c r="AE397" s="867"/>
      <c r="AF397" s="867"/>
      <c r="AG397" s="867"/>
      <c r="AH397" s="867"/>
      <c r="AI397" s="867"/>
      <c r="AJ397" s="867"/>
      <c r="AK397" s="867"/>
      <c r="AL397" s="867"/>
      <c r="AM397" s="867"/>
      <c r="AN397" s="867"/>
      <c r="AO397" s="871"/>
      <c r="AP397" s="867"/>
      <c r="AQ397" s="867"/>
      <c r="AR397" s="872"/>
      <c r="AS397" s="867"/>
      <c r="AT397" s="867"/>
      <c r="AU397" s="867"/>
      <c r="AV397" s="867"/>
      <c r="AW397" s="867"/>
      <c r="AX397" s="873"/>
      <c r="AY397" s="871"/>
      <c r="AZ397" s="867"/>
      <c r="BA397" s="867"/>
      <c r="BB397" s="867"/>
      <c r="BC397" s="873"/>
      <c r="BD397" s="867"/>
      <c r="BE397" s="867"/>
      <c r="BF397" s="867"/>
      <c r="BG397" s="867"/>
      <c r="BH397" s="867"/>
      <c r="BI397" s="867"/>
      <c r="BJ397" s="867"/>
      <c r="BK397" s="867"/>
      <c r="BL397" s="867"/>
      <c r="BM397" s="873"/>
      <c r="BN397" s="874"/>
      <c r="BO397" s="872"/>
      <c r="BP397" s="873"/>
      <c r="BQ397" s="875" t="str">
        <f>IFERROR(WWWW[[#This Row],['#_Water sources treated]]/WWWW[[#This Row],['#_Water sources tested for contamination]],"no test")</f>
        <v>no test</v>
      </c>
      <c r="BR397" s="872" t="str">
        <f>IFERROR(WWWW[[#This Row],['#_Household received remediation action due to contamination]]/WWWW[[#This Row],['#_Household water samples tested for contamination]],"no test")</f>
        <v>no test</v>
      </c>
      <c r="BS397" s="874" t="str">
        <f>IF(AND(WWWW[[#This Row],[% of water sources treated]]="no test",WWWW[[#This Row],[% Household received corrective actions]]="no test"),"No Test","Tested")</f>
        <v>No Test</v>
      </c>
      <c r="BT397" s="874">
        <f>WWWW[[#This Row],['#_Constructed/existing protected hand dug well]]-WWWW[[#This Row],['#_Non-functional protected hand dug well]]</f>
        <v>0</v>
      </c>
      <c r="BU397" s="874">
        <f>(WWWW[[#This Row],['#_Constructed/Existing tube wells/boreholes/handpumps_WASH_agency]]+WWWW[[#This Row],['#_Non-Cluster partner water tube-wells/boreholes/handpumps]])-WWWW[[#This Row],['#_Non-functional tube wells/boreholes/handpumps]]</f>
        <v>0</v>
      </c>
      <c r="BV397" s="874">
        <f>WWWW[[#This Row],['#_Constructed/Existingwater storage tank with gravity fed reticulation system]]-WWWW[[#This Row],['#_Non-functional storage tank gravity fed reticulation system]]</f>
        <v>0</v>
      </c>
      <c r="BW397" s="874">
        <f>WWWW[[#This Row],['#_Water boating or water trucking]]</f>
        <v>0</v>
      </c>
      <c r="BX397" s="874">
        <f>WWWW[[#This Row],['#_Constructed/Existing water distribution system from river or natural spring]]</f>
        <v>0</v>
      </c>
      <c r="BY397"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97"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97" s="872">
        <f>IF(WWWW[[#This Row],[Location Type 1]]="Village",WWWW[[#This Row],[Access to safe drinking water for Village]],WWWW[[#This Row],[Access to safe drinking water for Camp]])</f>
        <v>0</v>
      </c>
      <c r="CB397" s="870">
        <f>WWWW[[#This Row],[%Equitable and continuous access to sufficient quantity of safe drinking water]]*WWWW[[#This Row],[Total PoP ]]</f>
        <v>0</v>
      </c>
      <c r="CC397" s="872">
        <f>IF((WWWW[[#This Row],['#_Constructed/Existing protected/fenced ponds]]*250)/WWWW[[#This Row],[Total PoP ]]&gt;1,1,(WWWW[[#This Row],['#_Constructed/Existing protected/fenced ponds]]*250)/WWWW[[#This Row],[Total PoP ]])</f>
        <v>0</v>
      </c>
      <c r="CD397" s="870">
        <f>WWWW[[#This Row],[% Access to unimproved water points]]*WWWW[[#This Row],[Total PoP ]]</f>
        <v>0</v>
      </c>
      <c r="CE397"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97"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97" s="870">
        <f>WWWW[[#This Row],[HRP1]]/500</f>
        <v>0</v>
      </c>
      <c r="CH397" s="876">
        <f>1-WWWW[[#This Row],[% Equitable and continuous access to sufficient quantity of domestic water]]</f>
        <v>1</v>
      </c>
      <c r="CI397" s="870">
        <f>WWWW[[#This Row],[%equitable and continuous access to sufficient quantity of safe drinking and domestic water''s GAP]]*WWWW[[#This Row],[Total PoP ]]</f>
        <v>397</v>
      </c>
      <c r="CJ397" s="874">
        <f>IF(WWWW[[#This Row],[Total required water points]]-WWWW[[#This Row],['#Water points coverage]]&lt;0,0,WWWW[[#This Row],[Total required water points]]-WWWW[[#This Row],['#Water points coverage]])</f>
        <v>1</v>
      </c>
      <c r="CK397" s="874">
        <f>ROUND(IF(WWWW[[#This Row],[Total PoP ]]&lt;500,1,WWWW[[#This Row],[Total PoP ]]/500),0)</f>
        <v>1</v>
      </c>
      <c r="CL397" s="874">
        <f>(WWWW[[#This Row],['#_Constructed latrines_by_WASHAgencies]]+WWWW[[#This Row],['#_Non Cluster partner latrines]])-WWWW[[#This Row],['#_Non-functional latrines]]</f>
        <v>0</v>
      </c>
      <c r="CM397"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97"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97"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397" s="874">
        <f>IF(WWWW[[#This Row],[Location Type 1]]="Village","NA",IF(WWWW[[#This Row],['#_Constructed/Existing latrines in TLS]]*50&gt;WWWW[[#This Row],['#_students at TLS_CFS]],WWWW[[#This Row],['#_students at TLS_CFS]],(WWWW[[#This Row],['#_Constructed/Existing latrines in TLS]]*50)))</f>
        <v>0</v>
      </c>
      <c r="CQ397" s="874">
        <f>ROUND(IF(WWWW[[#This Row],[Location Type 1]]="camp",WWWW[[#This Row],[Total PoP ]]/20,IF(WWWW[[#This Row],[Location Type 1]]="Temporary Location",WWWW[[#This Row],[Total PoP ]]/50,(WWWW[[#This Row],[Total PoP ]]/6))),0)</f>
        <v>8</v>
      </c>
      <c r="CR397" s="874">
        <f>IF(WWWW[[#This Row],[Total required Latrines]]-(WWWW[[#This Row],['#_Constructed latrines_by_WASHAgencies]]+WWWW[[#This Row],['#_Non Cluster partner latrines]])&lt;0,0,WWWW[[#This Row],[Total required Latrines]]-(WWWW[[#This Row],['#_Constructed latrines_by_WASHAgencies]]+WWWW[[#This Row],['#_Non Cluster partner latrines]]))</f>
        <v>8</v>
      </c>
      <c r="CS397" s="878">
        <f>1-WWWW[[#This Row],[% people access to functioning Latrine]]</f>
        <v>1</v>
      </c>
      <c r="CT397" s="875">
        <f>IF(OR(WWWW[[#This Row],['#_Non-functional latrines]]="",WWWW[[#This Row],['#_Non-functional latrines]]=0),0,WWWW[[#This Row],['#_Non-functional latrines]]/(WWWW[[#This Row],['#_Constructed latrines_by_WASHAgencies]]+WWWW[[#This Row],['#_Non Cluster partner latrines]]))</f>
        <v>0</v>
      </c>
      <c r="CU397" s="870">
        <f>IF(500*(WWWW[[#This Row],['#_male hygiene promoters]]+WWWW[[#This Row],['#_female hygiene promoters]])&gt;WWWW[[#This Row],[Total PoP ]],WWWW[[#This Row],[Total PoP ]],500*(WWWW[[#This Row],['#_male hygiene promoters]]+WWWW[[#This Row],['#_female hygiene promoters]]))</f>
        <v>0</v>
      </c>
      <c r="CV397"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97"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97" s="874">
        <f>IF(WWWW[[#This Row],['# People with access to soap]]&gt;WWWW[[#This Row],['# People with access to Sanity Pads]],WWWW[[#This Row],['# People with access to soap]],WWWW[[#This Row],['# People with access to Sanity Pads]])</f>
        <v>0</v>
      </c>
      <c r="CY397"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97" s="876">
        <f>IF(WWWW[[#This Row],[HRP3]]/WWWW[[#This Row],[Total PoP ]]&gt;100%,100%,WWWW[[#This Row],[HRP3]]/WWWW[[#This Row],[Total PoP ]])</f>
        <v>0</v>
      </c>
      <c r="DA397" s="875">
        <f>1-WWWW[[#This Row],[Hygiene Coverage%]]</f>
        <v>1</v>
      </c>
      <c r="DB397" s="872">
        <f>WWWW[[#This Row],['# people reached by regular dedicated hygiene promotion_5]]/WWWW[[#This Row],[Total PoP ]]</f>
        <v>0</v>
      </c>
      <c r="DC397" s="872">
        <f>IF(WWWW[[#This Row],['#_households that received standard amount of soap for this quarter]]/WWWW[[#This Row],[Total HH]]&gt;1,1,WWWW[[#This Row],['#_households that received standard amount of soap for this quarter]]/WWWW[[#This Row],[Total HH]])</f>
        <v>0</v>
      </c>
      <c r="DD397" s="872">
        <f>IF(WWWW[[#This Row],['#_households that received standard amount of sanitary pads for this quarter]]/WWWW[[#This Row],[Total HH]]&gt;1,1,WWWW[[#This Row],['#_households that received standard amount of sanitary pads for this quarter]]/WWWW[[#This Row],[Total HH]])</f>
        <v>0</v>
      </c>
      <c r="DE397" s="874">
        <f>WWWW[[#This Row],['#_Constructed/Existing hand washing stations]]-WWWW[[#This Row],['#_Non-Functional_hand_washing_stations]]</f>
        <v>0</v>
      </c>
      <c r="DF397" s="879" t="e">
        <f>WWWW[[#This Row],[Total HH]]*#REF!</f>
        <v>#REF!</v>
      </c>
      <c r="DG397" s="870">
        <f>IF(WWWW[[#This Row],[Is sufficient soap available for TLS? (Yes/No)]]="yes",WWWW[[#This Row],['#_Constructed/Existing hand washing stations at TLS]],0)</f>
        <v>0</v>
      </c>
      <c r="DH397" s="702">
        <f>IF(WWWW[[#This Row],['# Functional hand washing stations during reporting period]]*100&gt;WWWW[[#This Row],[Total PoP ]],WWWW[[#This Row],[Total PoP ]],WWWW[[#This Row],['# Functional hand washing stations during reporting period]]*100)</f>
        <v>0</v>
      </c>
      <c r="DI397" s="702" t="str">
        <f>IF(WWWW[[#This Row],['#_students at TLS_CFS]]="","No","Yes")</f>
        <v>No</v>
      </c>
      <c r="DJ397" s="873">
        <f>VLOOKUP(WWWW[[#This Row],[Site Name]],SiteDB6[[Site Name]:[CCCM Management]],6,FALSE)</f>
        <v>0</v>
      </c>
      <c r="DK397" s="873">
        <f>VLOOKUP(WWWW[[#This Row],[Site Name]],SiteDB6[[Site Name]:[CCCM Focal Agency]],7,FALSE)</f>
        <v>0</v>
      </c>
      <c r="DL397" s="873" t="str">
        <f>VLOOKUP(WWWW[[#This Row],[Site Name]],SiteDB6[[Site Name]:[Location Type 1]],9,FALSE)</f>
        <v>Temporary location</v>
      </c>
      <c r="DM397" s="873" t="str">
        <f>VLOOKUP(WWWW[[#This Row],[Site Name]],SiteDB6[[Site Name]:[Type of Accommodation]],10,FALSE)</f>
        <v>Temporary location</v>
      </c>
      <c r="DN397" s="873">
        <f>VLOOKUP(WWWW[[#This Row],[Site Name]],SiteDB6[[Site Name]:[Ethnic or GCA/NGCA]],11,FALSE)</f>
        <v>0</v>
      </c>
      <c r="DO397" s="873">
        <f>VLOOKUP(WWWW[[#This Row],[Site Name]],SiteDB6[[Site Name]:[Lat]],12,FALSE)</f>
        <v>0</v>
      </c>
      <c r="DP397" s="873">
        <f>VLOOKUP(WWWW[[#This Row],[Site Name]],SiteDB6[[Site Name]:[Long]],13,FALSE)</f>
        <v>0</v>
      </c>
      <c r="DQ397" s="873">
        <f>VLOOKUP(WWWW[[#This Row],[Site Name]],SiteDB6[[Site Name]:[Pcode]],3,FALSE)</f>
        <v>0</v>
      </c>
      <c r="DR397" s="871" t="str">
        <f t="shared" si="13"/>
        <v>Notcovered</v>
      </c>
      <c r="DS397" s="871"/>
      <c r="DV397" s="661"/>
    </row>
    <row r="398" spans="1:126">
      <c r="A398" s="637" t="s">
        <v>2525</v>
      </c>
      <c r="B398" s="976" t="s">
        <v>317</v>
      </c>
      <c r="C398" s="976" t="s">
        <v>317</v>
      </c>
      <c r="D398" s="864"/>
      <c r="E398" s="865" t="s">
        <v>3014</v>
      </c>
      <c r="F398" s="864" t="s">
        <v>489</v>
      </c>
      <c r="G398" s="866" t="str">
        <f>VLOOKUP(WWWW[[#This Row],[Site Name]],SiteDB6[[Site Name]:[Location Type]],8,FALSE)</f>
        <v>New Temporary Site</v>
      </c>
      <c r="H398" s="864" t="s">
        <v>3249</v>
      </c>
      <c r="I398" s="867">
        <v>22</v>
      </c>
      <c r="J398" s="867">
        <v>69</v>
      </c>
      <c r="K398" s="868"/>
      <c r="L398" s="869"/>
      <c r="M398" s="867"/>
      <c r="N398" s="867"/>
      <c r="O398" s="867"/>
      <c r="P398" s="867"/>
      <c r="Q398" s="870"/>
      <c r="R398" s="867"/>
      <c r="S398" s="867"/>
      <c r="T398" s="379"/>
      <c r="U398" s="867"/>
      <c r="V398" s="867"/>
      <c r="W398" s="867"/>
      <c r="X398" s="867"/>
      <c r="Y398" s="867"/>
      <c r="Z398" s="867"/>
      <c r="AA398" s="867"/>
      <c r="AB398" s="867"/>
      <c r="AC398" s="867"/>
      <c r="AD398" s="867"/>
      <c r="AE398" s="867"/>
      <c r="AF398" s="867"/>
      <c r="AG398" s="867"/>
      <c r="AH398" s="867"/>
      <c r="AI398" s="867"/>
      <c r="AJ398" s="867"/>
      <c r="AK398" s="867"/>
      <c r="AL398" s="867"/>
      <c r="AM398" s="867"/>
      <c r="AN398" s="867"/>
      <c r="AO398" s="871"/>
      <c r="AP398" s="867"/>
      <c r="AQ398" s="867"/>
      <c r="AR398" s="872"/>
      <c r="AS398" s="867"/>
      <c r="AT398" s="867"/>
      <c r="AU398" s="867"/>
      <c r="AV398" s="867"/>
      <c r="AW398" s="867"/>
      <c r="AX398" s="873"/>
      <c r="AY398" s="871"/>
      <c r="AZ398" s="867"/>
      <c r="BA398" s="867"/>
      <c r="BB398" s="867"/>
      <c r="BC398" s="873"/>
      <c r="BD398" s="867"/>
      <c r="BE398" s="867"/>
      <c r="BF398" s="867"/>
      <c r="BG398" s="867"/>
      <c r="BH398" s="867"/>
      <c r="BI398" s="867"/>
      <c r="BJ398" s="867"/>
      <c r="BK398" s="867"/>
      <c r="BL398" s="867"/>
      <c r="BM398" s="873"/>
      <c r="BN398" s="874"/>
      <c r="BO398" s="872"/>
      <c r="BP398" s="873"/>
      <c r="BQ398" s="875" t="str">
        <f>IFERROR(WWWW[[#This Row],['#_Water sources treated]]/WWWW[[#This Row],['#_Water sources tested for contamination]],"no test")</f>
        <v>no test</v>
      </c>
      <c r="BR398" s="872" t="str">
        <f>IFERROR(WWWW[[#This Row],['#_Household received remediation action due to contamination]]/WWWW[[#This Row],['#_Household water samples tested for contamination]],"no test")</f>
        <v>no test</v>
      </c>
      <c r="BS398" s="874" t="str">
        <f>IF(AND(WWWW[[#This Row],[% of water sources treated]]="no test",WWWW[[#This Row],[% Household received corrective actions]]="no test"),"No Test","Tested")</f>
        <v>No Test</v>
      </c>
      <c r="BT398" s="874">
        <f>WWWW[[#This Row],['#_Constructed/existing protected hand dug well]]-WWWW[[#This Row],['#_Non-functional protected hand dug well]]</f>
        <v>0</v>
      </c>
      <c r="BU398" s="874">
        <f>(WWWW[[#This Row],['#_Constructed/Existing tube wells/boreholes/handpumps_WASH_agency]]+WWWW[[#This Row],['#_Non-Cluster partner water tube-wells/boreholes/handpumps]])-WWWW[[#This Row],['#_Non-functional tube wells/boreholes/handpumps]]</f>
        <v>0</v>
      </c>
      <c r="BV398" s="874">
        <f>WWWW[[#This Row],['#_Constructed/Existingwater storage tank with gravity fed reticulation system]]-WWWW[[#This Row],['#_Non-functional storage tank gravity fed reticulation system]]</f>
        <v>0</v>
      </c>
      <c r="BW398" s="874">
        <f>WWWW[[#This Row],['#_Water boating or water trucking]]</f>
        <v>0</v>
      </c>
      <c r="BX398" s="874">
        <f>WWWW[[#This Row],['#_Constructed/Existing water distribution system from river or natural spring]]</f>
        <v>0</v>
      </c>
      <c r="BY398"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98"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98" s="872">
        <f>IF(WWWW[[#This Row],[Location Type 1]]="Village",WWWW[[#This Row],[Access to safe drinking water for Village]],WWWW[[#This Row],[Access to safe drinking water for Camp]])</f>
        <v>0</v>
      </c>
      <c r="CB398" s="870">
        <f>WWWW[[#This Row],[%Equitable and continuous access to sufficient quantity of safe drinking water]]*WWWW[[#This Row],[Total PoP ]]</f>
        <v>0</v>
      </c>
      <c r="CC398" s="872">
        <f>IF((WWWW[[#This Row],['#_Constructed/Existing protected/fenced ponds]]*250)/WWWW[[#This Row],[Total PoP ]]&gt;1,1,(WWWW[[#This Row],['#_Constructed/Existing protected/fenced ponds]]*250)/WWWW[[#This Row],[Total PoP ]])</f>
        <v>0</v>
      </c>
      <c r="CD398" s="870">
        <f>WWWW[[#This Row],[% Access to unimproved water points]]*WWWW[[#This Row],[Total PoP ]]</f>
        <v>0</v>
      </c>
      <c r="CE398"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98"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98" s="870">
        <f>WWWW[[#This Row],[HRP1]]/500</f>
        <v>0</v>
      </c>
      <c r="CH398" s="876">
        <f>1-WWWW[[#This Row],[% Equitable and continuous access to sufficient quantity of domestic water]]</f>
        <v>1</v>
      </c>
      <c r="CI398" s="870">
        <f>WWWW[[#This Row],[%equitable and continuous access to sufficient quantity of safe drinking and domestic water''s GAP]]*WWWW[[#This Row],[Total PoP ]]</f>
        <v>69</v>
      </c>
      <c r="CJ398" s="874">
        <f>IF(WWWW[[#This Row],[Total required water points]]-WWWW[[#This Row],['#Water points coverage]]&lt;0,0,WWWW[[#This Row],[Total required water points]]-WWWW[[#This Row],['#Water points coverage]])</f>
        <v>1</v>
      </c>
      <c r="CK398" s="874">
        <f>ROUND(IF(WWWW[[#This Row],[Total PoP ]]&lt;500,1,WWWW[[#This Row],[Total PoP ]]/500),0)</f>
        <v>1</v>
      </c>
      <c r="CL398" s="874">
        <f>(WWWW[[#This Row],['#_Constructed latrines_by_WASHAgencies]]+WWWW[[#This Row],['#_Non Cluster partner latrines]])-WWWW[[#This Row],['#_Non-functional latrines]]</f>
        <v>0</v>
      </c>
      <c r="CM398"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98"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98"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398" s="874">
        <f>IF(WWWW[[#This Row],[Location Type 1]]="Village","NA",IF(WWWW[[#This Row],['#_Constructed/Existing latrines in TLS]]*50&gt;WWWW[[#This Row],['#_students at TLS_CFS]],WWWW[[#This Row],['#_students at TLS_CFS]],(WWWW[[#This Row],['#_Constructed/Existing latrines in TLS]]*50)))</f>
        <v>0</v>
      </c>
      <c r="CQ398" s="874">
        <f>ROUND(IF(WWWW[[#This Row],[Location Type 1]]="camp",WWWW[[#This Row],[Total PoP ]]/20,IF(WWWW[[#This Row],[Location Type 1]]="Temporary Location",WWWW[[#This Row],[Total PoP ]]/50,(WWWW[[#This Row],[Total PoP ]]/6))),0)</f>
        <v>1</v>
      </c>
      <c r="CR398" s="874">
        <f>IF(WWWW[[#This Row],[Total required Latrines]]-(WWWW[[#This Row],['#_Constructed latrines_by_WASHAgencies]]+WWWW[[#This Row],['#_Non Cluster partner latrines]])&lt;0,0,WWWW[[#This Row],[Total required Latrines]]-(WWWW[[#This Row],['#_Constructed latrines_by_WASHAgencies]]+WWWW[[#This Row],['#_Non Cluster partner latrines]]))</f>
        <v>1</v>
      </c>
      <c r="CS398" s="878">
        <f>1-WWWW[[#This Row],[% people access to functioning Latrine]]</f>
        <v>1</v>
      </c>
      <c r="CT398" s="875">
        <f>IF(OR(WWWW[[#This Row],['#_Non-functional latrines]]="",WWWW[[#This Row],['#_Non-functional latrines]]=0),0,WWWW[[#This Row],['#_Non-functional latrines]]/(WWWW[[#This Row],['#_Constructed latrines_by_WASHAgencies]]+WWWW[[#This Row],['#_Non Cluster partner latrines]]))</f>
        <v>0</v>
      </c>
      <c r="CU398" s="870">
        <f>IF(500*(WWWW[[#This Row],['#_male hygiene promoters]]+WWWW[[#This Row],['#_female hygiene promoters]])&gt;WWWW[[#This Row],[Total PoP ]],WWWW[[#This Row],[Total PoP ]],500*(WWWW[[#This Row],['#_male hygiene promoters]]+WWWW[[#This Row],['#_female hygiene promoters]]))</f>
        <v>0</v>
      </c>
      <c r="CV398"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98"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98" s="874">
        <f>IF(WWWW[[#This Row],['# People with access to soap]]&gt;WWWW[[#This Row],['# People with access to Sanity Pads]],WWWW[[#This Row],['# People with access to soap]],WWWW[[#This Row],['# People with access to Sanity Pads]])</f>
        <v>0</v>
      </c>
      <c r="CY398"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98" s="876">
        <f>IF(WWWW[[#This Row],[HRP3]]/WWWW[[#This Row],[Total PoP ]]&gt;100%,100%,WWWW[[#This Row],[HRP3]]/WWWW[[#This Row],[Total PoP ]])</f>
        <v>0</v>
      </c>
      <c r="DA398" s="875">
        <f>1-WWWW[[#This Row],[Hygiene Coverage%]]</f>
        <v>1</v>
      </c>
      <c r="DB398" s="872">
        <f>WWWW[[#This Row],['# people reached by regular dedicated hygiene promotion_5]]/WWWW[[#This Row],[Total PoP ]]</f>
        <v>0</v>
      </c>
      <c r="DC398" s="872">
        <f>IF(WWWW[[#This Row],['#_households that received standard amount of soap for this quarter]]/WWWW[[#This Row],[Total HH]]&gt;1,1,WWWW[[#This Row],['#_households that received standard amount of soap for this quarter]]/WWWW[[#This Row],[Total HH]])</f>
        <v>0</v>
      </c>
      <c r="DD398" s="872">
        <f>IF(WWWW[[#This Row],['#_households that received standard amount of sanitary pads for this quarter]]/WWWW[[#This Row],[Total HH]]&gt;1,1,WWWW[[#This Row],['#_households that received standard amount of sanitary pads for this quarter]]/WWWW[[#This Row],[Total HH]])</f>
        <v>0</v>
      </c>
      <c r="DE398" s="874">
        <f>WWWW[[#This Row],['#_Constructed/Existing hand washing stations]]-WWWW[[#This Row],['#_Non-Functional_hand_washing_stations]]</f>
        <v>0</v>
      </c>
      <c r="DF398" s="879" t="e">
        <f>WWWW[[#This Row],[Total HH]]*#REF!</f>
        <v>#REF!</v>
      </c>
      <c r="DG398" s="870">
        <f>IF(WWWW[[#This Row],[Is sufficient soap available for TLS? (Yes/No)]]="yes",WWWW[[#This Row],['#_Constructed/Existing hand washing stations at TLS]],0)</f>
        <v>0</v>
      </c>
      <c r="DH398" s="702">
        <f>IF(WWWW[[#This Row],['# Functional hand washing stations during reporting period]]*100&gt;WWWW[[#This Row],[Total PoP ]],WWWW[[#This Row],[Total PoP ]],WWWW[[#This Row],['# Functional hand washing stations during reporting period]]*100)</f>
        <v>0</v>
      </c>
      <c r="DI398" s="702" t="str">
        <f>IF(WWWW[[#This Row],['#_students at TLS_CFS]]="","No","Yes")</f>
        <v>No</v>
      </c>
      <c r="DJ398" s="873">
        <f>VLOOKUP(WWWW[[#This Row],[Site Name]],SiteDB6[[Site Name]:[CCCM Management]],6,FALSE)</f>
        <v>0</v>
      </c>
      <c r="DK398" s="873">
        <f>VLOOKUP(WWWW[[#This Row],[Site Name]],SiteDB6[[Site Name]:[CCCM Focal Agency]],7,FALSE)</f>
        <v>0</v>
      </c>
      <c r="DL398" s="873" t="str">
        <f>VLOOKUP(WWWW[[#This Row],[Site Name]],SiteDB6[[Site Name]:[Location Type 1]],9,FALSE)</f>
        <v>Temporary location</v>
      </c>
      <c r="DM398" s="873" t="str">
        <f>VLOOKUP(WWWW[[#This Row],[Site Name]],SiteDB6[[Site Name]:[Type of Accommodation]],10,FALSE)</f>
        <v>Temporary location</v>
      </c>
      <c r="DN398" s="873">
        <f>VLOOKUP(WWWW[[#This Row],[Site Name]],SiteDB6[[Site Name]:[Ethnic or GCA/NGCA]],11,FALSE)</f>
        <v>0</v>
      </c>
      <c r="DO398" s="873">
        <f>VLOOKUP(WWWW[[#This Row],[Site Name]],SiteDB6[[Site Name]:[Lat]],12,FALSE)</f>
        <v>0</v>
      </c>
      <c r="DP398" s="873">
        <f>VLOOKUP(WWWW[[#This Row],[Site Name]],SiteDB6[[Site Name]:[Long]],13,FALSE)</f>
        <v>0</v>
      </c>
      <c r="DQ398" s="873">
        <f>VLOOKUP(WWWW[[#This Row],[Site Name]],SiteDB6[[Site Name]:[Pcode]],3,FALSE)</f>
        <v>196475</v>
      </c>
      <c r="DR398" s="871" t="str">
        <f t="shared" si="13"/>
        <v>Notcovered</v>
      </c>
      <c r="DS398" s="871"/>
      <c r="DV398" s="661"/>
    </row>
    <row r="399" spans="1:126">
      <c r="A399" s="637" t="s">
        <v>2525</v>
      </c>
      <c r="B399" s="976" t="s">
        <v>317</v>
      </c>
      <c r="C399" s="976" t="s">
        <v>317</v>
      </c>
      <c r="D399" s="864"/>
      <c r="E399" s="865" t="s">
        <v>3014</v>
      </c>
      <c r="F399" s="864" t="s">
        <v>489</v>
      </c>
      <c r="G399" s="866" t="str">
        <f>VLOOKUP(WWWW[[#This Row],[Site Name]],SiteDB6[[Site Name]:[Location Type]],8,FALSE)</f>
        <v>New Temporary Site</v>
      </c>
      <c r="H399" s="864" t="s">
        <v>3183</v>
      </c>
      <c r="I399" s="867">
        <v>20</v>
      </c>
      <c r="J399" s="867">
        <v>61</v>
      </c>
      <c r="K399" s="868"/>
      <c r="L399" s="869"/>
      <c r="M399" s="867"/>
      <c r="N399" s="867"/>
      <c r="O399" s="867"/>
      <c r="P399" s="867"/>
      <c r="Q399" s="870"/>
      <c r="R399" s="867"/>
      <c r="S399" s="867"/>
      <c r="T399" s="379"/>
      <c r="U399" s="867"/>
      <c r="V399" s="867"/>
      <c r="W399" s="867"/>
      <c r="X399" s="867"/>
      <c r="Y399" s="867"/>
      <c r="Z399" s="867"/>
      <c r="AA399" s="867"/>
      <c r="AB399" s="867"/>
      <c r="AC399" s="867"/>
      <c r="AD399" s="867"/>
      <c r="AE399" s="867"/>
      <c r="AF399" s="867"/>
      <c r="AG399" s="867"/>
      <c r="AH399" s="867"/>
      <c r="AI399" s="867"/>
      <c r="AJ399" s="867"/>
      <c r="AK399" s="867"/>
      <c r="AL399" s="867"/>
      <c r="AM399" s="867"/>
      <c r="AN399" s="867"/>
      <c r="AO399" s="871"/>
      <c r="AP399" s="867"/>
      <c r="AQ399" s="867"/>
      <c r="AR399" s="872"/>
      <c r="AS399" s="867"/>
      <c r="AT399" s="867"/>
      <c r="AU399" s="867"/>
      <c r="AV399" s="867"/>
      <c r="AW399" s="867"/>
      <c r="AX399" s="873"/>
      <c r="AY399" s="871"/>
      <c r="AZ399" s="867"/>
      <c r="BA399" s="867"/>
      <c r="BB399" s="867"/>
      <c r="BC399" s="873"/>
      <c r="BD399" s="867"/>
      <c r="BE399" s="867"/>
      <c r="BF399" s="867"/>
      <c r="BG399" s="867"/>
      <c r="BH399" s="867"/>
      <c r="BI399" s="867"/>
      <c r="BJ399" s="867"/>
      <c r="BK399" s="867"/>
      <c r="BL399" s="867"/>
      <c r="BM399" s="873"/>
      <c r="BN399" s="874"/>
      <c r="BO399" s="872"/>
      <c r="BP399" s="873"/>
      <c r="BQ399" s="875" t="str">
        <f>IFERROR(WWWW[[#This Row],['#_Water sources treated]]/WWWW[[#This Row],['#_Water sources tested for contamination]],"no test")</f>
        <v>no test</v>
      </c>
      <c r="BR399" s="872" t="str">
        <f>IFERROR(WWWW[[#This Row],['#_Household received remediation action due to contamination]]/WWWW[[#This Row],['#_Household water samples tested for contamination]],"no test")</f>
        <v>no test</v>
      </c>
      <c r="BS399" s="874" t="str">
        <f>IF(AND(WWWW[[#This Row],[% of water sources treated]]="no test",WWWW[[#This Row],[% Household received corrective actions]]="no test"),"No Test","Tested")</f>
        <v>No Test</v>
      </c>
      <c r="BT399" s="874">
        <f>WWWW[[#This Row],['#_Constructed/existing protected hand dug well]]-WWWW[[#This Row],['#_Non-functional protected hand dug well]]</f>
        <v>0</v>
      </c>
      <c r="BU399" s="874">
        <f>(WWWW[[#This Row],['#_Constructed/Existing tube wells/boreholes/handpumps_WASH_agency]]+WWWW[[#This Row],['#_Non-Cluster partner water tube-wells/boreholes/handpumps]])-WWWW[[#This Row],['#_Non-functional tube wells/boreholes/handpumps]]</f>
        <v>0</v>
      </c>
      <c r="BV399" s="874">
        <f>WWWW[[#This Row],['#_Constructed/Existingwater storage tank with gravity fed reticulation system]]-WWWW[[#This Row],['#_Non-functional storage tank gravity fed reticulation system]]</f>
        <v>0</v>
      </c>
      <c r="BW399" s="874">
        <f>WWWW[[#This Row],['#_Water boating or water trucking]]</f>
        <v>0</v>
      </c>
      <c r="BX399" s="874">
        <f>WWWW[[#This Row],['#_Constructed/Existing water distribution system from river or natural spring]]</f>
        <v>0</v>
      </c>
      <c r="BY399"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399"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399" s="872">
        <f>IF(WWWW[[#This Row],[Location Type 1]]="Village",WWWW[[#This Row],[Access to safe drinking water for Village]],WWWW[[#This Row],[Access to safe drinking water for Camp]])</f>
        <v>0</v>
      </c>
      <c r="CB399" s="870">
        <f>WWWW[[#This Row],[%Equitable and continuous access to sufficient quantity of safe drinking water]]*WWWW[[#This Row],[Total PoP ]]</f>
        <v>0</v>
      </c>
      <c r="CC399" s="872">
        <f>IF((WWWW[[#This Row],['#_Constructed/Existing protected/fenced ponds]]*250)/WWWW[[#This Row],[Total PoP ]]&gt;1,1,(WWWW[[#This Row],['#_Constructed/Existing protected/fenced ponds]]*250)/WWWW[[#This Row],[Total PoP ]])</f>
        <v>0</v>
      </c>
      <c r="CD399" s="870">
        <f>WWWW[[#This Row],[% Access to unimproved water points]]*WWWW[[#This Row],[Total PoP ]]</f>
        <v>0</v>
      </c>
      <c r="CE399"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399"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399" s="870">
        <f>WWWW[[#This Row],[HRP1]]/500</f>
        <v>0</v>
      </c>
      <c r="CH399" s="876">
        <f>1-WWWW[[#This Row],[% Equitable and continuous access to sufficient quantity of domestic water]]</f>
        <v>1</v>
      </c>
      <c r="CI399" s="870">
        <f>WWWW[[#This Row],[%equitable and continuous access to sufficient quantity of safe drinking and domestic water''s GAP]]*WWWW[[#This Row],[Total PoP ]]</f>
        <v>61</v>
      </c>
      <c r="CJ399" s="874">
        <f>IF(WWWW[[#This Row],[Total required water points]]-WWWW[[#This Row],['#Water points coverage]]&lt;0,0,WWWW[[#This Row],[Total required water points]]-WWWW[[#This Row],['#Water points coverage]])</f>
        <v>1</v>
      </c>
      <c r="CK399" s="874">
        <f>ROUND(IF(WWWW[[#This Row],[Total PoP ]]&lt;500,1,WWWW[[#This Row],[Total PoP ]]/500),0)</f>
        <v>1</v>
      </c>
      <c r="CL399" s="874">
        <f>(WWWW[[#This Row],['#_Constructed latrines_by_WASHAgencies]]+WWWW[[#This Row],['#_Non Cluster partner latrines]])-WWWW[[#This Row],['#_Non-functional latrines]]</f>
        <v>0</v>
      </c>
      <c r="CM399"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399"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399"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399" s="874">
        <f>IF(WWWW[[#This Row],[Location Type 1]]="Village","NA",IF(WWWW[[#This Row],['#_Constructed/Existing latrines in TLS]]*50&gt;WWWW[[#This Row],['#_students at TLS_CFS]],WWWW[[#This Row],['#_students at TLS_CFS]],(WWWW[[#This Row],['#_Constructed/Existing latrines in TLS]]*50)))</f>
        <v>0</v>
      </c>
      <c r="CQ399" s="874">
        <f>ROUND(IF(WWWW[[#This Row],[Location Type 1]]="camp",WWWW[[#This Row],[Total PoP ]]/20,IF(WWWW[[#This Row],[Location Type 1]]="Temporary Location",WWWW[[#This Row],[Total PoP ]]/50,(WWWW[[#This Row],[Total PoP ]]/6))),0)</f>
        <v>1</v>
      </c>
      <c r="CR399" s="874">
        <f>IF(WWWW[[#This Row],[Total required Latrines]]-(WWWW[[#This Row],['#_Constructed latrines_by_WASHAgencies]]+WWWW[[#This Row],['#_Non Cluster partner latrines]])&lt;0,0,WWWW[[#This Row],[Total required Latrines]]-(WWWW[[#This Row],['#_Constructed latrines_by_WASHAgencies]]+WWWW[[#This Row],['#_Non Cluster partner latrines]]))</f>
        <v>1</v>
      </c>
      <c r="CS399" s="878">
        <f>1-WWWW[[#This Row],[% people access to functioning Latrine]]</f>
        <v>1</v>
      </c>
      <c r="CT399" s="875">
        <f>IF(OR(WWWW[[#This Row],['#_Non-functional latrines]]="",WWWW[[#This Row],['#_Non-functional latrines]]=0),0,WWWW[[#This Row],['#_Non-functional latrines]]/(WWWW[[#This Row],['#_Constructed latrines_by_WASHAgencies]]+WWWW[[#This Row],['#_Non Cluster partner latrines]]))</f>
        <v>0</v>
      </c>
      <c r="CU399" s="870">
        <f>IF(500*(WWWW[[#This Row],['#_male hygiene promoters]]+WWWW[[#This Row],['#_female hygiene promoters]])&gt;WWWW[[#This Row],[Total PoP ]],WWWW[[#This Row],[Total PoP ]],500*(WWWW[[#This Row],['#_male hygiene promoters]]+WWWW[[#This Row],['#_female hygiene promoters]]))</f>
        <v>0</v>
      </c>
      <c r="CV399"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399"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399" s="874">
        <f>IF(WWWW[[#This Row],['# People with access to soap]]&gt;WWWW[[#This Row],['# People with access to Sanity Pads]],WWWW[[#This Row],['# People with access to soap]],WWWW[[#This Row],['# People with access to Sanity Pads]])</f>
        <v>0</v>
      </c>
      <c r="CY399"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399" s="876">
        <f>IF(WWWW[[#This Row],[HRP3]]/WWWW[[#This Row],[Total PoP ]]&gt;100%,100%,WWWW[[#This Row],[HRP3]]/WWWW[[#This Row],[Total PoP ]])</f>
        <v>0</v>
      </c>
      <c r="DA399" s="875">
        <f>1-WWWW[[#This Row],[Hygiene Coverage%]]</f>
        <v>1</v>
      </c>
      <c r="DB399" s="872">
        <f>WWWW[[#This Row],['# people reached by regular dedicated hygiene promotion_5]]/WWWW[[#This Row],[Total PoP ]]</f>
        <v>0</v>
      </c>
      <c r="DC399" s="872">
        <f>IF(WWWW[[#This Row],['#_households that received standard amount of soap for this quarter]]/WWWW[[#This Row],[Total HH]]&gt;1,1,WWWW[[#This Row],['#_households that received standard amount of soap for this quarter]]/WWWW[[#This Row],[Total HH]])</f>
        <v>0</v>
      </c>
      <c r="DD399" s="872">
        <f>IF(WWWW[[#This Row],['#_households that received standard amount of sanitary pads for this quarter]]/WWWW[[#This Row],[Total HH]]&gt;1,1,WWWW[[#This Row],['#_households that received standard amount of sanitary pads for this quarter]]/WWWW[[#This Row],[Total HH]])</f>
        <v>0</v>
      </c>
      <c r="DE399" s="874">
        <f>WWWW[[#This Row],['#_Constructed/Existing hand washing stations]]-WWWW[[#This Row],['#_Non-Functional_hand_washing_stations]]</f>
        <v>0</v>
      </c>
      <c r="DF399" s="879" t="e">
        <f>WWWW[[#This Row],[Total HH]]*#REF!</f>
        <v>#REF!</v>
      </c>
      <c r="DG399" s="870">
        <f>IF(WWWW[[#This Row],[Is sufficient soap available for TLS? (Yes/No)]]="yes",WWWW[[#This Row],['#_Constructed/Existing hand washing stations at TLS]],0)</f>
        <v>0</v>
      </c>
      <c r="DH399" s="702">
        <f>IF(WWWW[[#This Row],['# Functional hand washing stations during reporting period]]*100&gt;WWWW[[#This Row],[Total PoP ]],WWWW[[#This Row],[Total PoP ]],WWWW[[#This Row],['# Functional hand washing stations during reporting period]]*100)</f>
        <v>0</v>
      </c>
      <c r="DI399" s="702" t="str">
        <f>IF(WWWW[[#This Row],['#_students at TLS_CFS]]="","No","Yes")</f>
        <v>No</v>
      </c>
      <c r="DJ399" s="873">
        <f>VLOOKUP(WWWW[[#This Row],[Site Name]],SiteDB6[[Site Name]:[CCCM Management]],6,FALSE)</f>
        <v>0</v>
      </c>
      <c r="DK399" s="873">
        <f>VLOOKUP(WWWW[[#This Row],[Site Name]],SiteDB6[[Site Name]:[CCCM Focal Agency]],7,FALSE)</f>
        <v>0</v>
      </c>
      <c r="DL399" s="873" t="str">
        <f>VLOOKUP(WWWW[[#This Row],[Site Name]],SiteDB6[[Site Name]:[Location Type 1]],9,FALSE)</f>
        <v>Temporary location</v>
      </c>
      <c r="DM399" s="873" t="str">
        <f>VLOOKUP(WWWW[[#This Row],[Site Name]],SiteDB6[[Site Name]:[Type of Accommodation]],10,FALSE)</f>
        <v>Temporary location</v>
      </c>
      <c r="DN399" s="873">
        <f>VLOOKUP(WWWW[[#This Row],[Site Name]],SiteDB6[[Site Name]:[Ethnic or GCA/NGCA]],11,FALSE)</f>
        <v>0</v>
      </c>
      <c r="DO399" s="873">
        <f>VLOOKUP(WWWW[[#This Row],[Site Name]],SiteDB6[[Site Name]:[Lat]],12,FALSE)</f>
        <v>0</v>
      </c>
      <c r="DP399" s="873">
        <f>VLOOKUP(WWWW[[#This Row],[Site Name]],SiteDB6[[Site Name]:[Long]],13,FALSE)</f>
        <v>0</v>
      </c>
      <c r="DQ399" s="873">
        <f>VLOOKUP(WWWW[[#This Row],[Site Name]],SiteDB6[[Site Name]:[Pcode]],3,FALSE)</f>
        <v>0</v>
      </c>
      <c r="DR399" s="871" t="str">
        <f t="shared" si="13"/>
        <v>Notcovered</v>
      </c>
      <c r="DS399" s="871"/>
      <c r="DV399" s="661"/>
    </row>
    <row r="400" spans="1:126">
      <c r="A400" s="637" t="s">
        <v>2525</v>
      </c>
      <c r="B400" s="863" t="s">
        <v>3234</v>
      </c>
      <c r="C400" s="863" t="s">
        <v>3234</v>
      </c>
      <c r="D400" s="864"/>
      <c r="E400" s="865" t="s">
        <v>3014</v>
      </c>
      <c r="F400" s="864" t="s">
        <v>489</v>
      </c>
      <c r="G400" s="866" t="str">
        <f>VLOOKUP(WWWW[[#This Row],[Site Name]],SiteDB6[[Site Name]:[Location Type]],8,FALSE)</f>
        <v>New Temporary Site</v>
      </c>
      <c r="H400" s="864" t="s">
        <v>2876</v>
      </c>
      <c r="I400" s="867">
        <v>96</v>
      </c>
      <c r="J400" s="867">
        <v>384</v>
      </c>
      <c r="K400" s="868"/>
      <c r="L400" s="869"/>
      <c r="M400" s="867"/>
      <c r="N400" s="867"/>
      <c r="O400" s="867"/>
      <c r="P400" s="867"/>
      <c r="Q400" s="870"/>
      <c r="R400" s="867"/>
      <c r="S400" s="867"/>
      <c r="T400" s="379"/>
      <c r="U400" s="867"/>
      <c r="V400" s="867"/>
      <c r="W400" s="867"/>
      <c r="X400" s="867"/>
      <c r="Y400" s="867"/>
      <c r="Z400" s="867"/>
      <c r="AA400" s="867"/>
      <c r="AB400" s="867"/>
      <c r="AC400" s="867"/>
      <c r="AD400" s="867"/>
      <c r="AE400" s="867"/>
      <c r="AF400" s="867"/>
      <c r="AG400" s="867"/>
      <c r="AH400" s="867"/>
      <c r="AI400" s="867"/>
      <c r="AJ400" s="867"/>
      <c r="AK400" s="867"/>
      <c r="AL400" s="867"/>
      <c r="AM400" s="867"/>
      <c r="AN400" s="867"/>
      <c r="AO400" s="871"/>
      <c r="AP400" s="867">
        <v>4</v>
      </c>
      <c r="AQ400" s="867"/>
      <c r="AR400" s="872"/>
      <c r="AS400" s="867"/>
      <c r="AT400" s="867"/>
      <c r="AU400" s="867"/>
      <c r="AV400" s="867"/>
      <c r="AW400" s="867"/>
      <c r="AX400" s="873"/>
      <c r="AY400" s="871"/>
      <c r="AZ400" s="867"/>
      <c r="BA400" s="867"/>
      <c r="BB400" s="867"/>
      <c r="BC400" s="873"/>
      <c r="BD400" s="867"/>
      <c r="BE400" s="867"/>
      <c r="BF400" s="867"/>
      <c r="BG400" s="867"/>
      <c r="BH400" s="867"/>
      <c r="BI400" s="867"/>
      <c r="BJ400" s="867"/>
      <c r="BK400" s="867">
        <v>326</v>
      </c>
      <c r="BL400" s="867">
        <v>326</v>
      </c>
      <c r="BM400" s="873"/>
      <c r="BN400" s="874"/>
      <c r="BO400" s="872"/>
      <c r="BP400" s="873"/>
      <c r="BQ400" s="875" t="str">
        <f>IFERROR(WWWW[[#This Row],['#_Water sources treated]]/WWWW[[#This Row],['#_Water sources tested for contamination]],"no test")</f>
        <v>no test</v>
      </c>
      <c r="BR400" s="872" t="str">
        <f>IFERROR(WWWW[[#This Row],['#_Household received remediation action due to contamination]]/WWWW[[#This Row],['#_Household water samples tested for contamination]],"no test")</f>
        <v>no test</v>
      </c>
      <c r="BS400" s="874" t="str">
        <f>IF(AND(WWWW[[#This Row],[% of water sources treated]]="no test",WWWW[[#This Row],[% Household received corrective actions]]="no test"),"No Test","Tested")</f>
        <v>No Test</v>
      </c>
      <c r="BT400" s="874">
        <f>WWWW[[#This Row],['#_Constructed/existing protected hand dug well]]-WWWW[[#This Row],['#_Non-functional protected hand dug well]]</f>
        <v>0</v>
      </c>
      <c r="BU400" s="874">
        <f>(WWWW[[#This Row],['#_Constructed/Existing tube wells/boreholes/handpumps_WASH_agency]]+WWWW[[#This Row],['#_Non-Cluster partner water tube-wells/boreholes/handpumps]])-WWWW[[#This Row],['#_Non-functional tube wells/boreholes/handpumps]]</f>
        <v>0</v>
      </c>
      <c r="BV400" s="874">
        <f>WWWW[[#This Row],['#_Constructed/Existingwater storage tank with gravity fed reticulation system]]-WWWW[[#This Row],['#_Non-functional storage tank gravity fed reticulation system]]</f>
        <v>0</v>
      </c>
      <c r="BW400" s="874">
        <f>WWWW[[#This Row],['#_Water boating or water trucking]]</f>
        <v>0</v>
      </c>
      <c r="BX400" s="874">
        <f>WWWW[[#This Row],['#_Constructed/Existing water distribution system from river or natural spring]]</f>
        <v>0</v>
      </c>
      <c r="BY400"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00"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00" s="872">
        <f>IF(WWWW[[#This Row],[Location Type 1]]="Village",WWWW[[#This Row],[Access to safe drinking water for Village]],WWWW[[#This Row],[Access to safe drinking water for Camp]])</f>
        <v>0</v>
      </c>
      <c r="CB400" s="870">
        <f>WWWW[[#This Row],[%Equitable and continuous access to sufficient quantity of safe drinking water]]*WWWW[[#This Row],[Total PoP ]]</f>
        <v>0</v>
      </c>
      <c r="CC400" s="872">
        <f>IF((WWWW[[#This Row],['#_Constructed/Existing protected/fenced ponds]]*250)/WWWW[[#This Row],[Total PoP ]]&gt;1,1,(WWWW[[#This Row],['#_Constructed/Existing protected/fenced ponds]]*250)/WWWW[[#This Row],[Total PoP ]])</f>
        <v>0</v>
      </c>
      <c r="CD400" s="870">
        <f>WWWW[[#This Row],[% Access to unimproved water points]]*WWWW[[#This Row],[Total PoP ]]</f>
        <v>0</v>
      </c>
      <c r="CE400"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00"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00" s="870">
        <f>WWWW[[#This Row],[HRP1]]/500</f>
        <v>0</v>
      </c>
      <c r="CH400" s="876">
        <f>1-WWWW[[#This Row],[% Equitable and continuous access to sufficient quantity of domestic water]]</f>
        <v>1</v>
      </c>
      <c r="CI400" s="870">
        <f>WWWW[[#This Row],[%equitable and continuous access to sufficient quantity of safe drinking and domestic water''s GAP]]*WWWW[[#This Row],[Total PoP ]]</f>
        <v>384</v>
      </c>
      <c r="CJ400" s="874">
        <f>IF(WWWW[[#This Row],[Total required water points]]-WWWW[[#This Row],['#Water points coverage]]&lt;0,0,WWWW[[#This Row],[Total required water points]]-WWWW[[#This Row],['#Water points coverage]])</f>
        <v>1</v>
      </c>
      <c r="CK400" s="874">
        <f>ROUND(IF(WWWW[[#This Row],[Total PoP ]]&lt;500,1,WWWW[[#This Row],[Total PoP ]]/500),0)</f>
        <v>1</v>
      </c>
      <c r="CL400" s="874">
        <f>(WWWW[[#This Row],['#_Constructed latrines_by_WASHAgencies]]+WWWW[[#This Row],['#_Non Cluster partner latrines]])-WWWW[[#This Row],['#_Non-functional latrines]]</f>
        <v>4</v>
      </c>
      <c r="CM400"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0.52083333333333337</v>
      </c>
      <c r="CN400"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200</v>
      </c>
      <c r="CO400"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00" s="874">
        <f>IF(WWWW[[#This Row],[Location Type 1]]="Village","NA",IF(WWWW[[#This Row],['#_Constructed/Existing latrines in TLS]]*50&gt;WWWW[[#This Row],['#_students at TLS_CFS]],WWWW[[#This Row],['#_students at TLS_CFS]],(WWWW[[#This Row],['#_Constructed/Existing latrines in TLS]]*50)))</f>
        <v>0</v>
      </c>
      <c r="CQ400" s="874">
        <f>ROUND(IF(WWWW[[#This Row],[Location Type 1]]="camp",WWWW[[#This Row],[Total PoP ]]/20,IF(WWWW[[#This Row],[Location Type 1]]="Temporary Location",WWWW[[#This Row],[Total PoP ]]/50,(WWWW[[#This Row],[Total PoP ]]/6))),0)</f>
        <v>8</v>
      </c>
      <c r="CR400" s="874">
        <f>IF(WWWW[[#This Row],[Total required Latrines]]-(WWWW[[#This Row],['#_Constructed latrines_by_WASHAgencies]]+WWWW[[#This Row],['#_Non Cluster partner latrines]])&lt;0,0,WWWW[[#This Row],[Total required Latrines]]-(WWWW[[#This Row],['#_Constructed latrines_by_WASHAgencies]]+WWWW[[#This Row],['#_Non Cluster partner latrines]]))</f>
        <v>4</v>
      </c>
      <c r="CS400" s="878">
        <f>1-WWWW[[#This Row],[% people access to functioning Latrine]]</f>
        <v>0.47916666666666663</v>
      </c>
      <c r="CT400" s="875">
        <f>IF(OR(WWWW[[#This Row],['#_Non-functional latrines]]="",WWWW[[#This Row],['#_Non-functional latrines]]=0),0,WWWW[[#This Row],['#_Non-functional latrines]]/(WWWW[[#This Row],['#_Constructed latrines_by_WASHAgencies]]+WWWW[[#This Row],['#_Non Cluster partner latrines]]))</f>
        <v>0</v>
      </c>
      <c r="CU400" s="870">
        <f>IF(500*(WWWW[[#This Row],['#_male hygiene promoters]]+WWWW[[#This Row],['#_female hygiene promoters]])&gt;WWWW[[#This Row],[Total PoP ]],WWWW[[#This Row],[Total PoP ]],500*(WWWW[[#This Row],['#_male hygiene promoters]]+WWWW[[#This Row],['#_female hygiene promoters]]))</f>
        <v>0</v>
      </c>
      <c r="CV400"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384</v>
      </c>
      <c r="CW400"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384</v>
      </c>
      <c r="CX400" s="874">
        <f>IF(WWWW[[#This Row],['# People with access to soap]]&gt;WWWW[[#This Row],['# People with access to Sanity Pads]],WWWW[[#This Row],['# People with access to soap]],WWWW[[#This Row],['# People with access to Sanity Pads]])</f>
        <v>384</v>
      </c>
      <c r="CY400" s="874">
        <f>IF(WWWW[[#This Row],['# people reached by regular dedicated hygiene promotion_5]]&gt;WWWW[[#This Row],['# People received regular supply of hygiene items_6]],WWWW[[#This Row],['# people reached by regular dedicated hygiene promotion_5]],WWWW[[#This Row],['# People received regular supply of hygiene items_6]])</f>
        <v>384</v>
      </c>
      <c r="CZ400" s="876">
        <f>IF(WWWW[[#This Row],[HRP3]]/WWWW[[#This Row],[Total PoP ]]&gt;100%,100%,WWWW[[#This Row],[HRP3]]/WWWW[[#This Row],[Total PoP ]])</f>
        <v>1</v>
      </c>
      <c r="DA400" s="875">
        <f>1-WWWW[[#This Row],[Hygiene Coverage%]]</f>
        <v>0</v>
      </c>
      <c r="DB400" s="872">
        <f>WWWW[[#This Row],['# people reached by regular dedicated hygiene promotion_5]]/WWWW[[#This Row],[Total PoP ]]</f>
        <v>0</v>
      </c>
      <c r="DC400" s="872">
        <f>IF(WWWW[[#This Row],['#_households that received standard amount of soap for this quarter]]/WWWW[[#This Row],[Total HH]]&gt;1,1,WWWW[[#This Row],['#_households that received standard amount of soap for this quarter]]/WWWW[[#This Row],[Total HH]])</f>
        <v>1</v>
      </c>
      <c r="DD400" s="872">
        <f>IF(WWWW[[#This Row],['#_households that received standard amount of sanitary pads for this quarter]]/WWWW[[#This Row],[Total HH]]&gt;1,1,WWWW[[#This Row],['#_households that received standard amount of sanitary pads for this quarter]]/WWWW[[#This Row],[Total HH]])</f>
        <v>1</v>
      </c>
      <c r="DE400" s="874">
        <f>WWWW[[#This Row],['#_Constructed/Existing hand washing stations]]-WWWW[[#This Row],['#_Non-Functional_hand_washing_stations]]</f>
        <v>0</v>
      </c>
      <c r="DF400" s="879" t="e">
        <f>WWWW[[#This Row],[Total HH]]*#REF!</f>
        <v>#REF!</v>
      </c>
      <c r="DG400" s="870">
        <f>IF(WWWW[[#This Row],[Is sufficient soap available for TLS? (Yes/No)]]="yes",WWWW[[#This Row],['#_Constructed/Existing hand washing stations at TLS]],0)</f>
        <v>0</v>
      </c>
      <c r="DH400" s="702">
        <f>IF(WWWW[[#This Row],['# Functional hand washing stations during reporting period]]*100&gt;WWWW[[#This Row],[Total PoP ]],WWWW[[#This Row],[Total PoP ]],WWWW[[#This Row],['# Functional hand washing stations during reporting period]]*100)</f>
        <v>0</v>
      </c>
      <c r="DI400" s="702" t="str">
        <f>IF(WWWW[[#This Row],['#_students at TLS_CFS]]="","No","Yes")</f>
        <v>No</v>
      </c>
      <c r="DJ400" s="873">
        <f>VLOOKUP(WWWW[[#This Row],[Site Name]],SiteDB6[[Site Name]:[CCCM Management]],6,FALSE)</f>
        <v>0</v>
      </c>
      <c r="DK400" s="873">
        <f>VLOOKUP(WWWW[[#This Row],[Site Name]],SiteDB6[[Site Name]:[CCCM Focal Agency]],7,FALSE)</f>
        <v>0</v>
      </c>
      <c r="DL400" s="873" t="str">
        <f>VLOOKUP(WWWW[[#This Row],[Site Name]],SiteDB6[[Site Name]:[Location Type 1]],9,FALSE)</f>
        <v>Temporary location</v>
      </c>
      <c r="DM400" s="873" t="str">
        <f>VLOOKUP(WWWW[[#This Row],[Site Name]],SiteDB6[[Site Name]:[Type of Accommodation]],10,FALSE)</f>
        <v>Temporary location_Town</v>
      </c>
      <c r="DN400" s="873">
        <f>VLOOKUP(WWWW[[#This Row],[Site Name]],SiteDB6[[Site Name]:[Ethnic or GCA/NGCA]],11,FALSE)</f>
        <v>0</v>
      </c>
      <c r="DO400" s="873">
        <f>VLOOKUP(WWWW[[#This Row],[Site Name]],SiteDB6[[Site Name]:[Lat]],12,FALSE)</f>
        <v>0</v>
      </c>
      <c r="DP400" s="873">
        <f>VLOOKUP(WWWW[[#This Row],[Site Name]],SiteDB6[[Site Name]:[Long]],13,FALSE)</f>
        <v>0</v>
      </c>
      <c r="DQ400" s="873">
        <f>VLOOKUP(WWWW[[#This Row],[Site Name]],SiteDB6[[Site Name]:[Pcode]],3,FALSE)</f>
        <v>0</v>
      </c>
      <c r="DR400" s="871" t="str">
        <f t="shared" si="13"/>
        <v>Covered</v>
      </c>
      <c r="DS400" s="871"/>
      <c r="DV400" s="661"/>
    </row>
    <row r="401" spans="1:126">
      <c r="A401" s="637" t="s">
        <v>2525</v>
      </c>
      <c r="B401" s="863" t="s">
        <v>3152</v>
      </c>
      <c r="C401" s="863" t="s">
        <v>3152</v>
      </c>
      <c r="D401" s="864"/>
      <c r="E401" s="865" t="s">
        <v>3014</v>
      </c>
      <c r="F401" s="864" t="s">
        <v>489</v>
      </c>
      <c r="G401" s="866" t="str">
        <f>VLOOKUP(WWWW[[#This Row],[Site Name]],SiteDB6[[Site Name]:[Location Type]],8,FALSE)</f>
        <v>New Temporary Site</v>
      </c>
      <c r="H401" s="864" t="s">
        <v>2875</v>
      </c>
      <c r="I401" s="867">
        <v>107</v>
      </c>
      <c r="J401" s="867">
        <v>373</v>
      </c>
      <c r="K401" s="868"/>
      <c r="L401" s="869"/>
      <c r="M401" s="867"/>
      <c r="N401" s="867"/>
      <c r="O401" s="867"/>
      <c r="P401" s="867"/>
      <c r="Q401" s="870"/>
      <c r="R401" s="867"/>
      <c r="S401" s="867"/>
      <c r="T401" s="379"/>
      <c r="U401" s="867"/>
      <c r="V401" s="867"/>
      <c r="W401" s="867"/>
      <c r="X401" s="867"/>
      <c r="Y401" s="867"/>
      <c r="Z401" s="867"/>
      <c r="AA401" s="867"/>
      <c r="AB401" s="867"/>
      <c r="AC401" s="867"/>
      <c r="AD401" s="867"/>
      <c r="AE401" s="867"/>
      <c r="AF401" s="867"/>
      <c r="AG401" s="867"/>
      <c r="AH401" s="867"/>
      <c r="AI401" s="867"/>
      <c r="AJ401" s="867"/>
      <c r="AK401" s="867"/>
      <c r="AL401" s="867"/>
      <c r="AM401" s="867"/>
      <c r="AN401" s="867"/>
      <c r="AO401" s="871"/>
      <c r="AP401" s="867"/>
      <c r="AQ401" s="867"/>
      <c r="AR401" s="872"/>
      <c r="AS401" s="867"/>
      <c r="AT401" s="867"/>
      <c r="AU401" s="867"/>
      <c r="AV401" s="867"/>
      <c r="AW401" s="867"/>
      <c r="AX401" s="873"/>
      <c r="AY401" s="871"/>
      <c r="AZ401" s="867"/>
      <c r="BA401" s="867"/>
      <c r="BB401" s="867"/>
      <c r="BC401" s="873"/>
      <c r="BD401" s="867"/>
      <c r="BE401" s="867"/>
      <c r="BF401" s="867"/>
      <c r="BG401" s="867"/>
      <c r="BH401" s="867"/>
      <c r="BI401" s="867"/>
      <c r="BJ401" s="867"/>
      <c r="BK401" s="867">
        <v>222</v>
      </c>
      <c r="BL401" s="867">
        <v>222</v>
      </c>
      <c r="BM401" s="873"/>
      <c r="BN401" s="874"/>
      <c r="BO401" s="872"/>
      <c r="BP401" s="873"/>
      <c r="BQ401" s="875" t="str">
        <f>IFERROR(WWWW[[#This Row],['#_Water sources treated]]/WWWW[[#This Row],['#_Water sources tested for contamination]],"no test")</f>
        <v>no test</v>
      </c>
      <c r="BR401" s="872" t="str">
        <f>IFERROR(WWWW[[#This Row],['#_Household received remediation action due to contamination]]/WWWW[[#This Row],['#_Household water samples tested for contamination]],"no test")</f>
        <v>no test</v>
      </c>
      <c r="BS401" s="874" t="str">
        <f>IF(AND(WWWW[[#This Row],[% of water sources treated]]="no test",WWWW[[#This Row],[% Household received corrective actions]]="no test"),"No Test","Tested")</f>
        <v>No Test</v>
      </c>
      <c r="BT401" s="874">
        <f>WWWW[[#This Row],['#_Constructed/existing protected hand dug well]]-WWWW[[#This Row],['#_Non-functional protected hand dug well]]</f>
        <v>0</v>
      </c>
      <c r="BU401" s="874">
        <f>(WWWW[[#This Row],['#_Constructed/Existing tube wells/boreholes/handpumps_WASH_agency]]+WWWW[[#This Row],['#_Non-Cluster partner water tube-wells/boreholes/handpumps]])-WWWW[[#This Row],['#_Non-functional tube wells/boreholes/handpumps]]</f>
        <v>0</v>
      </c>
      <c r="BV401" s="874">
        <f>WWWW[[#This Row],['#_Constructed/Existingwater storage tank with gravity fed reticulation system]]-WWWW[[#This Row],['#_Non-functional storage tank gravity fed reticulation system]]</f>
        <v>0</v>
      </c>
      <c r="BW401" s="874">
        <f>WWWW[[#This Row],['#_Water boating or water trucking]]</f>
        <v>0</v>
      </c>
      <c r="BX401" s="874">
        <f>WWWW[[#This Row],['#_Constructed/Existing water distribution system from river or natural spring]]</f>
        <v>0</v>
      </c>
      <c r="BY401"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01"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01" s="872">
        <f>IF(WWWW[[#This Row],[Location Type 1]]="Village",WWWW[[#This Row],[Access to safe drinking water for Village]],WWWW[[#This Row],[Access to safe drinking water for Camp]])</f>
        <v>0</v>
      </c>
      <c r="CB401" s="870">
        <f>WWWW[[#This Row],[%Equitable and continuous access to sufficient quantity of safe drinking water]]*WWWW[[#This Row],[Total PoP ]]</f>
        <v>0</v>
      </c>
      <c r="CC401" s="872">
        <f>IF((WWWW[[#This Row],['#_Constructed/Existing protected/fenced ponds]]*250)/WWWW[[#This Row],[Total PoP ]]&gt;1,1,(WWWW[[#This Row],['#_Constructed/Existing protected/fenced ponds]]*250)/WWWW[[#This Row],[Total PoP ]])</f>
        <v>0</v>
      </c>
      <c r="CD401" s="870">
        <f>WWWW[[#This Row],[% Access to unimproved water points]]*WWWW[[#This Row],[Total PoP ]]</f>
        <v>0</v>
      </c>
      <c r="CE401"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01"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01" s="870">
        <f>WWWW[[#This Row],[HRP1]]/500</f>
        <v>0</v>
      </c>
      <c r="CH401" s="876">
        <f>1-WWWW[[#This Row],[% Equitable and continuous access to sufficient quantity of domestic water]]</f>
        <v>1</v>
      </c>
      <c r="CI401" s="870">
        <f>WWWW[[#This Row],[%equitable and continuous access to sufficient quantity of safe drinking and domestic water''s GAP]]*WWWW[[#This Row],[Total PoP ]]</f>
        <v>373</v>
      </c>
      <c r="CJ401" s="874">
        <f>IF(WWWW[[#This Row],[Total required water points]]-WWWW[[#This Row],['#Water points coverage]]&lt;0,0,WWWW[[#This Row],[Total required water points]]-WWWW[[#This Row],['#Water points coverage]])</f>
        <v>1</v>
      </c>
      <c r="CK401" s="874">
        <f>ROUND(IF(WWWW[[#This Row],[Total PoP ]]&lt;500,1,WWWW[[#This Row],[Total PoP ]]/500),0)</f>
        <v>1</v>
      </c>
      <c r="CL401" s="874">
        <f>(WWWW[[#This Row],['#_Constructed latrines_by_WASHAgencies]]+WWWW[[#This Row],['#_Non Cluster partner latrines]])-WWWW[[#This Row],['#_Non-functional latrines]]</f>
        <v>0</v>
      </c>
      <c r="CM401"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01"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01"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01" s="874">
        <f>IF(WWWW[[#This Row],[Location Type 1]]="Village","NA",IF(WWWW[[#This Row],['#_Constructed/Existing latrines in TLS]]*50&gt;WWWW[[#This Row],['#_students at TLS_CFS]],WWWW[[#This Row],['#_students at TLS_CFS]],(WWWW[[#This Row],['#_Constructed/Existing latrines in TLS]]*50)))</f>
        <v>0</v>
      </c>
      <c r="CQ401" s="874">
        <f>ROUND(IF(WWWW[[#This Row],[Location Type 1]]="camp",WWWW[[#This Row],[Total PoP ]]/20,IF(WWWW[[#This Row],[Location Type 1]]="Temporary Location",WWWW[[#This Row],[Total PoP ]]/50,(WWWW[[#This Row],[Total PoP ]]/6))),0)</f>
        <v>7</v>
      </c>
      <c r="CR401" s="874">
        <f>IF(WWWW[[#This Row],[Total required Latrines]]-(WWWW[[#This Row],['#_Constructed latrines_by_WASHAgencies]]+WWWW[[#This Row],['#_Non Cluster partner latrines]])&lt;0,0,WWWW[[#This Row],[Total required Latrines]]-(WWWW[[#This Row],['#_Constructed latrines_by_WASHAgencies]]+WWWW[[#This Row],['#_Non Cluster partner latrines]]))</f>
        <v>7</v>
      </c>
      <c r="CS401" s="878">
        <f>1-WWWW[[#This Row],[% people access to functioning Latrine]]</f>
        <v>1</v>
      </c>
      <c r="CT401" s="875">
        <f>IF(OR(WWWW[[#This Row],['#_Non-functional latrines]]="",WWWW[[#This Row],['#_Non-functional latrines]]=0),0,WWWW[[#This Row],['#_Non-functional latrines]]/(WWWW[[#This Row],['#_Constructed latrines_by_WASHAgencies]]+WWWW[[#This Row],['#_Non Cluster partner latrines]]))</f>
        <v>0</v>
      </c>
      <c r="CU401" s="870">
        <f>IF(500*(WWWW[[#This Row],['#_male hygiene promoters]]+WWWW[[#This Row],['#_female hygiene promoters]])&gt;WWWW[[#This Row],[Total PoP ]],WWWW[[#This Row],[Total PoP ]],500*(WWWW[[#This Row],['#_male hygiene promoters]]+WWWW[[#This Row],['#_female hygiene promoters]]))</f>
        <v>0</v>
      </c>
      <c r="CV401"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373</v>
      </c>
      <c r="CW401"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373</v>
      </c>
      <c r="CX401" s="874">
        <f>IF(WWWW[[#This Row],['# People with access to soap]]&gt;WWWW[[#This Row],['# People with access to Sanity Pads]],WWWW[[#This Row],['# People with access to soap]],WWWW[[#This Row],['# People with access to Sanity Pads]])</f>
        <v>373</v>
      </c>
      <c r="CY401" s="874">
        <f>IF(WWWW[[#This Row],['# people reached by regular dedicated hygiene promotion_5]]&gt;WWWW[[#This Row],['# People received regular supply of hygiene items_6]],WWWW[[#This Row],['# people reached by regular dedicated hygiene promotion_5]],WWWW[[#This Row],['# People received regular supply of hygiene items_6]])</f>
        <v>373</v>
      </c>
      <c r="CZ401" s="876">
        <f>IF(WWWW[[#This Row],[HRP3]]/WWWW[[#This Row],[Total PoP ]]&gt;100%,100%,WWWW[[#This Row],[HRP3]]/WWWW[[#This Row],[Total PoP ]])</f>
        <v>1</v>
      </c>
      <c r="DA401" s="875">
        <f>1-WWWW[[#This Row],[Hygiene Coverage%]]</f>
        <v>0</v>
      </c>
      <c r="DB401" s="872">
        <f>WWWW[[#This Row],['# people reached by regular dedicated hygiene promotion_5]]/WWWW[[#This Row],[Total PoP ]]</f>
        <v>0</v>
      </c>
      <c r="DC401" s="872">
        <f>IF(WWWW[[#This Row],['#_households that received standard amount of soap for this quarter]]/WWWW[[#This Row],[Total HH]]&gt;1,1,WWWW[[#This Row],['#_households that received standard amount of soap for this quarter]]/WWWW[[#This Row],[Total HH]])</f>
        <v>1</v>
      </c>
      <c r="DD401" s="872">
        <f>IF(WWWW[[#This Row],['#_households that received standard amount of sanitary pads for this quarter]]/WWWW[[#This Row],[Total HH]]&gt;1,1,WWWW[[#This Row],['#_households that received standard amount of sanitary pads for this quarter]]/WWWW[[#This Row],[Total HH]])</f>
        <v>1</v>
      </c>
      <c r="DE401" s="874">
        <f>WWWW[[#This Row],['#_Constructed/Existing hand washing stations]]-WWWW[[#This Row],['#_Non-Functional_hand_washing_stations]]</f>
        <v>0</v>
      </c>
      <c r="DF401" s="879" t="e">
        <f>WWWW[[#This Row],[Total HH]]*#REF!</f>
        <v>#REF!</v>
      </c>
      <c r="DG401" s="870">
        <f>IF(WWWW[[#This Row],[Is sufficient soap available for TLS? (Yes/No)]]="yes",WWWW[[#This Row],['#_Constructed/Existing hand washing stations at TLS]],0)</f>
        <v>0</v>
      </c>
      <c r="DH401" s="702">
        <f>IF(WWWW[[#This Row],['# Functional hand washing stations during reporting period]]*100&gt;WWWW[[#This Row],[Total PoP ]],WWWW[[#This Row],[Total PoP ]],WWWW[[#This Row],['# Functional hand washing stations during reporting period]]*100)</f>
        <v>0</v>
      </c>
      <c r="DI401" s="702" t="str">
        <f>IF(WWWW[[#This Row],['#_students at TLS_CFS]]="","No","Yes")</f>
        <v>No</v>
      </c>
      <c r="DJ401" s="873">
        <f>VLOOKUP(WWWW[[#This Row],[Site Name]],SiteDB6[[Site Name]:[CCCM Management]],6,FALSE)</f>
        <v>0</v>
      </c>
      <c r="DK401" s="873">
        <f>VLOOKUP(WWWW[[#This Row],[Site Name]],SiteDB6[[Site Name]:[CCCM Focal Agency]],7,FALSE)</f>
        <v>0</v>
      </c>
      <c r="DL401" s="873" t="str">
        <f>VLOOKUP(WWWW[[#This Row],[Site Name]],SiteDB6[[Site Name]:[Location Type 1]],9,FALSE)</f>
        <v>Temporary location</v>
      </c>
      <c r="DM401" s="873" t="str">
        <f>VLOOKUP(WWWW[[#This Row],[Site Name]],SiteDB6[[Site Name]:[Type of Accommodation]],10,FALSE)</f>
        <v>Temporary location_Town</v>
      </c>
      <c r="DN401" s="873">
        <f>VLOOKUP(WWWW[[#This Row],[Site Name]],SiteDB6[[Site Name]:[Ethnic or GCA/NGCA]],11,FALSE)</f>
        <v>0</v>
      </c>
      <c r="DO401" s="873">
        <f>VLOOKUP(WWWW[[#This Row],[Site Name]],SiteDB6[[Site Name]:[Lat]],12,FALSE)</f>
        <v>0</v>
      </c>
      <c r="DP401" s="873">
        <f>VLOOKUP(WWWW[[#This Row],[Site Name]],SiteDB6[[Site Name]:[Long]],13,FALSE)</f>
        <v>0</v>
      </c>
      <c r="DQ401" s="873">
        <f>VLOOKUP(WWWW[[#This Row],[Site Name]],SiteDB6[[Site Name]:[Pcode]],3,FALSE)</f>
        <v>0</v>
      </c>
      <c r="DR401" s="871" t="str">
        <f t="shared" si="13"/>
        <v>Covered</v>
      </c>
      <c r="DS401" s="871"/>
      <c r="DV401" s="661"/>
    </row>
    <row r="402" spans="1:126">
      <c r="A402" s="637" t="s">
        <v>2525</v>
      </c>
      <c r="B402" s="863" t="s">
        <v>2871</v>
      </c>
      <c r="C402" s="863" t="s">
        <v>2871</v>
      </c>
      <c r="D402" s="864"/>
      <c r="E402" s="865" t="s">
        <v>3014</v>
      </c>
      <c r="F402" s="864" t="s">
        <v>489</v>
      </c>
      <c r="G402" s="866" t="str">
        <f>VLOOKUP(WWWW[[#This Row],[Site Name]],SiteDB6[[Site Name]:[Location Type]],8,FALSE)</f>
        <v>New Temporary Site</v>
      </c>
      <c r="H402" s="864" t="s">
        <v>3181</v>
      </c>
      <c r="I402" s="867">
        <v>48</v>
      </c>
      <c r="J402" s="867">
        <v>176</v>
      </c>
      <c r="K402" s="868"/>
      <c r="L402" s="869"/>
      <c r="M402" s="867"/>
      <c r="N402" s="867"/>
      <c r="O402" s="867"/>
      <c r="P402" s="867"/>
      <c r="Q402" s="870"/>
      <c r="R402" s="867"/>
      <c r="S402" s="867"/>
      <c r="T402" s="379"/>
      <c r="U402" s="867"/>
      <c r="V402" s="867"/>
      <c r="W402" s="867"/>
      <c r="X402" s="867"/>
      <c r="Y402" s="867"/>
      <c r="Z402" s="867"/>
      <c r="AA402" s="867"/>
      <c r="AB402" s="867"/>
      <c r="AC402" s="867"/>
      <c r="AD402" s="867"/>
      <c r="AE402" s="867"/>
      <c r="AF402" s="867"/>
      <c r="AG402" s="867"/>
      <c r="AH402" s="867"/>
      <c r="AI402" s="867"/>
      <c r="AJ402" s="867"/>
      <c r="AK402" s="867"/>
      <c r="AL402" s="867"/>
      <c r="AM402" s="867"/>
      <c r="AN402" s="867"/>
      <c r="AO402" s="871"/>
      <c r="AP402" s="867"/>
      <c r="AQ402" s="867"/>
      <c r="AR402" s="872"/>
      <c r="AS402" s="867"/>
      <c r="AT402" s="867"/>
      <c r="AU402" s="867"/>
      <c r="AV402" s="867"/>
      <c r="AW402" s="867"/>
      <c r="AX402" s="873"/>
      <c r="AY402" s="871"/>
      <c r="AZ402" s="867"/>
      <c r="BA402" s="867"/>
      <c r="BB402" s="867"/>
      <c r="BC402" s="873"/>
      <c r="BD402" s="867"/>
      <c r="BE402" s="867"/>
      <c r="BF402" s="867"/>
      <c r="BG402" s="867"/>
      <c r="BH402" s="867"/>
      <c r="BI402" s="867"/>
      <c r="BJ402" s="867"/>
      <c r="BK402" s="867">
        <v>48</v>
      </c>
      <c r="BL402" s="867">
        <v>48</v>
      </c>
      <c r="BM402" s="873"/>
      <c r="BN402" s="874"/>
      <c r="BO402" s="872"/>
      <c r="BP402" s="873"/>
      <c r="BQ402" s="875" t="str">
        <f>IFERROR(WWWW[[#This Row],['#_Water sources treated]]/WWWW[[#This Row],['#_Water sources tested for contamination]],"no test")</f>
        <v>no test</v>
      </c>
      <c r="BR402" s="872" t="str">
        <f>IFERROR(WWWW[[#This Row],['#_Household received remediation action due to contamination]]/WWWW[[#This Row],['#_Household water samples tested for contamination]],"no test")</f>
        <v>no test</v>
      </c>
      <c r="BS402" s="874" t="str">
        <f>IF(AND(WWWW[[#This Row],[% of water sources treated]]="no test",WWWW[[#This Row],[% Household received corrective actions]]="no test"),"No Test","Tested")</f>
        <v>No Test</v>
      </c>
      <c r="BT402" s="874">
        <f>WWWW[[#This Row],['#_Constructed/existing protected hand dug well]]-WWWW[[#This Row],['#_Non-functional protected hand dug well]]</f>
        <v>0</v>
      </c>
      <c r="BU402" s="874">
        <f>(WWWW[[#This Row],['#_Constructed/Existing tube wells/boreholes/handpumps_WASH_agency]]+WWWW[[#This Row],['#_Non-Cluster partner water tube-wells/boreholes/handpumps]])-WWWW[[#This Row],['#_Non-functional tube wells/boreholes/handpumps]]</f>
        <v>0</v>
      </c>
      <c r="BV402" s="874">
        <f>WWWW[[#This Row],['#_Constructed/Existingwater storage tank with gravity fed reticulation system]]-WWWW[[#This Row],['#_Non-functional storage tank gravity fed reticulation system]]</f>
        <v>0</v>
      </c>
      <c r="BW402" s="874">
        <f>WWWW[[#This Row],['#_Water boating or water trucking]]</f>
        <v>0</v>
      </c>
      <c r="BX402" s="874">
        <f>WWWW[[#This Row],['#_Constructed/Existing water distribution system from river or natural spring]]</f>
        <v>0</v>
      </c>
      <c r="BY402"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02"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02" s="872">
        <f>IF(WWWW[[#This Row],[Location Type 1]]="Village",WWWW[[#This Row],[Access to safe drinking water for Village]],WWWW[[#This Row],[Access to safe drinking water for Camp]])</f>
        <v>0</v>
      </c>
      <c r="CB402" s="870">
        <f>WWWW[[#This Row],[%Equitable and continuous access to sufficient quantity of safe drinking water]]*WWWW[[#This Row],[Total PoP ]]</f>
        <v>0</v>
      </c>
      <c r="CC402" s="872">
        <f>IF((WWWW[[#This Row],['#_Constructed/Existing protected/fenced ponds]]*250)/WWWW[[#This Row],[Total PoP ]]&gt;1,1,(WWWW[[#This Row],['#_Constructed/Existing protected/fenced ponds]]*250)/WWWW[[#This Row],[Total PoP ]])</f>
        <v>0</v>
      </c>
      <c r="CD402" s="870">
        <f>WWWW[[#This Row],[% Access to unimproved water points]]*WWWW[[#This Row],[Total PoP ]]</f>
        <v>0</v>
      </c>
      <c r="CE402"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02"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02" s="870">
        <f>WWWW[[#This Row],[HRP1]]/500</f>
        <v>0</v>
      </c>
      <c r="CH402" s="876">
        <f>1-WWWW[[#This Row],[% Equitable and continuous access to sufficient quantity of domestic water]]</f>
        <v>1</v>
      </c>
      <c r="CI402" s="870">
        <f>WWWW[[#This Row],[%equitable and continuous access to sufficient quantity of safe drinking and domestic water''s GAP]]*WWWW[[#This Row],[Total PoP ]]</f>
        <v>176</v>
      </c>
      <c r="CJ402" s="874">
        <f>IF(WWWW[[#This Row],[Total required water points]]-WWWW[[#This Row],['#Water points coverage]]&lt;0,0,WWWW[[#This Row],[Total required water points]]-WWWW[[#This Row],['#Water points coverage]])</f>
        <v>1</v>
      </c>
      <c r="CK402" s="874">
        <f>ROUND(IF(WWWW[[#This Row],[Total PoP ]]&lt;500,1,WWWW[[#This Row],[Total PoP ]]/500),0)</f>
        <v>1</v>
      </c>
      <c r="CL402" s="874">
        <f>(WWWW[[#This Row],['#_Constructed latrines_by_WASHAgencies]]+WWWW[[#This Row],['#_Non Cluster partner latrines]])-WWWW[[#This Row],['#_Non-functional latrines]]</f>
        <v>0</v>
      </c>
      <c r="CM402"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02"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02"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02" s="874">
        <f>IF(WWWW[[#This Row],[Location Type 1]]="Village","NA",IF(WWWW[[#This Row],['#_Constructed/Existing latrines in TLS]]*50&gt;WWWW[[#This Row],['#_students at TLS_CFS]],WWWW[[#This Row],['#_students at TLS_CFS]],(WWWW[[#This Row],['#_Constructed/Existing latrines in TLS]]*50)))</f>
        <v>0</v>
      </c>
      <c r="CQ402" s="874">
        <f>ROUND(IF(WWWW[[#This Row],[Location Type 1]]="camp",WWWW[[#This Row],[Total PoP ]]/20,IF(WWWW[[#This Row],[Location Type 1]]="Temporary Location",WWWW[[#This Row],[Total PoP ]]/50,(WWWW[[#This Row],[Total PoP ]]/6))),0)</f>
        <v>4</v>
      </c>
      <c r="CR402" s="874">
        <f>IF(WWWW[[#This Row],[Total required Latrines]]-(WWWW[[#This Row],['#_Constructed latrines_by_WASHAgencies]]+WWWW[[#This Row],['#_Non Cluster partner latrines]])&lt;0,0,WWWW[[#This Row],[Total required Latrines]]-(WWWW[[#This Row],['#_Constructed latrines_by_WASHAgencies]]+WWWW[[#This Row],['#_Non Cluster partner latrines]]))</f>
        <v>4</v>
      </c>
      <c r="CS402" s="878">
        <f>1-WWWW[[#This Row],[% people access to functioning Latrine]]</f>
        <v>1</v>
      </c>
      <c r="CT402" s="875">
        <f>IF(OR(WWWW[[#This Row],['#_Non-functional latrines]]="",WWWW[[#This Row],['#_Non-functional latrines]]=0),0,WWWW[[#This Row],['#_Non-functional latrines]]/(WWWW[[#This Row],['#_Constructed latrines_by_WASHAgencies]]+WWWW[[#This Row],['#_Non Cluster partner latrines]]))</f>
        <v>0</v>
      </c>
      <c r="CU402" s="870">
        <f>IF(500*(WWWW[[#This Row],['#_male hygiene promoters]]+WWWW[[#This Row],['#_female hygiene promoters]])&gt;WWWW[[#This Row],[Total PoP ]],WWWW[[#This Row],[Total PoP ]],500*(WWWW[[#This Row],['#_male hygiene promoters]]+WWWW[[#This Row],['#_female hygiene promoters]]))</f>
        <v>0</v>
      </c>
      <c r="CV402"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176</v>
      </c>
      <c r="CW402"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176</v>
      </c>
      <c r="CX402" s="874">
        <f>IF(WWWW[[#This Row],['# People with access to soap]]&gt;WWWW[[#This Row],['# People with access to Sanity Pads]],WWWW[[#This Row],['# People with access to soap]],WWWW[[#This Row],['# People with access to Sanity Pads]])</f>
        <v>176</v>
      </c>
      <c r="CY402" s="874">
        <f>IF(WWWW[[#This Row],['# people reached by regular dedicated hygiene promotion_5]]&gt;WWWW[[#This Row],['# People received regular supply of hygiene items_6]],WWWW[[#This Row],['# people reached by regular dedicated hygiene promotion_5]],WWWW[[#This Row],['# People received regular supply of hygiene items_6]])</f>
        <v>176</v>
      </c>
      <c r="CZ402" s="876">
        <f>IF(WWWW[[#This Row],[HRP3]]/WWWW[[#This Row],[Total PoP ]]&gt;100%,100%,WWWW[[#This Row],[HRP3]]/WWWW[[#This Row],[Total PoP ]])</f>
        <v>1</v>
      </c>
      <c r="DA402" s="875">
        <f>1-WWWW[[#This Row],[Hygiene Coverage%]]</f>
        <v>0</v>
      </c>
      <c r="DB402" s="872">
        <f>WWWW[[#This Row],['# people reached by regular dedicated hygiene promotion_5]]/WWWW[[#This Row],[Total PoP ]]</f>
        <v>0</v>
      </c>
      <c r="DC402" s="872">
        <f>IF(WWWW[[#This Row],['#_households that received standard amount of soap for this quarter]]/WWWW[[#This Row],[Total HH]]&gt;1,1,WWWW[[#This Row],['#_households that received standard amount of soap for this quarter]]/WWWW[[#This Row],[Total HH]])</f>
        <v>1</v>
      </c>
      <c r="DD402" s="872">
        <f>IF(WWWW[[#This Row],['#_households that received standard amount of sanitary pads for this quarter]]/WWWW[[#This Row],[Total HH]]&gt;1,1,WWWW[[#This Row],['#_households that received standard amount of sanitary pads for this quarter]]/WWWW[[#This Row],[Total HH]])</f>
        <v>1</v>
      </c>
      <c r="DE402" s="874">
        <f>WWWW[[#This Row],['#_Constructed/Existing hand washing stations]]-WWWW[[#This Row],['#_Non-Functional_hand_washing_stations]]</f>
        <v>0</v>
      </c>
      <c r="DF402" s="879" t="e">
        <f>WWWW[[#This Row],[Total HH]]*#REF!</f>
        <v>#REF!</v>
      </c>
      <c r="DG402" s="870">
        <f>IF(WWWW[[#This Row],[Is sufficient soap available for TLS? (Yes/No)]]="yes",WWWW[[#This Row],['#_Constructed/Existing hand washing stations at TLS]],0)</f>
        <v>0</v>
      </c>
      <c r="DH402" s="702">
        <f>IF(WWWW[[#This Row],['# Functional hand washing stations during reporting period]]*100&gt;WWWW[[#This Row],[Total PoP ]],WWWW[[#This Row],[Total PoP ]],WWWW[[#This Row],['# Functional hand washing stations during reporting period]]*100)</f>
        <v>0</v>
      </c>
      <c r="DI402" s="702" t="str">
        <f>IF(WWWW[[#This Row],['#_students at TLS_CFS]]="","No","Yes")</f>
        <v>No</v>
      </c>
      <c r="DJ402" s="873">
        <f>VLOOKUP(WWWW[[#This Row],[Site Name]],SiteDB6[[Site Name]:[CCCM Management]],6,FALSE)</f>
        <v>0</v>
      </c>
      <c r="DK402" s="873">
        <f>VLOOKUP(WWWW[[#This Row],[Site Name]],SiteDB6[[Site Name]:[CCCM Focal Agency]],7,FALSE)</f>
        <v>0</v>
      </c>
      <c r="DL402" s="873" t="str">
        <f>VLOOKUP(WWWW[[#This Row],[Site Name]],SiteDB6[[Site Name]:[Location Type 1]],9,FALSE)</f>
        <v>Temporary location</v>
      </c>
      <c r="DM402" s="873" t="str">
        <f>VLOOKUP(WWWW[[#This Row],[Site Name]],SiteDB6[[Site Name]:[Type of Accommodation]],10,FALSE)</f>
        <v>Temporary location</v>
      </c>
      <c r="DN402" s="873">
        <f>VLOOKUP(WWWW[[#This Row],[Site Name]],SiteDB6[[Site Name]:[Ethnic or GCA/NGCA]],11,FALSE)</f>
        <v>0</v>
      </c>
      <c r="DO402" s="873">
        <f>VLOOKUP(WWWW[[#This Row],[Site Name]],SiteDB6[[Site Name]:[Lat]],12,FALSE)</f>
        <v>0</v>
      </c>
      <c r="DP402" s="873">
        <f>VLOOKUP(WWWW[[#This Row],[Site Name]],SiteDB6[[Site Name]:[Long]],13,FALSE)</f>
        <v>0</v>
      </c>
      <c r="DQ402" s="873">
        <f>VLOOKUP(WWWW[[#This Row],[Site Name]],SiteDB6[[Site Name]:[Pcode]],3,FALSE)</f>
        <v>0</v>
      </c>
      <c r="DR402" s="871" t="str">
        <f t="shared" si="13"/>
        <v>Covered</v>
      </c>
      <c r="DS402" s="871"/>
      <c r="DV402" s="661"/>
    </row>
    <row r="403" spans="1:126">
      <c r="A403" s="637" t="s">
        <v>2525</v>
      </c>
      <c r="B403" s="976" t="s">
        <v>317</v>
      </c>
      <c r="C403" s="976" t="s">
        <v>317</v>
      </c>
      <c r="D403" s="864"/>
      <c r="E403" s="865" t="s">
        <v>3014</v>
      </c>
      <c r="F403" s="864" t="s">
        <v>489</v>
      </c>
      <c r="G403" s="866" t="str">
        <f>VLOOKUP(WWWW[[#This Row],[Site Name]],SiteDB6[[Site Name]:[Location Type]],8,FALSE)</f>
        <v>New Temporary Site</v>
      </c>
      <c r="H403" s="864" t="s">
        <v>3184</v>
      </c>
      <c r="I403" s="867">
        <v>17</v>
      </c>
      <c r="J403" s="867">
        <v>103</v>
      </c>
      <c r="K403" s="868"/>
      <c r="L403" s="869"/>
      <c r="M403" s="867"/>
      <c r="N403" s="867"/>
      <c r="O403" s="867"/>
      <c r="P403" s="867"/>
      <c r="Q403" s="870"/>
      <c r="R403" s="867"/>
      <c r="S403" s="867"/>
      <c r="T403" s="379"/>
      <c r="U403" s="867"/>
      <c r="V403" s="867"/>
      <c r="W403" s="867"/>
      <c r="X403" s="867"/>
      <c r="Y403" s="867"/>
      <c r="Z403" s="867"/>
      <c r="AA403" s="867"/>
      <c r="AB403" s="867"/>
      <c r="AC403" s="867"/>
      <c r="AD403" s="867"/>
      <c r="AE403" s="867"/>
      <c r="AF403" s="867"/>
      <c r="AG403" s="867"/>
      <c r="AH403" s="867"/>
      <c r="AI403" s="867"/>
      <c r="AJ403" s="867"/>
      <c r="AK403" s="867"/>
      <c r="AL403" s="867"/>
      <c r="AM403" s="867"/>
      <c r="AN403" s="867"/>
      <c r="AO403" s="871"/>
      <c r="AP403" s="867"/>
      <c r="AQ403" s="867"/>
      <c r="AR403" s="872"/>
      <c r="AS403" s="867"/>
      <c r="AT403" s="867"/>
      <c r="AU403" s="867"/>
      <c r="AV403" s="867"/>
      <c r="AW403" s="867"/>
      <c r="AX403" s="873"/>
      <c r="AY403" s="871"/>
      <c r="AZ403" s="867"/>
      <c r="BA403" s="867"/>
      <c r="BB403" s="867"/>
      <c r="BC403" s="873"/>
      <c r="BD403" s="867"/>
      <c r="BE403" s="867"/>
      <c r="BF403" s="867"/>
      <c r="BG403" s="867"/>
      <c r="BH403" s="867"/>
      <c r="BI403" s="867"/>
      <c r="BJ403" s="867"/>
      <c r="BK403" s="867"/>
      <c r="BL403" s="867"/>
      <c r="BM403" s="873"/>
      <c r="BN403" s="874"/>
      <c r="BO403" s="872"/>
      <c r="BP403" s="873"/>
      <c r="BQ403" s="875" t="str">
        <f>IFERROR(WWWW[[#This Row],['#_Water sources treated]]/WWWW[[#This Row],['#_Water sources tested for contamination]],"no test")</f>
        <v>no test</v>
      </c>
      <c r="BR403" s="872" t="str">
        <f>IFERROR(WWWW[[#This Row],['#_Household received remediation action due to contamination]]/WWWW[[#This Row],['#_Household water samples tested for contamination]],"no test")</f>
        <v>no test</v>
      </c>
      <c r="BS403" s="874" t="str">
        <f>IF(AND(WWWW[[#This Row],[% of water sources treated]]="no test",WWWW[[#This Row],[% Household received corrective actions]]="no test"),"No Test","Tested")</f>
        <v>No Test</v>
      </c>
      <c r="BT403" s="874">
        <f>WWWW[[#This Row],['#_Constructed/existing protected hand dug well]]-WWWW[[#This Row],['#_Non-functional protected hand dug well]]</f>
        <v>0</v>
      </c>
      <c r="BU403" s="874">
        <f>(WWWW[[#This Row],['#_Constructed/Existing tube wells/boreholes/handpumps_WASH_agency]]+WWWW[[#This Row],['#_Non-Cluster partner water tube-wells/boreholes/handpumps]])-WWWW[[#This Row],['#_Non-functional tube wells/boreholes/handpumps]]</f>
        <v>0</v>
      </c>
      <c r="BV403" s="874">
        <f>WWWW[[#This Row],['#_Constructed/Existingwater storage tank with gravity fed reticulation system]]-WWWW[[#This Row],['#_Non-functional storage tank gravity fed reticulation system]]</f>
        <v>0</v>
      </c>
      <c r="BW403" s="874">
        <f>WWWW[[#This Row],['#_Water boating or water trucking]]</f>
        <v>0</v>
      </c>
      <c r="BX403" s="874">
        <f>WWWW[[#This Row],['#_Constructed/Existing water distribution system from river or natural spring]]</f>
        <v>0</v>
      </c>
      <c r="BY403"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03"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03" s="872">
        <f>IF(WWWW[[#This Row],[Location Type 1]]="Village",WWWW[[#This Row],[Access to safe drinking water for Village]],WWWW[[#This Row],[Access to safe drinking water for Camp]])</f>
        <v>0</v>
      </c>
      <c r="CB403" s="870">
        <f>WWWW[[#This Row],[%Equitable and continuous access to sufficient quantity of safe drinking water]]*WWWW[[#This Row],[Total PoP ]]</f>
        <v>0</v>
      </c>
      <c r="CC403" s="872">
        <f>IF((WWWW[[#This Row],['#_Constructed/Existing protected/fenced ponds]]*250)/WWWW[[#This Row],[Total PoP ]]&gt;1,1,(WWWW[[#This Row],['#_Constructed/Existing protected/fenced ponds]]*250)/WWWW[[#This Row],[Total PoP ]])</f>
        <v>0</v>
      </c>
      <c r="CD403" s="870">
        <f>WWWW[[#This Row],[% Access to unimproved water points]]*WWWW[[#This Row],[Total PoP ]]</f>
        <v>0</v>
      </c>
      <c r="CE403"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03"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03" s="870">
        <f>WWWW[[#This Row],[HRP1]]/500</f>
        <v>0</v>
      </c>
      <c r="CH403" s="876">
        <f>1-WWWW[[#This Row],[% Equitable and continuous access to sufficient quantity of domestic water]]</f>
        <v>1</v>
      </c>
      <c r="CI403" s="870">
        <f>WWWW[[#This Row],[%equitable and continuous access to sufficient quantity of safe drinking and domestic water''s GAP]]*WWWW[[#This Row],[Total PoP ]]</f>
        <v>103</v>
      </c>
      <c r="CJ403" s="874">
        <f>IF(WWWW[[#This Row],[Total required water points]]-WWWW[[#This Row],['#Water points coverage]]&lt;0,0,WWWW[[#This Row],[Total required water points]]-WWWW[[#This Row],['#Water points coverage]])</f>
        <v>1</v>
      </c>
      <c r="CK403" s="874">
        <f>ROUND(IF(WWWW[[#This Row],[Total PoP ]]&lt;500,1,WWWW[[#This Row],[Total PoP ]]/500),0)</f>
        <v>1</v>
      </c>
      <c r="CL403" s="874">
        <f>(WWWW[[#This Row],['#_Constructed latrines_by_WASHAgencies]]+WWWW[[#This Row],['#_Non Cluster partner latrines]])-WWWW[[#This Row],['#_Non-functional latrines]]</f>
        <v>0</v>
      </c>
      <c r="CM403"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03"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03"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03" s="874">
        <f>IF(WWWW[[#This Row],[Location Type 1]]="Village","NA",IF(WWWW[[#This Row],['#_Constructed/Existing latrines in TLS]]*50&gt;WWWW[[#This Row],['#_students at TLS_CFS]],WWWW[[#This Row],['#_students at TLS_CFS]],(WWWW[[#This Row],['#_Constructed/Existing latrines in TLS]]*50)))</f>
        <v>0</v>
      </c>
      <c r="CQ403" s="874">
        <f>ROUND(IF(WWWW[[#This Row],[Location Type 1]]="camp",WWWW[[#This Row],[Total PoP ]]/20,IF(WWWW[[#This Row],[Location Type 1]]="Temporary Location",WWWW[[#This Row],[Total PoP ]]/50,(WWWW[[#This Row],[Total PoP ]]/6))),0)</f>
        <v>2</v>
      </c>
      <c r="CR403" s="874">
        <f>IF(WWWW[[#This Row],[Total required Latrines]]-(WWWW[[#This Row],['#_Constructed latrines_by_WASHAgencies]]+WWWW[[#This Row],['#_Non Cluster partner latrines]])&lt;0,0,WWWW[[#This Row],[Total required Latrines]]-(WWWW[[#This Row],['#_Constructed latrines_by_WASHAgencies]]+WWWW[[#This Row],['#_Non Cluster partner latrines]]))</f>
        <v>2</v>
      </c>
      <c r="CS403" s="878">
        <f>1-WWWW[[#This Row],[% people access to functioning Latrine]]</f>
        <v>1</v>
      </c>
      <c r="CT403" s="875">
        <f>IF(OR(WWWW[[#This Row],['#_Non-functional latrines]]="",WWWW[[#This Row],['#_Non-functional latrines]]=0),0,WWWW[[#This Row],['#_Non-functional latrines]]/(WWWW[[#This Row],['#_Constructed latrines_by_WASHAgencies]]+WWWW[[#This Row],['#_Non Cluster partner latrines]]))</f>
        <v>0</v>
      </c>
      <c r="CU403" s="870">
        <f>IF(500*(WWWW[[#This Row],['#_male hygiene promoters]]+WWWW[[#This Row],['#_female hygiene promoters]])&gt;WWWW[[#This Row],[Total PoP ]],WWWW[[#This Row],[Total PoP ]],500*(WWWW[[#This Row],['#_male hygiene promoters]]+WWWW[[#This Row],['#_female hygiene promoters]]))</f>
        <v>0</v>
      </c>
      <c r="CV403"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03"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03" s="874">
        <f>IF(WWWW[[#This Row],['# People with access to soap]]&gt;WWWW[[#This Row],['# People with access to Sanity Pads]],WWWW[[#This Row],['# People with access to soap]],WWWW[[#This Row],['# People with access to Sanity Pads]])</f>
        <v>0</v>
      </c>
      <c r="CY403"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03" s="876">
        <f>IF(WWWW[[#This Row],[HRP3]]/WWWW[[#This Row],[Total PoP ]]&gt;100%,100%,WWWW[[#This Row],[HRP3]]/WWWW[[#This Row],[Total PoP ]])</f>
        <v>0</v>
      </c>
      <c r="DA403" s="875">
        <f>1-WWWW[[#This Row],[Hygiene Coverage%]]</f>
        <v>1</v>
      </c>
      <c r="DB403" s="872">
        <f>WWWW[[#This Row],['# people reached by regular dedicated hygiene promotion_5]]/WWWW[[#This Row],[Total PoP ]]</f>
        <v>0</v>
      </c>
      <c r="DC403" s="872">
        <f>IF(WWWW[[#This Row],['#_households that received standard amount of soap for this quarter]]/WWWW[[#This Row],[Total HH]]&gt;1,1,WWWW[[#This Row],['#_households that received standard amount of soap for this quarter]]/WWWW[[#This Row],[Total HH]])</f>
        <v>0</v>
      </c>
      <c r="DD403" s="872">
        <f>IF(WWWW[[#This Row],['#_households that received standard amount of sanitary pads for this quarter]]/WWWW[[#This Row],[Total HH]]&gt;1,1,WWWW[[#This Row],['#_households that received standard amount of sanitary pads for this quarter]]/WWWW[[#This Row],[Total HH]])</f>
        <v>0</v>
      </c>
      <c r="DE403" s="874">
        <f>WWWW[[#This Row],['#_Constructed/Existing hand washing stations]]-WWWW[[#This Row],['#_Non-Functional_hand_washing_stations]]</f>
        <v>0</v>
      </c>
      <c r="DF403" s="879" t="e">
        <f>WWWW[[#This Row],[Total HH]]*#REF!</f>
        <v>#REF!</v>
      </c>
      <c r="DG403" s="870">
        <f>IF(WWWW[[#This Row],[Is sufficient soap available for TLS? (Yes/No)]]="yes",WWWW[[#This Row],['#_Constructed/Existing hand washing stations at TLS]],0)</f>
        <v>0</v>
      </c>
      <c r="DH403" s="702">
        <f>IF(WWWW[[#This Row],['# Functional hand washing stations during reporting period]]*100&gt;WWWW[[#This Row],[Total PoP ]],WWWW[[#This Row],[Total PoP ]],WWWW[[#This Row],['# Functional hand washing stations during reporting period]]*100)</f>
        <v>0</v>
      </c>
      <c r="DI403" s="702" t="str">
        <f>IF(WWWW[[#This Row],['#_students at TLS_CFS]]="","No","Yes")</f>
        <v>No</v>
      </c>
      <c r="DJ403" s="873">
        <f>VLOOKUP(WWWW[[#This Row],[Site Name]],SiteDB6[[Site Name]:[CCCM Management]],6,FALSE)</f>
        <v>0</v>
      </c>
      <c r="DK403" s="873">
        <f>VLOOKUP(WWWW[[#This Row],[Site Name]],SiteDB6[[Site Name]:[CCCM Focal Agency]],7,FALSE)</f>
        <v>0</v>
      </c>
      <c r="DL403" s="873" t="str">
        <f>VLOOKUP(WWWW[[#This Row],[Site Name]],SiteDB6[[Site Name]:[Location Type 1]],9,FALSE)</f>
        <v>Temporary location</v>
      </c>
      <c r="DM403" s="873" t="str">
        <f>VLOOKUP(WWWW[[#This Row],[Site Name]],SiteDB6[[Site Name]:[Type of Accommodation]],10,FALSE)</f>
        <v>Temporary location</v>
      </c>
      <c r="DN403" s="873">
        <f>VLOOKUP(WWWW[[#This Row],[Site Name]],SiteDB6[[Site Name]:[Ethnic or GCA/NGCA]],11,FALSE)</f>
        <v>0</v>
      </c>
      <c r="DO403" s="873">
        <f>VLOOKUP(WWWW[[#This Row],[Site Name]],SiteDB6[[Site Name]:[Lat]],12,FALSE)</f>
        <v>20.6728000640869</v>
      </c>
      <c r="DP403" s="873">
        <f>VLOOKUP(WWWW[[#This Row],[Site Name]],SiteDB6[[Site Name]:[Long]],13,FALSE)</f>
        <v>93.243469238281307</v>
      </c>
      <c r="DQ403" s="873">
        <f>VLOOKUP(WWWW[[#This Row],[Site Name]],SiteDB6[[Site Name]:[Pcode]],3,FALSE)</f>
        <v>196448</v>
      </c>
      <c r="DR403" s="871" t="str">
        <f t="shared" si="13"/>
        <v>Notcovered</v>
      </c>
      <c r="DS403" s="871"/>
      <c r="DV403" s="661"/>
    </row>
    <row r="404" spans="1:126">
      <c r="A404" s="637" t="s">
        <v>2525</v>
      </c>
      <c r="B404" s="863" t="s">
        <v>3234</v>
      </c>
      <c r="C404" s="863" t="s">
        <v>3234</v>
      </c>
      <c r="D404" s="864"/>
      <c r="E404" s="865" t="s">
        <v>3014</v>
      </c>
      <c r="F404" s="864" t="s">
        <v>489</v>
      </c>
      <c r="G404" s="866" t="str">
        <f>VLOOKUP(WWWW[[#This Row],[Site Name]],SiteDB6[[Site Name]:[Location Type]],8,FALSE)</f>
        <v>New Temporary Site</v>
      </c>
      <c r="H404" s="864" t="s">
        <v>2881</v>
      </c>
      <c r="I404" s="867">
        <v>62</v>
      </c>
      <c r="J404" s="867">
        <v>217</v>
      </c>
      <c r="K404" s="868"/>
      <c r="L404" s="869"/>
      <c r="M404" s="867"/>
      <c r="N404" s="867"/>
      <c r="O404" s="867"/>
      <c r="P404" s="867"/>
      <c r="Q404" s="870"/>
      <c r="R404" s="867"/>
      <c r="S404" s="867"/>
      <c r="T404" s="379"/>
      <c r="U404" s="867"/>
      <c r="V404" s="867"/>
      <c r="W404" s="867"/>
      <c r="X404" s="867"/>
      <c r="Y404" s="867"/>
      <c r="Z404" s="867"/>
      <c r="AA404" s="867"/>
      <c r="AB404" s="867"/>
      <c r="AC404" s="867"/>
      <c r="AD404" s="867"/>
      <c r="AE404" s="867"/>
      <c r="AF404" s="867"/>
      <c r="AG404" s="867"/>
      <c r="AH404" s="867"/>
      <c r="AI404" s="867"/>
      <c r="AJ404" s="867"/>
      <c r="AK404" s="867"/>
      <c r="AL404" s="867"/>
      <c r="AM404" s="867"/>
      <c r="AN404" s="867"/>
      <c r="AO404" s="871"/>
      <c r="AP404" s="867">
        <v>2</v>
      </c>
      <c r="AQ404" s="867"/>
      <c r="AR404" s="872"/>
      <c r="AS404" s="867"/>
      <c r="AT404" s="867"/>
      <c r="AU404" s="867"/>
      <c r="AV404" s="867"/>
      <c r="AW404" s="867"/>
      <c r="AX404" s="873"/>
      <c r="AY404" s="871"/>
      <c r="AZ404" s="867"/>
      <c r="BA404" s="867"/>
      <c r="BB404" s="867"/>
      <c r="BC404" s="873"/>
      <c r="BD404" s="867"/>
      <c r="BE404" s="867"/>
      <c r="BF404" s="867"/>
      <c r="BG404" s="867"/>
      <c r="BH404" s="867"/>
      <c r="BI404" s="867"/>
      <c r="BJ404" s="867"/>
      <c r="BK404" s="867">
        <v>108</v>
      </c>
      <c r="BL404" s="867">
        <v>108</v>
      </c>
      <c r="BM404" s="873"/>
      <c r="BN404" s="874"/>
      <c r="BO404" s="872"/>
      <c r="BP404" s="873"/>
      <c r="BQ404" s="875" t="str">
        <f>IFERROR(WWWW[[#This Row],['#_Water sources treated]]/WWWW[[#This Row],['#_Water sources tested for contamination]],"no test")</f>
        <v>no test</v>
      </c>
      <c r="BR404" s="872" t="str">
        <f>IFERROR(WWWW[[#This Row],['#_Household received remediation action due to contamination]]/WWWW[[#This Row],['#_Household water samples tested for contamination]],"no test")</f>
        <v>no test</v>
      </c>
      <c r="BS404" s="874" t="str">
        <f>IF(AND(WWWW[[#This Row],[% of water sources treated]]="no test",WWWW[[#This Row],[% Household received corrective actions]]="no test"),"No Test","Tested")</f>
        <v>No Test</v>
      </c>
      <c r="BT404" s="874">
        <f>WWWW[[#This Row],['#_Constructed/existing protected hand dug well]]-WWWW[[#This Row],['#_Non-functional protected hand dug well]]</f>
        <v>0</v>
      </c>
      <c r="BU404" s="874">
        <f>(WWWW[[#This Row],['#_Constructed/Existing tube wells/boreholes/handpumps_WASH_agency]]+WWWW[[#This Row],['#_Non-Cluster partner water tube-wells/boreholes/handpumps]])-WWWW[[#This Row],['#_Non-functional tube wells/boreholes/handpumps]]</f>
        <v>0</v>
      </c>
      <c r="BV404" s="874">
        <f>WWWW[[#This Row],['#_Constructed/Existingwater storage tank with gravity fed reticulation system]]-WWWW[[#This Row],['#_Non-functional storage tank gravity fed reticulation system]]</f>
        <v>0</v>
      </c>
      <c r="BW404" s="874">
        <f>WWWW[[#This Row],['#_Water boating or water trucking]]</f>
        <v>0</v>
      </c>
      <c r="BX404" s="874">
        <f>WWWW[[#This Row],['#_Constructed/Existing water distribution system from river or natural spring]]</f>
        <v>0</v>
      </c>
      <c r="BY404"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04"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04" s="872">
        <f>IF(WWWW[[#This Row],[Location Type 1]]="Village",WWWW[[#This Row],[Access to safe drinking water for Village]],WWWW[[#This Row],[Access to safe drinking water for Camp]])</f>
        <v>0</v>
      </c>
      <c r="CB404" s="870">
        <f>WWWW[[#This Row],[%Equitable and continuous access to sufficient quantity of safe drinking water]]*WWWW[[#This Row],[Total PoP ]]</f>
        <v>0</v>
      </c>
      <c r="CC404" s="872">
        <f>IF((WWWW[[#This Row],['#_Constructed/Existing protected/fenced ponds]]*250)/WWWW[[#This Row],[Total PoP ]]&gt;1,1,(WWWW[[#This Row],['#_Constructed/Existing protected/fenced ponds]]*250)/WWWW[[#This Row],[Total PoP ]])</f>
        <v>0</v>
      </c>
      <c r="CD404" s="870">
        <f>WWWW[[#This Row],[% Access to unimproved water points]]*WWWW[[#This Row],[Total PoP ]]</f>
        <v>0</v>
      </c>
      <c r="CE404"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04"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04" s="870">
        <f>WWWW[[#This Row],[HRP1]]/500</f>
        <v>0</v>
      </c>
      <c r="CH404" s="876">
        <f>1-WWWW[[#This Row],[% Equitable and continuous access to sufficient quantity of domestic water]]</f>
        <v>1</v>
      </c>
      <c r="CI404" s="870">
        <f>WWWW[[#This Row],[%equitable and continuous access to sufficient quantity of safe drinking and domestic water''s GAP]]*WWWW[[#This Row],[Total PoP ]]</f>
        <v>217</v>
      </c>
      <c r="CJ404" s="874">
        <f>IF(WWWW[[#This Row],[Total required water points]]-WWWW[[#This Row],['#Water points coverage]]&lt;0,0,WWWW[[#This Row],[Total required water points]]-WWWW[[#This Row],['#Water points coverage]])</f>
        <v>1</v>
      </c>
      <c r="CK404" s="874">
        <f>ROUND(IF(WWWW[[#This Row],[Total PoP ]]&lt;500,1,WWWW[[#This Row],[Total PoP ]]/500),0)</f>
        <v>1</v>
      </c>
      <c r="CL404" s="874">
        <f>(WWWW[[#This Row],['#_Constructed latrines_by_WASHAgencies]]+WWWW[[#This Row],['#_Non Cluster partner latrines]])-WWWW[[#This Row],['#_Non-functional latrines]]</f>
        <v>2</v>
      </c>
      <c r="CM404"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0.46082949308755761</v>
      </c>
      <c r="CN404"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100</v>
      </c>
      <c r="CO404"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04" s="874">
        <f>IF(WWWW[[#This Row],[Location Type 1]]="Village","NA",IF(WWWW[[#This Row],['#_Constructed/Existing latrines in TLS]]*50&gt;WWWW[[#This Row],['#_students at TLS_CFS]],WWWW[[#This Row],['#_students at TLS_CFS]],(WWWW[[#This Row],['#_Constructed/Existing latrines in TLS]]*50)))</f>
        <v>0</v>
      </c>
      <c r="CQ404" s="874">
        <f>ROUND(IF(WWWW[[#This Row],[Location Type 1]]="camp",WWWW[[#This Row],[Total PoP ]]/20,IF(WWWW[[#This Row],[Location Type 1]]="Temporary Location",WWWW[[#This Row],[Total PoP ]]/50,(WWWW[[#This Row],[Total PoP ]]/6))),0)</f>
        <v>4</v>
      </c>
      <c r="CR404" s="874">
        <f>IF(WWWW[[#This Row],[Total required Latrines]]-(WWWW[[#This Row],['#_Constructed latrines_by_WASHAgencies]]+WWWW[[#This Row],['#_Non Cluster partner latrines]])&lt;0,0,WWWW[[#This Row],[Total required Latrines]]-(WWWW[[#This Row],['#_Constructed latrines_by_WASHAgencies]]+WWWW[[#This Row],['#_Non Cluster partner latrines]]))</f>
        <v>2</v>
      </c>
      <c r="CS404" s="878">
        <f>1-WWWW[[#This Row],[% people access to functioning Latrine]]</f>
        <v>0.53917050691244239</v>
      </c>
      <c r="CT404" s="875">
        <f>IF(OR(WWWW[[#This Row],['#_Non-functional latrines]]="",WWWW[[#This Row],['#_Non-functional latrines]]=0),0,WWWW[[#This Row],['#_Non-functional latrines]]/(WWWW[[#This Row],['#_Constructed latrines_by_WASHAgencies]]+WWWW[[#This Row],['#_Non Cluster partner latrines]]))</f>
        <v>0</v>
      </c>
      <c r="CU404" s="870">
        <f>IF(500*(WWWW[[#This Row],['#_male hygiene promoters]]+WWWW[[#This Row],['#_female hygiene promoters]])&gt;WWWW[[#This Row],[Total PoP ]],WWWW[[#This Row],[Total PoP ]],500*(WWWW[[#This Row],['#_male hygiene promoters]]+WWWW[[#This Row],['#_female hygiene promoters]]))</f>
        <v>0</v>
      </c>
      <c r="CV404"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217</v>
      </c>
      <c r="CW404"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217</v>
      </c>
      <c r="CX404" s="874">
        <f>IF(WWWW[[#This Row],['# People with access to soap]]&gt;WWWW[[#This Row],['# People with access to Sanity Pads]],WWWW[[#This Row],['# People with access to soap]],WWWW[[#This Row],['# People with access to Sanity Pads]])</f>
        <v>217</v>
      </c>
      <c r="CY404" s="874">
        <f>IF(WWWW[[#This Row],['# people reached by regular dedicated hygiene promotion_5]]&gt;WWWW[[#This Row],['# People received regular supply of hygiene items_6]],WWWW[[#This Row],['# people reached by regular dedicated hygiene promotion_5]],WWWW[[#This Row],['# People received regular supply of hygiene items_6]])</f>
        <v>217</v>
      </c>
      <c r="CZ404" s="876">
        <f>IF(WWWW[[#This Row],[HRP3]]/WWWW[[#This Row],[Total PoP ]]&gt;100%,100%,WWWW[[#This Row],[HRP3]]/WWWW[[#This Row],[Total PoP ]])</f>
        <v>1</v>
      </c>
      <c r="DA404" s="875">
        <f>1-WWWW[[#This Row],[Hygiene Coverage%]]</f>
        <v>0</v>
      </c>
      <c r="DB404" s="872">
        <f>WWWW[[#This Row],['# people reached by regular dedicated hygiene promotion_5]]/WWWW[[#This Row],[Total PoP ]]</f>
        <v>0</v>
      </c>
      <c r="DC404" s="872">
        <f>IF(WWWW[[#This Row],['#_households that received standard amount of soap for this quarter]]/WWWW[[#This Row],[Total HH]]&gt;1,1,WWWW[[#This Row],['#_households that received standard amount of soap for this quarter]]/WWWW[[#This Row],[Total HH]])</f>
        <v>1</v>
      </c>
      <c r="DD404" s="872">
        <f>IF(WWWW[[#This Row],['#_households that received standard amount of sanitary pads for this quarter]]/WWWW[[#This Row],[Total HH]]&gt;1,1,WWWW[[#This Row],['#_households that received standard amount of sanitary pads for this quarter]]/WWWW[[#This Row],[Total HH]])</f>
        <v>1</v>
      </c>
      <c r="DE404" s="874">
        <f>WWWW[[#This Row],['#_Constructed/Existing hand washing stations]]-WWWW[[#This Row],['#_Non-Functional_hand_washing_stations]]</f>
        <v>0</v>
      </c>
      <c r="DF404" s="879" t="e">
        <f>WWWW[[#This Row],[Total HH]]*#REF!</f>
        <v>#REF!</v>
      </c>
      <c r="DG404" s="870">
        <f>IF(WWWW[[#This Row],[Is sufficient soap available for TLS? (Yes/No)]]="yes",WWWW[[#This Row],['#_Constructed/Existing hand washing stations at TLS]],0)</f>
        <v>0</v>
      </c>
      <c r="DH404" s="702">
        <f>IF(WWWW[[#This Row],['# Functional hand washing stations during reporting period]]*100&gt;WWWW[[#This Row],[Total PoP ]],WWWW[[#This Row],[Total PoP ]],WWWW[[#This Row],['# Functional hand washing stations during reporting period]]*100)</f>
        <v>0</v>
      </c>
      <c r="DI404" s="702" t="str">
        <f>IF(WWWW[[#This Row],['#_students at TLS_CFS]]="","No","Yes")</f>
        <v>No</v>
      </c>
      <c r="DJ404" s="873">
        <f>VLOOKUP(WWWW[[#This Row],[Site Name]],SiteDB6[[Site Name]:[CCCM Management]],6,FALSE)</f>
        <v>0</v>
      </c>
      <c r="DK404" s="873">
        <f>VLOOKUP(WWWW[[#This Row],[Site Name]],SiteDB6[[Site Name]:[CCCM Focal Agency]],7,FALSE)</f>
        <v>0</v>
      </c>
      <c r="DL404" s="873" t="str">
        <f>VLOOKUP(WWWW[[#This Row],[Site Name]],SiteDB6[[Site Name]:[Location Type 1]],9,FALSE)</f>
        <v>Temporary location</v>
      </c>
      <c r="DM404" s="873" t="str">
        <f>VLOOKUP(WWWW[[#This Row],[Site Name]],SiteDB6[[Site Name]:[Type of Accommodation]],10,FALSE)</f>
        <v>Temporary location_Town</v>
      </c>
      <c r="DN404" s="873">
        <f>VLOOKUP(WWWW[[#This Row],[Site Name]],SiteDB6[[Site Name]:[Ethnic or GCA/NGCA]],11,FALSE)</f>
        <v>0</v>
      </c>
      <c r="DO404" s="873">
        <f>VLOOKUP(WWWW[[#This Row],[Site Name]],SiteDB6[[Site Name]:[Lat]],12,FALSE)</f>
        <v>0</v>
      </c>
      <c r="DP404" s="873">
        <f>VLOOKUP(WWWW[[#This Row],[Site Name]],SiteDB6[[Site Name]:[Long]],13,FALSE)</f>
        <v>0</v>
      </c>
      <c r="DQ404" s="873">
        <f>VLOOKUP(WWWW[[#This Row],[Site Name]],SiteDB6[[Site Name]:[Pcode]],3,FALSE)</f>
        <v>0</v>
      </c>
      <c r="DR404" s="871" t="str">
        <f t="shared" si="13"/>
        <v>Covered</v>
      </c>
      <c r="DS404" s="871"/>
      <c r="DV404" s="661"/>
    </row>
    <row r="405" spans="1:126">
      <c r="A405" s="637" t="s">
        <v>2525</v>
      </c>
      <c r="B405" s="863" t="s">
        <v>2871</v>
      </c>
      <c r="C405" s="863" t="s">
        <v>2871</v>
      </c>
      <c r="D405" s="864"/>
      <c r="E405" s="865" t="s">
        <v>3014</v>
      </c>
      <c r="F405" s="864" t="s">
        <v>489</v>
      </c>
      <c r="G405" s="866" t="str">
        <f>VLOOKUP(WWWW[[#This Row],[Site Name]],SiteDB6[[Site Name]:[Location Type]],8,FALSE)</f>
        <v>New Temporary Site</v>
      </c>
      <c r="H405" s="864" t="s">
        <v>2877</v>
      </c>
      <c r="I405" s="867">
        <v>33</v>
      </c>
      <c r="J405" s="867">
        <v>101</v>
      </c>
      <c r="K405" s="868"/>
      <c r="L405" s="869"/>
      <c r="M405" s="867"/>
      <c r="N405" s="867"/>
      <c r="O405" s="867"/>
      <c r="P405" s="867"/>
      <c r="Q405" s="870"/>
      <c r="R405" s="867"/>
      <c r="S405" s="867"/>
      <c r="T405" s="379"/>
      <c r="U405" s="867"/>
      <c r="V405" s="867"/>
      <c r="W405" s="867"/>
      <c r="X405" s="867"/>
      <c r="Y405" s="867"/>
      <c r="Z405" s="867"/>
      <c r="AA405" s="867"/>
      <c r="AB405" s="867"/>
      <c r="AC405" s="867"/>
      <c r="AD405" s="867"/>
      <c r="AE405" s="867"/>
      <c r="AF405" s="867"/>
      <c r="AG405" s="867"/>
      <c r="AH405" s="867"/>
      <c r="AI405" s="867"/>
      <c r="AJ405" s="867"/>
      <c r="AK405" s="867"/>
      <c r="AL405" s="867"/>
      <c r="AM405" s="867"/>
      <c r="AN405" s="867"/>
      <c r="AO405" s="871"/>
      <c r="AP405" s="867"/>
      <c r="AQ405" s="867"/>
      <c r="AR405" s="872"/>
      <c r="AS405" s="867"/>
      <c r="AT405" s="867"/>
      <c r="AU405" s="867"/>
      <c r="AV405" s="867"/>
      <c r="AW405" s="867"/>
      <c r="AX405" s="873"/>
      <c r="AY405" s="871"/>
      <c r="AZ405" s="867"/>
      <c r="BA405" s="867"/>
      <c r="BB405" s="867"/>
      <c r="BC405" s="873"/>
      <c r="BD405" s="867"/>
      <c r="BE405" s="867"/>
      <c r="BF405" s="867"/>
      <c r="BG405" s="867"/>
      <c r="BH405" s="867"/>
      <c r="BI405" s="867"/>
      <c r="BJ405" s="867"/>
      <c r="BK405" s="867">
        <v>33</v>
      </c>
      <c r="BL405" s="867">
        <v>33</v>
      </c>
      <c r="BM405" s="873"/>
      <c r="BN405" s="874"/>
      <c r="BO405" s="872"/>
      <c r="BP405" s="873"/>
      <c r="BQ405" s="875" t="str">
        <f>IFERROR(WWWW[[#This Row],['#_Water sources treated]]/WWWW[[#This Row],['#_Water sources tested for contamination]],"no test")</f>
        <v>no test</v>
      </c>
      <c r="BR405" s="872" t="str">
        <f>IFERROR(WWWW[[#This Row],['#_Household received remediation action due to contamination]]/WWWW[[#This Row],['#_Household water samples tested for contamination]],"no test")</f>
        <v>no test</v>
      </c>
      <c r="BS405" s="874" t="str">
        <f>IF(AND(WWWW[[#This Row],[% of water sources treated]]="no test",WWWW[[#This Row],[% Household received corrective actions]]="no test"),"No Test","Tested")</f>
        <v>No Test</v>
      </c>
      <c r="BT405" s="874">
        <f>WWWW[[#This Row],['#_Constructed/existing protected hand dug well]]-WWWW[[#This Row],['#_Non-functional protected hand dug well]]</f>
        <v>0</v>
      </c>
      <c r="BU405" s="874">
        <f>(WWWW[[#This Row],['#_Constructed/Existing tube wells/boreholes/handpumps_WASH_agency]]+WWWW[[#This Row],['#_Non-Cluster partner water tube-wells/boreholes/handpumps]])-WWWW[[#This Row],['#_Non-functional tube wells/boreholes/handpumps]]</f>
        <v>0</v>
      </c>
      <c r="BV405" s="874">
        <f>WWWW[[#This Row],['#_Constructed/Existingwater storage tank with gravity fed reticulation system]]-WWWW[[#This Row],['#_Non-functional storage tank gravity fed reticulation system]]</f>
        <v>0</v>
      </c>
      <c r="BW405" s="874">
        <f>WWWW[[#This Row],['#_Water boating or water trucking]]</f>
        <v>0</v>
      </c>
      <c r="BX405" s="874">
        <f>WWWW[[#This Row],['#_Constructed/Existing water distribution system from river or natural spring]]</f>
        <v>0</v>
      </c>
      <c r="BY405"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05"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05" s="872">
        <f>IF(WWWW[[#This Row],[Location Type 1]]="Village",WWWW[[#This Row],[Access to safe drinking water for Village]],WWWW[[#This Row],[Access to safe drinking water for Camp]])</f>
        <v>0</v>
      </c>
      <c r="CB405" s="870">
        <f>WWWW[[#This Row],[%Equitable and continuous access to sufficient quantity of safe drinking water]]*WWWW[[#This Row],[Total PoP ]]</f>
        <v>0</v>
      </c>
      <c r="CC405" s="872">
        <f>IF((WWWW[[#This Row],['#_Constructed/Existing protected/fenced ponds]]*250)/WWWW[[#This Row],[Total PoP ]]&gt;1,1,(WWWW[[#This Row],['#_Constructed/Existing protected/fenced ponds]]*250)/WWWW[[#This Row],[Total PoP ]])</f>
        <v>0</v>
      </c>
      <c r="CD405" s="870">
        <f>WWWW[[#This Row],[% Access to unimproved water points]]*WWWW[[#This Row],[Total PoP ]]</f>
        <v>0</v>
      </c>
      <c r="CE405"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05"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05" s="870">
        <f>WWWW[[#This Row],[HRP1]]/500</f>
        <v>0</v>
      </c>
      <c r="CH405" s="876">
        <f>1-WWWW[[#This Row],[% Equitable and continuous access to sufficient quantity of domestic water]]</f>
        <v>1</v>
      </c>
      <c r="CI405" s="870">
        <f>WWWW[[#This Row],[%equitable and continuous access to sufficient quantity of safe drinking and domestic water''s GAP]]*WWWW[[#This Row],[Total PoP ]]</f>
        <v>101</v>
      </c>
      <c r="CJ405" s="874">
        <f>IF(WWWW[[#This Row],[Total required water points]]-WWWW[[#This Row],['#Water points coverage]]&lt;0,0,WWWW[[#This Row],[Total required water points]]-WWWW[[#This Row],['#Water points coverage]])</f>
        <v>1</v>
      </c>
      <c r="CK405" s="874">
        <f>ROUND(IF(WWWW[[#This Row],[Total PoP ]]&lt;500,1,WWWW[[#This Row],[Total PoP ]]/500),0)</f>
        <v>1</v>
      </c>
      <c r="CL405" s="874">
        <f>(WWWW[[#This Row],['#_Constructed latrines_by_WASHAgencies]]+WWWW[[#This Row],['#_Non Cluster partner latrines]])-WWWW[[#This Row],['#_Non-functional latrines]]</f>
        <v>0</v>
      </c>
      <c r="CM405"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05"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05"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05" s="874">
        <f>IF(WWWW[[#This Row],[Location Type 1]]="Village","NA",IF(WWWW[[#This Row],['#_Constructed/Existing latrines in TLS]]*50&gt;WWWW[[#This Row],['#_students at TLS_CFS]],WWWW[[#This Row],['#_students at TLS_CFS]],(WWWW[[#This Row],['#_Constructed/Existing latrines in TLS]]*50)))</f>
        <v>0</v>
      </c>
      <c r="CQ405" s="874">
        <f>ROUND(IF(WWWW[[#This Row],[Location Type 1]]="camp",WWWW[[#This Row],[Total PoP ]]/20,IF(WWWW[[#This Row],[Location Type 1]]="Temporary Location",WWWW[[#This Row],[Total PoP ]]/50,(WWWW[[#This Row],[Total PoP ]]/6))),0)</f>
        <v>2</v>
      </c>
      <c r="CR405" s="874">
        <f>IF(WWWW[[#This Row],[Total required Latrines]]-(WWWW[[#This Row],['#_Constructed latrines_by_WASHAgencies]]+WWWW[[#This Row],['#_Non Cluster partner latrines]])&lt;0,0,WWWW[[#This Row],[Total required Latrines]]-(WWWW[[#This Row],['#_Constructed latrines_by_WASHAgencies]]+WWWW[[#This Row],['#_Non Cluster partner latrines]]))</f>
        <v>2</v>
      </c>
      <c r="CS405" s="878">
        <f>1-WWWW[[#This Row],[% people access to functioning Latrine]]</f>
        <v>1</v>
      </c>
      <c r="CT405" s="875">
        <f>IF(OR(WWWW[[#This Row],['#_Non-functional latrines]]="",WWWW[[#This Row],['#_Non-functional latrines]]=0),0,WWWW[[#This Row],['#_Non-functional latrines]]/(WWWW[[#This Row],['#_Constructed latrines_by_WASHAgencies]]+WWWW[[#This Row],['#_Non Cluster partner latrines]]))</f>
        <v>0</v>
      </c>
      <c r="CU405" s="870">
        <f>IF(500*(WWWW[[#This Row],['#_male hygiene promoters]]+WWWW[[#This Row],['#_female hygiene promoters]])&gt;WWWW[[#This Row],[Total PoP ]],WWWW[[#This Row],[Total PoP ]],500*(WWWW[[#This Row],['#_male hygiene promoters]]+WWWW[[#This Row],['#_female hygiene promoters]]))</f>
        <v>0</v>
      </c>
      <c r="CV405"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101</v>
      </c>
      <c r="CW405"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101</v>
      </c>
      <c r="CX405" s="874">
        <f>IF(WWWW[[#This Row],['# People with access to soap]]&gt;WWWW[[#This Row],['# People with access to Sanity Pads]],WWWW[[#This Row],['# People with access to soap]],WWWW[[#This Row],['# People with access to Sanity Pads]])</f>
        <v>101</v>
      </c>
      <c r="CY405" s="874">
        <f>IF(WWWW[[#This Row],['# people reached by regular dedicated hygiene promotion_5]]&gt;WWWW[[#This Row],['# People received regular supply of hygiene items_6]],WWWW[[#This Row],['# people reached by regular dedicated hygiene promotion_5]],WWWW[[#This Row],['# People received regular supply of hygiene items_6]])</f>
        <v>101</v>
      </c>
      <c r="CZ405" s="876">
        <f>IF(WWWW[[#This Row],[HRP3]]/WWWW[[#This Row],[Total PoP ]]&gt;100%,100%,WWWW[[#This Row],[HRP3]]/WWWW[[#This Row],[Total PoP ]])</f>
        <v>1</v>
      </c>
      <c r="DA405" s="875">
        <f>1-WWWW[[#This Row],[Hygiene Coverage%]]</f>
        <v>0</v>
      </c>
      <c r="DB405" s="872">
        <f>WWWW[[#This Row],['# people reached by regular dedicated hygiene promotion_5]]/WWWW[[#This Row],[Total PoP ]]</f>
        <v>0</v>
      </c>
      <c r="DC405" s="872">
        <f>IF(WWWW[[#This Row],['#_households that received standard amount of soap for this quarter]]/WWWW[[#This Row],[Total HH]]&gt;1,1,WWWW[[#This Row],['#_households that received standard amount of soap for this quarter]]/WWWW[[#This Row],[Total HH]])</f>
        <v>1</v>
      </c>
      <c r="DD405" s="872">
        <f>IF(WWWW[[#This Row],['#_households that received standard amount of sanitary pads for this quarter]]/WWWW[[#This Row],[Total HH]]&gt;1,1,WWWW[[#This Row],['#_households that received standard amount of sanitary pads for this quarter]]/WWWW[[#This Row],[Total HH]])</f>
        <v>1</v>
      </c>
      <c r="DE405" s="874">
        <f>WWWW[[#This Row],['#_Constructed/Existing hand washing stations]]-WWWW[[#This Row],['#_Non-Functional_hand_washing_stations]]</f>
        <v>0</v>
      </c>
      <c r="DF405" s="879" t="e">
        <f>WWWW[[#This Row],[Total HH]]*#REF!</f>
        <v>#REF!</v>
      </c>
      <c r="DG405" s="870">
        <f>IF(WWWW[[#This Row],[Is sufficient soap available for TLS? (Yes/No)]]="yes",WWWW[[#This Row],['#_Constructed/Existing hand washing stations at TLS]],0)</f>
        <v>0</v>
      </c>
      <c r="DH405" s="702">
        <f>IF(WWWW[[#This Row],['# Functional hand washing stations during reporting period]]*100&gt;WWWW[[#This Row],[Total PoP ]],WWWW[[#This Row],[Total PoP ]],WWWW[[#This Row],['# Functional hand washing stations during reporting period]]*100)</f>
        <v>0</v>
      </c>
      <c r="DI405" s="702" t="str">
        <f>IF(WWWW[[#This Row],['#_students at TLS_CFS]]="","No","Yes")</f>
        <v>No</v>
      </c>
      <c r="DJ405" s="873">
        <f>VLOOKUP(WWWW[[#This Row],[Site Name]],SiteDB6[[Site Name]:[CCCM Management]],6,FALSE)</f>
        <v>0</v>
      </c>
      <c r="DK405" s="873">
        <f>VLOOKUP(WWWW[[#This Row],[Site Name]],SiteDB6[[Site Name]:[CCCM Focal Agency]],7,FALSE)</f>
        <v>0</v>
      </c>
      <c r="DL405" s="873" t="str">
        <f>VLOOKUP(WWWW[[#This Row],[Site Name]],SiteDB6[[Site Name]:[Location Type 1]],9,FALSE)</f>
        <v>Temporary location</v>
      </c>
      <c r="DM405" s="873" t="str">
        <f>VLOOKUP(WWWW[[#This Row],[Site Name]],SiteDB6[[Site Name]:[Type of Accommodation]],10,FALSE)</f>
        <v>Temporary location_Town</v>
      </c>
      <c r="DN405" s="873">
        <f>VLOOKUP(WWWW[[#This Row],[Site Name]],SiteDB6[[Site Name]:[Ethnic or GCA/NGCA]],11,FALSE)</f>
        <v>0</v>
      </c>
      <c r="DO405" s="873">
        <f>VLOOKUP(WWWW[[#This Row],[Site Name]],SiteDB6[[Site Name]:[Lat]],12,FALSE)</f>
        <v>0</v>
      </c>
      <c r="DP405" s="873">
        <f>VLOOKUP(WWWW[[#This Row],[Site Name]],SiteDB6[[Site Name]:[Long]],13,FALSE)</f>
        <v>0</v>
      </c>
      <c r="DQ405" s="873">
        <f>VLOOKUP(WWWW[[#This Row],[Site Name]],SiteDB6[[Site Name]:[Pcode]],3,FALSE)</f>
        <v>0</v>
      </c>
      <c r="DR405" s="871" t="str">
        <f t="shared" si="13"/>
        <v>Covered</v>
      </c>
      <c r="DS405" s="871"/>
      <c r="DV405" s="661"/>
    </row>
    <row r="406" spans="1:126">
      <c r="A406" s="637" t="s">
        <v>2525</v>
      </c>
      <c r="B406" s="976" t="s">
        <v>317</v>
      </c>
      <c r="C406" s="976" t="s">
        <v>317</v>
      </c>
      <c r="D406" s="864"/>
      <c r="E406" s="865" t="s">
        <v>3014</v>
      </c>
      <c r="F406" s="864" t="s">
        <v>489</v>
      </c>
      <c r="G406" s="866" t="str">
        <f>VLOOKUP(WWWW[[#This Row],[Site Name]],SiteDB6[[Site Name]:[Location Type]],8,FALSE)</f>
        <v>New Temporary Site</v>
      </c>
      <c r="H406" s="864" t="s">
        <v>3175</v>
      </c>
      <c r="I406" s="867">
        <v>147</v>
      </c>
      <c r="J406" s="867">
        <v>455</v>
      </c>
      <c r="K406" s="868"/>
      <c r="L406" s="869"/>
      <c r="M406" s="867"/>
      <c r="N406" s="867"/>
      <c r="O406" s="867"/>
      <c r="P406" s="867"/>
      <c r="Q406" s="870"/>
      <c r="R406" s="867"/>
      <c r="S406" s="867"/>
      <c r="T406" s="379"/>
      <c r="U406" s="867"/>
      <c r="V406" s="867"/>
      <c r="W406" s="867"/>
      <c r="X406" s="867"/>
      <c r="Y406" s="867"/>
      <c r="Z406" s="867"/>
      <c r="AA406" s="867"/>
      <c r="AB406" s="867"/>
      <c r="AC406" s="867"/>
      <c r="AD406" s="867"/>
      <c r="AE406" s="867"/>
      <c r="AF406" s="867"/>
      <c r="AG406" s="867"/>
      <c r="AH406" s="867"/>
      <c r="AI406" s="867"/>
      <c r="AJ406" s="867"/>
      <c r="AK406" s="867"/>
      <c r="AL406" s="867"/>
      <c r="AM406" s="867"/>
      <c r="AN406" s="867"/>
      <c r="AO406" s="871"/>
      <c r="AP406" s="867"/>
      <c r="AQ406" s="867"/>
      <c r="AR406" s="872"/>
      <c r="AS406" s="867"/>
      <c r="AT406" s="867"/>
      <c r="AU406" s="867"/>
      <c r="AV406" s="867"/>
      <c r="AW406" s="867"/>
      <c r="AX406" s="873"/>
      <c r="AY406" s="871"/>
      <c r="AZ406" s="867"/>
      <c r="BA406" s="867"/>
      <c r="BB406" s="867"/>
      <c r="BC406" s="873"/>
      <c r="BD406" s="867"/>
      <c r="BE406" s="867"/>
      <c r="BF406" s="867"/>
      <c r="BG406" s="867"/>
      <c r="BH406" s="867"/>
      <c r="BI406" s="867"/>
      <c r="BJ406" s="867"/>
      <c r="BK406" s="867"/>
      <c r="BL406" s="867"/>
      <c r="BM406" s="873"/>
      <c r="BN406" s="874"/>
      <c r="BO406" s="872"/>
      <c r="BP406" s="873"/>
      <c r="BQ406" s="875" t="str">
        <f>IFERROR(WWWW[[#This Row],['#_Water sources treated]]/WWWW[[#This Row],['#_Water sources tested for contamination]],"no test")</f>
        <v>no test</v>
      </c>
      <c r="BR406" s="872" t="str">
        <f>IFERROR(WWWW[[#This Row],['#_Household received remediation action due to contamination]]/WWWW[[#This Row],['#_Household water samples tested for contamination]],"no test")</f>
        <v>no test</v>
      </c>
      <c r="BS406" s="874" t="str">
        <f>IF(AND(WWWW[[#This Row],[% of water sources treated]]="no test",WWWW[[#This Row],[% Household received corrective actions]]="no test"),"No Test","Tested")</f>
        <v>No Test</v>
      </c>
      <c r="BT406" s="874">
        <f>WWWW[[#This Row],['#_Constructed/existing protected hand dug well]]-WWWW[[#This Row],['#_Non-functional protected hand dug well]]</f>
        <v>0</v>
      </c>
      <c r="BU406" s="874">
        <f>(WWWW[[#This Row],['#_Constructed/Existing tube wells/boreholes/handpumps_WASH_agency]]+WWWW[[#This Row],['#_Non-Cluster partner water tube-wells/boreholes/handpumps]])-WWWW[[#This Row],['#_Non-functional tube wells/boreholes/handpumps]]</f>
        <v>0</v>
      </c>
      <c r="BV406" s="874">
        <f>WWWW[[#This Row],['#_Constructed/Existingwater storage tank with gravity fed reticulation system]]-WWWW[[#This Row],['#_Non-functional storage tank gravity fed reticulation system]]</f>
        <v>0</v>
      </c>
      <c r="BW406" s="874">
        <f>WWWW[[#This Row],['#_Water boating or water trucking]]</f>
        <v>0</v>
      </c>
      <c r="BX406" s="874">
        <f>WWWW[[#This Row],['#_Constructed/Existing water distribution system from river or natural spring]]</f>
        <v>0</v>
      </c>
      <c r="BY406"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06"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06" s="872">
        <f>IF(WWWW[[#This Row],[Location Type 1]]="Village",WWWW[[#This Row],[Access to safe drinking water for Village]],WWWW[[#This Row],[Access to safe drinking water for Camp]])</f>
        <v>0</v>
      </c>
      <c r="CB406" s="870">
        <f>WWWW[[#This Row],[%Equitable and continuous access to sufficient quantity of safe drinking water]]*WWWW[[#This Row],[Total PoP ]]</f>
        <v>0</v>
      </c>
      <c r="CC406" s="872">
        <f>IF((WWWW[[#This Row],['#_Constructed/Existing protected/fenced ponds]]*250)/WWWW[[#This Row],[Total PoP ]]&gt;1,1,(WWWW[[#This Row],['#_Constructed/Existing protected/fenced ponds]]*250)/WWWW[[#This Row],[Total PoP ]])</f>
        <v>0</v>
      </c>
      <c r="CD406" s="870">
        <f>WWWW[[#This Row],[% Access to unimproved water points]]*WWWW[[#This Row],[Total PoP ]]</f>
        <v>0</v>
      </c>
      <c r="CE406"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06"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06" s="870">
        <f>WWWW[[#This Row],[HRP1]]/500</f>
        <v>0</v>
      </c>
      <c r="CH406" s="876">
        <f>1-WWWW[[#This Row],[% Equitable and continuous access to sufficient quantity of domestic water]]</f>
        <v>1</v>
      </c>
      <c r="CI406" s="870">
        <f>WWWW[[#This Row],[%equitable and continuous access to sufficient quantity of safe drinking and domestic water''s GAP]]*WWWW[[#This Row],[Total PoP ]]</f>
        <v>455</v>
      </c>
      <c r="CJ406" s="874">
        <f>IF(WWWW[[#This Row],[Total required water points]]-WWWW[[#This Row],['#Water points coverage]]&lt;0,0,WWWW[[#This Row],[Total required water points]]-WWWW[[#This Row],['#Water points coverage]])</f>
        <v>1</v>
      </c>
      <c r="CK406" s="874">
        <f>ROUND(IF(WWWW[[#This Row],[Total PoP ]]&lt;500,1,WWWW[[#This Row],[Total PoP ]]/500),0)</f>
        <v>1</v>
      </c>
      <c r="CL406" s="874">
        <f>(WWWW[[#This Row],['#_Constructed latrines_by_WASHAgencies]]+WWWW[[#This Row],['#_Non Cluster partner latrines]])-WWWW[[#This Row],['#_Non-functional latrines]]</f>
        <v>0</v>
      </c>
      <c r="CM406"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06"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06"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06" s="874">
        <f>IF(WWWW[[#This Row],[Location Type 1]]="Village","NA",IF(WWWW[[#This Row],['#_Constructed/Existing latrines in TLS]]*50&gt;WWWW[[#This Row],['#_students at TLS_CFS]],WWWW[[#This Row],['#_students at TLS_CFS]],(WWWW[[#This Row],['#_Constructed/Existing latrines in TLS]]*50)))</f>
        <v>0</v>
      </c>
      <c r="CQ406" s="874">
        <f>ROUND(IF(WWWW[[#This Row],[Location Type 1]]="camp",WWWW[[#This Row],[Total PoP ]]/20,IF(WWWW[[#This Row],[Location Type 1]]="Temporary Location",WWWW[[#This Row],[Total PoP ]]/50,(WWWW[[#This Row],[Total PoP ]]/6))),0)</f>
        <v>9</v>
      </c>
      <c r="CR406" s="874">
        <f>IF(WWWW[[#This Row],[Total required Latrines]]-(WWWW[[#This Row],['#_Constructed latrines_by_WASHAgencies]]+WWWW[[#This Row],['#_Non Cluster partner latrines]])&lt;0,0,WWWW[[#This Row],[Total required Latrines]]-(WWWW[[#This Row],['#_Constructed latrines_by_WASHAgencies]]+WWWW[[#This Row],['#_Non Cluster partner latrines]]))</f>
        <v>9</v>
      </c>
      <c r="CS406" s="878">
        <f>1-WWWW[[#This Row],[% people access to functioning Latrine]]</f>
        <v>1</v>
      </c>
      <c r="CT406" s="875">
        <f>IF(OR(WWWW[[#This Row],['#_Non-functional latrines]]="",WWWW[[#This Row],['#_Non-functional latrines]]=0),0,WWWW[[#This Row],['#_Non-functional latrines]]/(WWWW[[#This Row],['#_Constructed latrines_by_WASHAgencies]]+WWWW[[#This Row],['#_Non Cluster partner latrines]]))</f>
        <v>0</v>
      </c>
      <c r="CU406" s="870">
        <f>IF(500*(WWWW[[#This Row],['#_male hygiene promoters]]+WWWW[[#This Row],['#_female hygiene promoters]])&gt;WWWW[[#This Row],[Total PoP ]],WWWW[[#This Row],[Total PoP ]],500*(WWWW[[#This Row],['#_male hygiene promoters]]+WWWW[[#This Row],['#_female hygiene promoters]]))</f>
        <v>0</v>
      </c>
      <c r="CV406"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06"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06" s="874">
        <f>IF(WWWW[[#This Row],['# People with access to soap]]&gt;WWWW[[#This Row],['# People with access to Sanity Pads]],WWWW[[#This Row],['# People with access to soap]],WWWW[[#This Row],['# People with access to Sanity Pads]])</f>
        <v>0</v>
      </c>
      <c r="CY406"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06" s="876">
        <f>IF(WWWW[[#This Row],[HRP3]]/WWWW[[#This Row],[Total PoP ]]&gt;100%,100%,WWWW[[#This Row],[HRP3]]/WWWW[[#This Row],[Total PoP ]])</f>
        <v>0</v>
      </c>
      <c r="DA406" s="875">
        <f>1-WWWW[[#This Row],[Hygiene Coverage%]]</f>
        <v>1</v>
      </c>
      <c r="DB406" s="872">
        <f>WWWW[[#This Row],['# people reached by regular dedicated hygiene promotion_5]]/WWWW[[#This Row],[Total PoP ]]</f>
        <v>0</v>
      </c>
      <c r="DC406" s="872">
        <f>IF(WWWW[[#This Row],['#_households that received standard amount of soap for this quarter]]/WWWW[[#This Row],[Total HH]]&gt;1,1,WWWW[[#This Row],['#_households that received standard amount of soap for this quarter]]/WWWW[[#This Row],[Total HH]])</f>
        <v>0</v>
      </c>
      <c r="DD406" s="872">
        <f>IF(WWWW[[#This Row],['#_households that received standard amount of sanitary pads for this quarter]]/WWWW[[#This Row],[Total HH]]&gt;1,1,WWWW[[#This Row],['#_households that received standard amount of sanitary pads for this quarter]]/WWWW[[#This Row],[Total HH]])</f>
        <v>0</v>
      </c>
      <c r="DE406" s="874">
        <f>WWWW[[#This Row],['#_Constructed/Existing hand washing stations]]-WWWW[[#This Row],['#_Non-Functional_hand_washing_stations]]</f>
        <v>0</v>
      </c>
      <c r="DF406" s="879" t="e">
        <f>WWWW[[#This Row],[Total HH]]*#REF!</f>
        <v>#REF!</v>
      </c>
      <c r="DG406" s="870">
        <f>IF(WWWW[[#This Row],[Is sufficient soap available for TLS? (Yes/No)]]="yes",WWWW[[#This Row],['#_Constructed/Existing hand washing stations at TLS]],0)</f>
        <v>0</v>
      </c>
      <c r="DH406" s="702">
        <f>IF(WWWW[[#This Row],['# Functional hand washing stations during reporting period]]*100&gt;WWWW[[#This Row],[Total PoP ]],WWWW[[#This Row],[Total PoP ]],WWWW[[#This Row],['# Functional hand washing stations during reporting period]]*100)</f>
        <v>0</v>
      </c>
      <c r="DI406" s="702" t="str">
        <f>IF(WWWW[[#This Row],['#_students at TLS_CFS]]="","No","Yes")</f>
        <v>No</v>
      </c>
      <c r="DJ406" s="873">
        <f>VLOOKUP(WWWW[[#This Row],[Site Name]],SiteDB6[[Site Name]:[CCCM Management]],6,FALSE)</f>
        <v>0</v>
      </c>
      <c r="DK406" s="873">
        <f>VLOOKUP(WWWW[[#This Row],[Site Name]],SiteDB6[[Site Name]:[CCCM Focal Agency]],7,FALSE)</f>
        <v>0</v>
      </c>
      <c r="DL406" s="873" t="str">
        <f>VLOOKUP(WWWW[[#This Row],[Site Name]],SiteDB6[[Site Name]:[Location Type 1]],9,FALSE)</f>
        <v>Temporary location</v>
      </c>
      <c r="DM406" s="873" t="str">
        <f>VLOOKUP(WWWW[[#This Row],[Site Name]],SiteDB6[[Site Name]:[Type of Accommodation]],10,FALSE)</f>
        <v>Temporary location</v>
      </c>
      <c r="DN406" s="873">
        <f>VLOOKUP(WWWW[[#This Row],[Site Name]],SiteDB6[[Site Name]:[Ethnic or GCA/NGCA]],11,FALSE)</f>
        <v>0</v>
      </c>
      <c r="DO406" s="873">
        <f>VLOOKUP(WWWW[[#This Row],[Site Name]],SiteDB6[[Site Name]:[Lat]],12,FALSE)</f>
        <v>0</v>
      </c>
      <c r="DP406" s="873">
        <f>VLOOKUP(WWWW[[#This Row],[Site Name]],SiteDB6[[Site Name]:[Long]],13,FALSE)</f>
        <v>0</v>
      </c>
      <c r="DQ406" s="873">
        <f>VLOOKUP(WWWW[[#This Row],[Site Name]],SiteDB6[[Site Name]:[Pcode]],3,FALSE)</f>
        <v>0</v>
      </c>
      <c r="DR406" s="871" t="str">
        <f t="shared" si="13"/>
        <v>Notcovered</v>
      </c>
      <c r="DS406" s="871"/>
      <c r="DV406" s="661"/>
    </row>
    <row r="407" spans="1:126">
      <c r="A407" s="637" t="s">
        <v>2525</v>
      </c>
      <c r="B407" s="863" t="s">
        <v>3157</v>
      </c>
      <c r="C407" s="863" t="s">
        <v>3157</v>
      </c>
      <c r="D407" s="864"/>
      <c r="E407" s="865" t="s">
        <v>3014</v>
      </c>
      <c r="F407" s="864" t="s">
        <v>489</v>
      </c>
      <c r="G407" s="866" t="s">
        <v>3028</v>
      </c>
      <c r="H407" s="864" t="s">
        <v>3250</v>
      </c>
      <c r="I407" s="867">
        <v>45</v>
      </c>
      <c r="J407" s="867">
        <v>191</v>
      </c>
      <c r="K407" s="868"/>
      <c r="L407" s="869"/>
      <c r="M407" s="867"/>
      <c r="N407" s="867"/>
      <c r="O407" s="867"/>
      <c r="P407" s="867"/>
      <c r="Q407" s="870"/>
      <c r="R407" s="867"/>
      <c r="S407" s="867"/>
      <c r="T407" s="379"/>
      <c r="U407" s="867"/>
      <c r="V407" s="867"/>
      <c r="W407" s="867"/>
      <c r="X407" s="867"/>
      <c r="Y407" s="867"/>
      <c r="Z407" s="867"/>
      <c r="AA407" s="867"/>
      <c r="AB407" s="867"/>
      <c r="AC407" s="867"/>
      <c r="AD407" s="867"/>
      <c r="AE407" s="867"/>
      <c r="AF407" s="867"/>
      <c r="AG407" s="867"/>
      <c r="AH407" s="867"/>
      <c r="AI407" s="867"/>
      <c r="AJ407" s="867"/>
      <c r="AK407" s="867"/>
      <c r="AL407" s="867"/>
      <c r="AM407" s="867"/>
      <c r="AN407" s="867"/>
      <c r="AO407" s="871"/>
      <c r="AP407" s="867">
        <v>9</v>
      </c>
      <c r="AQ407" s="867"/>
      <c r="AR407" s="872"/>
      <c r="AS407" s="867"/>
      <c r="AT407" s="867"/>
      <c r="AU407" s="867"/>
      <c r="AV407" s="867"/>
      <c r="AW407" s="867"/>
      <c r="AX407" s="873"/>
      <c r="AY407" s="871"/>
      <c r="AZ407" s="867"/>
      <c r="BA407" s="867"/>
      <c r="BB407" s="867"/>
      <c r="BC407" s="873"/>
      <c r="BD407" s="867"/>
      <c r="BE407" s="867"/>
      <c r="BF407" s="867"/>
      <c r="BG407" s="867"/>
      <c r="BH407" s="867"/>
      <c r="BI407" s="867"/>
      <c r="BJ407" s="867"/>
      <c r="BK407" s="867">
        <v>40</v>
      </c>
      <c r="BL407" s="867">
        <v>40</v>
      </c>
      <c r="BM407" s="873"/>
      <c r="BN407" s="874"/>
      <c r="BO407" s="872"/>
      <c r="BP407" s="873"/>
      <c r="BQ407" s="875" t="str">
        <f>IFERROR(WWWW[[#This Row],['#_Water sources treated]]/WWWW[[#This Row],['#_Water sources tested for contamination]],"no test")</f>
        <v>no test</v>
      </c>
      <c r="BR407" s="872" t="str">
        <f>IFERROR(WWWW[[#This Row],['#_Household received remediation action due to contamination]]/WWWW[[#This Row],['#_Household water samples tested for contamination]],"no test")</f>
        <v>no test</v>
      </c>
      <c r="BS407" s="874" t="str">
        <f>IF(AND(WWWW[[#This Row],[% of water sources treated]]="no test",WWWW[[#This Row],[% Household received corrective actions]]="no test"),"No Test","Tested")</f>
        <v>No Test</v>
      </c>
      <c r="BT407" s="874">
        <f>WWWW[[#This Row],['#_Constructed/existing protected hand dug well]]-WWWW[[#This Row],['#_Non-functional protected hand dug well]]</f>
        <v>0</v>
      </c>
      <c r="BU407" s="874">
        <f>(WWWW[[#This Row],['#_Constructed/Existing tube wells/boreholes/handpumps_WASH_agency]]+WWWW[[#This Row],['#_Non-Cluster partner water tube-wells/boreholes/handpumps]])-WWWW[[#This Row],['#_Non-functional tube wells/boreholes/handpumps]]</f>
        <v>0</v>
      </c>
      <c r="BV407" s="874">
        <f>WWWW[[#This Row],['#_Constructed/Existingwater storage tank with gravity fed reticulation system]]-WWWW[[#This Row],['#_Non-functional storage tank gravity fed reticulation system]]</f>
        <v>0</v>
      </c>
      <c r="BW407" s="874">
        <f>WWWW[[#This Row],['#_Water boating or water trucking]]</f>
        <v>0</v>
      </c>
      <c r="BX407" s="874">
        <f>WWWW[[#This Row],['#_Constructed/Existing water distribution system from river or natural spring]]</f>
        <v>0</v>
      </c>
      <c r="BY407"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07"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07" s="872">
        <f>IF(WWWW[[#This Row],[Location Type 1]]="Village",WWWW[[#This Row],[Access to safe drinking water for Village]],WWWW[[#This Row],[Access to safe drinking water for Camp]])</f>
        <v>0</v>
      </c>
      <c r="CB407" s="870">
        <f>WWWW[[#This Row],[%Equitable and continuous access to sufficient quantity of safe drinking water]]*WWWW[[#This Row],[Total PoP ]]</f>
        <v>0</v>
      </c>
      <c r="CC407" s="872">
        <f>IF((WWWW[[#This Row],['#_Constructed/Existing protected/fenced ponds]]*250)/WWWW[[#This Row],[Total PoP ]]&gt;1,1,(WWWW[[#This Row],['#_Constructed/Existing protected/fenced ponds]]*250)/WWWW[[#This Row],[Total PoP ]])</f>
        <v>0</v>
      </c>
      <c r="CD407" s="870">
        <f>WWWW[[#This Row],[% Access to unimproved water points]]*WWWW[[#This Row],[Total PoP ]]</f>
        <v>0</v>
      </c>
      <c r="CE407"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07"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07" s="870">
        <f>WWWW[[#This Row],[HRP1]]/500</f>
        <v>0</v>
      </c>
      <c r="CH407" s="876">
        <f>1-WWWW[[#This Row],[% Equitable and continuous access to sufficient quantity of domestic water]]</f>
        <v>1</v>
      </c>
      <c r="CI407" s="870">
        <f>WWWW[[#This Row],[%equitable and continuous access to sufficient quantity of safe drinking and domestic water''s GAP]]*WWWW[[#This Row],[Total PoP ]]</f>
        <v>191</v>
      </c>
      <c r="CJ407" s="874">
        <f>IF(WWWW[[#This Row],[Total required water points]]-WWWW[[#This Row],['#Water points coverage]]&lt;0,0,WWWW[[#This Row],[Total required water points]]-WWWW[[#This Row],['#Water points coverage]])</f>
        <v>1</v>
      </c>
      <c r="CK407" s="874">
        <f>ROUND(IF(WWWW[[#This Row],[Total PoP ]]&lt;500,1,WWWW[[#This Row],[Total PoP ]]/500),0)</f>
        <v>1</v>
      </c>
      <c r="CL407" s="874">
        <f>(WWWW[[#This Row],['#_Constructed latrines_by_WASHAgencies]]+WWWW[[#This Row],['#_Non Cluster partner latrines]])-WWWW[[#This Row],['#_Non-functional latrines]]</f>
        <v>9</v>
      </c>
      <c r="CM407"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407"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191</v>
      </c>
      <c r="CO407"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07" s="874">
        <f>IF(WWWW[[#This Row],[Location Type 1]]="Village","NA",IF(WWWW[[#This Row],['#_Constructed/Existing latrines in TLS]]*50&gt;WWWW[[#This Row],['#_students at TLS_CFS]],WWWW[[#This Row],['#_students at TLS_CFS]],(WWWW[[#This Row],['#_Constructed/Existing latrines in TLS]]*50)))</f>
        <v>0</v>
      </c>
      <c r="CQ407" s="874">
        <f>ROUND(IF(WWWW[[#This Row],[Location Type 1]]="camp",WWWW[[#This Row],[Total PoP ]]/20,IF(WWWW[[#This Row],[Location Type 1]]="Temporary Location",WWWW[[#This Row],[Total PoP ]]/50,(WWWW[[#This Row],[Total PoP ]]/6))),0)</f>
        <v>4</v>
      </c>
      <c r="CR407" s="874">
        <f>IF(WWWW[[#This Row],[Total required Latrines]]-(WWWW[[#This Row],['#_Constructed latrines_by_WASHAgencies]]+WWWW[[#This Row],['#_Non Cluster partner latrines]])&lt;0,0,WWWW[[#This Row],[Total required Latrines]]-(WWWW[[#This Row],['#_Constructed latrines_by_WASHAgencies]]+WWWW[[#This Row],['#_Non Cluster partner latrines]]))</f>
        <v>0</v>
      </c>
      <c r="CS407" s="878">
        <f>1-WWWW[[#This Row],[% people access to functioning Latrine]]</f>
        <v>0</v>
      </c>
      <c r="CT407" s="875">
        <f>IF(OR(WWWW[[#This Row],['#_Non-functional latrines]]="",WWWW[[#This Row],['#_Non-functional latrines]]=0),0,WWWW[[#This Row],['#_Non-functional latrines]]/(WWWW[[#This Row],['#_Constructed latrines_by_WASHAgencies]]+WWWW[[#This Row],['#_Non Cluster partner latrines]]))</f>
        <v>0</v>
      </c>
      <c r="CU407" s="870">
        <f>IF(500*(WWWW[[#This Row],['#_male hygiene promoters]]+WWWW[[#This Row],['#_female hygiene promoters]])&gt;WWWW[[#This Row],[Total PoP ]],WWWW[[#This Row],[Total PoP ]],500*(WWWW[[#This Row],['#_male hygiene promoters]]+WWWW[[#This Row],['#_female hygiene promoters]]))</f>
        <v>0</v>
      </c>
      <c r="CV407"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191</v>
      </c>
      <c r="CW407"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191</v>
      </c>
      <c r="CX407" s="874">
        <f>IF(WWWW[[#This Row],['# People with access to soap]]&gt;WWWW[[#This Row],['# People with access to Sanity Pads]],WWWW[[#This Row],['# People with access to soap]],WWWW[[#This Row],['# People with access to Sanity Pads]])</f>
        <v>191</v>
      </c>
      <c r="CY407" s="874">
        <f>IF(WWWW[[#This Row],['# people reached by regular dedicated hygiene promotion_5]]&gt;WWWW[[#This Row],['# People received regular supply of hygiene items_6]],WWWW[[#This Row],['# people reached by regular dedicated hygiene promotion_5]],WWWW[[#This Row],['# People received regular supply of hygiene items_6]])</f>
        <v>191</v>
      </c>
      <c r="CZ407" s="876">
        <f>IF(WWWW[[#This Row],[HRP3]]/WWWW[[#This Row],[Total PoP ]]&gt;100%,100%,WWWW[[#This Row],[HRP3]]/WWWW[[#This Row],[Total PoP ]])</f>
        <v>1</v>
      </c>
      <c r="DA407" s="875">
        <f>1-WWWW[[#This Row],[Hygiene Coverage%]]</f>
        <v>0</v>
      </c>
      <c r="DB407" s="872">
        <f>WWWW[[#This Row],['# people reached by regular dedicated hygiene promotion_5]]/WWWW[[#This Row],[Total PoP ]]</f>
        <v>0</v>
      </c>
      <c r="DC407" s="872">
        <f>IF(WWWW[[#This Row],['#_households that received standard amount of soap for this quarter]]/WWWW[[#This Row],[Total HH]]&gt;1,1,WWWW[[#This Row],['#_households that received standard amount of soap for this quarter]]/WWWW[[#This Row],[Total HH]])</f>
        <v>0.88888888888888884</v>
      </c>
      <c r="DD407" s="872">
        <f>IF(WWWW[[#This Row],['#_households that received standard amount of sanitary pads for this quarter]]/WWWW[[#This Row],[Total HH]]&gt;1,1,WWWW[[#This Row],['#_households that received standard amount of sanitary pads for this quarter]]/WWWW[[#This Row],[Total HH]])</f>
        <v>0.88888888888888884</v>
      </c>
      <c r="DE407" s="874">
        <f>WWWW[[#This Row],['#_Constructed/Existing hand washing stations]]-WWWW[[#This Row],['#_Non-Functional_hand_washing_stations]]</f>
        <v>0</v>
      </c>
      <c r="DF407" s="879" t="e">
        <f>WWWW[[#This Row],[Total HH]]*#REF!</f>
        <v>#REF!</v>
      </c>
      <c r="DG407" s="870">
        <f>IF(WWWW[[#This Row],[Is sufficient soap available for TLS? (Yes/No)]]="yes",WWWW[[#This Row],['#_Constructed/Existing hand washing stations at TLS]],0)</f>
        <v>0</v>
      </c>
      <c r="DH407" s="702">
        <f>IF(WWWW[[#This Row],['# Functional hand washing stations during reporting period]]*100&gt;WWWW[[#This Row],[Total PoP ]],WWWW[[#This Row],[Total PoP ]],WWWW[[#This Row],['# Functional hand washing stations during reporting period]]*100)</f>
        <v>0</v>
      </c>
      <c r="DI407" s="702" t="str">
        <f>IF(WWWW[[#This Row],['#_students at TLS_CFS]]="","No","Yes")</f>
        <v>No</v>
      </c>
      <c r="DJ407" s="873">
        <f>VLOOKUP(WWWW[[#This Row],[Site Name]],SiteDB6[[Site Name]:[CCCM Management]],6,FALSE)</f>
        <v>0</v>
      </c>
      <c r="DK407" s="873">
        <f>VLOOKUP(WWWW[[#This Row],[Site Name]],SiteDB6[[Site Name]:[CCCM Focal Agency]],7,FALSE)</f>
        <v>0</v>
      </c>
      <c r="DL407" s="873" t="str">
        <f>VLOOKUP(WWWW[[#This Row],[Site Name]],SiteDB6[[Site Name]:[Location Type 1]],9,FALSE)</f>
        <v>Temporary location</v>
      </c>
      <c r="DM407" s="873" t="str">
        <f>VLOOKUP(WWWW[[#This Row],[Site Name]],SiteDB6[[Site Name]:[Type of Accommodation]],10,FALSE)</f>
        <v>Temporary location</v>
      </c>
      <c r="DN407" s="873">
        <f>VLOOKUP(WWWW[[#This Row],[Site Name]],SiteDB6[[Site Name]:[Ethnic or GCA/NGCA]],11,FALSE)</f>
        <v>0</v>
      </c>
      <c r="DO407" s="873">
        <f>VLOOKUP(WWWW[[#This Row],[Site Name]],SiteDB6[[Site Name]:[Lat]],12,FALSE)</f>
        <v>20.829959869384801</v>
      </c>
      <c r="DP407" s="873">
        <f>VLOOKUP(WWWW[[#This Row],[Site Name]],SiteDB6[[Site Name]:[Long]],13,FALSE)</f>
        <v>93.073478698730497</v>
      </c>
      <c r="DQ407" s="873">
        <f>VLOOKUP(WWWW[[#This Row],[Site Name]],SiteDB6[[Site Name]:[Pcode]],3,FALSE)</f>
        <v>196661</v>
      </c>
      <c r="DR407" s="871" t="str">
        <f t="shared" si="13"/>
        <v>Covered</v>
      </c>
      <c r="DS407" s="871"/>
      <c r="DV407" s="661"/>
    </row>
    <row r="408" spans="1:126">
      <c r="A408" s="637" t="s">
        <v>2525</v>
      </c>
      <c r="B408" s="863" t="s">
        <v>2871</v>
      </c>
      <c r="C408" s="863" t="s">
        <v>2871</v>
      </c>
      <c r="D408" s="864"/>
      <c r="E408" s="865" t="s">
        <v>3014</v>
      </c>
      <c r="F408" s="864" t="s">
        <v>489</v>
      </c>
      <c r="G408" s="866" t="str">
        <f>VLOOKUP(WWWW[[#This Row],[Site Name]],SiteDB6[[Site Name]:[Location Type]],8,FALSE)</f>
        <v>New Temporary Site</v>
      </c>
      <c r="H408" s="864" t="s">
        <v>3232</v>
      </c>
      <c r="I408" s="867">
        <v>41</v>
      </c>
      <c r="J408" s="867">
        <v>164</v>
      </c>
      <c r="K408" s="868"/>
      <c r="L408" s="869"/>
      <c r="M408" s="867"/>
      <c r="N408" s="867"/>
      <c r="O408" s="867"/>
      <c r="P408" s="867"/>
      <c r="Q408" s="870"/>
      <c r="R408" s="867"/>
      <c r="S408" s="867"/>
      <c r="T408" s="379"/>
      <c r="U408" s="867"/>
      <c r="V408" s="867"/>
      <c r="W408" s="867"/>
      <c r="X408" s="867"/>
      <c r="Y408" s="867"/>
      <c r="Z408" s="867"/>
      <c r="AA408" s="867"/>
      <c r="AB408" s="867"/>
      <c r="AC408" s="867"/>
      <c r="AD408" s="867"/>
      <c r="AE408" s="867"/>
      <c r="AF408" s="867"/>
      <c r="AG408" s="867"/>
      <c r="AH408" s="867"/>
      <c r="AI408" s="867"/>
      <c r="AJ408" s="867"/>
      <c r="AK408" s="867"/>
      <c r="AL408" s="867"/>
      <c r="AM408" s="867"/>
      <c r="AN408" s="867"/>
      <c r="AO408" s="871"/>
      <c r="AP408" s="867"/>
      <c r="AQ408" s="867"/>
      <c r="AR408" s="872"/>
      <c r="AS408" s="867"/>
      <c r="AT408" s="867"/>
      <c r="AU408" s="867"/>
      <c r="AV408" s="867"/>
      <c r="AW408" s="867"/>
      <c r="AX408" s="873"/>
      <c r="AY408" s="871"/>
      <c r="AZ408" s="867"/>
      <c r="BA408" s="867"/>
      <c r="BB408" s="867"/>
      <c r="BC408" s="873"/>
      <c r="BD408" s="867"/>
      <c r="BE408" s="867"/>
      <c r="BF408" s="867"/>
      <c r="BG408" s="867"/>
      <c r="BH408" s="867"/>
      <c r="BI408" s="867"/>
      <c r="BJ408" s="867"/>
      <c r="BK408" s="867">
        <v>25</v>
      </c>
      <c r="BL408" s="867">
        <v>25</v>
      </c>
      <c r="BM408" s="873"/>
      <c r="BN408" s="874"/>
      <c r="BO408" s="872"/>
      <c r="BP408" s="873"/>
      <c r="BQ408" s="875" t="str">
        <f>IFERROR(WWWW[[#This Row],['#_Water sources treated]]/WWWW[[#This Row],['#_Water sources tested for contamination]],"no test")</f>
        <v>no test</v>
      </c>
      <c r="BR408" s="872" t="str">
        <f>IFERROR(WWWW[[#This Row],['#_Household received remediation action due to contamination]]/WWWW[[#This Row],['#_Household water samples tested for contamination]],"no test")</f>
        <v>no test</v>
      </c>
      <c r="BS408" s="874" t="str">
        <f>IF(AND(WWWW[[#This Row],[% of water sources treated]]="no test",WWWW[[#This Row],[% Household received corrective actions]]="no test"),"No Test","Tested")</f>
        <v>No Test</v>
      </c>
      <c r="BT408" s="874">
        <f>WWWW[[#This Row],['#_Constructed/existing protected hand dug well]]-WWWW[[#This Row],['#_Non-functional protected hand dug well]]</f>
        <v>0</v>
      </c>
      <c r="BU408" s="874">
        <f>(WWWW[[#This Row],['#_Constructed/Existing tube wells/boreholes/handpumps_WASH_agency]]+WWWW[[#This Row],['#_Non-Cluster partner water tube-wells/boreholes/handpumps]])-WWWW[[#This Row],['#_Non-functional tube wells/boreholes/handpumps]]</f>
        <v>0</v>
      </c>
      <c r="BV408" s="874">
        <f>WWWW[[#This Row],['#_Constructed/Existingwater storage tank with gravity fed reticulation system]]-WWWW[[#This Row],['#_Non-functional storage tank gravity fed reticulation system]]</f>
        <v>0</v>
      </c>
      <c r="BW408" s="874">
        <f>WWWW[[#This Row],['#_Water boating or water trucking]]</f>
        <v>0</v>
      </c>
      <c r="BX408" s="874">
        <f>WWWW[[#This Row],['#_Constructed/Existing water distribution system from river or natural spring]]</f>
        <v>0</v>
      </c>
      <c r="BY408"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08"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08" s="872">
        <f>IF(WWWW[[#This Row],[Location Type 1]]="Village",WWWW[[#This Row],[Access to safe drinking water for Village]],WWWW[[#This Row],[Access to safe drinking water for Camp]])</f>
        <v>0</v>
      </c>
      <c r="CB408" s="870">
        <f>WWWW[[#This Row],[%Equitable and continuous access to sufficient quantity of safe drinking water]]*WWWW[[#This Row],[Total PoP ]]</f>
        <v>0</v>
      </c>
      <c r="CC408" s="872">
        <f>IF((WWWW[[#This Row],['#_Constructed/Existing protected/fenced ponds]]*250)/WWWW[[#This Row],[Total PoP ]]&gt;1,1,(WWWW[[#This Row],['#_Constructed/Existing protected/fenced ponds]]*250)/WWWW[[#This Row],[Total PoP ]])</f>
        <v>0</v>
      </c>
      <c r="CD408" s="870">
        <f>WWWW[[#This Row],[% Access to unimproved water points]]*WWWW[[#This Row],[Total PoP ]]</f>
        <v>0</v>
      </c>
      <c r="CE408"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08"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08" s="870">
        <f>WWWW[[#This Row],[HRP1]]/500</f>
        <v>0</v>
      </c>
      <c r="CH408" s="876">
        <f>1-WWWW[[#This Row],[% Equitable and continuous access to sufficient quantity of domestic water]]</f>
        <v>1</v>
      </c>
      <c r="CI408" s="870">
        <f>WWWW[[#This Row],[%equitable and continuous access to sufficient quantity of safe drinking and domestic water''s GAP]]*WWWW[[#This Row],[Total PoP ]]</f>
        <v>164</v>
      </c>
      <c r="CJ408" s="874">
        <f>IF(WWWW[[#This Row],[Total required water points]]-WWWW[[#This Row],['#Water points coverage]]&lt;0,0,WWWW[[#This Row],[Total required water points]]-WWWW[[#This Row],['#Water points coverage]])</f>
        <v>1</v>
      </c>
      <c r="CK408" s="874">
        <f>ROUND(IF(WWWW[[#This Row],[Total PoP ]]&lt;500,1,WWWW[[#This Row],[Total PoP ]]/500),0)</f>
        <v>1</v>
      </c>
      <c r="CL408" s="874">
        <f>(WWWW[[#This Row],['#_Constructed latrines_by_WASHAgencies]]+WWWW[[#This Row],['#_Non Cluster partner latrines]])-WWWW[[#This Row],['#_Non-functional latrines]]</f>
        <v>0</v>
      </c>
      <c r="CM408"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08"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08"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08" s="874">
        <f>IF(WWWW[[#This Row],[Location Type 1]]="Village","NA",IF(WWWW[[#This Row],['#_Constructed/Existing latrines in TLS]]*50&gt;WWWW[[#This Row],['#_students at TLS_CFS]],WWWW[[#This Row],['#_students at TLS_CFS]],(WWWW[[#This Row],['#_Constructed/Existing latrines in TLS]]*50)))</f>
        <v>0</v>
      </c>
      <c r="CQ408" s="874">
        <f>ROUND(IF(WWWW[[#This Row],[Location Type 1]]="camp",WWWW[[#This Row],[Total PoP ]]/20,IF(WWWW[[#This Row],[Location Type 1]]="Temporary Location",WWWW[[#This Row],[Total PoP ]]/50,(WWWW[[#This Row],[Total PoP ]]/6))),0)</f>
        <v>3</v>
      </c>
      <c r="CR408" s="874">
        <f>IF(WWWW[[#This Row],[Total required Latrines]]-(WWWW[[#This Row],['#_Constructed latrines_by_WASHAgencies]]+WWWW[[#This Row],['#_Non Cluster partner latrines]])&lt;0,0,WWWW[[#This Row],[Total required Latrines]]-(WWWW[[#This Row],['#_Constructed latrines_by_WASHAgencies]]+WWWW[[#This Row],['#_Non Cluster partner latrines]]))</f>
        <v>3</v>
      </c>
      <c r="CS408" s="878">
        <f>1-WWWW[[#This Row],[% people access to functioning Latrine]]</f>
        <v>1</v>
      </c>
      <c r="CT408" s="875">
        <f>IF(OR(WWWW[[#This Row],['#_Non-functional latrines]]="",WWWW[[#This Row],['#_Non-functional latrines]]=0),0,WWWW[[#This Row],['#_Non-functional latrines]]/(WWWW[[#This Row],['#_Constructed latrines_by_WASHAgencies]]+WWWW[[#This Row],['#_Non Cluster partner latrines]]))</f>
        <v>0</v>
      </c>
      <c r="CU408" s="870">
        <f>IF(500*(WWWW[[#This Row],['#_male hygiene promoters]]+WWWW[[#This Row],['#_female hygiene promoters]])&gt;WWWW[[#This Row],[Total PoP ]],WWWW[[#This Row],[Total PoP ]],500*(WWWW[[#This Row],['#_male hygiene promoters]]+WWWW[[#This Row],['#_female hygiene promoters]]))</f>
        <v>0</v>
      </c>
      <c r="CV408"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125</v>
      </c>
      <c r="CW408"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125</v>
      </c>
      <c r="CX408" s="874">
        <f>IF(WWWW[[#This Row],['# People with access to soap]]&gt;WWWW[[#This Row],['# People with access to Sanity Pads]],WWWW[[#This Row],['# People with access to soap]],WWWW[[#This Row],['# People with access to Sanity Pads]])</f>
        <v>125</v>
      </c>
      <c r="CY408" s="874">
        <f>IF(WWWW[[#This Row],['# people reached by regular dedicated hygiene promotion_5]]&gt;WWWW[[#This Row],['# People received regular supply of hygiene items_6]],WWWW[[#This Row],['# people reached by regular dedicated hygiene promotion_5]],WWWW[[#This Row],['# People received regular supply of hygiene items_6]])</f>
        <v>125</v>
      </c>
      <c r="CZ408" s="876">
        <f>IF(WWWW[[#This Row],[HRP3]]/WWWW[[#This Row],[Total PoP ]]&gt;100%,100%,WWWW[[#This Row],[HRP3]]/WWWW[[#This Row],[Total PoP ]])</f>
        <v>0.76219512195121952</v>
      </c>
      <c r="DA408" s="875">
        <f>1-WWWW[[#This Row],[Hygiene Coverage%]]</f>
        <v>0.23780487804878048</v>
      </c>
      <c r="DB408" s="872">
        <f>WWWW[[#This Row],['# people reached by regular dedicated hygiene promotion_5]]/WWWW[[#This Row],[Total PoP ]]</f>
        <v>0</v>
      </c>
      <c r="DC408" s="872">
        <f>IF(WWWW[[#This Row],['#_households that received standard amount of soap for this quarter]]/WWWW[[#This Row],[Total HH]]&gt;1,1,WWWW[[#This Row],['#_households that received standard amount of soap for this quarter]]/WWWW[[#This Row],[Total HH]])</f>
        <v>0.6097560975609756</v>
      </c>
      <c r="DD408" s="872">
        <f>IF(WWWW[[#This Row],['#_households that received standard amount of sanitary pads for this quarter]]/WWWW[[#This Row],[Total HH]]&gt;1,1,WWWW[[#This Row],['#_households that received standard amount of sanitary pads for this quarter]]/WWWW[[#This Row],[Total HH]])</f>
        <v>0.6097560975609756</v>
      </c>
      <c r="DE408" s="874">
        <f>WWWW[[#This Row],['#_Constructed/Existing hand washing stations]]-WWWW[[#This Row],['#_Non-Functional_hand_washing_stations]]</f>
        <v>0</v>
      </c>
      <c r="DF408" s="879" t="e">
        <f>WWWW[[#This Row],[Total HH]]*#REF!</f>
        <v>#REF!</v>
      </c>
      <c r="DG408" s="870">
        <f>IF(WWWW[[#This Row],[Is sufficient soap available for TLS? (Yes/No)]]="yes",WWWW[[#This Row],['#_Constructed/Existing hand washing stations at TLS]],0)</f>
        <v>0</v>
      </c>
      <c r="DH408" s="702">
        <f>IF(WWWW[[#This Row],['# Functional hand washing stations during reporting period]]*100&gt;WWWW[[#This Row],[Total PoP ]],WWWW[[#This Row],[Total PoP ]],WWWW[[#This Row],['# Functional hand washing stations during reporting period]]*100)</f>
        <v>0</v>
      </c>
      <c r="DI408" s="702" t="str">
        <f>IF(WWWW[[#This Row],['#_students at TLS_CFS]]="","No","Yes")</f>
        <v>No</v>
      </c>
      <c r="DJ408" s="873">
        <f>VLOOKUP(WWWW[[#This Row],[Site Name]],SiteDB6[[Site Name]:[CCCM Management]],6,FALSE)</f>
        <v>0</v>
      </c>
      <c r="DK408" s="873">
        <f>VLOOKUP(WWWW[[#This Row],[Site Name]],SiteDB6[[Site Name]:[CCCM Focal Agency]],7,FALSE)</f>
        <v>0</v>
      </c>
      <c r="DL408" s="873" t="str">
        <f>VLOOKUP(WWWW[[#This Row],[Site Name]],SiteDB6[[Site Name]:[Location Type 1]],9,FALSE)</f>
        <v>Temporary location</v>
      </c>
      <c r="DM408" s="873" t="str">
        <f>VLOOKUP(WWWW[[#This Row],[Site Name]],SiteDB6[[Site Name]:[Type of Accommodation]],10,FALSE)</f>
        <v>Temporary location</v>
      </c>
      <c r="DN408" s="873">
        <f>VLOOKUP(WWWW[[#This Row],[Site Name]],SiteDB6[[Site Name]:[Ethnic or GCA/NGCA]],11,FALSE)</f>
        <v>0</v>
      </c>
      <c r="DO408" s="873">
        <f>VLOOKUP(WWWW[[#This Row],[Site Name]],SiteDB6[[Site Name]:[Lat]],12,FALSE)</f>
        <v>20.7270202636719</v>
      </c>
      <c r="DP408" s="873">
        <f>VLOOKUP(WWWW[[#This Row],[Site Name]],SiteDB6[[Site Name]:[Long]],13,FALSE)</f>
        <v>93.249069213867202</v>
      </c>
      <c r="DQ408" s="873">
        <f>VLOOKUP(WWWW[[#This Row],[Site Name]],SiteDB6[[Site Name]:[Pcode]],3,FALSE)</f>
        <v>196465</v>
      </c>
      <c r="DR408" s="871" t="str">
        <f t="shared" si="13"/>
        <v>Covered</v>
      </c>
      <c r="DS408" s="871"/>
      <c r="DV408" s="661"/>
    </row>
    <row r="409" spans="1:126">
      <c r="A409" s="637" t="s">
        <v>2525</v>
      </c>
      <c r="B409" s="863" t="s">
        <v>3234</v>
      </c>
      <c r="C409" s="863" t="s">
        <v>3234</v>
      </c>
      <c r="D409" s="864"/>
      <c r="E409" s="865" t="s">
        <v>3014</v>
      </c>
      <c r="F409" s="864" t="s">
        <v>489</v>
      </c>
      <c r="G409" s="866" t="str">
        <f>VLOOKUP(WWWW[[#This Row],[Site Name]],SiteDB6[[Site Name]:[Location Type]],8,FALSE)</f>
        <v>New Temporary Site</v>
      </c>
      <c r="H409" s="864" t="s">
        <v>2873</v>
      </c>
      <c r="I409" s="867">
        <v>103</v>
      </c>
      <c r="J409" s="867">
        <v>318</v>
      </c>
      <c r="K409" s="868"/>
      <c r="L409" s="869"/>
      <c r="M409" s="867"/>
      <c r="N409" s="867"/>
      <c r="O409" s="867"/>
      <c r="P409" s="867"/>
      <c r="Q409" s="870"/>
      <c r="R409" s="867"/>
      <c r="S409" s="867"/>
      <c r="T409" s="379"/>
      <c r="U409" s="867"/>
      <c r="V409" s="867"/>
      <c r="W409" s="867"/>
      <c r="X409" s="867"/>
      <c r="Y409" s="867"/>
      <c r="Z409" s="867"/>
      <c r="AA409" s="867"/>
      <c r="AB409" s="867"/>
      <c r="AC409" s="867"/>
      <c r="AD409" s="867"/>
      <c r="AE409" s="867"/>
      <c r="AF409" s="867"/>
      <c r="AG409" s="867"/>
      <c r="AH409" s="867"/>
      <c r="AI409" s="867"/>
      <c r="AJ409" s="867"/>
      <c r="AK409" s="867"/>
      <c r="AL409" s="867"/>
      <c r="AM409" s="867"/>
      <c r="AN409" s="867"/>
      <c r="AO409" s="871"/>
      <c r="AP409" s="867">
        <v>4</v>
      </c>
      <c r="AQ409" s="867"/>
      <c r="AR409" s="872"/>
      <c r="AS409" s="867"/>
      <c r="AT409" s="867"/>
      <c r="AU409" s="867"/>
      <c r="AV409" s="867"/>
      <c r="AW409" s="867"/>
      <c r="AX409" s="873"/>
      <c r="AY409" s="871"/>
      <c r="AZ409" s="867"/>
      <c r="BA409" s="867"/>
      <c r="BB409" s="867"/>
      <c r="BC409" s="873"/>
      <c r="BD409" s="867"/>
      <c r="BE409" s="867"/>
      <c r="BF409" s="867"/>
      <c r="BG409" s="867"/>
      <c r="BH409" s="867"/>
      <c r="BI409" s="867"/>
      <c r="BJ409" s="867"/>
      <c r="BK409" s="867">
        <v>303</v>
      </c>
      <c r="BL409" s="867">
        <v>303</v>
      </c>
      <c r="BM409" s="873"/>
      <c r="BN409" s="874"/>
      <c r="BO409" s="872"/>
      <c r="BP409" s="873"/>
      <c r="BQ409" s="875" t="str">
        <f>IFERROR(WWWW[[#This Row],['#_Water sources treated]]/WWWW[[#This Row],['#_Water sources tested for contamination]],"no test")</f>
        <v>no test</v>
      </c>
      <c r="BR409" s="872" t="str">
        <f>IFERROR(WWWW[[#This Row],['#_Household received remediation action due to contamination]]/WWWW[[#This Row],['#_Household water samples tested for contamination]],"no test")</f>
        <v>no test</v>
      </c>
      <c r="BS409" s="874" t="str">
        <f>IF(AND(WWWW[[#This Row],[% of water sources treated]]="no test",WWWW[[#This Row],[% Household received corrective actions]]="no test"),"No Test","Tested")</f>
        <v>No Test</v>
      </c>
      <c r="BT409" s="874">
        <f>WWWW[[#This Row],['#_Constructed/existing protected hand dug well]]-WWWW[[#This Row],['#_Non-functional protected hand dug well]]</f>
        <v>0</v>
      </c>
      <c r="BU409" s="874">
        <f>(WWWW[[#This Row],['#_Constructed/Existing tube wells/boreholes/handpumps_WASH_agency]]+WWWW[[#This Row],['#_Non-Cluster partner water tube-wells/boreholes/handpumps]])-WWWW[[#This Row],['#_Non-functional tube wells/boreholes/handpumps]]</f>
        <v>0</v>
      </c>
      <c r="BV409" s="874">
        <f>WWWW[[#This Row],['#_Constructed/Existingwater storage tank with gravity fed reticulation system]]-WWWW[[#This Row],['#_Non-functional storage tank gravity fed reticulation system]]</f>
        <v>0</v>
      </c>
      <c r="BW409" s="874">
        <f>WWWW[[#This Row],['#_Water boating or water trucking]]</f>
        <v>0</v>
      </c>
      <c r="BX409" s="874">
        <f>WWWW[[#This Row],['#_Constructed/Existing water distribution system from river or natural spring]]</f>
        <v>0</v>
      </c>
      <c r="BY409"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09"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09" s="872">
        <f>IF(WWWW[[#This Row],[Location Type 1]]="Village",WWWW[[#This Row],[Access to safe drinking water for Village]],WWWW[[#This Row],[Access to safe drinking water for Camp]])</f>
        <v>0</v>
      </c>
      <c r="CB409" s="870">
        <f>WWWW[[#This Row],[%Equitable and continuous access to sufficient quantity of safe drinking water]]*WWWW[[#This Row],[Total PoP ]]</f>
        <v>0</v>
      </c>
      <c r="CC409" s="872">
        <f>IF((WWWW[[#This Row],['#_Constructed/Existing protected/fenced ponds]]*250)/WWWW[[#This Row],[Total PoP ]]&gt;1,1,(WWWW[[#This Row],['#_Constructed/Existing protected/fenced ponds]]*250)/WWWW[[#This Row],[Total PoP ]])</f>
        <v>0</v>
      </c>
      <c r="CD409" s="870">
        <f>WWWW[[#This Row],[% Access to unimproved water points]]*WWWW[[#This Row],[Total PoP ]]</f>
        <v>0</v>
      </c>
      <c r="CE409"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09"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09" s="870">
        <f>WWWW[[#This Row],[HRP1]]/500</f>
        <v>0</v>
      </c>
      <c r="CH409" s="876">
        <f>1-WWWW[[#This Row],[% Equitable and continuous access to sufficient quantity of domestic water]]</f>
        <v>1</v>
      </c>
      <c r="CI409" s="870">
        <f>WWWW[[#This Row],[%equitable and continuous access to sufficient quantity of safe drinking and domestic water''s GAP]]*WWWW[[#This Row],[Total PoP ]]</f>
        <v>318</v>
      </c>
      <c r="CJ409" s="874">
        <f>IF(WWWW[[#This Row],[Total required water points]]-WWWW[[#This Row],['#Water points coverage]]&lt;0,0,WWWW[[#This Row],[Total required water points]]-WWWW[[#This Row],['#Water points coverage]])</f>
        <v>1</v>
      </c>
      <c r="CK409" s="874">
        <f>ROUND(IF(WWWW[[#This Row],[Total PoP ]]&lt;500,1,WWWW[[#This Row],[Total PoP ]]/500),0)</f>
        <v>1</v>
      </c>
      <c r="CL409" s="874">
        <f>(WWWW[[#This Row],['#_Constructed latrines_by_WASHAgencies]]+WWWW[[#This Row],['#_Non Cluster partner latrines]])-WWWW[[#This Row],['#_Non-functional latrines]]</f>
        <v>4</v>
      </c>
      <c r="CM409"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0.62893081761006286</v>
      </c>
      <c r="CN409"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200</v>
      </c>
      <c r="CO409"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09" s="874">
        <f>IF(WWWW[[#This Row],[Location Type 1]]="Village","NA",IF(WWWW[[#This Row],['#_Constructed/Existing latrines in TLS]]*50&gt;WWWW[[#This Row],['#_students at TLS_CFS]],WWWW[[#This Row],['#_students at TLS_CFS]],(WWWW[[#This Row],['#_Constructed/Existing latrines in TLS]]*50)))</f>
        <v>0</v>
      </c>
      <c r="CQ409" s="874">
        <f>ROUND(IF(WWWW[[#This Row],[Location Type 1]]="camp",WWWW[[#This Row],[Total PoP ]]/20,IF(WWWW[[#This Row],[Location Type 1]]="Temporary Location",WWWW[[#This Row],[Total PoP ]]/50,(WWWW[[#This Row],[Total PoP ]]/6))),0)</f>
        <v>6</v>
      </c>
      <c r="CR409" s="874">
        <f>IF(WWWW[[#This Row],[Total required Latrines]]-(WWWW[[#This Row],['#_Constructed latrines_by_WASHAgencies]]+WWWW[[#This Row],['#_Non Cluster partner latrines]])&lt;0,0,WWWW[[#This Row],[Total required Latrines]]-(WWWW[[#This Row],['#_Constructed latrines_by_WASHAgencies]]+WWWW[[#This Row],['#_Non Cluster partner latrines]]))</f>
        <v>2</v>
      </c>
      <c r="CS409" s="878">
        <f>1-WWWW[[#This Row],[% people access to functioning Latrine]]</f>
        <v>0.37106918238993714</v>
      </c>
      <c r="CT409" s="875">
        <f>IF(OR(WWWW[[#This Row],['#_Non-functional latrines]]="",WWWW[[#This Row],['#_Non-functional latrines]]=0),0,WWWW[[#This Row],['#_Non-functional latrines]]/(WWWW[[#This Row],['#_Constructed latrines_by_WASHAgencies]]+WWWW[[#This Row],['#_Non Cluster partner latrines]]))</f>
        <v>0</v>
      </c>
      <c r="CU409" s="870">
        <f>IF(500*(WWWW[[#This Row],['#_male hygiene promoters]]+WWWW[[#This Row],['#_female hygiene promoters]])&gt;WWWW[[#This Row],[Total PoP ]],WWWW[[#This Row],[Total PoP ]],500*(WWWW[[#This Row],['#_male hygiene promoters]]+WWWW[[#This Row],['#_female hygiene promoters]]))</f>
        <v>0</v>
      </c>
      <c r="CV409"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318</v>
      </c>
      <c r="CW409"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318</v>
      </c>
      <c r="CX409" s="874">
        <f>IF(WWWW[[#This Row],['# People with access to soap]]&gt;WWWW[[#This Row],['# People with access to Sanity Pads]],WWWW[[#This Row],['# People with access to soap]],WWWW[[#This Row],['# People with access to Sanity Pads]])</f>
        <v>318</v>
      </c>
      <c r="CY409" s="874">
        <f>IF(WWWW[[#This Row],['# people reached by regular dedicated hygiene promotion_5]]&gt;WWWW[[#This Row],['# People received regular supply of hygiene items_6]],WWWW[[#This Row],['# people reached by regular dedicated hygiene promotion_5]],WWWW[[#This Row],['# People received regular supply of hygiene items_6]])</f>
        <v>318</v>
      </c>
      <c r="CZ409" s="876">
        <f>IF(WWWW[[#This Row],[HRP3]]/WWWW[[#This Row],[Total PoP ]]&gt;100%,100%,WWWW[[#This Row],[HRP3]]/WWWW[[#This Row],[Total PoP ]])</f>
        <v>1</v>
      </c>
      <c r="DA409" s="875">
        <f>1-WWWW[[#This Row],[Hygiene Coverage%]]</f>
        <v>0</v>
      </c>
      <c r="DB409" s="872">
        <f>WWWW[[#This Row],['# people reached by regular dedicated hygiene promotion_5]]/WWWW[[#This Row],[Total PoP ]]</f>
        <v>0</v>
      </c>
      <c r="DC409" s="872">
        <f>IF(WWWW[[#This Row],['#_households that received standard amount of soap for this quarter]]/WWWW[[#This Row],[Total HH]]&gt;1,1,WWWW[[#This Row],['#_households that received standard amount of soap for this quarter]]/WWWW[[#This Row],[Total HH]])</f>
        <v>1</v>
      </c>
      <c r="DD409" s="872">
        <f>IF(WWWW[[#This Row],['#_households that received standard amount of sanitary pads for this quarter]]/WWWW[[#This Row],[Total HH]]&gt;1,1,WWWW[[#This Row],['#_households that received standard amount of sanitary pads for this quarter]]/WWWW[[#This Row],[Total HH]])</f>
        <v>1</v>
      </c>
      <c r="DE409" s="874">
        <f>WWWW[[#This Row],['#_Constructed/Existing hand washing stations]]-WWWW[[#This Row],['#_Non-Functional_hand_washing_stations]]</f>
        <v>0</v>
      </c>
      <c r="DF409" s="879" t="e">
        <f>WWWW[[#This Row],[Total HH]]*#REF!</f>
        <v>#REF!</v>
      </c>
      <c r="DG409" s="870">
        <f>IF(WWWW[[#This Row],[Is sufficient soap available for TLS? (Yes/No)]]="yes",WWWW[[#This Row],['#_Constructed/Existing hand washing stations at TLS]],0)</f>
        <v>0</v>
      </c>
      <c r="DH409" s="702">
        <f>IF(WWWW[[#This Row],['# Functional hand washing stations during reporting period]]*100&gt;WWWW[[#This Row],[Total PoP ]],WWWW[[#This Row],[Total PoP ]],WWWW[[#This Row],['# Functional hand washing stations during reporting period]]*100)</f>
        <v>0</v>
      </c>
      <c r="DI409" s="702" t="str">
        <f>IF(WWWW[[#This Row],['#_students at TLS_CFS]]="","No","Yes")</f>
        <v>No</v>
      </c>
      <c r="DJ409" s="873">
        <f>VLOOKUP(WWWW[[#This Row],[Site Name]],SiteDB6[[Site Name]:[CCCM Management]],6,FALSE)</f>
        <v>0</v>
      </c>
      <c r="DK409" s="873">
        <f>VLOOKUP(WWWW[[#This Row],[Site Name]],SiteDB6[[Site Name]:[CCCM Focal Agency]],7,FALSE)</f>
        <v>0</v>
      </c>
      <c r="DL409" s="873" t="str">
        <f>VLOOKUP(WWWW[[#This Row],[Site Name]],SiteDB6[[Site Name]:[Location Type 1]],9,FALSE)</f>
        <v>Temporary location</v>
      </c>
      <c r="DM409" s="873" t="str">
        <f>VLOOKUP(WWWW[[#This Row],[Site Name]],SiteDB6[[Site Name]:[Type of Accommodation]],10,FALSE)</f>
        <v>Temporary location_Town</v>
      </c>
      <c r="DN409" s="873">
        <f>VLOOKUP(WWWW[[#This Row],[Site Name]],SiteDB6[[Site Name]:[Ethnic or GCA/NGCA]],11,FALSE)</f>
        <v>0</v>
      </c>
      <c r="DO409" s="873">
        <f>VLOOKUP(WWWW[[#This Row],[Site Name]],SiteDB6[[Site Name]:[Lat]],12,FALSE)</f>
        <v>0</v>
      </c>
      <c r="DP409" s="873">
        <f>VLOOKUP(WWWW[[#This Row],[Site Name]],SiteDB6[[Site Name]:[Long]],13,FALSE)</f>
        <v>0</v>
      </c>
      <c r="DQ409" s="873">
        <f>VLOOKUP(WWWW[[#This Row],[Site Name]],SiteDB6[[Site Name]:[Pcode]],3,FALSE)</f>
        <v>0</v>
      </c>
      <c r="DR409" s="871" t="str">
        <f t="shared" si="13"/>
        <v>Covered</v>
      </c>
      <c r="DS409" s="871"/>
      <c r="DV409" s="661"/>
    </row>
    <row r="410" spans="1:126">
      <c r="A410" s="637" t="s">
        <v>2525</v>
      </c>
      <c r="B410" s="863" t="s">
        <v>3234</v>
      </c>
      <c r="C410" s="863" t="s">
        <v>3234</v>
      </c>
      <c r="D410" s="864"/>
      <c r="E410" s="865" t="s">
        <v>3014</v>
      </c>
      <c r="F410" s="864" t="s">
        <v>489</v>
      </c>
      <c r="G410" s="866" t="str">
        <f>VLOOKUP(WWWW[[#This Row],[Site Name]],SiteDB6[[Site Name]:[Location Type]],8,FALSE)</f>
        <v>New Temporary Site</v>
      </c>
      <c r="H410" s="864" t="s">
        <v>2880</v>
      </c>
      <c r="I410" s="867">
        <v>39</v>
      </c>
      <c r="J410" s="867">
        <v>157</v>
      </c>
      <c r="K410" s="868"/>
      <c r="L410" s="869"/>
      <c r="M410" s="867"/>
      <c r="N410" s="867"/>
      <c r="O410" s="867"/>
      <c r="P410" s="867"/>
      <c r="Q410" s="870"/>
      <c r="R410" s="867"/>
      <c r="S410" s="867"/>
      <c r="T410" s="379"/>
      <c r="U410" s="867"/>
      <c r="V410" s="867"/>
      <c r="W410" s="867"/>
      <c r="X410" s="867"/>
      <c r="Y410" s="867"/>
      <c r="Z410" s="867"/>
      <c r="AA410" s="867"/>
      <c r="AB410" s="867"/>
      <c r="AC410" s="867"/>
      <c r="AD410" s="867"/>
      <c r="AE410" s="867"/>
      <c r="AF410" s="867"/>
      <c r="AG410" s="867"/>
      <c r="AH410" s="867"/>
      <c r="AI410" s="867"/>
      <c r="AJ410" s="867"/>
      <c r="AK410" s="867"/>
      <c r="AL410" s="867"/>
      <c r="AM410" s="867"/>
      <c r="AN410" s="867"/>
      <c r="AO410" s="871"/>
      <c r="AP410" s="867">
        <v>3</v>
      </c>
      <c r="AQ410" s="867"/>
      <c r="AR410" s="872"/>
      <c r="AS410" s="867"/>
      <c r="AT410" s="867"/>
      <c r="AU410" s="867"/>
      <c r="AV410" s="867"/>
      <c r="AW410" s="867"/>
      <c r="AX410" s="873"/>
      <c r="AY410" s="871"/>
      <c r="AZ410" s="867"/>
      <c r="BA410" s="867"/>
      <c r="BB410" s="867"/>
      <c r="BC410" s="873"/>
      <c r="BD410" s="867"/>
      <c r="BE410" s="867"/>
      <c r="BF410" s="867"/>
      <c r="BG410" s="867"/>
      <c r="BH410" s="867"/>
      <c r="BI410" s="867"/>
      <c r="BJ410" s="867"/>
      <c r="BK410" s="867">
        <v>129</v>
      </c>
      <c r="BL410" s="867">
        <v>129</v>
      </c>
      <c r="BM410" s="873"/>
      <c r="BN410" s="874"/>
      <c r="BO410" s="872"/>
      <c r="BP410" s="873"/>
      <c r="BQ410" s="875" t="str">
        <f>IFERROR(WWWW[[#This Row],['#_Water sources treated]]/WWWW[[#This Row],['#_Water sources tested for contamination]],"no test")</f>
        <v>no test</v>
      </c>
      <c r="BR410" s="872" t="str">
        <f>IFERROR(WWWW[[#This Row],['#_Household received remediation action due to contamination]]/WWWW[[#This Row],['#_Household water samples tested for contamination]],"no test")</f>
        <v>no test</v>
      </c>
      <c r="BS410" s="874" t="str">
        <f>IF(AND(WWWW[[#This Row],[% of water sources treated]]="no test",WWWW[[#This Row],[% Household received corrective actions]]="no test"),"No Test","Tested")</f>
        <v>No Test</v>
      </c>
      <c r="BT410" s="874">
        <f>WWWW[[#This Row],['#_Constructed/existing protected hand dug well]]-WWWW[[#This Row],['#_Non-functional protected hand dug well]]</f>
        <v>0</v>
      </c>
      <c r="BU410" s="874">
        <f>(WWWW[[#This Row],['#_Constructed/Existing tube wells/boreholes/handpumps_WASH_agency]]+WWWW[[#This Row],['#_Non-Cluster partner water tube-wells/boreholes/handpumps]])-WWWW[[#This Row],['#_Non-functional tube wells/boreholes/handpumps]]</f>
        <v>0</v>
      </c>
      <c r="BV410" s="874">
        <f>WWWW[[#This Row],['#_Constructed/Existingwater storage tank with gravity fed reticulation system]]-WWWW[[#This Row],['#_Non-functional storage tank gravity fed reticulation system]]</f>
        <v>0</v>
      </c>
      <c r="BW410" s="874">
        <f>WWWW[[#This Row],['#_Water boating or water trucking]]</f>
        <v>0</v>
      </c>
      <c r="BX410" s="874">
        <f>WWWW[[#This Row],['#_Constructed/Existing water distribution system from river or natural spring]]</f>
        <v>0</v>
      </c>
      <c r="BY410"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10"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10" s="872">
        <f>IF(WWWW[[#This Row],[Location Type 1]]="Village",WWWW[[#This Row],[Access to safe drinking water for Village]],WWWW[[#This Row],[Access to safe drinking water for Camp]])</f>
        <v>0</v>
      </c>
      <c r="CB410" s="870">
        <f>WWWW[[#This Row],[%Equitable and continuous access to sufficient quantity of safe drinking water]]*WWWW[[#This Row],[Total PoP ]]</f>
        <v>0</v>
      </c>
      <c r="CC410" s="872">
        <f>IF((WWWW[[#This Row],['#_Constructed/Existing protected/fenced ponds]]*250)/WWWW[[#This Row],[Total PoP ]]&gt;1,1,(WWWW[[#This Row],['#_Constructed/Existing protected/fenced ponds]]*250)/WWWW[[#This Row],[Total PoP ]])</f>
        <v>0</v>
      </c>
      <c r="CD410" s="870">
        <f>WWWW[[#This Row],[% Access to unimproved water points]]*WWWW[[#This Row],[Total PoP ]]</f>
        <v>0</v>
      </c>
      <c r="CE410"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10"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10" s="870">
        <f>WWWW[[#This Row],[HRP1]]/500</f>
        <v>0</v>
      </c>
      <c r="CH410" s="876">
        <f>1-WWWW[[#This Row],[% Equitable and continuous access to sufficient quantity of domestic water]]</f>
        <v>1</v>
      </c>
      <c r="CI410" s="870">
        <f>WWWW[[#This Row],[%equitable and continuous access to sufficient quantity of safe drinking and domestic water''s GAP]]*WWWW[[#This Row],[Total PoP ]]</f>
        <v>157</v>
      </c>
      <c r="CJ410" s="874">
        <f>IF(WWWW[[#This Row],[Total required water points]]-WWWW[[#This Row],['#Water points coverage]]&lt;0,0,WWWW[[#This Row],[Total required water points]]-WWWW[[#This Row],['#Water points coverage]])</f>
        <v>1</v>
      </c>
      <c r="CK410" s="874">
        <f>ROUND(IF(WWWW[[#This Row],[Total PoP ]]&lt;500,1,WWWW[[#This Row],[Total PoP ]]/500),0)</f>
        <v>1</v>
      </c>
      <c r="CL410" s="874">
        <f>(WWWW[[#This Row],['#_Constructed latrines_by_WASHAgencies]]+WWWW[[#This Row],['#_Non Cluster partner latrines]])-WWWW[[#This Row],['#_Non-functional latrines]]</f>
        <v>3</v>
      </c>
      <c r="CM410"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0.95541401273885351</v>
      </c>
      <c r="CN410"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150</v>
      </c>
      <c r="CO410"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10" s="874">
        <f>IF(WWWW[[#This Row],[Location Type 1]]="Village","NA",IF(WWWW[[#This Row],['#_Constructed/Existing latrines in TLS]]*50&gt;WWWW[[#This Row],['#_students at TLS_CFS]],WWWW[[#This Row],['#_students at TLS_CFS]],(WWWW[[#This Row],['#_Constructed/Existing latrines in TLS]]*50)))</f>
        <v>0</v>
      </c>
      <c r="CQ410" s="874">
        <f>ROUND(IF(WWWW[[#This Row],[Location Type 1]]="camp",WWWW[[#This Row],[Total PoP ]]/20,IF(WWWW[[#This Row],[Location Type 1]]="Temporary Location",WWWW[[#This Row],[Total PoP ]]/50,(WWWW[[#This Row],[Total PoP ]]/6))),0)</f>
        <v>3</v>
      </c>
      <c r="CR410" s="874">
        <f>IF(WWWW[[#This Row],[Total required Latrines]]-(WWWW[[#This Row],['#_Constructed latrines_by_WASHAgencies]]+WWWW[[#This Row],['#_Non Cluster partner latrines]])&lt;0,0,WWWW[[#This Row],[Total required Latrines]]-(WWWW[[#This Row],['#_Constructed latrines_by_WASHAgencies]]+WWWW[[#This Row],['#_Non Cluster partner latrines]]))</f>
        <v>0</v>
      </c>
      <c r="CS410" s="878">
        <f>1-WWWW[[#This Row],[% people access to functioning Latrine]]</f>
        <v>4.4585987261146487E-2</v>
      </c>
      <c r="CT410" s="875">
        <f>IF(OR(WWWW[[#This Row],['#_Non-functional latrines]]="",WWWW[[#This Row],['#_Non-functional latrines]]=0),0,WWWW[[#This Row],['#_Non-functional latrines]]/(WWWW[[#This Row],['#_Constructed latrines_by_WASHAgencies]]+WWWW[[#This Row],['#_Non Cluster partner latrines]]))</f>
        <v>0</v>
      </c>
      <c r="CU410" s="870">
        <f>IF(500*(WWWW[[#This Row],['#_male hygiene promoters]]+WWWW[[#This Row],['#_female hygiene promoters]])&gt;WWWW[[#This Row],[Total PoP ]],WWWW[[#This Row],[Total PoP ]],500*(WWWW[[#This Row],['#_male hygiene promoters]]+WWWW[[#This Row],['#_female hygiene promoters]]))</f>
        <v>0</v>
      </c>
      <c r="CV410"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157</v>
      </c>
      <c r="CW410"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157</v>
      </c>
      <c r="CX410" s="874">
        <f>IF(WWWW[[#This Row],['# People with access to soap]]&gt;WWWW[[#This Row],['# People with access to Sanity Pads]],WWWW[[#This Row],['# People with access to soap]],WWWW[[#This Row],['# People with access to Sanity Pads]])</f>
        <v>157</v>
      </c>
      <c r="CY410" s="874">
        <f>IF(WWWW[[#This Row],['# people reached by regular dedicated hygiene promotion_5]]&gt;WWWW[[#This Row],['# People received regular supply of hygiene items_6]],WWWW[[#This Row],['# people reached by regular dedicated hygiene promotion_5]],WWWW[[#This Row],['# People received regular supply of hygiene items_6]])</f>
        <v>157</v>
      </c>
      <c r="CZ410" s="876">
        <f>IF(WWWW[[#This Row],[HRP3]]/WWWW[[#This Row],[Total PoP ]]&gt;100%,100%,WWWW[[#This Row],[HRP3]]/WWWW[[#This Row],[Total PoP ]])</f>
        <v>1</v>
      </c>
      <c r="DA410" s="875">
        <f>1-WWWW[[#This Row],[Hygiene Coverage%]]</f>
        <v>0</v>
      </c>
      <c r="DB410" s="872">
        <f>WWWW[[#This Row],['# people reached by regular dedicated hygiene promotion_5]]/WWWW[[#This Row],[Total PoP ]]</f>
        <v>0</v>
      </c>
      <c r="DC410" s="872">
        <f>IF(WWWW[[#This Row],['#_households that received standard amount of soap for this quarter]]/WWWW[[#This Row],[Total HH]]&gt;1,1,WWWW[[#This Row],['#_households that received standard amount of soap for this quarter]]/WWWW[[#This Row],[Total HH]])</f>
        <v>1</v>
      </c>
      <c r="DD410" s="872">
        <f>IF(WWWW[[#This Row],['#_households that received standard amount of sanitary pads for this quarter]]/WWWW[[#This Row],[Total HH]]&gt;1,1,WWWW[[#This Row],['#_households that received standard amount of sanitary pads for this quarter]]/WWWW[[#This Row],[Total HH]])</f>
        <v>1</v>
      </c>
      <c r="DE410" s="874">
        <f>WWWW[[#This Row],['#_Constructed/Existing hand washing stations]]-WWWW[[#This Row],['#_Non-Functional_hand_washing_stations]]</f>
        <v>0</v>
      </c>
      <c r="DF410" s="879" t="e">
        <f>WWWW[[#This Row],[Total HH]]*#REF!</f>
        <v>#REF!</v>
      </c>
      <c r="DG410" s="870">
        <f>IF(WWWW[[#This Row],[Is sufficient soap available for TLS? (Yes/No)]]="yes",WWWW[[#This Row],['#_Constructed/Existing hand washing stations at TLS]],0)</f>
        <v>0</v>
      </c>
      <c r="DH410" s="702">
        <f>IF(WWWW[[#This Row],['# Functional hand washing stations during reporting period]]*100&gt;WWWW[[#This Row],[Total PoP ]],WWWW[[#This Row],[Total PoP ]],WWWW[[#This Row],['# Functional hand washing stations during reporting period]]*100)</f>
        <v>0</v>
      </c>
      <c r="DI410" s="702" t="str">
        <f>IF(WWWW[[#This Row],['#_students at TLS_CFS]]="","No","Yes")</f>
        <v>No</v>
      </c>
      <c r="DJ410" s="873">
        <f>VLOOKUP(WWWW[[#This Row],[Site Name]],SiteDB6[[Site Name]:[CCCM Management]],6,FALSE)</f>
        <v>0</v>
      </c>
      <c r="DK410" s="873">
        <f>VLOOKUP(WWWW[[#This Row],[Site Name]],SiteDB6[[Site Name]:[CCCM Focal Agency]],7,FALSE)</f>
        <v>0</v>
      </c>
      <c r="DL410" s="873" t="str">
        <f>VLOOKUP(WWWW[[#This Row],[Site Name]],SiteDB6[[Site Name]:[Location Type 1]],9,FALSE)</f>
        <v>Temporary location</v>
      </c>
      <c r="DM410" s="873" t="str">
        <f>VLOOKUP(WWWW[[#This Row],[Site Name]],SiteDB6[[Site Name]:[Type of Accommodation]],10,FALSE)</f>
        <v>Temporary location</v>
      </c>
      <c r="DN410" s="873">
        <f>VLOOKUP(WWWW[[#This Row],[Site Name]],SiteDB6[[Site Name]:[Ethnic or GCA/NGCA]],11,FALSE)</f>
        <v>0</v>
      </c>
      <c r="DO410" s="873">
        <f>VLOOKUP(WWWW[[#This Row],[Site Name]],SiteDB6[[Site Name]:[Lat]],12,FALSE)</f>
        <v>0</v>
      </c>
      <c r="DP410" s="873">
        <f>VLOOKUP(WWWW[[#This Row],[Site Name]],SiteDB6[[Site Name]:[Long]],13,FALSE)</f>
        <v>0</v>
      </c>
      <c r="DQ410" s="873">
        <f>VLOOKUP(WWWW[[#This Row],[Site Name]],SiteDB6[[Site Name]:[Pcode]],3,FALSE)</f>
        <v>0</v>
      </c>
      <c r="DR410" s="871" t="str">
        <f t="shared" si="13"/>
        <v>Covered</v>
      </c>
      <c r="DS410" s="871"/>
      <c r="DV410" s="661"/>
    </row>
    <row r="411" spans="1:126">
      <c r="A411" s="637" t="s">
        <v>2525</v>
      </c>
      <c r="B411" s="863" t="s">
        <v>2871</v>
      </c>
      <c r="C411" s="863" t="s">
        <v>2871</v>
      </c>
      <c r="D411" s="864"/>
      <c r="E411" s="865" t="s">
        <v>3014</v>
      </c>
      <c r="F411" s="864" t="s">
        <v>489</v>
      </c>
      <c r="G411" s="866" t="s">
        <v>3028</v>
      </c>
      <c r="H411" s="864" t="s">
        <v>2884</v>
      </c>
      <c r="I411" s="867">
        <v>56</v>
      </c>
      <c r="J411" s="867">
        <v>285</v>
      </c>
      <c r="K411" s="868"/>
      <c r="L411" s="869"/>
      <c r="M411" s="867"/>
      <c r="N411" s="867"/>
      <c r="O411" s="867"/>
      <c r="P411" s="867"/>
      <c r="Q411" s="870"/>
      <c r="R411" s="867"/>
      <c r="S411" s="867"/>
      <c r="T411" s="379"/>
      <c r="U411" s="867"/>
      <c r="V411" s="867"/>
      <c r="W411" s="867"/>
      <c r="X411" s="867"/>
      <c r="Y411" s="867"/>
      <c r="Z411" s="867"/>
      <c r="AA411" s="867"/>
      <c r="AB411" s="867"/>
      <c r="AC411" s="867"/>
      <c r="AD411" s="867"/>
      <c r="AE411" s="867"/>
      <c r="AF411" s="867"/>
      <c r="AG411" s="867"/>
      <c r="AH411" s="867"/>
      <c r="AI411" s="867"/>
      <c r="AJ411" s="867"/>
      <c r="AK411" s="867"/>
      <c r="AL411" s="867"/>
      <c r="AM411" s="867"/>
      <c r="AN411" s="867"/>
      <c r="AO411" s="871"/>
      <c r="AP411" s="867"/>
      <c r="AQ411" s="867"/>
      <c r="AR411" s="872"/>
      <c r="AS411" s="867"/>
      <c r="AT411" s="867"/>
      <c r="AU411" s="867"/>
      <c r="AV411" s="867"/>
      <c r="AW411" s="867"/>
      <c r="AX411" s="873"/>
      <c r="AY411" s="871"/>
      <c r="AZ411" s="867"/>
      <c r="BA411" s="867"/>
      <c r="BB411" s="867"/>
      <c r="BC411" s="873"/>
      <c r="BD411" s="867"/>
      <c r="BE411" s="867"/>
      <c r="BF411" s="867"/>
      <c r="BG411" s="867"/>
      <c r="BH411" s="867"/>
      <c r="BI411" s="867"/>
      <c r="BJ411" s="867"/>
      <c r="BK411" s="867">
        <v>81</v>
      </c>
      <c r="BL411" s="867">
        <v>81</v>
      </c>
      <c r="BM411" s="873"/>
      <c r="BN411" s="874"/>
      <c r="BO411" s="872"/>
      <c r="BP411" s="873"/>
      <c r="BQ411" s="875" t="str">
        <f>IFERROR(WWWW[[#This Row],['#_Water sources treated]]/WWWW[[#This Row],['#_Water sources tested for contamination]],"no test")</f>
        <v>no test</v>
      </c>
      <c r="BR411" s="872" t="str">
        <f>IFERROR(WWWW[[#This Row],['#_Household received remediation action due to contamination]]/WWWW[[#This Row],['#_Household water samples tested for contamination]],"no test")</f>
        <v>no test</v>
      </c>
      <c r="BS411" s="874" t="str">
        <f>IF(AND(WWWW[[#This Row],[% of water sources treated]]="no test",WWWW[[#This Row],[% Household received corrective actions]]="no test"),"No Test","Tested")</f>
        <v>No Test</v>
      </c>
      <c r="BT411" s="874">
        <f>WWWW[[#This Row],['#_Constructed/existing protected hand dug well]]-WWWW[[#This Row],['#_Non-functional protected hand dug well]]</f>
        <v>0</v>
      </c>
      <c r="BU411" s="874">
        <f>(WWWW[[#This Row],['#_Constructed/Existing tube wells/boreholes/handpumps_WASH_agency]]+WWWW[[#This Row],['#_Non-Cluster partner water tube-wells/boreholes/handpumps]])-WWWW[[#This Row],['#_Non-functional tube wells/boreholes/handpumps]]</f>
        <v>0</v>
      </c>
      <c r="BV411" s="874">
        <f>WWWW[[#This Row],['#_Constructed/Existingwater storage tank with gravity fed reticulation system]]-WWWW[[#This Row],['#_Non-functional storage tank gravity fed reticulation system]]</f>
        <v>0</v>
      </c>
      <c r="BW411" s="874">
        <f>WWWW[[#This Row],['#_Water boating or water trucking]]</f>
        <v>0</v>
      </c>
      <c r="BX411" s="874">
        <f>WWWW[[#This Row],['#_Constructed/Existing water distribution system from river or natural spring]]</f>
        <v>0</v>
      </c>
      <c r="BY411"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11"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11" s="872">
        <f>IF(WWWW[[#This Row],[Location Type 1]]="Village",WWWW[[#This Row],[Access to safe drinking water for Village]],WWWW[[#This Row],[Access to safe drinking water for Camp]])</f>
        <v>0</v>
      </c>
      <c r="CB411" s="870">
        <f>WWWW[[#This Row],[%Equitable and continuous access to sufficient quantity of safe drinking water]]*WWWW[[#This Row],[Total PoP ]]</f>
        <v>0</v>
      </c>
      <c r="CC411" s="872">
        <f>IF((WWWW[[#This Row],['#_Constructed/Existing protected/fenced ponds]]*250)/WWWW[[#This Row],[Total PoP ]]&gt;1,1,(WWWW[[#This Row],['#_Constructed/Existing protected/fenced ponds]]*250)/WWWW[[#This Row],[Total PoP ]])</f>
        <v>0</v>
      </c>
      <c r="CD411" s="870">
        <f>WWWW[[#This Row],[% Access to unimproved water points]]*WWWW[[#This Row],[Total PoP ]]</f>
        <v>0</v>
      </c>
      <c r="CE411"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11"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11" s="870">
        <f>WWWW[[#This Row],[HRP1]]/500</f>
        <v>0</v>
      </c>
      <c r="CH411" s="876">
        <f>1-WWWW[[#This Row],[% Equitable and continuous access to sufficient quantity of domestic water]]</f>
        <v>1</v>
      </c>
      <c r="CI411" s="870">
        <f>WWWW[[#This Row],[%equitable and continuous access to sufficient quantity of safe drinking and domestic water''s GAP]]*WWWW[[#This Row],[Total PoP ]]</f>
        <v>285</v>
      </c>
      <c r="CJ411" s="874">
        <f>IF(WWWW[[#This Row],[Total required water points]]-WWWW[[#This Row],['#Water points coverage]]&lt;0,0,WWWW[[#This Row],[Total required water points]]-WWWW[[#This Row],['#Water points coverage]])</f>
        <v>1</v>
      </c>
      <c r="CK411" s="874">
        <f>ROUND(IF(WWWW[[#This Row],[Total PoP ]]&lt;500,1,WWWW[[#This Row],[Total PoP ]]/500),0)</f>
        <v>1</v>
      </c>
      <c r="CL411" s="874">
        <f>(WWWW[[#This Row],['#_Constructed latrines_by_WASHAgencies]]+WWWW[[#This Row],['#_Non Cluster partner latrines]])-WWWW[[#This Row],['#_Non-functional latrines]]</f>
        <v>0</v>
      </c>
      <c r="CM411"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11"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11"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11" s="874">
        <f>IF(WWWW[[#This Row],[Location Type 1]]="Village","NA",IF(WWWW[[#This Row],['#_Constructed/Existing latrines in TLS]]*50&gt;WWWW[[#This Row],['#_students at TLS_CFS]],WWWW[[#This Row],['#_students at TLS_CFS]],(WWWW[[#This Row],['#_Constructed/Existing latrines in TLS]]*50)))</f>
        <v>0</v>
      </c>
      <c r="CQ411" s="874">
        <f>ROUND(IF(WWWW[[#This Row],[Location Type 1]]="camp",WWWW[[#This Row],[Total PoP ]]/20,IF(WWWW[[#This Row],[Location Type 1]]="Temporary Location",WWWW[[#This Row],[Total PoP ]]/50,(WWWW[[#This Row],[Total PoP ]]/6))),0)</f>
        <v>6</v>
      </c>
      <c r="CR411" s="874">
        <f>IF(WWWW[[#This Row],[Total required Latrines]]-(WWWW[[#This Row],['#_Constructed latrines_by_WASHAgencies]]+WWWW[[#This Row],['#_Non Cluster partner latrines]])&lt;0,0,WWWW[[#This Row],[Total required Latrines]]-(WWWW[[#This Row],['#_Constructed latrines_by_WASHAgencies]]+WWWW[[#This Row],['#_Non Cluster partner latrines]]))</f>
        <v>6</v>
      </c>
      <c r="CS411" s="878">
        <f>1-WWWW[[#This Row],[% people access to functioning Latrine]]</f>
        <v>1</v>
      </c>
      <c r="CT411" s="875">
        <f>IF(OR(WWWW[[#This Row],['#_Non-functional latrines]]="",WWWW[[#This Row],['#_Non-functional latrines]]=0),0,WWWW[[#This Row],['#_Non-functional latrines]]/(WWWW[[#This Row],['#_Constructed latrines_by_WASHAgencies]]+WWWW[[#This Row],['#_Non Cluster partner latrines]]))</f>
        <v>0</v>
      </c>
      <c r="CU411" s="870">
        <f>IF(500*(WWWW[[#This Row],['#_male hygiene promoters]]+WWWW[[#This Row],['#_female hygiene promoters]])&gt;WWWW[[#This Row],[Total PoP ]],WWWW[[#This Row],[Total PoP ]],500*(WWWW[[#This Row],['#_male hygiene promoters]]+WWWW[[#This Row],['#_female hygiene promoters]]))</f>
        <v>0</v>
      </c>
      <c r="CV411"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285</v>
      </c>
      <c r="CW411"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285</v>
      </c>
      <c r="CX411" s="874">
        <f>IF(WWWW[[#This Row],['# People with access to soap]]&gt;WWWW[[#This Row],['# People with access to Sanity Pads]],WWWW[[#This Row],['# People with access to soap]],WWWW[[#This Row],['# People with access to Sanity Pads]])</f>
        <v>285</v>
      </c>
      <c r="CY411" s="874">
        <f>IF(WWWW[[#This Row],['# people reached by regular dedicated hygiene promotion_5]]&gt;WWWW[[#This Row],['# People received regular supply of hygiene items_6]],WWWW[[#This Row],['# people reached by regular dedicated hygiene promotion_5]],WWWW[[#This Row],['# People received regular supply of hygiene items_6]])</f>
        <v>285</v>
      </c>
      <c r="CZ411" s="876">
        <f>IF(WWWW[[#This Row],[HRP3]]/WWWW[[#This Row],[Total PoP ]]&gt;100%,100%,WWWW[[#This Row],[HRP3]]/WWWW[[#This Row],[Total PoP ]])</f>
        <v>1</v>
      </c>
      <c r="DA411" s="875">
        <f>1-WWWW[[#This Row],[Hygiene Coverage%]]</f>
        <v>0</v>
      </c>
      <c r="DB411" s="872">
        <f>WWWW[[#This Row],['# people reached by regular dedicated hygiene promotion_5]]/WWWW[[#This Row],[Total PoP ]]</f>
        <v>0</v>
      </c>
      <c r="DC411" s="872">
        <f>IF(WWWW[[#This Row],['#_households that received standard amount of soap for this quarter]]/WWWW[[#This Row],[Total HH]]&gt;1,1,WWWW[[#This Row],['#_households that received standard amount of soap for this quarter]]/WWWW[[#This Row],[Total HH]])</f>
        <v>1</v>
      </c>
      <c r="DD411" s="872">
        <f>IF(WWWW[[#This Row],['#_households that received standard amount of sanitary pads for this quarter]]/WWWW[[#This Row],[Total HH]]&gt;1,1,WWWW[[#This Row],['#_households that received standard amount of sanitary pads for this quarter]]/WWWW[[#This Row],[Total HH]])</f>
        <v>1</v>
      </c>
      <c r="DE411" s="874">
        <f>WWWW[[#This Row],['#_Constructed/Existing hand washing stations]]-WWWW[[#This Row],['#_Non-Functional_hand_washing_stations]]</f>
        <v>0</v>
      </c>
      <c r="DF411" s="879" t="e">
        <f>WWWW[[#This Row],[Total HH]]*#REF!</f>
        <v>#REF!</v>
      </c>
      <c r="DG411" s="870">
        <f>IF(WWWW[[#This Row],[Is sufficient soap available for TLS? (Yes/No)]]="yes",WWWW[[#This Row],['#_Constructed/Existing hand washing stations at TLS]],0)</f>
        <v>0</v>
      </c>
      <c r="DH411" s="702">
        <f>IF(WWWW[[#This Row],['# Functional hand washing stations during reporting period]]*100&gt;WWWW[[#This Row],[Total PoP ]],WWWW[[#This Row],[Total PoP ]],WWWW[[#This Row],['# Functional hand washing stations during reporting period]]*100)</f>
        <v>0</v>
      </c>
      <c r="DI411" s="702" t="str">
        <f>IF(WWWW[[#This Row],['#_students at TLS_CFS]]="","No","Yes")</f>
        <v>No</v>
      </c>
      <c r="DJ411" s="873">
        <f>VLOOKUP(WWWW[[#This Row],[Site Name]],SiteDB6[[Site Name]:[CCCM Management]],6,FALSE)</f>
        <v>0</v>
      </c>
      <c r="DK411" s="873">
        <f>VLOOKUP(WWWW[[#This Row],[Site Name]],SiteDB6[[Site Name]:[CCCM Focal Agency]],7,FALSE)</f>
        <v>0</v>
      </c>
      <c r="DL411" s="873" t="str">
        <f>VLOOKUP(WWWW[[#This Row],[Site Name]],SiteDB6[[Site Name]:[Location Type 1]],9,FALSE)</f>
        <v>Temporary location</v>
      </c>
      <c r="DM411" s="873" t="str">
        <f>VLOOKUP(WWWW[[#This Row],[Site Name]],SiteDB6[[Site Name]:[Type of Accommodation]],10,FALSE)</f>
        <v>Temporary location</v>
      </c>
      <c r="DN411" s="873">
        <f>VLOOKUP(WWWW[[#This Row],[Site Name]],SiteDB6[[Site Name]:[Ethnic or GCA/NGCA]],11,FALSE)</f>
        <v>0</v>
      </c>
      <c r="DO411" s="873">
        <f>VLOOKUP(WWWW[[#This Row],[Site Name]],SiteDB6[[Site Name]:[Lat]],12,FALSE)</f>
        <v>20.7529296875</v>
      </c>
      <c r="DP411" s="873">
        <f>VLOOKUP(WWWW[[#This Row],[Site Name]],SiteDB6[[Site Name]:[Long]],13,FALSE)</f>
        <v>93.267311096191406</v>
      </c>
      <c r="DQ411" s="873">
        <f>VLOOKUP(WWWW[[#This Row],[Site Name]],SiteDB6[[Site Name]:[Pcode]],3,FALSE)</f>
        <v>196464</v>
      </c>
      <c r="DR411" s="871" t="str">
        <f t="shared" si="13"/>
        <v>Covered</v>
      </c>
      <c r="DS411" s="871"/>
      <c r="DV411" s="661"/>
    </row>
    <row r="412" spans="1:126">
      <c r="A412" s="637" t="s">
        <v>2525</v>
      </c>
      <c r="B412" s="863" t="s">
        <v>2871</v>
      </c>
      <c r="C412" s="863" t="s">
        <v>2871</v>
      </c>
      <c r="D412" s="864"/>
      <c r="E412" s="865" t="s">
        <v>3014</v>
      </c>
      <c r="F412" s="864" t="s">
        <v>489</v>
      </c>
      <c r="G412" s="866" t="str">
        <f>VLOOKUP(WWWW[[#This Row],[Site Name]],SiteDB6[[Site Name]:[Location Type]],8,FALSE)</f>
        <v>New Temporary Site</v>
      </c>
      <c r="H412" s="864" t="s">
        <v>2885</v>
      </c>
      <c r="I412" s="867">
        <v>245</v>
      </c>
      <c r="J412" s="867">
        <v>1169</v>
      </c>
      <c r="K412" s="868"/>
      <c r="L412" s="869"/>
      <c r="M412" s="867"/>
      <c r="N412" s="867"/>
      <c r="O412" s="867"/>
      <c r="P412" s="867"/>
      <c r="Q412" s="870"/>
      <c r="R412" s="867"/>
      <c r="S412" s="867"/>
      <c r="T412" s="379"/>
      <c r="U412" s="867"/>
      <c r="V412" s="867"/>
      <c r="W412" s="867"/>
      <c r="X412" s="867"/>
      <c r="Y412" s="867"/>
      <c r="Z412" s="867"/>
      <c r="AA412" s="867"/>
      <c r="AB412" s="867"/>
      <c r="AC412" s="867"/>
      <c r="AD412" s="867"/>
      <c r="AE412" s="867"/>
      <c r="AF412" s="867"/>
      <c r="AG412" s="867"/>
      <c r="AH412" s="867"/>
      <c r="AI412" s="867"/>
      <c r="AJ412" s="867"/>
      <c r="AK412" s="867"/>
      <c r="AL412" s="867"/>
      <c r="AM412" s="867"/>
      <c r="AN412" s="867"/>
      <c r="AO412" s="871"/>
      <c r="AP412" s="867"/>
      <c r="AQ412" s="867"/>
      <c r="AR412" s="872"/>
      <c r="AS412" s="867"/>
      <c r="AT412" s="867"/>
      <c r="AU412" s="867"/>
      <c r="AV412" s="867"/>
      <c r="AW412" s="867"/>
      <c r="AX412" s="873"/>
      <c r="AY412" s="871"/>
      <c r="AZ412" s="867"/>
      <c r="BA412" s="867"/>
      <c r="BB412" s="867"/>
      <c r="BC412" s="873"/>
      <c r="BD412" s="867"/>
      <c r="BE412" s="867"/>
      <c r="BF412" s="867"/>
      <c r="BG412" s="867"/>
      <c r="BH412" s="867"/>
      <c r="BI412" s="867"/>
      <c r="BJ412" s="867"/>
      <c r="BK412" s="867">
        <v>245</v>
      </c>
      <c r="BL412" s="867">
        <v>245</v>
      </c>
      <c r="BM412" s="873"/>
      <c r="BN412" s="874"/>
      <c r="BO412" s="872"/>
      <c r="BP412" s="873"/>
      <c r="BQ412" s="875" t="str">
        <f>IFERROR(WWWW[[#This Row],['#_Water sources treated]]/WWWW[[#This Row],['#_Water sources tested for contamination]],"no test")</f>
        <v>no test</v>
      </c>
      <c r="BR412" s="872" t="str">
        <f>IFERROR(WWWW[[#This Row],['#_Household received remediation action due to contamination]]/WWWW[[#This Row],['#_Household water samples tested for contamination]],"no test")</f>
        <v>no test</v>
      </c>
      <c r="BS412" s="874" t="str">
        <f>IF(AND(WWWW[[#This Row],[% of water sources treated]]="no test",WWWW[[#This Row],[% Household received corrective actions]]="no test"),"No Test","Tested")</f>
        <v>No Test</v>
      </c>
      <c r="BT412" s="874">
        <f>WWWW[[#This Row],['#_Constructed/existing protected hand dug well]]-WWWW[[#This Row],['#_Non-functional protected hand dug well]]</f>
        <v>0</v>
      </c>
      <c r="BU412" s="874">
        <f>(WWWW[[#This Row],['#_Constructed/Existing tube wells/boreholes/handpumps_WASH_agency]]+WWWW[[#This Row],['#_Non-Cluster partner water tube-wells/boreholes/handpumps]])-WWWW[[#This Row],['#_Non-functional tube wells/boreholes/handpumps]]</f>
        <v>0</v>
      </c>
      <c r="BV412" s="874">
        <f>WWWW[[#This Row],['#_Constructed/Existingwater storage tank with gravity fed reticulation system]]-WWWW[[#This Row],['#_Non-functional storage tank gravity fed reticulation system]]</f>
        <v>0</v>
      </c>
      <c r="BW412" s="874">
        <f>WWWW[[#This Row],['#_Water boating or water trucking]]</f>
        <v>0</v>
      </c>
      <c r="BX412" s="874">
        <f>WWWW[[#This Row],['#_Constructed/Existing water distribution system from river or natural spring]]</f>
        <v>0</v>
      </c>
      <c r="BY412"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12"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12" s="872">
        <f>IF(WWWW[[#This Row],[Location Type 1]]="Village",WWWW[[#This Row],[Access to safe drinking water for Village]],WWWW[[#This Row],[Access to safe drinking water for Camp]])</f>
        <v>0</v>
      </c>
      <c r="CB412" s="870">
        <f>WWWW[[#This Row],[%Equitable and continuous access to sufficient quantity of safe drinking water]]*WWWW[[#This Row],[Total PoP ]]</f>
        <v>0</v>
      </c>
      <c r="CC412" s="872">
        <f>IF((WWWW[[#This Row],['#_Constructed/Existing protected/fenced ponds]]*250)/WWWW[[#This Row],[Total PoP ]]&gt;1,1,(WWWW[[#This Row],['#_Constructed/Existing protected/fenced ponds]]*250)/WWWW[[#This Row],[Total PoP ]])</f>
        <v>0</v>
      </c>
      <c r="CD412" s="870">
        <f>WWWW[[#This Row],[% Access to unimproved water points]]*WWWW[[#This Row],[Total PoP ]]</f>
        <v>0</v>
      </c>
      <c r="CE412"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12"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12" s="870">
        <f>WWWW[[#This Row],[HRP1]]/500</f>
        <v>0</v>
      </c>
      <c r="CH412" s="876">
        <f>1-WWWW[[#This Row],[% Equitable and continuous access to sufficient quantity of domestic water]]</f>
        <v>1</v>
      </c>
      <c r="CI412" s="870">
        <f>WWWW[[#This Row],[%equitable and continuous access to sufficient quantity of safe drinking and domestic water''s GAP]]*WWWW[[#This Row],[Total PoP ]]</f>
        <v>1169</v>
      </c>
      <c r="CJ412" s="874">
        <f>IF(WWWW[[#This Row],[Total required water points]]-WWWW[[#This Row],['#Water points coverage]]&lt;0,0,WWWW[[#This Row],[Total required water points]]-WWWW[[#This Row],['#Water points coverage]])</f>
        <v>2</v>
      </c>
      <c r="CK412" s="874">
        <f>ROUND(IF(WWWW[[#This Row],[Total PoP ]]&lt;500,1,WWWW[[#This Row],[Total PoP ]]/500),0)</f>
        <v>2</v>
      </c>
      <c r="CL412" s="874">
        <f>(WWWW[[#This Row],['#_Constructed latrines_by_WASHAgencies]]+WWWW[[#This Row],['#_Non Cluster partner latrines]])-WWWW[[#This Row],['#_Non-functional latrines]]</f>
        <v>0</v>
      </c>
      <c r="CM412"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12"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12"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12" s="874">
        <f>IF(WWWW[[#This Row],[Location Type 1]]="Village","NA",IF(WWWW[[#This Row],['#_Constructed/Existing latrines in TLS]]*50&gt;WWWW[[#This Row],['#_students at TLS_CFS]],WWWW[[#This Row],['#_students at TLS_CFS]],(WWWW[[#This Row],['#_Constructed/Existing latrines in TLS]]*50)))</f>
        <v>0</v>
      </c>
      <c r="CQ412" s="874">
        <f>ROUND(IF(WWWW[[#This Row],[Location Type 1]]="camp",WWWW[[#This Row],[Total PoP ]]/20,IF(WWWW[[#This Row],[Location Type 1]]="Temporary Location",WWWW[[#This Row],[Total PoP ]]/50,(WWWW[[#This Row],[Total PoP ]]/6))),0)</f>
        <v>23</v>
      </c>
      <c r="CR412" s="874">
        <f>IF(WWWW[[#This Row],[Total required Latrines]]-(WWWW[[#This Row],['#_Constructed latrines_by_WASHAgencies]]+WWWW[[#This Row],['#_Non Cluster partner latrines]])&lt;0,0,WWWW[[#This Row],[Total required Latrines]]-(WWWW[[#This Row],['#_Constructed latrines_by_WASHAgencies]]+WWWW[[#This Row],['#_Non Cluster partner latrines]]))</f>
        <v>23</v>
      </c>
      <c r="CS412" s="878">
        <f>1-WWWW[[#This Row],[% people access to functioning Latrine]]</f>
        <v>1</v>
      </c>
      <c r="CT412" s="875">
        <f>IF(OR(WWWW[[#This Row],['#_Non-functional latrines]]="",WWWW[[#This Row],['#_Non-functional latrines]]=0),0,WWWW[[#This Row],['#_Non-functional latrines]]/(WWWW[[#This Row],['#_Constructed latrines_by_WASHAgencies]]+WWWW[[#This Row],['#_Non Cluster partner latrines]]))</f>
        <v>0</v>
      </c>
      <c r="CU412" s="870">
        <f>IF(500*(WWWW[[#This Row],['#_male hygiene promoters]]+WWWW[[#This Row],['#_female hygiene promoters]])&gt;WWWW[[#This Row],[Total PoP ]],WWWW[[#This Row],[Total PoP ]],500*(WWWW[[#This Row],['#_male hygiene promoters]]+WWWW[[#This Row],['#_female hygiene promoters]]))</f>
        <v>0</v>
      </c>
      <c r="CV412"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1169</v>
      </c>
      <c r="CW412"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1169</v>
      </c>
      <c r="CX412" s="874">
        <f>IF(WWWW[[#This Row],['# People with access to soap]]&gt;WWWW[[#This Row],['# People with access to Sanity Pads]],WWWW[[#This Row],['# People with access to soap]],WWWW[[#This Row],['# People with access to Sanity Pads]])</f>
        <v>1169</v>
      </c>
      <c r="CY412" s="874">
        <f>IF(WWWW[[#This Row],['# people reached by regular dedicated hygiene promotion_5]]&gt;WWWW[[#This Row],['# People received regular supply of hygiene items_6]],WWWW[[#This Row],['# people reached by regular dedicated hygiene promotion_5]],WWWW[[#This Row],['# People received regular supply of hygiene items_6]])</f>
        <v>1169</v>
      </c>
      <c r="CZ412" s="876">
        <f>IF(WWWW[[#This Row],[HRP3]]/WWWW[[#This Row],[Total PoP ]]&gt;100%,100%,WWWW[[#This Row],[HRP3]]/WWWW[[#This Row],[Total PoP ]])</f>
        <v>1</v>
      </c>
      <c r="DA412" s="875">
        <f>1-WWWW[[#This Row],[Hygiene Coverage%]]</f>
        <v>0</v>
      </c>
      <c r="DB412" s="872">
        <f>WWWW[[#This Row],['# people reached by regular dedicated hygiene promotion_5]]/WWWW[[#This Row],[Total PoP ]]</f>
        <v>0</v>
      </c>
      <c r="DC412" s="872">
        <f>IF(WWWW[[#This Row],['#_households that received standard amount of soap for this quarter]]/WWWW[[#This Row],[Total HH]]&gt;1,1,WWWW[[#This Row],['#_households that received standard amount of soap for this quarter]]/WWWW[[#This Row],[Total HH]])</f>
        <v>1</v>
      </c>
      <c r="DD412" s="872">
        <f>IF(WWWW[[#This Row],['#_households that received standard amount of sanitary pads for this quarter]]/WWWW[[#This Row],[Total HH]]&gt;1,1,WWWW[[#This Row],['#_households that received standard amount of sanitary pads for this quarter]]/WWWW[[#This Row],[Total HH]])</f>
        <v>1</v>
      </c>
      <c r="DE412" s="874">
        <f>WWWW[[#This Row],['#_Constructed/Existing hand washing stations]]-WWWW[[#This Row],['#_Non-Functional_hand_washing_stations]]</f>
        <v>0</v>
      </c>
      <c r="DF412" s="879" t="e">
        <f>WWWW[[#This Row],[Total HH]]*#REF!</f>
        <v>#REF!</v>
      </c>
      <c r="DG412" s="870">
        <f>IF(WWWW[[#This Row],[Is sufficient soap available for TLS? (Yes/No)]]="yes",WWWW[[#This Row],['#_Constructed/Existing hand washing stations at TLS]],0)</f>
        <v>0</v>
      </c>
      <c r="DH412" s="702">
        <f>IF(WWWW[[#This Row],['# Functional hand washing stations during reporting period]]*100&gt;WWWW[[#This Row],[Total PoP ]],WWWW[[#This Row],[Total PoP ]],WWWW[[#This Row],['# Functional hand washing stations during reporting period]]*100)</f>
        <v>0</v>
      </c>
      <c r="DI412" s="702" t="str">
        <f>IF(WWWW[[#This Row],['#_students at TLS_CFS]]="","No","Yes")</f>
        <v>No</v>
      </c>
      <c r="DJ412" s="873">
        <f>VLOOKUP(WWWW[[#This Row],[Site Name]],SiteDB6[[Site Name]:[CCCM Management]],6,FALSE)</f>
        <v>0</v>
      </c>
      <c r="DK412" s="873">
        <f>VLOOKUP(WWWW[[#This Row],[Site Name]],SiteDB6[[Site Name]:[CCCM Focal Agency]],7,FALSE)</f>
        <v>0</v>
      </c>
      <c r="DL412" s="873" t="str">
        <f>VLOOKUP(WWWW[[#This Row],[Site Name]],SiteDB6[[Site Name]:[Location Type 1]],9,FALSE)</f>
        <v>Temporary location</v>
      </c>
      <c r="DM412" s="873" t="str">
        <f>VLOOKUP(WWWW[[#This Row],[Site Name]],SiteDB6[[Site Name]:[Type of Accommodation]],10,FALSE)</f>
        <v>Temporary location</v>
      </c>
      <c r="DN412" s="873">
        <f>VLOOKUP(WWWW[[#This Row],[Site Name]],SiteDB6[[Site Name]:[Ethnic or GCA/NGCA]],11,FALSE)</f>
        <v>0</v>
      </c>
      <c r="DO412" s="873">
        <f>VLOOKUP(WWWW[[#This Row],[Site Name]],SiteDB6[[Site Name]:[Lat]],12,FALSE)</f>
        <v>0</v>
      </c>
      <c r="DP412" s="873">
        <f>VLOOKUP(WWWW[[#This Row],[Site Name]],SiteDB6[[Site Name]:[Long]],13,FALSE)</f>
        <v>0</v>
      </c>
      <c r="DQ412" s="873">
        <f>VLOOKUP(WWWW[[#This Row],[Site Name]],SiteDB6[[Site Name]:[Pcode]],3,FALSE)</f>
        <v>0</v>
      </c>
      <c r="DR412" s="871" t="str">
        <f t="shared" si="13"/>
        <v>Covered</v>
      </c>
      <c r="DS412" s="871"/>
      <c r="DV412" s="661"/>
    </row>
    <row r="413" spans="1:126">
      <c r="A413" s="637" t="s">
        <v>2525</v>
      </c>
      <c r="B413" s="976" t="s">
        <v>317</v>
      </c>
      <c r="C413" s="976" t="s">
        <v>317</v>
      </c>
      <c r="D413" s="864"/>
      <c r="E413" s="865" t="s">
        <v>3014</v>
      </c>
      <c r="F413" s="864" t="s">
        <v>489</v>
      </c>
      <c r="G413" s="866" t="str">
        <f>VLOOKUP(WWWW[[#This Row],[Site Name]],SiteDB6[[Site Name]:[Location Type]],8,FALSE)</f>
        <v>New Temporary Site</v>
      </c>
      <c r="H413" s="864" t="s">
        <v>3174</v>
      </c>
      <c r="I413" s="867">
        <v>41</v>
      </c>
      <c r="J413" s="867">
        <v>154</v>
      </c>
      <c r="K413" s="868"/>
      <c r="L413" s="869"/>
      <c r="M413" s="867"/>
      <c r="N413" s="867"/>
      <c r="O413" s="867"/>
      <c r="P413" s="867"/>
      <c r="Q413" s="870"/>
      <c r="R413" s="867"/>
      <c r="S413" s="867"/>
      <c r="T413" s="379"/>
      <c r="U413" s="867"/>
      <c r="V413" s="867"/>
      <c r="W413" s="867"/>
      <c r="X413" s="867"/>
      <c r="Y413" s="867"/>
      <c r="Z413" s="867"/>
      <c r="AA413" s="867"/>
      <c r="AB413" s="867"/>
      <c r="AC413" s="867"/>
      <c r="AD413" s="867"/>
      <c r="AE413" s="867"/>
      <c r="AF413" s="867"/>
      <c r="AG413" s="867"/>
      <c r="AH413" s="867"/>
      <c r="AI413" s="867"/>
      <c r="AJ413" s="867"/>
      <c r="AK413" s="867"/>
      <c r="AL413" s="867"/>
      <c r="AM413" s="867"/>
      <c r="AN413" s="867"/>
      <c r="AO413" s="871"/>
      <c r="AP413" s="867"/>
      <c r="AQ413" s="867"/>
      <c r="AR413" s="872"/>
      <c r="AS413" s="867"/>
      <c r="AT413" s="867"/>
      <c r="AU413" s="867"/>
      <c r="AV413" s="867"/>
      <c r="AW413" s="867"/>
      <c r="AX413" s="873"/>
      <c r="AY413" s="871"/>
      <c r="AZ413" s="867"/>
      <c r="BA413" s="867"/>
      <c r="BB413" s="867"/>
      <c r="BC413" s="873"/>
      <c r="BD413" s="867"/>
      <c r="BE413" s="867"/>
      <c r="BF413" s="867"/>
      <c r="BG413" s="867"/>
      <c r="BH413" s="867"/>
      <c r="BI413" s="867"/>
      <c r="BJ413" s="867"/>
      <c r="BK413" s="867"/>
      <c r="BL413" s="867"/>
      <c r="BM413" s="873"/>
      <c r="BN413" s="874"/>
      <c r="BO413" s="872"/>
      <c r="BP413" s="873"/>
      <c r="BQ413" s="875" t="str">
        <f>IFERROR(WWWW[[#This Row],['#_Water sources treated]]/WWWW[[#This Row],['#_Water sources tested for contamination]],"no test")</f>
        <v>no test</v>
      </c>
      <c r="BR413" s="872" t="str">
        <f>IFERROR(WWWW[[#This Row],['#_Household received remediation action due to contamination]]/WWWW[[#This Row],['#_Household water samples tested for contamination]],"no test")</f>
        <v>no test</v>
      </c>
      <c r="BS413" s="874" t="str">
        <f>IF(AND(WWWW[[#This Row],[% of water sources treated]]="no test",WWWW[[#This Row],[% Household received corrective actions]]="no test"),"No Test","Tested")</f>
        <v>No Test</v>
      </c>
      <c r="BT413" s="874">
        <f>WWWW[[#This Row],['#_Constructed/existing protected hand dug well]]-WWWW[[#This Row],['#_Non-functional protected hand dug well]]</f>
        <v>0</v>
      </c>
      <c r="BU413" s="874">
        <f>(WWWW[[#This Row],['#_Constructed/Existing tube wells/boreholes/handpumps_WASH_agency]]+WWWW[[#This Row],['#_Non-Cluster partner water tube-wells/boreholes/handpumps]])-WWWW[[#This Row],['#_Non-functional tube wells/boreholes/handpumps]]</f>
        <v>0</v>
      </c>
      <c r="BV413" s="874">
        <f>WWWW[[#This Row],['#_Constructed/Existingwater storage tank with gravity fed reticulation system]]-WWWW[[#This Row],['#_Non-functional storage tank gravity fed reticulation system]]</f>
        <v>0</v>
      </c>
      <c r="BW413" s="874">
        <f>WWWW[[#This Row],['#_Water boating or water trucking]]</f>
        <v>0</v>
      </c>
      <c r="BX413" s="874">
        <f>WWWW[[#This Row],['#_Constructed/Existing water distribution system from river or natural spring]]</f>
        <v>0</v>
      </c>
      <c r="BY413"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13"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13" s="872">
        <f>IF(WWWW[[#This Row],[Location Type 1]]="Village",WWWW[[#This Row],[Access to safe drinking water for Village]],WWWW[[#This Row],[Access to safe drinking water for Camp]])</f>
        <v>0</v>
      </c>
      <c r="CB413" s="870">
        <f>WWWW[[#This Row],[%Equitable and continuous access to sufficient quantity of safe drinking water]]*WWWW[[#This Row],[Total PoP ]]</f>
        <v>0</v>
      </c>
      <c r="CC413" s="872">
        <f>IF((WWWW[[#This Row],['#_Constructed/Existing protected/fenced ponds]]*250)/WWWW[[#This Row],[Total PoP ]]&gt;1,1,(WWWW[[#This Row],['#_Constructed/Existing protected/fenced ponds]]*250)/WWWW[[#This Row],[Total PoP ]])</f>
        <v>0</v>
      </c>
      <c r="CD413" s="870">
        <f>WWWW[[#This Row],[% Access to unimproved water points]]*WWWW[[#This Row],[Total PoP ]]</f>
        <v>0</v>
      </c>
      <c r="CE413"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13"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13" s="870">
        <f>WWWW[[#This Row],[HRP1]]/500</f>
        <v>0</v>
      </c>
      <c r="CH413" s="876">
        <f>1-WWWW[[#This Row],[% Equitable and continuous access to sufficient quantity of domestic water]]</f>
        <v>1</v>
      </c>
      <c r="CI413" s="870">
        <f>WWWW[[#This Row],[%equitable and continuous access to sufficient quantity of safe drinking and domestic water''s GAP]]*WWWW[[#This Row],[Total PoP ]]</f>
        <v>154</v>
      </c>
      <c r="CJ413" s="874">
        <f>IF(WWWW[[#This Row],[Total required water points]]-WWWW[[#This Row],['#Water points coverage]]&lt;0,0,WWWW[[#This Row],[Total required water points]]-WWWW[[#This Row],['#Water points coverage]])</f>
        <v>1</v>
      </c>
      <c r="CK413" s="874">
        <f>ROUND(IF(WWWW[[#This Row],[Total PoP ]]&lt;500,1,WWWW[[#This Row],[Total PoP ]]/500),0)</f>
        <v>1</v>
      </c>
      <c r="CL413" s="874">
        <f>(WWWW[[#This Row],['#_Constructed latrines_by_WASHAgencies]]+WWWW[[#This Row],['#_Non Cluster partner latrines]])-WWWW[[#This Row],['#_Non-functional latrines]]</f>
        <v>0</v>
      </c>
      <c r="CM413"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13"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13"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13" s="874">
        <f>IF(WWWW[[#This Row],[Location Type 1]]="Village","NA",IF(WWWW[[#This Row],['#_Constructed/Existing latrines in TLS]]*50&gt;WWWW[[#This Row],['#_students at TLS_CFS]],WWWW[[#This Row],['#_students at TLS_CFS]],(WWWW[[#This Row],['#_Constructed/Existing latrines in TLS]]*50)))</f>
        <v>0</v>
      </c>
      <c r="CQ413" s="874">
        <f>ROUND(IF(WWWW[[#This Row],[Location Type 1]]="camp",WWWW[[#This Row],[Total PoP ]]/20,IF(WWWW[[#This Row],[Location Type 1]]="Temporary Location",WWWW[[#This Row],[Total PoP ]]/50,(WWWW[[#This Row],[Total PoP ]]/6))),0)</f>
        <v>3</v>
      </c>
      <c r="CR413" s="874">
        <f>IF(WWWW[[#This Row],[Total required Latrines]]-(WWWW[[#This Row],['#_Constructed latrines_by_WASHAgencies]]+WWWW[[#This Row],['#_Non Cluster partner latrines]])&lt;0,0,WWWW[[#This Row],[Total required Latrines]]-(WWWW[[#This Row],['#_Constructed latrines_by_WASHAgencies]]+WWWW[[#This Row],['#_Non Cluster partner latrines]]))</f>
        <v>3</v>
      </c>
      <c r="CS413" s="878">
        <f>1-WWWW[[#This Row],[% people access to functioning Latrine]]</f>
        <v>1</v>
      </c>
      <c r="CT413" s="875">
        <f>IF(OR(WWWW[[#This Row],['#_Non-functional latrines]]="",WWWW[[#This Row],['#_Non-functional latrines]]=0),0,WWWW[[#This Row],['#_Non-functional latrines]]/(WWWW[[#This Row],['#_Constructed latrines_by_WASHAgencies]]+WWWW[[#This Row],['#_Non Cluster partner latrines]]))</f>
        <v>0</v>
      </c>
      <c r="CU413" s="870">
        <f>IF(500*(WWWW[[#This Row],['#_male hygiene promoters]]+WWWW[[#This Row],['#_female hygiene promoters]])&gt;WWWW[[#This Row],[Total PoP ]],WWWW[[#This Row],[Total PoP ]],500*(WWWW[[#This Row],['#_male hygiene promoters]]+WWWW[[#This Row],['#_female hygiene promoters]]))</f>
        <v>0</v>
      </c>
      <c r="CV413"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13"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13" s="874">
        <f>IF(WWWW[[#This Row],['# People with access to soap]]&gt;WWWW[[#This Row],['# People with access to Sanity Pads]],WWWW[[#This Row],['# People with access to soap]],WWWW[[#This Row],['# People with access to Sanity Pads]])</f>
        <v>0</v>
      </c>
      <c r="CY413"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13" s="876">
        <f>IF(WWWW[[#This Row],[HRP3]]/WWWW[[#This Row],[Total PoP ]]&gt;100%,100%,WWWW[[#This Row],[HRP3]]/WWWW[[#This Row],[Total PoP ]])</f>
        <v>0</v>
      </c>
      <c r="DA413" s="875">
        <f>1-WWWW[[#This Row],[Hygiene Coverage%]]</f>
        <v>1</v>
      </c>
      <c r="DB413" s="872">
        <f>WWWW[[#This Row],['# people reached by regular dedicated hygiene promotion_5]]/WWWW[[#This Row],[Total PoP ]]</f>
        <v>0</v>
      </c>
      <c r="DC413" s="872">
        <f>IF(WWWW[[#This Row],['#_households that received standard amount of soap for this quarter]]/WWWW[[#This Row],[Total HH]]&gt;1,1,WWWW[[#This Row],['#_households that received standard amount of soap for this quarter]]/WWWW[[#This Row],[Total HH]])</f>
        <v>0</v>
      </c>
      <c r="DD413" s="872">
        <f>IF(WWWW[[#This Row],['#_households that received standard amount of sanitary pads for this quarter]]/WWWW[[#This Row],[Total HH]]&gt;1,1,WWWW[[#This Row],['#_households that received standard amount of sanitary pads for this quarter]]/WWWW[[#This Row],[Total HH]])</f>
        <v>0</v>
      </c>
      <c r="DE413" s="874">
        <f>WWWW[[#This Row],['#_Constructed/Existing hand washing stations]]-WWWW[[#This Row],['#_Non-Functional_hand_washing_stations]]</f>
        <v>0</v>
      </c>
      <c r="DF413" s="879" t="e">
        <f>WWWW[[#This Row],[Total HH]]*#REF!</f>
        <v>#REF!</v>
      </c>
      <c r="DG413" s="870">
        <f>IF(WWWW[[#This Row],[Is sufficient soap available for TLS? (Yes/No)]]="yes",WWWW[[#This Row],['#_Constructed/Existing hand washing stations at TLS]],0)</f>
        <v>0</v>
      </c>
      <c r="DH413" s="702">
        <f>IF(WWWW[[#This Row],['# Functional hand washing stations during reporting period]]*100&gt;WWWW[[#This Row],[Total PoP ]],WWWW[[#This Row],[Total PoP ]],WWWW[[#This Row],['# Functional hand washing stations during reporting period]]*100)</f>
        <v>0</v>
      </c>
      <c r="DI413" s="702" t="str">
        <f>IF(WWWW[[#This Row],['#_students at TLS_CFS]]="","No","Yes")</f>
        <v>No</v>
      </c>
      <c r="DJ413" s="873">
        <f>VLOOKUP(WWWW[[#This Row],[Site Name]],SiteDB6[[Site Name]:[CCCM Management]],6,FALSE)</f>
        <v>0</v>
      </c>
      <c r="DK413" s="873">
        <f>VLOOKUP(WWWW[[#This Row],[Site Name]],SiteDB6[[Site Name]:[CCCM Focal Agency]],7,FALSE)</f>
        <v>0</v>
      </c>
      <c r="DL413" s="873" t="str">
        <f>VLOOKUP(WWWW[[#This Row],[Site Name]],SiteDB6[[Site Name]:[Location Type 1]],9,FALSE)</f>
        <v>Temporary location</v>
      </c>
      <c r="DM413" s="873" t="str">
        <f>VLOOKUP(WWWW[[#This Row],[Site Name]],SiteDB6[[Site Name]:[Type of Accommodation]],10,FALSE)</f>
        <v>Temporary location</v>
      </c>
      <c r="DN413" s="873">
        <f>VLOOKUP(WWWW[[#This Row],[Site Name]],SiteDB6[[Site Name]:[Ethnic or GCA/NGCA]],11,FALSE)</f>
        <v>0</v>
      </c>
      <c r="DO413" s="873">
        <f>VLOOKUP(WWWW[[#This Row],[Site Name]],SiteDB6[[Site Name]:[Lat]],12,FALSE)</f>
        <v>20.718429565429702</v>
      </c>
      <c r="DP413" s="873">
        <f>VLOOKUP(WWWW[[#This Row],[Site Name]],SiteDB6[[Site Name]:[Long]],13,FALSE)</f>
        <v>93.059432983398395</v>
      </c>
      <c r="DQ413" s="873">
        <f>VLOOKUP(WWWW[[#This Row],[Site Name]],SiteDB6[[Site Name]:[Pcode]],3,FALSE)</f>
        <v>196645</v>
      </c>
      <c r="DR413" s="871" t="str">
        <f t="shared" si="13"/>
        <v>Notcovered</v>
      </c>
      <c r="DS413" s="871"/>
      <c r="DV413" s="661"/>
    </row>
    <row r="414" spans="1:126">
      <c r="A414" s="637" t="s">
        <v>2525</v>
      </c>
      <c r="B414" s="863" t="s">
        <v>3235</v>
      </c>
      <c r="C414" s="863" t="s">
        <v>3235</v>
      </c>
      <c r="D414" s="864"/>
      <c r="E414" s="865" t="s">
        <v>3014</v>
      </c>
      <c r="F414" s="864" t="s">
        <v>489</v>
      </c>
      <c r="G414" s="866" t="str">
        <f>VLOOKUP(WWWW[[#This Row],[Site Name]],SiteDB6[[Site Name]:[Location Type]],8,FALSE)</f>
        <v>New Temporary Site</v>
      </c>
      <c r="H414" s="864" t="s">
        <v>3182</v>
      </c>
      <c r="I414" s="867">
        <v>250</v>
      </c>
      <c r="J414" s="867">
        <v>981</v>
      </c>
      <c r="K414" s="868"/>
      <c r="L414" s="869"/>
      <c r="M414" s="867"/>
      <c r="N414" s="867"/>
      <c r="O414" s="867"/>
      <c r="P414" s="867"/>
      <c r="Q414" s="870"/>
      <c r="R414" s="867"/>
      <c r="S414" s="867"/>
      <c r="T414" s="379"/>
      <c r="U414" s="867"/>
      <c r="V414" s="867"/>
      <c r="W414" s="867"/>
      <c r="X414" s="867"/>
      <c r="Y414" s="867"/>
      <c r="Z414" s="867"/>
      <c r="AA414" s="867"/>
      <c r="AB414" s="867"/>
      <c r="AC414" s="867"/>
      <c r="AD414" s="867"/>
      <c r="AE414" s="867"/>
      <c r="AF414" s="867"/>
      <c r="AG414" s="867"/>
      <c r="AH414" s="867"/>
      <c r="AI414" s="867"/>
      <c r="AJ414" s="867"/>
      <c r="AK414" s="867"/>
      <c r="AL414" s="867"/>
      <c r="AM414" s="867"/>
      <c r="AN414" s="867"/>
      <c r="AO414" s="871"/>
      <c r="AP414" s="867">
        <v>5</v>
      </c>
      <c r="AQ414" s="867"/>
      <c r="AR414" s="872"/>
      <c r="AS414" s="867"/>
      <c r="AT414" s="867"/>
      <c r="AU414" s="867"/>
      <c r="AV414" s="867"/>
      <c r="AW414" s="867"/>
      <c r="AX414" s="873"/>
      <c r="AY414" s="871"/>
      <c r="AZ414" s="867"/>
      <c r="BA414" s="867"/>
      <c r="BB414" s="867"/>
      <c r="BC414" s="873"/>
      <c r="BD414" s="867"/>
      <c r="BE414" s="867"/>
      <c r="BF414" s="867"/>
      <c r="BG414" s="867"/>
      <c r="BH414" s="867"/>
      <c r="BI414" s="867"/>
      <c r="BJ414" s="867"/>
      <c r="BK414" s="867"/>
      <c r="BL414" s="867"/>
      <c r="BM414" s="873"/>
      <c r="BN414" s="874"/>
      <c r="BO414" s="872"/>
      <c r="BP414" s="873"/>
      <c r="BQ414" s="875" t="str">
        <f>IFERROR(WWWW[[#This Row],['#_Water sources treated]]/WWWW[[#This Row],['#_Water sources tested for contamination]],"no test")</f>
        <v>no test</v>
      </c>
      <c r="BR414" s="872" t="str">
        <f>IFERROR(WWWW[[#This Row],['#_Household received remediation action due to contamination]]/WWWW[[#This Row],['#_Household water samples tested for contamination]],"no test")</f>
        <v>no test</v>
      </c>
      <c r="BS414" s="874" t="str">
        <f>IF(AND(WWWW[[#This Row],[% of water sources treated]]="no test",WWWW[[#This Row],[% Household received corrective actions]]="no test"),"No Test","Tested")</f>
        <v>No Test</v>
      </c>
      <c r="BT414" s="874">
        <f>WWWW[[#This Row],['#_Constructed/existing protected hand dug well]]-WWWW[[#This Row],['#_Non-functional protected hand dug well]]</f>
        <v>0</v>
      </c>
      <c r="BU414" s="874">
        <f>(WWWW[[#This Row],['#_Constructed/Existing tube wells/boreholes/handpumps_WASH_agency]]+WWWW[[#This Row],['#_Non-Cluster partner water tube-wells/boreholes/handpumps]])-WWWW[[#This Row],['#_Non-functional tube wells/boreholes/handpumps]]</f>
        <v>0</v>
      </c>
      <c r="BV414" s="874">
        <f>WWWW[[#This Row],['#_Constructed/Existingwater storage tank with gravity fed reticulation system]]-WWWW[[#This Row],['#_Non-functional storage tank gravity fed reticulation system]]</f>
        <v>0</v>
      </c>
      <c r="BW414" s="874">
        <f>WWWW[[#This Row],['#_Water boating or water trucking]]</f>
        <v>0</v>
      </c>
      <c r="BX414" s="874">
        <f>WWWW[[#This Row],['#_Constructed/Existing water distribution system from river or natural spring]]</f>
        <v>0</v>
      </c>
      <c r="BY414"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14"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14" s="872">
        <f>IF(WWWW[[#This Row],[Location Type 1]]="Village",WWWW[[#This Row],[Access to safe drinking water for Village]],WWWW[[#This Row],[Access to safe drinking water for Camp]])</f>
        <v>0</v>
      </c>
      <c r="CB414" s="870">
        <f>WWWW[[#This Row],[%Equitable and continuous access to sufficient quantity of safe drinking water]]*WWWW[[#This Row],[Total PoP ]]</f>
        <v>0</v>
      </c>
      <c r="CC414" s="872">
        <f>IF((WWWW[[#This Row],['#_Constructed/Existing protected/fenced ponds]]*250)/WWWW[[#This Row],[Total PoP ]]&gt;1,1,(WWWW[[#This Row],['#_Constructed/Existing protected/fenced ponds]]*250)/WWWW[[#This Row],[Total PoP ]])</f>
        <v>0</v>
      </c>
      <c r="CD414" s="870">
        <f>WWWW[[#This Row],[% Access to unimproved water points]]*WWWW[[#This Row],[Total PoP ]]</f>
        <v>0</v>
      </c>
      <c r="CE414"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14"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14" s="870">
        <f>WWWW[[#This Row],[HRP1]]/500</f>
        <v>0</v>
      </c>
      <c r="CH414" s="876">
        <f>1-WWWW[[#This Row],[% Equitable and continuous access to sufficient quantity of domestic water]]</f>
        <v>1</v>
      </c>
      <c r="CI414" s="870">
        <f>WWWW[[#This Row],[%equitable and continuous access to sufficient quantity of safe drinking and domestic water''s GAP]]*WWWW[[#This Row],[Total PoP ]]</f>
        <v>981</v>
      </c>
      <c r="CJ414" s="874">
        <f>IF(WWWW[[#This Row],[Total required water points]]-WWWW[[#This Row],['#Water points coverage]]&lt;0,0,WWWW[[#This Row],[Total required water points]]-WWWW[[#This Row],['#Water points coverage]])</f>
        <v>2</v>
      </c>
      <c r="CK414" s="874">
        <f>ROUND(IF(WWWW[[#This Row],[Total PoP ]]&lt;500,1,WWWW[[#This Row],[Total PoP ]]/500),0)</f>
        <v>2</v>
      </c>
      <c r="CL414" s="874">
        <f>(WWWW[[#This Row],['#_Constructed latrines_by_WASHAgencies]]+WWWW[[#This Row],['#_Non Cluster partner latrines]])-WWWW[[#This Row],['#_Non-functional latrines]]</f>
        <v>5</v>
      </c>
      <c r="CM414"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0.254841997961264</v>
      </c>
      <c r="CN414"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250</v>
      </c>
      <c r="CO414"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14" s="874">
        <f>IF(WWWW[[#This Row],[Location Type 1]]="Village","NA",IF(WWWW[[#This Row],['#_Constructed/Existing latrines in TLS]]*50&gt;WWWW[[#This Row],['#_students at TLS_CFS]],WWWW[[#This Row],['#_students at TLS_CFS]],(WWWW[[#This Row],['#_Constructed/Existing latrines in TLS]]*50)))</f>
        <v>0</v>
      </c>
      <c r="CQ414" s="874">
        <f>ROUND(IF(WWWW[[#This Row],[Location Type 1]]="camp",WWWW[[#This Row],[Total PoP ]]/20,IF(WWWW[[#This Row],[Location Type 1]]="Temporary Location",WWWW[[#This Row],[Total PoP ]]/50,(WWWW[[#This Row],[Total PoP ]]/6))),0)</f>
        <v>20</v>
      </c>
      <c r="CR414" s="874">
        <f>IF(WWWW[[#This Row],[Total required Latrines]]-(WWWW[[#This Row],['#_Constructed latrines_by_WASHAgencies]]+WWWW[[#This Row],['#_Non Cluster partner latrines]])&lt;0,0,WWWW[[#This Row],[Total required Latrines]]-(WWWW[[#This Row],['#_Constructed latrines_by_WASHAgencies]]+WWWW[[#This Row],['#_Non Cluster partner latrines]]))</f>
        <v>15</v>
      </c>
      <c r="CS414" s="878">
        <f>1-WWWW[[#This Row],[% people access to functioning Latrine]]</f>
        <v>0.74515800203873606</v>
      </c>
      <c r="CT414" s="875">
        <f>IF(OR(WWWW[[#This Row],['#_Non-functional latrines]]="",WWWW[[#This Row],['#_Non-functional latrines]]=0),0,WWWW[[#This Row],['#_Non-functional latrines]]/(WWWW[[#This Row],['#_Constructed latrines_by_WASHAgencies]]+WWWW[[#This Row],['#_Non Cluster partner latrines]]))</f>
        <v>0</v>
      </c>
      <c r="CU414" s="870">
        <f>IF(500*(WWWW[[#This Row],['#_male hygiene promoters]]+WWWW[[#This Row],['#_female hygiene promoters]])&gt;WWWW[[#This Row],[Total PoP ]],WWWW[[#This Row],[Total PoP ]],500*(WWWW[[#This Row],['#_male hygiene promoters]]+WWWW[[#This Row],['#_female hygiene promoters]]))</f>
        <v>0</v>
      </c>
      <c r="CV414"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14"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14" s="874">
        <f>IF(WWWW[[#This Row],['# People with access to soap]]&gt;WWWW[[#This Row],['# People with access to Sanity Pads]],WWWW[[#This Row],['# People with access to soap]],WWWW[[#This Row],['# People with access to Sanity Pads]])</f>
        <v>0</v>
      </c>
      <c r="CY414"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14" s="876">
        <f>IF(WWWW[[#This Row],[HRP3]]/WWWW[[#This Row],[Total PoP ]]&gt;100%,100%,WWWW[[#This Row],[HRP3]]/WWWW[[#This Row],[Total PoP ]])</f>
        <v>0</v>
      </c>
      <c r="DA414" s="875">
        <f>1-WWWW[[#This Row],[Hygiene Coverage%]]</f>
        <v>1</v>
      </c>
      <c r="DB414" s="872">
        <f>WWWW[[#This Row],['# people reached by regular dedicated hygiene promotion_5]]/WWWW[[#This Row],[Total PoP ]]</f>
        <v>0</v>
      </c>
      <c r="DC414" s="872">
        <f>IF(WWWW[[#This Row],['#_households that received standard amount of soap for this quarter]]/WWWW[[#This Row],[Total HH]]&gt;1,1,WWWW[[#This Row],['#_households that received standard amount of soap for this quarter]]/WWWW[[#This Row],[Total HH]])</f>
        <v>0</v>
      </c>
      <c r="DD414" s="872">
        <f>IF(WWWW[[#This Row],['#_households that received standard amount of sanitary pads for this quarter]]/WWWW[[#This Row],[Total HH]]&gt;1,1,WWWW[[#This Row],['#_households that received standard amount of sanitary pads for this quarter]]/WWWW[[#This Row],[Total HH]])</f>
        <v>0</v>
      </c>
      <c r="DE414" s="874">
        <f>WWWW[[#This Row],['#_Constructed/Existing hand washing stations]]-WWWW[[#This Row],['#_Non-Functional_hand_washing_stations]]</f>
        <v>0</v>
      </c>
      <c r="DF414" s="879" t="e">
        <f>WWWW[[#This Row],[Total HH]]*#REF!</f>
        <v>#REF!</v>
      </c>
      <c r="DG414" s="870">
        <f>IF(WWWW[[#This Row],[Is sufficient soap available for TLS? (Yes/No)]]="yes",WWWW[[#This Row],['#_Constructed/Existing hand washing stations at TLS]],0)</f>
        <v>0</v>
      </c>
      <c r="DH414" s="702">
        <f>IF(WWWW[[#This Row],['# Functional hand washing stations during reporting period]]*100&gt;WWWW[[#This Row],[Total PoP ]],WWWW[[#This Row],[Total PoP ]],WWWW[[#This Row],['# Functional hand washing stations during reporting period]]*100)</f>
        <v>0</v>
      </c>
      <c r="DI414" s="702" t="str">
        <f>IF(WWWW[[#This Row],['#_students at TLS_CFS]]="","No","Yes")</f>
        <v>No</v>
      </c>
      <c r="DJ414" s="873">
        <f>VLOOKUP(WWWW[[#This Row],[Site Name]],SiteDB6[[Site Name]:[CCCM Management]],6,FALSE)</f>
        <v>0</v>
      </c>
      <c r="DK414" s="873">
        <f>VLOOKUP(WWWW[[#This Row],[Site Name]],SiteDB6[[Site Name]:[CCCM Focal Agency]],7,FALSE)</f>
        <v>0</v>
      </c>
      <c r="DL414" s="873" t="str">
        <f>VLOOKUP(WWWW[[#This Row],[Site Name]],SiteDB6[[Site Name]:[Location Type 1]],9,FALSE)</f>
        <v>Temporary location</v>
      </c>
      <c r="DM414" s="873" t="str">
        <f>VLOOKUP(WWWW[[#This Row],[Site Name]],SiteDB6[[Site Name]:[Type of Accommodation]],10,FALSE)</f>
        <v>Temporary location</v>
      </c>
      <c r="DN414" s="873">
        <f>VLOOKUP(WWWW[[#This Row],[Site Name]],SiteDB6[[Site Name]:[Ethnic or GCA/NGCA]],11,FALSE)</f>
        <v>0</v>
      </c>
      <c r="DO414" s="873">
        <f>VLOOKUP(WWWW[[#This Row],[Site Name]],SiteDB6[[Site Name]:[Lat]],12,FALSE)</f>
        <v>0</v>
      </c>
      <c r="DP414" s="873">
        <f>VLOOKUP(WWWW[[#This Row],[Site Name]],SiteDB6[[Site Name]:[Long]],13,FALSE)</f>
        <v>0</v>
      </c>
      <c r="DQ414" s="873">
        <f>VLOOKUP(WWWW[[#This Row],[Site Name]],SiteDB6[[Site Name]:[Pcode]],3,FALSE)</f>
        <v>0</v>
      </c>
      <c r="DR414" s="871" t="str">
        <f t="shared" si="13"/>
        <v>Covered</v>
      </c>
      <c r="DS414" s="871"/>
      <c r="DV414" s="661"/>
    </row>
    <row r="415" spans="1:126">
      <c r="A415" s="637" t="s">
        <v>2525</v>
      </c>
      <c r="B415" s="976" t="s">
        <v>317</v>
      </c>
      <c r="C415" s="976" t="s">
        <v>317</v>
      </c>
      <c r="D415" s="864"/>
      <c r="E415" s="865" t="s">
        <v>3014</v>
      </c>
      <c r="F415" s="864" t="s">
        <v>489</v>
      </c>
      <c r="G415" s="866" t="str">
        <f>VLOOKUP(WWWW[[#This Row],[Site Name]],SiteDB6[[Site Name]:[Location Type]],8,FALSE)</f>
        <v>New Temporary Site</v>
      </c>
      <c r="H415" s="864" t="s">
        <v>3172</v>
      </c>
      <c r="I415" s="867">
        <v>31</v>
      </c>
      <c r="J415" s="867">
        <v>151</v>
      </c>
      <c r="K415" s="868"/>
      <c r="L415" s="869"/>
      <c r="M415" s="867"/>
      <c r="N415" s="867"/>
      <c r="O415" s="867"/>
      <c r="P415" s="867"/>
      <c r="Q415" s="870"/>
      <c r="R415" s="867"/>
      <c r="S415" s="867"/>
      <c r="T415" s="379"/>
      <c r="U415" s="867"/>
      <c r="V415" s="867"/>
      <c r="W415" s="867"/>
      <c r="X415" s="867"/>
      <c r="Y415" s="867"/>
      <c r="Z415" s="867"/>
      <c r="AA415" s="867"/>
      <c r="AB415" s="867"/>
      <c r="AC415" s="867"/>
      <c r="AD415" s="867"/>
      <c r="AE415" s="867"/>
      <c r="AF415" s="867"/>
      <c r="AG415" s="867"/>
      <c r="AH415" s="867"/>
      <c r="AI415" s="867"/>
      <c r="AJ415" s="867"/>
      <c r="AK415" s="867"/>
      <c r="AL415" s="867"/>
      <c r="AM415" s="867"/>
      <c r="AN415" s="867"/>
      <c r="AO415" s="871"/>
      <c r="AP415" s="867"/>
      <c r="AQ415" s="867"/>
      <c r="AR415" s="872"/>
      <c r="AS415" s="867"/>
      <c r="AT415" s="867"/>
      <c r="AU415" s="867"/>
      <c r="AV415" s="867"/>
      <c r="AW415" s="867"/>
      <c r="AX415" s="873"/>
      <c r="AY415" s="871"/>
      <c r="AZ415" s="867"/>
      <c r="BA415" s="867"/>
      <c r="BB415" s="867"/>
      <c r="BC415" s="873"/>
      <c r="BD415" s="867"/>
      <c r="BE415" s="867"/>
      <c r="BF415" s="867"/>
      <c r="BG415" s="867"/>
      <c r="BH415" s="867"/>
      <c r="BI415" s="867"/>
      <c r="BJ415" s="867"/>
      <c r="BK415" s="867"/>
      <c r="BL415" s="867"/>
      <c r="BM415" s="873"/>
      <c r="BN415" s="874"/>
      <c r="BO415" s="872"/>
      <c r="BP415" s="873"/>
      <c r="BQ415" s="875" t="str">
        <f>IFERROR(WWWW[[#This Row],['#_Water sources treated]]/WWWW[[#This Row],['#_Water sources tested for contamination]],"no test")</f>
        <v>no test</v>
      </c>
      <c r="BR415" s="872" t="str">
        <f>IFERROR(WWWW[[#This Row],['#_Household received remediation action due to contamination]]/WWWW[[#This Row],['#_Household water samples tested for contamination]],"no test")</f>
        <v>no test</v>
      </c>
      <c r="BS415" s="874" t="str">
        <f>IF(AND(WWWW[[#This Row],[% of water sources treated]]="no test",WWWW[[#This Row],[% Household received corrective actions]]="no test"),"No Test","Tested")</f>
        <v>No Test</v>
      </c>
      <c r="BT415" s="874">
        <f>WWWW[[#This Row],['#_Constructed/existing protected hand dug well]]-WWWW[[#This Row],['#_Non-functional protected hand dug well]]</f>
        <v>0</v>
      </c>
      <c r="BU415" s="874">
        <f>(WWWW[[#This Row],['#_Constructed/Existing tube wells/boreholes/handpumps_WASH_agency]]+WWWW[[#This Row],['#_Non-Cluster partner water tube-wells/boreholes/handpumps]])-WWWW[[#This Row],['#_Non-functional tube wells/boreholes/handpumps]]</f>
        <v>0</v>
      </c>
      <c r="BV415" s="874">
        <f>WWWW[[#This Row],['#_Constructed/Existingwater storage tank with gravity fed reticulation system]]-WWWW[[#This Row],['#_Non-functional storage tank gravity fed reticulation system]]</f>
        <v>0</v>
      </c>
      <c r="BW415" s="874">
        <f>WWWW[[#This Row],['#_Water boating or water trucking]]</f>
        <v>0</v>
      </c>
      <c r="BX415" s="874">
        <f>WWWW[[#This Row],['#_Constructed/Existing water distribution system from river or natural spring]]</f>
        <v>0</v>
      </c>
      <c r="BY415"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15"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15" s="872">
        <f>IF(WWWW[[#This Row],[Location Type 1]]="Village",WWWW[[#This Row],[Access to safe drinking water for Village]],WWWW[[#This Row],[Access to safe drinking water for Camp]])</f>
        <v>0</v>
      </c>
      <c r="CB415" s="870">
        <f>WWWW[[#This Row],[%Equitable and continuous access to sufficient quantity of safe drinking water]]*WWWW[[#This Row],[Total PoP ]]</f>
        <v>0</v>
      </c>
      <c r="CC415" s="872">
        <f>IF((WWWW[[#This Row],['#_Constructed/Existing protected/fenced ponds]]*250)/WWWW[[#This Row],[Total PoP ]]&gt;1,1,(WWWW[[#This Row],['#_Constructed/Existing protected/fenced ponds]]*250)/WWWW[[#This Row],[Total PoP ]])</f>
        <v>0</v>
      </c>
      <c r="CD415" s="870">
        <f>WWWW[[#This Row],[% Access to unimproved water points]]*WWWW[[#This Row],[Total PoP ]]</f>
        <v>0</v>
      </c>
      <c r="CE415"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15"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15" s="870">
        <f>WWWW[[#This Row],[HRP1]]/500</f>
        <v>0</v>
      </c>
      <c r="CH415" s="876">
        <f>1-WWWW[[#This Row],[% Equitable and continuous access to sufficient quantity of domestic water]]</f>
        <v>1</v>
      </c>
      <c r="CI415" s="870">
        <f>WWWW[[#This Row],[%equitable and continuous access to sufficient quantity of safe drinking and domestic water''s GAP]]*WWWW[[#This Row],[Total PoP ]]</f>
        <v>151</v>
      </c>
      <c r="CJ415" s="874">
        <f>IF(WWWW[[#This Row],[Total required water points]]-WWWW[[#This Row],['#Water points coverage]]&lt;0,0,WWWW[[#This Row],[Total required water points]]-WWWW[[#This Row],['#Water points coverage]])</f>
        <v>1</v>
      </c>
      <c r="CK415" s="874">
        <f>ROUND(IF(WWWW[[#This Row],[Total PoP ]]&lt;500,1,WWWW[[#This Row],[Total PoP ]]/500),0)</f>
        <v>1</v>
      </c>
      <c r="CL415" s="874">
        <f>(WWWW[[#This Row],['#_Constructed latrines_by_WASHAgencies]]+WWWW[[#This Row],['#_Non Cluster partner latrines]])-WWWW[[#This Row],['#_Non-functional latrines]]</f>
        <v>0</v>
      </c>
      <c r="CM415"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15"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15"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15" s="874">
        <f>IF(WWWW[[#This Row],[Location Type 1]]="Village","NA",IF(WWWW[[#This Row],['#_Constructed/Existing latrines in TLS]]*50&gt;WWWW[[#This Row],['#_students at TLS_CFS]],WWWW[[#This Row],['#_students at TLS_CFS]],(WWWW[[#This Row],['#_Constructed/Existing latrines in TLS]]*50)))</f>
        <v>0</v>
      </c>
      <c r="CQ415" s="874">
        <f>ROUND(IF(WWWW[[#This Row],[Location Type 1]]="camp",WWWW[[#This Row],[Total PoP ]]/20,IF(WWWW[[#This Row],[Location Type 1]]="Temporary Location",WWWW[[#This Row],[Total PoP ]]/50,(WWWW[[#This Row],[Total PoP ]]/6))),0)</f>
        <v>3</v>
      </c>
      <c r="CR415" s="874">
        <f>IF(WWWW[[#This Row],[Total required Latrines]]-(WWWW[[#This Row],['#_Constructed latrines_by_WASHAgencies]]+WWWW[[#This Row],['#_Non Cluster partner latrines]])&lt;0,0,WWWW[[#This Row],[Total required Latrines]]-(WWWW[[#This Row],['#_Constructed latrines_by_WASHAgencies]]+WWWW[[#This Row],['#_Non Cluster partner latrines]]))</f>
        <v>3</v>
      </c>
      <c r="CS415" s="878">
        <f>1-WWWW[[#This Row],[% people access to functioning Latrine]]</f>
        <v>1</v>
      </c>
      <c r="CT415" s="875">
        <f>IF(OR(WWWW[[#This Row],['#_Non-functional latrines]]="",WWWW[[#This Row],['#_Non-functional latrines]]=0),0,WWWW[[#This Row],['#_Non-functional latrines]]/(WWWW[[#This Row],['#_Constructed latrines_by_WASHAgencies]]+WWWW[[#This Row],['#_Non Cluster partner latrines]]))</f>
        <v>0</v>
      </c>
      <c r="CU415" s="870">
        <f>IF(500*(WWWW[[#This Row],['#_male hygiene promoters]]+WWWW[[#This Row],['#_female hygiene promoters]])&gt;WWWW[[#This Row],[Total PoP ]],WWWW[[#This Row],[Total PoP ]],500*(WWWW[[#This Row],['#_male hygiene promoters]]+WWWW[[#This Row],['#_female hygiene promoters]]))</f>
        <v>0</v>
      </c>
      <c r="CV415"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15"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15" s="874">
        <f>IF(WWWW[[#This Row],['# People with access to soap]]&gt;WWWW[[#This Row],['# People with access to Sanity Pads]],WWWW[[#This Row],['# People with access to soap]],WWWW[[#This Row],['# People with access to Sanity Pads]])</f>
        <v>0</v>
      </c>
      <c r="CY415"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15" s="876">
        <f>IF(WWWW[[#This Row],[HRP3]]/WWWW[[#This Row],[Total PoP ]]&gt;100%,100%,WWWW[[#This Row],[HRP3]]/WWWW[[#This Row],[Total PoP ]])</f>
        <v>0</v>
      </c>
      <c r="DA415" s="875">
        <f>1-WWWW[[#This Row],[Hygiene Coverage%]]</f>
        <v>1</v>
      </c>
      <c r="DB415" s="872">
        <f>WWWW[[#This Row],['# people reached by regular dedicated hygiene promotion_5]]/WWWW[[#This Row],[Total PoP ]]</f>
        <v>0</v>
      </c>
      <c r="DC415" s="872">
        <f>IF(WWWW[[#This Row],['#_households that received standard amount of soap for this quarter]]/WWWW[[#This Row],[Total HH]]&gt;1,1,WWWW[[#This Row],['#_households that received standard amount of soap for this quarter]]/WWWW[[#This Row],[Total HH]])</f>
        <v>0</v>
      </c>
      <c r="DD415" s="872">
        <f>IF(WWWW[[#This Row],['#_households that received standard amount of sanitary pads for this quarter]]/WWWW[[#This Row],[Total HH]]&gt;1,1,WWWW[[#This Row],['#_households that received standard amount of sanitary pads for this quarter]]/WWWW[[#This Row],[Total HH]])</f>
        <v>0</v>
      </c>
      <c r="DE415" s="874">
        <f>WWWW[[#This Row],['#_Constructed/Existing hand washing stations]]-WWWW[[#This Row],['#_Non-Functional_hand_washing_stations]]</f>
        <v>0</v>
      </c>
      <c r="DF415" s="879" t="e">
        <f>WWWW[[#This Row],[Total HH]]*#REF!</f>
        <v>#REF!</v>
      </c>
      <c r="DG415" s="870">
        <f>IF(WWWW[[#This Row],[Is sufficient soap available for TLS? (Yes/No)]]="yes",WWWW[[#This Row],['#_Constructed/Existing hand washing stations at TLS]],0)</f>
        <v>0</v>
      </c>
      <c r="DH415" s="702">
        <f>IF(WWWW[[#This Row],['# Functional hand washing stations during reporting period]]*100&gt;WWWW[[#This Row],[Total PoP ]],WWWW[[#This Row],[Total PoP ]],WWWW[[#This Row],['# Functional hand washing stations during reporting period]]*100)</f>
        <v>0</v>
      </c>
      <c r="DI415" s="702" t="str">
        <f>IF(WWWW[[#This Row],['#_students at TLS_CFS]]="","No","Yes")</f>
        <v>No</v>
      </c>
      <c r="DJ415" s="873">
        <f>VLOOKUP(WWWW[[#This Row],[Site Name]],SiteDB6[[Site Name]:[CCCM Management]],6,FALSE)</f>
        <v>0</v>
      </c>
      <c r="DK415" s="873">
        <f>VLOOKUP(WWWW[[#This Row],[Site Name]],SiteDB6[[Site Name]:[CCCM Focal Agency]],7,FALSE)</f>
        <v>0</v>
      </c>
      <c r="DL415" s="873" t="str">
        <f>VLOOKUP(WWWW[[#This Row],[Site Name]],SiteDB6[[Site Name]:[Location Type 1]],9,FALSE)</f>
        <v>Temporary location</v>
      </c>
      <c r="DM415" s="873" t="str">
        <f>VLOOKUP(WWWW[[#This Row],[Site Name]],SiteDB6[[Site Name]:[Type of Accommodation]],10,FALSE)</f>
        <v>Temporary location</v>
      </c>
      <c r="DN415" s="873">
        <f>VLOOKUP(WWWW[[#This Row],[Site Name]],SiteDB6[[Site Name]:[Ethnic or GCA/NGCA]],11,FALSE)</f>
        <v>0</v>
      </c>
      <c r="DO415" s="873">
        <f>VLOOKUP(WWWW[[#This Row],[Site Name]],SiteDB6[[Site Name]:[Lat]],12,FALSE)</f>
        <v>20.648319244384801</v>
      </c>
      <c r="DP415" s="873">
        <f>VLOOKUP(WWWW[[#This Row],[Site Name]],SiteDB6[[Site Name]:[Long]],13,FALSE)</f>
        <v>93.085273742675795</v>
      </c>
      <c r="DQ415" s="873">
        <f>VLOOKUP(WWWW[[#This Row],[Site Name]],SiteDB6[[Site Name]:[Pcode]],3,FALSE)</f>
        <v>196626</v>
      </c>
      <c r="DR415" s="871" t="str">
        <f t="shared" si="13"/>
        <v>Notcovered</v>
      </c>
      <c r="DS415" s="871"/>
      <c r="DV415" s="661"/>
    </row>
    <row r="416" spans="1:126">
      <c r="A416" s="637" t="s">
        <v>2525</v>
      </c>
      <c r="B416" s="863" t="s">
        <v>3167</v>
      </c>
      <c r="C416" s="863" t="s">
        <v>3167</v>
      </c>
      <c r="D416" s="864"/>
      <c r="E416" s="865" t="s">
        <v>3014</v>
      </c>
      <c r="F416" s="864" t="s">
        <v>489</v>
      </c>
      <c r="G416" s="866" t="str">
        <f>VLOOKUP(WWWW[[#This Row],[Site Name]],SiteDB6[[Site Name]:[Location Type]],8,FALSE)</f>
        <v>New Temporary Site</v>
      </c>
      <c r="H416" s="864" t="s">
        <v>3169</v>
      </c>
      <c r="I416" s="867">
        <v>12</v>
      </c>
      <c r="J416" s="867">
        <v>62</v>
      </c>
      <c r="K416" s="868"/>
      <c r="L416" s="869"/>
      <c r="M416" s="867"/>
      <c r="N416" s="867"/>
      <c r="O416" s="867"/>
      <c r="P416" s="867"/>
      <c r="Q416" s="870"/>
      <c r="R416" s="867"/>
      <c r="S416" s="867"/>
      <c r="T416" s="379"/>
      <c r="U416" s="867"/>
      <c r="V416" s="867"/>
      <c r="W416" s="867"/>
      <c r="X416" s="867"/>
      <c r="Y416" s="867"/>
      <c r="Z416" s="867"/>
      <c r="AA416" s="867"/>
      <c r="AB416" s="867"/>
      <c r="AC416" s="867"/>
      <c r="AD416" s="867"/>
      <c r="AE416" s="867"/>
      <c r="AF416" s="867"/>
      <c r="AG416" s="867"/>
      <c r="AH416" s="867"/>
      <c r="AI416" s="867"/>
      <c r="AJ416" s="867"/>
      <c r="AK416" s="867"/>
      <c r="AL416" s="867"/>
      <c r="AM416" s="867"/>
      <c r="AN416" s="867"/>
      <c r="AO416" s="871"/>
      <c r="AP416" s="867">
        <v>1</v>
      </c>
      <c r="AQ416" s="867"/>
      <c r="AR416" s="872"/>
      <c r="AS416" s="867"/>
      <c r="AT416" s="867"/>
      <c r="AU416" s="867"/>
      <c r="AV416" s="867"/>
      <c r="AW416" s="867"/>
      <c r="AX416" s="873"/>
      <c r="AY416" s="871"/>
      <c r="AZ416" s="867"/>
      <c r="BA416" s="867"/>
      <c r="BB416" s="867"/>
      <c r="BC416" s="873"/>
      <c r="BD416" s="867"/>
      <c r="BE416" s="867"/>
      <c r="BF416" s="867"/>
      <c r="BG416" s="867"/>
      <c r="BH416" s="867"/>
      <c r="BI416" s="867"/>
      <c r="BJ416" s="867"/>
      <c r="BK416" s="867"/>
      <c r="BL416" s="867"/>
      <c r="BM416" s="873"/>
      <c r="BN416" s="874"/>
      <c r="BO416" s="872"/>
      <c r="BP416" s="873"/>
      <c r="BQ416" s="875" t="str">
        <f>IFERROR(WWWW[[#This Row],['#_Water sources treated]]/WWWW[[#This Row],['#_Water sources tested for contamination]],"no test")</f>
        <v>no test</v>
      </c>
      <c r="BR416" s="872" t="str">
        <f>IFERROR(WWWW[[#This Row],['#_Household received remediation action due to contamination]]/WWWW[[#This Row],['#_Household water samples tested for contamination]],"no test")</f>
        <v>no test</v>
      </c>
      <c r="BS416" s="874" t="str">
        <f>IF(AND(WWWW[[#This Row],[% of water sources treated]]="no test",WWWW[[#This Row],[% Household received corrective actions]]="no test"),"No Test","Tested")</f>
        <v>No Test</v>
      </c>
      <c r="BT416" s="874">
        <f>WWWW[[#This Row],['#_Constructed/existing protected hand dug well]]-WWWW[[#This Row],['#_Non-functional protected hand dug well]]</f>
        <v>0</v>
      </c>
      <c r="BU416" s="874">
        <f>(WWWW[[#This Row],['#_Constructed/Existing tube wells/boreholes/handpumps_WASH_agency]]+WWWW[[#This Row],['#_Non-Cluster partner water tube-wells/boreholes/handpumps]])-WWWW[[#This Row],['#_Non-functional tube wells/boreholes/handpumps]]</f>
        <v>0</v>
      </c>
      <c r="BV416" s="874">
        <f>WWWW[[#This Row],['#_Constructed/Existingwater storage tank with gravity fed reticulation system]]-WWWW[[#This Row],['#_Non-functional storage tank gravity fed reticulation system]]</f>
        <v>0</v>
      </c>
      <c r="BW416" s="874">
        <f>WWWW[[#This Row],['#_Water boating or water trucking]]</f>
        <v>0</v>
      </c>
      <c r="BX416" s="874">
        <f>WWWW[[#This Row],['#_Constructed/Existing water distribution system from river or natural spring]]</f>
        <v>0</v>
      </c>
      <c r="BY416"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16"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16" s="872">
        <f>IF(WWWW[[#This Row],[Location Type 1]]="Village",WWWW[[#This Row],[Access to safe drinking water for Village]],WWWW[[#This Row],[Access to safe drinking water for Camp]])</f>
        <v>0</v>
      </c>
      <c r="CB416" s="870">
        <f>WWWW[[#This Row],[%Equitable and continuous access to sufficient quantity of safe drinking water]]*WWWW[[#This Row],[Total PoP ]]</f>
        <v>0</v>
      </c>
      <c r="CC416" s="872">
        <f>IF((WWWW[[#This Row],['#_Constructed/Existing protected/fenced ponds]]*250)/WWWW[[#This Row],[Total PoP ]]&gt;1,1,(WWWW[[#This Row],['#_Constructed/Existing protected/fenced ponds]]*250)/WWWW[[#This Row],[Total PoP ]])</f>
        <v>0</v>
      </c>
      <c r="CD416" s="870">
        <f>WWWW[[#This Row],[% Access to unimproved water points]]*WWWW[[#This Row],[Total PoP ]]</f>
        <v>0</v>
      </c>
      <c r="CE416"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16"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16" s="870">
        <f>WWWW[[#This Row],[HRP1]]/500</f>
        <v>0</v>
      </c>
      <c r="CH416" s="876">
        <f>1-WWWW[[#This Row],[% Equitable and continuous access to sufficient quantity of domestic water]]</f>
        <v>1</v>
      </c>
      <c r="CI416" s="870">
        <f>WWWW[[#This Row],[%equitable and continuous access to sufficient quantity of safe drinking and domestic water''s GAP]]*WWWW[[#This Row],[Total PoP ]]</f>
        <v>62</v>
      </c>
      <c r="CJ416" s="874">
        <f>IF(WWWW[[#This Row],[Total required water points]]-WWWW[[#This Row],['#Water points coverage]]&lt;0,0,WWWW[[#This Row],[Total required water points]]-WWWW[[#This Row],['#Water points coverage]])</f>
        <v>1</v>
      </c>
      <c r="CK416" s="874">
        <f>ROUND(IF(WWWW[[#This Row],[Total PoP ]]&lt;500,1,WWWW[[#This Row],[Total PoP ]]/500),0)</f>
        <v>1</v>
      </c>
      <c r="CL416" s="874">
        <f>(WWWW[[#This Row],['#_Constructed latrines_by_WASHAgencies]]+WWWW[[#This Row],['#_Non Cluster partner latrines]])-WWWW[[#This Row],['#_Non-functional latrines]]</f>
        <v>1</v>
      </c>
      <c r="CM416"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0.80645161290322576</v>
      </c>
      <c r="CN416"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50</v>
      </c>
      <c r="CO416"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16" s="874">
        <f>IF(WWWW[[#This Row],[Location Type 1]]="Village","NA",IF(WWWW[[#This Row],['#_Constructed/Existing latrines in TLS]]*50&gt;WWWW[[#This Row],['#_students at TLS_CFS]],WWWW[[#This Row],['#_students at TLS_CFS]],(WWWW[[#This Row],['#_Constructed/Existing latrines in TLS]]*50)))</f>
        <v>0</v>
      </c>
      <c r="CQ416" s="874">
        <f>ROUND(IF(WWWW[[#This Row],[Location Type 1]]="camp",WWWW[[#This Row],[Total PoP ]]/20,IF(WWWW[[#This Row],[Location Type 1]]="Temporary Location",WWWW[[#This Row],[Total PoP ]]/50,(WWWW[[#This Row],[Total PoP ]]/6))),0)</f>
        <v>1</v>
      </c>
      <c r="CR416" s="874">
        <f>IF(WWWW[[#This Row],[Total required Latrines]]-(WWWW[[#This Row],['#_Constructed latrines_by_WASHAgencies]]+WWWW[[#This Row],['#_Non Cluster partner latrines]])&lt;0,0,WWWW[[#This Row],[Total required Latrines]]-(WWWW[[#This Row],['#_Constructed latrines_by_WASHAgencies]]+WWWW[[#This Row],['#_Non Cluster partner latrines]]))</f>
        <v>0</v>
      </c>
      <c r="CS416" s="878">
        <f>1-WWWW[[#This Row],[% people access to functioning Latrine]]</f>
        <v>0.19354838709677424</v>
      </c>
      <c r="CT416" s="875">
        <f>IF(OR(WWWW[[#This Row],['#_Non-functional latrines]]="",WWWW[[#This Row],['#_Non-functional latrines]]=0),0,WWWW[[#This Row],['#_Non-functional latrines]]/(WWWW[[#This Row],['#_Constructed latrines_by_WASHAgencies]]+WWWW[[#This Row],['#_Non Cluster partner latrines]]))</f>
        <v>0</v>
      </c>
      <c r="CU416" s="870">
        <f>IF(500*(WWWW[[#This Row],['#_male hygiene promoters]]+WWWW[[#This Row],['#_female hygiene promoters]])&gt;WWWW[[#This Row],[Total PoP ]],WWWW[[#This Row],[Total PoP ]],500*(WWWW[[#This Row],['#_male hygiene promoters]]+WWWW[[#This Row],['#_female hygiene promoters]]))</f>
        <v>0</v>
      </c>
      <c r="CV416"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16"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16" s="874">
        <f>IF(WWWW[[#This Row],['# People with access to soap]]&gt;WWWW[[#This Row],['# People with access to Sanity Pads]],WWWW[[#This Row],['# People with access to soap]],WWWW[[#This Row],['# People with access to Sanity Pads]])</f>
        <v>0</v>
      </c>
      <c r="CY416"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16" s="876">
        <f>IF(WWWW[[#This Row],[HRP3]]/WWWW[[#This Row],[Total PoP ]]&gt;100%,100%,WWWW[[#This Row],[HRP3]]/WWWW[[#This Row],[Total PoP ]])</f>
        <v>0</v>
      </c>
      <c r="DA416" s="875">
        <f>1-WWWW[[#This Row],[Hygiene Coverage%]]</f>
        <v>1</v>
      </c>
      <c r="DB416" s="872">
        <f>WWWW[[#This Row],['# people reached by regular dedicated hygiene promotion_5]]/WWWW[[#This Row],[Total PoP ]]</f>
        <v>0</v>
      </c>
      <c r="DC416" s="872">
        <f>IF(WWWW[[#This Row],['#_households that received standard amount of soap for this quarter]]/WWWW[[#This Row],[Total HH]]&gt;1,1,WWWW[[#This Row],['#_households that received standard amount of soap for this quarter]]/WWWW[[#This Row],[Total HH]])</f>
        <v>0</v>
      </c>
      <c r="DD416" s="872">
        <f>IF(WWWW[[#This Row],['#_households that received standard amount of sanitary pads for this quarter]]/WWWW[[#This Row],[Total HH]]&gt;1,1,WWWW[[#This Row],['#_households that received standard amount of sanitary pads for this quarter]]/WWWW[[#This Row],[Total HH]])</f>
        <v>0</v>
      </c>
      <c r="DE416" s="874">
        <f>WWWW[[#This Row],['#_Constructed/Existing hand washing stations]]-WWWW[[#This Row],['#_Non-Functional_hand_washing_stations]]</f>
        <v>0</v>
      </c>
      <c r="DF416" s="879" t="e">
        <f>WWWW[[#This Row],[Total HH]]*#REF!</f>
        <v>#REF!</v>
      </c>
      <c r="DG416" s="870">
        <f>IF(WWWW[[#This Row],[Is sufficient soap available for TLS? (Yes/No)]]="yes",WWWW[[#This Row],['#_Constructed/Existing hand washing stations at TLS]],0)</f>
        <v>0</v>
      </c>
      <c r="DH416" s="702">
        <f>IF(WWWW[[#This Row],['# Functional hand washing stations during reporting period]]*100&gt;WWWW[[#This Row],[Total PoP ]],WWWW[[#This Row],[Total PoP ]],WWWW[[#This Row],['# Functional hand washing stations during reporting period]]*100)</f>
        <v>0</v>
      </c>
      <c r="DI416" s="702" t="str">
        <f>IF(WWWW[[#This Row],['#_students at TLS_CFS]]="","No","Yes")</f>
        <v>No</v>
      </c>
      <c r="DJ416" s="873">
        <f>VLOOKUP(WWWW[[#This Row],[Site Name]],SiteDB6[[Site Name]:[CCCM Management]],6,FALSE)</f>
        <v>0</v>
      </c>
      <c r="DK416" s="873">
        <f>VLOOKUP(WWWW[[#This Row],[Site Name]],SiteDB6[[Site Name]:[CCCM Focal Agency]],7,FALSE)</f>
        <v>0</v>
      </c>
      <c r="DL416" s="873" t="str">
        <f>VLOOKUP(WWWW[[#This Row],[Site Name]],SiteDB6[[Site Name]:[Location Type 1]],9,FALSE)</f>
        <v>Temporary location</v>
      </c>
      <c r="DM416" s="873" t="str">
        <f>VLOOKUP(WWWW[[#This Row],[Site Name]],SiteDB6[[Site Name]:[Type of Accommodation]],10,FALSE)</f>
        <v>Temporary location</v>
      </c>
      <c r="DN416" s="873">
        <f>VLOOKUP(WWWW[[#This Row],[Site Name]],SiteDB6[[Site Name]:[Ethnic or GCA/NGCA]],11,FALSE)</f>
        <v>0</v>
      </c>
      <c r="DO416" s="873">
        <f>VLOOKUP(WWWW[[#This Row],[Site Name]],SiteDB6[[Site Name]:[Lat]],12,FALSE)</f>
        <v>0</v>
      </c>
      <c r="DP416" s="873">
        <f>VLOOKUP(WWWW[[#This Row],[Site Name]],SiteDB6[[Site Name]:[Long]],13,FALSE)</f>
        <v>0</v>
      </c>
      <c r="DQ416" s="873">
        <f>VLOOKUP(WWWW[[#This Row],[Site Name]],SiteDB6[[Site Name]:[Pcode]],3,FALSE)</f>
        <v>0</v>
      </c>
      <c r="DR416" s="871" t="str">
        <f t="shared" si="13"/>
        <v>Covered</v>
      </c>
      <c r="DS416" s="871"/>
      <c r="DV416" s="661"/>
    </row>
    <row r="417" spans="1:126">
      <c r="A417" s="637" t="s">
        <v>2525</v>
      </c>
      <c r="B417" s="976" t="s">
        <v>317</v>
      </c>
      <c r="C417" s="976" t="s">
        <v>317</v>
      </c>
      <c r="D417" s="864"/>
      <c r="E417" s="865" t="s">
        <v>3014</v>
      </c>
      <c r="F417" s="864" t="s">
        <v>489</v>
      </c>
      <c r="G417" s="866" t="str">
        <f>VLOOKUP(WWWW[[#This Row],[Site Name]],SiteDB6[[Site Name]:[Location Type]],8,FALSE)</f>
        <v>New Temporary Site</v>
      </c>
      <c r="H417" s="864" t="s">
        <v>3171</v>
      </c>
      <c r="I417" s="867">
        <v>261</v>
      </c>
      <c r="J417" s="867">
        <v>798</v>
      </c>
      <c r="K417" s="868"/>
      <c r="L417" s="869"/>
      <c r="M417" s="867"/>
      <c r="N417" s="867"/>
      <c r="O417" s="867"/>
      <c r="P417" s="867"/>
      <c r="Q417" s="870"/>
      <c r="R417" s="867"/>
      <c r="S417" s="867"/>
      <c r="T417" s="379"/>
      <c r="U417" s="867"/>
      <c r="V417" s="867"/>
      <c r="W417" s="867"/>
      <c r="X417" s="867"/>
      <c r="Y417" s="867"/>
      <c r="Z417" s="867"/>
      <c r="AA417" s="867"/>
      <c r="AB417" s="867"/>
      <c r="AC417" s="867"/>
      <c r="AD417" s="867"/>
      <c r="AE417" s="867"/>
      <c r="AF417" s="867"/>
      <c r="AG417" s="867"/>
      <c r="AH417" s="867"/>
      <c r="AI417" s="867"/>
      <c r="AJ417" s="867"/>
      <c r="AK417" s="867"/>
      <c r="AL417" s="867"/>
      <c r="AM417" s="867"/>
      <c r="AN417" s="867"/>
      <c r="AO417" s="871"/>
      <c r="AP417" s="867"/>
      <c r="AQ417" s="867"/>
      <c r="AR417" s="872"/>
      <c r="AS417" s="867"/>
      <c r="AT417" s="867"/>
      <c r="AU417" s="867"/>
      <c r="AV417" s="867"/>
      <c r="AW417" s="867"/>
      <c r="AX417" s="873"/>
      <c r="AY417" s="871"/>
      <c r="AZ417" s="867"/>
      <c r="BA417" s="867"/>
      <c r="BB417" s="867"/>
      <c r="BC417" s="873"/>
      <c r="BD417" s="867"/>
      <c r="BE417" s="867"/>
      <c r="BF417" s="867"/>
      <c r="BG417" s="867"/>
      <c r="BH417" s="867"/>
      <c r="BI417" s="867"/>
      <c r="BJ417" s="867"/>
      <c r="BK417" s="867"/>
      <c r="BL417" s="867"/>
      <c r="BM417" s="873"/>
      <c r="BN417" s="874"/>
      <c r="BO417" s="872"/>
      <c r="BP417" s="873"/>
      <c r="BQ417" s="875" t="str">
        <f>IFERROR(WWWW[[#This Row],['#_Water sources treated]]/WWWW[[#This Row],['#_Water sources tested for contamination]],"no test")</f>
        <v>no test</v>
      </c>
      <c r="BR417" s="872" t="str">
        <f>IFERROR(WWWW[[#This Row],['#_Household received remediation action due to contamination]]/WWWW[[#This Row],['#_Household water samples tested for contamination]],"no test")</f>
        <v>no test</v>
      </c>
      <c r="BS417" s="874" t="str">
        <f>IF(AND(WWWW[[#This Row],[% of water sources treated]]="no test",WWWW[[#This Row],[% Household received corrective actions]]="no test"),"No Test","Tested")</f>
        <v>No Test</v>
      </c>
      <c r="BT417" s="874">
        <f>WWWW[[#This Row],['#_Constructed/existing protected hand dug well]]-WWWW[[#This Row],['#_Non-functional protected hand dug well]]</f>
        <v>0</v>
      </c>
      <c r="BU417" s="874">
        <f>(WWWW[[#This Row],['#_Constructed/Existing tube wells/boreholes/handpumps_WASH_agency]]+WWWW[[#This Row],['#_Non-Cluster partner water tube-wells/boreholes/handpumps]])-WWWW[[#This Row],['#_Non-functional tube wells/boreholes/handpumps]]</f>
        <v>0</v>
      </c>
      <c r="BV417" s="874">
        <f>WWWW[[#This Row],['#_Constructed/Existingwater storage tank with gravity fed reticulation system]]-WWWW[[#This Row],['#_Non-functional storage tank gravity fed reticulation system]]</f>
        <v>0</v>
      </c>
      <c r="BW417" s="874">
        <f>WWWW[[#This Row],['#_Water boating or water trucking]]</f>
        <v>0</v>
      </c>
      <c r="BX417" s="874">
        <f>WWWW[[#This Row],['#_Constructed/Existing water distribution system from river or natural spring]]</f>
        <v>0</v>
      </c>
      <c r="BY417"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17"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17" s="872">
        <f>IF(WWWW[[#This Row],[Location Type 1]]="Village",WWWW[[#This Row],[Access to safe drinking water for Village]],WWWW[[#This Row],[Access to safe drinking water for Camp]])</f>
        <v>0</v>
      </c>
      <c r="CB417" s="870">
        <f>WWWW[[#This Row],[%Equitable and continuous access to sufficient quantity of safe drinking water]]*WWWW[[#This Row],[Total PoP ]]</f>
        <v>0</v>
      </c>
      <c r="CC417" s="872">
        <f>IF((WWWW[[#This Row],['#_Constructed/Existing protected/fenced ponds]]*250)/WWWW[[#This Row],[Total PoP ]]&gt;1,1,(WWWW[[#This Row],['#_Constructed/Existing protected/fenced ponds]]*250)/WWWW[[#This Row],[Total PoP ]])</f>
        <v>0</v>
      </c>
      <c r="CD417" s="870">
        <f>WWWW[[#This Row],[% Access to unimproved water points]]*WWWW[[#This Row],[Total PoP ]]</f>
        <v>0</v>
      </c>
      <c r="CE417"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17"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17" s="870">
        <f>WWWW[[#This Row],[HRP1]]/500</f>
        <v>0</v>
      </c>
      <c r="CH417" s="876">
        <f>1-WWWW[[#This Row],[% Equitable and continuous access to sufficient quantity of domestic water]]</f>
        <v>1</v>
      </c>
      <c r="CI417" s="870">
        <f>WWWW[[#This Row],[%equitable and continuous access to sufficient quantity of safe drinking and domestic water''s GAP]]*WWWW[[#This Row],[Total PoP ]]</f>
        <v>798</v>
      </c>
      <c r="CJ417" s="874">
        <f>IF(WWWW[[#This Row],[Total required water points]]-WWWW[[#This Row],['#Water points coverage]]&lt;0,0,WWWW[[#This Row],[Total required water points]]-WWWW[[#This Row],['#Water points coverage]])</f>
        <v>2</v>
      </c>
      <c r="CK417" s="874">
        <f>ROUND(IF(WWWW[[#This Row],[Total PoP ]]&lt;500,1,WWWW[[#This Row],[Total PoP ]]/500),0)</f>
        <v>2</v>
      </c>
      <c r="CL417" s="874">
        <f>(WWWW[[#This Row],['#_Constructed latrines_by_WASHAgencies]]+WWWW[[#This Row],['#_Non Cluster partner latrines]])-WWWW[[#This Row],['#_Non-functional latrines]]</f>
        <v>0</v>
      </c>
      <c r="CM417"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17"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17"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17" s="874">
        <f>IF(WWWW[[#This Row],[Location Type 1]]="Village","NA",IF(WWWW[[#This Row],['#_Constructed/Existing latrines in TLS]]*50&gt;WWWW[[#This Row],['#_students at TLS_CFS]],WWWW[[#This Row],['#_students at TLS_CFS]],(WWWW[[#This Row],['#_Constructed/Existing latrines in TLS]]*50)))</f>
        <v>0</v>
      </c>
      <c r="CQ417" s="874">
        <f>ROUND(IF(WWWW[[#This Row],[Location Type 1]]="camp",WWWW[[#This Row],[Total PoP ]]/20,IF(WWWW[[#This Row],[Location Type 1]]="Temporary Location",WWWW[[#This Row],[Total PoP ]]/50,(WWWW[[#This Row],[Total PoP ]]/6))),0)</f>
        <v>16</v>
      </c>
      <c r="CR417" s="874">
        <f>IF(WWWW[[#This Row],[Total required Latrines]]-(WWWW[[#This Row],['#_Constructed latrines_by_WASHAgencies]]+WWWW[[#This Row],['#_Non Cluster partner latrines]])&lt;0,0,WWWW[[#This Row],[Total required Latrines]]-(WWWW[[#This Row],['#_Constructed latrines_by_WASHAgencies]]+WWWW[[#This Row],['#_Non Cluster partner latrines]]))</f>
        <v>16</v>
      </c>
      <c r="CS417" s="878">
        <f>1-WWWW[[#This Row],[% people access to functioning Latrine]]</f>
        <v>1</v>
      </c>
      <c r="CT417" s="875">
        <f>IF(OR(WWWW[[#This Row],['#_Non-functional latrines]]="",WWWW[[#This Row],['#_Non-functional latrines]]=0),0,WWWW[[#This Row],['#_Non-functional latrines]]/(WWWW[[#This Row],['#_Constructed latrines_by_WASHAgencies]]+WWWW[[#This Row],['#_Non Cluster partner latrines]]))</f>
        <v>0</v>
      </c>
      <c r="CU417" s="870">
        <f>IF(500*(WWWW[[#This Row],['#_male hygiene promoters]]+WWWW[[#This Row],['#_female hygiene promoters]])&gt;WWWW[[#This Row],[Total PoP ]],WWWW[[#This Row],[Total PoP ]],500*(WWWW[[#This Row],['#_male hygiene promoters]]+WWWW[[#This Row],['#_female hygiene promoters]]))</f>
        <v>0</v>
      </c>
      <c r="CV417"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17"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17" s="874">
        <f>IF(WWWW[[#This Row],['# People with access to soap]]&gt;WWWW[[#This Row],['# People with access to Sanity Pads]],WWWW[[#This Row],['# People with access to soap]],WWWW[[#This Row],['# People with access to Sanity Pads]])</f>
        <v>0</v>
      </c>
      <c r="CY417"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17" s="876">
        <f>IF(WWWW[[#This Row],[HRP3]]/WWWW[[#This Row],[Total PoP ]]&gt;100%,100%,WWWW[[#This Row],[HRP3]]/WWWW[[#This Row],[Total PoP ]])</f>
        <v>0</v>
      </c>
      <c r="DA417" s="875">
        <f>1-WWWW[[#This Row],[Hygiene Coverage%]]</f>
        <v>1</v>
      </c>
      <c r="DB417" s="872">
        <f>WWWW[[#This Row],['# people reached by regular dedicated hygiene promotion_5]]/WWWW[[#This Row],[Total PoP ]]</f>
        <v>0</v>
      </c>
      <c r="DC417" s="872">
        <f>IF(WWWW[[#This Row],['#_households that received standard amount of soap for this quarter]]/WWWW[[#This Row],[Total HH]]&gt;1,1,WWWW[[#This Row],['#_households that received standard amount of soap for this quarter]]/WWWW[[#This Row],[Total HH]])</f>
        <v>0</v>
      </c>
      <c r="DD417" s="872">
        <f>IF(WWWW[[#This Row],['#_households that received standard amount of sanitary pads for this quarter]]/WWWW[[#This Row],[Total HH]]&gt;1,1,WWWW[[#This Row],['#_households that received standard amount of sanitary pads for this quarter]]/WWWW[[#This Row],[Total HH]])</f>
        <v>0</v>
      </c>
      <c r="DE417" s="874">
        <f>WWWW[[#This Row],['#_Constructed/Existing hand washing stations]]-WWWW[[#This Row],['#_Non-Functional_hand_washing_stations]]</f>
        <v>0</v>
      </c>
      <c r="DF417" s="879" t="e">
        <f>WWWW[[#This Row],[Total HH]]*#REF!</f>
        <v>#REF!</v>
      </c>
      <c r="DG417" s="870">
        <f>IF(WWWW[[#This Row],[Is sufficient soap available for TLS? (Yes/No)]]="yes",WWWW[[#This Row],['#_Constructed/Existing hand washing stations at TLS]],0)</f>
        <v>0</v>
      </c>
      <c r="DH417" s="702">
        <f>IF(WWWW[[#This Row],['# Functional hand washing stations during reporting period]]*100&gt;WWWW[[#This Row],[Total PoP ]],WWWW[[#This Row],[Total PoP ]],WWWW[[#This Row],['# Functional hand washing stations during reporting period]]*100)</f>
        <v>0</v>
      </c>
      <c r="DI417" s="702" t="str">
        <f>IF(WWWW[[#This Row],['#_students at TLS_CFS]]="","No","Yes")</f>
        <v>No</v>
      </c>
      <c r="DJ417" s="873">
        <f>VLOOKUP(WWWW[[#This Row],[Site Name]],SiteDB6[[Site Name]:[CCCM Management]],6,FALSE)</f>
        <v>0</v>
      </c>
      <c r="DK417" s="873">
        <f>VLOOKUP(WWWW[[#This Row],[Site Name]],SiteDB6[[Site Name]:[CCCM Focal Agency]],7,FALSE)</f>
        <v>0</v>
      </c>
      <c r="DL417" s="873" t="str">
        <f>VLOOKUP(WWWW[[#This Row],[Site Name]],SiteDB6[[Site Name]:[Location Type 1]],9,FALSE)</f>
        <v>Temporary location</v>
      </c>
      <c r="DM417" s="873" t="str">
        <f>VLOOKUP(WWWW[[#This Row],[Site Name]],SiteDB6[[Site Name]:[Type of Accommodation]],10,FALSE)</f>
        <v>Temporary location</v>
      </c>
      <c r="DN417" s="873">
        <f>VLOOKUP(WWWW[[#This Row],[Site Name]],SiteDB6[[Site Name]:[Ethnic or GCA/NGCA]],11,FALSE)</f>
        <v>0</v>
      </c>
      <c r="DO417" s="873">
        <f>VLOOKUP(WWWW[[#This Row],[Site Name]],SiteDB6[[Site Name]:[Lat]],12,FALSE)</f>
        <v>20.675979614257798</v>
      </c>
      <c r="DP417" s="873">
        <f>VLOOKUP(WWWW[[#This Row],[Site Name]],SiteDB6[[Site Name]:[Long]],13,FALSE)</f>
        <v>93.098922729492202</v>
      </c>
      <c r="DQ417" s="873">
        <f>VLOOKUP(WWWW[[#This Row],[Site Name]],SiteDB6[[Site Name]:[Pcode]],3,FALSE)</f>
        <v>196621</v>
      </c>
      <c r="DR417" s="871" t="str">
        <f t="shared" si="13"/>
        <v>Notcovered</v>
      </c>
      <c r="DS417" s="871"/>
      <c r="DV417" s="661"/>
    </row>
    <row r="418" spans="1:126">
      <c r="A418" s="637" t="s">
        <v>2525</v>
      </c>
      <c r="B418" s="863" t="s">
        <v>2871</v>
      </c>
      <c r="C418" s="863" t="s">
        <v>2871</v>
      </c>
      <c r="D418" s="864"/>
      <c r="E418" s="865" t="s">
        <v>3014</v>
      </c>
      <c r="F418" s="864" t="s">
        <v>489</v>
      </c>
      <c r="G418" s="866" t="str">
        <f>VLOOKUP(WWWW[[#This Row],[Site Name]],SiteDB6[[Site Name]:[Location Type]],8,FALSE)</f>
        <v>New Temporary Site</v>
      </c>
      <c r="H418" s="864" t="s">
        <v>3233</v>
      </c>
      <c r="I418" s="867">
        <v>36</v>
      </c>
      <c r="J418" s="867">
        <v>140</v>
      </c>
      <c r="K418" s="868"/>
      <c r="L418" s="869"/>
      <c r="M418" s="867"/>
      <c r="N418" s="867"/>
      <c r="O418" s="867"/>
      <c r="P418" s="867"/>
      <c r="Q418" s="870"/>
      <c r="R418" s="867"/>
      <c r="S418" s="867"/>
      <c r="T418" s="379"/>
      <c r="U418" s="867"/>
      <c r="V418" s="867"/>
      <c r="W418" s="867"/>
      <c r="X418" s="867"/>
      <c r="Y418" s="867"/>
      <c r="Z418" s="867"/>
      <c r="AA418" s="867"/>
      <c r="AB418" s="867"/>
      <c r="AC418" s="867"/>
      <c r="AD418" s="867"/>
      <c r="AE418" s="867"/>
      <c r="AF418" s="867"/>
      <c r="AG418" s="867"/>
      <c r="AH418" s="867"/>
      <c r="AI418" s="867"/>
      <c r="AJ418" s="867"/>
      <c r="AK418" s="867"/>
      <c r="AL418" s="867"/>
      <c r="AM418" s="867"/>
      <c r="AN418" s="867"/>
      <c r="AO418" s="871"/>
      <c r="AP418" s="867"/>
      <c r="AQ418" s="867"/>
      <c r="AR418" s="872"/>
      <c r="AS418" s="867"/>
      <c r="AT418" s="867"/>
      <c r="AU418" s="867"/>
      <c r="AV418" s="867"/>
      <c r="AW418" s="867"/>
      <c r="AX418" s="873"/>
      <c r="AY418" s="871"/>
      <c r="AZ418" s="867"/>
      <c r="BA418" s="867"/>
      <c r="BB418" s="867"/>
      <c r="BC418" s="873"/>
      <c r="BD418" s="867"/>
      <c r="BE418" s="867"/>
      <c r="BF418" s="867"/>
      <c r="BG418" s="867"/>
      <c r="BH418" s="867"/>
      <c r="BI418" s="867"/>
      <c r="BJ418" s="867"/>
      <c r="BK418" s="867">
        <v>36</v>
      </c>
      <c r="BL418" s="867">
        <v>36</v>
      </c>
      <c r="BM418" s="873"/>
      <c r="BN418" s="874"/>
      <c r="BO418" s="872"/>
      <c r="BP418" s="873"/>
      <c r="BQ418" s="875" t="str">
        <f>IFERROR(WWWW[[#This Row],['#_Water sources treated]]/WWWW[[#This Row],['#_Water sources tested for contamination]],"no test")</f>
        <v>no test</v>
      </c>
      <c r="BR418" s="872" t="str">
        <f>IFERROR(WWWW[[#This Row],['#_Household received remediation action due to contamination]]/WWWW[[#This Row],['#_Household water samples tested for contamination]],"no test")</f>
        <v>no test</v>
      </c>
      <c r="BS418" s="874" t="str">
        <f>IF(AND(WWWW[[#This Row],[% of water sources treated]]="no test",WWWW[[#This Row],[% Household received corrective actions]]="no test"),"No Test","Tested")</f>
        <v>No Test</v>
      </c>
      <c r="BT418" s="874">
        <f>WWWW[[#This Row],['#_Constructed/existing protected hand dug well]]-WWWW[[#This Row],['#_Non-functional protected hand dug well]]</f>
        <v>0</v>
      </c>
      <c r="BU418" s="874">
        <f>(WWWW[[#This Row],['#_Constructed/Existing tube wells/boreholes/handpumps_WASH_agency]]+WWWW[[#This Row],['#_Non-Cluster partner water tube-wells/boreholes/handpumps]])-WWWW[[#This Row],['#_Non-functional tube wells/boreholes/handpumps]]</f>
        <v>0</v>
      </c>
      <c r="BV418" s="874">
        <f>WWWW[[#This Row],['#_Constructed/Existingwater storage tank with gravity fed reticulation system]]-WWWW[[#This Row],['#_Non-functional storage tank gravity fed reticulation system]]</f>
        <v>0</v>
      </c>
      <c r="BW418" s="874">
        <f>WWWW[[#This Row],['#_Water boating or water trucking]]</f>
        <v>0</v>
      </c>
      <c r="BX418" s="874">
        <f>WWWW[[#This Row],['#_Constructed/Existing water distribution system from river or natural spring]]</f>
        <v>0</v>
      </c>
      <c r="BY418"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18"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18" s="872">
        <f>IF(WWWW[[#This Row],[Location Type 1]]="Village",WWWW[[#This Row],[Access to safe drinking water for Village]],WWWW[[#This Row],[Access to safe drinking water for Camp]])</f>
        <v>0</v>
      </c>
      <c r="CB418" s="870">
        <f>WWWW[[#This Row],[%Equitable and continuous access to sufficient quantity of safe drinking water]]*WWWW[[#This Row],[Total PoP ]]</f>
        <v>0</v>
      </c>
      <c r="CC418" s="872">
        <f>IF((WWWW[[#This Row],['#_Constructed/Existing protected/fenced ponds]]*250)/WWWW[[#This Row],[Total PoP ]]&gt;1,1,(WWWW[[#This Row],['#_Constructed/Existing protected/fenced ponds]]*250)/WWWW[[#This Row],[Total PoP ]])</f>
        <v>0</v>
      </c>
      <c r="CD418" s="870">
        <f>WWWW[[#This Row],[% Access to unimproved water points]]*WWWW[[#This Row],[Total PoP ]]</f>
        <v>0</v>
      </c>
      <c r="CE418"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18"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18" s="870">
        <f>WWWW[[#This Row],[HRP1]]/500</f>
        <v>0</v>
      </c>
      <c r="CH418" s="876">
        <f>1-WWWW[[#This Row],[% Equitable and continuous access to sufficient quantity of domestic water]]</f>
        <v>1</v>
      </c>
      <c r="CI418" s="870">
        <f>WWWW[[#This Row],[%equitable and continuous access to sufficient quantity of safe drinking and domestic water''s GAP]]*WWWW[[#This Row],[Total PoP ]]</f>
        <v>140</v>
      </c>
      <c r="CJ418" s="874">
        <f>IF(WWWW[[#This Row],[Total required water points]]-WWWW[[#This Row],['#Water points coverage]]&lt;0,0,WWWW[[#This Row],[Total required water points]]-WWWW[[#This Row],['#Water points coverage]])</f>
        <v>1</v>
      </c>
      <c r="CK418" s="874">
        <f>ROUND(IF(WWWW[[#This Row],[Total PoP ]]&lt;500,1,WWWW[[#This Row],[Total PoP ]]/500),0)</f>
        <v>1</v>
      </c>
      <c r="CL418" s="874">
        <f>(WWWW[[#This Row],['#_Constructed latrines_by_WASHAgencies]]+WWWW[[#This Row],['#_Non Cluster partner latrines]])-WWWW[[#This Row],['#_Non-functional latrines]]</f>
        <v>0</v>
      </c>
      <c r="CM418"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18"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18"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18" s="874">
        <f>IF(WWWW[[#This Row],[Location Type 1]]="Village","NA",IF(WWWW[[#This Row],['#_Constructed/Existing latrines in TLS]]*50&gt;WWWW[[#This Row],['#_students at TLS_CFS]],WWWW[[#This Row],['#_students at TLS_CFS]],(WWWW[[#This Row],['#_Constructed/Existing latrines in TLS]]*50)))</f>
        <v>0</v>
      </c>
      <c r="CQ418" s="874">
        <f>ROUND(IF(WWWW[[#This Row],[Location Type 1]]="camp",WWWW[[#This Row],[Total PoP ]]/20,IF(WWWW[[#This Row],[Location Type 1]]="Temporary Location",WWWW[[#This Row],[Total PoP ]]/50,(WWWW[[#This Row],[Total PoP ]]/6))),0)</f>
        <v>3</v>
      </c>
      <c r="CR418" s="874">
        <f>IF(WWWW[[#This Row],[Total required Latrines]]-(WWWW[[#This Row],['#_Constructed latrines_by_WASHAgencies]]+WWWW[[#This Row],['#_Non Cluster partner latrines]])&lt;0,0,WWWW[[#This Row],[Total required Latrines]]-(WWWW[[#This Row],['#_Constructed latrines_by_WASHAgencies]]+WWWW[[#This Row],['#_Non Cluster partner latrines]]))</f>
        <v>3</v>
      </c>
      <c r="CS418" s="878">
        <f>1-WWWW[[#This Row],[% people access to functioning Latrine]]</f>
        <v>1</v>
      </c>
      <c r="CT418" s="875">
        <f>IF(OR(WWWW[[#This Row],['#_Non-functional latrines]]="",WWWW[[#This Row],['#_Non-functional latrines]]=0),0,WWWW[[#This Row],['#_Non-functional latrines]]/(WWWW[[#This Row],['#_Constructed latrines_by_WASHAgencies]]+WWWW[[#This Row],['#_Non Cluster partner latrines]]))</f>
        <v>0</v>
      </c>
      <c r="CU418" s="870">
        <f>IF(500*(WWWW[[#This Row],['#_male hygiene promoters]]+WWWW[[#This Row],['#_female hygiene promoters]])&gt;WWWW[[#This Row],[Total PoP ]],WWWW[[#This Row],[Total PoP ]],500*(WWWW[[#This Row],['#_male hygiene promoters]]+WWWW[[#This Row],['#_female hygiene promoters]]))</f>
        <v>0</v>
      </c>
      <c r="CV418"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140</v>
      </c>
      <c r="CW418"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140</v>
      </c>
      <c r="CX418" s="874">
        <f>IF(WWWW[[#This Row],['# People with access to soap]]&gt;WWWW[[#This Row],['# People with access to Sanity Pads]],WWWW[[#This Row],['# People with access to soap]],WWWW[[#This Row],['# People with access to Sanity Pads]])</f>
        <v>140</v>
      </c>
      <c r="CY418" s="874">
        <f>IF(WWWW[[#This Row],['# people reached by regular dedicated hygiene promotion_5]]&gt;WWWW[[#This Row],['# People received regular supply of hygiene items_6]],WWWW[[#This Row],['# people reached by regular dedicated hygiene promotion_5]],WWWW[[#This Row],['# People received regular supply of hygiene items_6]])</f>
        <v>140</v>
      </c>
      <c r="CZ418" s="876">
        <f>IF(WWWW[[#This Row],[HRP3]]/WWWW[[#This Row],[Total PoP ]]&gt;100%,100%,WWWW[[#This Row],[HRP3]]/WWWW[[#This Row],[Total PoP ]])</f>
        <v>1</v>
      </c>
      <c r="DA418" s="875">
        <f>1-WWWW[[#This Row],[Hygiene Coverage%]]</f>
        <v>0</v>
      </c>
      <c r="DB418" s="872">
        <f>WWWW[[#This Row],['# people reached by regular dedicated hygiene promotion_5]]/WWWW[[#This Row],[Total PoP ]]</f>
        <v>0</v>
      </c>
      <c r="DC418" s="872">
        <f>IF(WWWW[[#This Row],['#_households that received standard amount of soap for this quarter]]/WWWW[[#This Row],[Total HH]]&gt;1,1,WWWW[[#This Row],['#_households that received standard amount of soap for this quarter]]/WWWW[[#This Row],[Total HH]])</f>
        <v>1</v>
      </c>
      <c r="DD418" s="872">
        <f>IF(WWWW[[#This Row],['#_households that received standard amount of sanitary pads for this quarter]]/WWWW[[#This Row],[Total HH]]&gt;1,1,WWWW[[#This Row],['#_households that received standard amount of sanitary pads for this quarter]]/WWWW[[#This Row],[Total HH]])</f>
        <v>1</v>
      </c>
      <c r="DE418" s="874">
        <f>WWWW[[#This Row],['#_Constructed/Existing hand washing stations]]-WWWW[[#This Row],['#_Non-Functional_hand_washing_stations]]</f>
        <v>0</v>
      </c>
      <c r="DF418" s="879" t="e">
        <f>WWWW[[#This Row],[Total HH]]*#REF!</f>
        <v>#REF!</v>
      </c>
      <c r="DG418" s="870">
        <f>IF(WWWW[[#This Row],[Is sufficient soap available for TLS? (Yes/No)]]="yes",WWWW[[#This Row],['#_Constructed/Existing hand washing stations at TLS]],0)</f>
        <v>0</v>
      </c>
      <c r="DH418" s="702">
        <f>IF(WWWW[[#This Row],['# Functional hand washing stations during reporting period]]*100&gt;WWWW[[#This Row],[Total PoP ]],WWWW[[#This Row],[Total PoP ]],WWWW[[#This Row],['# Functional hand washing stations during reporting period]]*100)</f>
        <v>0</v>
      </c>
      <c r="DI418" s="702" t="str">
        <f>IF(WWWW[[#This Row],['#_students at TLS_CFS]]="","No","Yes")</f>
        <v>No</v>
      </c>
      <c r="DJ418" s="873">
        <f>VLOOKUP(WWWW[[#This Row],[Site Name]],SiteDB6[[Site Name]:[CCCM Management]],6,FALSE)</f>
        <v>0</v>
      </c>
      <c r="DK418" s="873">
        <f>VLOOKUP(WWWW[[#This Row],[Site Name]],SiteDB6[[Site Name]:[CCCM Focal Agency]],7,FALSE)</f>
        <v>0</v>
      </c>
      <c r="DL418" s="873" t="str">
        <f>VLOOKUP(WWWW[[#This Row],[Site Name]],SiteDB6[[Site Name]:[Location Type 1]],9,FALSE)</f>
        <v>Temporary location</v>
      </c>
      <c r="DM418" s="873" t="str">
        <f>VLOOKUP(WWWW[[#This Row],[Site Name]],SiteDB6[[Site Name]:[Type of Accommodation]],10,FALSE)</f>
        <v>Temporary location</v>
      </c>
      <c r="DN418" s="873">
        <f>VLOOKUP(WWWW[[#This Row],[Site Name]],SiteDB6[[Site Name]:[Ethnic or GCA/NGCA]],11,FALSE)</f>
        <v>0</v>
      </c>
      <c r="DO418" s="873">
        <f>VLOOKUP(WWWW[[#This Row],[Site Name]],SiteDB6[[Site Name]:[Lat]],12,FALSE)</f>
        <v>0</v>
      </c>
      <c r="DP418" s="873">
        <f>VLOOKUP(WWWW[[#This Row],[Site Name]],SiteDB6[[Site Name]:[Long]],13,FALSE)</f>
        <v>0</v>
      </c>
      <c r="DQ418" s="873">
        <f>VLOOKUP(WWWW[[#This Row],[Site Name]],SiteDB6[[Site Name]:[Pcode]],3,FALSE)</f>
        <v>0</v>
      </c>
      <c r="DR418" s="871" t="str">
        <f t="shared" si="13"/>
        <v>Covered</v>
      </c>
      <c r="DS418" s="871"/>
      <c r="DV418" s="661"/>
    </row>
    <row r="419" spans="1:126">
      <c r="A419" s="637" t="s">
        <v>2525</v>
      </c>
      <c r="B419" s="976" t="s">
        <v>317</v>
      </c>
      <c r="C419" s="976" t="s">
        <v>317</v>
      </c>
      <c r="D419" s="864"/>
      <c r="E419" s="865" t="s">
        <v>3014</v>
      </c>
      <c r="F419" s="864" t="s">
        <v>489</v>
      </c>
      <c r="G419" s="866" t="str">
        <f>VLOOKUP(WWWW[[#This Row],[Site Name]],SiteDB6[[Site Name]:[Location Type]],8,FALSE)</f>
        <v>New Temporary Site</v>
      </c>
      <c r="H419" s="864" t="s">
        <v>3168</v>
      </c>
      <c r="I419" s="867">
        <v>11</v>
      </c>
      <c r="J419" s="867">
        <v>46</v>
      </c>
      <c r="K419" s="868"/>
      <c r="L419" s="869"/>
      <c r="M419" s="867"/>
      <c r="N419" s="867"/>
      <c r="O419" s="867"/>
      <c r="P419" s="867"/>
      <c r="Q419" s="870"/>
      <c r="R419" s="867"/>
      <c r="S419" s="867"/>
      <c r="T419" s="379"/>
      <c r="U419" s="867"/>
      <c r="V419" s="867"/>
      <c r="W419" s="867"/>
      <c r="X419" s="867"/>
      <c r="Y419" s="867"/>
      <c r="Z419" s="867"/>
      <c r="AA419" s="867"/>
      <c r="AB419" s="867"/>
      <c r="AC419" s="867"/>
      <c r="AD419" s="867"/>
      <c r="AE419" s="867"/>
      <c r="AF419" s="867"/>
      <c r="AG419" s="867"/>
      <c r="AH419" s="867"/>
      <c r="AI419" s="867"/>
      <c r="AJ419" s="867"/>
      <c r="AK419" s="867"/>
      <c r="AL419" s="867"/>
      <c r="AM419" s="867"/>
      <c r="AN419" s="867"/>
      <c r="AO419" s="871"/>
      <c r="AP419" s="867"/>
      <c r="AQ419" s="867"/>
      <c r="AR419" s="872"/>
      <c r="AS419" s="867"/>
      <c r="AT419" s="867"/>
      <c r="AU419" s="867"/>
      <c r="AV419" s="867"/>
      <c r="AW419" s="867"/>
      <c r="AX419" s="873"/>
      <c r="AY419" s="871"/>
      <c r="AZ419" s="867"/>
      <c r="BA419" s="867"/>
      <c r="BB419" s="867"/>
      <c r="BC419" s="873"/>
      <c r="BD419" s="867"/>
      <c r="BE419" s="867"/>
      <c r="BF419" s="867"/>
      <c r="BG419" s="867"/>
      <c r="BH419" s="867"/>
      <c r="BI419" s="867"/>
      <c r="BJ419" s="867"/>
      <c r="BK419" s="867"/>
      <c r="BL419" s="867"/>
      <c r="BM419" s="873"/>
      <c r="BN419" s="874"/>
      <c r="BO419" s="872"/>
      <c r="BP419" s="873"/>
      <c r="BQ419" s="875" t="str">
        <f>IFERROR(WWWW[[#This Row],['#_Water sources treated]]/WWWW[[#This Row],['#_Water sources tested for contamination]],"no test")</f>
        <v>no test</v>
      </c>
      <c r="BR419" s="872" t="str">
        <f>IFERROR(WWWW[[#This Row],['#_Household received remediation action due to contamination]]/WWWW[[#This Row],['#_Household water samples tested for contamination]],"no test")</f>
        <v>no test</v>
      </c>
      <c r="BS419" s="874" t="str">
        <f>IF(AND(WWWW[[#This Row],[% of water sources treated]]="no test",WWWW[[#This Row],[% Household received corrective actions]]="no test"),"No Test","Tested")</f>
        <v>No Test</v>
      </c>
      <c r="BT419" s="874">
        <f>WWWW[[#This Row],['#_Constructed/existing protected hand dug well]]-WWWW[[#This Row],['#_Non-functional protected hand dug well]]</f>
        <v>0</v>
      </c>
      <c r="BU419" s="874">
        <f>(WWWW[[#This Row],['#_Constructed/Existing tube wells/boreholes/handpumps_WASH_agency]]+WWWW[[#This Row],['#_Non-Cluster partner water tube-wells/boreholes/handpumps]])-WWWW[[#This Row],['#_Non-functional tube wells/boreholes/handpumps]]</f>
        <v>0</v>
      </c>
      <c r="BV419" s="874">
        <f>WWWW[[#This Row],['#_Constructed/Existingwater storage tank with gravity fed reticulation system]]-WWWW[[#This Row],['#_Non-functional storage tank gravity fed reticulation system]]</f>
        <v>0</v>
      </c>
      <c r="BW419" s="874">
        <f>WWWW[[#This Row],['#_Water boating or water trucking]]</f>
        <v>0</v>
      </c>
      <c r="BX419" s="874">
        <f>WWWW[[#This Row],['#_Constructed/Existing water distribution system from river or natural spring]]</f>
        <v>0</v>
      </c>
      <c r="BY419"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19"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19" s="872">
        <f>IF(WWWW[[#This Row],[Location Type 1]]="Village",WWWW[[#This Row],[Access to safe drinking water for Village]],WWWW[[#This Row],[Access to safe drinking water for Camp]])</f>
        <v>0</v>
      </c>
      <c r="CB419" s="870">
        <f>WWWW[[#This Row],[%Equitable and continuous access to sufficient quantity of safe drinking water]]*WWWW[[#This Row],[Total PoP ]]</f>
        <v>0</v>
      </c>
      <c r="CC419" s="872">
        <f>IF((WWWW[[#This Row],['#_Constructed/Existing protected/fenced ponds]]*250)/WWWW[[#This Row],[Total PoP ]]&gt;1,1,(WWWW[[#This Row],['#_Constructed/Existing protected/fenced ponds]]*250)/WWWW[[#This Row],[Total PoP ]])</f>
        <v>0</v>
      </c>
      <c r="CD419" s="870">
        <f>WWWW[[#This Row],[% Access to unimproved water points]]*WWWW[[#This Row],[Total PoP ]]</f>
        <v>0</v>
      </c>
      <c r="CE419"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19"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19" s="870">
        <f>WWWW[[#This Row],[HRP1]]/500</f>
        <v>0</v>
      </c>
      <c r="CH419" s="876">
        <f>1-WWWW[[#This Row],[% Equitable and continuous access to sufficient quantity of domestic water]]</f>
        <v>1</v>
      </c>
      <c r="CI419" s="870">
        <f>WWWW[[#This Row],[%equitable and continuous access to sufficient quantity of safe drinking and domestic water''s GAP]]*WWWW[[#This Row],[Total PoP ]]</f>
        <v>46</v>
      </c>
      <c r="CJ419" s="874">
        <f>IF(WWWW[[#This Row],[Total required water points]]-WWWW[[#This Row],['#Water points coverage]]&lt;0,0,WWWW[[#This Row],[Total required water points]]-WWWW[[#This Row],['#Water points coverage]])</f>
        <v>1</v>
      </c>
      <c r="CK419" s="874">
        <f>ROUND(IF(WWWW[[#This Row],[Total PoP ]]&lt;500,1,WWWW[[#This Row],[Total PoP ]]/500),0)</f>
        <v>1</v>
      </c>
      <c r="CL419" s="874">
        <f>(WWWW[[#This Row],['#_Constructed latrines_by_WASHAgencies]]+WWWW[[#This Row],['#_Non Cluster partner latrines]])-WWWW[[#This Row],['#_Non-functional latrines]]</f>
        <v>0</v>
      </c>
      <c r="CM419"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19"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19"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19" s="874">
        <f>IF(WWWW[[#This Row],[Location Type 1]]="Village","NA",IF(WWWW[[#This Row],['#_Constructed/Existing latrines in TLS]]*50&gt;WWWW[[#This Row],['#_students at TLS_CFS]],WWWW[[#This Row],['#_students at TLS_CFS]],(WWWW[[#This Row],['#_Constructed/Existing latrines in TLS]]*50)))</f>
        <v>0</v>
      </c>
      <c r="CQ419" s="874">
        <f>ROUND(IF(WWWW[[#This Row],[Location Type 1]]="camp",WWWW[[#This Row],[Total PoP ]]/20,IF(WWWW[[#This Row],[Location Type 1]]="Temporary Location",WWWW[[#This Row],[Total PoP ]]/50,(WWWW[[#This Row],[Total PoP ]]/6))),0)</f>
        <v>1</v>
      </c>
      <c r="CR419" s="874">
        <f>IF(WWWW[[#This Row],[Total required Latrines]]-(WWWW[[#This Row],['#_Constructed latrines_by_WASHAgencies]]+WWWW[[#This Row],['#_Non Cluster partner latrines]])&lt;0,0,WWWW[[#This Row],[Total required Latrines]]-(WWWW[[#This Row],['#_Constructed latrines_by_WASHAgencies]]+WWWW[[#This Row],['#_Non Cluster partner latrines]]))</f>
        <v>1</v>
      </c>
      <c r="CS419" s="878">
        <f>1-WWWW[[#This Row],[% people access to functioning Latrine]]</f>
        <v>1</v>
      </c>
      <c r="CT419" s="875">
        <f>IF(OR(WWWW[[#This Row],['#_Non-functional latrines]]="",WWWW[[#This Row],['#_Non-functional latrines]]=0),0,WWWW[[#This Row],['#_Non-functional latrines]]/(WWWW[[#This Row],['#_Constructed latrines_by_WASHAgencies]]+WWWW[[#This Row],['#_Non Cluster partner latrines]]))</f>
        <v>0</v>
      </c>
      <c r="CU419" s="870">
        <f>IF(500*(WWWW[[#This Row],['#_male hygiene promoters]]+WWWW[[#This Row],['#_female hygiene promoters]])&gt;WWWW[[#This Row],[Total PoP ]],WWWW[[#This Row],[Total PoP ]],500*(WWWW[[#This Row],['#_male hygiene promoters]]+WWWW[[#This Row],['#_female hygiene promoters]]))</f>
        <v>0</v>
      </c>
      <c r="CV419"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19"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19" s="874">
        <f>IF(WWWW[[#This Row],['# People with access to soap]]&gt;WWWW[[#This Row],['# People with access to Sanity Pads]],WWWW[[#This Row],['# People with access to soap]],WWWW[[#This Row],['# People with access to Sanity Pads]])</f>
        <v>0</v>
      </c>
      <c r="CY419"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19" s="876">
        <f>IF(WWWW[[#This Row],[HRP3]]/WWWW[[#This Row],[Total PoP ]]&gt;100%,100%,WWWW[[#This Row],[HRP3]]/WWWW[[#This Row],[Total PoP ]])</f>
        <v>0</v>
      </c>
      <c r="DA419" s="875">
        <f>1-WWWW[[#This Row],[Hygiene Coverage%]]</f>
        <v>1</v>
      </c>
      <c r="DB419" s="872">
        <f>WWWW[[#This Row],['# people reached by regular dedicated hygiene promotion_5]]/WWWW[[#This Row],[Total PoP ]]</f>
        <v>0</v>
      </c>
      <c r="DC419" s="872">
        <f>IF(WWWW[[#This Row],['#_households that received standard amount of soap for this quarter]]/WWWW[[#This Row],[Total HH]]&gt;1,1,WWWW[[#This Row],['#_households that received standard amount of soap for this quarter]]/WWWW[[#This Row],[Total HH]])</f>
        <v>0</v>
      </c>
      <c r="DD419" s="872">
        <f>IF(WWWW[[#This Row],['#_households that received standard amount of sanitary pads for this quarter]]/WWWW[[#This Row],[Total HH]]&gt;1,1,WWWW[[#This Row],['#_households that received standard amount of sanitary pads for this quarter]]/WWWW[[#This Row],[Total HH]])</f>
        <v>0</v>
      </c>
      <c r="DE419" s="874">
        <f>WWWW[[#This Row],['#_Constructed/Existing hand washing stations]]-WWWW[[#This Row],['#_Non-Functional_hand_washing_stations]]</f>
        <v>0</v>
      </c>
      <c r="DF419" s="879" t="e">
        <f>WWWW[[#This Row],[Total HH]]*#REF!</f>
        <v>#REF!</v>
      </c>
      <c r="DG419" s="870">
        <f>IF(WWWW[[#This Row],[Is sufficient soap available for TLS? (Yes/No)]]="yes",WWWW[[#This Row],['#_Constructed/Existing hand washing stations at TLS]],0)</f>
        <v>0</v>
      </c>
      <c r="DH419" s="702">
        <f>IF(WWWW[[#This Row],['# Functional hand washing stations during reporting period]]*100&gt;WWWW[[#This Row],[Total PoP ]],WWWW[[#This Row],[Total PoP ]],WWWW[[#This Row],['# Functional hand washing stations during reporting period]]*100)</f>
        <v>0</v>
      </c>
      <c r="DI419" s="702" t="str">
        <f>IF(WWWW[[#This Row],['#_students at TLS_CFS]]="","No","Yes")</f>
        <v>No</v>
      </c>
      <c r="DJ419" s="873">
        <f>VLOOKUP(WWWW[[#This Row],[Site Name]],SiteDB6[[Site Name]:[CCCM Management]],6,FALSE)</f>
        <v>0</v>
      </c>
      <c r="DK419" s="873">
        <f>VLOOKUP(WWWW[[#This Row],[Site Name]],SiteDB6[[Site Name]:[CCCM Focal Agency]],7,FALSE)</f>
        <v>0</v>
      </c>
      <c r="DL419" s="873" t="str">
        <f>VLOOKUP(WWWW[[#This Row],[Site Name]],SiteDB6[[Site Name]:[Location Type 1]],9,FALSE)</f>
        <v>Temporary location</v>
      </c>
      <c r="DM419" s="873" t="str">
        <f>VLOOKUP(WWWW[[#This Row],[Site Name]],SiteDB6[[Site Name]:[Type of Accommodation]],10,FALSE)</f>
        <v>Temporary location</v>
      </c>
      <c r="DN419" s="873">
        <f>VLOOKUP(WWWW[[#This Row],[Site Name]],SiteDB6[[Site Name]:[Ethnic or GCA/NGCA]],11,FALSE)</f>
        <v>0</v>
      </c>
      <c r="DO419" s="873">
        <f>VLOOKUP(WWWW[[#This Row],[Site Name]],SiteDB6[[Site Name]:[Lat]],12,FALSE)</f>
        <v>0</v>
      </c>
      <c r="DP419" s="873">
        <f>VLOOKUP(WWWW[[#This Row],[Site Name]],SiteDB6[[Site Name]:[Long]],13,FALSE)</f>
        <v>0</v>
      </c>
      <c r="DQ419" s="873">
        <f>VLOOKUP(WWWW[[#This Row],[Site Name]],SiteDB6[[Site Name]:[Pcode]],3,FALSE)</f>
        <v>0</v>
      </c>
      <c r="DR419" s="871" t="str">
        <f t="shared" si="13"/>
        <v>Notcovered</v>
      </c>
      <c r="DS419" s="871"/>
      <c r="DV419" s="661"/>
    </row>
    <row r="420" spans="1:126">
      <c r="A420" s="637" t="s">
        <v>2525</v>
      </c>
      <c r="B420" s="976" t="s">
        <v>317</v>
      </c>
      <c r="C420" s="976" t="s">
        <v>317</v>
      </c>
      <c r="D420" s="864"/>
      <c r="E420" s="865" t="s">
        <v>3014</v>
      </c>
      <c r="F420" s="864" t="s">
        <v>489</v>
      </c>
      <c r="G420" s="866" t="str">
        <f>VLOOKUP(WWWW[[#This Row],[Site Name]],SiteDB6[[Site Name]:[Location Type]],8,FALSE)</f>
        <v>New Temporary Site</v>
      </c>
      <c r="H420" s="864" t="s">
        <v>3173</v>
      </c>
      <c r="I420" s="867">
        <v>120</v>
      </c>
      <c r="J420" s="867">
        <v>472</v>
      </c>
      <c r="K420" s="868"/>
      <c r="L420" s="869"/>
      <c r="M420" s="867"/>
      <c r="N420" s="867"/>
      <c r="O420" s="867"/>
      <c r="P420" s="867"/>
      <c r="Q420" s="870"/>
      <c r="R420" s="867"/>
      <c r="S420" s="867"/>
      <c r="T420" s="379"/>
      <c r="U420" s="867"/>
      <c r="V420" s="867"/>
      <c r="W420" s="867"/>
      <c r="X420" s="867"/>
      <c r="Y420" s="867"/>
      <c r="Z420" s="867"/>
      <c r="AA420" s="867"/>
      <c r="AB420" s="867"/>
      <c r="AC420" s="867"/>
      <c r="AD420" s="867"/>
      <c r="AE420" s="867"/>
      <c r="AF420" s="867"/>
      <c r="AG420" s="867"/>
      <c r="AH420" s="867"/>
      <c r="AI420" s="867"/>
      <c r="AJ420" s="867"/>
      <c r="AK420" s="867"/>
      <c r="AL420" s="867"/>
      <c r="AM420" s="867"/>
      <c r="AN420" s="867"/>
      <c r="AO420" s="871"/>
      <c r="AP420" s="867"/>
      <c r="AQ420" s="867"/>
      <c r="AR420" s="872"/>
      <c r="AS420" s="867"/>
      <c r="AT420" s="867"/>
      <c r="AU420" s="867"/>
      <c r="AV420" s="867"/>
      <c r="AW420" s="867"/>
      <c r="AX420" s="873"/>
      <c r="AY420" s="871"/>
      <c r="AZ420" s="867"/>
      <c r="BA420" s="867"/>
      <c r="BB420" s="867"/>
      <c r="BC420" s="873"/>
      <c r="BD420" s="867"/>
      <c r="BE420" s="867"/>
      <c r="BF420" s="867"/>
      <c r="BG420" s="867"/>
      <c r="BH420" s="867"/>
      <c r="BI420" s="867"/>
      <c r="BJ420" s="867"/>
      <c r="BK420" s="867"/>
      <c r="BL420" s="867"/>
      <c r="BM420" s="873"/>
      <c r="BN420" s="874"/>
      <c r="BO420" s="872"/>
      <c r="BP420" s="873"/>
      <c r="BQ420" s="875" t="str">
        <f>IFERROR(WWWW[[#This Row],['#_Water sources treated]]/WWWW[[#This Row],['#_Water sources tested for contamination]],"no test")</f>
        <v>no test</v>
      </c>
      <c r="BR420" s="872" t="str">
        <f>IFERROR(WWWW[[#This Row],['#_Household received remediation action due to contamination]]/WWWW[[#This Row],['#_Household water samples tested for contamination]],"no test")</f>
        <v>no test</v>
      </c>
      <c r="BS420" s="874" t="str">
        <f>IF(AND(WWWW[[#This Row],[% of water sources treated]]="no test",WWWW[[#This Row],[% Household received corrective actions]]="no test"),"No Test","Tested")</f>
        <v>No Test</v>
      </c>
      <c r="BT420" s="874">
        <f>WWWW[[#This Row],['#_Constructed/existing protected hand dug well]]-WWWW[[#This Row],['#_Non-functional protected hand dug well]]</f>
        <v>0</v>
      </c>
      <c r="BU420" s="874">
        <f>(WWWW[[#This Row],['#_Constructed/Existing tube wells/boreholes/handpumps_WASH_agency]]+WWWW[[#This Row],['#_Non-Cluster partner water tube-wells/boreholes/handpumps]])-WWWW[[#This Row],['#_Non-functional tube wells/boreholes/handpumps]]</f>
        <v>0</v>
      </c>
      <c r="BV420" s="874">
        <f>WWWW[[#This Row],['#_Constructed/Existingwater storage tank with gravity fed reticulation system]]-WWWW[[#This Row],['#_Non-functional storage tank gravity fed reticulation system]]</f>
        <v>0</v>
      </c>
      <c r="BW420" s="874">
        <f>WWWW[[#This Row],['#_Water boating or water trucking]]</f>
        <v>0</v>
      </c>
      <c r="BX420" s="874">
        <f>WWWW[[#This Row],['#_Constructed/Existing water distribution system from river or natural spring]]</f>
        <v>0</v>
      </c>
      <c r="BY420"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20"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20" s="872">
        <f>IF(WWWW[[#This Row],[Location Type 1]]="Village",WWWW[[#This Row],[Access to safe drinking water for Village]],WWWW[[#This Row],[Access to safe drinking water for Camp]])</f>
        <v>0</v>
      </c>
      <c r="CB420" s="870">
        <f>WWWW[[#This Row],[%Equitable and continuous access to sufficient quantity of safe drinking water]]*WWWW[[#This Row],[Total PoP ]]</f>
        <v>0</v>
      </c>
      <c r="CC420" s="872">
        <f>IF((WWWW[[#This Row],['#_Constructed/Existing protected/fenced ponds]]*250)/WWWW[[#This Row],[Total PoP ]]&gt;1,1,(WWWW[[#This Row],['#_Constructed/Existing protected/fenced ponds]]*250)/WWWW[[#This Row],[Total PoP ]])</f>
        <v>0</v>
      </c>
      <c r="CD420" s="870">
        <f>WWWW[[#This Row],[% Access to unimproved water points]]*WWWW[[#This Row],[Total PoP ]]</f>
        <v>0</v>
      </c>
      <c r="CE420"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20"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20" s="870">
        <f>WWWW[[#This Row],[HRP1]]/500</f>
        <v>0</v>
      </c>
      <c r="CH420" s="876">
        <f>1-WWWW[[#This Row],[% Equitable and continuous access to sufficient quantity of domestic water]]</f>
        <v>1</v>
      </c>
      <c r="CI420" s="870">
        <f>WWWW[[#This Row],[%equitable and continuous access to sufficient quantity of safe drinking and domestic water''s GAP]]*WWWW[[#This Row],[Total PoP ]]</f>
        <v>472</v>
      </c>
      <c r="CJ420" s="874">
        <f>IF(WWWW[[#This Row],[Total required water points]]-WWWW[[#This Row],['#Water points coverage]]&lt;0,0,WWWW[[#This Row],[Total required water points]]-WWWW[[#This Row],['#Water points coverage]])</f>
        <v>1</v>
      </c>
      <c r="CK420" s="874">
        <f>ROUND(IF(WWWW[[#This Row],[Total PoP ]]&lt;500,1,WWWW[[#This Row],[Total PoP ]]/500),0)</f>
        <v>1</v>
      </c>
      <c r="CL420" s="874">
        <f>(WWWW[[#This Row],['#_Constructed latrines_by_WASHAgencies]]+WWWW[[#This Row],['#_Non Cluster partner latrines]])-WWWW[[#This Row],['#_Non-functional latrines]]</f>
        <v>0</v>
      </c>
      <c r="CM420"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20"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20"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20" s="874">
        <f>IF(WWWW[[#This Row],[Location Type 1]]="Village","NA",IF(WWWW[[#This Row],['#_Constructed/Existing latrines in TLS]]*50&gt;WWWW[[#This Row],['#_students at TLS_CFS]],WWWW[[#This Row],['#_students at TLS_CFS]],(WWWW[[#This Row],['#_Constructed/Existing latrines in TLS]]*50)))</f>
        <v>0</v>
      </c>
      <c r="CQ420" s="874">
        <f>ROUND(IF(WWWW[[#This Row],[Location Type 1]]="camp",WWWW[[#This Row],[Total PoP ]]/20,IF(WWWW[[#This Row],[Location Type 1]]="Temporary Location",WWWW[[#This Row],[Total PoP ]]/50,(WWWW[[#This Row],[Total PoP ]]/6))),0)</f>
        <v>9</v>
      </c>
      <c r="CR420" s="874">
        <f>IF(WWWW[[#This Row],[Total required Latrines]]-(WWWW[[#This Row],['#_Constructed latrines_by_WASHAgencies]]+WWWW[[#This Row],['#_Non Cluster partner latrines]])&lt;0,0,WWWW[[#This Row],[Total required Latrines]]-(WWWW[[#This Row],['#_Constructed latrines_by_WASHAgencies]]+WWWW[[#This Row],['#_Non Cluster partner latrines]]))</f>
        <v>9</v>
      </c>
      <c r="CS420" s="878">
        <f>1-WWWW[[#This Row],[% people access to functioning Latrine]]</f>
        <v>1</v>
      </c>
      <c r="CT420" s="875">
        <f>IF(OR(WWWW[[#This Row],['#_Non-functional latrines]]="",WWWW[[#This Row],['#_Non-functional latrines]]=0),0,WWWW[[#This Row],['#_Non-functional latrines]]/(WWWW[[#This Row],['#_Constructed latrines_by_WASHAgencies]]+WWWW[[#This Row],['#_Non Cluster partner latrines]]))</f>
        <v>0</v>
      </c>
      <c r="CU420" s="870">
        <f>IF(500*(WWWW[[#This Row],['#_male hygiene promoters]]+WWWW[[#This Row],['#_female hygiene promoters]])&gt;WWWW[[#This Row],[Total PoP ]],WWWW[[#This Row],[Total PoP ]],500*(WWWW[[#This Row],['#_male hygiene promoters]]+WWWW[[#This Row],['#_female hygiene promoters]]))</f>
        <v>0</v>
      </c>
      <c r="CV420"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20"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20" s="874">
        <f>IF(WWWW[[#This Row],['# People with access to soap]]&gt;WWWW[[#This Row],['# People with access to Sanity Pads]],WWWW[[#This Row],['# People with access to soap]],WWWW[[#This Row],['# People with access to Sanity Pads]])</f>
        <v>0</v>
      </c>
      <c r="CY420"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20" s="876">
        <f>IF(WWWW[[#This Row],[HRP3]]/WWWW[[#This Row],[Total PoP ]]&gt;100%,100%,WWWW[[#This Row],[HRP3]]/WWWW[[#This Row],[Total PoP ]])</f>
        <v>0</v>
      </c>
      <c r="DA420" s="875">
        <f>1-WWWW[[#This Row],[Hygiene Coverage%]]</f>
        <v>1</v>
      </c>
      <c r="DB420" s="872">
        <f>WWWW[[#This Row],['# people reached by regular dedicated hygiene promotion_5]]/WWWW[[#This Row],[Total PoP ]]</f>
        <v>0</v>
      </c>
      <c r="DC420" s="872">
        <f>IF(WWWW[[#This Row],['#_households that received standard amount of soap for this quarter]]/WWWW[[#This Row],[Total HH]]&gt;1,1,WWWW[[#This Row],['#_households that received standard amount of soap for this quarter]]/WWWW[[#This Row],[Total HH]])</f>
        <v>0</v>
      </c>
      <c r="DD420" s="872">
        <f>IF(WWWW[[#This Row],['#_households that received standard amount of sanitary pads for this quarter]]/WWWW[[#This Row],[Total HH]]&gt;1,1,WWWW[[#This Row],['#_households that received standard amount of sanitary pads for this quarter]]/WWWW[[#This Row],[Total HH]])</f>
        <v>0</v>
      </c>
      <c r="DE420" s="874">
        <f>WWWW[[#This Row],['#_Constructed/Existing hand washing stations]]-WWWW[[#This Row],['#_Non-Functional_hand_washing_stations]]</f>
        <v>0</v>
      </c>
      <c r="DF420" s="879" t="e">
        <f>WWWW[[#This Row],[Total HH]]*#REF!</f>
        <v>#REF!</v>
      </c>
      <c r="DG420" s="870">
        <f>IF(WWWW[[#This Row],[Is sufficient soap available for TLS? (Yes/No)]]="yes",WWWW[[#This Row],['#_Constructed/Existing hand washing stations at TLS]],0)</f>
        <v>0</v>
      </c>
      <c r="DH420" s="702">
        <f>IF(WWWW[[#This Row],['# Functional hand washing stations during reporting period]]*100&gt;WWWW[[#This Row],[Total PoP ]],WWWW[[#This Row],[Total PoP ]],WWWW[[#This Row],['# Functional hand washing stations during reporting period]]*100)</f>
        <v>0</v>
      </c>
      <c r="DI420" s="702" t="str">
        <f>IF(WWWW[[#This Row],['#_students at TLS_CFS]]="","No","Yes")</f>
        <v>No</v>
      </c>
      <c r="DJ420" s="873">
        <f>VLOOKUP(WWWW[[#This Row],[Site Name]],SiteDB6[[Site Name]:[CCCM Management]],6,FALSE)</f>
        <v>0</v>
      </c>
      <c r="DK420" s="873">
        <f>VLOOKUP(WWWW[[#This Row],[Site Name]],SiteDB6[[Site Name]:[CCCM Focal Agency]],7,FALSE)</f>
        <v>0</v>
      </c>
      <c r="DL420" s="873" t="str">
        <f>VLOOKUP(WWWW[[#This Row],[Site Name]],SiteDB6[[Site Name]:[Location Type 1]],9,FALSE)</f>
        <v>Temporary location</v>
      </c>
      <c r="DM420" s="873" t="str">
        <f>VLOOKUP(WWWW[[#This Row],[Site Name]],SiteDB6[[Site Name]:[Type of Accommodation]],10,FALSE)</f>
        <v>Temporary location</v>
      </c>
      <c r="DN420" s="873">
        <f>VLOOKUP(WWWW[[#This Row],[Site Name]],SiteDB6[[Site Name]:[Ethnic or GCA/NGCA]],11,FALSE)</f>
        <v>0</v>
      </c>
      <c r="DO420" s="873">
        <f>VLOOKUP(WWWW[[#This Row],[Site Name]],SiteDB6[[Site Name]:[Lat]],12,FALSE)</f>
        <v>20.6698608398438</v>
      </c>
      <c r="DP420" s="873">
        <f>VLOOKUP(WWWW[[#This Row],[Site Name]],SiteDB6[[Site Name]:[Long]],13,FALSE)</f>
        <v>93.087516784667997</v>
      </c>
      <c r="DQ420" s="873">
        <f>VLOOKUP(WWWW[[#This Row],[Site Name]],SiteDB6[[Site Name]:[Pcode]],3,FALSE)</f>
        <v>196636</v>
      </c>
      <c r="DR420" s="871" t="str">
        <f t="shared" si="13"/>
        <v>Notcovered</v>
      </c>
      <c r="DS420" s="871"/>
      <c r="DV420" s="661"/>
    </row>
    <row r="421" spans="1:126">
      <c r="A421" s="637" t="s">
        <v>2525</v>
      </c>
      <c r="B421" s="976" t="s">
        <v>317</v>
      </c>
      <c r="C421" s="976" t="s">
        <v>317</v>
      </c>
      <c r="D421" s="864"/>
      <c r="E421" s="865" t="s">
        <v>3014</v>
      </c>
      <c r="F421" s="864" t="s">
        <v>489</v>
      </c>
      <c r="G421" s="866" t="str">
        <f>VLOOKUP(WWWW[[#This Row],[Site Name]],SiteDB6[[Site Name]:[Location Type]],8,FALSE)</f>
        <v>New Temporary Site</v>
      </c>
      <c r="H421" s="864" t="s">
        <v>3170</v>
      </c>
      <c r="I421" s="867">
        <v>132</v>
      </c>
      <c r="J421" s="867">
        <v>492</v>
      </c>
      <c r="K421" s="868"/>
      <c r="L421" s="869"/>
      <c r="M421" s="867"/>
      <c r="N421" s="867"/>
      <c r="O421" s="867"/>
      <c r="P421" s="867"/>
      <c r="Q421" s="870"/>
      <c r="R421" s="867"/>
      <c r="S421" s="867"/>
      <c r="T421" s="379"/>
      <c r="U421" s="867"/>
      <c r="V421" s="867"/>
      <c r="W421" s="867"/>
      <c r="X421" s="867"/>
      <c r="Y421" s="867"/>
      <c r="Z421" s="867"/>
      <c r="AA421" s="867"/>
      <c r="AB421" s="867"/>
      <c r="AC421" s="867"/>
      <c r="AD421" s="867"/>
      <c r="AE421" s="867"/>
      <c r="AF421" s="867"/>
      <c r="AG421" s="867"/>
      <c r="AH421" s="867"/>
      <c r="AI421" s="867"/>
      <c r="AJ421" s="867"/>
      <c r="AK421" s="867"/>
      <c r="AL421" s="867"/>
      <c r="AM421" s="867"/>
      <c r="AN421" s="867"/>
      <c r="AO421" s="871"/>
      <c r="AP421" s="867"/>
      <c r="AQ421" s="867"/>
      <c r="AR421" s="872"/>
      <c r="AS421" s="867"/>
      <c r="AT421" s="867"/>
      <c r="AU421" s="867"/>
      <c r="AV421" s="867"/>
      <c r="AW421" s="867"/>
      <c r="AX421" s="873"/>
      <c r="AY421" s="871"/>
      <c r="AZ421" s="867"/>
      <c r="BA421" s="867"/>
      <c r="BB421" s="867"/>
      <c r="BC421" s="873"/>
      <c r="BD421" s="867"/>
      <c r="BE421" s="867"/>
      <c r="BF421" s="867"/>
      <c r="BG421" s="867"/>
      <c r="BH421" s="867"/>
      <c r="BI421" s="867"/>
      <c r="BJ421" s="867"/>
      <c r="BK421" s="867"/>
      <c r="BL421" s="867"/>
      <c r="BM421" s="873"/>
      <c r="BN421" s="874"/>
      <c r="BO421" s="872"/>
      <c r="BP421" s="873"/>
      <c r="BQ421" s="875" t="str">
        <f>IFERROR(WWWW[[#This Row],['#_Water sources treated]]/WWWW[[#This Row],['#_Water sources tested for contamination]],"no test")</f>
        <v>no test</v>
      </c>
      <c r="BR421" s="872" t="str">
        <f>IFERROR(WWWW[[#This Row],['#_Household received remediation action due to contamination]]/WWWW[[#This Row],['#_Household water samples tested for contamination]],"no test")</f>
        <v>no test</v>
      </c>
      <c r="BS421" s="874" t="str">
        <f>IF(AND(WWWW[[#This Row],[% of water sources treated]]="no test",WWWW[[#This Row],[% Household received corrective actions]]="no test"),"No Test","Tested")</f>
        <v>No Test</v>
      </c>
      <c r="BT421" s="874">
        <f>WWWW[[#This Row],['#_Constructed/existing protected hand dug well]]-WWWW[[#This Row],['#_Non-functional protected hand dug well]]</f>
        <v>0</v>
      </c>
      <c r="BU421" s="874">
        <f>(WWWW[[#This Row],['#_Constructed/Existing tube wells/boreholes/handpumps_WASH_agency]]+WWWW[[#This Row],['#_Non-Cluster partner water tube-wells/boreholes/handpumps]])-WWWW[[#This Row],['#_Non-functional tube wells/boreholes/handpumps]]</f>
        <v>0</v>
      </c>
      <c r="BV421" s="874">
        <f>WWWW[[#This Row],['#_Constructed/Existingwater storage tank with gravity fed reticulation system]]-WWWW[[#This Row],['#_Non-functional storage tank gravity fed reticulation system]]</f>
        <v>0</v>
      </c>
      <c r="BW421" s="874">
        <f>WWWW[[#This Row],['#_Water boating or water trucking]]</f>
        <v>0</v>
      </c>
      <c r="BX421" s="874">
        <f>WWWW[[#This Row],['#_Constructed/Existing water distribution system from river or natural spring]]</f>
        <v>0</v>
      </c>
      <c r="BY421"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21"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21" s="872">
        <f>IF(WWWW[[#This Row],[Location Type 1]]="Village",WWWW[[#This Row],[Access to safe drinking water for Village]],WWWW[[#This Row],[Access to safe drinking water for Camp]])</f>
        <v>0</v>
      </c>
      <c r="CB421" s="870">
        <f>WWWW[[#This Row],[%Equitable and continuous access to sufficient quantity of safe drinking water]]*WWWW[[#This Row],[Total PoP ]]</f>
        <v>0</v>
      </c>
      <c r="CC421" s="872">
        <f>IF((WWWW[[#This Row],['#_Constructed/Existing protected/fenced ponds]]*250)/WWWW[[#This Row],[Total PoP ]]&gt;1,1,(WWWW[[#This Row],['#_Constructed/Existing protected/fenced ponds]]*250)/WWWW[[#This Row],[Total PoP ]])</f>
        <v>0</v>
      </c>
      <c r="CD421" s="870">
        <f>WWWW[[#This Row],[% Access to unimproved water points]]*WWWW[[#This Row],[Total PoP ]]</f>
        <v>0</v>
      </c>
      <c r="CE421"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21"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21" s="870">
        <f>WWWW[[#This Row],[HRP1]]/500</f>
        <v>0</v>
      </c>
      <c r="CH421" s="876">
        <f>1-WWWW[[#This Row],[% Equitable and continuous access to sufficient quantity of domestic water]]</f>
        <v>1</v>
      </c>
      <c r="CI421" s="870">
        <f>WWWW[[#This Row],[%equitable and continuous access to sufficient quantity of safe drinking and domestic water''s GAP]]*WWWW[[#This Row],[Total PoP ]]</f>
        <v>492</v>
      </c>
      <c r="CJ421" s="874">
        <f>IF(WWWW[[#This Row],[Total required water points]]-WWWW[[#This Row],['#Water points coverage]]&lt;0,0,WWWW[[#This Row],[Total required water points]]-WWWW[[#This Row],['#Water points coverage]])</f>
        <v>1</v>
      </c>
      <c r="CK421" s="874">
        <f>ROUND(IF(WWWW[[#This Row],[Total PoP ]]&lt;500,1,WWWW[[#This Row],[Total PoP ]]/500),0)</f>
        <v>1</v>
      </c>
      <c r="CL421" s="874">
        <f>(WWWW[[#This Row],['#_Constructed latrines_by_WASHAgencies]]+WWWW[[#This Row],['#_Non Cluster partner latrines]])-WWWW[[#This Row],['#_Non-functional latrines]]</f>
        <v>0</v>
      </c>
      <c r="CM421"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21"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21"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21" s="874">
        <f>IF(WWWW[[#This Row],[Location Type 1]]="Village","NA",IF(WWWW[[#This Row],['#_Constructed/Existing latrines in TLS]]*50&gt;WWWW[[#This Row],['#_students at TLS_CFS]],WWWW[[#This Row],['#_students at TLS_CFS]],(WWWW[[#This Row],['#_Constructed/Existing latrines in TLS]]*50)))</f>
        <v>0</v>
      </c>
      <c r="CQ421" s="874">
        <f>ROUND(IF(WWWW[[#This Row],[Location Type 1]]="camp",WWWW[[#This Row],[Total PoP ]]/20,IF(WWWW[[#This Row],[Location Type 1]]="Temporary Location",WWWW[[#This Row],[Total PoP ]]/50,(WWWW[[#This Row],[Total PoP ]]/6))),0)</f>
        <v>10</v>
      </c>
      <c r="CR421" s="874">
        <f>IF(WWWW[[#This Row],[Total required Latrines]]-(WWWW[[#This Row],['#_Constructed latrines_by_WASHAgencies]]+WWWW[[#This Row],['#_Non Cluster partner latrines]])&lt;0,0,WWWW[[#This Row],[Total required Latrines]]-(WWWW[[#This Row],['#_Constructed latrines_by_WASHAgencies]]+WWWW[[#This Row],['#_Non Cluster partner latrines]]))</f>
        <v>10</v>
      </c>
      <c r="CS421" s="878">
        <f>1-WWWW[[#This Row],[% people access to functioning Latrine]]</f>
        <v>1</v>
      </c>
      <c r="CT421" s="875">
        <f>IF(OR(WWWW[[#This Row],['#_Non-functional latrines]]="",WWWW[[#This Row],['#_Non-functional latrines]]=0),0,WWWW[[#This Row],['#_Non-functional latrines]]/(WWWW[[#This Row],['#_Constructed latrines_by_WASHAgencies]]+WWWW[[#This Row],['#_Non Cluster partner latrines]]))</f>
        <v>0</v>
      </c>
      <c r="CU421" s="870">
        <f>IF(500*(WWWW[[#This Row],['#_male hygiene promoters]]+WWWW[[#This Row],['#_female hygiene promoters]])&gt;WWWW[[#This Row],[Total PoP ]],WWWW[[#This Row],[Total PoP ]],500*(WWWW[[#This Row],['#_male hygiene promoters]]+WWWW[[#This Row],['#_female hygiene promoters]]))</f>
        <v>0</v>
      </c>
      <c r="CV421"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21"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21" s="874">
        <f>IF(WWWW[[#This Row],['# People with access to soap]]&gt;WWWW[[#This Row],['# People with access to Sanity Pads]],WWWW[[#This Row],['# People with access to soap]],WWWW[[#This Row],['# People with access to Sanity Pads]])</f>
        <v>0</v>
      </c>
      <c r="CY421"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21" s="876">
        <f>IF(WWWW[[#This Row],[HRP3]]/WWWW[[#This Row],[Total PoP ]]&gt;100%,100%,WWWW[[#This Row],[HRP3]]/WWWW[[#This Row],[Total PoP ]])</f>
        <v>0</v>
      </c>
      <c r="DA421" s="875">
        <f>1-WWWW[[#This Row],[Hygiene Coverage%]]</f>
        <v>1</v>
      </c>
      <c r="DB421" s="872">
        <f>WWWW[[#This Row],['# people reached by regular dedicated hygiene promotion_5]]/WWWW[[#This Row],[Total PoP ]]</f>
        <v>0</v>
      </c>
      <c r="DC421" s="872">
        <f>IF(WWWW[[#This Row],['#_households that received standard amount of soap for this quarter]]/WWWW[[#This Row],[Total HH]]&gt;1,1,WWWW[[#This Row],['#_households that received standard amount of soap for this quarter]]/WWWW[[#This Row],[Total HH]])</f>
        <v>0</v>
      </c>
      <c r="DD421" s="872">
        <f>IF(WWWW[[#This Row],['#_households that received standard amount of sanitary pads for this quarter]]/WWWW[[#This Row],[Total HH]]&gt;1,1,WWWW[[#This Row],['#_households that received standard amount of sanitary pads for this quarter]]/WWWW[[#This Row],[Total HH]])</f>
        <v>0</v>
      </c>
      <c r="DE421" s="874">
        <f>WWWW[[#This Row],['#_Constructed/Existing hand washing stations]]-WWWW[[#This Row],['#_Non-Functional_hand_washing_stations]]</f>
        <v>0</v>
      </c>
      <c r="DF421" s="879" t="e">
        <f>WWWW[[#This Row],[Total HH]]*#REF!</f>
        <v>#REF!</v>
      </c>
      <c r="DG421" s="870">
        <f>IF(WWWW[[#This Row],[Is sufficient soap available for TLS? (Yes/No)]]="yes",WWWW[[#This Row],['#_Constructed/Existing hand washing stations at TLS]],0)</f>
        <v>0</v>
      </c>
      <c r="DH421" s="702">
        <f>IF(WWWW[[#This Row],['# Functional hand washing stations during reporting period]]*100&gt;WWWW[[#This Row],[Total PoP ]],WWWW[[#This Row],[Total PoP ]],WWWW[[#This Row],['# Functional hand washing stations during reporting period]]*100)</f>
        <v>0</v>
      </c>
      <c r="DI421" s="702" t="str">
        <f>IF(WWWW[[#This Row],['#_students at TLS_CFS]]="","No","Yes")</f>
        <v>No</v>
      </c>
      <c r="DJ421" s="873">
        <f>VLOOKUP(WWWW[[#This Row],[Site Name]],SiteDB6[[Site Name]:[CCCM Management]],6,FALSE)</f>
        <v>0</v>
      </c>
      <c r="DK421" s="873">
        <f>VLOOKUP(WWWW[[#This Row],[Site Name]],SiteDB6[[Site Name]:[CCCM Focal Agency]],7,FALSE)</f>
        <v>0</v>
      </c>
      <c r="DL421" s="873" t="str">
        <f>VLOOKUP(WWWW[[#This Row],[Site Name]],SiteDB6[[Site Name]:[Location Type 1]],9,FALSE)</f>
        <v>Temporary location</v>
      </c>
      <c r="DM421" s="873" t="str">
        <f>VLOOKUP(WWWW[[#This Row],[Site Name]],SiteDB6[[Site Name]:[Type of Accommodation]],10,FALSE)</f>
        <v>Temporary location</v>
      </c>
      <c r="DN421" s="873">
        <f>VLOOKUP(WWWW[[#This Row],[Site Name]],SiteDB6[[Site Name]:[Ethnic or GCA/NGCA]],11,FALSE)</f>
        <v>0</v>
      </c>
      <c r="DO421" s="873">
        <f>VLOOKUP(WWWW[[#This Row],[Site Name]],SiteDB6[[Site Name]:[Lat]],12,FALSE)</f>
        <v>20.666166305541999</v>
      </c>
      <c r="DP421" s="873">
        <f>VLOOKUP(WWWW[[#This Row],[Site Name]],SiteDB6[[Site Name]:[Long]],13,FALSE)</f>
        <v>93.094825744628906</v>
      </c>
      <c r="DQ421" s="873">
        <f>VLOOKUP(WWWW[[#This Row],[Site Name]],SiteDB6[[Site Name]:[Pcode]],3,FALSE)</f>
        <v>196622</v>
      </c>
      <c r="DR421" s="871" t="str">
        <f t="shared" si="13"/>
        <v>Notcovered</v>
      </c>
      <c r="DS421" s="871"/>
      <c r="DV421" s="661"/>
    </row>
    <row r="422" spans="1:126">
      <c r="A422" s="637" t="s">
        <v>2525</v>
      </c>
      <c r="B422" s="863" t="s">
        <v>3236</v>
      </c>
      <c r="C422" s="863" t="s">
        <v>3163</v>
      </c>
      <c r="D422" s="864"/>
      <c r="E422" s="865" t="s">
        <v>3014</v>
      </c>
      <c r="F422" s="864" t="s">
        <v>330</v>
      </c>
      <c r="G422" s="866" t="str">
        <f>VLOOKUP(WWWW[[#This Row],[Site Name]],SiteDB6[[Site Name]:[Location Type]],8,FALSE)</f>
        <v>New Temporary Site</v>
      </c>
      <c r="H422" s="864" t="s">
        <v>3164</v>
      </c>
      <c r="I422" s="867">
        <v>107</v>
      </c>
      <c r="J422" s="867">
        <v>487</v>
      </c>
      <c r="K422" s="868"/>
      <c r="L422" s="869"/>
      <c r="M422" s="867"/>
      <c r="N422" s="867"/>
      <c r="O422" s="867"/>
      <c r="P422" s="867"/>
      <c r="Q422" s="870"/>
      <c r="R422" s="867"/>
      <c r="S422" s="867"/>
      <c r="T422" s="379"/>
      <c r="U422" s="867"/>
      <c r="V422" s="867"/>
      <c r="W422" s="867"/>
      <c r="X422" s="867"/>
      <c r="Y422" s="867"/>
      <c r="Z422" s="867"/>
      <c r="AA422" s="867"/>
      <c r="AB422" s="867"/>
      <c r="AC422" s="867"/>
      <c r="AD422" s="867"/>
      <c r="AE422" s="867"/>
      <c r="AF422" s="867"/>
      <c r="AG422" s="867"/>
      <c r="AH422" s="867"/>
      <c r="AI422" s="867"/>
      <c r="AJ422" s="867"/>
      <c r="AK422" s="867"/>
      <c r="AL422" s="867"/>
      <c r="AM422" s="867"/>
      <c r="AN422" s="867"/>
      <c r="AO422" s="871"/>
      <c r="AP422" s="867"/>
      <c r="AQ422" s="867"/>
      <c r="AR422" s="872"/>
      <c r="AS422" s="867"/>
      <c r="AT422" s="867"/>
      <c r="AU422" s="867"/>
      <c r="AV422" s="867"/>
      <c r="AW422" s="867"/>
      <c r="AX422" s="873"/>
      <c r="AY422" s="871"/>
      <c r="AZ422" s="867"/>
      <c r="BA422" s="867"/>
      <c r="BB422" s="867"/>
      <c r="BC422" s="873"/>
      <c r="BD422" s="867"/>
      <c r="BE422" s="867"/>
      <c r="BF422" s="867"/>
      <c r="BG422" s="867"/>
      <c r="BH422" s="867"/>
      <c r="BI422" s="867"/>
      <c r="BJ422" s="867"/>
      <c r="BK422" s="867">
        <v>377</v>
      </c>
      <c r="BL422" s="867">
        <v>377</v>
      </c>
      <c r="BM422" s="873"/>
      <c r="BN422" s="874"/>
      <c r="BO422" s="872"/>
      <c r="BP422" s="873"/>
      <c r="BQ422" s="875" t="str">
        <f>IFERROR(WWWW[[#This Row],['#_Water sources treated]]/WWWW[[#This Row],['#_Water sources tested for contamination]],"no test")</f>
        <v>no test</v>
      </c>
      <c r="BR422" s="872" t="str">
        <f>IFERROR(WWWW[[#This Row],['#_Household received remediation action due to contamination]]/WWWW[[#This Row],['#_Household water samples tested for contamination]],"no test")</f>
        <v>no test</v>
      </c>
      <c r="BS422" s="874" t="str">
        <f>IF(AND(WWWW[[#This Row],[% of water sources treated]]="no test",WWWW[[#This Row],[% Household received corrective actions]]="no test"),"No Test","Tested")</f>
        <v>No Test</v>
      </c>
      <c r="BT422" s="874">
        <f>WWWW[[#This Row],['#_Constructed/existing protected hand dug well]]-WWWW[[#This Row],['#_Non-functional protected hand dug well]]</f>
        <v>0</v>
      </c>
      <c r="BU422" s="874">
        <f>(WWWW[[#This Row],['#_Constructed/Existing tube wells/boreholes/handpumps_WASH_agency]]+WWWW[[#This Row],['#_Non-Cluster partner water tube-wells/boreholes/handpumps]])-WWWW[[#This Row],['#_Non-functional tube wells/boreholes/handpumps]]</f>
        <v>0</v>
      </c>
      <c r="BV422" s="874">
        <f>WWWW[[#This Row],['#_Constructed/Existingwater storage tank with gravity fed reticulation system]]-WWWW[[#This Row],['#_Non-functional storage tank gravity fed reticulation system]]</f>
        <v>0</v>
      </c>
      <c r="BW422" s="874">
        <f>WWWW[[#This Row],['#_Water boating or water trucking]]</f>
        <v>0</v>
      </c>
      <c r="BX422" s="874">
        <f>WWWW[[#This Row],['#_Constructed/Existing water distribution system from river or natural spring]]</f>
        <v>0</v>
      </c>
      <c r="BY422"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22"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22" s="872">
        <f>IF(WWWW[[#This Row],[Location Type 1]]="Village",WWWW[[#This Row],[Access to safe drinking water for Village]],WWWW[[#This Row],[Access to safe drinking water for Camp]])</f>
        <v>0</v>
      </c>
      <c r="CB422" s="870">
        <f>WWWW[[#This Row],[%Equitable and continuous access to sufficient quantity of safe drinking water]]*WWWW[[#This Row],[Total PoP ]]</f>
        <v>0</v>
      </c>
      <c r="CC422" s="872">
        <f>IF((WWWW[[#This Row],['#_Constructed/Existing protected/fenced ponds]]*250)/WWWW[[#This Row],[Total PoP ]]&gt;1,1,(WWWW[[#This Row],['#_Constructed/Existing protected/fenced ponds]]*250)/WWWW[[#This Row],[Total PoP ]])</f>
        <v>0</v>
      </c>
      <c r="CD422" s="870">
        <f>WWWW[[#This Row],[% Access to unimproved water points]]*WWWW[[#This Row],[Total PoP ]]</f>
        <v>0</v>
      </c>
      <c r="CE422"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22"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22" s="870">
        <f>WWWW[[#This Row],[HRP1]]/500</f>
        <v>0</v>
      </c>
      <c r="CH422" s="876">
        <f>1-WWWW[[#This Row],[% Equitable and continuous access to sufficient quantity of domestic water]]</f>
        <v>1</v>
      </c>
      <c r="CI422" s="870">
        <f>WWWW[[#This Row],[%equitable and continuous access to sufficient quantity of safe drinking and domestic water''s GAP]]*WWWW[[#This Row],[Total PoP ]]</f>
        <v>487</v>
      </c>
      <c r="CJ422" s="874">
        <f>IF(WWWW[[#This Row],[Total required water points]]-WWWW[[#This Row],['#Water points coverage]]&lt;0,0,WWWW[[#This Row],[Total required water points]]-WWWW[[#This Row],['#Water points coverage]])</f>
        <v>1</v>
      </c>
      <c r="CK422" s="874">
        <f>ROUND(IF(WWWW[[#This Row],[Total PoP ]]&lt;500,1,WWWW[[#This Row],[Total PoP ]]/500),0)</f>
        <v>1</v>
      </c>
      <c r="CL422" s="874">
        <f>(WWWW[[#This Row],['#_Constructed latrines_by_WASHAgencies]]+WWWW[[#This Row],['#_Non Cluster partner latrines]])-WWWW[[#This Row],['#_Non-functional latrines]]</f>
        <v>0</v>
      </c>
      <c r="CM422"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22"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22"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22" s="874">
        <f>IF(WWWW[[#This Row],[Location Type 1]]="Village","NA",IF(WWWW[[#This Row],['#_Constructed/Existing latrines in TLS]]*50&gt;WWWW[[#This Row],['#_students at TLS_CFS]],WWWW[[#This Row],['#_students at TLS_CFS]],(WWWW[[#This Row],['#_Constructed/Existing latrines in TLS]]*50)))</f>
        <v>0</v>
      </c>
      <c r="CQ422" s="874">
        <f>ROUND(IF(WWWW[[#This Row],[Location Type 1]]="camp",WWWW[[#This Row],[Total PoP ]]/20,IF(WWWW[[#This Row],[Location Type 1]]="Temporary Location",WWWW[[#This Row],[Total PoP ]]/50,(WWWW[[#This Row],[Total PoP ]]/6))),0)</f>
        <v>10</v>
      </c>
      <c r="CR422" s="874">
        <f>IF(WWWW[[#This Row],[Total required Latrines]]-(WWWW[[#This Row],['#_Constructed latrines_by_WASHAgencies]]+WWWW[[#This Row],['#_Non Cluster partner latrines]])&lt;0,0,WWWW[[#This Row],[Total required Latrines]]-(WWWW[[#This Row],['#_Constructed latrines_by_WASHAgencies]]+WWWW[[#This Row],['#_Non Cluster partner latrines]]))</f>
        <v>10</v>
      </c>
      <c r="CS422" s="878">
        <f>1-WWWW[[#This Row],[% people access to functioning Latrine]]</f>
        <v>1</v>
      </c>
      <c r="CT422" s="875">
        <f>IF(OR(WWWW[[#This Row],['#_Non-functional latrines]]="",WWWW[[#This Row],['#_Non-functional latrines]]=0),0,WWWW[[#This Row],['#_Non-functional latrines]]/(WWWW[[#This Row],['#_Constructed latrines_by_WASHAgencies]]+WWWW[[#This Row],['#_Non Cluster partner latrines]]))</f>
        <v>0</v>
      </c>
      <c r="CU422" s="870">
        <f>IF(500*(WWWW[[#This Row],['#_male hygiene promoters]]+WWWW[[#This Row],['#_female hygiene promoters]])&gt;WWWW[[#This Row],[Total PoP ]],WWWW[[#This Row],[Total PoP ]],500*(WWWW[[#This Row],['#_male hygiene promoters]]+WWWW[[#This Row],['#_female hygiene promoters]]))</f>
        <v>0</v>
      </c>
      <c r="CV422"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487</v>
      </c>
      <c r="CW422"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487</v>
      </c>
      <c r="CX422" s="874">
        <f>IF(WWWW[[#This Row],['# People with access to soap]]&gt;WWWW[[#This Row],['# People with access to Sanity Pads]],WWWW[[#This Row],['# People with access to soap]],WWWW[[#This Row],['# People with access to Sanity Pads]])</f>
        <v>487</v>
      </c>
      <c r="CY422" s="874">
        <f>IF(WWWW[[#This Row],['# people reached by regular dedicated hygiene promotion_5]]&gt;WWWW[[#This Row],['# People received regular supply of hygiene items_6]],WWWW[[#This Row],['# people reached by regular dedicated hygiene promotion_5]],WWWW[[#This Row],['# People received regular supply of hygiene items_6]])</f>
        <v>487</v>
      </c>
      <c r="CZ422" s="876">
        <f>IF(WWWW[[#This Row],[HRP3]]/WWWW[[#This Row],[Total PoP ]]&gt;100%,100%,WWWW[[#This Row],[HRP3]]/WWWW[[#This Row],[Total PoP ]])</f>
        <v>1</v>
      </c>
      <c r="DA422" s="875">
        <f>1-WWWW[[#This Row],[Hygiene Coverage%]]</f>
        <v>0</v>
      </c>
      <c r="DB422" s="872">
        <f>WWWW[[#This Row],['# people reached by regular dedicated hygiene promotion_5]]/WWWW[[#This Row],[Total PoP ]]</f>
        <v>0</v>
      </c>
      <c r="DC422" s="872">
        <f>IF(WWWW[[#This Row],['#_households that received standard amount of soap for this quarter]]/WWWW[[#This Row],[Total HH]]&gt;1,1,WWWW[[#This Row],['#_households that received standard amount of soap for this quarter]]/WWWW[[#This Row],[Total HH]])</f>
        <v>1</v>
      </c>
      <c r="DD422" s="872">
        <f>IF(WWWW[[#This Row],['#_households that received standard amount of sanitary pads for this quarter]]/WWWW[[#This Row],[Total HH]]&gt;1,1,WWWW[[#This Row],['#_households that received standard amount of sanitary pads for this quarter]]/WWWW[[#This Row],[Total HH]])</f>
        <v>1</v>
      </c>
      <c r="DE422" s="874">
        <f>WWWW[[#This Row],['#_Constructed/Existing hand washing stations]]-WWWW[[#This Row],['#_Non-Functional_hand_washing_stations]]</f>
        <v>0</v>
      </c>
      <c r="DF422" s="879" t="e">
        <f>WWWW[[#This Row],[Total HH]]*#REF!</f>
        <v>#REF!</v>
      </c>
      <c r="DG422" s="870">
        <f>IF(WWWW[[#This Row],[Is sufficient soap available for TLS? (Yes/No)]]="yes",WWWW[[#This Row],['#_Constructed/Existing hand washing stations at TLS]],0)</f>
        <v>0</v>
      </c>
      <c r="DH422" s="702">
        <f>IF(WWWW[[#This Row],['# Functional hand washing stations during reporting period]]*100&gt;WWWW[[#This Row],[Total PoP ]],WWWW[[#This Row],[Total PoP ]],WWWW[[#This Row],['# Functional hand washing stations during reporting period]]*100)</f>
        <v>0</v>
      </c>
      <c r="DI422" s="702" t="str">
        <f>IF(WWWW[[#This Row],['#_students at TLS_CFS]]="","No","Yes")</f>
        <v>No</v>
      </c>
      <c r="DJ422" s="873">
        <f>VLOOKUP(WWWW[[#This Row],[Site Name]],SiteDB6[[Site Name]:[CCCM Management]],6,FALSE)</f>
        <v>0</v>
      </c>
      <c r="DK422" s="873">
        <f>VLOOKUP(WWWW[[#This Row],[Site Name]],SiteDB6[[Site Name]:[CCCM Focal Agency]],7,FALSE)</f>
        <v>0</v>
      </c>
      <c r="DL422" s="873" t="str">
        <f>VLOOKUP(WWWW[[#This Row],[Site Name]],SiteDB6[[Site Name]:[Location Type 1]],9,FALSE)</f>
        <v>Temporary location</v>
      </c>
      <c r="DM422" s="873" t="str">
        <f>VLOOKUP(WWWW[[#This Row],[Site Name]],SiteDB6[[Site Name]:[Type of Accommodation]],10,FALSE)</f>
        <v>Temporary location</v>
      </c>
      <c r="DN422" s="873">
        <f>VLOOKUP(WWWW[[#This Row],[Site Name]],SiteDB6[[Site Name]:[Ethnic or GCA/NGCA]],11,FALSE)</f>
        <v>0</v>
      </c>
      <c r="DO422" s="873">
        <f>VLOOKUP(WWWW[[#This Row],[Site Name]],SiteDB6[[Site Name]:[Lat]],12,FALSE)</f>
        <v>20.599809646606399</v>
      </c>
      <c r="DP422" s="873">
        <f>VLOOKUP(WWWW[[#This Row],[Site Name]],SiteDB6[[Site Name]:[Long]],13,FALSE)</f>
        <v>93.265541076660199</v>
      </c>
      <c r="DQ422" s="873">
        <f>VLOOKUP(WWWW[[#This Row],[Site Name]],SiteDB6[[Site Name]:[Pcode]],3,FALSE)</f>
        <v>197051</v>
      </c>
      <c r="DR422" s="871" t="str">
        <f t="shared" si="13"/>
        <v>Covered</v>
      </c>
      <c r="DS422" s="871"/>
      <c r="DV422" s="661"/>
    </row>
    <row r="423" spans="1:126">
      <c r="A423" s="637" t="s">
        <v>2525</v>
      </c>
      <c r="B423" s="863" t="s">
        <v>3157</v>
      </c>
      <c r="C423" s="863" t="s">
        <v>3157</v>
      </c>
      <c r="D423" s="864"/>
      <c r="E423" s="865" t="s">
        <v>3014</v>
      </c>
      <c r="F423" s="864" t="s">
        <v>330</v>
      </c>
      <c r="G423" s="866" t="str">
        <f>VLOOKUP(WWWW[[#This Row],[Site Name]],SiteDB6[[Site Name]:[Location Type]],8,FALSE)</f>
        <v>New Temporary Site</v>
      </c>
      <c r="H423" s="864" t="s">
        <v>3156</v>
      </c>
      <c r="I423" s="867">
        <v>467</v>
      </c>
      <c r="J423" s="867">
        <v>1663</v>
      </c>
      <c r="K423" s="868"/>
      <c r="L423" s="869"/>
      <c r="M423" s="867"/>
      <c r="N423" s="867"/>
      <c r="O423" s="867"/>
      <c r="P423" s="867"/>
      <c r="Q423" s="870"/>
      <c r="R423" s="867"/>
      <c r="S423" s="867"/>
      <c r="T423" s="379"/>
      <c r="U423" s="867"/>
      <c r="V423" s="867"/>
      <c r="W423" s="867"/>
      <c r="X423" s="867"/>
      <c r="Y423" s="867"/>
      <c r="Z423" s="867"/>
      <c r="AA423" s="867"/>
      <c r="AB423" s="867"/>
      <c r="AC423" s="867"/>
      <c r="AD423" s="867"/>
      <c r="AE423" s="867"/>
      <c r="AF423" s="867"/>
      <c r="AG423" s="867"/>
      <c r="AH423" s="867"/>
      <c r="AI423" s="867"/>
      <c r="AJ423" s="867"/>
      <c r="AK423" s="867"/>
      <c r="AL423" s="867"/>
      <c r="AM423" s="867"/>
      <c r="AN423" s="867"/>
      <c r="AO423" s="871"/>
      <c r="AP423" s="867"/>
      <c r="AQ423" s="867"/>
      <c r="AR423" s="872"/>
      <c r="AS423" s="867"/>
      <c r="AT423" s="867"/>
      <c r="AU423" s="867"/>
      <c r="AV423" s="867"/>
      <c r="AW423" s="867"/>
      <c r="AX423" s="873"/>
      <c r="AY423" s="871"/>
      <c r="AZ423" s="867"/>
      <c r="BA423" s="867"/>
      <c r="BB423" s="867"/>
      <c r="BC423" s="873"/>
      <c r="BD423" s="867"/>
      <c r="BE423" s="867"/>
      <c r="BF423" s="867"/>
      <c r="BG423" s="867"/>
      <c r="BH423" s="867"/>
      <c r="BI423" s="867"/>
      <c r="BJ423" s="867"/>
      <c r="BK423" s="867">
        <v>737</v>
      </c>
      <c r="BL423" s="867">
        <v>737</v>
      </c>
      <c r="BM423" s="873"/>
      <c r="BN423" s="874"/>
      <c r="BO423" s="872"/>
      <c r="BP423" s="873"/>
      <c r="BQ423" s="875" t="str">
        <f>IFERROR(WWWW[[#This Row],['#_Water sources treated]]/WWWW[[#This Row],['#_Water sources tested for contamination]],"no test")</f>
        <v>no test</v>
      </c>
      <c r="BR423" s="872" t="str">
        <f>IFERROR(WWWW[[#This Row],['#_Household received remediation action due to contamination]]/WWWW[[#This Row],['#_Household water samples tested for contamination]],"no test")</f>
        <v>no test</v>
      </c>
      <c r="BS423" s="874" t="str">
        <f>IF(AND(WWWW[[#This Row],[% of water sources treated]]="no test",WWWW[[#This Row],[% Household received corrective actions]]="no test"),"No Test","Tested")</f>
        <v>No Test</v>
      </c>
      <c r="BT423" s="874">
        <f>WWWW[[#This Row],['#_Constructed/existing protected hand dug well]]-WWWW[[#This Row],['#_Non-functional protected hand dug well]]</f>
        <v>0</v>
      </c>
      <c r="BU423" s="874">
        <f>(WWWW[[#This Row],['#_Constructed/Existing tube wells/boreholes/handpumps_WASH_agency]]+WWWW[[#This Row],['#_Non-Cluster partner water tube-wells/boreholes/handpumps]])-WWWW[[#This Row],['#_Non-functional tube wells/boreholes/handpumps]]</f>
        <v>0</v>
      </c>
      <c r="BV423" s="874">
        <f>WWWW[[#This Row],['#_Constructed/Existingwater storage tank with gravity fed reticulation system]]-WWWW[[#This Row],['#_Non-functional storage tank gravity fed reticulation system]]</f>
        <v>0</v>
      </c>
      <c r="BW423" s="874">
        <f>WWWW[[#This Row],['#_Water boating or water trucking]]</f>
        <v>0</v>
      </c>
      <c r="BX423" s="874">
        <f>WWWW[[#This Row],['#_Constructed/Existing water distribution system from river or natural spring]]</f>
        <v>0</v>
      </c>
      <c r="BY423"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23"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23" s="872">
        <f>IF(WWWW[[#This Row],[Location Type 1]]="Village",WWWW[[#This Row],[Access to safe drinking water for Village]],WWWW[[#This Row],[Access to safe drinking water for Camp]])</f>
        <v>0</v>
      </c>
      <c r="CB423" s="870">
        <f>WWWW[[#This Row],[%Equitable and continuous access to sufficient quantity of safe drinking water]]*WWWW[[#This Row],[Total PoP ]]</f>
        <v>0</v>
      </c>
      <c r="CC423" s="872">
        <f>IF((WWWW[[#This Row],['#_Constructed/Existing protected/fenced ponds]]*250)/WWWW[[#This Row],[Total PoP ]]&gt;1,1,(WWWW[[#This Row],['#_Constructed/Existing protected/fenced ponds]]*250)/WWWW[[#This Row],[Total PoP ]])</f>
        <v>0</v>
      </c>
      <c r="CD423" s="870">
        <f>WWWW[[#This Row],[% Access to unimproved water points]]*WWWW[[#This Row],[Total PoP ]]</f>
        <v>0</v>
      </c>
      <c r="CE423"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23"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23" s="870">
        <f>WWWW[[#This Row],[HRP1]]/500</f>
        <v>0</v>
      </c>
      <c r="CH423" s="876">
        <f>1-WWWW[[#This Row],[% Equitable and continuous access to sufficient quantity of domestic water]]</f>
        <v>1</v>
      </c>
      <c r="CI423" s="870">
        <f>WWWW[[#This Row],[%equitable and continuous access to sufficient quantity of safe drinking and domestic water''s GAP]]*WWWW[[#This Row],[Total PoP ]]</f>
        <v>1663</v>
      </c>
      <c r="CJ423" s="874">
        <f>IF(WWWW[[#This Row],[Total required water points]]-WWWW[[#This Row],['#Water points coverage]]&lt;0,0,WWWW[[#This Row],[Total required water points]]-WWWW[[#This Row],['#Water points coverage]])</f>
        <v>3</v>
      </c>
      <c r="CK423" s="874">
        <f>ROUND(IF(WWWW[[#This Row],[Total PoP ]]&lt;500,1,WWWW[[#This Row],[Total PoP ]]/500),0)</f>
        <v>3</v>
      </c>
      <c r="CL423" s="874">
        <f>(WWWW[[#This Row],['#_Constructed latrines_by_WASHAgencies]]+WWWW[[#This Row],['#_Non Cluster partner latrines]])-WWWW[[#This Row],['#_Non-functional latrines]]</f>
        <v>0</v>
      </c>
      <c r="CM423"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23"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23"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23" s="874">
        <f>IF(WWWW[[#This Row],[Location Type 1]]="Village","NA",IF(WWWW[[#This Row],['#_Constructed/Existing latrines in TLS]]*50&gt;WWWW[[#This Row],['#_students at TLS_CFS]],WWWW[[#This Row],['#_students at TLS_CFS]],(WWWW[[#This Row],['#_Constructed/Existing latrines in TLS]]*50)))</f>
        <v>0</v>
      </c>
      <c r="CQ423" s="874">
        <f>ROUND(IF(WWWW[[#This Row],[Location Type 1]]="camp",WWWW[[#This Row],[Total PoP ]]/20,IF(WWWW[[#This Row],[Location Type 1]]="Temporary Location",WWWW[[#This Row],[Total PoP ]]/50,(WWWW[[#This Row],[Total PoP ]]/6))),0)</f>
        <v>33</v>
      </c>
      <c r="CR423" s="874">
        <f>IF(WWWW[[#This Row],[Total required Latrines]]-(WWWW[[#This Row],['#_Constructed latrines_by_WASHAgencies]]+WWWW[[#This Row],['#_Non Cluster partner latrines]])&lt;0,0,WWWW[[#This Row],[Total required Latrines]]-(WWWW[[#This Row],['#_Constructed latrines_by_WASHAgencies]]+WWWW[[#This Row],['#_Non Cluster partner latrines]]))</f>
        <v>33</v>
      </c>
      <c r="CS423" s="878">
        <f>1-WWWW[[#This Row],[% people access to functioning Latrine]]</f>
        <v>1</v>
      </c>
      <c r="CT423" s="875">
        <f>IF(OR(WWWW[[#This Row],['#_Non-functional latrines]]="",WWWW[[#This Row],['#_Non-functional latrines]]=0),0,WWWW[[#This Row],['#_Non-functional latrines]]/(WWWW[[#This Row],['#_Constructed latrines_by_WASHAgencies]]+WWWW[[#This Row],['#_Non Cluster partner latrines]]))</f>
        <v>0</v>
      </c>
      <c r="CU423" s="870">
        <f>IF(500*(WWWW[[#This Row],['#_male hygiene promoters]]+WWWW[[#This Row],['#_female hygiene promoters]])&gt;WWWW[[#This Row],[Total PoP ]],WWWW[[#This Row],[Total PoP ]],500*(WWWW[[#This Row],['#_male hygiene promoters]]+WWWW[[#This Row],['#_female hygiene promoters]]))</f>
        <v>0</v>
      </c>
      <c r="CV423"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1663</v>
      </c>
      <c r="CW423"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1663</v>
      </c>
      <c r="CX423" s="874">
        <f>IF(WWWW[[#This Row],['# People with access to soap]]&gt;WWWW[[#This Row],['# People with access to Sanity Pads]],WWWW[[#This Row],['# People with access to soap]],WWWW[[#This Row],['# People with access to Sanity Pads]])</f>
        <v>1663</v>
      </c>
      <c r="CY423" s="874">
        <f>IF(WWWW[[#This Row],['# people reached by regular dedicated hygiene promotion_5]]&gt;WWWW[[#This Row],['# People received regular supply of hygiene items_6]],WWWW[[#This Row],['# people reached by regular dedicated hygiene promotion_5]],WWWW[[#This Row],['# People received regular supply of hygiene items_6]])</f>
        <v>1663</v>
      </c>
      <c r="CZ423" s="876">
        <f>IF(WWWW[[#This Row],[HRP3]]/WWWW[[#This Row],[Total PoP ]]&gt;100%,100%,WWWW[[#This Row],[HRP3]]/WWWW[[#This Row],[Total PoP ]])</f>
        <v>1</v>
      </c>
      <c r="DA423" s="875">
        <f>1-WWWW[[#This Row],[Hygiene Coverage%]]</f>
        <v>0</v>
      </c>
      <c r="DB423" s="872">
        <f>WWWW[[#This Row],['# people reached by regular dedicated hygiene promotion_5]]/WWWW[[#This Row],[Total PoP ]]</f>
        <v>0</v>
      </c>
      <c r="DC423" s="872">
        <f>IF(WWWW[[#This Row],['#_households that received standard amount of soap for this quarter]]/WWWW[[#This Row],[Total HH]]&gt;1,1,WWWW[[#This Row],['#_households that received standard amount of soap for this quarter]]/WWWW[[#This Row],[Total HH]])</f>
        <v>1</v>
      </c>
      <c r="DD423" s="872">
        <f>IF(WWWW[[#This Row],['#_households that received standard amount of sanitary pads for this quarter]]/WWWW[[#This Row],[Total HH]]&gt;1,1,WWWW[[#This Row],['#_households that received standard amount of sanitary pads for this quarter]]/WWWW[[#This Row],[Total HH]])</f>
        <v>1</v>
      </c>
      <c r="DE423" s="874">
        <f>WWWW[[#This Row],['#_Constructed/Existing hand washing stations]]-WWWW[[#This Row],['#_Non-Functional_hand_washing_stations]]</f>
        <v>0</v>
      </c>
      <c r="DF423" s="879" t="e">
        <f>WWWW[[#This Row],[Total HH]]*#REF!</f>
        <v>#REF!</v>
      </c>
      <c r="DG423" s="870">
        <f>IF(WWWW[[#This Row],[Is sufficient soap available for TLS? (Yes/No)]]="yes",WWWW[[#This Row],['#_Constructed/Existing hand washing stations at TLS]],0)</f>
        <v>0</v>
      </c>
      <c r="DH423" s="702">
        <f>IF(WWWW[[#This Row],['# Functional hand washing stations during reporting period]]*100&gt;WWWW[[#This Row],[Total PoP ]],WWWW[[#This Row],[Total PoP ]],WWWW[[#This Row],['# Functional hand washing stations during reporting period]]*100)</f>
        <v>0</v>
      </c>
      <c r="DI423" s="702" t="str">
        <f>IF(WWWW[[#This Row],['#_students at TLS_CFS]]="","No","Yes")</f>
        <v>No</v>
      </c>
      <c r="DJ423" s="873">
        <f>VLOOKUP(WWWW[[#This Row],[Site Name]],SiteDB6[[Site Name]:[CCCM Management]],6,FALSE)</f>
        <v>0</v>
      </c>
      <c r="DK423" s="873">
        <f>VLOOKUP(WWWW[[#This Row],[Site Name]],SiteDB6[[Site Name]:[CCCM Focal Agency]],7,FALSE)</f>
        <v>0</v>
      </c>
      <c r="DL423" s="873" t="str">
        <f>VLOOKUP(WWWW[[#This Row],[Site Name]],SiteDB6[[Site Name]:[Location Type 1]],9,FALSE)</f>
        <v>Temporary location</v>
      </c>
      <c r="DM423" s="873" t="str">
        <f>VLOOKUP(WWWW[[#This Row],[Site Name]],SiteDB6[[Site Name]:[Type of Accommodation]],10,FALSE)</f>
        <v>Temporary location</v>
      </c>
      <c r="DN423" s="873">
        <f>VLOOKUP(WWWW[[#This Row],[Site Name]],SiteDB6[[Site Name]:[Ethnic or GCA/NGCA]],11,FALSE)</f>
        <v>0</v>
      </c>
      <c r="DO423" s="873">
        <f>VLOOKUP(WWWW[[#This Row],[Site Name]],SiteDB6[[Site Name]:[Lat]],12,FALSE)</f>
        <v>20.593980789184599</v>
      </c>
      <c r="DP423" s="873">
        <f>VLOOKUP(WWWW[[#This Row],[Site Name]],SiteDB6[[Site Name]:[Long]],13,FALSE)</f>
        <v>93.261528015136705</v>
      </c>
      <c r="DQ423" s="873">
        <f>VLOOKUP(WWWW[[#This Row],[Site Name]],SiteDB6[[Site Name]:[Pcode]],3,FALSE)</f>
        <v>197065</v>
      </c>
      <c r="DR423" s="871" t="str">
        <f t="shared" si="13"/>
        <v>Covered</v>
      </c>
      <c r="DS423" s="871"/>
      <c r="DV423" s="661"/>
    </row>
    <row r="424" spans="1:126">
      <c r="A424" s="637" t="s">
        <v>2525</v>
      </c>
      <c r="B424" s="976" t="s">
        <v>317</v>
      </c>
      <c r="C424" s="976" t="s">
        <v>317</v>
      </c>
      <c r="D424" s="864"/>
      <c r="E424" s="865" t="s">
        <v>3014</v>
      </c>
      <c r="F424" s="864" t="s">
        <v>330</v>
      </c>
      <c r="G424" s="866" t="str">
        <f>VLOOKUP(WWWW[[#This Row],[Site Name]],SiteDB6[[Site Name]:[Location Type]],8,FALSE)</f>
        <v>New Temporary Site</v>
      </c>
      <c r="H424" s="864" t="s">
        <v>3185</v>
      </c>
      <c r="I424" s="867">
        <v>50</v>
      </c>
      <c r="J424" s="867">
        <v>200</v>
      </c>
      <c r="K424" s="868"/>
      <c r="L424" s="869"/>
      <c r="M424" s="867"/>
      <c r="N424" s="867"/>
      <c r="O424" s="867"/>
      <c r="P424" s="867"/>
      <c r="Q424" s="870"/>
      <c r="R424" s="867"/>
      <c r="S424" s="867"/>
      <c r="T424" s="379"/>
      <c r="U424" s="867"/>
      <c r="V424" s="867"/>
      <c r="W424" s="867"/>
      <c r="X424" s="867"/>
      <c r="Y424" s="867"/>
      <c r="Z424" s="867"/>
      <c r="AA424" s="867"/>
      <c r="AB424" s="867"/>
      <c r="AC424" s="867"/>
      <c r="AD424" s="867"/>
      <c r="AE424" s="867"/>
      <c r="AF424" s="867"/>
      <c r="AG424" s="867"/>
      <c r="AH424" s="867"/>
      <c r="AI424" s="867"/>
      <c r="AJ424" s="867"/>
      <c r="AK424" s="867"/>
      <c r="AL424" s="867"/>
      <c r="AM424" s="867"/>
      <c r="AN424" s="867"/>
      <c r="AO424" s="871"/>
      <c r="AP424" s="867"/>
      <c r="AQ424" s="867"/>
      <c r="AR424" s="872"/>
      <c r="AS424" s="867"/>
      <c r="AT424" s="867"/>
      <c r="AU424" s="867"/>
      <c r="AV424" s="867"/>
      <c r="AW424" s="867"/>
      <c r="AX424" s="873"/>
      <c r="AY424" s="871"/>
      <c r="AZ424" s="867"/>
      <c r="BA424" s="867"/>
      <c r="BB424" s="867"/>
      <c r="BC424" s="873"/>
      <c r="BD424" s="867"/>
      <c r="BE424" s="867"/>
      <c r="BF424" s="867"/>
      <c r="BG424" s="867"/>
      <c r="BH424" s="867"/>
      <c r="BI424" s="867"/>
      <c r="BJ424" s="867"/>
      <c r="BK424" s="867"/>
      <c r="BL424" s="867"/>
      <c r="BM424" s="873"/>
      <c r="BN424" s="874"/>
      <c r="BO424" s="872"/>
      <c r="BP424" s="873"/>
      <c r="BQ424" s="875" t="str">
        <f>IFERROR(WWWW[[#This Row],['#_Water sources treated]]/WWWW[[#This Row],['#_Water sources tested for contamination]],"no test")</f>
        <v>no test</v>
      </c>
      <c r="BR424" s="872" t="str">
        <f>IFERROR(WWWW[[#This Row],['#_Household received remediation action due to contamination]]/WWWW[[#This Row],['#_Household water samples tested for contamination]],"no test")</f>
        <v>no test</v>
      </c>
      <c r="BS424" s="874" t="str">
        <f>IF(AND(WWWW[[#This Row],[% of water sources treated]]="no test",WWWW[[#This Row],[% Household received corrective actions]]="no test"),"No Test","Tested")</f>
        <v>No Test</v>
      </c>
      <c r="BT424" s="874">
        <f>WWWW[[#This Row],['#_Constructed/existing protected hand dug well]]-WWWW[[#This Row],['#_Non-functional protected hand dug well]]</f>
        <v>0</v>
      </c>
      <c r="BU424" s="874">
        <f>(WWWW[[#This Row],['#_Constructed/Existing tube wells/boreholes/handpumps_WASH_agency]]+WWWW[[#This Row],['#_Non-Cluster partner water tube-wells/boreholes/handpumps]])-WWWW[[#This Row],['#_Non-functional tube wells/boreholes/handpumps]]</f>
        <v>0</v>
      </c>
      <c r="BV424" s="874">
        <f>WWWW[[#This Row],['#_Constructed/Existingwater storage tank with gravity fed reticulation system]]-WWWW[[#This Row],['#_Non-functional storage tank gravity fed reticulation system]]</f>
        <v>0</v>
      </c>
      <c r="BW424" s="874">
        <f>WWWW[[#This Row],['#_Water boating or water trucking]]</f>
        <v>0</v>
      </c>
      <c r="BX424" s="874">
        <f>WWWW[[#This Row],['#_Constructed/Existing water distribution system from river or natural spring]]</f>
        <v>0</v>
      </c>
      <c r="BY424"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24"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24" s="872">
        <f>IF(WWWW[[#This Row],[Location Type 1]]="Village",WWWW[[#This Row],[Access to safe drinking water for Village]],WWWW[[#This Row],[Access to safe drinking water for Camp]])</f>
        <v>0</v>
      </c>
      <c r="CB424" s="870">
        <f>WWWW[[#This Row],[%Equitable and continuous access to sufficient quantity of safe drinking water]]*WWWW[[#This Row],[Total PoP ]]</f>
        <v>0</v>
      </c>
      <c r="CC424" s="872">
        <f>IF((WWWW[[#This Row],['#_Constructed/Existing protected/fenced ponds]]*250)/WWWW[[#This Row],[Total PoP ]]&gt;1,1,(WWWW[[#This Row],['#_Constructed/Existing protected/fenced ponds]]*250)/WWWW[[#This Row],[Total PoP ]])</f>
        <v>0</v>
      </c>
      <c r="CD424" s="870">
        <f>WWWW[[#This Row],[% Access to unimproved water points]]*WWWW[[#This Row],[Total PoP ]]</f>
        <v>0</v>
      </c>
      <c r="CE424"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24"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24" s="870">
        <f>WWWW[[#This Row],[HRP1]]/500</f>
        <v>0</v>
      </c>
      <c r="CH424" s="876">
        <f>1-WWWW[[#This Row],[% Equitable and continuous access to sufficient quantity of domestic water]]</f>
        <v>1</v>
      </c>
      <c r="CI424" s="870">
        <f>WWWW[[#This Row],[%equitable and continuous access to sufficient quantity of safe drinking and domestic water''s GAP]]*WWWW[[#This Row],[Total PoP ]]</f>
        <v>200</v>
      </c>
      <c r="CJ424" s="874">
        <f>IF(WWWW[[#This Row],[Total required water points]]-WWWW[[#This Row],['#Water points coverage]]&lt;0,0,WWWW[[#This Row],[Total required water points]]-WWWW[[#This Row],['#Water points coverage]])</f>
        <v>1</v>
      </c>
      <c r="CK424" s="874">
        <f>ROUND(IF(WWWW[[#This Row],[Total PoP ]]&lt;500,1,WWWW[[#This Row],[Total PoP ]]/500),0)</f>
        <v>1</v>
      </c>
      <c r="CL424" s="874">
        <f>(WWWW[[#This Row],['#_Constructed latrines_by_WASHAgencies]]+WWWW[[#This Row],['#_Non Cluster partner latrines]])-WWWW[[#This Row],['#_Non-functional latrines]]</f>
        <v>0</v>
      </c>
      <c r="CM424"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24"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24"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24" s="874">
        <f>IF(WWWW[[#This Row],[Location Type 1]]="Village","NA",IF(WWWW[[#This Row],['#_Constructed/Existing latrines in TLS]]*50&gt;WWWW[[#This Row],['#_students at TLS_CFS]],WWWW[[#This Row],['#_students at TLS_CFS]],(WWWW[[#This Row],['#_Constructed/Existing latrines in TLS]]*50)))</f>
        <v>0</v>
      </c>
      <c r="CQ424" s="874">
        <f>ROUND(IF(WWWW[[#This Row],[Location Type 1]]="camp",WWWW[[#This Row],[Total PoP ]]/20,IF(WWWW[[#This Row],[Location Type 1]]="Temporary Location",WWWW[[#This Row],[Total PoP ]]/50,(WWWW[[#This Row],[Total PoP ]]/6))),0)</f>
        <v>4</v>
      </c>
      <c r="CR424" s="874">
        <f>IF(WWWW[[#This Row],[Total required Latrines]]-(WWWW[[#This Row],['#_Constructed latrines_by_WASHAgencies]]+WWWW[[#This Row],['#_Non Cluster partner latrines]])&lt;0,0,WWWW[[#This Row],[Total required Latrines]]-(WWWW[[#This Row],['#_Constructed latrines_by_WASHAgencies]]+WWWW[[#This Row],['#_Non Cluster partner latrines]]))</f>
        <v>4</v>
      </c>
      <c r="CS424" s="878">
        <f>1-WWWW[[#This Row],[% people access to functioning Latrine]]</f>
        <v>1</v>
      </c>
      <c r="CT424" s="875">
        <f>IF(OR(WWWW[[#This Row],['#_Non-functional latrines]]="",WWWW[[#This Row],['#_Non-functional latrines]]=0),0,WWWW[[#This Row],['#_Non-functional latrines]]/(WWWW[[#This Row],['#_Constructed latrines_by_WASHAgencies]]+WWWW[[#This Row],['#_Non Cluster partner latrines]]))</f>
        <v>0</v>
      </c>
      <c r="CU424" s="870">
        <f>IF(500*(WWWW[[#This Row],['#_male hygiene promoters]]+WWWW[[#This Row],['#_female hygiene promoters]])&gt;WWWW[[#This Row],[Total PoP ]],WWWW[[#This Row],[Total PoP ]],500*(WWWW[[#This Row],['#_male hygiene promoters]]+WWWW[[#This Row],['#_female hygiene promoters]]))</f>
        <v>0</v>
      </c>
      <c r="CV424"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24"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24" s="874">
        <f>IF(WWWW[[#This Row],['# People with access to soap]]&gt;WWWW[[#This Row],['# People with access to Sanity Pads]],WWWW[[#This Row],['# People with access to soap]],WWWW[[#This Row],['# People with access to Sanity Pads]])</f>
        <v>0</v>
      </c>
      <c r="CY424"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24" s="876">
        <f>IF(WWWW[[#This Row],[HRP3]]/WWWW[[#This Row],[Total PoP ]]&gt;100%,100%,WWWW[[#This Row],[HRP3]]/WWWW[[#This Row],[Total PoP ]])</f>
        <v>0</v>
      </c>
      <c r="DA424" s="875">
        <f>1-WWWW[[#This Row],[Hygiene Coverage%]]</f>
        <v>1</v>
      </c>
      <c r="DB424" s="872">
        <f>WWWW[[#This Row],['# people reached by regular dedicated hygiene promotion_5]]/WWWW[[#This Row],[Total PoP ]]</f>
        <v>0</v>
      </c>
      <c r="DC424" s="872">
        <f>IF(WWWW[[#This Row],['#_households that received standard amount of soap for this quarter]]/WWWW[[#This Row],[Total HH]]&gt;1,1,WWWW[[#This Row],['#_households that received standard amount of soap for this quarter]]/WWWW[[#This Row],[Total HH]])</f>
        <v>0</v>
      </c>
      <c r="DD424" s="872">
        <f>IF(WWWW[[#This Row],['#_households that received standard amount of sanitary pads for this quarter]]/WWWW[[#This Row],[Total HH]]&gt;1,1,WWWW[[#This Row],['#_households that received standard amount of sanitary pads for this quarter]]/WWWW[[#This Row],[Total HH]])</f>
        <v>0</v>
      </c>
      <c r="DE424" s="874">
        <f>WWWW[[#This Row],['#_Constructed/Existing hand washing stations]]-WWWW[[#This Row],['#_Non-Functional_hand_washing_stations]]</f>
        <v>0</v>
      </c>
      <c r="DF424" s="879" t="e">
        <f>WWWW[[#This Row],[Total HH]]*#REF!</f>
        <v>#REF!</v>
      </c>
      <c r="DG424" s="870">
        <f>IF(WWWW[[#This Row],[Is sufficient soap available for TLS? (Yes/No)]]="yes",WWWW[[#This Row],['#_Constructed/Existing hand washing stations at TLS]],0)</f>
        <v>0</v>
      </c>
      <c r="DH424" s="702">
        <f>IF(WWWW[[#This Row],['# Functional hand washing stations during reporting period]]*100&gt;WWWW[[#This Row],[Total PoP ]],WWWW[[#This Row],[Total PoP ]],WWWW[[#This Row],['# Functional hand washing stations during reporting period]]*100)</f>
        <v>0</v>
      </c>
      <c r="DI424" s="702" t="str">
        <f>IF(WWWW[[#This Row],['#_students at TLS_CFS]]="","No","Yes")</f>
        <v>No</v>
      </c>
      <c r="DJ424" s="873">
        <f>VLOOKUP(WWWW[[#This Row],[Site Name]],SiteDB6[[Site Name]:[CCCM Management]],6,FALSE)</f>
        <v>0</v>
      </c>
      <c r="DK424" s="873">
        <f>VLOOKUP(WWWW[[#This Row],[Site Name]],SiteDB6[[Site Name]:[CCCM Focal Agency]],7,FALSE)</f>
        <v>0</v>
      </c>
      <c r="DL424" s="873" t="str">
        <f>VLOOKUP(WWWW[[#This Row],[Site Name]],SiteDB6[[Site Name]:[Location Type 1]],9,FALSE)</f>
        <v>Temporary location</v>
      </c>
      <c r="DM424" s="873" t="str">
        <f>VLOOKUP(WWWW[[#This Row],[Site Name]],SiteDB6[[Site Name]:[Type of Accommodation]],10,FALSE)</f>
        <v>Temporary location</v>
      </c>
      <c r="DN424" s="873">
        <f>VLOOKUP(WWWW[[#This Row],[Site Name]],SiteDB6[[Site Name]:[Ethnic or GCA/NGCA]],11,FALSE)</f>
        <v>0</v>
      </c>
      <c r="DO424" s="873">
        <f>VLOOKUP(WWWW[[#This Row],[Site Name]],SiteDB6[[Site Name]:[Lat]],12,FALSE)</f>
        <v>0</v>
      </c>
      <c r="DP424" s="873">
        <f>VLOOKUP(WWWW[[#This Row],[Site Name]],SiteDB6[[Site Name]:[Long]],13,FALSE)</f>
        <v>0</v>
      </c>
      <c r="DQ424" s="873">
        <f>VLOOKUP(WWWW[[#This Row],[Site Name]],SiteDB6[[Site Name]:[Pcode]],3,FALSE)</f>
        <v>0</v>
      </c>
      <c r="DR424" s="871" t="str">
        <f t="shared" si="13"/>
        <v>Notcovered</v>
      </c>
      <c r="DS424" s="871"/>
      <c r="DV424" s="661"/>
    </row>
    <row r="425" spans="1:126">
      <c r="A425" s="637" t="s">
        <v>2525</v>
      </c>
      <c r="B425" s="976" t="s">
        <v>317</v>
      </c>
      <c r="C425" s="976" t="s">
        <v>317</v>
      </c>
      <c r="D425" s="864"/>
      <c r="E425" s="865" t="s">
        <v>3014</v>
      </c>
      <c r="F425" s="864" t="s">
        <v>330</v>
      </c>
      <c r="G425" s="866" t="str">
        <f>VLOOKUP(WWWW[[#This Row],[Site Name]],SiteDB6[[Site Name]:[Location Type]],8,FALSE)</f>
        <v>New Temporary Site</v>
      </c>
      <c r="H425" s="864" t="s">
        <v>3186</v>
      </c>
      <c r="I425" s="867">
        <v>207</v>
      </c>
      <c r="J425" s="867">
        <v>929</v>
      </c>
      <c r="K425" s="868"/>
      <c r="L425" s="869"/>
      <c r="M425" s="867"/>
      <c r="N425" s="867"/>
      <c r="O425" s="867"/>
      <c r="P425" s="867"/>
      <c r="Q425" s="870"/>
      <c r="R425" s="867"/>
      <c r="S425" s="867"/>
      <c r="T425" s="379"/>
      <c r="U425" s="867"/>
      <c r="V425" s="867"/>
      <c r="W425" s="867"/>
      <c r="X425" s="867"/>
      <c r="Y425" s="867"/>
      <c r="Z425" s="867"/>
      <c r="AA425" s="867"/>
      <c r="AB425" s="867"/>
      <c r="AC425" s="867"/>
      <c r="AD425" s="867"/>
      <c r="AE425" s="867"/>
      <c r="AF425" s="867"/>
      <c r="AG425" s="867"/>
      <c r="AH425" s="867"/>
      <c r="AI425" s="867"/>
      <c r="AJ425" s="867"/>
      <c r="AK425" s="867"/>
      <c r="AL425" s="867"/>
      <c r="AM425" s="867"/>
      <c r="AN425" s="867"/>
      <c r="AO425" s="871"/>
      <c r="AP425" s="867"/>
      <c r="AQ425" s="867"/>
      <c r="AR425" s="872"/>
      <c r="AS425" s="867"/>
      <c r="AT425" s="867"/>
      <c r="AU425" s="867"/>
      <c r="AV425" s="867"/>
      <c r="AW425" s="867"/>
      <c r="AX425" s="873"/>
      <c r="AY425" s="871"/>
      <c r="AZ425" s="867"/>
      <c r="BA425" s="867"/>
      <c r="BB425" s="867"/>
      <c r="BC425" s="873"/>
      <c r="BD425" s="867"/>
      <c r="BE425" s="867"/>
      <c r="BF425" s="867"/>
      <c r="BG425" s="867"/>
      <c r="BH425" s="867"/>
      <c r="BI425" s="867"/>
      <c r="BJ425" s="867"/>
      <c r="BK425" s="867"/>
      <c r="BL425" s="867"/>
      <c r="BM425" s="873"/>
      <c r="BN425" s="874"/>
      <c r="BO425" s="872"/>
      <c r="BP425" s="873"/>
      <c r="BQ425" s="875" t="str">
        <f>IFERROR(WWWW[[#This Row],['#_Water sources treated]]/WWWW[[#This Row],['#_Water sources tested for contamination]],"no test")</f>
        <v>no test</v>
      </c>
      <c r="BR425" s="872" t="str">
        <f>IFERROR(WWWW[[#This Row],['#_Household received remediation action due to contamination]]/WWWW[[#This Row],['#_Household water samples tested for contamination]],"no test")</f>
        <v>no test</v>
      </c>
      <c r="BS425" s="874" t="str">
        <f>IF(AND(WWWW[[#This Row],[% of water sources treated]]="no test",WWWW[[#This Row],[% Household received corrective actions]]="no test"),"No Test","Tested")</f>
        <v>No Test</v>
      </c>
      <c r="BT425" s="874">
        <f>WWWW[[#This Row],['#_Constructed/existing protected hand dug well]]-WWWW[[#This Row],['#_Non-functional protected hand dug well]]</f>
        <v>0</v>
      </c>
      <c r="BU425" s="874">
        <f>(WWWW[[#This Row],['#_Constructed/Existing tube wells/boreholes/handpumps_WASH_agency]]+WWWW[[#This Row],['#_Non-Cluster partner water tube-wells/boreholes/handpumps]])-WWWW[[#This Row],['#_Non-functional tube wells/boreholes/handpumps]]</f>
        <v>0</v>
      </c>
      <c r="BV425" s="874">
        <f>WWWW[[#This Row],['#_Constructed/Existingwater storage tank with gravity fed reticulation system]]-WWWW[[#This Row],['#_Non-functional storage tank gravity fed reticulation system]]</f>
        <v>0</v>
      </c>
      <c r="BW425" s="874">
        <f>WWWW[[#This Row],['#_Water boating or water trucking]]</f>
        <v>0</v>
      </c>
      <c r="BX425" s="874">
        <f>WWWW[[#This Row],['#_Constructed/Existing water distribution system from river or natural spring]]</f>
        <v>0</v>
      </c>
      <c r="BY425"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25"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25" s="872">
        <f>IF(WWWW[[#This Row],[Location Type 1]]="Village",WWWW[[#This Row],[Access to safe drinking water for Village]],WWWW[[#This Row],[Access to safe drinking water for Camp]])</f>
        <v>0</v>
      </c>
      <c r="CB425" s="870">
        <f>WWWW[[#This Row],[%Equitable and continuous access to sufficient quantity of safe drinking water]]*WWWW[[#This Row],[Total PoP ]]</f>
        <v>0</v>
      </c>
      <c r="CC425" s="872">
        <f>IF((WWWW[[#This Row],['#_Constructed/Existing protected/fenced ponds]]*250)/WWWW[[#This Row],[Total PoP ]]&gt;1,1,(WWWW[[#This Row],['#_Constructed/Existing protected/fenced ponds]]*250)/WWWW[[#This Row],[Total PoP ]])</f>
        <v>0</v>
      </c>
      <c r="CD425" s="870">
        <f>WWWW[[#This Row],[% Access to unimproved water points]]*WWWW[[#This Row],[Total PoP ]]</f>
        <v>0</v>
      </c>
      <c r="CE425"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25"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25" s="870">
        <f>WWWW[[#This Row],[HRP1]]/500</f>
        <v>0</v>
      </c>
      <c r="CH425" s="876">
        <f>1-WWWW[[#This Row],[% Equitable and continuous access to sufficient quantity of domestic water]]</f>
        <v>1</v>
      </c>
      <c r="CI425" s="870">
        <f>WWWW[[#This Row],[%equitable and continuous access to sufficient quantity of safe drinking and domestic water''s GAP]]*WWWW[[#This Row],[Total PoP ]]</f>
        <v>929</v>
      </c>
      <c r="CJ425" s="874">
        <f>IF(WWWW[[#This Row],[Total required water points]]-WWWW[[#This Row],['#Water points coverage]]&lt;0,0,WWWW[[#This Row],[Total required water points]]-WWWW[[#This Row],['#Water points coverage]])</f>
        <v>2</v>
      </c>
      <c r="CK425" s="874">
        <f>ROUND(IF(WWWW[[#This Row],[Total PoP ]]&lt;500,1,WWWW[[#This Row],[Total PoP ]]/500),0)</f>
        <v>2</v>
      </c>
      <c r="CL425" s="874">
        <f>(WWWW[[#This Row],['#_Constructed latrines_by_WASHAgencies]]+WWWW[[#This Row],['#_Non Cluster partner latrines]])-WWWW[[#This Row],['#_Non-functional latrines]]</f>
        <v>0</v>
      </c>
      <c r="CM425"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25"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25"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25" s="874">
        <f>IF(WWWW[[#This Row],[Location Type 1]]="Village","NA",IF(WWWW[[#This Row],['#_Constructed/Existing latrines in TLS]]*50&gt;WWWW[[#This Row],['#_students at TLS_CFS]],WWWW[[#This Row],['#_students at TLS_CFS]],(WWWW[[#This Row],['#_Constructed/Existing latrines in TLS]]*50)))</f>
        <v>0</v>
      </c>
      <c r="CQ425" s="874">
        <f>ROUND(IF(WWWW[[#This Row],[Location Type 1]]="camp",WWWW[[#This Row],[Total PoP ]]/20,IF(WWWW[[#This Row],[Location Type 1]]="Temporary Location",WWWW[[#This Row],[Total PoP ]]/50,(WWWW[[#This Row],[Total PoP ]]/6))),0)</f>
        <v>19</v>
      </c>
      <c r="CR425" s="874">
        <f>IF(WWWW[[#This Row],[Total required Latrines]]-(WWWW[[#This Row],['#_Constructed latrines_by_WASHAgencies]]+WWWW[[#This Row],['#_Non Cluster partner latrines]])&lt;0,0,WWWW[[#This Row],[Total required Latrines]]-(WWWW[[#This Row],['#_Constructed latrines_by_WASHAgencies]]+WWWW[[#This Row],['#_Non Cluster partner latrines]]))</f>
        <v>19</v>
      </c>
      <c r="CS425" s="878">
        <f>1-WWWW[[#This Row],[% people access to functioning Latrine]]</f>
        <v>1</v>
      </c>
      <c r="CT425" s="875">
        <f>IF(OR(WWWW[[#This Row],['#_Non-functional latrines]]="",WWWW[[#This Row],['#_Non-functional latrines]]=0),0,WWWW[[#This Row],['#_Non-functional latrines]]/(WWWW[[#This Row],['#_Constructed latrines_by_WASHAgencies]]+WWWW[[#This Row],['#_Non Cluster partner latrines]]))</f>
        <v>0</v>
      </c>
      <c r="CU425" s="870">
        <f>IF(500*(WWWW[[#This Row],['#_male hygiene promoters]]+WWWW[[#This Row],['#_female hygiene promoters]])&gt;WWWW[[#This Row],[Total PoP ]],WWWW[[#This Row],[Total PoP ]],500*(WWWW[[#This Row],['#_male hygiene promoters]]+WWWW[[#This Row],['#_female hygiene promoters]]))</f>
        <v>0</v>
      </c>
      <c r="CV425"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25"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25" s="874">
        <f>IF(WWWW[[#This Row],['# People with access to soap]]&gt;WWWW[[#This Row],['# People with access to Sanity Pads]],WWWW[[#This Row],['# People with access to soap]],WWWW[[#This Row],['# People with access to Sanity Pads]])</f>
        <v>0</v>
      </c>
      <c r="CY425"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25" s="876">
        <f>IF(WWWW[[#This Row],[HRP3]]/WWWW[[#This Row],[Total PoP ]]&gt;100%,100%,WWWW[[#This Row],[HRP3]]/WWWW[[#This Row],[Total PoP ]])</f>
        <v>0</v>
      </c>
      <c r="DA425" s="875">
        <f>1-WWWW[[#This Row],[Hygiene Coverage%]]</f>
        <v>1</v>
      </c>
      <c r="DB425" s="872">
        <f>WWWW[[#This Row],['# people reached by regular dedicated hygiene promotion_5]]/WWWW[[#This Row],[Total PoP ]]</f>
        <v>0</v>
      </c>
      <c r="DC425" s="872">
        <f>IF(WWWW[[#This Row],['#_households that received standard amount of soap for this quarter]]/WWWW[[#This Row],[Total HH]]&gt;1,1,WWWW[[#This Row],['#_households that received standard amount of soap for this quarter]]/WWWW[[#This Row],[Total HH]])</f>
        <v>0</v>
      </c>
      <c r="DD425" s="872">
        <f>IF(WWWW[[#This Row],['#_households that received standard amount of sanitary pads for this quarter]]/WWWW[[#This Row],[Total HH]]&gt;1,1,WWWW[[#This Row],['#_households that received standard amount of sanitary pads for this quarter]]/WWWW[[#This Row],[Total HH]])</f>
        <v>0</v>
      </c>
      <c r="DE425" s="874">
        <f>WWWW[[#This Row],['#_Constructed/Existing hand washing stations]]-WWWW[[#This Row],['#_Non-Functional_hand_washing_stations]]</f>
        <v>0</v>
      </c>
      <c r="DF425" s="879" t="e">
        <f>WWWW[[#This Row],[Total HH]]*#REF!</f>
        <v>#REF!</v>
      </c>
      <c r="DG425" s="870">
        <f>IF(WWWW[[#This Row],[Is sufficient soap available for TLS? (Yes/No)]]="yes",WWWW[[#This Row],['#_Constructed/Existing hand washing stations at TLS]],0)</f>
        <v>0</v>
      </c>
      <c r="DH425" s="702">
        <f>IF(WWWW[[#This Row],['# Functional hand washing stations during reporting period]]*100&gt;WWWW[[#This Row],[Total PoP ]],WWWW[[#This Row],[Total PoP ]],WWWW[[#This Row],['# Functional hand washing stations during reporting period]]*100)</f>
        <v>0</v>
      </c>
      <c r="DI425" s="702" t="str">
        <f>IF(WWWW[[#This Row],['#_students at TLS_CFS]]="","No","Yes")</f>
        <v>No</v>
      </c>
      <c r="DJ425" s="873">
        <f>VLOOKUP(WWWW[[#This Row],[Site Name]],SiteDB6[[Site Name]:[CCCM Management]],6,FALSE)</f>
        <v>0</v>
      </c>
      <c r="DK425" s="873">
        <f>VLOOKUP(WWWW[[#This Row],[Site Name]],SiteDB6[[Site Name]:[CCCM Focal Agency]],7,FALSE)</f>
        <v>0</v>
      </c>
      <c r="DL425" s="873" t="str">
        <f>VLOOKUP(WWWW[[#This Row],[Site Name]],SiteDB6[[Site Name]:[Location Type 1]],9,FALSE)</f>
        <v>Temporary location</v>
      </c>
      <c r="DM425" s="873" t="str">
        <f>VLOOKUP(WWWW[[#This Row],[Site Name]],SiteDB6[[Site Name]:[Type of Accommodation]],10,FALSE)</f>
        <v>Temporary location</v>
      </c>
      <c r="DN425" s="873">
        <f>VLOOKUP(WWWW[[#This Row],[Site Name]],SiteDB6[[Site Name]:[Ethnic or GCA/NGCA]],11,FALSE)</f>
        <v>0</v>
      </c>
      <c r="DO425" s="873">
        <f>VLOOKUP(WWWW[[#This Row],[Site Name]],SiteDB6[[Site Name]:[Lat]],12,FALSE)</f>
        <v>20.599809646606399</v>
      </c>
      <c r="DP425" s="873">
        <f>VLOOKUP(WWWW[[#This Row],[Site Name]],SiteDB6[[Site Name]:[Long]],13,FALSE)</f>
        <v>93.265541076660199</v>
      </c>
      <c r="DQ425" s="873">
        <f>VLOOKUP(WWWW[[#This Row],[Site Name]],SiteDB6[[Site Name]:[Pcode]],3,FALSE)</f>
        <v>197051</v>
      </c>
      <c r="DR425" s="871" t="str">
        <f t="shared" si="13"/>
        <v>Notcovered</v>
      </c>
      <c r="DS425" s="871"/>
      <c r="DV425" s="661"/>
    </row>
    <row r="426" spans="1:126">
      <c r="A426" s="637" t="s">
        <v>2525</v>
      </c>
      <c r="B426" s="863" t="s">
        <v>249</v>
      </c>
      <c r="C426" s="863" t="s">
        <v>332</v>
      </c>
      <c r="D426" s="864"/>
      <c r="E426" s="865" t="s">
        <v>3014</v>
      </c>
      <c r="F426" s="864" t="s">
        <v>330</v>
      </c>
      <c r="G426" s="866" t="str">
        <f>VLOOKUP(WWWW[[#This Row],[Site Name]],SiteDB6[[Site Name]:[Location Type]],8,FALSE)</f>
        <v>New Temporary Site</v>
      </c>
      <c r="H426" s="864" t="s">
        <v>3165</v>
      </c>
      <c r="I426" s="867">
        <v>467</v>
      </c>
      <c r="J426" s="867">
        <v>1663</v>
      </c>
      <c r="K426" s="868"/>
      <c r="L426" s="869"/>
      <c r="M426" s="867"/>
      <c r="N426" s="867"/>
      <c r="O426" s="867"/>
      <c r="P426" s="867"/>
      <c r="Q426" s="870"/>
      <c r="R426" s="867"/>
      <c r="S426" s="867"/>
      <c r="T426" s="379"/>
      <c r="U426" s="867"/>
      <c r="V426" s="867"/>
      <c r="W426" s="867"/>
      <c r="X426" s="867"/>
      <c r="Y426" s="867"/>
      <c r="Z426" s="867"/>
      <c r="AA426" s="867"/>
      <c r="AB426" s="867"/>
      <c r="AC426" s="867"/>
      <c r="AD426" s="867"/>
      <c r="AE426" s="867"/>
      <c r="AF426" s="867"/>
      <c r="AG426" s="867"/>
      <c r="AH426" s="867"/>
      <c r="AI426" s="867"/>
      <c r="AJ426" s="867"/>
      <c r="AK426" s="867"/>
      <c r="AL426" s="867"/>
      <c r="AM426" s="867"/>
      <c r="AN426" s="867"/>
      <c r="AO426" s="871"/>
      <c r="AP426" s="867"/>
      <c r="AQ426" s="867"/>
      <c r="AR426" s="872"/>
      <c r="AS426" s="867"/>
      <c r="AT426" s="867"/>
      <c r="AU426" s="867"/>
      <c r="AV426" s="867"/>
      <c r="AW426" s="867"/>
      <c r="AX426" s="873"/>
      <c r="AY426" s="871"/>
      <c r="AZ426" s="867"/>
      <c r="BA426" s="867"/>
      <c r="BB426" s="867"/>
      <c r="BC426" s="873"/>
      <c r="BD426" s="867"/>
      <c r="BE426" s="867"/>
      <c r="BF426" s="867"/>
      <c r="BG426" s="867"/>
      <c r="BH426" s="867"/>
      <c r="BI426" s="867"/>
      <c r="BJ426" s="867"/>
      <c r="BK426" s="867">
        <v>467</v>
      </c>
      <c r="BL426" s="867">
        <v>467</v>
      </c>
      <c r="BM426" s="873"/>
      <c r="BN426" s="874"/>
      <c r="BO426" s="872"/>
      <c r="BP426" s="873"/>
      <c r="BQ426" s="875" t="str">
        <f>IFERROR(WWWW[[#This Row],['#_Water sources treated]]/WWWW[[#This Row],['#_Water sources tested for contamination]],"no test")</f>
        <v>no test</v>
      </c>
      <c r="BR426" s="872" t="str">
        <f>IFERROR(WWWW[[#This Row],['#_Household received remediation action due to contamination]]/WWWW[[#This Row],['#_Household water samples tested for contamination]],"no test")</f>
        <v>no test</v>
      </c>
      <c r="BS426" s="874" t="str">
        <f>IF(AND(WWWW[[#This Row],[% of water sources treated]]="no test",WWWW[[#This Row],[% Household received corrective actions]]="no test"),"No Test","Tested")</f>
        <v>No Test</v>
      </c>
      <c r="BT426" s="874">
        <f>WWWW[[#This Row],['#_Constructed/existing protected hand dug well]]-WWWW[[#This Row],['#_Non-functional protected hand dug well]]</f>
        <v>0</v>
      </c>
      <c r="BU426" s="874">
        <f>(WWWW[[#This Row],['#_Constructed/Existing tube wells/boreholes/handpumps_WASH_agency]]+WWWW[[#This Row],['#_Non-Cluster partner water tube-wells/boreholes/handpumps]])-WWWW[[#This Row],['#_Non-functional tube wells/boreholes/handpumps]]</f>
        <v>0</v>
      </c>
      <c r="BV426" s="874">
        <f>WWWW[[#This Row],['#_Constructed/Existingwater storage tank with gravity fed reticulation system]]-WWWW[[#This Row],['#_Non-functional storage tank gravity fed reticulation system]]</f>
        <v>0</v>
      </c>
      <c r="BW426" s="874">
        <f>WWWW[[#This Row],['#_Water boating or water trucking]]</f>
        <v>0</v>
      </c>
      <c r="BX426" s="874">
        <f>WWWW[[#This Row],['#_Constructed/Existing water distribution system from river or natural spring]]</f>
        <v>0</v>
      </c>
      <c r="BY426"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26"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26" s="872">
        <f>IF(WWWW[[#This Row],[Location Type 1]]="Village",WWWW[[#This Row],[Access to safe drinking water for Village]],WWWW[[#This Row],[Access to safe drinking water for Camp]])</f>
        <v>0</v>
      </c>
      <c r="CB426" s="870">
        <f>WWWW[[#This Row],[%Equitable and continuous access to sufficient quantity of safe drinking water]]*WWWW[[#This Row],[Total PoP ]]</f>
        <v>0</v>
      </c>
      <c r="CC426" s="872">
        <f>IF((WWWW[[#This Row],['#_Constructed/Existing protected/fenced ponds]]*250)/WWWW[[#This Row],[Total PoP ]]&gt;1,1,(WWWW[[#This Row],['#_Constructed/Existing protected/fenced ponds]]*250)/WWWW[[#This Row],[Total PoP ]])</f>
        <v>0</v>
      </c>
      <c r="CD426" s="870">
        <f>WWWW[[#This Row],[% Access to unimproved water points]]*WWWW[[#This Row],[Total PoP ]]</f>
        <v>0</v>
      </c>
      <c r="CE426"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26"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26" s="870">
        <f>WWWW[[#This Row],[HRP1]]/500</f>
        <v>0</v>
      </c>
      <c r="CH426" s="876">
        <f>1-WWWW[[#This Row],[% Equitable and continuous access to sufficient quantity of domestic water]]</f>
        <v>1</v>
      </c>
      <c r="CI426" s="870">
        <f>WWWW[[#This Row],[%equitable and continuous access to sufficient quantity of safe drinking and domestic water''s GAP]]*WWWW[[#This Row],[Total PoP ]]</f>
        <v>1663</v>
      </c>
      <c r="CJ426" s="874">
        <f>IF(WWWW[[#This Row],[Total required water points]]-WWWW[[#This Row],['#Water points coverage]]&lt;0,0,WWWW[[#This Row],[Total required water points]]-WWWW[[#This Row],['#Water points coverage]])</f>
        <v>3</v>
      </c>
      <c r="CK426" s="874">
        <f>ROUND(IF(WWWW[[#This Row],[Total PoP ]]&lt;500,1,WWWW[[#This Row],[Total PoP ]]/500),0)</f>
        <v>3</v>
      </c>
      <c r="CL426" s="874">
        <f>(WWWW[[#This Row],['#_Constructed latrines_by_WASHAgencies]]+WWWW[[#This Row],['#_Non Cluster partner latrines]])-WWWW[[#This Row],['#_Non-functional latrines]]</f>
        <v>0</v>
      </c>
      <c r="CM426"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26"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26"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26" s="874">
        <f>IF(WWWW[[#This Row],[Location Type 1]]="Village","NA",IF(WWWW[[#This Row],['#_Constructed/Existing latrines in TLS]]*50&gt;WWWW[[#This Row],['#_students at TLS_CFS]],WWWW[[#This Row],['#_students at TLS_CFS]],(WWWW[[#This Row],['#_Constructed/Existing latrines in TLS]]*50)))</f>
        <v>0</v>
      </c>
      <c r="CQ426" s="874">
        <f>ROUND(IF(WWWW[[#This Row],[Location Type 1]]="camp",WWWW[[#This Row],[Total PoP ]]/20,IF(WWWW[[#This Row],[Location Type 1]]="Temporary Location",WWWW[[#This Row],[Total PoP ]]/50,(WWWW[[#This Row],[Total PoP ]]/6))),0)</f>
        <v>33</v>
      </c>
      <c r="CR426" s="874">
        <f>IF(WWWW[[#This Row],[Total required Latrines]]-(WWWW[[#This Row],['#_Constructed latrines_by_WASHAgencies]]+WWWW[[#This Row],['#_Non Cluster partner latrines]])&lt;0,0,WWWW[[#This Row],[Total required Latrines]]-(WWWW[[#This Row],['#_Constructed latrines_by_WASHAgencies]]+WWWW[[#This Row],['#_Non Cluster partner latrines]]))</f>
        <v>33</v>
      </c>
      <c r="CS426" s="878">
        <f>1-WWWW[[#This Row],[% people access to functioning Latrine]]</f>
        <v>1</v>
      </c>
      <c r="CT426" s="875">
        <f>IF(OR(WWWW[[#This Row],['#_Non-functional latrines]]="",WWWW[[#This Row],['#_Non-functional latrines]]=0),0,WWWW[[#This Row],['#_Non-functional latrines]]/(WWWW[[#This Row],['#_Constructed latrines_by_WASHAgencies]]+WWWW[[#This Row],['#_Non Cluster partner latrines]]))</f>
        <v>0</v>
      </c>
      <c r="CU426" s="870">
        <f>IF(500*(WWWW[[#This Row],['#_male hygiene promoters]]+WWWW[[#This Row],['#_female hygiene promoters]])&gt;WWWW[[#This Row],[Total PoP ]],WWWW[[#This Row],[Total PoP ]],500*(WWWW[[#This Row],['#_male hygiene promoters]]+WWWW[[#This Row],['#_female hygiene promoters]]))</f>
        <v>0</v>
      </c>
      <c r="CV426"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1663</v>
      </c>
      <c r="CW426"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1663</v>
      </c>
      <c r="CX426" s="874">
        <f>IF(WWWW[[#This Row],['# People with access to soap]]&gt;WWWW[[#This Row],['# People with access to Sanity Pads]],WWWW[[#This Row],['# People with access to soap]],WWWW[[#This Row],['# People with access to Sanity Pads]])</f>
        <v>1663</v>
      </c>
      <c r="CY426" s="874">
        <f>IF(WWWW[[#This Row],['# people reached by regular dedicated hygiene promotion_5]]&gt;WWWW[[#This Row],['# People received regular supply of hygiene items_6]],WWWW[[#This Row],['# people reached by regular dedicated hygiene promotion_5]],WWWW[[#This Row],['# People received regular supply of hygiene items_6]])</f>
        <v>1663</v>
      </c>
      <c r="CZ426" s="876">
        <f>IF(WWWW[[#This Row],[HRP3]]/WWWW[[#This Row],[Total PoP ]]&gt;100%,100%,WWWW[[#This Row],[HRP3]]/WWWW[[#This Row],[Total PoP ]])</f>
        <v>1</v>
      </c>
      <c r="DA426" s="875">
        <f>1-WWWW[[#This Row],[Hygiene Coverage%]]</f>
        <v>0</v>
      </c>
      <c r="DB426" s="872">
        <f>WWWW[[#This Row],['# people reached by regular dedicated hygiene promotion_5]]/WWWW[[#This Row],[Total PoP ]]</f>
        <v>0</v>
      </c>
      <c r="DC426" s="872">
        <f>IF(WWWW[[#This Row],['#_households that received standard amount of soap for this quarter]]/WWWW[[#This Row],[Total HH]]&gt;1,1,WWWW[[#This Row],['#_households that received standard amount of soap for this quarter]]/WWWW[[#This Row],[Total HH]])</f>
        <v>1</v>
      </c>
      <c r="DD426" s="872">
        <f>IF(WWWW[[#This Row],['#_households that received standard amount of sanitary pads for this quarter]]/WWWW[[#This Row],[Total HH]]&gt;1,1,WWWW[[#This Row],['#_households that received standard amount of sanitary pads for this quarter]]/WWWW[[#This Row],[Total HH]])</f>
        <v>1</v>
      </c>
      <c r="DE426" s="874">
        <f>WWWW[[#This Row],['#_Constructed/Existing hand washing stations]]-WWWW[[#This Row],['#_Non-Functional_hand_washing_stations]]</f>
        <v>0</v>
      </c>
      <c r="DF426" s="879" t="e">
        <f>WWWW[[#This Row],[Total HH]]*#REF!</f>
        <v>#REF!</v>
      </c>
      <c r="DG426" s="870">
        <f>IF(WWWW[[#This Row],[Is sufficient soap available for TLS? (Yes/No)]]="yes",WWWW[[#This Row],['#_Constructed/Existing hand washing stations at TLS]],0)</f>
        <v>0</v>
      </c>
      <c r="DH426" s="702">
        <f>IF(WWWW[[#This Row],['# Functional hand washing stations during reporting period]]*100&gt;WWWW[[#This Row],[Total PoP ]],WWWW[[#This Row],[Total PoP ]],WWWW[[#This Row],['# Functional hand washing stations during reporting period]]*100)</f>
        <v>0</v>
      </c>
      <c r="DI426" s="702" t="str">
        <f>IF(WWWW[[#This Row],['#_students at TLS_CFS]]="","No","Yes")</f>
        <v>No</v>
      </c>
      <c r="DJ426" s="873">
        <f>VLOOKUP(WWWW[[#This Row],[Site Name]],SiteDB6[[Site Name]:[CCCM Management]],6,FALSE)</f>
        <v>0</v>
      </c>
      <c r="DK426" s="873">
        <f>VLOOKUP(WWWW[[#This Row],[Site Name]],SiteDB6[[Site Name]:[CCCM Focal Agency]],7,FALSE)</f>
        <v>0</v>
      </c>
      <c r="DL426" s="873" t="str">
        <f>VLOOKUP(WWWW[[#This Row],[Site Name]],SiteDB6[[Site Name]:[Location Type 1]],9,FALSE)</f>
        <v>Temporary location</v>
      </c>
      <c r="DM426" s="873" t="str">
        <f>VLOOKUP(WWWW[[#This Row],[Site Name]],SiteDB6[[Site Name]:[Type of Accommodation]],10,FALSE)</f>
        <v>Temporary location</v>
      </c>
      <c r="DN426" s="873">
        <f>VLOOKUP(WWWW[[#This Row],[Site Name]],SiteDB6[[Site Name]:[Ethnic or GCA/NGCA]],11,FALSE)</f>
        <v>0</v>
      </c>
      <c r="DO426" s="873">
        <f>VLOOKUP(WWWW[[#This Row],[Site Name]],SiteDB6[[Site Name]:[Lat]],12,FALSE)</f>
        <v>0</v>
      </c>
      <c r="DP426" s="873">
        <f>VLOOKUP(WWWW[[#This Row],[Site Name]],SiteDB6[[Site Name]:[Long]],13,FALSE)</f>
        <v>0</v>
      </c>
      <c r="DQ426" s="873">
        <f>VLOOKUP(WWWW[[#This Row],[Site Name]],SiteDB6[[Site Name]:[Pcode]],3,FALSE)</f>
        <v>0</v>
      </c>
      <c r="DR426" s="871" t="str">
        <f t="shared" si="13"/>
        <v>Covered</v>
      </c>
      <c r="DS426" s="871"/>
      <c r="DV426" s="661"/>
    </row>
    <row r="427" spans="1:126">
      <c r="A427" s="637" t="s">
        <v>2525</v>
      </c>
      <c r="B427" s="863" t="s">
        <v>3162</v>
      </c>
      <c r="C427" s="863" t="s">
        <v>3241</v>
      </c>
      <c r="D427" s="864"/>
      <c r="E427" s="865" t="s">
        <v>3014</v>
      </c>
      <c r="F427" s="864" t="s">
        <v>330</v>
      </c>
      <c r="G427" s="866" t="str">
        <f>VLOOKUP(WWWW[[#This Row],[Site Name]],SiteDB6[[Site Name]:[Location Type]],8,FALSE)</f>
        <v>New Temporary Site</v>
      </c>
      <c r="H427" s="864" t="s">
        <v>3166</v>
      </c>
      <c r="I427" s="867">
        <v>36</v>
      </c>
      <c r="J427" s="867">
        <v>144</v>
      </c>
      <c r="K427" s="868"/>
      <c r="L427" s="869"/>
      <c r="M427" s="867"/>
      <c r="N427" s="867"/>
      <c r="O427" s="867"/>
      <c r="P427" s="867"/>
      <c r="Q427" s="870"/>
      <c r="R427" s="867"/>
      <c r="S427" s="867"/>
      <c r="T427" s="379"/>
      <c r="U427" s="867"/>
      <c r="V427" s="867"/>
      <c r="W427" s="867"/>
      <c r="X427" s="867"/>
      <c r="Y427" s="867"/>
      <c r="Z427" s="867"/>
      <c r="AA427" s="867"/>
      <c r="AB427" s="867"/>
      <c r="AC427" s="867"/>
      <c r="AD427" s="867"/>
      <c r="AE427" s="867"/>
      <c r="AF427" s="867"/>
      <c r="AG427" s="867"/>
      <c r="AH427" s="867"/>
      <c r="AI427" s="867"/>
      <c r="AJ427" s="867"/>
      <c r="AK427" s="867"/>
      <c r="AL427" s="867"/>
      <c r="AM427" s="867"/>
      <c r="AN427" s="867"/>
      <c r="AO427" s="871"/>
      <c r="AP427" s="867"/>
      <c r="AQ427" s="867"/>
      <c r="AR427" s="872"/>
      <c r="AS427" s="867"/>
      <c r="AT427" s="867"/>
      <c r="AU427" s="867"/>
      <c r="AV427" s="867"/>
      <c r="AW427" s="867"/>
      <c r="AX427" s="873"/>
      <c r="AY427" s="871"/>
      <c r="AZ427" s="867"/>
      <c r="BA427" s="867"/>
      <c r="BB427" s="867"/>
      <c r="BC427" s="873"/>
      <c r="BD427" s="867"/>
      <c r="BE427" s="867"/>
      <c r="BF427" s="867"/>
      <c r="BG427" s="867"/>
      <c r="BH427" s="867"/>
      <c r="BI427" s="867"/>
      <c r="BJ427" s="867"/>
      <c r="BK427" s="867">
        <v>36</v>
      </c>
      <c r="BL427" s="867">
        <v>36</v>
      </c>
      <c r="BM427" s="873"/>
      <c r="BN427" s="874"/>
      <c r="BO427" s="872"/>
      <c r="BP427" s="873"/>
      <c r="BQ427" s="875" t="str">
        <f>IFERROR(WWWW[[#This Row],['#_Water sources treated]]/WWWW[[#This Row],['#_Water sources tested for contamination]],"no test")</f>
        <v>no test</v>
      </c>
      <c r="BR427" s="872" t="str">
        <f>IFERROR(WWWW[[#This Row],['#_Household received remediation action due to contamination]]/WWWW[[#This Row],['#_Household water samples tested for contamination]],"no test")</f>
        <v>no test</v>
      </c>
      <c r="BS427" s="874" t="str">
        <f>IF(AND(WWWW[[#This Row],[% of water sources treated]]="no test",WWWW[[#This Row],[% Household received corrective actions]]="no test"),"No Test","Tested")</f>
        <v>No Test</v>
      </c>
      <c r="BT427" s="874">
        <f>WWWW[[#This Row],['#_Constructed/existing protected hand dug well]]-WWWW[[#This Row],['#_Non-functional protected hand dug well]]</f>
        <v>0</v>
      </c>
      <c r="BU427" s="874">
        <f>(WWWW[[#This Row],['#_Constructed/Existing tube wells/boreholes/handpumps_WASH_agency]]+WWWW[[#This Row],['#_Non-Cluster partner water tube-wells/boreholes/handpumps]])-WWWW[[#This Row],['#_Non-functional tube wells/boreholes/handpumps]]</f>
        <v>0</v>
      </c>
      <c r="BV427" s="874">
        <f>WWWW[[#This Row],['#_Constructed/Existingwater storage tank with gravity fed reticulation system]]-WWWW[[#This Row],['#_Non-functional storage tank gravity fed reticulation system]]</f>
        <v>0</v>
      </c>
      <c r="BW427" s="874">
        <f>WWWW[[#This Row],['#_Water boating or water trucking]]</f>
        <v>0</v>
      </c>
      <c r="BX427" s="874">
        <f>WWWW[[#This Row],['#_Constructed/Existing water distribution system from river or natural spring]]</f>
        <v>0</v>
      </c>
      <c r="BY427"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27"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27" s="872">
        <f>IF(WWWW[[#This Row],[Location Type 1]]="Village",WWWW[[#This Row],[Access to safe drinking water for Village]],WWWW[[#This Row],[Access to safe drinking water for Camp]])</f>
        <v>0</v>
      </c>
      <c r="CB427" s="870">
        <f>WWWW[[#This Row],[%Equitable and continuous access to sufficient quantity of safe drinking water]]*WWWW[[#This Row],[Total PoP ]]</f>
        <v>0</v>
      </c>
      <c r="CC427" s="872">
        <f>IF((WWWW[[#This Row],['#_Constructed/Existing protected/fenced ponds]]*250)/WWWW[[#This Row],[Total PoP ]]&gt;1,1,(WWWW[[#This Row],['#_Constructed/Existing protected/fenced ponds]]*250)/WWWW[[#This Row],[Total PoP ]])</f>
        <v>0</v>
      </c>
      <c r="CD427" s="870">
        <f>WWWW[[#This Row],[% Access to unimproved water points]]*WWWW[[#This Row],[Total PoP ]]</f>
        <v>0</v>
      </c>
      <c r="CE427"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27"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27" s="870">
        <f>WWWW[[#This Row],[HRP1]]/500</f>
        <v>0</v>
      </c>
      <c r="CH427" s="876">
        <f>1-WWWW[[#This Row],[% Equitable and continuous access to sufficient quantity of domestic water]]</f>
        <v>1</v>
      </c>
      <c r="CI427" s="870">
        <f>WWWW[[#This Row],[%equitable and continuous access to sufficient quantity of safe drinking and domestic water''s GAP]]*WWWW[[#This Row],[Total PoP ]]</f>
        <v>144</v>
      </c>
      <c r="CJ427" s="874">
        <f>IF(WWWW[[#This Row],[Total required water points]]-WWWW[[#This Row],['#Water points coverage]]&lt;0,0,WWWW[[#This Row],[Total required water points]]-WWWW[[#This Row],['#Water points coverage]])</f>
        <v>1</v>
      </c>
      <c r="CK427" s="874">
        <f>ROUND(IF(WWWW[[#This Row],[Total PoP ]]&lt;500,1,WWWW[[#This Row],[Total PoP ]]/500),0)</f>
        <v>1</v>
      </c>
      <c r="CL427" s="874">
        <f>(WWWW[[#This Row],['#_Constructed latrines_by_WASHAgencies]]+WWWW[[#This Row],['#_Non Cluster partner latrines]])-WWWW[[#This Row],['#_Non-functional latrines]]</f>
        <v>0</v>
      </c>
      <c r="CM427"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27"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27"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27" s="874">
        <f>IF(WWWW[[#This Row],[Location Type 1]]="Village","NA",IF(WWWW[[#This Row],['#_Constructed/Existing latrines in TLS]]*50&gt;WWWW[[#This Row],['#_students at TLS_CFS]],WWWW[[#This Row],['#_students at TLS_CFS]],(WWWW[[#This Row],['#_Constructed/Existing latrines in TLS]]*50)))</f>
        <v>0</v>
      </c>
      <c r="CQ427" s="874">
        <f>ROUND(IF(WWWW[[#This Row],[Location Type 1]]="camp",WWWW[[#This Row],[Total PoP ]]/20,IF(WWWW[[#This Row],[Location Type 1]]="Temporary Location",WWWW[[#This Row],[Total PoP ]]/50,(WWWW[[#This Row],[Total PoP ]]/6))),0)</f>
        <v>3</v>
      </c>
      <c r="CR427" s="874">
        <f>IF(WWWW[[#This Row],[Total required Latrines]]-(WWWW[[#This Row],['#_Constructed latrines_by_WASHAgencies]]+WWWW[[#This Row],['#_Non Cluster partner latrines]])&lt;0,0,WWWW[[#This Row],[Total required Latrines]]-(WWWW[[#This Row],['#_Constructed latrines_by_WASHAgencies]]+WWWW[[#This Row],['#_Non Cluster partner latrines]]))</f>
        <v>3</v>
      </c>
      <c r="CS427" s="878">
        <f>1-WWWW[[#This Row],[% people access to functioning Latrine]]</f>
        <v>1</v>
      </c>
      <c r="CT427" s="875">
        <f>IF(OR(WWWW[[#This Row],['#_Non-functional latrines]]="",WWWW[[#This Row],['#_Non-functional latrines]]=0),0,WWWW[[#This Row],['#_Non-functional latrines]]/(WWWW[[#This Row],['#_Constructed latrines_by_WASHAgencies]]+WWWW[[#This Row],['#_Non Cluster partner latrines]]))</f>
        <v>0</v>
      </c>
      <c r="CU427" s="870">
        <f>IF(500*(WWWW[[#This Row],['#_male hygiene promoters]]+WWWW[[#This Row],['#_female hygiene promoters]])&gt;WWWW[[#This Row],[Total PoP ]],WWWW[[#This Row],[Total PoP ]],500*(WWWW[[#This Row],['#_male hygiene promoters]]+WWWW[[#This Row],['#_female hygiene promoters]]))</f>
        <v>0</v>
      </c>
      <c r="CV427"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144</v>
      </c>
      <c r="CW427"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144</v>
      </c>
      <c r="CX427" s="874">
        <f>IF(WWWW[[#This Row],['# People with access to soap]]&gt;WWWW[[#This Row],['# People with access to Sanity Pads]],WWWW[[#This Row],['# People with access to soap]],WWWW[[#This Row],['# People with access to Sanity Pads]])</f>
        <v>144</v>
      </c>
      <c r="CY427" s="874">
        <f>IF(WWWW[[#This Row],['# people reached by regular dedicated hygiene promotion_5]]&gt;WWWW[[#This Row],['# People received regular supply of hygiene items_6]],WWWW[[#This Row],['# people reached by regular dedicated hygiene promotion_5]],WWWW[[#This Row],['# People received regular supply of hygiene items_6]])</f>
        <v>144</v>
      </c>
      <c r="CZ427" s="876">
        <f>IF(WWWW[[#This Row],[HRP3]]/WWWW[[#This Row],[Total PoP ]]&gt;100%,100%,WWWW[[#This Row],[HRP3]]/WWWW[[#This Row],[Total PoP ]])</f>
        <v>1</v>
      </c>
      <c r="DA427" s="875">
        <f>1-WWWW[[#This Row],[Hygiene Coverage%]]</f>
        <v>0</v>
      </c>
      <c r="DB427" s="872">
        <f>WWWW[[#This Row],['# people reached by regular dedicated hygiene promotion_5]]/WWWW[[#This Row],[Total PoP ]]</f>
        <v>0</v>
      </c>
      <c r="DC427" s="872">
        <f>IF(WWWW[[#This Row],['#_households that received standard amount of soap for this quarter]]/WWWW[[#This Row],[Total HH]]&gt;1,1,WWWW[[#This Row],['#_households that received standard amount of soap for this quarter]]/WWWW[[#This Row],[Total HH]])</f>
        <v>1</v>
      </c>
      <c r="DD427" s="872">
        <f>IF(WWWW[[#This Row],['#_households that received standard amount of sanitary pads for this quarter]]/WWWW[[#This Row],[Total HH]]&gt;1,1,WWWW[[#This Row],['#_households that received standard amount of sanitary pads for this quarter]]/WWWW[[#This Row],[Total HH]])</f>
        <v>1</v>
      </c>
      <c r="DE427" s="874">
        <f>WWWW[[#This Row],['#_Constructed/Existing hand washing stations]]-WWWW[[#This Row],['#_Non-Functional_hand_washing_stations]]</f>
        <v>0</v>
      </c>
      <c r="DF427" s="879" t="e">
        <f>WWWW[[#This Row],[Total HH]]*#REF!</f>
        <v>#REF!</v>
      </c>
      <c r="DG427" s="870">
        <f>IF(WWWW[[#This Row],[Is sufficient soap available for TLS? (Yes/No)]]="yes",WWWW[[#This Row],['#_Constructed/Existing hand washing stations at TLS]],0)</f>
        <v>0</v>
      </c>
      <c r="DH427" s="702">
        <f>IF(WWWW[[#This Row],['# Functional hand washing stations during reporting period]]*100&gt;WWWW[[#This Row],[Total PoP ]],WWWW[[#This Row],[Total PoP ]],WWWW[[#This Row],['# Functional hand washing stations during reporting period]]*100)</f>
        <v>0</v>
      </c>
      <c r="DI427" s="702" t="str">
        <f>IF(WWWW[[#This Row],['#_students at TLS_CFS]]="","No","Yes")</f>
        <v>No</v>
      </c>
      <c r="DJ427" s="873">
        <f>VLOOKUP(WWWW[[#This Row],[Site Name]],SiteDB6[[Site Name]:[CCCM Management]],6,FALSE)</f>
        <v>0</v>
      </c>
      <c r="DK427" s="873">
        <f>VLOOKUP(WWWW[[#This Row],[Site Name]],SiteDB6[[Site Name]:[CCCM Focal Agency]],7,FALSE)</f>
        <v>0</v>
      </c>
      <c r="DL427" s="873" t="str">
        <f>VLOOKUP(WWWW[[#This Row],[Site Name]],SiteDB6[[Site Name]:[Location Type 1]],9,FALSE)</f>
        <v>Temporary location</v>
      </c>
      <c r="DM427" s="873" t="str">
        <f>VLOOKUP(WWWW[[#This Row],[Site Name]],SiteDB6[[Site Name]:[Type of Accommodation]],10,FALSE)</f>
        <v>Temporary location</v>
      </c>
      <c r="DN427" s="873">
        <f>VLOOKUP(WWWW[[#This Row],[Site Name]],SiteDB6[[Site Name]:[Ethnic or GCA/NGCA]],11,FALSE)</f>
        <v>0</v>
      </c>
      <c r="DO427" s="873">
        <f>VLOOKUP(WWWW[[#This Row],[Site Name]],SiteDB6[[Site Name]:[Lat]],12,FALSE)</f>
        <v>20.454280853271499</v>
      </c>
      <c r="DP427" s="873">
        <f>VLOOKUP(WWWW[[#This Row],[Site Name]],SiteDB6[[Site Name]:[Long]],13,FALSE)</f>
        <v>93.281562805175795</v>
      </c>
      <c r="DQ427" s="873">
        <f>VLOOKUP(WWWW[[#This Row],[Site Name]],SiteDB6[[Site Name]:[Pcode]],3,FALSE)</f>
        <v>197047</v>
      </c>
      <c r="DR427" s="871" t="str">
        <f t="shared" si="13"/>
        <v>Covered</v>
      </c>
      <c r="DS427" s="871"/>
      <c r="DV427" s="661"/>
    </row>
    <row r="428" spans="1:126">
      <c r="A428" s="637" t="s">
        <v>2525</v>
      </c>
      <c r="B428" s="863" t="s">
        <v>3237</v>
      </c>
      <c r="C428" s="863" t="s">
        <v>3237</v>
      </c>
      <c r="D428" s="864"/>
      <c r="E428" s="865" t="s">
        <v>3014</v>
      </c>
      <c r="F428" s="864" t="s">
        <v>470</v>
      </c>
      <c r="G428" s="866" t="str">
        <f>VLOOKUP(WWWW[[#This Row],[Site Name]],SiteDB6[[Site Name]:[Location Type]],8,FALSE)</f>
        <v>New Temporary Site</v>
      </c>
      <c r="H428" s="864" t="s">
        <v>3256</v>
      </c>
      <c r="I428" s="867">
        <v>116</v>
      </c>
      <c r="J428" s="867">
        <v>508</v>
      </c>
      <c r="K428" s="868"/>
      <c r="L428" s="869"/>
      <c r="M428" s="867"/>
      <c r="N428" s="867"/>
      <c r="O428" s="867"/>
      <c r="P428" s="867"/>
      <c r="Q428" s="870"/>
      <c r="R428" s="867"/>
      <c r="S428" s="867"/>
      <c r="T428" s="379"/>
      <c r="U428" s="867"/>
      <c r="V428" s="867"/>
      <c r="W428" s="867"/>
      <c r="X428" s="867"/>
      <c r="Y428" s="867"/>
      <c r="Z428" s="867"/>
      <c r="AA428" s="867"/>
      <c r="AB428" s="867"/>
      <c r="AC428" s="867"/>
      <c r="AD428" s="867"/>
      <c r="AE428" s="867"/>
      <c r="AF428" s="867"/>
      <c r="AG428" s="867"/>
      <c r="AH428" s="867"/>
      <c r="AI428" s="867"/>
      <c r="AJ428" s="867"/>
      <c r="AK428" s="867"/>
      <c r="AL428" s="867"/>
      <c r="AM428" s="867"/>
      <c r="AN428" s="867"/>
      <c r="AO428" s="871"/>
      <c r="AP428" s="867">
        <v>10</v>
      </c>
      <c r="AQ428" s="867"/>
      <c r="AR428" s="872"/>
      <c r="AS428" s="867"/>
      <c r="AT428" s="867"/>
      <c r="AU428" s="867"/>
      <c r="AV428" s="867"/>
      <c r="AW428" s="867"/>
      <c r="AX428" s="873"/>
      <c r="AY428" s="871"/>
      <c r="AZ428" s="867"/>
      <c r="BA428" s="867"/>
      <c r="BB428" s="867"/>
      <c r="BC428" s="873"/>
      <c r="BD428" s="867"/>
      <c r="BE428" s="867"/>
      <c r="BF428" s="867"/>
      <c r="BG428" s="867"/>
      <c r="BH428" s="867"/>
      <c r="BI428" s="867"/>
      <c r="BJ428" s="867"/>
      <c r="BK428" s="867">
        <v>232</v>
      </c>
      <c r="BL428" s="867">
        <v>232</v>
      </c>
      <c r="BM428" s="873"/>
      <c r="BN428" s="874"/>
      <c r="BO428" s="872"/>
      <c r="BP428" s="873"/>
      <c r="BQ428" s="875" t="str">
        <f>IFERROR(WWWW[[#This Row],['#_Water sources treated]]/WWWW[[#This Row],['#_Water sources tested for contamination]],"no test")</f>
        <v>no test</v>
      </c>
      <c r="BR428" s="872" t="str">
        <f>IFERROR(WWWW[[#This Row],['#_Household received remediation action due to contamination]]/WWWW[[#This Row],['#_Household water samples tested for contamination]],"no test")</f>
        <v>no test</v>
      </c>
      <c r="BS428" s="874" t="str">
        <f>IF(AND(WWWW[[#This Row],[% of water sources treated]]="no test",WWWW[[#This Row],[% Household received corrective actions]]="no test"),"No Test","Tested")</f>
        <v>No Test</v>
      </c>
      <c r="BT428" s="874">
        <f>WWWW[[#This Row],['#_Constructed/existing protected hand dug well]]-WWWW[[#This Row],['#_Non-functional protected hand dug well]]</f>
        <v>0</v>
      </c>
      <c r="BU428" s="874">
        <f>(WWWW[[#This Row],['#_Constructed/Existing tube wells/boreholes/handpumps_WASH_agency]]+WWWW[[#This Row],['#_Non-Cluster partner water tube-wells/boreholes/handpumps]])-WWWW[[#This Row],['#_Non-functional tube wells/boreholes/handpumps]]</f>
        <v>0</v>
      </c>
      <c r="BV428" s="874">
        <f>WWWW[[#This Row],['#_Constructed/Existingwater storage tank with gravity fed reticulation system]]-WWWW[[#This Row],['#_Non-functional storage tank gravity fed reticulation system]]</f>
        <v>0</v>
      </c>
      <c r="BW428" s="874">
        <f>WWWW[[#This Row],['#_Water boating or water trucking]]</f>
        <v>0</v>
      </c>
      <c r="BX428" s="874">
        <f>WWWW[[#This Row],['#_Constructed/Existing water distribution system from river or natural spring]]</f>
        <v>0</v>
      </c>
      <c r="BY428"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28"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28" s="872">
        <f>IF(WWWW[[#This Row],[Location Type 1]]="Village",WWWW[[#This Row],[Access to safe drinking water for Village]],WWWW[[#This Row],[Access to safe drinking water for Camp]])</f>
        <v>0</v>
      </c>
      <c r="CB428" s="870">
        <f>WWWW[[#This Row],[%Equitable and continuous access to sufficient quantity of safe drinking water]]*WWWW[[#This Row],[Total PoP ]]</f>
        <v>0</v>
      </c>
      <c r="CC428" s="872">
        <f>IF((WWWW[[#This Row],['#_Constructed/Existing protected/fenced ponds]]*250)/WWWW[[#This Row],[Total PoP ]]&gt;1,1,(WWWW[[#This Row],['#_Constructed/Existing protected/fenced ponds]]*250)/WWWW[[#This Row],[Total PoP ]])</f>
        <v>0</v>
      </c>
      <c r="CD428" s="870">
        <f>WWWW[[#This Row],[% Access to unimproved water points]]*WWWW[[#This Row],[Total PoP ]]</f>
        <v>0</v>
      </c>
      <c r="CE428"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28"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28" s="870">
        <f>WWWW[[#This Row],[HRP1]]/500</f>
        <v>0</v>
      </c>
      <c r="CH428" s="876">
        <f>1-WWWW[[#This Row],[% Equitable and continuous access to sufficient quantity of domestic water]]</f>
        <v>1</v>
      </c>
      <c r="CI428" s="870">
        <f>WWWW[[#This Row],[%equitable and continuous access to sufficient quantity of safe drinking and domestic water''s GAP]]*WWWW[[#This Row],[Total PoP ]]</f>
        <v>508</v>
      </c>
      <c r="CJ428" s="874">
        <f>IF(WWWW[[#This Row],[Total required water points]]-WWWW[[#This Row],['#Water points coverage]]&lt;0,0,WWWW[[#This Row],[Total required water points]]-WWWW[[#This Row],['#Water points coverage]])</f>
        <v>1</v>
      </c>
      <c r="CK428" s="874">
        <f>ROUND(IF(WWWW[[#This Row],[Total PoP ]]&lt;500,1,WWWW[[#This Row],[Total PoP ]]/500),0)</f>
        <v>1</v>
      </c>
      <c r="CL428" s="874">
        <f>(WWWW[[#This Row],['#_Constructed latrines_by_WASHAgencies]]+WWWW[[#This Row],['#_Non Cluster partner latrines]])-WWWW[[#This Row],['#_Non-functional latrines]]</f>
        <v>10</v>
      </c>
      <c r="CM428"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0.98425196850393704</v>
      </c>
      <c r="CN428"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500</v>
      </c>
      <c r="CO428"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28" s="874">
        <f>IF(WWWW[[#This Row],[Location Type 1]]="Village","NA",IF(WWWW[[#This Row],['#_Constructed/Existing latrines in TLS]]*50&gt;WWWW[[#This Row],['#_students at TLS_CFS]],WWWW[[#This Row],['#_students at TLS_CFS]],(WWWW[[#This Row],['#_Constructed/Existing latrines in TLS]]*50)))</f>
        <v>0</v>
      </c>
      <c r="CQ428" s="874">
        <f>ROUND(IF(WWWW[[#This Row],[Location Type 1]]="camp",WWWW[[#This Row],[Total PoP ]]/20,IF(WWWW[[#This Row],[Location Type 1]]="Temporary Location",WWWW[[#This Row],[Total PoP ]]/50,(WWWW[[#This Row],[Total PoP ]]/6))),0)</f>
        <v>10</v>
      </c>
      <c r="CR428" s="874">
        <f>IF(WWWW[[#This Row],[Total required Latrines]]-(WWWW[[#This Row],['#_Constructed latrines_by_WASHAgencies]]+WWWW[[#This Row],['#_Non Cluster partner latrines]])&lt;0,0,WWWW[[#This Row],[Total required Latrines]]-(WWWW[[#This Row],['#_Constructed latrines_by_WASHAgencies]]+WWWW[[#This Row],['#_Non Cluster partner latrines]]))</f>
        <v>0</v>
      </c>
      <c r="CS428" s="878">
        <f>1-WWWW[[#This Row],[% people access to functioning Latrine]]</f>
        <v>1.5748031496062964E-2</v>
      </c>
      <c r="CT428" s="875">
        <f>IF(OR(WWWW[[#This Row],['#_Non-functional latrines]]="",WWWW[[#This Row],['#_Non-functional latrines]]=0),0,WWWW[[#This Row],['#_Non-functional latrines]]/(WWWW[[#This Row],['#_Constructed latrines_by_WASHAgencies]]+WWWW[[#This Row],['#_Non Cluster partner latrines]]))</f>
        <v>0</v>
      </c>
      <c r="CU428" s="870">
        <f>IF(500*(WWWW[[#This Row],['#_male hygiene promoters]]+WWWW[[#This Row],['#_female hygiene promoters]])&gt;WWWW[[#This Row],[Total PoP ]],WWWW[[#This Row],[Total PoP ]],500*(WWWW[[#This Row],['#_male hygiene promoters]]+WWWW[[#This Row],['#_female hygiene promoters]]))</f>
        <v>0</v>
      </c>
      <c r="CV428"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508</v>
      </c>
      <c r="CW428"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508</v>
      </c>
      <c r="CX428" s="874">
        <f>IF(WWWW[[#This Row],['# People with access to soap]]&gt;WWWW[[#This Row],['# People with access to Sanity Pads]],WWWW[[#This Row],['# People with access to soap]],WWWW[[#This Row],['# People with access to Sanity Pads]])</f>
        <v>508</v>
      </c>
      <c r="CY428" s="874">
        <f>IF(WWWW[[#This Row],['# people reached by regular dedicated hygiene promotion_5]]&gt;WWWW[[#This Row],['# People received regular supply of hygiene items_6]],WWWW[[#This Row],['# people reached by regular dedicated hygiene promotion_5]],WWWW[[#This Row],['# People received regular supply of hygiene items_6]])</f>
        <v>508</v>
      </c>
      <c r="CZ428" s="876">
        <f>IF(WWWW[[#This Row],[HRP3]]/WWWW[[#This Row],[Total PoP ]]&gt;100%,100%,WWWW[[#This Row],[HRP3]]/WWWW[[#This Row],[Total PoP ]])</f>
        <v>1</v>
      </c>
      <c r="DA428" s="875">
        <f>1-WWWW[[#This Row],[Hygiene Coverage%]]</f>
        <v>0</v>
      </c>
      <c r="DB428" s="872">
        <f>WWWW[[#This Row],['# people reached by regular dedicated hygiene promotion_5]]/WWWW[[#This Row],[Total PoP ]]</f>
        <v>0</v>
      </c>
      <c r="DC428" s="872">
        <f>IF(WWWW[[#This Row],['#_households that received standard amount of soap for this quarter]]/WWWW[[#This Row],[Total HH]]&gt;1,1,WWWW[[#This Row],['#_households that received standard amount of soap for this quarter]]/WWWW[[#This Row],[Total HH]])</f>
        <v>1</v>
      </c>
      <c r="DD428" s="872">
        <f>IF(WWWW[[#This Row],['#_households that received standard amount of sanitary pads for this quarter]]/WWWW[[#This Row],[Total HH]]&gt;1,1,WWWW[[#This Row],['#_households that received standard amount of sanitary pads for this quarter]]/WWWW[[#This Row],[Total HH]])</f>
        <v>1</v>
      </c>
      <c r="DE428" s="874">
        <f>WWWW[[#This Row],['#_Constructed/Existing hand washing stations]]-WWWW[[#This Row],['#_Non-Functional_hand_washing_stations]]</f>
        <v>0</v>
      </c>
      <c r="DF428" s="879" t="e">
        <f>WWWW[[#This Row],[Total HH]]*#REF!</f>
        <v>#REF!</v>
      </c>
      <c r="DG428" s="870">
        <f>IF(WWWW[[#This Row],[Is sufficient soap available for TLS? (Yes/No)]]="yes",WWWW[[#This Row],['#_Constructed/Existing hand washing stations at TLS]],0)</f>
        <v>0</v>
      </c>
      <c r="DH428" s="702">
        <f>IF(WWWW[[#This Row],['# Functional hand washing stations during reporting period]]*100&gt;WWWW[[#This Row],[Total PoP ]],WWWW[[#This Row],[Total PoP ]],WWWW[[#This Row],['# Functional hand washing stations during reporting period]]*100)</f>
        <v>0</v>
      </c>
      <c r="DI428" s="702" t="str">
        <f>IF(WWWW[[#This Row],['#_students at TLS_CFS]]="","No","Yes")</f>
        <v>No</v>
      </c>
      <c r="DJ428" s="873">
        <f>VLOOKUP(WWWW[[#This Row],[Site Name]],SiteDB6[[Site Name]:[CCCM Management]],6,FALSE)</f>
        <v>0</v>
      </c>
      <c r="DK428" s="873">
        <f>VLOOKUP(WWWW[[#This Row],[Site Name]],SiteDB6[[Site Name]:[CCCM Focal Agency]],7,FALSE)</f>
        <v>0</v>
      </c>
      <c r="DL428" s="873" t="str">
        <f>VLOOKUP(WWWW[[#This Row],[Site Name]],SiteDB6[[Site Name]:[Location Type 1]],9,FALSE)</f>
        <v>Temporary location</v>
      </c>
      <c r="DM428" s="873" t="str">
        <f>VLOOKUP(WWWW[[#This Row],[Site Name]],SiteDB6[[Site Name]:[Type of Accommodation]],10,FALSE)</f>
        <v>Temporary location</v>
      </c>
      <c r="DN428" s="873" t="str">
        <f>VLOOKUP(WWWW[[#This Row],[Site Name]],SiteDB6[[Site Name]:[Ethnic or GCA/NGCA]],11,FALSE)</f>
        <v>Mro/ Kha Mee</v>
      </c>
      <c r="DO428" s="873">
        <f>VLOOKUP(WWWW[[#This Row],[Site Name]],SiteDB6[[Site Name]:[Lat]],12,FALSE)</f>
        <v>20.61741065979</v>
      </c>
      <c r="DP428" s="873">
        <f>VLOOKUP(WWWW[[#This Row],[Site Name]],SiteDB6[[Site Name]:[Long]],13,FALSE)</f>
        <v>92.932502746582003</v>
      </c>
      <c r="DQ428" s="873">
        <f>VLOOKUP(WWWW[[#This Row],[Site Name]],SiteDB6[[Site Name]:[Pcode]],3,FALSE)</f>
        <v>196310</v>
      </c>
      <c r="DR428" s="871" t="str">
        <f t="shared" si="13"/>
        <v>Covered</v>
      </c>
      <c r="DS428" s="871"/>
      <c r="DV428" s="661"/>
    </row>
    <row r="429" spans="1:126">
      <c r="A429" s="637" t="s">
        <v>2525</v>
      </c>
      <c r="B429" s="863" t="s">
        <v>3216</v>
      </c>
      <c r="C429" s="863" t="s">
        <v>3216</v>
      </c>
      <c r="D429" s="864"/>
      <c r="E429" s="865" t="s">
        <v>3014</v>
      </c>
      <c r="F429" s="864" t="s">
        <v>470</v>
      </c>
      <c r="G429" s="866" t="str">
        <f>VLOOKUP(WWWW[[#This Row],[Site Name]],SiteDB6[[Site Name]:[Location Type]],8,FALSE)</f>
        <v>New Temporary Site</v>
      </c>
      <c r="H429" s="864" t="s">
        <v>3149</v>
      </c>
      <c r="I429" s="867">
        <v>58</v>
      </c>
      <c r="J429" s="867">
        <v>332</v>
      </c>
      <c r="K429" s="868"/>
      <c r="L429" s="869"/>
      <c r="M429" s="867"/>
      <c r="N429" s="867"/>
      <c r="O429" s="867"/>
      <c r="P429" s="867"/>
      <c r="Q429" s="870"/>
      <c r="R429" s="867"/>
      <c r="S429" s="867"/>
      <c r="T429" s="379"/>
      <c r="U429" s="867"/>
      <c r="V429" s="867"/>
      <c r="W429" s="867"/>
      <c r="X429" s="867"/>
      <c r="Y429" s="867"/>
      <c r="Z429" s="867"/>
      <c r="AA429" s="867"/>
      <c r="AB429" s="867"/>
      <c r="AC429" s="867"/>
      <c r="AD429" s="867"/>
      <c r="AE429" s="867"/>
      <c r="AF429" s="867"/>
      <c r="AG429" s="867"/>
      <c r="AH429" s="867"/>
      <c r="AI429" s="867"/>
      <c r="AJ429" s="867"/>
      <c r="AK429" s="867"/>
      <c r="AL429" s="867"/>
      <c r="AM429" s="867"/>
      <c r="AN429" s="867"/>
      <c r="AO429" s="871"/>
      <c r="AP429" s="867">
        <v>47</v>
      </c>
      <c r="AQ429" s="867"/>
      <c r="AR429" s="872"/>
      <c r="AS429" s="867"/>
      <c r="AT429" s="867"/>
      <c r="AU429" s="867"/>
      <c r="AV429" s="867"/>
      <c r="AW429" s="867"/>
      <c r="AX429" s="873"/>
      <c r="AY429" s="871"/>
      <c r="AZ429" s="867"/>
      <c r="BA429" s="867"/>
      <c r="BB429" s="867"/>
      <c r="BC429" s="873"/>
      <c r="BD429" s="867"/>
      <c r="BE429" s="867"/>
      <c r="BF429" s="867"/>
      <c r="BG429" s="867"/>
      <c r="BH429" s="867"/>
      <c r="BI429" s="867"/>
      <c r="BJ429" s="867"/>
      <c r="BK429" s="867">
        <v>58</v>
      </c>
      <c r="BL429" s="867">
        <v>58</v>
      </c>
      <c r="BM429" s="873"/>
      <c r="BN429" s="874"/>
      <c r="BO429" s="872"/>
      <c r="BP429" s="873"/>
      <c r="BQ429" s="875" t="str">
        <f>IFERROR(WWWW[[#This Row],['#_Water sources treated]]/WWWW[[#This Row],['#_Water sources tested for contamination]],"no test")</f>
        <v>no test</v>
      </c>
      <c r="BR429" s="872" t="str">
        <f>IFERROR(WWWW[[#This Row],['#_Household received remediation action due to contamination]]/WWWW[[#This Row],['#_Household water samples tested for contamination]],"no test")</f>
        <v>no test</v>
      </c>
      <c r="BS429" s="874" t="str">
        <f>IF(AND(WWWW[[#This Row],[% of water sources treated]]="no test",WWWW[[#This Row],[% Household received corrective actions]]="no test"),"No Test","Tested")</f>
        <v>No Test</v>
      </c>
      <c r="BT429" s="874">
        <f>WWWW[[#This Row],['#_Constructed/existing protected hand dug well]]-WWWW[[#This Row],['#_Non-functional protected hand dug well]]</f>
        <v>0</v>
      </c>
      <c r="BU429" s="874">
        <f>(WWWW[[#This Row],['#_Constructed/Existing tube wells/boreholes/handpumps_WASH_agency]]+WWWW[[#This Row],['#_Non-Cluster partner water tube-wells/boreholes/handpumps]])-WWWW[[#This Row],['#_Non-functional tube wells/boreholes/handpumps]]</f>
        <v>0</v>
      </c>
      <c r="BV429" s="874">
        <f>WWWW[[#This Row],['#_Constructed/Existingwater storage tank with gravity fed reticulation system]]-WWWW[[#This Row],['#_Non-functional storage tank gravity fed reticulation system]]</f>
        <v>0</v>
      </c>
      <c r="BW429" s="874">
        <f>WWWW[[#This Row],['#_Water boating or water trucking]]</f>
        <v>0</v>
      </c>
      <c r="BX429" s="874">
        <f>WWWW[[#This Row],['#_Constructed/Existing water distribution system from river or natural spring]]</f>
        <v>0</v>
      </c>
      <c r="BY429"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29"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29" s="872">
        <f>IF(WWWW[[#This Row],[Location Type 1]]="Village",WWWW[[#This Row],[Access to safe drinking water for Village]],WWWW[[#This Row],[Access to safe drinking water for Camp]])</f>
        <v>0</v>
      </c>
      <c r="CB429" s="870">
        <f>WWWW[[#This Row],[%Equitable and continuous access to sufficient quantity of safe drinking water]]*WWWW[[#This Row],[Total PoP ]]</f>
        <v>0</v>
      </c>
      <c r="CC429" s="872">
        <f>IF((WWWW[[#This Row],['#_Constructed/Existing protected/fenced ponds]]*250)/WWWW[[#This Row],[Total PoP ]]&gt;1,1,(WWWW[[#This Row],['#_Constructed/Existing protected/fenced ponds]]*250)/WWWW[[#This Row],[Total PoP ]])</f>
        <v>0</v>
      </c>
      <c r="CD429" s="870">
        <f>WWWW[[#This Row],[% Access to unimproved water points]]*WWWW[[#This Row],[Total PoP ]]</f>
        <v>0</v>
      </c>
      <c r="CE429"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29"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29" s="870">
        <f>WWWW[[#This Row],[HRP1]]/500</f>
        <v>0</v>
      </c>
      <c r="CH429" s="876">
        <f>1-WWWW[[#This Row],[% Equitable and continuous access to sufficient quantity of domestic water]]</f>
        <v>1</v>
      </c>
      <c r="CI429" s="870">
        <f>WWWW[[#This Row],[%equitable and continuous access to sufficient quantity of safe drinking and domestic water''s GAP]]*WWWW[[#This Row],[Total PoP ]]</f>
        <v>332</v>
      </c>
      <c r="CJ429" s="874">
        <f>IF(WWWW[[#This Row],[Total required water points]]-WWWW[[#This Row],['#Water points coverage]]&lt;0,0,WWWW[[#This Row],[Total required water points]]-WWWW[[#This Row],['#Water points coverage]])</f>
        <v>1</v>
      </c>
      <c r="CK429" s="874">
        <f>ROUND(IF(WWWW[[#This Row],[Total PoP ]]&lt;500,1,WWWW[[#This Row],[Total PoP ]]/500),0)</f>
        <v>1</v>
      </c>
      <c r="CL429" s="874">
        <f>(WWWW[[#This Row],['#_Constructed latrines_by_WASHAgencies]]+WWWW[[#This Row],['#_Non Cluster partner latrines]])-WWWW[[#This Row],['#_Non-functional latrines]]</f>
        <v>47</v>
      </c>
      <c r="CM429"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429"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332</v>
      </c>
      <c r="CO429"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29" s="874">
        <f>IF(WWWW[[#This Row],[Location Type 1]]="Village","NA",IF(WWWW[[#This Row],['#_Constructed/Existing latrines in TLS]]*50&gt;WWWW[[#This Row],['#_students at TLS_CFS]],WWWW[[#This Row],['#_students at TLS_CFS]],(WWWW[[#This Row],['#_Constructed/Existing latrines in TLS]]*50)))</f>
        <v>0</v>
      </c>
      <c r="CQ429" s="874">
        <f>ROUND(IF(WWWW[[#This Row],[Location Type 1]]="camp",WWWW[[#This Row],[Total PoP ]]/20,IF(WWWW[[#This Row],[Location Type 1]]="Temporary Location",WWWW[[#This Row],[Total PoP ]]/50,(WWWW[[#This Row],[Total PoP ]]/6))),0)</f>
        <v>7</v>
      </c>
      <c r="CR429" s="874">
        <f>IF(WWWW[[#This Row],[Total required Latrines]]-(WWWW[[#This Row],['#_Constructed latrines_by_WASHAgencies]]+WWWW[[#This Row],['#_Non Cluster partner latrines]])&lt;0,0,WWWW[[#This Row],[Total required Latrines]]-(WWWW[[#This Row],['#_Constructed latrines_by_WASHAgencies]]+WWWW[[#This Row],['#_Non Cluster partner latrines]]))</f>
        <v>0</v>
      </c>
      <c r="CS429" s="878">
        <f>1-WWWW[[#This Row],[% people access to functioning Latrine]]</f>
        <v>0</v>
      </c>
      <c r="CT429" s="875">
        <f>IF(OR(WWWW[[#This Row],['#_Non-functional latrines]]="",WWWW[[#This Row],['#_Non-functional latrines]]=0),0,WWWW[[#This Row],['#_Non-functional latrines]]/(WWWW[[#This Row],['#_Constructed latrines_by_WASHAgencies]]+WWWW[[#This Row],['#_Non Cluster partner latrines]]))</f>
        <v>0</v>
      </c>
      <c r="CU429" s="870">
        <f>IF(500*(WWWW[[#This Row],['#_male hygiene promoters]]+WWWW[[#This Row],['#_female hygiene promoters]])&gt;WWWW[[#This Row],[Total PoP ]],WWWW[[#This Row],[Total PoP ]],500*(WWWW[[#This Row],['#_male hygiene promoters]]+WWWW[[#This Row],['#_female hygiene promoters]]))</f>
        <v>0</v>
      </c>
      <c r="CV429"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332</v>
      </c>
      <c r="CW429"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332</v>
      </c>
      <c r="CX429" s="874">
        <f>IF(WWWW[[#This Row],['# People with access to soap]]&gt;WWWW[[#This Row],['# People with access to Sanity Pads]],WWWW[[#This Row],['# People with access to soap]],WWWW[[#This Row],['# People with access to Sanity Pads]])</f>
        <v>332</v>
      </c>
      <c r="CY429" s="874">
        <f>IF(WWWW[[#This Row],['# people reached by regular dedicated hygiene promotion_5]]&gt;WWWW[[#This Row],['# People received regular supply of hygiene items_6]],WWWW[[#This Row],['# people reached by regular dedicated hygiene promotion_5]],WWWW[[#This Row],['# People received regular supply of hygiene items_6]])</f>
        <v>332</v>
      </c>
      <c r="CZ429" s="876">
        <f>IF(WWWW[[#This Row],[HRP3]]/WWWW[[#This Row],[Total PoP ]]&gt;100%,100%,WWWW[[#This Row],[HRP3]]/WWWW[[#This Row],[Total PoP ]])</f>
        <v>1</v>
      </c>
      <c r="DA429" s="875">
        <f>1-WWWW[[#This Row],[Hygiene Coverage%]]</f>
        <v>0</v>
      </c>
      <c r="DB429" s="872">
        <f>WWWW[[#This Row],['# people reached by regular dedicated hygiene promotion_5]]/WWWW[[#This Row],[Total PoP ]]</f>
        <v>0</v>
      </c>
      <c r="DC429" s="872">
        <f>IF(WWWW[[#This Row],['#_households that received standard amount of soap for this quarter]]/WWWW[[#This Row],[Total HH]]&gt;1,1,WWWW[[#This Row],['#_households that received standard amount of soap for this quarter]]/WWWW[[#This Row],[Total HH]])</f>
        <v>1</v>
      </c>
      <c r="DD429" s="872">
        <f>IF(WWWW[[#This Row],['#_households that received standard amount of sanitary pads for this quarter]]/WWWW[[#This Row],[Total HH]]&gt;1,1,WWWW[[#This Row],['#_households that received standard amount of sanitary pads for this quarter]]/WWWW[[#This Row],[Total HH]])</f>
        <v>1</v>
      </c>
      <c r="DE429" s="874">
        <f>WWWW[[#This Row],['#_Constructed/Existing hand washing stations]]-WWWW[[#This Row],['#_Non-Functional_hand_washing_stations]]</f>
        <v>0</v>
      </c>
      <c r="DF429" s="879" t="e">
        <f>WWWW[[#This Row],[Total HH]]*#REF!</f>
        <v>#REF!</v>
      </c>
      <c r="DG429" s="870">
        <f>IF(WWWW[[#This Row],[Is sufficient soap available for TLS? (Yes/No)]]="yes",WWWW[[#This Row],['#_Constructed/Existing hand washing stations at TLS]],0)</f>
        <v>0</v>
      </c>
      <c r="DH429" s="702">
        <f>IF(WWWW[[#This Row],['# Functional hand washing stations during reporting period]]*100&gt;WWWW[[#This Row],[Total PoP ]],WWWW[[#This Row],[Total PoP ]],WWWW[[#This Row],['# Functional hand washing stations during reporting period]]*100)</f>
        <v>0</v>
      </c>
      <c r="DI429" s="702" t="str">
        <f>IF(WWWW[[#This Row],['#_students at TLS_CFS]]="","No","Yes")</f>
        <v>No</v>
      </c>
      <c r="DJ429" s="873">
        <f>VLOOKUP(WWWW[[#This Row],[Site Name]],SiteDB6[[Site Name]:[CCCM Management]],6,FALSE)</f>
        <v>0</v>
      </c>
      <c r="DK429" s="873">
        <f>VLOOKUP(WWWW[[#This Row],[Site Name]],SiteDB6[[Site Name]:[CCCM Focal Agency]],7,FALSE)</f>
        <v>0</v>
      </c>
      <c r="DL429" s="873" t="str">
        <f>VLOOKUP(WWWW[[#This Row],[Site Name]],SiteDB6[[Site Name]:[Location Type 1]],9,FALSE)</f>
        <v>Temporary location</v>
      </c>
      <c r="DM429" s="873" t="str">
        <f>VLOOKUP(WWWW[[#This Row],[Site Name]],SiteDB6[[Site Name]:[Type of Accommodation]],10,FALSE)</f>
        <v>Temporary location</v>
      </c>
      <c r="DN429" s="873">
        <f>VLOOKUP(WWWW[[#This Row],[Site Name]],SiteDB6[[Site Name]:[Ethnic or GCA/NGCA]],11,FALSE)</f>
        <v>0</v>
      </c>
      <c r="DO429" s="873">
        <f>VLOOKUP(WWWW[[#This Row],[Site Name]],SiteDB6[[Site Name]:[Lat]],12,FALSE)</f>
        <v>20.643140792846701</v>
      </c>
      <c r="DP429" s="873">
        <f>VLOOKUP(WWWW[[#This Row],[Site Name]],SiteDB6[[Site Name]:[Long]],13,FALSE)</f>
        <v>92.851875305175795</v>
      </c>
      <c r="DQ429" s="873">
        <f>VLOOKUP(WWWW[[#This Row],[Site Name]],SiteDB6[[Site Name]:[Pcode]],3,FALSE)</f>
        <v>196217</v>
      </c>
      <c r="DR429" s="871" t="str">
        <f t="shared" si="13"/>
        <v>Covered</v>
      </c>
      <c r="DS429" s="871"/>
      <c r="DV429" s="661"/>
    </row>
    <row r="430" spans="1:126">
      <c r="A430" s="637" t="s">
        <v>2525</v>
      </c>
      <c r="B430" s="863" t="s">
        <v>3167</v>
      </c>
      <c r="C430" s="863" t="s">
        <v>3167</v>
      </c>
      <c r="D430" s="864"/>
      <c r="E430" s="865" t="s">
        <v>3014</v>
      </c>
      <c r="F430" s="864" t="s">
        <v>470</v>
      </c>
      <c r="G430" s="866" t="str">
        <f>VLOOKUP(WWWW[[#This Row],[Site Name]],SiteDB6[[Site Name]:[Location Type]],8,FALSE)</f>
        <v>New Temporary Site</v>
      </c>
      <c r="H430" s="701" t="s">
        <v>3257</v>
      </c>
      <c r="I430" s="867">
        <v>94</v>
      </c>
      <c r="J430" s="867">
        <v>376</v>
      </c>
      <c r="K430" s="868"/>
      <c r="L430" s="869"/>
      <c r="M430" s="867"/>
      <c r="N430" s="867"/>
      <c r="O430" s="867"/>
      <c r="P430" s="867"/>
      <c r="Q430" s="870"/>
      <c r="R430" s="867"/>
      <c r="S430" s="867"/>
      <c r="T430" s="379"/>
      <c r="U430" s="867"/>
      <c r="V430" s="867"/>
      <c r="W430" s="867"/>
      <c r="X430" s="867"/>
      <c r="Y430" s="867"/>
      <c r="Z430" s="867"/>
      <c r="AA430" s="867"/>
      <c r="AB430" s="867"/>
      <c r="AC430" s="867"/>
      <c r="AD430" s="867"/>
      <c r="AE430" s="867"/>
      <c r="AF430" s="867"/>
      <c r="AG430" s="867"/>
      <c r="AH430" s="867"/>
      <c r="AI430" s="867"/>
      <c r="AJ430" s="867"/>
      <c r="AK430" s="867"/>
      <c r="AL430" s="867"/>
      <c r="AM430" s="867"/>
      <c r="AN430" s="867"/>
      <c r="AO430" s="871"/>
      <c r="AP430" s="867">
        <v>14</v>
      </c>
      <c r="AQ430" s="867"/>
      <c r="AR430" s="872"/>
      <c r="AS430" s="867"/>
      <c r="AT430" s="867"/>
      <c r="AU430" s="867"/>
      <c r="AV430" s="867"/>
      <c r="AW430" s="867"/>
      <c r="AX430" s="873"/>
      <c r="AY430" s="871"/>
      <c r="AZ430" s="867"/>
      <c r="BA430" s="867"/>
      <c r="BB430" s="867"/>
      <c r="BC430" s="873"/>
      <c r="BD430" s="867"/>
      <c r="BE430" s="867"/>
      <c r="BF430" s="867"/>
      <c r="BG430" s="867"/>
      <c r="BH430" s="867"/>
      <c r="BI430" s="867"/>
      <c r="BJ430" s="867"/>
      <c r="BK430" s="867"/>
      <c r="BL430" s="867"/>
      <c r="BM430" s="873"/>
      <c r="BN430" s="874"/>
      <c r="BO430" s="872"/>
      <c r="BP430" s="873"/>
      <c r="BQ430" s="875" t="str">
        <f>IFERROR(WWWW[[#This Row],['#_Water sources treated]]/WWWW[[#This Row],['#_Water sources tested for contamination]],"no test")</f>
        <v>no test</v>
      </c>
      <c r="BR430" s="872" t="str">
        <f>IFERROR(WWWW[[#This Row],['#_Household received remediation action due to contamination]]/WWWW[[#This Row],['#_Household water samples tested for contamination]],"no test")</f>
        <v>no test</v>
      </c>
      <c r="BS430" s="874" t="str">
        <f>IF(AND(WWWW[[#This Row],[% of water sources treated]]="no test",WWWW[[#This Row],[% Household received corrective actions]]="no test"),"No Test","Tested")</f>
        <v>No Test</v>
      </c>
      <c r="BT430" s="874">
        <f>WWWW[[#This Row],['#_Constructed/existing protected hand dug well]]-WWWW[[#This Row],['#_Non-functional protected hand dug well]]</f>
        <v>0</v>
      </c>
      <c r="BU430" s="874">
        <f>(WWWW[[#This Row],['#_Constructed/Existing tube wells/boreholes/handpumps_WASH_agency]]+WWWW[[#This Row],['#_Non-Cluster partner water tube-wells/boreholes/handpumps]])-WWWW[[#This Row],['#_Non-functional tube wells/boreholes/handpumps]]</f>
        <v>0</v>
      </c>
      <c r="BV430" s="874">
        <f>WWWW[[#This Row],['#_Constructed/Existingwater storage tank with gravity fed reticulation system]]-WWWW[[#This Row],['#_Non-functional storage tank gravity fed reticulation system]]</f>
        <v>0</v>
      </c>
      <c r="BW430" s="874">
        <f>WWWW[[#This Row],['#_Water boating or water trucking]]</f>
        <v>0</v>
      </c>
      <c r="BX430" s="874">
        <f>WWWW[[#This Row],['#_Constructed/Existing water distribution system from river or natural spring]]</f>
        <v>0</v>
      </c>
      <c r="BY430"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30"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30" s="872">
        <f>IF(WWWW[[#This Row],[Location Type 1]]="Village",WWWW[[#This Row],[Access to safe drinking water for Village]],WWWW[[#This Row],[Access to safe drinking water for Camp]])</f>
        <v>0</v>
      </c>
      <c r="CB430" s="870">
        <f>WWWW[[#This Row],[%Equitable and continuous access to sufficient quantity of safe drinking water]]*WWWW[[#This Row],[Total PoP ]]</f>
        <v>0</v>
      </c>
      <c r="CC430" s="872">
        <f>IF((WWWW[[#This Row],['#_Constructed/Existing protected/fenced ponds]]*250)/WWWW[[#This Row],[Total PoP ]]&gt;1,1,(WWWW[[#This Row],['#_Constructed/Existing protected/fenced ponds]]*250)/WWWW[[#This Row],[Total PoP ]])</f>
        <v>0</v>
      </c>
      <c r="CD430" s="870">
        <f>WWWW[[#This Row],[% Access to unimproved water points]]*WWWW[[#This Row],[Total PoP ]]</f>
        <v>0</v>
      </c>
      <c r="CE430"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30"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30" s="870">
        <f>WWWW[[#This Row],[HRP1]]/500</f>
        <v>0</v>
      </c>
      <c r="CH430" s="876">
        <f>1-WWWW[[#This Row],[% Equitable and continuous access to sufficient quantity of domestic water]]</f>
        <v>1</v>
      </c>
      <c r="CI430" s="870">
        <f>WWWW[[#This Row],[%equitable and continuous access to sufficient quantity of safe drinking and domestic water''s GAP]]*WWWW[[#This Row],[Total PoP ]]</f>
        <v>376</v>
      </c>
      <c r="CJ430" s="874">
        <f>IF(WWWW[[#This Row],[Total required water points]]-WWWW[[#This Row],['#Water points coverage]]&lt;0,0,WWWW[[#This Row],[Total required water points]]-WWWW[[#This Row],['#Water points coverage]])</f>
        <v>1</v>
      </c>
      <c r="CK430" s="874">
        <f>ROUND(IF(WWWW[[#This Row],[Total PoP ]]&lt;500,1,WWWW[[#This Row],[Total PoP ]]/500),0)</f>
        <v>1</v>
      </c>
      <c r="CL430" s="874">
        <f>(WWWW[[#This Row],['#_Constructed latrines_by_WASHAgencies]]+WWWW[[#This Row],['#_Non Cluster partner latrines]])-WWWW[[#This Row],['#_Non-functional latrines]]</f>
        <v>14</v>
      </c>
      <c r="CM430"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430"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376</v>
      </c>
      <c r="CO430"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30" s="874">
        <f>IF(WWWW[[#This Row],[Location Type 1]]="Village","NA",IF(WWWW[[#This Row],['#_Constructed/Existing latrines in TLS]]*50&gt;WWWW[[#This Row],['#_students at TLS_CFS]],WWWW[[#This Row],['#_students at TLS_CFS]],(WWWW[[#This Row],['#_Constructed/Existing latrines in TLS]]*50)))</f>
        <v>0</v>
      </c>
      <c r="CQ430" s="874">
        <f>ROUND(IF(WWWW[[#This Row],[Location Type 1]]="camp",WWWW[[#This Row],[Total PoP ]]/20,IF(WWWW[[#This Row],[Location Type 1]]="Temporary Location",WWWW[[#This Row],[Total PoP ]]/50,(WWWW[[#This Row],[Total PoP ]]/6))),0)</f>
        <v>8</v>
      </c>
      <c r="CR430" s="874">
        <f>IF(WWWW[[#This Row],[Total required Latrines]]-(WWWW[[#This Row],['#_Constructed latrines_by_WASHAgencies]]+WWWW[[#This Row],['#_Non Cluster partner latrines]])&lt;0,0,WWWW[[#This Row],[Total required Latrines]]-(WWWW[[#This Row],['#_Constructed latrines_by_WASHAgencies]]+WWWW[[#This Row],['#_Non Cluster partner latrines]]))</f>
        <v>0</v>
      </c>
      <c r="CS430" s="878">
        <f>1-WWWW[[#This Row],[% people access to functioning Latrine]]</f>
        <v>0</v>
      </c>
      <c r="CT430" s="875">
        <f>IF(OR(WWWW[[#This Row],['#_Non-functional latrines]]="",WWWW[[#This Row],['#_Non-functional latrines]]=0),0,WWWW[[#This Row],['#_Non-functional latrines]]/(WWWW[[#This Row],['#_Constructed latrines_by_WASHAgencies]]+WWWW[[#This Row],['#_Non Cluster partner latrines]]))</f>
        <v>0</v>
      </c>
      <c r="CU430" s="870">
        <f>IF(500*(WWWW[[#This Row],['#_male hygiene promoters]]+WWWW[[#This Row],['#_female hygiene promoters]])&gt;WWWW[[#This Row],[Total PoP ]],WWWW[[#This Row],[Total PoP ]],500*(WWWW[[#This Row],['#_male hygiene promoters]]+WWWW[[#This Row],['#_female hygiene promoters]]))</f>
        <v>0</v>
      </c>
      <c r="CV430"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30"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30" s="874">
        <f>IF(WWWW[[#This Row],['# People with access to soap]]&gt;WWWW[[#This Row],['# People with access to Sanity Pads]],WWWW[[#This Row],['# People with access to soap]],WWWW[[#This Row],['# People with access to Sanity Pads]])</f>
        <v>0</v>
      </c>
      <c r="CY430"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30" s="876">
        <f>IF(WWWW[[#This Row],[HRP3]]/WWWW[[#This Row],[Total PoP ]]&gt;100%,100%,WWWW[[#This Row],[HRP3]]/WWWW[[#This Row],[Total PoP ]])</f>
        <v>0</v>
      </c>
      <c r="DA430" s="875">
        <f>1-WWWW[[#This Row],[Hygiene Coverage%]]</f>
        <v>1</v>
      </c>
      <c r="DB430" s="872">
        <f>WWWW[[#This Row],['# people reached by regular dedicated hygiene promotion_5]]/WWWW[[#This Row],[Total PoP ]]</f>
        <v>0</v>
      </c>
      <c r="DC430" s="872">
        <f>IF(WWWW[[#This Row],['#_households that received standard amount of soap for this quarter]]/WWWW[[#This Row],[Total HH]]&gt;1,1,WWWW[[#This Row],['#_households that received standard amount of soap for this quarter]]/WWWW[[#This Row],[Total HH]])</f>
        <v>0</v>
      </c>
      <c r="DD430" s="872">
        <f>IF(WWWW[[#This Row],['#_households that received standard amount of sanitary pads for this quarter]]/WWWW[[#This Row],[Total HH]]&gt;1,1,WWWW[[#This Row],['#_households that received standard amount of sanitary pads for this quarter]]/WWWW[[#This Row],[Total HH]])</f>
        <v>0</v>
      </c>
      <c r="DE430" s="874">
        <f>WWWW[[#This Row],['#_Constructed/Existing hand washing stations]]-WWWW[[#This Row],['#_Non-Functional_hand_washing_stations]]</f>
        <v>0</v>
      </c>
      <c r="DF430" s="879" t="e">
        <f>WWWW[[#This Row],[Total HH]]*#REF!</f>
        <v>#REF!</v>
      </c>
      <c r="DG430" s="870">
        <f>IF(WWWW[[#This Row],[Is sufficient soap available for TLS? (Yes/No)]]="yes",WWWW[[#This Row],['#_Constructed/Existing hand washing stations at TLS]],0)</f>
        <v>0</v>
      </c>
      <c r="DH430" s="702">
        <f>IF(WWWW[[#This Row],['# Functional hand washing stations during reporting period]]*100&gt;WWWW[[#This Row],[Total PoP ]],WWWW[[#This Row],[Total PoP ]],WWWW[[#This Row],['# Functional hand washing stations during reporting period]]*100)</f>
        <v>0</v>
      </c>
      <c r="DI430" s="702" t="str">
        <f>IF(WWWW[[#This Row],['#_students at TLS_CFS]]="","No","Yes")</f>
        <v>No</v>
      </c>
      <c r="DJ430" s="873">
        <f>VLOOKUP(WWWW[[#This Row],[Site Name]],SiteDB6[[Site Name]:[CCCM Management]],6,FALSE)</f>
        <v>0</v>
      </c>
      <c r="DK430" s="873">
        <f>VLOOKUP(WWWW[[#This Row],[Site Name]],SiteDB6[[Site Name]:[CCCM Focal Agency]],7,FALSE)</f>
        <v>0</v>
      </c>
      <c r="DL430" s="873" t="str">
        <f>VLOOKUP(WWWW[[#This Row],[Site Name]],SiteDB6[[Site Name]:[Location Type 1]],9,FALSE)</f>
        <v>Temporary location</v>
      </c>
      <c r="DM430" s="873" t="str">
        <f>VLOOKUP(WWWW[[#This Row],[Site Name]],SiteDB6[[Site Name]:[Type of Accommodation]],10,FALSE)</f>
        <v>Temporary location</v>
      </c>
      <c r="DN430" s="873">
        <f>VLOOKUP(WWWW[[#This Row],[Site Name]],SiteDB6[[Site Name]:[Ethnic or GCA/NGCA]],11,FALSE)</f>
        <v>0</v>
      </c>
      <c r="DO430" s="873">
        <f>VLOOKUP(WWWW[[#This Row],[Site Name]],SiteDB6[[Site Name]:[Lat]],12,FALSE)</f>
        <v>20.623949050903299</v>
      </c>
      <c r="DP430" s="873">
        <f>VLOOKUP(WWWW[[#This Row],[Site Name]],SiteDB6[[Site Name]:[Long]],13,FALSE)</f>
        <v>92.950813293457003</v>
      </c>
      <c r="DQ430" s="873">
        <f>VLOOKUP(WWWW[[#This Row],[Site Name]],SiteDB6[[Site Name]:[Pcode]],3,FALSE)</f>
        <v>196309</v>
      </c>
      <c r="DR430" s="871" t="str">
        <f t="shared" si="13"/>
        <v>Covered</v>
      </c>
      <c r="DS430" s="871"/>
      <c r="DV430" s="661"/>
    </row>
    <row r="431" spans="1:126">
      <c r="A431" s="637" t="s">
        <v>2525</v>
      </c>
      <c r="B431" s="863" t="s">
        <v>249</v>
      </c>
      <c r="C431" s="863" t="s">
        <v>249</v>
      </c>
      <c r="D431" s="864"/>
      <c r="E431" s="865" t="s">
        <v>3014</v>
      </c>
      <c r="F431" s="864" t="s">
        <v>470</v>
      </c>
      <c r="G431" s="866" t="str">
        <f>VLOOKUP(WWWW[[#This Row],[Site Name]],SiteDB6[[Site Name]:[Location Type]],8,FALSE)</f>
        <v>New Temporary Site</v>
      </c>
      <c r="H431" s="864" t="s">
        <v>2835</v>
      </c>
      <c r="I431" s="867">
        <v>107</v>
      </c>
      <c r="J431" s="867">
        <v>609</v>
      </c>
      <c r="K431" s="868"/>
      <c r="L431" s="869"/>
      <c r="M431" s="867"/>
      <c r="N431" s="867"/>
      <c r="O431" s="867"/>
      <c r="P431" s="867"/>
      <c r="Q431" s="870"/>
      <c r="R431" s="867"/>
      <c r="S431" s="867"/>
      <c r="T431" s="379"/>
      <c r="U431" s="867"/>
      <c r="V431" s="867"/>
      <c r="W431" s="867"/>
      <c r="X431" s="867"/>
      <c r="Y431" s="867"/>
      <c r="Z431" s="867"/>
      <c r="AA431" s="867"/>
      <c r="AB431" s="867"/>
      <c r="AC431" s="867"/>
      <c r="AD431" s="867"/>
      <c r="AE431" s="867"/>
      <c r="AF431" s="867"/>
      <c r="AG431" s="867"/>
      <c r="AH431" s="867"/>
      <c r="AI431" s="867"/>
      <c r="AJ431" s="867"/>
      <c r="AK431" s="867"/>
      <c r="AL431" s="867"/>
      <c r="AM431" s="867"/>
      <c r="AN431" s="867"/>
      <c r="AO431" s="871"/>
      <c r="AP431" s="867"/>
      <c r="AQ431" s="867"/>
      <c r="AR431" s="872"/>
      <c r="AS431" s="867"/>
      <c r="AT431" s="867"/>
      <c r="AU431" s="867"/>
      <c r="AV431" s="867"/>
      <c r="AW431" s="867"/>
      <c r="AX431" s="873"/>
      <c r="AY431" s="871"/>
      <c r="AZ431" s="867"/>
      <c r="BA431" s="867"/>
      <c r="BB431" s="867"/>
      <c r="BC431" s="873"/>
      <c r="BD431" s="867"/>
      <c r="BE431" s="867"/>
      <c r="BF431" s="867"/>
      <c r="BG431" s="867"/>
      <c r="BH431" s="867"/>
      <c r="BI431" s="867"/>
      <c r="BJ431" s="867"/>
      <c r="BK431" s="867">
        <v>107</v>
      </c>
      <c r="BL431" s="867">
        <v>107</v>
      </c>
      <c r="BM431" s="873"/>
      <c r="BN431" s="874"/>
      <c r="BO431" s="872"/>
      <c r="BP431" s="873"/>
      <c r="BQ431" s="875" t="str">
        <f>IFERROR(WWWW[[#This Row],['#_Water sources treated]]/WWWW[[#This Row],['#_Water sources tested for contamination]],"no test")</f>
        <v>no test</v>
      </c>
      <c r="BR431" s="872" t="str">
        <f>IFERROR(WWWW[[#This Row],['#_Household received remediation action due to contamination]]/WWWW[[#This Row],['#_Household water samples tested for contamination]],"no test")</f>
        <v>no test</v>
      </c>
      <c r="BS431" s="874" t="str">
        <f>IF(AND(WWWW[[#This Row],[% of water sources treated]]="no test",WWWW[[#This Row],[% Household received corrective actions]]="no test"),"No Test","Tested")</f>
        <v>No Test</v>
      </c>
      <c r="BT431" s="874">
        <f>WWWW[[#This Row],['#_Constructed/existing protected hand dug well]]-WWWW[[#This Row],['#_Non-functional protected hand dug well]]</f>
        <v>0</v>
      </c>
      <c r="BU431" s="874">
        <f>(WWWW[[#This Row],['#_Constructed/Existing tube wells/boreholes/handpumps_WASH_agency]]+WWWW[[#This Row],['#_Non-Cluster partner water tube-wells/boreholes/handpumps]])-WWWW[[#This Row],['#_Non-functional tube wells/boreholes/handpumps]]</f>
        <v>0</v>
      </c>
      <c r="BV431" s="874">
        <f>WWWW[[#This Row],['#_Constructed/Existingwater storage tank with gravity fed reticulation system]]-WWWW[[#This Row],['#_Non-functional storage tank gravity fed reticulation system]]</f>
        <v>0</v>
      </c>
      <c r="BW431" s="874">
        <f>WWWW[[#This Row],['#_Water boating or water trucking]]</f>
        <v>0</v>
      </c>
      <c r="BX431" s="874">
        <f>WWWW[[#This Row],['#_Constructed/Existing water distribution system from river or natural spring]]</f>
        <v>0</v>
      </c>
      <c r="BY431"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31"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31" s="872">
        <f>IF(WWWW[[#This Row],[Location Type 1]]="Village",WWWW[[#This Row],[Access to safe drinking water for Village]],WWWW[[#This Row],[Access to safe drinking water for Camp]])</f>
        <v>0</v>
      </c>
      <c r="CB431" s="870">
        <f>WWWW[[#This Row],[%Equitable and continuous access to sufficient quantity of safe drinking water]]*WWWW[[#This Row],[Total PoP ]]</f>
        <v>0</v>
      </c>
      <c r="CC431" s="872">
        <f>IF((WWWW[[#This Row],['#_Constructed/Existing protected/fenced ponds]]*250)/WWWW[[#This Row],[Total PoP ]]&gt;1,1,(WWWW[[#This Row],['#_Constructed/Existing protected/fenced ponds]]*250)/WWWW[[#This Row],[Total PoP ]])</f>
        <v>0</v>
      </c>
      <c r="CD431" s="870">
        <f>WWWW[[#This Row],[% Access to unimproved water points]]*WWWW[[#This Row],[Total PoP ]]</f>
        <v>0</v>
      </c>
      <c r="CE431"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31"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31" s="870">
        <f>WWWW[[#This Row],[HRP1]]/500</f>
        <v>0</v>
      </c>
      <c r="CH431" s="876">
        <f>1-WWWW[[#This Row],[% Equitable and continuous access to sufficient quantity of domestic water]]</f>
        <v>1</v>
      </c>
      <c r="CI431" s="870">
        <f>WWWW[[#This Row],[%equitable and continuous access to sufficient quantity of safe drinking and domestic water''s GAP]]*WWWW[[#This Row],[Total PoP ]]</f>
        <v>609</v>
      </c>
      <c r="CJ431" s="874">
        <f>IF(WWWW[[#This Row],[Total required water points]]-WWWW[[#This Row],['#Water points coverage]]&lt;0,0,WWWW[[#This Row],[Total required water points]]-WWWW[[#This Row],['#Water points coverage]])</f>
        <v>1</v>
      </c>
      <c r="CK431" s="874">
        <f>ROUND(IF(WWWW[[#This Row],[Total PoP ]]&lt;500,1,WWWW[[#This Row],[Total PoP ]]/500),0)</f>
        <v>1</v>
      </c>
      <c r="CL431" s="874">
        <f>(WWWW[[#This Row],['#_Constructed latrines_by_WASHAgencies]]+WWWW[[#This Row],['#_Non Cluster partner latrines]])-WWWW[[#This Row],['#_Non-functional latrines]]</f>
        <v>0</v>
      </c>
      <c r="CM431"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31"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31"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31" s="874">
        <f>IF(WWWW[[#This Row],[Location Type 1]]="Village","NA",IF(WWWW[[#This Row],['#_Constructed/Existing latrines in TLS]]*50&gt;WWWW[[#This Row],['#_students at TLS_CFS]],WWWW[[#This Row],['#_students at TLS_CFS]],(WWWW[[#This Row],['#_Constructed/Existing latrines in TLS]]*50)))</f>
        <v>0</v>
      </c>
      <c r="CQ431" s="874">
        <f>ROUND(IF(WWWW[[#This Row],[Location Type 1]]="camp",WWWW[[#This Row],[Total PoP ]]/20,IF(WWWW[[#This Row],[Location Type 1]]="Temporary Location",WWWW[[#This Row],[Total PoP ]]/50,(WWWW[[#This Row],[Total PoP ]]/6))),0)</f>
        <v>12</v>
      </c>
      <c r="CR431" s="874">
        <f>IF(WWWW[[#This Row],[Total required Latrines]]-(WWWW[[#This Row],['#_Constructed latrines_by_WASHAgencies]]+WWWW[[#This Row],['#_Non Cluster partner latrines]])&lt;0,0,WWWW[[#This Row],[Total required Latrines]]-(WWWW[[#This Row],['#_Constructed latrines_by_WASHAgencies]]+WWWW[[#This Row],['#_Non Cluster partner latrines]]))</f>
        <v>12</v>
      </c>
      <c r="CS431" s="878">
        <f>1-WWWW[[#This Row],[% people access to functioning Latrine]]</f>
        <v>1</v>
      </c>
      <c r="CT431" s="875">
        <f>IF(OR(WWWW[[#This Row],['#_Non-functional latrines]]="",WWWW[[#This Row],['#_Non-functional latrines]]=0),0,WWWW[[#This Row],['#_Non-functional latrines]]/(WWWW[[#This Row],['#_Constructed latrines_by_WASHAgencies]]+WWWW[[#This Row],['#_Non Cluster partner latrines]]))</f>
        <v>0</v>
      </c>
      <c r="CU431" s="870">
        <f>IF(500*(WWWW[[#This Row],['#_male hygiene promoters]]+WWWW[[#This Row],['#_female hygiene promoters]])&gt;WWWW[[#This Row],[Total PoP ]],WWWW[[#This Row],[Total PoP ]],500*(WWWW[[#This Row],['#_male hygiene promoters]]+WWWW[[#This Row],['#_female hygiene promoters]]))</f>
        <v>0</v>
      </c>
      <c r="CV431"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609</v>
      </c>
      <c r="CW431"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609</v>
      </c>
      <c r="CX431" s="874">
        <f>IF(WWWW[[#This Row],['# People with access to soap]]&gt;WWWW[[#This Row],['# People with access to Sanity Pads]],WWWW[[#This Row],['# People with access to soap]],WWWW[[#This Row],['# People with access to Sanity Pads]])</f>
        <v>609</v>
      </c>
      <c r="CY431" s="874">
        <f>IF(WWWW[[#This Row],['# people reached by regular dedicated hygiene promotion_5]]&gt;WWWW[[#This Row],['# People received regular supply of hygiene items_6]],WWWW[[#This Row],['# people reached by regular dedicated hygiene promotion_5]],WWWW[[#This Row],['# People received regular supply of hygiene items_6]])</f>
        <v>609</v>
      </c>
      <c r="CZ431" s="876">
        <f>IF(WWWW[[#This Row],[HRP3]]/WWWW[[#This Row],[Total PoP ]]&gt;100%,100%,WWWW[[#This Row],[HRP3]]/WWWW[[#This Row],[Total PoP ]])</f>
        <v>1</v>
      </c>
      <c r="DA431" s="875">
        <f>1-WWWW[[#This Row],[Hygiene Coverage%]]</f>
        <v>0</v>
      </c>
      <c r="DB431" s="872">
        <f>WWWW[[#This Row],['# people reached by regular dedicated hygiene promotion_5]]/WWWW[[#This Row],[Total PoP ]]</f>
        <v>0</v>
      </c>
      <c r="DC431" s="872">
        <f>IF(WWWW[[#This Row],['#_households that received standard amount of soap for this quarter]]/WWWW[[#This Row],[Total HH]]&gt;1,1,WWWW[[#This Row],['#_households that received standard amount of soap for this quarter]]/WWWW[[#This Row],[Total HH]])</f>
        <v>1</v>
      </c>
      <c r="DD431" s="872">
        <f>IF(WWWW[[#This Row],['#_households that received standard amount of sanitary pads for this quarter]]/WWWW[[#This Row],[Total HH]]&gt;1,1,WWWW[[#This Row],['#_households that received standard amount of sanitary pads for this quarter]]/WWWW[[#This Row],[Total HH]])</f>
        <v>1</v>
      </c>
      <c r="DE431" s="874">
        <f>WWWW[[#This Row],['#_Constructed/Existing hand washing stations]]-WWWW[[#This Row],['#_Non-Functional_hand_washing_stations]]</f>
        <v>0</v>
      </c>
      <c r="DF431" s="879" t="e">
        <f>WWWW[[#This Row],[Total HH]]*#REF!</f>
        <v>#REF!</v>
      </c>
      <c r="DG431" s="870">
        <f>IF(WWWW[[#This Row],[Is sufficient soap available for TLS? (Yes/No)]]="yes",WWWW[[#This Row],['#_Constructed/Existing hand washing stations at TLS]],0)</f>
        <v>0</v>
      </c>
      <c r="DH431" s="702">
        <f>IF(WWWW[[#This Row],['# Functional hand washing stations during reporting period]]*100&gt;WWWW[[#This Row],[Total PoP ]],WWWW[[#This Row],[Total PoP ]],WWWW[[#This Row],['# Functional hand washing stations during reporting period]]*100)</f>
        <v>0</v>
      </c>
      <c r="DI431" s="702" t="str">
        <f>IF(WWWW[[#This Row],['#_students at TLS_CFS]]="","No","Yes")</f>
        <v>No</v>
      </c>
      <c r="DJ431" s="873">
        <f>VLOOKUP(WWWW[[#This Row],[Site Name]],SiteDB6[[Site Name]:[CCCM Management]],6,FALSE)</f>
        <v>0</v>
      </c>
      <c r="DK431" s="873">
        <f>VLOOKUP(WWWW[[#This Row],[Site Name]],SiteDB6[[Site Name]:[CCCM Focal Agency]],7,FALSE)</f>
        <v>0</v>
      </c>
      <c r="DL431" s="873" t="str">
        <f>VLOOKUP(WWWW[[#This Row],[Site Name]],SiteDB6[[Site Name]:[Location Type 1]],9,FALSE)</f>
        <v>Temporary location</v>
      </c>
      <c r="DM431" s="873" t="str">
        <f>VLOOKUP(WWWW[[#This Row],[Site Name]],SiteDB6[[Site Name]:[Type of Accommodation]],10,FALSE)</f>
        <v>Temporary location</v>
      </c>
      <c r="DN431" s="873" t="str">
        <f>VLOOKUP(WWWW[[#This Row],[Site Name]],SiteDB6[[Site Name]:[Ethnic or GCA/NGCA]],11,FALSE)</f>
        <v>Mro/ Kha Mee</v>
      </c>
      <c r="DO431" s="873">
        <f>VLOOKUP(WWWW[[#This Row],[Site Name]],SiteDB6[[Site Name]:[Lat]],12,FALSE)</f>
        <v>0</v>
      </c>
      <c r="DP431" s="873">
        <f>VLOOKUP(WWWW[[#This Row],[Site Name]],SiteDB6[[Site Name]:[Long]],13,FALSE)</f>
        <v>0</v>
      </c>
      <c r="DQ431" s="873">
        <f>VLOOKUP(WWWW[[#This Row],[Site Name]],SiteDB6[[Site Name]:[Pcode]],3,FALSE)</f>
        <v>220611</v>
      </c>
      <c r="DR431" s="871" t="str">
        <f t="shared" si="13"/>
        <v>Covered</v>
      </c>
      <c r="DS431" s="871"/>
      <c r="DV431" s="661"/>
    </row>
    <row r="432" spans="1:126">
      <c r="A432" s="637" t="s">
        <v>2525</v>
      </c>
      <c r="B432" s="976" t="s">
        <v>317</v>
      </c>
      <c r="C432" s="976" t="s">
        <v>317</v>
      </c>
      <c r="D432" s="864"/>
      <c r="E432" s="865" t="s">
        <v>3014</v>
      </c>
      <c r="F432" s="864" t="s">
        <v>470</v>
      </c>
      <c r="G432" s="866" t="str">
        <f>VLOOKUP(WWWW[[#This Row],[Site Name]],SiteDB6[[Site Name]:[Location Type]],8,FALSE)</f>
        <v>New Temporary Site</v>
      </c>
      <c r="H432" s="864" t="s">
        <v>3190</v>
      </c>
      <c r="I432" s="867">
        <v>17</v>
      </c>
      <c r="J432" s="867">
        <v>65</v>
      </c>
      <c r="K432" s="868"/>
      <c r="L432" s="869"/>
      <c r="M432" s="867"/>
      <c r="N432" s="867"/>
      <c r="O432" s="867"/>
      <c r="P432" s="867"/>
      <c r="Q432" s="870"/>
      <c r="R432" s="867"/>
      <c r="S432" s="867"/>
      <c r="T432" s="379"/>
      <c r="U432" s="867"/>
      <c r="V432" s="867"/>
      <c r="W432" s="867"/>
      <c r="X432" s="867"/>
      <c r="Y432" s="867"/>
      <c r="Z432" s="867"/>
      <c r="AA432" s="867"/>
      <c r="AB432" s="867"/>
      <c r="AC432" s="867"/>
      <c r="AD432" s="867"/>
      <c r="AE432" s="867"/>
      <c r="AF432" s="867"/>
      <c r="AG432" s="867"/>
      <c r="AH432" s="867"/>
      <c r="AI432" s="867"/>
      <c r="AJ432" s="867"/>
      <c r="AK432" s="867"/>
      <c r="AL432" s="867"/>
      <c r="AM432" s="867"/>
      <c r="AN432" s="867"/>
      <c r="AO432" s="871"/>
      <c r="AP432" s="867"/>
      <c r="AQ432" s="867"/>
      <c r="AR432" s="872"/>
      <c r="AS432" s="867"/>
      <c r="AT432" s="867"/>
      <c r="AU432" s="867"/>
      <c r="AV432" s="867"/>
      <c r="AW432" s="867"/>
      <c r="AX432" s="873"/>
      <c r="AY432" s="871"/>
      <c r="AZ432" s="867"/>
      <c r="BA432" s="867"/>
      <c r="BB432" s="867"/>
      <c r="BC432" s="873"/>
      <c r="BD432" s="867"/>
      <c r="BE432" s="867"/>
      <c r="BF432" s="867"/>
      <c r="BG432" s="867"/>
      <c r="BH432" s="867"/>
      <c r="BI432" s="867"/>
      <c r="BJ432" s="867"/>
      <c r="BK432" s="867"/>
      <c r="BL432" s="867"/>
      <c r="BM432" s="873"/>
      <c r="BN432" s="874"/>
      <c r="BO432" s="872"/>
      <c r="BP432" s="873"/>
      <c r="BQ432" s="875" t="str">
        <f>IFERROR(WWWW[[#This Row],['#_Water sources treated]]/WWWW[[#This Row],['#_Water sources tested for contamination]],"no test")</f>
        <v>no test</v>
      </c>
      <c r="BR432" s="872" t="str">
        <f>IFERROR(WWWW[[#This Row],['#_Household received remediation action due to contamination]]/WWWW[[#This Row],['#_Household water samples tested for contamination]],"no test")</f>
        <v>no test</v>
      </c>
      <c r="BS432" s="874" t="str">
        <f>IF(AND(WWWW[[#This Row],[% of water sources treated]]="no test",WWWW[[#This Row],[% Household received corrective actions]]="no test"),"No Test","Tested")</f>
        <v>No Test</v>
      </c>
      <c r="BT432" s="874">
        <f>WWWW[[#This Row],['#_Constructed/existing protected hand dug well]]-WWWW[[#This Row],['#_Non-functional protected hand dug well]]</f>
        <v>0</v>
      </c>
      <c r="BU432" s="874">
        <f>(WWWW[[#This Row],['#_Constructed/Existing tube wells/boreholes/handpumps_WASH_agency]]+WWWW[[#This Row],['#_Non-Cluster partner water tube-wells/boreholes/handpumps]])-WWWW[[#This Row],['#_Non-functional tube wells/boreholes/handpumps]]</f>
        <v>0</v>
      </c>
      <c r="BV432" s="874">
        <f>WWWW[[#This Row],['#_Constructed/Existingwater storage tank with gravity fed reticulation system]]-WWWW[[#This Row],['#_Non-functional storage tank gravity fed reticulation system]]</f>
        <v>0</v>
      </c>
      <c r="BW432" s="874">
        <f>WWWW[[#This Row],['#_Water boating or water trucking]]</f>
        <v>0</v>
      </c>
      <c r="BX432" s="874">
        <f>WWWW[[#This Row],['#_Constructed/Existing water distribution system from river or natural spring]]</f>
        <v>0</v>
      </c>
      <c r="BY432"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32"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32" s="872">
        <f>IF(WWWW[[#This Row],[Location Type 1]]="Village",WWWW[[#This Row],[Access to safe drinking water for Village]],WWWW[[#This Row],[Access to safe drinking water for Camp]])</f>
        <v>0</v>
      </c>
      <c r="CB432" s="870">
        <f>WWWW[[#This Row],[%Equitable and continuous access to sufficient quantity of safe drinking water]]*WWWW[[#This Row],[Total PoP ]]</f>
        <v>0</v>
      </c>
      <c r="CC432" s="872">
        <f>IF((WWWW[[#This Row],['#_Constructed/Existing protected/fenced ponds]]*250)/WWWW[[#This Row],[Total PoP ]]&gt;1,1,(WWWW[[#This Row],['#_Constructed/Existing protected/fenced ponds]]*250)/WWWW[[#This Row],[Total PoP ]])</f>
        <v>0</v>
      </c>
      <c r="CD432" s="870">
        <f>WWWW[[#This Row],[% Access to unimproved water points]]*WWWW[[#This Row],[Total PoP ]]</f>
        <v>0</v>
      </c>
      <c r="CE432"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32"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32" s="870">
        <f>WWWW[[#This Row],[HRP1]]/500</f>
        <v>0</v>
      </c>
      <c r="CH432" s="876">
        <f>1-WWWW[[#This Row],[% Equitable and continuous access to sufficient quantity of domestic water]]</f>
        <v>1</v>
      </c>
      <c r="CI432" s="870">
        <f>WWWW[[#This Row],[%equitable and continuous access to sufficient quantity of safe drinking and domestic water''s GAP]]*WWWW[[#This Row],[Total PoP ]]</f>
        <v>65</v>
      </c>
      <c r="CJ432" s="874">
        <f>IF(WWWW[[#This Row],[Total required water points]]-WWWW[[#This Row],['#Water points coverage]]&lt;0,0,WWWW[[#This Row],[Total required water points]]-WWWW[[#This Row],['#Water points coverage]])</f>
        <v>1</v>
      </c>
      <c r="CK432" s="874">
        <f>ROUND(IF(WWWW[[#This Row],[Total PoP ]]&lt;500,1,WWWW[[#This Row],[Total PoP ]]/500),0)</f>
        <v>1</v>
      </c>
      <c r="CL432" s="874">
        <f>(WWWW[[#This Row],['#_Constructed latrines_by_WASHAgencies]]+WWWW[[#This Row],['#_Non Cluster partner latrines]])-WWWW[[#This Row],['#_Non-functional latrines]]</f>
        <v>0</v>
      </c>
      <c r="CM432"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32"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32"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32" s="874">
        <f>IF(WWWW[[#This Row],[Location Type 1]]="Village","NA",IF(WWWW[[#This Row],['#_Constructed/Existing latrines in TLS]]*50&gt;WWWW[[#This Row],['#_students at TLS_CFS]],WWWW[[#This Row],['#_students at TLS_CFS]],(WWWW[[#This Row],['#_Constructed/Existing latrines in TLS]]*50)))</f>
        <v>0</v>
      </c>
      <c r="CQ432" s="874">
        <f>ROUND(IF(WWWW[[#This Row],[Location Type 1]]="camp",WWWW[[#This Row],[Total PoP ]]/20,IF(WWWW[[#This Row],[Location Type 1]]="Temporary Location",WWWW[[#This Row],[Total PoP ]]/50,(WWWW[[#This Row],[Total PoP ]]/6))),0)</f>
        <v>1</v>
      </c>
      <c r="CR432" s="874">
        <f>IF(WWWW[[#This Row],[Total required Latrines]]-(WWWW[[#This Row],['#_Constructed latrines_by_WASHAgencies]]+WWWW[[#This Row],['#_Non Cluster partner latrines]])&lt;0,0,WWWW[[#This Row],[Total required Latrines]]-(WWWW[[#This Row],['#_Constructed latrines_by_WASHAgencies]]+WWWW[[#This Row],['#_Non Cluster partner latrines]]))</f>
        <v>1</v>
      </c>
      <c r="CS432" s="878">
        <f>1-WWWW[[#This Row],[% people access to functioning Latrine]]</f>
        <v>1</v>
      </c>
      <c r="CT432" s="875">
        <f>IF(OR(WWWW[[#This Row],['#_Non-functional latrines]]="",WWWW[[#This Row],['#_Non-functional latrines]]=0),0,WWWW[[#This Row],['#_Non-functional latrines]]/(WWWW[[#This Row],['#_Constructed latrines_by_WASHAgencies]]+WWWW[[#This Row],['#_Non Cluster partner latrines]]))</f>
        <v>0</v>
      </c>
      <c r="CU432" s="870">
        <f>IF(500*(WWWW[[#This Row],['#_male hygiene promoters]]+WWWW[[#This Row],['#_female hygiene promoters]])&gt;WWWW[[#This Row],[Total PoP ]],WWWW[[#This Row],[Total PoP ]],500*(WWWW[[#This Row],['#_male hygiene promoters]]+WWWW[[#This Row],['#_female hygiene promoters]]))</f>
        <v>0</v>
      </c>
      <c r="CV432"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32"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32" s="874">
        <f>IF(WWWW[[#This Row],['# People with access to soap]]&gt;WWWW[[#This Row],['# People with access to Sanity Pads]],WWWW[[#This Row],['# People with access to soap]],WWWW[[#This Row],['# People with access to Sanity Pads]])</f>
        <v>0</v>
      </c>
      <c r="CY432"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32" s="876">
        <f>IF(WWWW[[#This Row],[HRP3]]/WWWW[[#This Row],[Total PoP ]]&gt;100%,100%,WWWW[[#This Row],[HRP3]]/WWWW[[#This Row],[Total PoP ]])</f>
        <v>0</v>
      </c>
      <c r="DA432" s="875">
        <f>1-WWWW[[#This Row],[Hygiene Coverage%]]</f>
        <v>1</v>
      </c>
      <c r="DB432" s="872">
        <f>WWWW[[#This Row],['# people reached by regular dedicated hygiene promotion_5]]/WWWW[[#This Row],[Total PoP ]]</f>
        <v>0</v>
      </c>
      <c r="DC432" s="872">
        <f>IF(WWWW[[#This Row],['#_households that received standard amount of soap for this quarter]]/WWWW[[#This Row],[Total HH]]&gt;1,1,WWWW[[#This Row],['#_households that received standard amount of soap for this quarter]]/WWWW[[#This Row],[Total HH]])</f>
        <v>0</v>
      </c>
      <c r="DD432" s="872">
        <f>IF(WWWW[[#This Row],['#_households that received standard amount of sanitary pads for this quarter]]/WWWW[[#This Row],[Total HH]]&gt;1,1,WWWW[[#This Row],['#_households that received standard amount of sanitary pads for this quarter]]/WWWW[[#This Row],[Total HH]])</f>
        <v>0</v>
      </c>
      <c r="DE432" s="874">
        <f>WWWW[[#This Row],['#_Constructed/Existing hand washing stations]]-WWWW[[#This Row],['#_Non-Functional_hand_washing_stations]]</f>
        <v>0</v>
      </c>
      <c r="DF432" s="879" t="e">
        <f>WWWW[[#This Row],[Total HH]]*#REF!</f>
        <v>#REF!</v>
      </c>
      <c r="DG432" s="870">
        <f>IF(WWWW[[#This Row],[Is sufficient soap available for TLS? (Yes/No)]]="yes",WWWW[[#This Row],['#_Constructed/Existing hand washing stations at TLS]],0)</f>
        <v>0</v>
      </c>
      <c r="DH432" s="702">
        <f>IF(WWWW[[#This Row],['# Functional hand washing stations during reporting period]]*100&gt;WWWW[[#This Row],[Total PoP ]],WWWW[[#This Row],[Total PoP ]],WWWW[[#This Row],['# Functional hand washing stations during reporting period]]*100)</f>
        <v>0</v>
      </c>
      <c r="DI432" s="702" t="str">
        <f>IF(WWWW[[#This Row],['#_students at TLS_CFS]]="","No","Yes")</f>
        <v>No</v>
      </c>
      <c r="DJ432" s="873">
        <f>VLOOKUP(WWWW[[#This Row],[Site Name]],SiteDB6[[Site Name]:[CCCM Management]],6,FALSE)</f>
        <v>0</v>
      </c>
      <c r="DK432" s="873">
        <f>VLOOKUP(WWWW[[#This Row],[Site Name]],SiteDB6[[Site Name]:[CCCM Focal Agency]],7,FALSE)</f>
        <v>0</v>
      </c>
      <c r="DL432" s="873" t="str">
        <f>VLOOKUP(WWWW[[#This Row],[Site Name]],SiteDB6[[Site Name]:[Location Type 1]],9,FALSE)</f>
        <v>Temporary location</v>
      </c>
      <c r="DM432" s="873" t="str">
        <f>VLOOKUP(WWWW[[#This Row],[Site Name]],SiteDB6[[Site Name]:[Type of Accommodation]],10,FALSE)</f>
        <v>Temporary location</v>
      </c>
      <c r="DN432" s="873">
        <f>VLOOKUP(WWWW[[#This Row],[Site Name]],SiteDB6[[Site Name]:[Ethnic or GCA/NGCA]],11,FALSE)</f>
        <v>0</v>
      </c>
      <c r="DO432" s="873">
        <f>VLOOKUP(WWWW[[#This Row],[Site Name]],SiteDB6[[Site Name]:[Lat]],12,FALSE)</f>
        <v>0</v>
      </c>
      <c r="DP432" s="873">
        <f>VLOOKUP(WWWW[[#This Row],[Site Name]],SiteDB6[[Site Name]:[Long]],13,FALSE)</f>
        <v>0</v>
      </c>
      <c r="DQ432" s="873">
        <f>VLOOKUP(WWWW[[#This Row],[Site Name]],SiteDB6[[Site Name]:[Pcode]],3,FALSE)</f>
        <v>0</v>
      </c>
      <c r="DR432" s="871" t="str">
        <f t="shared" si="13"/>
        <v>Notcovered</v>
      </c>
      <c r="DS432" s="871"/>
      <c r="DV432" s="661"/>
    </row>
    <row r="433" spans="1:126">
      <c r="A433" s="637" t="s">
        <v>2525</v>
      </c>
      <c r="B433" s="976" t="s">
        <v>317</v>
      </c>
      <c r="C433" s="976" t="s">
        <v>317</v>
      </c>
      <c r="D433" s="864"/>
      <c r="E433" s="865" t="s">
        <v>3014</v>
      </c>
      <c r="F433" s="864" t="s">
        <v>470</v>
      </c>
      <c r="G433" s="866" t="str">
        <f>VLOOKUP(WWWW[[#This Row],[Site Name]],SiteDB6[[Site Name]:[Location Type]],8,FALSE)</f>
        <v>New Temporary Site</v>
      </c>
      <c r="H433" s="864" t="s">
        <v>3194</v>
      </c>
      <c r="I433" s="867">
        <v>21</v>
      </c>
      <c r="J433" s="867">
        <v>80</v>
      </c>
      <c r="K433" s="868"/>
      <c r="L433" s="869"/>
      <c r="M433" s="867"/>
      <c r="N433" s="867"/>
      <c r="O433" s="867"/>
      <c r="P433" s="867"/>
      <c r="Q433" s="870"/>
      <c r="R433" s="867"/>
      <c r="S433" s="867"/>
      <c r="T433" s="379"/>
      <c r="U433" s="867"/>
      <c r="V433" s="867"/>
      <c r="W433" s="867"/>
      <c r="X433" s="867"/>
      <c r="Y433" s="867"/>
      <c r="Z433" s="867"/>
      <c r="AA433" s="867"/>
      <c r="AB433" s="867"/>
      <c r="AC433" s="867"/>
      <c r="AD433" s="867"/>
      <c r="AE433" s="867"/>
      <c r="AF433" s="867"/>
      <c r="AG433" s="867"/>
      <c r="AH433" s="867"/>
      <c r="AI433" s="867"/>
      <c r="AJ433" s="867"/>
      <c r="AK433" s="867"/>
      <c r="AL433" s="867"/>
      <c r="AM433" s="867"/>
      <c r="AN433" s="867"/>
      <c r="AO433" s="871"/>
      <c r="AP433" s="867"/>
      <c r="AQ433" s="867"/>
      <c r="AR433" s="872"/>
      <c r="AS433" s="867"/>
      <c r="AT433" s="867"/>
      <c r="AU433" s="867"/>
      <c r="AV433" s="867"/>
      <c r="AW433" s="867"/>
      <c r="AX433" s="873"/>
      <c r="AY433" s="871"/>
      <c r="AZ433" s="867"/>
      <c r="BA433" s="867"/>
      <c r="BB433" s="867"/>
      <c r="BC433" s="873"/>
      <c r="BD433" s="867"/>
      <c r="BE433" s="867"/>
      <c r="BF433" s="867"/>
      <c r="BG433" s="867"/>
      <c r="BH433" s="867"/>
      <c r="BI433" s="867"/>
      <c r="BJ433" s="867"/>
      <c r="BK433" s="867"/>
      <c r="BL433" s="867"/>
      <c r="BM433" s="873"/>
      <c r="BN433" s="874"/>
      <c r="BO433" s="872"/>
      <c r="BP433" s="873"/>
      <c r="BQ433" s="875" t="str">
        <f>IFERROR(WWWW[[#This Row],['#_Water sources treated]]/WWWW[[#This Row],['#_Water sources tested for contamination]],"no test")</f>
        <v>no test</v>
      </c>
      <c r="BR433" s="872" t="str">
        <f>IFERROR(WWWW[[#This Row],['#_Household received remediation action due to contamination]]/WWWW[[#This Row],['#_Household water samples tested for contamination]],"no test")</f>
        <v>no test</v>
      </c>
      <c r="BS433" s="874" t="str">
        <f>IF(AND(WWWW[[#This Row],[% of water sources treated]]="no test",WWWW[[#This Row],[% Household received corrective actions]]="no test"),"No Test","Tested")</f>
        <v>No Test</v>
      </c>
      <c r="BT433" s="874">
        <f>WWWW[[#This Row],['#_Constructed/existing protected hand dug well]]-WWWW[[#This Row],['#_Non-functional protected hand dug well]]</f>
        <v>0</v>
      </c>
      <c r="BU433" s="874">
        <f>(WWWW[[#This Row],['#_Constructed/Existing tube wells/boreholes/handpumps_WASH_agency]]+WWWW[[#This Row],['#_Non-Cluster partner water tube-wells/boreholes/handpumps]])-WWWW[[#This Row],['#_Non-functional tube wells/boreholes/handpumps]]</f>
        <v>0</v>
      </c>
      <c r="BV433" s="874">
        <f>WWWW[[#This Row],['#_Constructed/Existingwater storage tank with gravity fed reticulation system]]-WWWW[[#This Row],['#_Non-functional storage tank gravity fed reticulation system]]</f>
        <v>0</v>
      </c>
      <c r="BW433" s="874">
        <f>WWWW[[#This Row],['#_Water boating or water trucking]]</f>
        <v>0</v>
      </c>
      <c r="BX433" s="874">
        <f>WWWW[[#This Row],['#_Constructed/Existing water distribution system from river or natural spring]]</f>
        <v>0</v>
      </c>
      <c r="BY433"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33"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33" s="872">
        <f>IF(WWWW[[#This Row],[Location Type 1]]="Village",WWWW[[#This Row],[Access to safe drinking water for Village]],WWWW[[#This Row],[Access to safe drinking water for Camp]])</f>
        <v>0</v>
      </c>
      <c r="CB433" s="870">
        <f>WWWW[[#This Row],[%Equitable and continuous access to sufficient quantity of safe drinking water]]*WWWW[[#This Row],[Total PoP ]]</f>
        <v>0</v>
      </c>
      <c r="CC433" s="872">
        <f>IF((WWWW[[#This Row],['#_Constructed/Existing protected/fenced ponds]]*250)/WWWW[[#This Row],[Total PoP ]]&gt;1,1,(WWWW[[#This Row],['#_Constructed/Existing protected/fenced ponds]]*250)/WWWW[[#This Row],[Total PoP ]])</f>
        <v>0</v>
      </c>
      <c r="CD433" s="870">
        <f>WWWW[[#This Row],[% Access to unimproved water points]]*WWWW[[#This Row],[Total PoP ]]</f>
        <v>0</v>
      </c>
      <c r="CE433"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33"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33" s="870">
        <f>WWWW[[#This Row],[HRP1]]/500</f>
        <v>0</v>
      </c>
      <c r="CH433" s="876">
        <f>1-WWWW[[#This Row],[% Equitable and continuous access to sufficient quantity of domestic water]]</f>
        <v>1</v>
      </c>
      <c r="CI433" s="870">
        <f>WWWW[[#This Row],[%equitable and continuous access to sufficient quantity of safe drinking and domestic water''s GAP]]*WWWW[[#This Row],[Total PoP ]]</f>
        <v>80</v>
      </c>
      <c r="CJ433" s="874">
        <f>IF(WWWW[[#This Row],[Total required water points]]-WWWW[[#This Row],['#Water points coverage]]&lt;0,0,WWWW[[#This Row],[Total required water points]]-WWWW[[#This Row],['#Water points coverage]])</f>
        <v>1</v>
      </c>
      <c r="CK433" s="874">
        <f>ROUND(IF(WWWW[[#This Row],[Total PoP ]]&lt;500,1,WWWW[[#This Row],[Total PoP ]]/500),0)</f>
        <v>1</v>
      </c>
      <c r="CL433" s="874">
        <f>(WWWW[[#This Row],['#_Constructed latrines_by_WASHAgencies]]+WWWW[[#This Row],['#_Non Cluster partner latrines]])-WWWW[[#This Row],['#_Non-functional latrines]]</f>
        <v>0</v>
      </c>
      <c r="CM433"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33"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33"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33" s="874">
        <f>IF(WWWW[[#This Row],[Location Type 1]]="Village","NA",IF(WWWW[[#This Row],['#_Constructed/Existing latrines in TLS]]*50&gt;WWWW[[#This Row],['#_students at TLS_CFS]],WWWW[[#This Row],['#_students at TLS_CFS]],(WWWW[[#This Row],['#_Constructed/Existing latrines in TLS]]*50)))</f>
        <v>0</v>
      </c>
      <c r="CQ433" s="874">
        <f>ROUND(IF(WWWW[[#This Row],[Location Type 1]]="camp",WWWW[[#This Row],[Total PoP ]]/20,IF(WWWW[[#This Row],[Location Type 1]]="Temporary Location",WWWW[[#This Row],[Total PoP ]]/50,(WWWW[[#This Row],[Total PoP ]]/6))),0)</f>
        <v>2</v>
      </c>
      <c r="CR433" s="874">
        <f>IF(WWWW[[#This Row],[Total required Latrines]]-(WWWW[[#This Row],['#_Constructed latrines_by_WASHAgencies]]+WWWW[[#This Row],['#_Non Cluster partner latrines]])&lt;0,0,WWWW[[#This Row],[Total required Latrines]]-(WWWW[[#This Row],['#_Constructed latrines_by_WASHAgencies]]+WWWW[[#This Row],['#_Non Cluster partner latrines]]))</f>
        <v>2</v>
      </c>
      <c r="CS433" s="878">
        <f>1-WWWW[[#This Row],[% people access to functioning Latrine]]</f>
        <v>1</v>
      </c>
      <c r="CT433" s="875">
        <f>IF(OR(WWWW[[#This Row],['#_Non-functional latrines]]="",WWWW[[#This Row],['#_Non-functional latrines]]=0),0,WWWW[[#This Row],['#_Non-functional latrines]]/(WWWW[[#This Row],['#_Constructed latrines_by_WASHAgencies]]+WWWW[[#This Row],['#_Non Cluster partner latrines]]))</f>
        <v>0</v>
      </c>
      <c r="CU433" s="870">
        <f>IF(500*(WWWW[[#This Row],['#_male hygiene promoters]]+WWWW[[#This Row],['#_female hygiene promoters]])&gt;WWWW[[#This Row],[Total PoP ]],WWWW[[#This Row],[Total PoP ]],500*(WWWW[[#This Row],['#_male hygiene promoters]]+WWWW[[#This Row],['#_female hygiene promoters]]))</f>
        <v>0</v>
      </c>
      <c r="CV433"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33"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33" s="874">
        <f>IF(WWWW[[#This Row],['# People with access to soap]]&gt;WWWW[[#This Row],['# People with access to Sanity Pads]],WWWW[[#This Row],['# People with access to soap]],WWWW[[#This Row],['# People with access to Sanity Pads]])</f>
        <v>0</v>
      </c>
      <c r="CY433"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33" s="876">
        <f>IF(WWWW[[#This Row],[HRP3]]/WWWW[[#This Row],[Total PoP ]]&gt;100%,100%,WWWW[[#This Row],[HRP3]]/WWWW[[#This Row],[Total PoP ]])</f>
        <v>0</v>
      </c>
      <c r="DA433" s="875">
        <f>1-WWWW[[#This Row],[Hygiene Coverage%]]</f>
        <v>1</v>
      </c>
      <c r="DB433" s="872">
        <f>WWWW[[#This Row],['# people reached by regular dedicated hygiene promotion_5]]/WWWW[[#This Row],[Total PoP ]]</f>
        <v>0</v>
      </c>
      <c r="DC433" s="872">
        <f>IF(WWWW[[#This Row],['#_households that received standard amount of soap for this quarter]]/WWWW[[#This Row],[Total HH]]&gt;1,1,WWWW[[#This Row],['#_households that received standard amount of soap for this quarter]]/WWWW[[#This Row],[Total HH]])</f>
        <v>0</v>
      </c>
      <c r="DD433" s="872">
        <f>IF(WWWW[[#This Row],['#_households that received standard amount of sanitary pads for this quarter]]/WWWW[[#This Row],[Total HH]]&gt;1,1,WWWW[[#This Row],['#_households that received standard amount of sanitary pads for this quarter]]/WWWW[[#This Row],[Total HH]])</f>
        <v>0</v>
      </c>
      <c r="DE433" s="874">
        <f>WWWW[[#This Row],['#_Constructed/Existing hand washing stations]]-WWWW[[#This Row],['#_Non-Functional_hand_washing_stations]]</f>
        <v>0</v>
      </c>
      <c r="DF433" s="879" t="e">
        <f>WWWW[[#This Row],[Total HH]]*#REF!</f>
        <v>#REF!</v>
      </c>
      <c r="DG433" s="870">
        <f>IF(WWWW[[#This Row],[Is sufficient soap available for TLS? (Yes/No)]]="yes",WWWW[[#This Row],['#_Constructed/Existing hand washing stations at TLS]],0)</f>
        <v>0</v>
      </c>
      <c r="DH433" s="702">
        <f>IF(WWWW[[#This Row],['# Functional hand washing stations during reporting period]]*100&gt;WWWW[[#This Row],[Total PoP ]],WWWW[[#This Row],[Total PoP ]],WWWW[[#This Row],['# Functional hand washing stations during reporting period]]*100)</f>
        <v>0</v>
      </c>
      <c r="DI433" s="702" t="str">
        <f>IF(WWWW[[#This Row],['#_students at TLS_CFS]]="","No","Yes")</f>
        <v>No</v>
      </c>
      <c r="DJ433" s="873">
        <f>VLOOKUP(WWWW[[#This Row],[Site Name]],SiteDB6[[Site Name]:[CCCM Management]],6,FALSE)</f>
        <v>0</v>
      </c>
      <c r="DK433" s="873">
        <f>VLOOKUP(WWWW[[#This Row],[Site Name]],SiteDB6[[Site Name]:[CCCM Focal Agency]],7,FALSE)</f>
        <v>0</v>
      </c>
      <c r="DL433" s="873" t="str">
        <f>VLOOKUP(WWWW[[#This Row],[Site Name]],SiteDB6[[Site Name]:[Location Type 1]],9,FALSE)</f>
        <v>Temporary location</v>
      </c>
      <c r="DM433" s="873" t="str">
        <f>VLOOKUP(WWWW[[#This Row],[Site Name]],SiteDB6[[Site Name]:[Type of Accommodation]],10,FALSE)</f>
        <v>Temporary location</v>
      </c>
      <c r="DN433" s="873">
        <f>VLOOKUP(WWWW[[#This Row],[Site Name]],SiteDB6[[Site Name]:[Ethnic or GCA/NGCA]],11,FALSE)</f>
        <v>0</v>
      </c>
      <c r="DO433" s="873">
        <f>VLOOKUP(WWWW[[#This Row],[Site Name]],SiteDB6[[Site Name]:[Lat]],12,FALSE)</f>
        <v>20.5511798858643</v>
      </c>
      <c r="DP433" s="873">
        <f>VLOOKUP(WWWW[[#This Row],[Site Name]],SiteDB6[[Site Name]:[Long]],13,FALSE)</f>
        <v>93.065322875976605</v>
      </c>
      <c r="DQ433" s="873">
        <f>VLOOKUP(WWWW[[#This Row],[Site Name]],SiteDB6[[Site Name]:[Pcode]],3,FALSE)</f>
        <v>196329</v>
      </c>
      <c r="DR433" s="871" t="str">
        <f t="shared" si="13"/>
        <v>Notcovered</v>
      </c>
      <c r="DS433" s="871"/>
      <c r="DV433" s="661"/>
    </row>
    <row r="434" spans="1:126">
      <c r="A434" s="637" t="s">
        <v>2525</v>
      </c>
      <c r="B434" s="976" t="s">
        <v>317</v>
      </c>
      <c r="C434" s="976" t="s">
        <v>317</v>
      </c>
      <c r="D434" s="864"/>
      <c r="E434" s="865" t="s">
        <v>3014</v>
      </c>
      <c r="F434" s="864" t="s">
        <v>470</v>
      </c>
      <c r="G434" s="866" t="str">
        <f>VLOOKUP(WWWW[[#This Row],[Site Name]],SiteDB6[[Site Name]:[Location Type]],8,FALSE)</f>
        <v>New Temporary Site</v>
      </c>
      <c r="H434" s="864" t="s">
        <v>3187</v>
      </c>
      <c r="I434" s="867">
        <v>36</v>
      </c>
      <c r="J434" s="867">
        <v>207</v>
      </c>
      <c r="K434" s="868"/>
      <c r="L434" s="869"/>
      <c r="M434" s="867"/>
      <c r="N434" s="867"/>
      <c r="O434" s="867"/>
      <c r="P434" s="867"/>
      <c r="Q434" s="870"/>
      <c r="R434" s="867"/>
      <c r="S434" s="867"/>
      <c r="T434" s="379"/>
      <c r="U434" s="867"/>
      <c r="V434" s="867"/>
      <c r="W434" s="867"/>
      <c r="X434" s="867"/>
      <c r="Y434" s="867"/>
      <c r="Z434" s="867"/>
      <c r="AA434" s="867"/>
      <c r="AB434" s="867"/>
      <c r="AC434" s="867"/>
      <c r="AD434" s="867"/>
      <c r="AE434" s="867"/>
      <c r="AF434" s="867"/>
      <c r="AG434" s="867"/>
      <c r="AH434" s="867"/>
      <c r="AI434" s="867"/>
      <c r="AJ434" s="867"/>
      <c r="AK434" s="867"/>
      <c r="AL434" s="867"/>
      <c r="AM434" s="867"/>
      <c r="AN434" s="867"/>
      <c r="AO434" s="871"/>
      <c r="AP434" s="867"/>
      <c r="AQ434" s="867"/>
      <c r="AR434" s="872"/>
      <c r="AS434" s="867"/>
      <c r="AT434" s="867"/>
      <c r="AU434" s="867"/>
      <c r="AV434" s="867"/>
      <c r="AW434" s="867"/>
      <c r="AX434" s="873"/>
      <c r="AY434" s="871"/>
      <c r="AZ434" s="867"/>
      <c r="BA434" s="867"/>
      <c r="BB434" s="867"/>
      <c r="BC434" s="873"/>
      <c r="BD434" s="867"/>
      <c r="BE434" s="867"/>
      <c r="BF434" s="867"/>
      <c r="BG434" s="867"/>
      <c r="BH434" s="867"/>
      <c r="BI434" s="867"/>
      <c r="BJ434" s="867"/>
      <c r="BK434" s="867"/>
      <c r="BL434" s="867"/>
      <c r="BM434" s="873"/>
      <c r="BN434" s="874"/>
      <c r="BO434" s="872"/>
      <c r="BP434" s="873"/>
      <c r="BQ434" s="875" t="str">
        <f>IFERROR(WWWW[[#This Row],['#_Water sources treated]]/WWWW[[#This Row],['#_Water sources tested for contamination]],"no test")</f>
        <v>no test</v>
      </c>
      <c r="BR434" s="872" t="str">
        <f>IFERROR(WWWW[[#This Row],['#_Household received remediation action due to contamination]]/WWWW[[#This Row],['#_Household water samples tested for contamination]],"no test")</f>
        <v>no test</v>
      </c>
      <c r="BS434" s="874" t="str">
        <f>IF(AND(WWWW[[#This Row],[% of water sources treated]]="no test",WWWW[[#This Row],[% Household received corrective actions]]="no test"),"No Test","Tested")</f>
        <v>No Test</v>
      </c>
      <c r="BT434" s="874">
        <f>WWWW[[#This Row],['#_Constructed/existing protected hand dug well]]-WWWW[[#This Row],['#_Non-functional protected hand dug well]]</f>
        <v>0</v>
      </c>
      <c r="BU434" s="874">
        <f>(WWWW[[#This Row],['#_Constructed/Existing tube wells/boreholes/handpumps_WASH_agency]]+WWWW[[#This Row],['#_Non-Cluster partner water tube-wells/boreholes/handpumps]])-WWWW[[#This Row],['#_Non-functional tube wells/boreholes/handpumps]]</f>
        <v>0</v>
      </c>
      <c r="BV434" s="874">
        <f>WWWW[[#This Row],['#_Constructed/Existingwater storage tank with gravity fed reticulation system]]-WWWW[[#This Row],['#_Non-functional storage tank gravity fed reticulation system]]</f>
        <v>0</v>
      </c>
      <c r="BW434" s="874">
        <f>WWWW[[#This Row],['#_Water boating or water trucking]]</f>
        <v>0</v>
      </c>
      <c r="BX434" s="874">
        <f>WWWW[[#This Row],['#_Constructed/Existing water distribution system from river or natural spring]]</f>
        <v>0</v>
      </c>
      <c r="BY434"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34"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34" s="872">
        <f>IF(WWWW[[#This Row],[Location Type 1]]="Village",WWWW[[#This Row],[Access to safe drinking water for Village]],WWWW[[#This Row],[Access to safe drinking water for Camp]])</f>
        <v>0</v>
      </c>
      <c r="CB434" s="870">
        <f>WWWW[[#This Row],[%Equitable and continuous access to sufficient quantity of safe drinking water]]*WWWW[[#This Row],[Total PoP ]]</f>
        <v>0</v>
      </c>
      <c r="CC434" s="872">
        <f>IF((WWWW[[#This Row],['#_Constructed/Existing protected/fenced ponds]]*250)/WWWW[[#This Row],[Total PoP ]]&gt;1,1,(WWWW[[#This Row],['#_Constructed/Existing protected/fenced ponds]]*250)/WWWW[[#This Row],[Total PoP ]])</f>
        <v>0</v>
      </c>
      <c r="CD434" s="870">
        <f>WWWW[[#This Row],[% Access to unimproved water points]]*WWWW[[#This Row],[Total PoP ]]</f>
        <v>0</v>
      </c>
      <c r="CE434"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34"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34" s="870">
        <f>WWWW[[#This Row],[HRP1]]/500</f>
        <v>0</v>
      </c>
      <c r="CH434" s="876">
        <f>1-WWWW[[#This Row],[% Equitable and continuous access to sufficient quantity of domestic water]]</f>
        <v>1</v>
      </c>
      <c r="CI434" s="870">
        <f>WWWW[[#This Row],[%equitable and continuous access to sufficient quantity of safe drinking and domestic water''s GAP]]*WWWW[[#This Row],[Total PoP ]]</f>
        <v>207</v>
      </c>
      <c r="CJ434" s="874">
        <f>IF(WWWW[[#This Row],[Total required water points]]-WWWW[[#This Row],['#Water points coverage]]&lt;0,0,WWWW[[#This Row],[Total required water points]]-WWWW[[#This Row],['#Water points coverage]])</f>
        <v>1</v>
      </c>
      <c r="CK434" s="874">
        <f>ROUND(IF(WWWW[[#This Row],[Total PoP ]]&lt;500,1,WWWW[[#This Row],[Total PoP ]]/500),0)</f>
        <v>1</v>
      </c>
      <c r="CL434" s="874">
        <f>(WWWW[[#This Row],['#_Constructed latrines_by_WASHAgencies]]+WWWW[[#This Row],['#_Non Cluster partner latrines]])-WWWW[[#This Row],['#_Non-functional latrines]]</f>
        <v>0</v>
      </c>
      <c r="CM434"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34"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34"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34" s="874">
        <f>IF(WWWW[[#This Row],[Location Type 1]]="Village","NA",IF(WWWW[[#This Row],['#_Constructed/Existing latrines in TLS]]*50&gt;WWWW[[#This Row],['#_students at TLS_CFS]],WWWW[[#This Row],['#_students at TLS_CFS]],(WWWW[[#This Row],['#_Constructed/Existing latrines in TLS]]*50)))</f>
        <v>0</v>
      </c>
      <c r="CQ434" s="874">
        <f>ROUND(IF(WWWW[[#This Row],[Location Type 1]]="camp",WWWW[[#This Row],[Total PoP ]]/20,IF(WWWW[[#This Row],[Location Type 1]]="Temporary Location",WWWW[[#This Row],[Total PoP ]]/50,(WWWW[[#This Row],[Total PoP ]]/6))),0)</f>
        <v>4</v>
      </c>
      <c r="CR434" s="874">
        <f>IF(WWWW[[#This Row],[Total required Latrines]]-(WWWW[[#This Row],['#_Constructed latrines_by_WASHAgencies]]+WWWW[[#This Row],['#_Non Cluster partner latrines]])&lt;0,0,WWWW[[#This Row],[Total required Latrines]]-(WWWW[[#This Row],['#_Constructed latrines_by_WASHAgencies]]+WWWW[[#This Row],['#_Non Cluster partner latrines]]))</f>
        <v>4</v>
      </c>
      <c r="CS434" s="878">
        <f>1-WWWW[[#This Row],[% people access to functioning Latrine]]</f>
        <v>1</v>
      </c>
      <c r="CT434" s="875">
        <f>IF(OR(WWWW[[#This Row],['#_Non-functional latrines]]="",WWWW[[#This Row],['#_Non-functional latrines]]=0),0,WWWW[[#This Row],['#_Non-functional latrines]]/(WWWW[[#This Row],['#_Constructed latrines_by_WASHAgencies]]+WWWW[[#This Row],['#_Non Cluster partner latrines]]))</f>
        <v>0</v>
      </c>
      <c r="CU434" s="870">
        <f>IF(500*(WWWW[[#This Row],['#_male hygiene promoters]]+WWWW[[#This Row],['#_female hygiene promoters]])&gt;WWWW[[#This Row],[Total PoP ]],WWWW[[#This Row],[Total PoP ]],500*(WWWW[[#This Row],['#_male hygiene promoters]]+WWWW[[#This Row],['#_female hygiene promoters]]))</f>
        <v>0</v>
      </c>
      <c r="CV434"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34"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34" s="874">
        <f>IF(WWWW[[#This Row],['# People with access to soap]]&gt;WWWW[[#This Row],['# People with access to Sanity Pads]],WWWW[[#This Row],['# People with access to soap]],WWWW[[#This Row],['# People with access to Sanity Pads]])</f>
        <v>0</v>
      </c>
      <c r="CY434"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34" s="876">
        <f>IF(WWWW[[#This Row],[HRP3]]/WWWW[[#This Row],[Total PoP ]]&gt;100%,100%,WWWW[[#This Row],[HRP3]]/WWWW[[#This Row],[Total PoP ]])</f>
        <v>0</v>
      </c>
      <c r="DA434" s="875">
        <f>1-WWWW[[#This Row],[Hygiene Coverage%]]</f>
        <v>1</v>
      </c>
      <c r="DB434" s="872">
        <f>WWWW[[#This Row],['# people reached by regular dedicated hygiene promotion_5]]/WWWW[[#This Row],[Total PoP ]]</f>
        <v>0</v>
      </c>
      <c r="DC434" s="872">
        <f>IF(WWWW[[#This Row],['#_households that received standard amount of soap for this quarter]]/WWWW[[#This Row],[Total HH]]&gt;1,1,WWWW[[#This Row],['#_households that received standard amount of soap for this quarter]]/WWWW[[#This Row],[Total HH]])</f>
        <v>0</v>
      </c>
      <c r="DD434" s="872">
        <f>IF(WWWW[[#This Row],['#_households that received standard amount of sanitary pads for this quarter]]/WWWW[[#This Row],[Total HH]]&gt;1,1,WWWW[[#This Row],['#_households that received standard amount of sanitary pads for this quarter]]/WWWW[[#This Row],[Total HH]])</f>
        <v>0</v>
      </c>
      <c r="DE434" s="874">
        <f>WWWW[[#This Row],['#_Constructed/Existing hand washing stations]]-WWWW[[#This Row],['#_Non-Functional_hand_washing_stations]]</f>
        <v>0</v>
      </c>
      <c r="DF434" s="879" t="e">
        <f>WWWW[[#This Row],[Total HH]]*#REF!</f>
        <v>#REF!</v>
      </c>
      <c r="DG434" s="870">
        <f>IF(WWWW[[#This Row],[Is sufficient soap available for TLS? (Yes/No)]]="yes",WWWW[[#This Row],['#_Constructed/Existing hand washing stations at TLS]],0)</f>
        <v>0</v>
      </c>
      <c r="DH434" s="702">
        <f>IF(WWWW[[#This Row],['# Functional hand washing stations during reporting period]]*100&gt;WWWW[[#This Row],[Total PoP ]],WWWW[[#This Row],[Total PoP ]],WWWW[[#This Row],['# Functional hand washing stations during reporting period]]*100)</f>
        <v>0</v>
      </c>
      <c r="DI434" s="702" t="str">
        <f>IF(WWWW[[#This Row],['#_students at TLS_CFS]]="","No","Yes")</f>
        <v>No</v>
      </c>
      <c r="DJ434" s="873">
        <f>VLOOKUP(WWWW[[#This Row],[Site Name]],SiteDB6[[Site Name]:[CCCM Management]],6,FALSE)</f>
        <v>0</v>
      </c>
      <c r="DK434" s="873">
        <f>VLOOKUP(WWWW[[#This Row],[Site Name]],SiteDB6[[Site Name]:[CCCM Focal Agency]],7,FALSE)</f>
        <v>0</v>
      </c>
      <c r="DL434" s="873" t="str">
        <f>VLOOKUP(WWWW[[#This Row],[Site Name]],SiteDB6[[Site Name]:[Location Type 1]],9,FALSE)</f>
        <v>Temporary location</v>
      </c>
      <c r="DM434" s="873" t="str">
        <f>VLOOKUP(WWWW[[#This Row],[Site Name]],SiteDB6[[Site Name]:[Type of Accommodation]],10,FALSE)</f>
        <v>Temporary location</v>
      </c>
      <c r="DN434" s="873">
        <f>VLOOKUP(WWWW[[#This Row],[Site Name]],SiteDB6[[Site Name]:[Ethnic or GCA/NGCA]],11,FALSE)</f>
        <v>0</v>
      </c>
      <c r="DO434" s="873">
        <f>VLOOKUP(WWWW[[#This Row],[Site Name]],SiteDB6[[Site Name]:[Lat]],12,FALSE)</f>
        <v>20.709392547607401</v>
      </c>
      <c r="DP434" s="873">
        <f>VLOOKUP(WWWW[[#This Row],[Site Name]],SiteDB6[[Site Name]:[Long]],13,FALSE)</f>
        <v>92.815086364746094</v>
      </c>
      <c r="DQ434" s="873">
        <f>VLOOKUP(WWWW[[#This Row],[Site Name]],SiteDB6[[Site Name]:[Pcode]],3,FALSE)</f>
        <v>196218</v>
      </c>
      <c r="DR434" s="871" t="str">
        <f t="shared" si="13"/>
        <v>Notcovered</v>
      </c>
      <c r="DS434" s="871"/>
      <c r="DV434" s="661"/>
    </row>
    <row r="435" spans="1:126">
      <c r="A435" s="637" t="s">
        <v>2525</v>
      </c>
      <c r="B435" s="976" t="s">
        <v>317</v>
      </c>
      <c r="C435" s="976" t="s">
        <v>317</v>
      </c>
      <c r="D435" s="864"/>
      <c r="E435" s="865" t="s">
        <v>3014</v>
      </c>
      <c r="F435" s="864" t="s">
        <v>470</v>
      </c>
      <c r="G435" s="866" t="str">
        <f>VLOOKUP(WWWW[[#This Row],[Site Name]],SiteDB6[[Site Name]:[Location Type]],8,FALSE)</f>
        <v>New Temporary Site</v>
      </c>
      <c r="H435" s="864" t="s">
        <v>3188</v>
      </c>
      <c r="I435" s="867">
        <v>6</v>
      </c>
      <c r="J435" s="867">
        <v>30</v>
      </c>
      <c r="K435" s="868"/>
      <c r="L435" s="869"/>
      <c r="M435" s="867"/>
      <c r="N435" s="867"/>
      <c r="O435" s="867"/>
      <c r="P435" s="867"/>
      <c r="Q435" s="870"/>
      <c r="R435" s="867"/>
      <c r="S435" s="867"/>
      <c r="T435" s="379"/>
      <c r="U435" s="867"/>
      <c r="V435" s="867"/>
      <c r="W435" s="867"/>
      <c r="X435" s="867"/>
      <c r="Y435" s="867"/>
      <c r="Z435" s="867"/>
      <c r="AA435" s="867"/>
      <c r="AB435" s="867"/>
      <c r="AC435" s="867"/>
      <c r="AD435" s="867"/>
      <c r="AE435" s="867"/>
      <c r="AF435" s="867"/>
      <c r="AG435" s="867"/>
      <c r="AH435" s="867"/>
      <c r="AI435" s="867"/>
      <c r="AJ435" s="867"/>
      <c r="AK435" s="867"/>
      <c r="AL435" s="867"/>
      <c r="AM435" s="867"/>
      <c r="AN435" s="867"/>
      <c r="AO435" s="871"/>
      <c r="AP435" s="867"/>
      <c r="AQ435" s="867"/>
      <c r="AR435" s="872"/>
      <c r="AS435" s="867"/>
      <c r="AT435" s="867"/>
      <c r="AU435" s="867"/>
      <c r="AV435" s="867"/>
      <c r="AW435" s="867"/>
      <c r="AX435" s="873"/>
      <c r="AY435" s="871"/>
      <c r="AZ435" s="867"/>
      <c r="BA435" s="867"/>
      <c r="BB435" s="867"/>
      <c r="BC435" s="873"/>
      <c r="BD435" s="867"/>
      <c r="BE435" s="867"/>
      <c r="BF435" s="867"/>
      <c r="BG435" s="867"/>
      <c r="BH435" s="867"/>
      <c r="BI435" s="867"/>
      <c r="BJ435" s="867"/>
      <c r="BK435" s="867"/>
      <c r="BL435" s="867"/>
      <c r="BM435" s="873"/>
      <c r="BN435" s="874"/>
      <c r="BO435" s="872"/>
      <c r="BP435" s="873"/>
      <c r="BQ435" s="875" t="str">
        <f>IFERROR(WWWW[[#This Row],['#_Water sources treated]]/WWWW[[#This Row],['#_Water sources tested for contamination]],"no test")</f>
        <v>no test</v>
      </c>
      <c r="BR435" s="872" t="str">
        <f>IFERROR(WWWW[[#This Row],['#_Household received remediation action due to contamination]]/WWWW[[#This Row],['#_Household water samples tested for contamination]],"no test")</f>
        <v>no test</v>
      </c>
      <c r="BS435" s="874" t="str">
        <f>IF(AND(WWWW[[#This Row],[% of water sources treated]]="no test",WWWW[[#This Row],[% Household received corrective actions]]="no test"),"No Test","Tested")</f>
        <v>No Test</v>
      </c>
      <c r="BT435" s="874">
        <f>WWWW[[#This Row],['#_Constructed/existing protected hand dug well]]-WWWW[[#This Row],['#_Non-functional protected hand dug well]]</f>
        <v>0</v>
      </c>
      <c r="BU435" s="874">
        <f>(WWWW[[#This Row],['#_Constructed/Existing tube wells/boreholes/handpumps_WASH_agency]]+WWWW[[#This Row],['#_Non-Cluster partner water tube-wells/boreholes/handpumps]])-WWWW[[#This Row],['#_Non-functional tube wells/boreholes/handpumps]]</f>
        <v>0</v>
      </c>
      <c r="BV435" s="874">
        <f>WWWW[[#This Row],['#_Constructed/Existingwater storage tank with gravity fed reticulation system]]-WWWW[[#This Row],['#_Non-functional storage tank gravity fed reticulation system]]</f>
        <v>0</v>
      </c>
      <c r="BW435" s="874">
        <f>WWWW[[#This Row],['#_Water boating or water trucking]]</f>
        <v>0</v>
      </c>
      <c r="BX435" s="874">
        <f>WWWW[[#This Row],['#_Constructed/Existing water distribution system from river or natural spring]]</f>
        <v>0</v>
      </c>
      <c r="BY435"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35"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35" s="872">
        <f>IF(WWWW[[#This Row],[Location Type 1]]="Village",WWWW[[#This Row],[Access to safe drinking water for Village]],WWWW[[#This Row],[Access to safe drinking water for Camp]])</f>
        <v>0</v>
      </c>
      <c r="CB435" s="870">
        <f>WWWW[[#This Row],[%Equitable and continuous access to sufficient quantity of safe drinking water]]*WWWW[[#This Row],[Total PoP ]]</f>
        <v>0</v>
      </c>
      <c r="CC435" s="872">
        <f>IF((WWWW[[#This Row],['#_Constructed/Existing protected/fenced ponds]]*250)/WWWW[[#This Row],[Total PoP ]]&gt;1,1,(WWWW[[#This Row],['#_Constructed/Existing protected/fenced ponds]]*250)/WWWW[[#This Row],[Total PoP ]])</f>
        <v>0</v>
      </c>
      <c r="CD435" s="870">
        <f>WWWW[[#This Row],[% Access to unimproved water points]]*WWWW[[#This Row],[Total PoP ]]</f>
        <v>0</v>
      </c>
      <c r="CE435"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35"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35" s="870">
        <f>WWWW[[#This Row],[HRP1]]/500</f>
        <v>0</v>
      </c>
      <c r="CH435" s="876">
        <f>1-WWWW[[#This Row],[% Equitable and continuous access to sufficient quantity of domestic water]]</f>
        <v>1</v>
      </c>
      <c r="CI435" s="870">
        <f>WWWW[[#This Row],[%equitable and continuous access to sufficient quantity of safe drinking and domestic water''s GAP]]*WWWW[[#This Row],[Total PoP ]]</f>
        <v>30</v>
      </c>
      <c r="CJ435" s="874">
        <f>IF(WWWW[[#This Row],[Total required water points]]-WWWW[[#This Row],['#Water points coverage]]&lt;0,0,WWWW[[#This Row],[Total required water points]]-WWWW[[#This Row],['#Water points coverage]])</f>
        <v>1</v>
      </c>
      <c r="CK435" s="874">
        <f>ROUND(IF(WWWW[[#This Row],[Total PoP ]]&lt;500,1,WWWW[[#This Row],[Total PoP ]]/500),0)</f>
        <v>1</v>
      </c>
      <c r="CL435" s="874">
        <f>(WWWW[[#This Row],['#_Constructed latrines_by_WASHAgencies]]+WWWW[[#This Row],['#_Non Cluster partner latrines]])-WWWW[[#This Row],['#_Non-functional latrines]]</f>
        <v>0</v>
      </c>
      <c r="CM435"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35"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35"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35" s="874">
        <f>IF(WWWW[[#This Row],[Location Type 1]]="Village","NA",IF(WWWW[[#This Row],['#_Constructed/Existing latrines in TLS]]*50&gt;WWWW[[#This Row],['#_students at TLS_CFS]],WWWW[[#This Row],['#_students at TLS_CFS]],(WWWW[[#This Row],['#_Constructed/Existing latrines in TLS]]*50)))</f>
        <v>0</v>
      </c>
      <c r="CQ435" s="874">
        <f>ROUND(IF(WWWW[[#This Row],[Location Type 1]]="camp",WWWW[[#This Row],[Total PoP ]]/20,IF(WWWW[[#This Row],[Location Type 1]]="Temporary Location",WWWW[[#This Row],[Total PoP ]]/50,(WWWW[[#This Row],[Total PoP ]]/6))),0)</f>
        <v>1</v>
      </c>
      <c r="CR435" s="874">
        <f>IF(WWWW[[#This Row],[Total required Latrines]]-(WWWW[[#This Row],['#_Constructed latrines_by_WASHAgencies]]+WWWW[[#This Row],['#_Non Cluster partner latrines]])&lt;0,0,WWWW[[#This Row],[Total required Latrines]]-(WWWW[[#This Row],['#_Constructed latrines_by_WASHAgencies]]+WWWW[[#This Row],['#_Non Cluster partner latrines]]))</f>
        <v>1</v>
      </c>
      <c r="CS435" s="878">
        <f>1-WWWW[[#This Row],[% people access to functioning Latrine]]</f>
        <v>1</v>
      </c>
      <c r="CT435" s="875">
        <f>IF(OR(WWWW[[#This Row],['#_Non-functional latrines]]="",WWWW[[#This Row],['#_Non-functional latrines]]=0),0,WWWW[[#This Row],['#_Non-functional latrines]]/(WWWW[[#This Row],['#_Constructed latrines_by_WASHAgencies]]+WWWW[[#This Row],['#_Non Cluster partner latrines]]))</f>
        <v>0</v>
      </c>
      <c r="CU435" s="870">
        <f>IF(500*(WWWW[[#This Row],['#_male hygiene promoters]]+WWWW[[#This Row],['#_female hygiene promoters]])&gt;WWWW[[#This Row],[Total PoP ]],WWWW[[#This Row],[Total PoP ]],500*(WWWW[[#This Row],['#_male hygiene promoters]]+WWWW[[#This Row],['#_female hygiene promoters]]))</f>
        <v>0</v>
      </c>
      <c r="CV435"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35"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35" s="874">
        <f>IF(WWWW[[#This Row],['# People with access to soap]]&gt;WWWW[[#This Row],['# People with access to Sanity Pads]],WWWW[[#This Row],['# People with access to soap]],WWWW[[#This Row],['# People with access to Sanity Pads]])</f>
        <v>0</v>
      </c>
      <c r="CY435"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35" s="876">
        <f>IF(WWWW[[#This Row],[HRP3]]/WWWW[[#This Row],[Total PoP ]]&gt;100%,100%,WWWW[[#This Row],[HRP3]]/WWWW[[#This Row],[Total PoP ]])</f>
        <v>0</v>
      </c>
      <c r="DA435" s="875">
        <f>1-WWWW[[#This Row],[Hygiene Coverage%]]</f>
        <v>1</v>
      </c>
      <c r="DB435" s="872">
        <f>WWWW[[#This Row],['# people reached by regular dedicated hygiene promotion_5]]/WWWW[[#This Row],[Total PoP ]]</f>
        <v>0</v>
      </c>
      <c r="DC435" s="872">
        <f>IF(WWWW[[#This Row],['#_households that received standard amount of soap for this quarter]]/WWWW[[#This Row],[Total HH]]&gt;1,1,WWWW[[#This Row],['#_households that received standard amount of soap for this quarter]]/WWWW[[#This Row],[Total HH]])</f>
        <v>0</v>
      </c>
      <c r="DD435" s="872">
        <f>IF(WWWW[[#This Row],['#_households that received standard amount of sanitary pads for this quarter]]/WWWW[[#This Row],[Total HH]]&gt;1,1,WWWW[[#This Row],['#_households that received standard amount of sanitary pads for this quarter]]/WWWW[[#This Row],[Total HH]])</f>
        <v>0</v>
      </c>
      <c r="DE435" s="874">
        <f>WWWW[[#This Row],['#_Constructed/Existing hand washing stations]]-WWWW[[#This Row],['#_Non-Functional_hand_washing_stations]]</f>
        <v>0</v>
      </c>
      <c r="DF435" s="879" t="e">
        <f>WWWW[[#This Row],[Total HH]]*#REF!</f>
        <v>#REF!</v>
      </c>
      <c r="DG435" s="870">
        <f>IF(WWWW[[#This Row],[Is sufficient soap available for TLS? (Yes/No)]]="yes",WWWW[[#This Row],['#_Constructed/Existing hand washing stations at TLS]],0)</f>
        <v>0</v>
      </c>
      <c r="DH435" s="702">
        <f>IF(WWWW[[#This Row],['# Functional hand washing stations during reporting period]]*100&gt;WWWW[[#This Row],[Total PoP ]],WWWW[[#This Row],[Total PoP ]],WWWW[[#This Row],['# Functional hand washing stations during reporting period]]*100)</f>
        <v>0</v>
      </c>
      <c r="DI435" s="702" t="str">
        <f>IF(WWWW[[#This Row],['#_students at TLS_CFS]]="","No","Yes")</f>
        <v>No</v>
      </c>
      <c r="DJ435" s="873">
        <f>VLOOKUP(WWWW[[#This Row],[Site Name]],SiteDB6[[Site Name]:[CCCM Management]],6,FALSE)</f>
        <v>0</v>
      </c>
      <c r="DK435" s="873">
        <f>VLOOKUP(WWWW[[#This Row],[Site Name]],SiteDB6[[Site Name]:[CCCM Focal Agency]],7,FALSE)</f>
        <v>0</v>
      </c>
      <c r="DL435" s="873" t="str">
        <f>VLOOKUP(WWWW[[#This Row],[Site Name]],SiteDB6[[Site Name]:[Location Type 1]],9,FALSE)</f>
        <v>Temporary location</v>
      </c>
      <c r="DM435" s="873" t="str">
        <f>VLOOKUP(WWWW[[#This Row],[Site Name]],SiteDB6[[Site Name]:[Type of Accommodation]],10,FALSE)</f>
        <v>Temporary location</v>
      </c>
      <c r="DN435" s="873">
        <f>VLOOKUP(WWWW[[#This Row],[Site Name]],SiteDB6[[Site Name]:[Ethnic or GCA/NGCA]],11,FALSE)</f>
        <v>0</v>
      </c>
      <c r="DO435" s="873">
        <f>VLOOKUP(WWWW[[#This Row],[Site Name]],SiteDB6[[Site Name]:[Lat]],12,FALSE)</f>
        <v>20.303350448608398</v>
      </c>
      <c r="DP435" s="873">
        <f>VLOOKUP(WWWW[[#This Row],[Site Name]],SiteDB6[[Site Name]:[Long]],13,FALSE)</f>
        <v>92.927062988281307</v>
      </c>
      <c r="DQ435" s="873">
        <f>VLOOKUP(WWWW[[#This Row],[Site Name]],SiteDB6[[Site Name]:[Pcode]],3,FALSE)</f>
        <v>196403</v>
      </c>
      <c r="DR435" s="871" t="str">
        <f t="shared" si="13"/>
        <v>Notcovered</v>
      </c>
      <c r="DS435" s="871"/>
      <c r="DV435" s="661"/>
    </row>
    <row r="436" spans="1:126">
      <c r="A436" s="637" t="s">
        <v>2525</v>
      </c>
      <c r="B436" s="863" t="s">
        <v>2871</v>
      </c>
      <c r="C436" s="863" t="s">
        <v>2871</v>
      </c>
      <c r="D436" s="864"/>
      <c r="E436" s="865" t="s">
        <v>3014</v>
      </c>
      <c r="F436" s="864" t="s">
        <v>470</v>
      </c>
      <c r="G436" s="866" t="str">
        <f>VLOOKUP(WWWW[[#This Row],[Site Name]],SiteDB6[[Site Name]:[Location Type]],8,FALSE)</f>
        <v>New Temporary Site</v>
      </c>
      <c r="H436" s="701" t="s">
        <v>3258</v>
      </c>
      <c r="I436" s="867">
        <v>70</v>
      </c>
      <c r="J436" s="867">
        <v>245</v>
      </c>
      <c r="K436" s="868"/>
      <c r="L436" s="869"/>
      <c r="M436" s="867"/>
      <c r="N436" s="867"/>
      <c r="O436" s="867"/>
      <c r="P436" s="867"/>
      <c r="Q436" s="870"/>
      <c r="R436" s="867"/>
      <c r="S436" s="867"/>
      <c r="T436" s="379"/>
      <c r="U436" s="867"/>
      <c r="V436" s="867"/>
      <c r="W436" s="867"/>
      <c r="X436" s="867"/>
      <c r="Y436" s="867"/>
      <c r="Z436" s="867"/>
      <c r="AA436" s="867"/>
      <c r="AB436" s="867"/>
      <c r="AC436" s="867"/>
      <c r="AD436" s="867"/>
      <c r="AE436" s="867"/>
      <c r="AF436" s="867"/>
      <c r="AG436" s="867"/>
      <c r="AH436" s="867"/>
      <c r="AI436" s="867"/>
      <c r="AJ436" s="867"/>
      <c r="AK436" s="867"/>
      <c r="AL436" s="867"/>
      <c r="AM436" s="867"/>
      <c r="AN436" s="867"/>
      <c r="AO436" s="871"/>
      <c r="AP436" s="867"/>
      <c r="AQ436" s="867"/>
      <c r="AR436" s="872"/>
      <c r="AS436" s="867"/>
      <c r="AT436" s="867"/>
      <c r="AU436" s="867"/>
      <c r="AV436" s="867"/>
      <c r="AW436" s="867"/>
      <c r="AX436" s="873"/>
      <c r="AY436" s="871"/>
      <c r="AZ436" s="867"/>
      <c r="BA436" s="867"/>
      <c r="BB436" s="867"/>
      <c r="BC436" s="873"/>
      <c r="BD436" s="867"/>
      <c r="BE436" s="867"/>
      <c r="BF436" s="867"/>
      <c r="BG436" s="867"/>
      <c r="BH436" s="867"/>
      <c r="BI436" s="867"/>
      <c r="BJ436" s="867"/>
      <c r="BK436" s="867">
        <v>70</v>
      </c>
      <c r="BL436" s="867">
        <v>70</v>
      </c>
      <c r="BM436" s="873"/>
      <c r="BN436" s="874"/>
      <c r="BO436" s="872"/>
      <c r="BP436" s="873"/>
      <c r="BQ436" s="875" t="str">
        <f>IFERROR(WWWW[[#This Row],['#_Water sources treated]]/WWWW[[#This Row],['#_Water sources tested for contamination]],"no test")</f>
        <v>no test</v>
      </c>
      <c r="BR436" s="872" t="str">
        <f>IFERROR(WWWW[[#This Row],['#_Household received remediation action due to contamination]]/WWWW[[#This Row],['#_Household water samples tested for contamination]],"no test")</f>
        <v>no test</v>
      </c>
      <c r="BS436" s="874" t="str">
        <f>IF(AND(WWWW[[#This Row],[% of water sources treated]]="no test",WWWW[[#This Row],[% Household received corrective actions]]="no test"),"No Test","Tested")</f>
        <v>No Test</v>
      </c>
      <c r="BT436" s="874">
        <f>WWWW[[#This Row],['#_Constructed/existing protected hand dug well]]-WWWW[[#This Row],['#_Non-functional protected hand dug well]]</f>
        <v>0</v>
      </c>
      <c r="BU436" s="874">
        <f>(WWWW[[#This Row],['#_Constructed/Existing tube wells/boreholes/handpumps_WASH_agency]]+WWWW[[#This Row],['#_Non-Cluster partner water tube-wells/boreholes/handpumps]])-WWWW[[#This Row],['#_Non-functional tube wells/boreholes/handpumps]]</f>
        <v>0</v>
      </c>
      <c r="BV436" s="874">
        <f>WWWW[[#This Row],['#_Constructed/Existingwater storage tank with gravity fed reticulation system]]-WWWW[[#This Row],['#_Non-functional storage tank gravity fed reticulation system]]</f>
        <v>0</v>
      </c>
      <c r="BW436" s="874">
        <f>WWWW[[#This Row],['#_Water boating or water trucking]]</f>
        <v>0</v>
      </c>
      <c r="BX436" s="874">
        <f>WWWW[[#This Row],['#_Constructed/Existing water distribution system from river or natural spring]]</f>
        <v>0</v>
      </c>
      <c r="BY436"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36"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36" s="872">
        <f>IF(WWWW[[#This Row],[Location Type 1]]="Village",WWWW[[#This Row],[Access to safe drinking water for Village]],WWWW[[#This Row],[Access to safe drinking water for Camp]])</f>
        <v>0</v>
      </c>
      <c r="CB436" s="870">
        <f>WWWW[[#This Row],[%Equitable and continuous access to sufficient quantity of safe drinking water]]*WWWW[[#This Row],[Total PoP ]]</f>
        <v>0</v>
      </c>
      <c r="CC436" s="872">
        <f>IF((WWWW[[#This Row],['#_Constructed/Existing protected/fenced ponds]]*250)/WWWW[[#This Row],[Total PoP ]]&gt;1,1,(WWWW[[#This Row],['#_Constructed/Existing protected/fenced ponds]]*250)/WWWW[[#This Row],[Total PoP ]])</f>
        <v>0</v>
      </c>
      <c r="CD436" s="870">
        <f>WWWW[[#This Row],[% Access to unimproved water points]]*WWWW[[#This Row],[Total PoP ]]</f>
        <v>0</v>
      </c>
      <c r="CE436"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36"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36" s="870">
        <f>WWWW[[#This Row],[HRP1]]/500</f>
        <v>0</v>
      </c>
      <c r="CH436" s="876">
        <f>1-WWWW[[#This Row],[% Equitable and continuous access to sufficient quantity of domestic water]]</f>
        <v>1</v>
      </c>
      <c r="CI436" s="870">
        <f>WWWW[[#This Row],[%equitable and continuous access to sufficient quantity of safe drinking and domestic water''s GAP]]*WWWW[[#This Row],[Total PoP ]]</f>
        <v>245</v>
      </c>
      <c r="CJ436" s="874">
        <f>IF(WWWW[[#This Row],[Total required water points]]-WWWW[[#This Row],['#Water points coverage]]&lt;0,0,WWWW[[#This Row],[Total required water points]]-WWWW[[#This Row],['#Water points coverage]])</f>
        <v>1</v>
      </c>
      <c r="CK436" s="874">
        <f>ROUND(IF(WWWW[[#This Row],[Total PoP ]]&lt;500,1,WWWW[[#This Row],[Total PoP ]]/500),0)</f>
        <v>1</v>
      </c>
      <c r="CL436" s="874">
        <f>(WWWW[[#This Row],['#_Constructed latrines_by_WASHAgencies]]+WWWW[[#This Row],['#_Non Cluster partner latrines]])-WWWW[[#This Row],['#_Non-functional latrines]]</f>
        <v>0</v>
      </c>
      <c r="CM436"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36"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36"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36" s="874">
        <f>IF(WWWW[[#This Row],[Location Type 1]]="Village","NA",IF(WWWW[[#This Row],['#_Constructed/Existing latrines in TLS]]*50&gt;WWWW[[#This Row],['#_students at TLS_CFS]],WWWW[[#This Row],['#_students at TLS_CFS]],(WWWW[[#This Row],['#_Constructed/Existing latrines in TLS]]*50)))</f>
        <v>0</v>
      </c>
      <c r="CQ436" s="874">
        <f>ROUND(IF(WWWW[[#This Row],[Location Type 1]]="camp",WWWW[[#This Row],[Total PoP ]]/20,IF(WWWW[[#This Row],[Location Type 1]]="Temporary Location",WWWW[[#This Row],[Total PoP ]]/50,(WWWW[[#This Row],[Total PoP ]]/6))),0)</f>
        <v>5</v>
      </c>
      <c r="CR436" s="874">
        <f>IF(WWWW[[#This Row],[Total required Latrines]]-(WWWW[[#This Row],['#_Constructed latrines_by_WASHAgencies]]+WWWW[[#This Row],['#_Non Cluster partner latrines]])&lt;0,0,WWWW[[#This Row],[Total required Latrines]]-(WWWW[[#This Row],['#_Constructed latrines_by_WASHAgencies]]+WWWW[[#This Row],['#_Non Cluster partner latrines]]))</f>
        <v>5</v>
      </c>
      <c r="CS436" s="878">
        <f>1-WWWW[[#This Row],[% people access to functioning Latrine]]</f>
        <v>1</v>
      </c>
      <c r="CT436" s="875">
        <f>IF(OR(WWWW[[#This Row],['#_Non-functional latrines]]="",WWWW[[#This Row],['#_Non-functional latrines]]=0),0,WWWW[[#This Row],['#_Non-functional latrines]]/(WWWW[[#This Row],['#_Constructed latrines_by_WASHAgencies]]+WWWW[[#This Row],['#_Non Cluster partner latrines]]))</f>
        <v>0</v>
      </c>
      <c r="CU436" s="870">
        <f>IF(500*(WWWW[[#This Row],['#_male hygiene promoters]]+WWWW[[#This Row],['#_female hygiene promoters]])&gt;WWWW[[#This Row],[Total PoP ]],WWWW[[#This Row],[Total PoP ]],500*(WWWW[[#This Row],['#_male hygiene promoters]]+WWWW[[#This Row],['#_female hygiene promoters]]))</f>
        <v>0</v>
      </c>
      <c r="CV436"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245</v>
      </c>
      <c r="CW436"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245</v>
      </c>
      <c r="CX436" s="874">
        <f>IF(WWWW[[#This Row],['# People with access to soap]]&gt;WWWW[[#This Row],['# People with access to Sanity Pads]],WWWW[[#This Row],['# People with access to soap]],WWWW[[#This Row],['# People with access to Sanity Pads]])</f>
        <v>245</v>
      </c>
      <c r="CY436" s="874">
        <f>IF(WWWW[[#This Row],['# people reached by regular dedicated hygiene promotion_5]]&gt;WWWW[[#This Row],['# People received regular supply of hygiene items_6]],WWWW[[#This Row],['# people reached by regular dedicated hygiene promotion_5]],WWWW[[#This Row],['# People received regular supply of hygiene items_6]])</f>
        <v>245</v>
      </c>
      <c r="CZ436" s="876">
        <f>IF(WWWW[[#This Row],[HRP3]]/WWWW[[#This Row],[Total PoP ]]&gt;100%,100%,WWWW[[#This Row],[HRP3]]/WWWW[[#This Row],[Total PoP ]])</f>
        <v>1</v>
      </c>
      <c r="DA436" s="875">
        <f>1-WWWW[[#This Row],[Hygiene Coverage%]]</f>
        <v>0</v>
      </c>
      <c r="DB436" s="872">
        <f>WWWW[[#This Row],['# people reached by regular dedicated hygiene promotion_5]]/WWWW[[#This Row],[Total PoP ]]</f>
        <v>0</v>
      </c>
      <c r="DC436" s="872">
        <f>IF(WWWW[[#This Row],['#_households that received standard amount of soap for this quarter]]/WWWW[[#This Row],[Total HH]]&gt;1,1,WWWW[[#This Row],['#_households that received standard amount of soap for this quarter]]/WWWW[[#This Row],[Total HH]])</f>
        <v>1</v>
      </c>
      <c r="DD436" s="872">
        <f>IF(WWWW[[#This Row],['#_households that received standard amount of sanitary pads for this quarter]]/WWWW[[#This Row],[Total HH]]&gt;1,1,WWWW[[#This Row],['#_households that received standard amount of sanitary pads for this quarter]]/WWWW[[#This Row],[Total HH]])</f>
        <v>1</v>
      </c>
      <c r="DE436" s="874">
        <f>WWWW[[#This Row],['#_Constructed/Existing hand washing stations]]-WWWW[[#This Row],['#_Non-Functional_hand_washing_stations]]</f>
        <v>0</v>
      </c>
      <c r="DF436" s="879" t="e">
        <f>WWWW[[#This Row],[Total HH]]*#REF!</f>
        <v>#REF!</v>
      </c>
      <c r="DG436" s="870">
        <f>IF(WWWW[[#This Row],[Is sufficient soap available for TLS? (Yes/No)]]="yes",WWWW[[#This Row],['#_Constructed/Existing hand washing stations at TLS]],0)</f>
        <v>0</v>
      </c>
      <c r="DH436" s="702">
        <f>IF(WWWW[[#This Row],['# Functional hand washing stations during reporting period]]*100&gt;WWWW[[#This Row],[Total PoP ]],WWWW[[#This Row],[Total PoP ]],WWWW[[#This Row],['# Functional hand washing stations during reporting period]]*100)</f>
        <v>0</v>
      </c>
      <c r="DI436" s="702" t="str">
        <f>IF(WWWW[[#This Row],['#_students at TLS_CFS]]="","No","Yes")</f>
        <v>No</v>
      </c>
      <c r="DJ436" s="873">
        <f>VLOOKUP(WWWW[[#This Row],[Site Name]],SiteDB6[[Site Name]:[CCCM Management]],6,FALSE)</f>
        <v>0</v>
      </c>
      <c r="DK436" s="873">
        <f>VLOOKUP(WWWW[[#This Row],[Site Name]],SiteDB6[[Site Name]:[CCCM Focal Agency]],7,FALSE)</f>
        <v>0</v>
      </c>
      <c r="DL436" s="873" t="str">
        <f>VLOOKUP(WWWW[[#This Row],[Site Name]],SiteDB6[[Site Name]:[Location Type 1]],9,FALSE)</f>
        <v>Temporary location</v>
      </c>
      <c r="DM436" s="873" t="str">
        <f>VLOOKUP(WWWW[[#This Row],[Site Name]],SiteDB6[[Site Name]:[Type of Accommodation]],10,FALSE)</f>
        <v>Temporary location</v>
      </c>
      <c r="DN436" s="873">
        <f>VLOOKUP(WWWW[[#This Row],[Site Name]],SiteDB6[[Site Name]:[Ethnic or GCA/NGCA]],11,FALSE)</f>
        <v>0</v>
      </c>
      <c r="DO436" s="873">
        <f>VLOOKUP(WWWW[[#This Row],[Site Name]],SiteDB6[[Site Name]:[Lat]],12,FALSE)</f>
        <v>20.5702304840088</v>
      </c>
      <c r="DP436" s="873">
        <f>VLOOKUP(WWWW[[#This Row],[Site Name]],SiteDB6[[Site Name]:[Long]],13,FALSE)</f>
        <v>92.977378845214801</v>
      </c>
      <c r="DQ436" s="873">
        <f>VLOOKUP(WWWW[[#This Row],[Site Name]],SiteDB6[[Site Name]:[Pcode]],3,FALSE)</f>
        <v>196302</v>
      </c>
      <c r="DR436" s="871" t="str">
        <f t="shared" si="13"/>
        <v>Covered</v>
      </c>
      <c r="DS436" s="871"/>
      <c r="DV436" s="661"/>
    </row>
    <row r="437" spans="1:126">
      <c r="A437" s="637" t="s">
        <v>2525</v>
      </c>
      <c r="B437" s="976" t="s">
        <v>317</v>
      </c>
      <c r="C437" s="976" t="s">
        <v>317</v>
      </c>
      <c r="D437" s="864"/>
      <c r="E437" s="865" t="s">
        <v>3014</v>
      </c>
      <c r="F437" s="864" t="s">
        <v>470</v>
      </c>
      <c r="G437" s="866" t="str">
        <f>VLOOKUP(WWWW[[#This Row],[Site Name]],SiteDB6[[Site Name]:[Location Type]],8,FALSE)</f>
        <v>New Temporary Site</v>
      </c>
      <c r="H437" s="864" t="s">
        <v>3192</v>
      </c>
      <c r="I437" s="867">
        <v>28</v>
      </c>
      <c r="J437" s="867">
        <v>143</v>
      </c>
      <c r="K437" s="868"/>
      <c r="L437" s="869"/>
      <c r="M437" s="867"/>
      <c r="N437" s="867"/>
      <c r="O437" s="867"/>
      <c r="P437" s="867"/>
      <c r="Q437" s="870"/>
      <c r="R437" s="867"/>
      <c r="S437" s="867"/>
      <c r="T437" s="379"/>
      <c r="U437" s="867"/>
      <c r="V437" s="867"/>
      <c r="W437" s="867"/>
      <c r="X437" s="867"/>
      <c r="Y437" s="867"/>
      <c r="Z437" s="867"/>
      <c r="AA437" s="867"/>
      <c r="AB437" s="867"/>
      <c r="AC437" s="867"/>
      <c r="AD437" s="867"/>
      <c r="AE437" s="867"/>
      <c r="AF437" s="867"/>
      <c r="AG437" s="867"/>
      <c r="AH437" s="867"/>
      <c r="AI437" s="867"/>
      <c r="AJ437" s="867"/>
      <c r="AK437" s="867"/>
      <c r="AL437" s="867"/>
      <c r="AM437" s="867"/>
      <c r="AN437" s="867"/>
      <c r="AO437" s="871"/>
      <c r="AP437" s="867"/>
      <c r="AQ437" s="867"/>
      <c r="AR437" s="872"/>
      <c r="AS437" s="867"/>
      <c r="AT437" s="867"/>
      <c r="AU437" s="867"/>
      <c r="AV437" s="867"/>
      <c r="AW437" s="867"/>
      <c r="AX437" s="873"/>
      <c r="AY437" s="871"/>
      <c r="AZ437" s="867"/>
      <c r="BA437" s="867"/>
      <c r="BB437" s="867"/>
      <c r="BC437" s="873"/>
      <c r="BD437" s="867"/>
      <c r="BE437" s="867"/>
      <c r="BF437" s="867"/>
      <c r="BG437" s="867"/>
      <c r="BH437" s="867"/>
      <c r="BI437" s="867"/>
      <c r="BJ437" s="867"/>
      <c r="BK437" s="867"/>
      <c r="BL437" s="867"/>
      <c r="BM437" s="873"/>
      <c r="BN437" s="874"/>
      <c r="BO437" s="872"/>
      <c r="BP437" s="873"/>
      <c r="BQ437" s="875" t="str">
        <f>IFERROR(WWWW[[#This Row],['#_Water sources treated]]/WWWW[[#This Row],['#_Water sources tested for contamination]],"no test")</f>
        <v>no test</v>
      </c>
      <c r="BR437" s="872" t="str">
        <f>IFERROR(WWWW[[#This Row],['#_Household received remediation action due to contamination]]/WWWW[[#This Row],['#_Household water samples tested for contamination]],"no test")</f>
        <v>no test</v>
      </c>
      <c r="BS437" s="874" t="str">
        <f>IF(AND(WWWW[[#This Row],[% of water sources treated]]="no test",WWWW[[#This Row],[% Household received corrective actions]]="no test"),"No Test","Tested")</f>
        <v>No Test</v>
      </c>
      <c r="BT437" s="874">
        <f>WWWW[[#This Row],['#_Constructed/existing protected hand dug well]]-WWWW[[#This Row],['#_Non-functional protected hand dug well]]</f>
        <v>0</v>
      </c>
      <c r="BU437" s="874">
        <f>(WWWW[[#This Row],['#_Constructed/Existing tube wells/boreholes/handpumps_WASH_agency]]+WWWW[[#This Row],['#_Non-Cluster partner water tube-wells/boreholes/handpumps]])-WWWW[[#This Row],['#_Non-functional tube wells/boreholes/handpumps]]</f>
        <v>0</v>
      </c>
      <c r="BV437" s="874">
        <f>WWWW[[#This Row],['#_Constructed/Existingwater storage tank with gravity fed reticulation system]]-WWWW[[#This Row],['#_Non-functional storage tank gravity fed reticulation system]]</f>
        <v>0</v>
      </c>
      <c r="BW437" s="874">
        <f>WWWW[[#This Row],['#_Water boating or water trucking]]</f>
        <v>0</v>
      </c>
      <c r="BX437" s="874">
        <f>WWWW[[#This Row],['#_Constructed/Existing water distribution system from river or natural spring]]</f>
        <v>0</v>
      </c>
      <c r="BY437"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37"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37" s="872">
        <f>IF(WWWW[[#This Row],[Location Type 1]]="Village",WWWW[[#This Row],[Access to safe drinking water for Village]],WWWW[[#This Row],[Access to safe drinking water for Camp]])</f>
        <v>0</v>
      </c>
      <c r="CB437" s="870">
        <f>WWWW[[#This Row],[%Equitable and continuous access to sufficient quantity of safe drinking water]]*WWWW[[#This Row],[Total PoP ]]</f>
        <v>0</v>
      </c>
      <c r="CC437" s="872">
        <f>IF((WWWW[[#This Row],['#_Constructed/Existing protected/fenced ponds]]*250)/WWWW[[#This Row],[Total PoP ]]&gt;1,1,(WWWW[[#This Row],['#_Constructed/Existing protected/fenced ponds]]*250)/WWWW[[#This Row],[Total PoP ]])</f>
        <v>0</v>
      </c>
      <c r="CD437" s="870">
        <f>WWWW[[#This Row],[% Access to unimproved water points]]*WWWW[[#This Row],[Total PoP ]]</f>
        <v>0</v>
      </c>
      <c r="CE437"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37"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37" s="870">
        <f>WWWW[[#This Row],[HRP1]]/500</f>
        <v>0</v>
      </c>
      <c r="CH437" s="876">
        <f>1-WWWW[[#This Row],[% Equitable and continuous access to sufficient quantity of domestic water]]</f>
        <v>1</v>
      </c>
      <c r="CI437" s="870">
        <f>WWWW[[#This Row],[%equitable and continuous access to sufficient quantity of safe drinking and domestic water''s GAP]]*WWWW[[#This Row],[Total PoP ]]</f>
        <v>143</v>
      </c>
      <c r="CJ437" s="874">
        <f>IF(WWWW[[#This Row],[Total required water points]]-WWWW[[#This Row],['#Water points coverage]]&lt;0,0,WWWW[[#This Row],[Total required water points]]-WWWW[[#This Row],['#Water points coverage]])</f>
        <v>1</v>
      </c>
      <c r="CK437" s="874">
        <f>ROUND(IF(WWWW[[#This Row],[Total PoP ]]&lt;500,1,WWWW[[#This Row],[Total PoP ]]/500),0)</f>
        <v>1</v>
      </c>
      <c r="CL437" s="874">
        <f>(WWWW[[#This Row],['#_Constructed latrines_by_WASHAgencies]]+WWWW[[#This Row],['#_Non Cluster partner latrines]])-WWWW[[#This Row],['#_Non-functional latrines]]</f>
        <v>0</v>
      </c>
      <c r="CM437"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37"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37"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37" s="874">
        <f>IF(WWWW[[#This Row],[Location Type 1]]="Village","NA",IF(WWWW[[#This Row],['#_Constructed/Existing latrines in TLS]]*50&gt;WWWW[[#This Row],['#_students at TLS_CFS]],WWWW[[#This Row],['#_students at TLS_CFS]],(WWWW[[#This Row],['#_Constructed/Existing latrines in TLS]]*50)))</f>
        <v>0</v>
      </c>
      <c r="CQ437" s="874">
        <f>ROUND(IF(WWWW[[#This Row],[Location Type 1]]="camp",WWWW[[#This Row],[Total PoP ]]/20,IF(WWWW[[#This Row],[Location Type 1]]="Temporary Location",WWWW[[#This Row],[Total PoP ]]/50,(WWWW[[#This Row],[Total PoP ]]/6))),0)</f>
        <v>3</v>
      </c>
      <c r="CR437" s="874">
        <f>IF(WWWW[[#This Row],[Total required Latrines]]-(WWWW[[#This Row],['#_Constructed latrines_by_WASHAgencies]]+WWWW[[#This Row],['#_Non Cluster partner latrines]])&lt;0,0,WWWW[[#This Row],[Total required Latrines]]-(WWWW[[#This Row],['#_Constructed latrines_by_WASHAgencies]]+WWWW[[#This Row],['#_Non Cluster partner latrines]]))</f>
        <v>3</v>
      </c>
      <c r="CS437" s="878">
        <f>1-WWWW[[#This Row],[% people access to functioning Latrine]]</f>
        <v>1</v>
      </c>
      <c r="CT437" s="875">
        <f>IF(OR(WWWW[[#This Row],['#_Non-functional latrines]]="",WWWW[[#This Row],['#_Non-functional latrines]]=0),0,WWWW[[#This Row],['#_Non-functional latrines]]/(WWWW[[#This Row],['#_Constructed latrines_by_WASHAgencies]]+WWWW[[#This Row],['#_Non Cluster partner latrines]]))</f>
        <v>0</v>
      </c>
      <c r="CU437" s="870">
        <f>IF(500*(WWWW[[#This Row],['#_male hygiene promoters]]+WWWW[[#This Row],['#_female hygiene promoters]])&gt;WWWW[[#This Row],[Total PoP ]],WWWW[[#This Row],[Total PoP ]],500*(WWWW[[#This Row],['#_male hygiene promoters]]+WWWW[[#This Row],['#_female hygiene promoters]]))</f>
        <v>0</v>
      </c>
      <c r="CV437"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37"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37" s="874">
        <f>IF(WWWW[[#This Row],['# People with access to soap]]&gt;WWWW[[#This Row],['# People with access to Sanity Pads]],WWWW[[#This Row],['# People with access to soap]],WWWW[[#This Row],['# People with access to Sanity Pads]])</f>
        <v>0</v>
      </c>
      <c r="CY437"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37" s="876">
        <f>IF(WWWW[[#This Row],[HRP3]]/WWWW[[#This Row],[Total PoP ]]&gt;100%,100%,WWWW[[#This Row],[HRP3]]/WWWW[[#This Row],[Total PoP ]])</f>
        <v>0</v>
      </c>
      <c r="DA437" s="875">
        <f>1-WWWW[[#This Row],[Hygiene Coverage%]]</f>
        <v>1</v>
      </c>
      <c r="DB437" s="872">
        <f>WWWW[[#This Row],['# people reached by regular dedicated hygiene promotion_5]]/WWWW[[#This Row],[Total PoP ]]</f>
        <v>0</v>
      </c>
      <c r="DC437" s="872">
        <f>IF(WWWW[[#This Row],['#_households that received standard amount of soap for this quarter]]/WWWW[[#This Row],[Total HH]]&gt;1,1,WWWW[[#This Row],['#_households that received standard amount of soap for this quarter]]/WWWW[[#This Row],[Total HH]])</f>
        <v>0</v>
      </c>
      <c r="DD437" s="872">
        <f>IF(WWWW[[#This Row],['#_households that received standard amount of sanitary pads for this quarter]]/WWWW[[#This Row],[Total HH]]&gt;1,1,WWWW[[#This Row],['#_households that received standard amount of sanitary pads for this quarter]]/WWWW[[#This Row],[Total HH]])</f>
        <v>0</v>
      </c>
      <c r="DE437" s="874">
        <f>WWWW[[#This Row],['#_Constructed/Existing hand washing stations]]-WWWW[[#This Row],['#_Non-Functional_hand_washing_stations]]</f>
        <v>0</v>
      </c>
      <c r="DF437" s="879" t="e">
        <f>WWWW[[#This Row],[Total HH]]*#REF!</f>
        <v>#REF!</v>
      </c>
      <c r="DG437" s="870">
        <f>IF(WWWW[[#This Row],[Is sufficient soap available for TLS? (Yes/No)]]="yes",WWWW[[#This Row],['#_Constructed/Existing hand washing stations at TLS]],0)</f>
        <v>0</v>
      </c>
      <c r="DH437" s="702">
        <f>IF(WWWW[[#This Row],['# Functional hand washing stations during reporting period]]*100&gt;WWWW[[#This Row],[Total PoP ]],WWWW[[#This Row],[Total PoP ]],WWWW[[#This Row],['# Functional hand washing stations during reporting period]]*100)</f>
        <v>0</v>
      </c>
      <c r="DI437" s="702" t="str">
        <f>IF(WWWW[[#This Row],['#_students at TLS_CFS]]="","No","Yes")</f>
        <v>No</v>
      </c>
      <c r="DJ437" s="873">
        <f>VLOOKUP(WWWW[[#This Row],[Site Name]],SiteDB6[[Site Name]:[CCCM Management]],6,FALSE)</f>
        <v>0</v>
      </c>
      <c r="DK437" s="873">
        <f>VLOOKUP(WWWW[[#This Row],[Site Name]],SiteDB6[[Site Name]:[CCCM Focal Agency]],7,FALSE)</f>
        <v>0</v>
      </c>
      <c r="DL437" s="873" t="str">
        <f>VLOOKUP(WWWW[[#This Row],[Site Name]],SiteDB6[[Site Name]:[Location Type 1]],9,FALSE)</f>
        <v>Temporary location</v>
      </c>
      <c r="DM437" s="873" t="str">
        <f>VLOOKUP(WWWW[[#This Row],[Site Name]],SiteDB6[[Site Name]:[Type of Accommodation]],10,FALSE)</f>
        <v>Temporary location</v>
      </c>
      <c r="DN437" s="873">
        <f>VLOOKUP(WWWW[[#This Row],[Site Name]],SiteDB6[[Site Name]:[Ethnic or GCA/NGCA]],11,FALSE)</f>
        <v>0</v>
      </c>
      <c r="DO437" s="873">
        <f>VLOOKUP(WWWW[[#This Row],[Site Name]],SiteDB6[[Site Name]:[Lat]],12,FALSE)</f>
        <v>20.616569519043001</v>
      </c>
      <c r="DP437" s="873">
        <f>VLOOKUP(WWWW[[#This Row],[Site Name]],SiteDB6[[Site Name]:[Long]],13,FALSE)</f>
        <v>92.991638183593807</v>
      </c>
      <c r="DQ437" s="873">
        <f>VLOOKUP(WWWW[[#This Row],[Site Name]],SiteDB6[[Site Name]:[Pcode]],3,FALSE)</f>
        <v>196317</v>
      </c>
      <c r="DR437" s="871" t="str">
        <f t="shared" ref="DR437:DR466" si="14">IF(C437="none","Notcovered","Covered")</f>
        <v>Notcovered</v>
      </c>
      <c r="DS437" s="871"/>
      <c r="DV437" s="661"/>
    </row>
    <row r="438" spans="1:126">
      <c r="A438" s="637" t="s">
        <v>2525</v>
      </c>
      <c r="B438" s="976" t="s">
        <v>317</v>
      </c>
      <c r="C438" s="976" t="s">
        <v>317</v>
      </c>
      <c r="D438" s="864"/>
      <c r="E438" s="865" t="s">
        <v>3014</v>
      </c>
      <c r="F438" s="864" t="s">
        <v>470</v>
      </c>
      <c r="G438" s="866" t="str">
        <f>VLOOKUP(WWWW[[#This Row],[Site Name]],SiteDB6[[Site Name]:[Location Type]],8,FALSE)</f>
        <v>New Temporary Site</v>
      </c>
      <c r="H438" s="864" t="s">
        <v>3193</v>
      </c>
      <c r="I438" s="867">
        <v>34</v>
      </c>
      <c r="J438" s="867">
        <v>124</v>
      </c>
      <c r="K438" s="868"/>
      <c r="L438" s="869"/>
      <c r="M438" s="867"/>
      <c r="N438" s="867"/>
      <c r="O438" s="867"/>
      <c r="P438" s="867"/>
      <c r="Q438" s="870"/>
      <c r="R438" s="867"/>
      <c r="S438" s="867"/>
      <c r="T438" s="379"/>
      <c r="U438" s="867"/>
      <c r="V438" s="867"/>
      <c r="W438" s="867"/>
      <c r="X438" s="867"/>
      <c r="Y438" s="867"/>
      <c r="Z438" s="867"/>
      <c r="AA438" s="867"/>
      <c r="AB438" s="867"/>
      <c r="AC438" s="867"/>
      <c r="AD438" s="867"/>
      <c r="AE438" s="867"/>
      <c r="AF438" s="867"/>
      <c r="AG438" s="867"/>
      <c r="AH438" s="867"/>
      <c r="AI438" s="867"/>
      <c r="AJ438" s="867"/>
      <c r="AK438" s="867"/>
      <c r="AL438" s="867"/>
      <c r="AM438" s="867"/>
      <c r="AN438" s="867"/>
      <c r="AO438" s="871"/>
      <c r="AP438" s="867"/>
      <c r="AQ438" s="867"/>
      <c r="AR438" s="872"/>
      <c r="AS438" s="867"/>
      <c r="AT438" s="867"/>
      <c r="AU438" s="867"/>
      <c r="AV438" s="867"/>
      <c r="AW438" s="867"/>
      <c r="AX438" s="873"/>
      <c r="AY438" s="871"/>
      <c r="AZ438" s="867"/>
      <c r="BA438" s="867"/>
      <c r="BB438" s="867"/>
      <c r="BC438" s="873"/>
      <c r="BD438" s="867"/>
      <c r="BE438" s="867"/>
      <c r="BF438" s="867"/>
      <c r="BG438" s="867"/>
      <c r="BH438" s="867"/>
      <c r="BI438" s="867"/>
      <c r="BJ438" s="867"/>
      <c r="BK438" s="867"/>
      <c r="BL438" s="867"/>
      <c r="BM438" s="873"/>
      <c r="BN438" s="874"/>
      <c r="BO438" s="872"/>
      <c r="BP438" s="873"/>
      <c r="BQ438" s="875" t="str">
        <f>IFERROR(WWWW[[#This Row],['#_Water sources treated]]/WWWW[[#This Row],['#_Water sources tested for contamination]],"no test")</f>
        <v>no test</v>
      </c>
      <c r="BR438" s="872" t="str">
        <f>IFERROR(WWWW[[#This Row],['#_Household received remediation action due to contamination]]/WWWW[[#This Row],['#_Household water samples tested for contamination]],"no test")</f>
        <v>no test</v>
      </c>
      <c r="BS438" s="874" t="str">
        <f>IF(AND(WWWW[[#This Row],[% of water sources treated]]="no test",WWWW[[#This Row],[% Household received corrective actions]]="no test"),"No Test","Tested")</f>
        <v>No Test</v>
      </c>
      <c r="BT438" s="874">
        <f>WWWW[[#This Row],['#_Constructed/existing protected hand dug well]]-WWWW[[#This Row],['#_Non-functional protected hand dug well]]</f>
        <v>0</v>
      </c>
      <c r="BU438" s="874">
        <f>(WWWW[[#This Row],['#_Constructed/Existing tube wells/boreholes/handpumps_WASH_agency]]+WWWW[[#This Row],['#_Non-Cluster partner water tube-wells/boreholes/handpumps]])-WWWW[[#This Row],['#_Non-functional tube wells/boreholes/handpumps]]</f>
        <v>0</v>
      </c>
      <c r="BV438" s="874">
        <f>WWWW[[#This Row],['#_Constructed/Existingwater storage tank with gravity fed reticulation system]]-WWWW[[#This Row],['#_Non-functional storage tank gravity fed reticulation system]]</f>
        <v>0</v>
      </c>
      <c r="BW438" s="874">
        <f>WWWW[[#This Row],['#_Water boating or water trucking]]</f>
        <v>0</v>
      </c>
      <c r="BX438" s="874">
        <f>WWWW[[#This Row],['#_Constructed/Existing water distribution system from river or natural spring]]</f>
        <v>0</v>
      </c>
      <c r="BY438"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38"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38" s="872">
        <f>IF(WWWW[[#This Row],[Location Type 1]]="Village",WWWW[[#This Row],[Access to safe drinking water for Village]],WWWW[[#This Row],[Access to safe drinking water for Camp]])</f>
        <v>0</v>
      </c>
      <c r="CB438" s="870">
        <f>WWWW[[#This Row],[%Equitable and continuous access to sufficient quantity of safe drinking water]]*WWWW[[#This Row],[Total PoP ]]</f>
        <v>0</v>
      </c>
      <c r="CC438" s="872">
        <f>IF((WWWW[[#This Row],['#_Constructed/Existing protected/fenced ponds]]*250)/WWWW[[#This Row],[Total PoP ]]&gt;1,1,(WWWW[[#This Row],['#_Constructed/Existing protected/fenced ponds]]*250)/WWWW[[#This Row],[Total PoP ]])</f>
        <v>0</v>
      </c>
      <c r="CD438" s="870">
        <f>WWWW[[#This Row],[% Access to unimproved water points]]*WWWW[[#This Row],[Total PoP ]]</f>
        <v>0</v>
      </c>
      <c r="CE438"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38"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38" s="870">
        <f>WWWW[[#This Row],[HRP1]]/500</f>
        <v>0</v>
      </c>
      <c r="CH438" s="876">
        <f>1-WWWW[[#This Row],[% Equitable and continuous access to sufficient quantity of domestic water]]</f>
        <v>1</v>
      </c>
      <c r="CI438" s="870">
        <f>WWWW[[#This Row],[%equitable and continuous access to sufficient quantity of safe drinking and domestic water''s GAP]]*WWWW[[#This Row],[Total PoP ]]</f>
        <v>124</v>
      </c>
      <c r="CJ438" s="874">
        <f>IF(WWWW[[#This Row],[Total required water points]]-WWWW[[#This Row],['#Water points coverage]]&lt;0,0,WWWW[[#This Row],[Total required water points]]-WWWW[[#This Row],['#Water points coverage]])</f>
        <v>1</v>
      </c>
      <c r="CK438" s="874">
        <f>ROUND(IF(WWWW[[#This Row],[Total PoP ]]&lt;500,1,WWWW[[#This Row],[Total PoP ]]/500),0)</f>
        <v>1</v>
      </c>
      <c r="CL438" s="874">
        <f>(WWWW[[#This Row],['#_Constructed latrines_by_WASHAgencies]]+WWWW[[#This Row],['#_Non Cluster partner latrines]])-WWWW[[#This Row],['#_Non-functional latrines]]</f>
        <v>0</v>
      </c>
      <c r="CM438"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38"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38"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38" s="874">
        <f>IF(WWWW[[#This Row],[Location Type 1]]="Village","NA",IF(WWWW[[#This Row],['#_Constructed/Existing latrines in TLS]]*50&gt;WWWW[[#This Row],['#_students at TLS_CFS]],WWWW[[#This Row],['#_students at TLS_CFS]],(WWWW[[#This Row],['#_Constructed/Existing latrines in TLS]]*50)))</f>
        <v>0</v>
      </c>
      <c r="CQ438" s="874">
        <f>ROUND(IF(WWWW[[#This Row],[Location Type 1]]="camp",WWWW[[#This Row],[Total PoP ]]/20,IF(WWWW[[#This Row],[Location Type 1]]="Temporary Location",WWWW[[#This Row],[Total PoP ]]/50,(WWWW[[#This Row],[Total PoP ]]/6))),0)</f>
        <v>2</v>
      </c>
      <c r="CR438" s="874">
        <f>IF(WWWW[[#This Row],[Total required Latrines]]-(WWWW[[#This Row],['#_Constructed latrines_by_WASHAgencies]]+WWWW[[#This Row],['#_Non Cluster partner latrines]])&lt;0,0,WWWW[[#This Row],[Total required Latrines]]-(WWWW[[#This Row],['#_Constructed latrines_by_WASHAgencies]]+WWWW[[#This Row],['#_Non Cluster partner latrines]]))</f>
        <v>2</v>
      </c>
      <c r="CS438" s="878">
        <f>1-WWWW[[#This Row],[% people access to functioning Latrine]]</f>
        <v>1</v>
      </c>
      <c r="CT438" s="875">
        <f>IF(OR(WWWW[[#This Row],['#_Non-functional latrines]]="",WWWW[[#This Row],['#_Non-functional latrines]]=0),0,WWWW[[#This Row],['#_Non-functional latrines]]/(WWWW[[#This Row],['#_Constructed latrines_by_WASHAgencies]]+WWWW[[#This Row],['#_Non Cluster partner latrines]]))</f>
        <v>0</v>
      </c>
      <c r="CU438" s="870">
        <f>IF(500*(WWWW[[#This Row],['#_male hygiene promoters]]+WWWW[[#This Row],['#_female hygiene promoters]])&gt;WWWW[[#This Row],[Total PoP ]],WWWW[[#This Row],[Total PoP ]],500*(WWWW[[#This Row],['#_male hygiene promoters]]+WWWW[[#This Row],['#_female hygiene promoters]]))</f>
        <v>0</v>
      </c>
      <c r="CV438"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38"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38" s="874">
        <f>IF(WWWW[[#This Row],['# People with access to soap]]&gt;WWWW[[#This Row],['# People with access to Sanity Pads]],WWWW[[#This Row],['# People with access to soap]],WWWW[[#This Row],['# People with access to Sanity Pads]])</f>
        <v>0</v>
      </c>
      <c r="CY438"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38" s="876">
        <f>IF(WWWW[[#This Row],[HRP3]]/WWWW[[#This Row],[Total PoP ]]&gt;100%,100%,WWWW[[#This Row],[HRP3]]/WWWW[[#This Row],[Total PoP ]])</f>
        <v>0</v>
      </c>
      <c r="DA438" s="875">
        <f>1-WWWW[[#This Row],[Hygiene Coverage%]]</f>
        <v>1</v>
      </c>
      <c r="DB438" s="872">
        <f>WWWW[[#This Row],['# people reached by regular dedicated hygiene promotion_5]]/WWWW[[#This Row],[Total PoP ]]</f>
        <v>0</v>
      </c>
      <c r="DC438" s="872">
        <f>IF(WWWW[[#This Row],['#_households that received standard amount of soap for this quarter]]/WWWW[[#This Row],[Total HH]]&gt;1,1,WWWW[[#This Row],['#_households that received standard amount of soap for this quarter]]/WWWW[[#This Row],[Total HH]])</f>
        <v>0</v>
      </c>
      <c r="DD438" s="872">
        <f>IF(WWWW[[#This Row],['#_households that received standard amount of sanitary pads for this quarter]]/WWWW[[#This Row],[Total HH]]&gt;1,1,WWWW[[#This Row],['#_households that received standard amount of sanitary pads for this quarter]]/WWWW[[#This Row],[Total HH]])</f>
        <v>0</v>
      </c>
      <c r="DE438" s="874">
        <f>WWWW[[#This Row],['#_Constructed/Existing hand washing stations]]-WWWW[[#This Row],['#_Non-Functional_hand_washing_stations]]</f>
        <v>0</v>
      </c>
      <c r="DF438" s="879" t="e">
        <f>WWWW[[#This Row],[Total HH]]*#REF!</f>
        <v>#REF!</v>
      </c>
      <c r="DG438" s="870">
        <f>IF(WWWW[[#This Row],[Is sufficient soap available for TLS? (Yes/No)]]="yes",WWWW[[#This Row],['#_Constructed/Existing hand washing stations at TLS]],0)</f>
        <v>0</v>
      </c>
      <c r="DH438" s="702">
        <f>IF(WWWW[[#This Row],['# Functional hand washing stations during reporting period]]*100&gt;WWWW[[#This Row],[Total PoP ]],WWWW[[#This Row],[Total PoP ]],WWWW[[#This Row],['# Functional hand washing stations during reporting period]]*100)</f>
        <v>0</v>
      </c>
      <c r="DI438" s="702" t="str">
        <f>IF(WWWW[[#This Row],['#_students at TLS_CFS]]="","No","Yes")</f>
        <v>No</v>
      </c>
      <c r="DJ438" s="873">
        <f>VLOOKUP(WWWW[[#This Row],[Site Name]],SiteDB6[[Site Name]:[CCCM Management]],6,FALSE)</f>
        <v>0</v>
      </c>
      <c r="DK438" s="873">
        <f>VLOOKUP(WWWW[[#This Row],[Site Name]],SiteDB6[[Site Name]:[CCCM Focal Agency]],7,FALSE)</f>
        <v>0</v>
      </c>
      <c r="DL438" s="873" t="str">
        <f>VLOOKUP(WWWW[[#This Row],[Site Name]],SiteDB6[[Site Name]:[Location Type 1]],9,FALSE)</f>
        <v>Temporary location</v>
      </c>
      <c r="DM438" s="873" t="str">
        <f>VLOOKUP(WWWW[[#This Row],[Site Name]],SiteDB6[[Site Name]:[Type of Accommodation]],10,FALSE)</f>
        <v>Temporary location</v>
      </c>
      <c r="DN438" s="873">
        <f>VLOOKUP(WWWW[[#This Row],[Site Name]],SiteDB6[[Site Name]:[Ethnic or GCA/NGCA]],11,FALSE)</f>
        <v>0</v>
      </c>
      <c r="DO438" s="873">
        <f>VLOOKUP(WWWW[[#This Row],[Site Name]],SiteDB6[[Site Name]:[Lat]],12,FALSE)</f>
        <v>20.622760772705099</v>
      </c>
      <c r="DP438" s="873">
        <f>VLOOKUP(WWWW[[#This Row],[Site Name]],SiteDB6[[Site Name]:[Long]],13,FALSE)</f>
        <v>92.954826354980497</v>
      </c>
      <c r="DQ438" s="873">
        <f>VLOOKUP(WWWW[[#This Row],[Site Name]],SiteDB6[[Site Name]:[Pcode]],3,FALSE)</f>
        <v>196315</v>
      </c>
      <c r="DR438" s="871" t="str">
        <f t="shared" si="14"/>
        <v>Notcovered</v>
      </c>
      <c r="DS438" s="871"/>
      <c r="DV438" s="661"/>
    </row>
    <row r="439" spans="1:126">
      <c r="A439" s="637" t="s">
        <v>2525</v>
      </c>
      <c r="B439" s="863" t="s">
        <v>3216</v>
      </c>
      <c r="C439" s="863" t="s">
        <v>3216</v>
      </c>
      <c r="D439" s="864"/>
      <c r="E439" s="865" t="s">
        <v>3014</v>
      </c>
      <c r="F439" s="864" t="s">
        <v>470</v>
      </c>
      <c r="G439" s="866" t="str">
        <f>VLOOKUP(WWWW[[#This Row],[Site Name]],SiteDB6[[Site Name]:[Location Type]],8,FALSE)</f>
        <v>New Temporary Site</v>
      </c>
      <c r="H439" s="864" t="s">
        <v>3259</v>
      </c>
      <c r="I439" s="867">
        <v>25</v>
      </c>
      <c r="J439" s="867">
        <v>117</v>
      </c>
      <c r="K439" s="868"/>
      <c r="L439" s="869"/>
      <c r="M439" s="867"/>
      <c r="N439" s="867"/>
      <c r="O439" s="867"/>
      <c r="P439" s="867"/>
      <c r="Q439" s="870"/>
      <c r="R439" s="867"/>
      <c r="S439" s="867"/>
      <c r="T439" s="379"/>
      <c r="U439" s="867"/>
      <c r="V439" s="867"/>
      <c r="W439" s="867"/>
      <c r="X439" s="867"/>
      <c r="Y439" s="867"/>
      <c r="Z439" s="867"/>
      <c r="AA439" s="867"/>
      <c r="AB439" s="867"/>
      <c r="AC439" s="867"/>
      <c r="AD439" s="867"/>
      <c r="AE439" s="867"/>
      <c r="AF439" s="867"/>
      <c r="AG439" s="867"/>
      <c r="AH439" s="867"/>
      <c r="AI439" s="867"/>
      <c r="AJ439" s="867"/>
      <c r="AK439" s="867"/>
      <c r="AL439" s="867"/>
      <c r="AM439" s="867"/>
      <c r="AN439" s="867"/>
      <c r="AO439" s="871"/>
      <c r="AP439" s="867">
        <v>6</v>
      </c>
      <c r="AQ439" s="867"/>
      <c r="AR439" s="872"/>
      <c r="AS439" s="867"/>
      <c r="AT439" s="867"/>
      <c r="AU439" s="867"/>
      <c r="AV439" s="867"/>
      <c r="AW439" s="867"/>
      <c r="AX439" s="873"/>
      <c r="AY439" s="871"/>
      <c r="AZ439" s="867"/>
      <c r="BA439" s="867"/>
      <c r="BB439" s="867"/>
      <c r="BC439" s="873"/>
      <c r="BD439" s="867"/>
      <c r="BE439" s="867"/>
      <c r="BF439" s="867"/>
      <c r="BG439" s="867"/>
      <c r="BH439" s="867"/>
      <c r="BI439" s="867"/>
      <c r="BJ439" s="867"/>
      <c r="BK439" s="867">
        <v>39</v>
      </c>
      <c r="BL439" s="867">
        <v>39</v>
      </c>
      <c r="BM439" s="873"/>
      <c r="BN439" s="874"/>
      <c r="BO439" s="872"/>
      <c r="BP439" s="873"/>
      <c r="BQ439" s="875" t="str">
        <f>IFERROR(WWWW[[#This Row],['#_Water sources treated]]/WWWW[[#This Row],['#_Water sources tested for contamination]],"no test")</f>
        <v>no test</v>
      </c>
      <c r="BR439" s="872" t="str">
        <f>IFERROR(WWWW[[#This Row],['#_Household received remediation action due to contamination]]/WWWW[[#This Row],['#_Household water samples tested for contamination]],"no test")</f>
        <v>no test</v>
      </c>
      <c r="BS439" s="874" t="str">
        <f>IF(AND(WWWW[[#This Row],[% of water sources treated]]="no test",WWWW[[#This Row],[% Household received corrective actions]]="no test"),"No Test","Tested")</f>
        <v>No Test</v>
      </c>
      <c r="BT439" s="874">
        <f>WWWW[[#This Row],['#_Constructed/existing protected hand dug well]]-WWWW[[#This Row],['#_Non-functional protected hand dug well]]</f>
        <v>0</v>
      </c>
      <c r="BU439" s="874">
        <f>(WWWW[[#This Row],['#_Constructed/Existing tube wells/boreholes/handpumps_WASH_agency]]+WWWW[[#This Row],['#_Non-Cluster partner water tube-wells/boreholes/handpumps]])-WWWW[[#This Row],['#_Non-functional tube wells/boreholes/handpumps]]</f>
        <v>0</v>
      </c>
      <c r="BV439" s="874">
        <f>WWWW[[#This Row],['#_Constructed/Existingwater storage tank with gravity fed reticulation system]]-WWWW[[#This Row],['#_Non-functional storage tank gravity fed reticulation system]]</f>
        <v>0</v>
      </c>
      <c r="BW439" s="874">
        <f>WWWW[[#This Row],['#_Water boating or water trucking]]</f>
        <v>0</v>
      </c>
      <c r="BX439" s="874">
        <f>WWWW[[#This Row],['#_Constructed/Existing water distribution system from river or natural spring]]</f>
        <v>0</v>
      </c>
      <c r="BY439"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39"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39" s="872">
        <f>IF(WWWW[[#This Row],[Location Type 1]]="Village",WWWW[[#This Row],[Access to safe drinking water for Village]],WWWW[[#This Row],[Access to safe drinking water for Camp]])</f>
        <v>0</v>
      </c>
      <c r="CB439" s="870">
        <f>WWWW[[#This Row],[%Equitable and continuous access to sufficient quantity of safe drinking water]]*WWWW[[#This Row],[Total PoP ]]</f>
        <v>0</v>
      </c>
      <c r="CC439" s="872">
        <f>IF((WWWW[[#This Row],['#_Constructed/Existing protected/fenced ponds]]*250)/WWWW[[#This Row],[Total PoP ]]&gt;1,1,(WWWW[[#This Row],['#_Constructed/Existing protected/fenced ponds]]*250)/WWWW[[#This Row],[Total PoP ]])</f>
        <v>0</v>
      </c>
      <c r="CD439" s="870">
        <f>WWWW[[#This Row],[% Access to unimproved water points]]*WWWW[[#This Row],[Total PoP ]]</f>
        <v>0</v>
      </c>
      <c r="CE439"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39"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39" s="870">
        <f>WWWW[[#This Row],[HRP1]]/500</f>
        <v>0</v>
      </c>
      <c r="CH439" s="876">
        <f>1-WWWW[[#This Row],[% Equitable and continuous access to sufficient quantity of domestic water]]</f>
        <v>1</v>
      </c>
      <c r="CI439" s="870">
        <f>WWWW[[#This Row],[%equitable and continuous access to sufficient quantity of safe drinking and domestic water''s GAP]]*WWWW[[#This Row],[Total PoP ]]</f>
        <v>117</v>
      </c>
      <c r="CJ439" s="874">
        <f>IF(WWWW[[#This Row],[Total required water points]]-WWWW[[#This Row],['#Water points coverage]]&lt;0,0,WWWW[[#This Row],[Total required water points]]-WWWW[[#This Row],['#Water points coverage]])</f>
        <v>1</v>
      </c>
      <c r="CK439" s="874">
        <f>ROUND(IF(WWWW[[#This Row],[Total PoP ]]&lt;500,1,WWWW[[#This Row],[Total PoP ]]/500),0)</f>
        <v>1</v>
      </c>
      <c r="CL439" s="874">
        <f>(WWWW[[#This Row],['#_Constructed latrines_by_WASHAgencies]]+WWWW[[#This Row],['#_Non Cluster partner latrines]])-WWWW[[#This Row],['#_Non-functional latrines]]</f>
        <v>6</v>
      </c>
      <c r="CM439"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439"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117</v>
      </c>
      <c r="CO439"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39" s="874">
        <f>IF(WWWW[[#This Row],[Location Type 1]]="Village","NA",IF(WWWW[[#This Row],['#_Constructed/Existing latrines in TLS]]*50&gt;WWWW[[#This Row],['#_students at TLS_CFS]],WWWW[[#This Row],['#_students at TLS_CFS]],(WWWW[[#This Row],['#_Constructed/Existing latrines in TLS]]*50)))</f>
        <v>0</v>
      </c>
      <c r="CQ439" s="874">
        <f>ROUND(IF(WWWW[[#This Row],[Location Type 1]]="camp",WWWW[[#This Row],[Total PoP ]]/20,IF(WWWW[[#This Row],[Location Type 1]]="Temporary Location",WWWW[[#This Row],[Total PoP ]]/50,(WWWW[[#This Row],[Total PoP ]]/6))),0)</f>
        <v>2</v>
      </c>
      <c r="CR439" s="874">
        <f>IF(WWWW[[#This Row],[Total required Latrines]]-(WWWW[[#This Row],['#_Constructed latrines_by_WASHAgencies]]+WWWW[[#This Row],['#_Non Cluster partner latrines]])&lt;0,0,WWWW[[#This Row],[Total required Latrines]]-(WWWW[[#This Row],['#_Constructed latrines_by_WASHAgencies]]+WWWW[[#This Row],['#_Non Cluster partner latrines]]))</f>
        <v>0</v>
      </c>
      <c r="CS439" s="878">
        <f>1-WWWW[[#This Row],[% people access to functioning Latrine]]</f>
        <v>0</v>
      </c>
      <c r="CT439" s="875">
        <f>IF(OR(WWWW[[#This Row],['#_Non-functional latrines]]="",WWWW[[#This Row],['#_Non-functional latrines]]=0),0,WWWW[[#This Row],['#_Non-functional latrines]]/(WWWW[[#This Row],['#_Constructed latrines_by_WASHAgencies]]+WWWW[[#This Row],['#_Non Cluster partner latrines]]))</f>
        <v>0</v>
      </c>
      <c r="CU439" s="870">
        <f>IF(500*(WWWW[[#This Row],['#_male hygiene promoters]]+WWWW[[#This Row],['#_female hygiene promoters]])&gt;WWWW[[#This Row],[Total PoP ]],WWWW[[#This Row],[Total PoP ]],500*(WWWW[[#This Row],['#_male hygiene promoters]]+WWWW[[#This Row],['#_female hygiene promoters]]))</f>
        <v>0</v>
      </c>
      <c r="CV439"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117</v>
      </c>
      <c r="CW439"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117</v>
      </c>
      <c r="CX439" s="874">
        <f>IF(WWWW[[#This Row],['# People with access to soap]]&gt;WWWW[[#This Row],['# People with access to Sanity Pads]],WWWW[[#This Row],['# People with access to soap]],WWWW[[#This Row],['# People with access to Sanity Pads]])</f>
        <v>117</v>
      </c>
      <c r="CY439" s="874">
        <f>IF(WWWW[[#This Row],['# people reached by regular dedicated hygiene promotion_5]]&gt;WWWW[[#This Row],['# People received regular supply of hygiene items_6]],WWWW[[#This Row],['# people reached by regular dedicated hygiene promotion_5]],WWWW[[#This Row],['# People received regular supply of hygiene items_6]])</f>
        <v>117</v>
      </c>
      <c r="CZ439" s="876">
        <f>IF(WWWW[[#This Row],[HRP3]]/WWWW[[#This Row],[Total PoP ]]&gt;100%,100%,WWWW[[#This Row],[HRP3]]/WWWW[[#This Row],[Total PoP ]])</f>
        <v>1</v>
      </c>
      <c r="DA439" s="875">
        <f>1-WWWW[[#This Row],[Hygiene Coverage%]]</f>
        <v>0</v>
      </c>
      <c r="DB439" s="872">
        <f>WWWW[[#This Row],['# people reached by regular dedicated hygiene promotion_5]]/WWWW[[#This Row],[Total PoP ]]</f>
        <v>0</v>
      </c>
      <c r="DC439" s="872">
        <f>IF(WWWW[[#This Row],['#_households that received standard amount of soap for this quarter]]/WWWW[[#This Row],[Total HH]]&gt;1,1,WWWW[[#This Row],['#_households that received standard amount of soap for this quarter]]/WWWW[[#This Row],[Total HH]])</f>
        <v>1</v>
      </c>
      <c r="DD439" s="872">
        <f>IF(WWWW[[#This Row],['#_households that received standard amount of sanitary pads for this quarter]]/WWWW[[#This Row],[Total HH]]&gt;1,1,WWWW[[#This Row],['#_households that received standard amount of sanitary pads for this quarter]]/WWWW[[#This Row],[Total HH]])</f>
        <v>1</v>
      </c>
      <c r="DE439" s="874">
        <f>WWWW[[#This Row],['#_Constructed/Existing hand washing stations]]-WWWW[[#This Row],['#_Non-Functional_hand_washing_stations]]</f>
        <v>0</v>
      </c>
      <c r="DF439" s="879" t="e">
        <f>WWWW[[#This Row],[Total HH]]*#REF!</f>
        <v>#REF!</v>
      </c>
      <c r="DG439" s="870">
        <f>IF(WWWW[[#This Row],[Is sufficient soap available for TLS? (Yes/No)]]="yes",WWWW[[#This Row],['#_Constructed/Existing hand washing stations at TLS]],0)</f>
        <v>0</v>
      </c>
      <c r="DH439" s="702">
        <f>IF(WWWW[[#This Row],['# Functional hand washing stations during reporting period]]*100&gt;WWWW[[#This Row],[Total PoP ]],WWWW[[#This Row],[Total PoP ]],WWWW[[#This Row],['# Functional hand washing stations during reporting period]]*100)</f>
        <v>0</v>
      </c>
      <c r="DI439" s="702" t="str">
        <f>IF(WWWW[[#This Row],['#_students at TLS_CFS]]="","No","Yes")</f>
        <v>No</v>
      </c>
      <c r="DJ439" s="873">
        <f>VLOOKUP(WWWW[[#This Row],[Site Name]],SiteDB6[[Site Name]:[CCCM Management]],6,FALSE)</f>
        <v>0</v>
      </c>
      <c r="DK439" s="873">
        <f>VLOOKUP(WWWW[[#This Row],[Site Name]],SiteDB6[[Site Name]:[CCCM Focal Agency]],7,FALSE)</f>
        <v>0</v>
      </c>
      <c r="DL439" s="873" t="str">
        <f>VLOOKUP(WWWW[[#This Row],[Site Name]],SiteDB6[[Site Name]:[Location Type 1]],9,FALSE)</f>
        <v>Temporary location</v>
      </c>
      <c r="DM439" s="873" t="str">
        <f>VLOOKUP(WWWW[[#This Row],[Site Name]],SiteDB6[[Site Name]:[Type of Accommodation]],10,FALSE)</f>
        <v>Temporary location</v>
      </c>
      <c r="DN439" s="873">
        <f>VLOOKUP(WWWW[[#This Row],[Site Name]],SiteDB6[[Site Name]:[Ethnic or GCA/NGCA]],11,FALSE)</f>
        <v>0</v>
      </c>
      <c r="DO439" s="873">
        <f>VLOOKUP(WWWW[[#This Row],[Site Name]],SiteDB6[[Site Name]:[Lat]],12,FALSE)</f>
        <v>20.580810546875</v>
      </c>
      <c r="DP439" s="873">
        <f>VLOOKUP(WWWW[[#This Row],[Site Name]],SiteDB6[[Site Name]:[Long]],13,FALSE)</f>
        <v>92.869346618652301</v>
      </c>
      <c r="DQ439" s="873">
        <f>VLOOKUP(WWWW[[#This Row],[Site Name]],SiteDB6[[Site Name]:[Pcode]],3,FALSE)</f>
        <v>196234</v>
      </c>
      <c r="DR439" s="871" t="str">
        <f t="shared" si="14"/>
        <v>Covered</v>
      </c>
      <c r="DS439" s="871"/>
      <c r="DV439" s="661"/>
    </row>
    <row r="440" spans="1:126">
      <c r="A440" s="637" t="s">
        <v>2525</v>
      </c>
      <c r="B440" s="976" t="s">
        <v>317</v>
      </c>
      <c r="C440" s="976" t="s">
        <v>317</v>
      </c>
      <c r="D440" s="864"/>
      <c r="E440" s="865" t="s">
        <v>3014</v>
      </c>
      <c r="F440" s="864" t="s">
        <v>470</v>
      </c>
      <c r="G440" s="866" t="str">
        <f>VLOOKUP(WWWW[[#This Row],[Site Name]],SiteDB6[[Site Name]:[Location Type]],8,FALSE)</f>
        <v>New Temporary Site</v>
      </c>
      <c r="H440" s="864" t="s">
        <v>1772</v>
      </c>
      <c r="I440" s="867">
        <v>10</v>
      </c>
      <c r="J440" s="867">
        <v>45</v>
      </c>
      <c r="K440" s="868"/>
      <c r="L440" s="869"/>
      <c r="M440" s="867"/>
      <c r="N440" s="867"/>
      <c r="O440" s="867"/>
      <c r="P440" s="867"/>
      <c r="Q440" s="870"/>
      <c r="R440" s="867"/>
      <c r="S440" s="867"/>
      <c r="T440" s="379"/>
      <c r="U440" s="867"/>
      <c r="V440" s="867"/>
      <c r="W440" s="867"/>
      <c r="X440" s="867"/>
      <c r="Y440" s="867"/>
      <c r="Z440" s="867"/>
      <c r="AA440" s="867"/>
      <c r="AB440" s="867"/>
      <c r="AC440" s="867"/>
      <c r="AD440" s="867"/>
      <c r="AE440" s="867"/>
      <c r="AF440" s="867"/>
      <c r="AG440" s="867"/>
      <c r="AH440" s="867"/>
      <c r="AI440" s="867"/>
      <c r="AJ440" s="867"/>
      <c r="AK440" s="867"/>
      <c r="AL440" s="867"/>
      <c r="AM440" s="867"/>
      <c r="AN440" s="867"/>
      <c r="AO440" s="871"/>
      <c r="AP440" s="867"/>
      <c r="AQ440" s="867"/>
      <c r="AR440" s="872"/>
      <c r="AS440" s="867"/>
      <c r="AT440" s="867"/>
      <c r="AU440" s="867"/>
      <c r="AV440" s="867"/>
      <c r="AW440" s="867"/>
      <c r="AX440" s="873"/>
      <c r="AY440" s="871"/>
      <c r="AZ440" s="867"/>
      <c r="BA440" s="867"/>
      <c r="BB440" s="867"/>
      <c r="BC440" s="873"/>
      <c r="BD440" s="867"/>
      <c r="BE440" s="867"/>
      <c r="BF440" s="867"/>
      <c r="BG440" s="867"/>
      <c r="BH440" s="867"/>
      <c r="BI440" s="867"/>
      <c r="BJ440" s="867"/>
      <c r="BK440" s="867"/>
      <c r="BL440" s="867"/>
      <c r="BM440" s="873"/>
      <c r="BN440" s="874"/>
      <c r="BO440" s="872"/>
      <c r="BP440" s="873"/>
      <c r="BQ440" s="875" t="str">
        <f>IFERROR(WWWW[[#This Row],['#_Water sources treated]]/WWWW[[#This Row],['#_Water sources tested for contamination]],"no test")</f>
        <v>no test</v>
      </c>
      <c r="BR440" s="872" t="str">
        <f>IFERROR(WWWW[[#This Row],['#_Household received remediation action due to contamination]]/WWWW[[#This Row],['#_Household water samples tested for contamination]],"no test")</f>
        <v>no test</v>
      </c>
      <c r="BS440" s="874" t="str">
        <f>IF(AND(WWWW[[#This Row],[% of water sources treated]]="no test",WWWW[[#This Row],[% Household received corrective actions]]="no test"),"No Test","Tested")</f>
        <v>No Test</v>
      </c>
      <c r="BT440" s="874">
        <f>WWWW[[#This Row],['#_Constructed/existing protected hand dug well]]-WWWW[[#This Row],['#_Non-functional protected hand dug well]]</f>
        <v>0</v>
      </c>
      <c r="BU440" s="874">
        <f>(WWWW[[#This Row],['#_Constructed/Existing tube wells/boreholes/handpumps_WASH_agency]]+WWWW[[#This Row],['#_Non-Cluster partner water tube-wells/boreholes/handpumps]])-WWWW[[#This Row],['#_Non-functional tube wells/boreholes/handpumps]]</f>
        <v>0</v>
      </c>
      <c r="BV440" s="874">
        <f>WWWW[[#This Row],['#_Constructed/Existingwater storage tank with gravity fed reticulation system]]-WWWW[[#This Row],['#_Non-functional storage tank gravity fed reticulation system]]</f>
        <v>0</v>
      </c>
      <c r="BW440" s="874">
        <f>WWWW[[#This Row],['#_Water boating or water trucking]]</f>
        <v>0</v>
      </c>
      <c r="BX440" s="874">
        <f>WWWW[[#This Row],['#_Constructed/Existing water distribution system from river or natural spring]]</f>
        <v>0</v>
      </c>
      <c r="BY440"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40"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40" s="872">
        <f>IF(WWWW[[#This Row],[Location Type 1]]="Village",WWWW[[#This Row],[Access to safe drinking water for Village]],WWWW[[#This Row],[Access to safe drinking water for Camp]])</f>
        <v>0</v>
      </c>
      <c r="CB440" s="870">
        <f>WWWW[[#This Row],[%Equitable and continuous access to sufficient quantity of safe drinking water]]*WWWW[[#This Row],[Total PoP ]]</f>
        <v>0</v>
      </c>
      <c r="CC440" s="872">
        <f>IF((WWWW[[#This Row],['#_Constructed/Existing protected/fenced ponds]]*250)/WWWW[[#This Row],[Total PoP ]]&gt;1,1,(WWWW[[#This Row],['#_Constructed/Existing protected/fenced ponds]]*250)/WWWW[[#This Row],[Total PoP ]])</f>
        <v>0</v>
      </c>
      <c r="CD440" s="870">
        <f>WWWW[[#This Row],[% Access to unimproved water points]]*WWWW[[#This Row],[Total PoP ]]</f>
        <v>0</v>
      </c>
      <c r="CE440"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40"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40" s="870">
        <f>WWWW[[#This Row],[HRP1]]/500</f>
        <v>0</v>
      </c>
      <c r="CH440" s="876">
        <f>1-WWWW[[#This Row],[% Equitable and continuous access to sufficient quantity of domestic water]]</f>
        <v>1</v>
      </c>
      <c r="CI440" s="870">
        <f>WWWW[[#This Row],[%equitable and continuous access to sufficient quantity of safe drinking and domestic water''s GAP]]*WWWW[[#This Row],[Total PoP ]]</f>
        <v>45</v>
      </c>
      <c r="CJ440" s="874">
        <f>IF(WWWW[[#This Row],[Total required water points]]-WWWW[[#This Row],['#Water points coverage]]&lt;0,0,WWWW[[#This Row],[Total required water points]]-WWWW[[#This Row],['#Water points coverage]])</f>
        <v>1</v>
      </c>
      <c r="CK440" s="874">
        <f>ROUND(IF(WWWW[[#This Row],[Total PoP ]]&lt;500,1,WWWW[[#This Row],[Total PoP ]]/500),0)</f>
        <v>1</v>
      </c>
      <c r="CL440" s="874">
        <f>(WWWW[[#This Row],['#_Constructed latrines_by_WASHAgencies]]+WWWW[[#This Row],['#_Non Cluster partner latrines]])-WWWW[[#This Row],['#_Non-functional latrines]]</f>
        <v>0</v>
      </c>
      <c r="CM440"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40"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40"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40" s="874">
        <f>IF(WWWW[[#This Row],[Location Type 1]]="Village","NA",IF(WWWW[[#This Row],['#_Constructed/Existing latrines in TLS]]*50&gt;WWWW[[#This Row],['#_students at TLS_CFS]],WWWW[[#This Row],['#_students at TLS_CFS]],(WWWW[[#This Row],['#_Constructed/Existing latrines in TLS]]*50)))</f>
        <v>0</v>
      </c>
      <c r="CQ440" s="874">
        <f>ROUND(IF(WWWW[[#This Row],[Location Type 1]]="camp",WWWW[[#This Row],[Total PoP ]]/20,IF(WWWW[[#This Row],[Location Type 1]]="Temporary Location",WWWW[[#This Row],[Total PoP ]]/50,(WWWW[[#This Row],[Total PoP ]]/6))),0)</f>
        <v>1</v>
      </c>
      <c r="CR440" s="874">
        <f>IF(WWWW[[#This Row],[Total required Latrines]]-(WWWW[[#This Row],['#_Constructed latrines_by_WASHAgencies]]+WWWW[[#This Row],['#_Non Cluster partner latrines]])&lt;0,0,WWWW[[#This Row],[Total required Latrines]]-(WWWW[[#This Row],['#_Constructed latrines_by_WASHAgencies]]+WWWW[[#This Row],['#_Non Cluster partner latrines]]))</f>
        <v>1</v>
      </c>
      <c r="CS440" s="878">
        <f>1-WWWW[[#This Row],[% people access to functioning Latrine]]</f>
        <v>1</v>
      </c>
      <c r="CT440" s="875">
        <f>IF(OR(WWWW[[#This Row],['#_Non-functional latrines]]="",WWWW[[#This Row],['#_Non-functional latrines]]=0),0,WWWW[[#This Row],['#_Non-functional latrines]]/(WWWW[[#This Row],['#_Constructed latrines_by_WASHAgencies]]+WWWW[[#This Row],['#_Non Cluster partner latrines]]))</f>
        <v>0</v>
      </c>
      <c r="CU440" s="870">
        <f>IF(500*(WWWW[[#This Row],['#_male hygiene promoters]]+WWWW[[#This Row],['#_female hygiene promoters]])&gt;WWWW[[#This Row],[Total PoP ]],WWWW[[#This Row],[Total PoP ]],500*(WWWW[[#This Row],['#_male hygiene promoters]]+WWWW[[#This Row],['#_female hygiene promoters]]))</f>
        <v>0</v>
      </c>
      <c r="CV440"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40"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40" s="874">
        <f>IF(WWWW[[#This Row],['# People with access to soap]]&gt;WWWW[[#This Row],['# People with access to Sanity Pads]],WWWW[[#This Row],['# People with access to soap]],WWWW[[#This Row],['# People with access to Sanity Pads]])</f>
        <v>0</v>
      </c>
      <c r="CY440"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40" s="876">
        <f>IF(WWWW[[#This Row],[HRP3]]/WWWW[[#This Row],[Total PoP ]]&gt;100%,100%,WWWW[[#This Row],[HRP3]]/WWWW[[#This Row],[Total PoP ]])</f>
        <v>0</v>
      </c>
      <c r="DA440" s="875">
        <f>1-WWWW[[#This Row],[Hygiene Coverage%]]</f>
        <v>1</v>
      </c>
      <c r="DB440" s="872">
        <f>WWWW[[#This Row],['# people reached by regular dedicated hygiene promotion_5]]/WWWW[[#This Row],[Total PoP ]]</f>
        <v>0</v>
      </c>
      <c r="DC440" s="872">
        <f>IF(WWWW[[#This Row],['#_households that received standard amount of soap for this quarter]]/WWWW[[#This Row],[Total HH]]&gt;1,1,WWWW[[#This Row],['#_households that received standard amount of soap for this quarter]]/WWWW[[#This Row],[Total HH]])</f>
        <v>0</v>
      </c>
      <c r="DD440" s="872">
        <f>IF(WWWW[[#This Row],['#_households that received standard amount of sanitary pads for this quarter]]/WWWW[[#This Row],[Total HH]]&gt;1,1,WWWW[[#This Row],['#_households that received standard amount of sanitary pads for this quarter]]/WWWW[[#This Row],[Total HH]])</f>
        <v>0</v>
      </c>
      <c r="DE440" s="874">
        <f>WWWW[[#This Row],['#_Constructed/Existing hand washing stations]]-WWWW[[#This Row],['#_Non-Functional_hand_washing_stations]]</f>
        <v>0</v>
      </c>
      <c r="DF440" s="879" t="e">
        <f>WWWW[[#This Row],[Total HH]]*#REF!</f>
        <v>#REF!</v>
      </c>
      <c r="DG440" s="870">
        <f>IF(WWWW[[#This Row],[Is sufficient soap available for TLS? (Yes/No)]]="yes",WWWW[[#This Row],['#_Constructed/Existing hand washing stations at TLS]],0)</f>
        <v>0</v>
      </c>
      <c r="DH440" s="702">
        <f>IF(WWWW[[#This Row],['# Functional hand washing stations during reporting period]]*100&gt;WWWW[[#This Row],[Total PoP ]],WWWW[[#This Row],[Total PoP ]],WWWW[[#This Row],['# Functional hand washing stations during reporting period]]*100)</f>
        <v>0</v>
      </c>
      <c r="DI440" s="702" t="str">
        <f>IF(WWWW[[#This Row],['#_students at TLS_CFS]]="","No","Yes")</f>
        <v>No</v>
      </c>
      <c r="DJ440" s="873">
        <f>VLOOKUP(WWWW[[#This Row],[Site Name]],SiteDB6[[Site Name]:[CCCM Management]],6,FALSE)</f>
        <v>0</v>
      </c>
      <c r="DK440" s="873">
        <f>VLOOKUP(WWWW[[#This Row],[Site Name]],SiteDB6[[Site Name]:[CCCM Focal Agency]],7,FALSE)</f>
        <v>0</v>
      </c>
      <c r="DL440" s="873" t="str">
        <f>VLOOKUP(WWWW[[#This Row],[Site Name]],SiteDB6[[Site Name]:[Location Type 1]],9,FALSE)</f>
        <v>Temporary location</v>
      </c>
      <c r="DM440" s="873" t="str">
        <f>VLOOKUP(WWWW[[#This Row],[Site Name]],SiteDB6[[Site Name]:[Type of Accommodation]],10,FALSE)</f>
        <v>Temporary location</v>
      </c>
      <c r="DN440" s="873">
        <f>VLOOKUP(WWWW[[#This Row],[Site Name]],SiteDB6[[Site Name]:[Ethnic or GCA/NGCA]],11,FALSE)</f>
        <v>0</v>
      </c>
      <c r="DO440" s="873">
        <f>VLOOKUP(WWWW[[#This Row],[Site Name]],SiteDB6[[Site Name]:[Lat]],12,FALSE)</f>
        <v>20.337610244751001</v>
      </c>
      <c r="DP440" s="873">
        <f>VLOOKUP(WWWW[[#This Row],[Site Name]],SiteDB6[[Site Name]:[Long]],13,FALSE)</f>
        <v>92.969711303710895</v>
      </c>
      <c r="DQ440" s="873">
        <f>VLOOKUP(WWWW[[#This Row],[Site Name]],SiteDB6[[Site Name]:[Pcode]],3,FALSE)</f>
        <v>196369</v>
      </c>
      <c r="DR440" s="871" t="str">
        <f t="shared" si="14"/>
        <v>Notcovered</v>
      </c>
      <c r="DS440" s="871"/>
      <c r="DV440" s="661"/>
    </row>
    <row r="441" spans="1:126">
      <c r="A441" s="637" t="s">
        <v>2525</v>
      </c>
      <c r="B441" s="976" t="s">
        <v>317</v>
      </c>
      <c r="C441" s="976" t="s">
        <v>317</v>
      </c>
      <c r="D441" s="864"/>
      <c r="E441" s="865" t="s">
        <v>3014</v>
      </c>
      <c r="F441" s="864" t="s">
        <v>470</v>
      </c>
      <c r="G441" s="866" t="str">
        <f>VLOOKUP(WWWW[[#This Row],[Site Name]],SiteDB6[[Site Name]:[Location Type]],8,FALSE)</f>
        <v>New Temporary Site</v>
      </c>
      <c r="H441" s="864" t="s">
        <v>3189</v>
      </c>
      <c r="I441" s="867">
        <v>10</v>
      </c>
      <c r="J441" s="867">
        <v>45</v>
      </c>
      <c r="K441" s="868"/>
      <c r="L441" s="869"/>
      <c r="M441" s="867"/>
      <c r="N441" s="867"/>
      <c r="O441" s="867"/>
      <c r="P441" s="867"/>
      <c r="Q441" s="870"/>
      <c r="R441" s="867"/>
      <c r="S441" s="867"/>
      <c r="T441" s="379"/>
      <c r="U441" s="867"/>
      <c r="V441" s="867"/>
      <c r="W441" s="867"/>
      <c r="X441" s="867"/>
      <c r="Y441" s="867"/>
      <c r="Z441" s="867"/>
      <c r="AA441" s="867"/>
      <c r="AB441" s="867"/>
      <c r="AC441" s="867"/>
      <c r="AD441" s="867"/>
      <c r="AE441" s="867"/>
      <c r="AF441" s="867"/>
      <c r="AG441" s="867"/>
      <c r="AH441" s="867"/>
      <c r="AI441" s="867"/>
      <c r="AJ441" s="867"/>
      <c r="AK441" s="867"/>
      <c r="AL441" s="867"/>
      <c r="AM441" s="867"/>
      <c r="AN441" s="867"/>
      <c r="AO441" s="871"/>
      <c r="AP441" s="867"/>
      <c r="AQ441" s="867"/>
      <c r="AR441" s="872"/>
      <c r="AS441" s="867"/>
      <c r="AT441" s="867"/>
      <c r="AU441" s="867"/>
      <c r="AV441" s="867"/>
      <c r="AW441" s="867"/>
      <c r="AX441" s="873"/>
      <c r="AY441" s="871"/>
      <c r="AZ441" s="867"/>
      <c r="BA441" s="867"/>
      <c r="BB441" s="867"/>
      <c r="BC441" s="873"/>
      <c r="BD441" s="867"/>
      <c r="BE441" s="867"/>
      <c r="BF441" s="867"/>
      <c r="BG441" s="867"/>
      <c r="BH441" s="867"/>
      <c r="BI441" s="867"/>
      <c r="BJ441" s="867"/>
      <c r="BK441" s="867"/>
      <c r="BL441" s="867"/>
      <c r="BM441" s="873"/>
      <c r="BN441" s="874"/>
      <c r="BO441" s="872"/>
      <c r="BP441" s="873"/>
      <c r="BQ441" s="875" t="str">
        <f>IFERROR(WWWW[[#This Row],['#_Water sources treated]]/WWWW[[#This Row],['#_Water sources tested for contamination]],"no test")</f>
        <v>no test</v>
      </c>
      <c r="BR441" s="872" t="str">
        <f>IFERROR(WWWW[[#This Row],['#_Household received remediation action due to contamination]]/WWWW[[#This Row],['#_Household water samples tested for contamination]],"no test")</f>
        <v>no test</v>
      </c>
      <c r="BS441" s="874" t="str">
        <f>IF(AND(WWWW[[#This Row],[% of water sources treated]]="no test",WWWW[[#This Row],[% Household received corrective actions]]="no test"),"No Test","Tested")</f>
        <v>No Test</v>
      </c>
      <c r="BT441" s="874">
        <f>WWWW[[#This Row],['#_Constructed/existing protected hand dug well]]-WWWW[[#This Row],['#_Non-functional protected hand dug well]]</f>
        <v>0</v>
      </c>
      <c r="BU441" s="874">
        <f>(WWWW[[#This Row],['#_Constructed/Existing tube wells/boreholes/handpumps_WASH_agency]]+WWWW[[#This Row],['#_Non-Cluster partner water tube-wells/boreholes/handpumps]])-WWWW[[#This Row],['#_Non-functional tube wells/boreholes/handpumps]]</f>
        <v>0</v>
      </c>
      <c r="BV441" s="874">
        <f>WWWW[[#This Row],['#_Constructed/Existingwater storage tank with gravity fed reticulation system]]-WWWW[[#This Row],['#_Non-functional storage tank gravity fed reticulation system]]</f>
        <v>0</v>
      </c>
      <c r="BW441" s="874">
        <f>WWWW[[#This Row],['#_Water boating or water trucking]]</f>
        <v>0</v>
      </c>
      <c r="BX441" s="874">
        <f>WWWW[[#This Row],['#_Constructed/Existing water distribution system from river or natural spring]]</f>
        <v>0</v>
      </c>
      <c r="BY441"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41"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41" s="872">
        <f>IF(WWWW[[#This Row],[Location Type 1]]="Village",WWWW[[#This Row],[Access to safe drinking water for Village]],WWWW[[#This Row],[Access to safe drinking water for Camp]])</f>
        <v>0</v>
      </c>
      <c r="CB441" s="870">
        <f>WWWW[[#This Row],[%Equitable and continuous access to sufficient quantity of safe drinking water]]*WWWW[[#This Row],[Total PoP ]]</f>
        <v>0</v>
      </c>
      <c r="CC441" s="872">
        <f>IF((WWWW[[#This Row],['#_Constructed/Existing protected/fenced ponds]]*250)/WWWW[[#This Row],[Total PoP ]]&gt;1,1,(WWWW[[#This Row],['#_Constructed/Existing protected/fenced ponds]]*250)/WWWW[[#This Row],[Total PoP ]])</f>
        <v>0</v>
      </c>
      <c r="CD441" s="870">
        <f>WWWW[[#This Row],[% Access to unimproved water points]]*WWWW[[#This Row],[Total PoP ]]</f>
        <v>0</v>
      </c>
      <c r="CE441"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41"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41" s="870">
        <f>WWWW[[#This Row],[HRP1]]/500</f>
        <v>0</v>
      </c>
      <c r="CH441" s="876">
        <f>1-WWWW[[#This Row],[% Equitable and continuous access to sufficient quantity of domestic water]]</f>
        <v>1</v>
      </c>
      <c r="CI441" s="870">
        <f>WWWW[[#This Row],[%equitable and continuous access to sufficient quantity of safe drinking and domestic water''s GAP]]*WWWW[[#This Row],[Total PoP ]]</f>
        <v>45</v>
      </c>
      <c r="CJ441" s="874">
        <f>IF(WWWW[[#This Row],[Total required water points]]-WWWW[[#This Row],['#Water points coverage]]&lt;0,0,WWWW[[#This Row],[Total required water points]]-WWWW[[#This Row],['#Water points coverage]])</f>
        <v>1</v>
      </c>
      <c r="CK441" s="874">
        <f>ROUND(IF(WWWW[[#This Row],[Total PoP ]]&lt;500,1,WWWW[[#This Row],[Total PoP ]]/500),0)</f>
        <v>1</v>
      </c>
      <c r="CL441" s="874">
        <f>(WWWW[[#This Row],['#_Constructed latrines_by_WASHAgencies]]+WWWW[[#This Row],['#_Non Cluster partner latrines]])-WWWW[[#This Row],['#_Non-functional latrines]]</f>
        <v>0</v>
      </c>
      <c r="CM441"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41"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41"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41" s="874">
        <f>IF(WWWW[[#This Row],[Location Type 1]]="Village","NA",IF(WWWW[[#This Row],['#_Constructed/Existing latrines in TLS]]*50&gt;WWWW[[#This Row],['#_students at TLS_CFS]],WWWW[[#This Row],['#_students at TLS_CFS]],(WWWW[[#This Row],['#_Constructed/Existing latrines in TLS]]*50)))</f>
        <v>0</v>
      </c>
      <c r="CQ441" s="874">
        <f>ROUND(IF(WWWW[[#This Row],[Location Type 1]]="camp",WWWW[[#This Row],[Total PoP ]]/20,IF(WWWW[[#This Row],[Location Type 1]]="Temporary Location",WWWW[[#This Row],[Total PoP ]]/50,(WWWW[[#This Row],[Total PoP ]]/6))),0)</f>
        <v>1</v>
      </c>
      <c r="CR441" s="874">
        <f>IF(WWWW[[#This Row],[Total required Latrines]]-(WWWW[[#This Row],['#_Constructed latrines_by_WASHAgencies]]+WWWW[[#This Row],['#_Non Cluster partner latrines]])&lt;0,0,WWWW[[#This Row],[Total required Latrines]]-(WWWW[[#This Row],['#_Constructed latrines_by_WASHAgencies]]+WWWW[[#This Row],['#_Non Cluster partner latrines]]))</f>
        <v>1</v>
      </c>
      <c r="CS441" s="878">
        <f>1-WWWW[[#This Row],[% people access to functioning Latrine]]</f>
        <v>1</v>
      </c>
      <c r="CT441" s="875">
        <f>IF(OR(WWWW[[#This Row],['#_Non-functional latrines]]="",WWWW[[#This Row],['#_Non-functional latrines]]=0),0,WWWW[[#This Row],['#_Non-functional latrines]]/(WWWW[[#This Row],['#_Constructed latrines_by_WASHAgencies]]+WWWW[[#This Row],['#_Non Cluster partner latrines]]))</f>
        <v>0</v>
      </c>
      <c r="CU441" s="870">
        <f>IF(500*(WWWW[[#This Row],['#_male hygiene promoters]]+WWWW[[#This Row],['#_female hygiene promoters]])&gt;WWWW[[#This Row],[Total PoP ]],WWWW[[#This Row],[Total PoP ]],500*(WWWW[[#This Row],['#_male hygiene promoters]]+WWWW[[#This Row],['#_female hygiene promoters]]))</f>
        <v>0</v>
      </c>
      <c r="CV441"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41"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41" s="874">
        <f>IF(WWWW[[#This Row],['# People with access to soap]]&gt;WWWW[[#This Row],['# People with access to Sanity Pads]],WWWW[[#This Row],['# People with access to soap]],WWWW[[#This Row],['# People with access to Sanity Pads]])</f>
        <v>0</v>
      </c>
      <c r="CY441"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41" s="876">
        <f>IF(WWWW[[#This Row],[HRP3]]/WWWW[[#This Row],[Total PoP ]]&gt;100%,100%,WWWW[[#This Row],[HRP3]]/WWWW[[#This Row],[Total PoP ]])</f>
        <v>0</v>
      </c>
      <c r="DA441" s="875">
        <f>1-WWWW[[#This Row],[Hygiene Coverage%]]</f>
        <v>1</v>
      </c>
      <c r="DB441" s="872">
        <f>WWWW[[#This Row],['# people reached by regular dedicated hygiene promotion_5]]/WWWW[[#This Row],[Total PoP ]]</f>
        <v>0</v>
      </c>
      <c r="DC441" s="872">
        <f>IF(WWWW[[#This Row],['#_households that received standard amount of soap for this quarter]]/WWWW[[#This Row],[Total HH]]&gt;1,1,WWWW[[#This Row],['#_households that received standard amount of soap for this quarter]]/WWWW[[#This Row],[Total HH]])</f>
        <v>0</v>
      </c>
      <c r="DD441" s="872">
        <f>IF(WWWW[[#This Row],['#_households that received standard amount of sanitary pads for this quarter]]/WWWW[[#This Row],[Total HH]]&gt;1,1,WWWW[[#This Row],['#_households that received standard amount of sanitary pads for this quarter]]/WWWW[[#This Row],[Total HH]])</f>
        <v>0</v>
      </c>
      <c r="DE441" s="874">
        <f>WWWW[[#This Row],['#_Constructed/Existing hand washing stations]]-WWWW[[#This Row],['#_Non-Functional_hand_washing_stations]]</f>
        <v>0</v>
      </c>
      <c r="DF441" s="879" t="e">
        <f>WWWW[[#This Row],[Total HH]]*#REF!</f>
        <v>#REF!</v>
      </c>
      <c r="DG441" s="870">
        <f>IF(WWWW[[#This Row],[Is sufficient soap available for TLS? (Yes/No)]]="yes",WWWW[[#This Row],['#_Constructed/Existing hand washing stations at TLS]],0)</f>
        <v>0</v>
      </c>
      <c r="DH441" s="702">
        <f>IF(WWWW[[#This Row],['# Functional hand washing stations during reporting period]]*100&gt;WWWW[[#This Row],[Total PoP ]],WWWW[[#This Row],[Total PoP ]],WWWW[[#This Row],['# Functional hand washing stations during reporting period]]*100)</f>
        <v>0</v>
      </c>
      <c r="DI441" s="702" t="str">
        <f>IF(WWWW[[#This Row],['#_students at TLS_CFS]]="","No","Yes")</f>
        <v>No</v>
      </c>
      <c r="DJ441" s="873">
        <f>VLOOKUP(WWWW[[#This Row],[Site Name]],SiteDB6[[Site Name]:[CCCM Management]],6,FALSE)</f>
        <v>0</v>
      </c>
      <c r="DK441" s="873">
        <f>VLOOKUP(WWWW[[#This Row],[Site Name]],SiteDB6[[Site Name]:[CCCM Focal Agency]],7,FALSE)</f>
        <v>0</v>
      </c>
      <c r="DL441" s="873" t="str">
        <f>VLOOKUP(WWWW[[#This Row],[Site Name]],SiteDB6[[Site Name]:[Location Type 1]],9,FALSE)</f>
        <v>Temporary location</v>
      </c>
      <c r="DM441" s="873" t="str">
        <f>VLOOKUP(WWWW[[#This Row],[Site Name]],SiteDB6[[Site Name]:[Type of Accommodation]],10,FALSE)</f>
        <v>Temporary location</v>
      </c>
      <c r="DN441" s="873">
        <f>VLOOKUP(WWWW[[#This Row],[Site Name]],SiteDB6[[Site Name]:[Ethnic or GCA/NGCA]],11,FALSE)</f>
        <v>0</v>
      </c>
      <c r="DO441" s="873">
        <f>VLOOKUP(WWWW[[#This Row],[Site Name]],SiteDB6[[Site Name]:[Lat]],12,FALSE)</f>
        <v>20.337610244751001</v>
      </c>
      <c r="DP441" s="873">
        <f>VLOOKUP(WWWW[[#This Row],[Site Name]],SiteDB6[[Site Name]:[Long]],13,FALSE)</f>
        <v>92.969711303710895</v>
      </c>
      <c r="DQ441" s="873">
        <f>VLOOKUP(WWWW[[#This Row],[Site Name]],SiteDB6[[Site Name]:[Pcode]],3,FALSE)</f>
        <v>196369</v>
      </c>
      <c r="DR441" s="871" t="str">
        <f t="shared" si="14"/>
        <v>Notcovered</v>
      </c>
      <c r="DS441" s="871"/>
      <c r="DV441" s="661"/>
    </row>
    <row r="442" spans="1:126">
      <c r="A442" s="637" t="s">
        <v>2525</v>
      </c>
      <c r="B442" s="976" t="s">
        <v>317</v>
      </c>
      <c r="C442" s="976" t="s">
        <v>317</v>
      </c>
      <c r="D442" s="864"/>
      <c r="E442" s="865" t="s">
        <v>3014</v>
      </c>
      <c r="F442" s="864" t="s">
        <v>320</v>
      </c>
      <c r="G442" s="866" t="s">
        <v>3028</v>
      </c>
      <c r="H442" s="701" t="s">
        <v>3265</v>
      </c>
      <c r="I442" s="867">
        <v>15</v>
      </c>
      <c r="J442" s="867">
        <v>32</v>
      </c>
      <c r="K442" s="868"/>
      <c r="L442" s="869"/>
      <c r="M442" s="867"/>
      <c r="N442" s="867"/>
      <c r="O442" s="867"/>
      <c r="P442" s="867"/>
      <c r="Q442" s="870"/>
      <c r="R442" s="867"/>
      <c r="S442" s="867"/>
      <c r="T442" s="379"/>
      <c r="U442" s="867"/>
      <c r="V442" s="867"/>
      <c r="W442" s="867"/>
      <c r="X442" s="867"/>
      <c r="Y442" s="867"/>
      <c r="Z442" s="867"/>
      <c r="AA442" s="867"/>
      <c r="AB442" s="867"/>
      <c r="AC442" s="867"/>
      <c r="AD442" s="867"/>
      <c r="AE442" s="867"/>
      <c r="AF442" s="867"/>
      <c r="AG442" s="867"/>
      <c r="AH442" s="867"/>
      <c r="AI442" s="867"/>
      <c r="AJ442" s="867"/>
      <c r="AK442" s="867"/>
      <c r="AL442" s="867"/>
      <c r="AM442" s="867"/>
      <c r="AN442" s="867"/>
      <c r="AO442" s="871"/>
      <c r="AP442" s="867"/>
      <c r="AQ442" s="867"/>
      <c r="AR442" s="872"/>
      <c r="AS442" s="867"/>
      <c r="AT442" s="867"/>
      <c r="AU442" s="867"/>
      <c r="AV442" s="867"/>
      <c r="AW442" s="867"/>
      <c r="AX442" s="873"/>
      <c r="AY442" s="871"/>
      <c r="AZ442" s="867"/>
      <c r="BA442" s="867"/>
      <c r="BB442" s="867"/>
      <c r="BC442" s="873"/>
      <c r="BD442" s="867"/>
      <c r="BE442" s="867"/>
      <c r="BF442" s="867"/>
      <c r="BG442" s="867"/>
      <c r="BH442" s="867"/>
      <c r="BI442" s="867"/>
      <c r="BJ442" s="867"/>
      <c r="BK442" s="867"/>
      <c r="BL442" s="867"/>
      <c r="BM442" s="873"/>
      <c r="BN442" s="874"/>
      <c r="BO442" s="872"/>
      <c r="BP442" s="873"/>
      <c r="BQ442" s="875" t="str">
        <f>IFERROR(WWWW[[#This Row],['#_Water sources treated]]/WWWW[[#This Row],['#_Water sources tested for contamination]],"no test")</f>
        <v>no test</v>
      </c>
      <c r="BR442" s="872" t="str">
        <f>IFERROR(WWWW[[#This Row],['#_Household received remediation action due to contamination]]/WWWW[[#This Row],['#_Household water samples tested for contamination]],"no test")</f>
        <v>no test</v>
      </c>
      <c r="BS442" s="874" t="str">
        <f>IF(AND(WWWW[[#This Row],[% of water sources treated]]="no test",WWWW[[#This Row],[% Household received corrective actions]]="no test"),"No Test","Tested")</f>
        <v>No Test</v>
      </c>
      <c r="BT442" s="874">
        <f>WWWW[[#This Row],['#_Constructed/existing protected hand dug well]]-WWWW[[#This Row],['#_Non-functional protected hand dug well]]</f>
        <v>0</v>
      </c>
      <c r="BU442" s="874">
        <f>(WWWW[[#This Row],['#_Constructed/Existing tube wells/boreholes/handpumps_WASH_agency]]+WWWW[[#This Row],['#_Non-Cluster partner water tube-wells/boreholes/handpumps]])-WWWW[[#This Row],['#_Non-functional tube wells/boreholes/handpumps]]</f>
        <v>0</v>
      </c>
      <c r="BV442" s="874">
        <f>WWWW[[#This Row],['#_Constructed/Existingwater storage tank with gravity fed reticulation system]]-WWWW[[#This Row],['#_Non-functional storage tank gravity fed reticulation system]]</f>
        <v>0</v>
      </c>
      <c r="BW442" s="874">
        <f>WWWW[[#This Row],['#_Water boating or water trucking]]</f>
        <v>0</v>
      </c>
      <c r="BX442" s="874">
        <f>WWWW[[#This Row],['#_Constructed/Existing water distribution system from river or natural spring]]</f>
        <v>0</v>
      </c>
      <c r="BY442"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42"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42" s="872">
        <f>IF(WWWW[[#This Row],[Location Type 1]]="Village",WWWW[[#This Row],[Access to safe drinking water for Village]],WWWW[[#This Row],[Access to safe drinking water for Camp]])</f>
        <v>0</v>
      </c>
      <c r="CB442" s="870">
        <f>WWWW[[#This Row],[%Equitable and continuous access to sufficient quantity of safe drinking water]]*WWWW[[#This Row],[Total PoP ]]</f>
        <v>0</v>
      </c>
      <c r="CC442" s="872">
        <f>IF((WWWW[[#This Row],['#_Constructed/Existing protected/fenced ponds]]*250)/WWWW[[#This Row],[Total PoP ]]&gt;1,1,(WWWW[[#This Row],['#_Constructed/Existing protected/fenced ponds]]*250)/WWWW[[#This Row],[Total PoP ]])</f>
        <v>0</v>
      </c>
      <c r="CD442" s="870">
        <f>WWWW[[#This Row],[% Access to unimproved water points]]*WWWW[[#This Row],[Total PoP ]]</f>
        <v>0</v>
      </c>
      <c r="CE442"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42"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42" s="870">
        <f>WWWW[[#This Row],[HRP1]]/500</f>
        <v>0</v>
      </c>
      <c r="CH442" s="876">
        <f>1-WWWW[[#This Row],[% Equitable and continuous access to sufficient quantity of domestic water]]</f>
        <v>1</v>
      </c>
      <c r="CI442" s="870">
        <f>WWWW[[#This Row],[%equitable and continuous access to sufficient quantity of safe drinking and domestic water''s GAP]]*WWWW[[#This Row],[Total PoP ]]</f>
        <v>32</v>
      </c>
      <c r="CJ442" s="874">
        <f>IF(WWWW[[#This Row],[Total required water points]]-WWWW[[#This Row],['#Water points coverage]]&lt;0,0,WWWW[[#This Row],[Total required water points]]-WWWW[[#This Row],['#Water points coverage]])</f>
        <v>1</v>
      </c>
      <c r="CK442" s="874">
        <f>ROUND(IF(WWWW[[#This Row],[Total PoP ]]&lt;500,1,WWWW[[#This Row],[Total PoP ]]/500),0)</f>
        <v>1</v>
      </c>
      <c r="CL442" s="874">
        <f>(WWWW[[#This Row],['#_Constructed latrines_by_WASHAgencies]]+WWWW[[#This Row],['#_Non Cluster partner latrines]])-WWWW[[#This Row],['#_Non-functional latrines]]</f>
        <v>0</v>
      </c>
      <c r="CM442"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42"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42"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42" s="874">
        <f>IF(WWWW[[#This Row],[Location Type 1]]="Village","NA",IF(WWWW[[#This Row],['#_Constructed/Existing latrines in TLS]]*50&gt;WWWW[[#This Row],['#_students at TLS_CFS]],WWWW[[#This Row],['#_students at TLS_CFS]],(WWWW[[#This Row],['#_Constructed/Existing latrines in TLS]]*50)))</f>
        <v>0</v>
      </c>
      <c r="CQ442" s="874">
        <f>ROUND(IF(WWWW[[#This Row],[Location Type 1]]="camp",WWWW[[#This Row],[Total PoP ]]/20,IF(WWWW[[#This Row],[Location Type 1]]="Temporary Location",WWWW[[#This Row],[Total PoP ]]/50,(WWWW[[#This Row],[Total PoP ]]/6))),0)</f>
        <v>1</v>
      </c>
      <c r="CR442" s="874">
        <f>IF(WWWW[[#This Row],[Total required Latrines]]-(WWWW[[#This Row],['#_Constructed latrines_by_WASHAgencies]]+WWWW[[#This Row],['#_Non Cluster partner latrines]])&lt;0,0,WWWW[[#This Row],[Total required Latrines]]-(WWWW[[#This Row],['#_Constructed latrines_by_WASHAgencies]]+WWWW[[#This Row],['#_Non Cluster partner latrines]]))</f>
        <v>1</v>
      </c>
      <c r="CS442" s="878">
        <f>1-WWWW[[#This Row],[% people access to functioning Latrine]]</f>
        <v>1</v>
      </c>
      <c r="CT442" s="875">
        <f>IF(OR(WWWW[[#This Row],['#_Non-functional latrines]]="",WWWW[[#This Row],['#_Non-functional latrines]]=0),0,WWWW[[#This Row],['#_Non-functional latrines]]/(WWWW[[#This Row],['#_Constructed latrines_by_WASHAgencies]]+WWWW[[#This Row],['#_Non Cluster partner latrines]]))</f>
        <v>0</v>
      </c>
      <c r="CU442" s="870">
        <f>IF(500*(WWWW[[#This Row],['#_male hygiene promoters]]+WWWW[[#This Row],['#_female hygiene promoters]])&gt;WWWW[[#This Row],[Total PoP ]],WWWW[[#This Row],[Total PoP ]],500*(WWWW[[#This Row],['#_male hygiene promoters]]+WWWW[[#This Row],['#_female hygiene promoters]]))</f>
        <v>0</v>
      </c>
      <c r="CV442"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42"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42" s="874">
        <f>IF(WWWW[[#This Row],['# People with access to soap]]&gt;WWWW[[#This Row],['# People with access to Sanity Pads]],WWWW[[#This Row],['# People with access to soap]],WWWW[[#This Row],['# People with access to Sanity Pads]])</f>
        <v>0</v>
      </c>
      <c r="CY442"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42" s="876">
        <f>IF(WWWW[[#This Row],[HRP3]]/WWWW[[#This Row],[Total PoP ]]&gt;100%,100%,WWWW[[#This Row],[HRP3]]/WWWW[[#This Row],[Total PoP ]])</f>
        <v>0</v>
      </c>
      <c r="DA442" s="875">
        <f>1-WWWW[[#This Row],[Hygiene Coverage%]]</f>
        <v>1</v>
      </c>
      <c r="DB442" s="872">
        <f>WWWW[[#This Row],['# people reached by regular dedicated hygiene promotion_5]]/WWWW[[#This Row],[Total PoP ]]</f>
        <v>0</v>
      </c>
      <c r="DC442" s="872">
        <f>IF(WWWW[[#This Row],['#_households that received standard amount of soap for this quarter]]/WWWW[[#This Row],[Total HH]]&gt;1,1,WWWW[[#This Row],['#_households that received standard amount of soap for this quarter]]/WWWW[[#This Row],[Total HH]])</f>
        <v>0</v>
      </c>
      <c r="DD442" s="872">
        <f>IF(WWWW[[#This Row],['#_households that received standard amount of sanitary pads for this quarter]]/WWWW[[#This Row],[Total HH]]&gt;1,1,WWWW[[#This Row],['#_households that received standard amount of sanitary pads for this quarter]]/WWWW[[#This Row],[Total HH]])</f>
        <v>0</v>
      </c>
      <c r="DE442" s="874">
        <f>WWWW[[#This Row],['#_Constructed/Existing hand washing stations]]-WWWW[[#This Row],['#_Non-Functional_hand_washing_stations]]</f>
        <v>0</v>
      </c>
      <c r="DF442" s="879" t="e">
        <f>WWWW[[#This Row],[Total HH]]*#REF!</f>
        <v>#REF!</v>
      </c>
      <c r="DG442" s="870">
        <f>IF(WWWW[[#This Row],[Is sufficient soap available for TLS? (Yes/No)]]="yes",WWWW[[#This Row],['#_Constructed/Existing hand washing stations at TLS]],0)</f>
        <v>0</v>
      </c>
      <c r="DH442" s="702">
        <f>IF(WWWW[[#This Row],['# Functional hand washing stations during reporting period]]*100&gt;WWWW[[#This Row],[Total PoP ]],WWWW[[#This Row],[Total PoP ]],WWWW[[#This Row],['# Functional hand washing stations during reporting period]]*100)</f>
        <v>0</v>
      </c>
      <c r="DI442" s="702" t="str">
        <f>IF(WWWW[[#This Row],['#_students at TLS_CFS]]="","No","Yes")</f>
        <v>No</v>
      </c>
      <c r="DJ442" s="873">
        <f>VLOOKUP(WWWW[[#This Row],[Site Name]],SiteDB6[[Site Name]:[CCCM Management]],6,FALSE)</f>
        <v>0</v>
      </c>
      <c r="DK442" s="873">
        <f>VLOOKUP(WWWW[[#This Row],[Site Name]],SiteDB6[[Site Name]:[CCCM Focal Agency]],7,FALSE)</f>
        <v>0</v>
      </c>
      <c r="DL442" s="873" t="str">
        <f>VLOOKUP(WWWW[[#This Row],[Site Name]],SiteDB6[[Site Name]:[Location Type 1]],9,FALSE)</f>
        <v>Temporary location</v>
      </c>
      <c r="DM442" s="873" t="str">
        <f>VLOOKUP(WWWW[[#This Row],[Site Name]],SiteDB6[[Site Name]:[Type of Accommodation]],10,FALSE)</f>
        <v>Temporary location</v>
      </c>
      <c r="DN442" s="873">
        <f>VLOOKUP(WWWW[[#This Row],[Site Name]],SiteDB6[[Site Name]:[Ethnic or GCA/NGCA]],11,FALSE)</f>
        <v>0</v>
      </c>
      <c r="DO442" s="873">
        <f>VLOOKUP(WWWW[[#This Row],[Site Name]],SiteDB6[[Site Name]:[Lat]],12,FALSE)</f>
        <v>0</v>
      </c>
      <c r="DP442" s="873">
        <f>VLOOKUP(WWWW[[#This Row],[Site Name]],SiteDB6[[Site Name]:[Long]],13,FALSE)</f>
        <v>0</v>
      </c>
      <c r="DQ442" s="873">
        <f>VLOOKUP(WWWW[[#This Row],[Site Name]],SiteDB6[[Site Name]:[Pcode]],3,FALSE)</f>
        <v>0</v>
      </c>
      <c r="DR442" s="871" t="str">
        <f t="shared" si="14"/>
        <v>Notcovered</v>
      </c>
      <c r="DS442" s="871"/>
      <c r="DV442" s="661"/>
    </row>
    <row r="443" spans="1:126">
      <c r="A443" s="637" t="s">
        <v>2525</v>
      </c>
      <c r="B443" s="976" t="s">
        <v>317</v>
      </c>
      <c r="C443" s="976" t="s">
        <v>317</v>
      </c>
      <c r="D443" s="864"/>
      <c r="E443" s="865" t="s">
        <v>3014</v>
      </c>
      <c r="F443" s="864" t="s">
        <v>320</v>
      </c>
      <c r="G443" s="866" t="str">
        <f>VLOOKUP(WWWW[[#This Row],[Site Name]],SiteDB6[[Site Name]:[Location Type]],8,FALSE)</f>
        <v>New Temporary Site</v>
      </c>
      <c r="H443" s="864" t="s">
        <v>3195</v>
      </c>
      <c r="I443" s="867">
        <v>22</v>
      </c>
      <c r="J443" s="867">
        <v>42</v>
      </c>
      <c r="K443" s="868"/>
      <c r="L443" s="869"/>
      <c r="M443" s="867"/>
      <c r="N443" s="867"/>
      <c r="O443" s="867"/>
      <c r="P443" s="867"/>
      <c r="Q443" s="870"/>
      <c r="R443" s="867"/>
      <c r="S443" s="867"/>
      <c r="T443" s="379"/>
      <c r="U443" s="867"/>
      <c r="V443" s="867"/>
      <c r="W443" s="867"/>
      <c r="X443" s="867"/>
      <c r="Y443" s="867"/>
      <c r="Z443" s="867"/>
      <c r="AA443" s="867"/>
      <c r="AB443" s="867"/>
      <c r="AC443" s="867"/>
      <c r="AD443" s="867"/>
      <c r="AE443" s="867"/>
      <c r="AF443" s="867"/>
      <c r="AG443" s="867"/>
      <c r="AH443" s="867"/>
      <c r="AI443" s="867"/>
      <c r="AJ443" s="867"/>
      <c r="AK443" s="867"/>
      <c r="AL443" s="867"/>
      <c r="AM443" s="867"/>
      <c r="AN443" s="867"/>
      <c r="AO443" s="871"/>
      <c r="AP443" s="867"/>
      <c r="AQ443" s="867"/>
      <c r="AR443" s="872"/>
      <c r="AS443" s="867"/>
      <c r="AT443" s="867"/>
      <c r="AU443" s="867"/>
      <c r="AV443" s="867"/>
      <c r="AW443" s="867"/>
      <c r="AX443" s="873"/>
      <c r="AY443" s="871"/>
      <c r="AZ443" s="867"/>
      <c r="BA443" s="867"/>
      <c r="BB443" s="867"/>
      <c r="BC443" s="873"/>
      <c r="BD443" s="867"/>
      <c r="BE443" s="867"/>
      <c r="BF443" s="867"/>
      <c r="BG443" s="867"/>
      <c r="BH443" s="867"/>
      <c r="BI443" s="867"/>
      <c r="BJ443" s="867"/>
      <c r="BK443" s="867"/>
      <c r="BL443" s="867"/>
      <c r="BM443" s="873"/>
      <c r="BN443" s="874"/>
      <c r="BO443" s="872"/>
      <c r="BP443" s="873"/>
      <c r="BQ443" s="875" t="str">
        <f>IFERROR(WWWW[[#This Row],['#_Water sources treated]]/WWWW[[#This Row],['#_Water sources tested for contamination]],"no test")</f>
        <v>no test</v>
      </c>
      <c r="BR443" s="872" t="str">
        <f>IFERROR(WWWW[[#This Row],['#_Household received remediation action due to contamination]]/WWWW[[#This Row],['#_Household water samples tested for contamination]],"no test")</f>
        <v>no test</v>
      </c>
      <c r="BS443" s="874" t="str">
        <f>IF(AND(WWWW[[#This Row],[% of water sources treated]]="no test",WWWW[[#This Row],[% Household received corrective actions]]="no test"),"No Test","Tested")</f>
        <v>No Test</v>
      </c>
      <c r="BT443" s="874">
        <f>WWWW[[#This Row],['#_Constructed/existing protected hand dug well]]-WWWW[[#This Row],['#_Non-functional protected hand dug well]]</f>
        <v>0</v>
      </c>
      <c r="BU443" s="874">
        <f>(WWWW[[#This Row],['#_Constructed/Existing tube wells/boreholes/handpumps_WASH_agency]]+WWWW[[#This Row],['#_Non-Cluster partner water tube-wells/boreholes/handpumps]])-WWWW[[#This Row],['#_Non-functional tube wells/boreholes/handpumps]]</f>
        <v>0</v>
      </c>
      <c r="BV443" s="874">
        <f>WWWW[[#This Row],['#_Constructed/Existingwater storage tank with gravity fed reticulation system]]-WWWW[[#This Row],['#_Non-functional storage tank gravity fed reticulation system]]</f>
        <v>0</v>
      </c>
      <c r="BW443" s="874">
        <f>WWWW[[#This Row],['#_Water boating or water trucking]]</f>
        <v>0</v>
      </c>
      <c r="BX443" s="874">
        <f>WWWW[[#This Row],['#_Constructed/Existing water distribution system from river or natural spring]]</f>
        <v>0</v>
      </c>
      <c r="BY443"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43"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43" s="872">
        <f>IF(WWWW[[#This Row],[Location Type 1]]="Village",WWWW[[#This Row],[Access to safe drinking water for Village]],WWWW[[#This Row],[Access to safe drinking water for Camp]])</f>
        <v>0</v>
      </c>
      <c r="CB443" s="870">
        <f>WWWW[[#This Row],[%Equitable and continuous access to sufficient quantity of safe drinking water]]*WWWW[[#This Row],[Total PoP ]]</f>
        <v>0</v>
      </c>
      <c r="CC443" s="872">
        <f>IF((WWWW[[#This Row],['#_Constructed/Existing protected/fenced ponds]]*250)/WWWW[[#This Row],[Total PoP ]]&gt;1,1,(WWWW[[#This Row],['#_Constructed/Existing protected/fenced ponds]]*250)/WWWW[[#This Row],[Total PoP ]])</f>
        <v>0</v>
      </c>
      <c r="CD443" s="870">
        <f>WWWW[[#This Row],[% Access to unimproved water points]]*WWWW[[#This Row],[Total PoP ]]</f>
        <v>0</v>
      </c>
      <c r="CE443"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43"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43" s="870">
        <f>WWWW[[#This Row],[HRP1]]/500</f>
        <v>0</v>
      </c>
      <c r="CH443" s="876">
        <f>1-WWWW[[#This Row],[% Equitable and continuous access to sufficient quantity of domestic water]]</f>
        <v>1</v>
      </c>
      <c r="CI443" s="870">
        <f>WWWW[[#This Row],[%equitable and continuous access to sufficient quantity of safe drinking and domestic water''s GAP]]*WWWW[[#This Row],[Total PoP ]]</f>
        <v>42</v>
      </c>
      <c r="CJ443" s="874">
        <f>IF(WWWW[[#This Row],[Total required water points]]-WWWW[[#This Row],['#Water points coverage]]&lt;0,0,WWWW[[#This Row],[Total required water points]]-WWWW[[#This Row],['#Water points coverage]])</f>
        <v>1</v>
      </c>
      <c r="CK443" s="874">
        <f>ROUND(IF(WWWW[[#This Row],[Total PoP ]]&lt;500,1,WWWW[[#This Row],[Total PoP ]]/500),0)</f>
        <v>1</v>
      </c>
      <c r="CL443" s="874">
        <f>(WWWW[[#This Row],['#_Constructed latrines_by_WASHAgencies]]+WWWW[[#This Row],['#_Non Cluster partner latrines]])-WWWW[[#This Row],['#_Non-functional latrines]]</f>
        <v>0</v>
      </c>
      <c r="CM443"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43"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43"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43" s="874">
        <f>IF(WWWW[[#This Row],[Location Type 1]]="Village","NA",IF(WWWW[[#This Row],['#_Constructed/Existing latrines in TLS]]*50&gt;WWWW[[#This Row],['#_students at TLS_CFS]],WWWW[[#This Row],['#_students at TLS_CFS]],(WWWW[[#This Row],['#_Constructed/Existing latrines in TLS]]*50)))</f>
        <v>0</v>
      </c>
      <c r="CQ443" s="874">
        <f>ROUND(IF(WWWW[[#This Row],[Location Type 1]]="camp",WWWW[[#This Row],[Total PoP ]]/20,IF(WWWW[[#This Row],[Location Type 1]]="Temporary Location",WWWW[[#This Row],[Total PoP ]]/50,(WWWW[[#This Row],[Total PoP ]]/6))),0)</f>
        <v>1</v>
      </c>
      <c r="CR443" s="874">
        <f>IF(WWWW[[#This Row],[Total required Latrines]]-(WWWW[[#This Row],['#_Constructed latrines_by_WASHAgencies]]+WWWW[[#This Row],['#_Non Cluster partner latrines]])&lt;0,0,WWWW[[#This Row],[Total required Latrines]]-(WWWW[[#This Row],['#_Constructed latrines_by_WASHAgencies]]+WWWW[[#This Row],['#_Non Cluster partner latrines]]))</f>
        <v>1</v>
      </c>
      <c r="CS443" s="878">
        <f>1-WWWW[[#This Row],[% people access to functioning Latrine]]</f>
        <v>1</v>
      </c>
      <c r="CT443" s="875">
        <f>IF(OR(WWWW[[#This Row],['#_Non-functional latrines]]="",WWWW[[#This Row],['#_Non-functional latrines]]=0),0,WWWW[[#This Row],['#_Non-functional latrines]]/(WWWW[[#This Row],['#_Constructed latrines_by_WASHAgencies]]+WWWW[[#This Row],['#_Non Cluster partner latrines]]))</f>
        <v>0</v>
      </c>
      <c r="CU443" s="870">
        <f>IF(500*(WWWW[[#This Row],['#_male hygiene promoters]]+WWWW[[#This Row],['#_female hygiene promoters]])&gt;WWWW[[#This Row],[Total PoP ]],WWWW[[#This Row],[Total PoP ]],500*(WWWW[[#This Row],['#_male hygiene promoters]]+WWWW[[#This Row],['#_female hygiene promoters]]))</f>
        <v>0</v>
      </c>
      <c r="CV443"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43"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43" s="874">
        <f>IF(WWWW[[#This Row],['# People with access to soap]]&gt;WWWW[[#This Row],['# People with access to Sanity Pads]],WWWW[[#This Row],['# People with access to soap]],WWWW[[#This Row],['# People with access to Sanity Pads]])</f>
        <v>0</v>
      </c>
      <c r="CY443"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43" s="876">
        <f>IF(WWWW[[#This Row],[HRP3]]/WWWW[[#This Row],[Total PoP ]]&gt;100%,100%,WWWW[[#This Row],[HRP3]]/WWWW[[#This Row],[Total PoP ]])</f>
        <v>0</v>
      </c>
      <c r="DA443" s="875">
        <f>1-WWWW[[#This Row],[Hygiene Coverage%]]</f>
        <v>1</v>
      </c>
      <c r="DB443" s="872">
        <f>WWWW[[#This Row],['# people reached by regular dedicated hygiene promotion_5]]/WWWW[[#This Row],[Total PoP ]]</f>
        <v>0</v>
      </c>
      <c r="DC443" s="872">
        <f>IF(WWWW[[#This Row],['#_households that received standard amount of soap for this quarter]]/WWWW[[#This Row],[Total HH]]&gt;1,1,WWWW[[#This Row],['#_households that received standard amount of soap for this quarter]]/WWWW[[#This Row],[Total HH]])</f>
        <v>0</v>
      </c>
      <c r="DD443" s="872">
        <f>IF(WWWW[[#This Row],['#_households that received standard amount of sanitary pads for this quarter]]/WWWW[[#This Row],[Total HH]]&gt;1,1,WWWW[[#This Row],['#_households that received standard amount of sanitary pads for this quarter]]/WWWW[[#This Row],[Total HH]])</f>
        <v>0</v>
      </c>
      <c r="DE443" s="874">
        <f>WWWW[[#This Row],['#_Constructed/Existing hand washing stations]]-WWWW[[#This Row],['#_Non-Functional_hand_washing_stations]]</f>
        <v>0</v>
      </c>
      <c r="DF443" s="879" t="e">
        <f>WWWW[[#This Row],[Total HH]]*#REF!</f>
        <v>#REF!</v>
      </c>
      <c r="DG443" s="870">
        <f>IF(WWWW[[#This Row],[Is sufficient soap available for TLS? (Yes/No)]]="yes",WWWW[[#This Row],['#_Constructed/Existing hand washing stations at TLS]],0)</f>
        <v>0</v>
      </c>
      <c r="DH443" s="702">
        <f>IF(WWWW[[#This Row],['# Functional hand washing stations during reporting period]]*100&gt;WWWW[[#This Row],[Total PoP ]],WWWW[[#This Row],[Total PoP ]],WWWW[[#This Row],['# Functional hand washing stations during reporting period]]*100)</f>
        <v>0</v>
      </c>
      <c r="DI443" s="702" t="str">
        <f>IF(WWWW[[#This Row],['#_students at TLS_CFS]]="","No","Yes")</f>
        <v>No</v>
      </c>
      <c r="DJ443" s="873">
        <f>VLOOKUP(WWWW[[#This Row],[Site Name]],SiteDB6[[Site Name]:[CCCM Management]],6,FALSE)</f>
        <v>0</v>
      </c>
      <c r="DK443" s="873">
        <f>VLOOKUP(WWWW[[#This Row],[Site Name]],SiteDB6[[Site Name]:[CCCM Focal Agency]],7,FALSE)</f>
        <v>0</v>
      </c>
      <c r="DL443" s="873" t="str">
        <f>VLOOKUP(WWWW[[#This Row],[Site Name]],SiteDB6[[Site Name]:[Location Type 1]],9,FALSE)</f>
        <v>Temporary location</v>
      </c>
      <c r="DM443" s="873" t="str">
        <f>VLOOKUP(WWWW[[#This Row],[Site Name]],SiteDB6[[Site Name]:[Type of Accommodation]],10,FALSE)</f>
        <v>Temporary location</v>
      </c>
      <c r="DN443" s="873">
        <f>VLOOKUP(WWWW[[#This Row],[Site Name]],SiteDB6[[Site Name]:[Ethnic or GCA/NGCA]],11,FALSE)</f>
        <v>0</v>
      </c>
      <c r="DO443" s="873">
        <f>VLOOKUP(WWWW[[#This Row],[Site Name]],SiteDB6[[Site Name]:[Lat]],12,FALSE)</f>
        <v>20.746028900146499</v>
      </c>
      <c r="DP443" s="873">
        <f>VLOOKUP(WWWW[[#This Row],[Site Name]],SiteDB6[[Site Name]:[Long]],13,FALSE)</f>
        <v>92.839714050292997</v>
      </c>
      <c r="DQ443" s="873">
        <f>VLOOKUP(WWWW[[#This Row],[Site Name]],SiteDB6[[Site Name]:[Pcode]],3,FALSE)</f>
        <v>220632</v>
      </c>
      <c r="DR443" s="871" t="str">
        <f t="shared" si="14"/>
        <v>Notcovered</v>
      </c>
      <c r="DS443" s="871"/>
      <c r="DV443" s="661"/>
    </row>
    <row r="444" spans="1:126">
      <c r="A444" s="637" t="s">
        <v>2525</v>
      </c>
      <c r="B444" s="863" t="s">
        <v>3237</v>
      </c>
      <c r="C444" s="863" t="s">
        <v>3237</v>
      </c>
      <c r="D444" s="864"/>
      <c r="E444" s="865" t="s">
        <v>3014</v>
      </c>
      <c r="F444" s="864" t="s">
        <v>320</v>
      </c>
      <c r="G444" s="866" t="str">
        <f>VLOOKUP(WWWW[[#This Row],[Site Name]],SiteDB6[[Site Name]:[Location Type]],8,FALSE)</f>
        <v>New Temporary Site</v>
      </c>
      <c r="H444" s="864" t="s">
        <v>2837</v>
      </c>
      <c r="I444" s="867">
        <v>22</v>
      </c>
      <c r="J444" s="867">
        <v>82</v>
      </c>
      <c r="K444" s="868"/>
      <c r="L444" s="869"/>
      <c r="M444" s="867"/>
      <c r="N444" s="867"/>
      <c r="O444" s="867"/>
      <c r="P444" s="867"/>
      <c r="Q444" s="870"/>
      <c r="R444" s="867"/>
      <c r="S444" s="867"/>
      <c r="T444" s="379"/>
      <c r="U444" s="867"/>
      <c r="V444" s="867"/>
      <c r="W444" s="867"/>
      <c r="X444" s="867"/>
      <c r="Y444" s="867"/>
      <c r="Z444" s="867"/>
      <c r="AA444" s="867"/>
      <c r="AB444" s="867"/>
      <c r="AC444" s="867"/>
      <c r="AD444" s="867"/>
      <c r="AE444" s="867"/>
      <c r="AF444" s="867"/>
      <c r="AG444" s="867"/>
      <c r="AH444" s="867"/>
      <c r="AI444" s="867"/>
      <c r="AJ444" s="867"/>
      <c r="AK444" s="867"/>
      <c r="AL444" s="867"/>
      <c r="AM444" s="867"/>
      <c r="AN444" s="867"/>
      <c r="AO444" s="871"/>
      <c r="AP444" s="867"/>
      <c r="AQ444" s="867"/>
      <c r="AR444" s="872"/>
      <c r="AS444" s="867"/>
      <c r="AT444" s="867"/>
      <c r="AU444" s="867"/>
      <c r="AV444" s="867"/>
      <c r="AW444" s="867"/>
      <c r="AX444" s="873"/>
      <c r="AY444" s="871"/>
      <c r="AZ444" s="867"/>
      <c r="BA444" s="867"/>
      <c r="BB444" s="867"/>
      <c r="BC444" s="873"/>
      <c r="BD444" s="867"/>
      <c r="BE444" s="867"/>
      <c r="BF444" s="867"/>
      <c r="BG444" s="867"/>
      <c r="BH444" s="867"/>
      <c r="BI444" s="867"/>
      <c r="BJ444" s="867"/>
      <c r="BK444" s="867">
        <v>22</v>
      </c>
      <c r="BL444" s="867">
        <v>22</v>
      </c>
      <c r="BM444" s="873"/>
      <c r="BN444" s="874"/>
      <c r="BO444" s="872"/>
      <c r="BP444" s="873"/>
      <c r="BQ444" s="875" t="str">
        <f>IFERROR(WWWW[[#This Row],['#_Water sources treated]]/WWWW[[#This Row],['#_Water sources tested for contamination]],"no test")</f>
        <v>no test</v>
      </c>
      <c r="BR444" s="872" t="str">
        <f>IFERROR(WWWW[[#This Row],['#_Household received remediation action due to contamination]]/WWWW[[#This Row],['#_Household water samples tested for contamination]],"no test")</f>
        <v>no test</v>
      </c>
      <c r="BS444" s="874" t="str">
        <f>IF(AND(WWWW[[#This Row],[% of water sources treated]]="no test",WWWW[[#This Row],[% Household received corrective actions]]="no test"),"No Test","Tested")</f>
        <v>No Test</v>
      </c>
      <c r="BT444" s="874">
        <f>WWWW[[#This Row],['#_Constructed/existing protected hand dug well]]-WWWW[[#This Row],['#_Non-functional protected hand dug well]]</f>
        <v>0</v>
      </c>
      <c r="BU444" s="874">
        <f>(WWWW[[#This Row],['#_Constructed/Existing tube wells/boreholes/handpumps_WASH_agency]]+WWWW[[#This Row],['#_Non-Cluster partner water tube-wells/boreholes/handpumps]])-WWWW[[#This Row],['#_Non-functional tube wells/boreholes/handpumps]]</f>
        <v>0</v>
      </c>
      <c r="BV444" s="874">
        <f>WWWW[[#This Row],['#_Constructed/Existingwater storage tank with gravity fed reticulation system]]-WWWW[[#This Row],['#_Non-functional storage tank gravity fed reticulation system]]</f>
        <v>0</v>
      </c>
      <c r="BW444" s="874">
        <f>WWWW[[#This Row],['#_Water boating or water trucking]]</f>
        <v>0</v>
      </c>
      <c r="BX444" s="874">
        <f>WWWW[[#This Row],['#_Constructed/Existing water distribution system from river or natural spring]]</f>
        <v>0</v>
      </c>
      <c r="BY444"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44"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44" s="872">
        <f>IF(WWWW[[#This Row],[Location Type 1]]="Village",WWWW[[#This Row],[Access to safe drinking water for Village]],WWWW[[#This Row],[Access to safe drinking water for Camp]])</f>
        <v>0</v>
      </c>
      <c r="CB444" s="870">
        <f>WWWW[[#This Row],[%Equitable and continuous access to sufficient quantity of safe drinking water]]*WWWW[[#This Row],[Total PoP ]]</f>
        <v>0</v>
      </c>
      <c r="CC444" s="872">
        <f>IF((WWWW[[#This Row],['#_Constructed/Existing protected/fenced ponds]]*250)/WWWW[[#This Row],[Total PoP ]]&gt;1,1,(WWWW[[#This Row],['#_Constructed/Existing protected/fenced ponds]]*250)/WWWW[[#This Row],[Total PoP ]])</f>
        <v>0</v>
      </c>
      <c r="CD444" s="870">
        <f>WWWW[[#This Row],[% Access to unimproved water points]]*WWWW[[#This Row],[Total PoP ]]</f>
        <v>0</v>
      </c>
      <c r="CE444"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44"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44" s="870">
        <f>WWWW[[#This Row],[HRP1]]/500</f>
        <v>0</v>
      </c>
      <c r="CH444" s="876">
        <f>1-WWWW[[#This Row],[% Equitable and continuous access to sufficient quantity of domestic water]]</f>
        <v>1</v>
      </c>
      <c r="CI444" s="870">
        <f>WWWW[[#This Row],[%equitable and continuous access to sufficient quantity of safe drinking and domestic water''s GAP]]*WWWW[[#This Row],[Total PoP ]]</f>
        <v>82</v>
      </c>
      <c r="CJ444" s="874">
        <f>IF(WWWW[[#This Row],[Total required water points]]-WWWW[[#This Row],['#Water points coverage]]&lt;0,0,WWWW[[#This Row],[Total required water points]]-WWWW[[#This Row],['#Water points coverage]])</f>
        <v>1</v>
      </c>
      <c r="CK444" s="874">
        <f>ROUND(IF(WWWW[[#This Row],[Total PoP ]]&lt;500,1,WWWW[[#This Row],[Total PoP ]]/500),0)</f>
        <v>1</v>
      </c>
      <c r="CL444" s="874">
        <f>(WWWW[[#This Row],['#_Constructed latrines_by_WASHAgencies]]+WWWW[[#This Row],['#_Non Cluster partner latrines]])-WWWW[[#This Row],['#_Non-functional latrines]]</f>
        <v>0</v>
      </c>
      <c r="CM444"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44"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44"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44" s="874">
        <f>IF(WWWW[[#This Row],[Location Type 1]]="Village","NA",IF(WWWW[[#This Row],['#_Constructed/Existing latrines in TLS]]*50&gt;WWWW[[#This Row],['#_students at TLS_CFS]],WWWW[[#This Row],['#_students at TLS_CFS]],(WWWW[[#This Row],['#_Constructed/Existing latrines in TLS]]*50)))</f>
        <v>0</v>
      </c>
      <c r="CQ444" s="874">
        <f>ROUND(IF(WWWW[[#This Row],[Location Type 1]]="camp",WWWW[[#This Row],[Total PoP ]]/20,IF(WWWW[[#This Row],[Location Type 1]]="Temporary Location",WWWW[[#This Row],[Total PoP ]]/50,(WWWW[[#This Row],[Total PoP ]]/6))),0)</f>
        <v>2</v>
      </c>
      <c r="CR444" s="874">
        <f>IF(WWWW[[#This Row],[Total required Latrines]]-(WWWW[[#This Row],['#_Constructed latrines_by_WASHAgencies]]+WWWW[[#This Row],['#_Non Cluster partner latrines]])&lt;0,0,WWWW[[#This Row],[Total required Latrines]]-(WWWW[[#This Row],['#_Constructed latrines_by_WASHAgencies]]+WWWW[[#This Row],['#_Non Cluster partner latrines]]))</f>
        <v>2</v>
      </c>
      <c r="CS444" s="878">
        <f>1-WWWW[[#This Row],[% people access to functioning Latrine]]</f>
        <v>1</v>
      </c>
      <c r="CT444" s="875">
        <f>IF(OR(WWWW[[#This Row],['#_Non-functional latrines]]="",WWWW[[#This Row],['#_Non-functional latrines]]=0),0,WWWW[[#This Row],['#_Non-functional latrines]]/(WWWW[[#This Row],['#_Constructed latrines_by_WASHAgencies]]+WWWW[[#This Row],['#_Non Cluster partner latrines]]))</f>
        <v>0</v>
      </c>
      <c r="CU444" s="870">
        <f>IF(500*(WWWW[[#This Row],['#_male hygiene promoters]]+WWWW[[#This Row],['#_female hygiene promoters]])&gt;WWWW[[#This Row],[Total PoP ]],WWWW[[#This Row],[Total PoP ]],500*(WWWW[[#This Row],['#_male hygiene promoters]]+WWWW[[#This Row],['#_female hygiene promoters]]))</f>
        <v>0</v>
      </c>
      <c r="CV444"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82</v>
      </c>
      <c r="CW444"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82</v>
      </c>
      <c r="CX444" s="874">
        <f>IF(WWWW[[#This Row],['# People with access to soap]]&gt;WWWW[[#This Row],['# People with access to Sanity Pads]],WWWW[[#This Row],['# People with access to soap]],WWWW[[#This Row],['# People with access to Sanity Pads]])</f>
        <v>82</v>
      </c>
      <c r="CY444" s="874">
        <f>IF(WWWW[[#This Row],['# people reached by regular dedicated hygiene promotion_5]]&gt;WWWW[[#This Row],['# People received regular supply of hygiene items_6]],WWWW[[#This Row],['# people reached by regular dedicated hygiene promotion_5]],WWWW[[#This Row],['# People received regular supply of hygiene items_6]])</f>
        <v>82</v>
      </c>
      <c r="CZ444" s="876">
        <f>IF(WWWW[[#This Row],[HRP3]]/WWWW[[#This Row],[Total PoP ]]&gt;100%,100%,WWWW[[#This Row],[HRP3]]/WWWW[[#This Row],[Total PoP ]])</f>
        <v>1</v>
      </c>
      <c r="DA444" s="875">
        <f>1-WWWW[[#This Row],[Hygiene Coverage%]]</f>
        <v>0</v>
      </c>
      <c r="DB444" s="872">
        <f>WWWW[[#This Row],['# people reached by regular dedicated hygiene promotion_5]]/WWWW[[#This Row],[Total PoP ]]</f>
        <v>0</v>
      </c>
      <c r="DC444" s="872">
        <f>IF(WWWW[[#This Row],['#_households that received standard amount of soap for this quarter]]/WWWW[[#This Row],[Total HH]]&gt;1,1,WWWW[[#This Row],['#_households that received standard amount of soap for this quarter]]/WWWW[[#This Row],[Total HH]])</f>
        <v>1</v>
      </c>
      <c r="DD444" s="872">
        <f>IF(WWWW[[#This Row],['#_households that received standard amount of sanitary pads for this quarter]]/WWWW[[#This Row],[Total HH]]&gt;1,1,WWWW[[#This Row],['#_households that received standard amount of sanitary pads for this quarter]]/WWWW[[#This Row],[Total HH]])</f>
        <v>1</v>
      </c>
      <c r="DE444" s="874">
        <f>WWWW[[#This Row],['#_Constructed/Existing hand washing stations]]-WWWW[[#This Row],['#_Non-Functional_hand_washing_stations]]</f>
        <v>0</v>
      </c>
      <c r="DF444" s="879" t="e">
        <f>WWWW[[#This Row],[Total HH]]*#REF!</f>
        <v>#REF!</v>
      </c>
      <c r="DG444" s="870">
        <f>IF(WWWW[[#This Row],[Is sufficient soap available for TLS? (Yes/No)]]="yes",WWWW[[#This Row],['#_Constructed/Existing hand washing stations at TLS]],0)</f>
        <v>0</v>
      </c>
      <c r="DH444" s="702">
        <f>IF(WWWW[[#This Row],['# Functional hand washing stations during reporting period]]*100&gt;WWWW[[#This Row],[Total PoP ]],WWWW[[#This Row],[Total PoP ]],WWWW[[#This Row],['# Functional hand washing stations during reporting period]]*100)</f>
        <v>0</v>
      </c>
      <c r="DI444" s="702" t="str">
        <f>IF(WWWW[[#This Row],['#_students at TLS_CFS]]="","No","Yes")</f>
        <v>No</v>
      </c>
      <c r="DJ444" s="873">
        <f>VLOOKUP(WWWW[[#This Row],[Site Name]],SiteDB6[[Site Name]:[CCCM Management]],6,FALSE)</f>
        <v>0</v>
      </c>
      <c r="DK444" s="873">
        <f>VLOOKUP(WWWW[[#This Row],[Site Name]],SiteDB6[[Site Name]:[CCCM Focal Agency]],7,FALSE)</f>
        <v>0</v>
      </c>
      <c r="DL444" s="873" t="str">
        <f>VLOOKUP(WWWW[[#This Row],[Site Name]],SiteDB6[[Site Name]:[Location Type 1]],9,FALSE)</f>
        <v>Temporary location</v>
      </c>
      <c r="DM444" s="873" t="str">
        <f>VLOOKUP(WWWW[[#This Row],[Site Name]],SiteDB6[[Site Name]:[Type of Accommodation]],10,FALSE)</f>
        <v>Temporary location</v>
      </c>
      <c r="DN444" s="873">
        <f>VLOOKUP(WWWW[[#This Row],[Site Name]],SiteDB6[[Site Name]:[Ethnic or GCA/NGCA]],11,FALSE)</f>
        <v>0</v>
      </c>
      <c r="DO444" s="873">
        <f>VLOOKUP(WWWW[[#This Row],[Site Name]],SiteDB6[[Site Name]:[Lat]],12,FALSE)</f>
        <v>0</v>
      </c>
      <c r="DP444" s="873">
        <f>VLOOKUP(WWWW[[#This Row],[Site Name]],SiteDB6[[Site Name]:[Long]],13,FALSE)</f>
        <v>0</v>
      </c>
      <c r="DQ444" s="873">
        <f>VLOOKUP(WWWW[[#This Row],[Site Name]],SiteDB6[[Site Name]:[Pcode]],3,FALSE)</f>
        <v>196673</v>
      </c>
      <c r="DR444" s="871" t="str">
        <f t="shared" si="14"/>
        <v>Covered</v>
      </c>
      <c r="DS444" s="871"/>
      <c r="DV444" s="661"/>
    </row>
    <row r="445" spans="1:126">
      <c r="A445" s="637" t="s">
        <v>2525</v>
      </c>
      <c r="B445" s="863" t="s">
        <v>249</v>
      </c>
      <c r="C445" s="863" t="s">
        <v>249</v>
      </c>
      <c r="D445" s="864"/>
      <c r="E445" s="865" t="s">
        <v>3014</v>
      </c>
      <c r="F445" s="864" t="s">
        <v>320</v>
      </c>
      <c r="G445" s="866" t="str">
        <f>VLOOKUP(WWWW[[#This Row],[Site Name]],SiteDB6[[Site Name]:[Location Type]],8,FALSE)</f>
        <v>New Temporary Site</v>
      </c>
      <c r="H445" s="864" t="s">
        <v>3244</v>
      </c>
      <c r="I445" s="867">
        <v>232</v>
      </c>
      <c r="J445" s="867">
        <v>1228</v>
      </c>
      <c r="K445" s="868"/>
      <c r="L445" s="869"/>
      <c r="M445" s="867"/>
      <c r="N445" s="867"/>
      <c r="O445" s="867"/>
      <c r="P445" s="867"/>
      <c r="Q445" s="870"/>
      <c r="R445" s="867"/>
      <c r="S445" s="867"/>
      <c r="T445" s="379"/>
      <c r="U445" s="867"/>
      <c r="V445" s="867"/>
      <c r="W445" s="867"/>
      <c r="X445" s="867"/>
      <c r="Y445" s="867"/>
      <c r="Z445" s="867"/>
      <c r="AA445" s="867"/>
      <c r="AB445" s="867"/>
      <c r="AC445" s="867"/>
      <c r="AD445" s="867"/>
      <c r="AE445" s="867"/>
      <c r="AF445" s="867"/>
      <c r="AG445" s="867"/>
      <c r="AH445" s="867"/>
      <c r="AI445" s="867"/>
      <c r="AJ445" s="867"/>
      <c r="AK445" s="867"/>
      <c r="AL445" s="867"/>
      <c r="AM445" s="867"/>
      <c r="AN445" s="867"/>
      <c r="AO445" s="871"/>
      <c r="AP445" s="867"/>
      <c r="AQ445" s="867"/>
      <c r="AR445" s="872"/>
      <c r="AS445" s="867"/>
      <c r="AT445" s="867"/>
      <c r="AU445" s="867"/>
      <c r="AV445" s="867"/>
      <c r="AW445" s="867"/>
      <c r="AX445" s="873"/>
      <c r="AY445" s="871"/>
      <c r="AZ445" s="867"/>
      <c r="BA445" s="867"/>
      <c r="BB445" s="867"/>
      <c r="BC445" s="873"/>
      <c r="BD445" s="867"/>
      <c r="BE445" s="867"/>
      <c r="BF445" s="867"/>
      <c r="BG445" s="867"/>
      <c r="BH445" s="867"/>
      <c r="BI445" s="867"/>
      <c r="BJ445" s="867"/>
      <c r="BK445" s="867">
        <v>232</v>
      </c>
      <c r="BL445" s="867">
        <v>232</v>
      </c>
      <c r="BM445" s="873"/>
      <c r="BN445" s="874"/>
      <c r="BO445" s="872"/>
      <c r="BP445" s="873"/>
      <c r="BQ445" s="875" t="str">
        <f>IFERROR(WWWW[[#This Row],['#_Water sources treated]]/WWWW[[#This Row],['#_Water sources tested for contamination]],"no test")</f>
        <v>no test</v>
      </c>
      <c r="BR445" s="872" t="str">
        <f>IFERROR(WWWW[[#This Row],['#_Household received remediation action due to contamination]]/WWWW[[#This Row],['#_Household water samples tested for contamination]],"no test")</f>
        <v>no test</v>
      </c>
      <c r="BS445" s="874" t="str">
        <f>IF(AND(WWWW[[#This Row],[% of water sources treated]]="no test",WWWW[[#This Row],[% Household received corrective actions]]="no test"),"No Test","Tested")</f>
        <v>No Test</v>
      </c>
      <c r="BT445" s="874">
        <f>WWWW[[#This Row],['#_Constructed/existing protected hand dug well]]-WWWW[[#This Row],['#_Non-functional protected hand dug well]]</f>
        <v>0</v>
      </c>
      <c r="BU445" s="874">
        <f>(WWWW[[#This Row],['#_Constructed/Existing tube wells/boreholes/handpumps_WASH_agency]]+WWWW[[#This Row],['#_Non-Cluster partner water tube-wells/boreholes/handpumps]])-WWWW[[#This Row],['#_Non-functional tube wells/boreholes/handpumps]]</f>
        <v>0</v>
      </c>
      <c r="BV445" s="874">
        <f>WWWW[[#This Row],['#_Constructed/Existingwater storage tank with gravity fed reticulation system]]-WWWW[[#This Row],['#_Non-functional storage tank gravity fed reticulation system]]</f>
        <v>0</v>
      </c>
      <c r="BW445" s="874">
        <f>WWWW[[#This Row],['#_Water boating or water trucking]]</f>
        <v>0</v>
      </c>
      <c r="BX445" s="874">
        <f>WWWW[[#This Row],['#_Constructed/Existing water distribution system from river or natural spring]]</f>
        <v>0</v>
      </c>
      <c r="BY445"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45"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45" s="872">
        <f>IF(WWWW[[#This Row],[Location Type 1]]="Village",WWWW[[#This Row],[Access to safe drinking water for Village]],WWWW[[#This Row],[Access to safe drinking water for Camp]])</f>
        <v>0</v>
      </c>
      <c r="CB445" s="870">
        <f>WWWW[[#This Row],[%Equitable and continuous access to sufficient quantity of safe drinking water]]*WWWW[[#This Row],[Total PoP ]]</f>
        <v>0</v>
      </c>
      <c r="CC445" s="872">
        <f>IF((WWWW[[#This Row],['#_Constructed/Existing protected/fenced ponds]]*250)/WWWW[[#This Row],[Total PoP ]]&gt;1,1,(WWWW[[#This Row],['#_Constructed/Existing protected/fenced ponds]]*250)/WWWW[[#This Row],[Total PoP ]])</f>
        <v>0</v>
      </c>
      <c r="CD445" s="870">
        <f>WWWW[[#This Row],[% Access to unimproved water points]]*WWWW[[#This Row],[Total PoP ]]</f>
        <v>0</v>
      </c>
      <c r="CE445"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45"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45" s="870">
        <f>WWWW[[#This Row],[HRP1]]/500</f>
        <v>0</v>
      </c>
      <c r="CH445" s="876">
        <f>1-WWWW[[#This Row],[% Equitable and continuous access to sufficient quantity of domestic water]]</f>
        <v>1</v>
      </c>
      <c r="CI445" s="870">
        <f>WWWW[[#This Row],[%equitable and continuous access to sufficient quantity of safe drinking and domestic water''s GAP]]*WWWW[[#This Row],[Total PoP ]]</f>
        <v>1228</v>
      </c>
      <c r="CJ445" s="874">
        <f>IF(WWWW[[#This Row],[Total required water points]]-WWWW[[#This Row],['#Water points coverage]]&lt;0,0,WWWW[[#This Row],[Total required water points]]-WWWW[[#This Row],['#Water points coverage]])</f>
        <v>2</v>
      </c>
      <c r="CK445" s="874">
        <f>ROUND(IF(WWWW[[#This Row],[Total PoP ]]&lt;500,1,WWWW[[#This Row],[Total PoP ]]/500),0)</f>
        <v>2</v>
      </c>
      <c r="CL445" s="874">
        <f>(WWWW[[#This Row],['#_Constructed latrines_by_WASHAgencies]]+WWWW[[#This Row],['#_Non Cluster partner latrines]])-WWWW[[#This Row],['#_Non-functional latrines]]</f>
        <v>0</v>
      </c>
      <c r="CM445"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45"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45"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45" s="874">
        <f>IF(WWWW[[#This Row],[Location Type 1]]="Village","NA",IF(WWWW[[#This Row],['#_Constructed/Existing latrines in TLS]]*50&gt;WWWW[[#This Row],['#_students at TLS_CFS]],WWWW[[#This Row],['#_students at TLS_CFS]],(WWWW[[#This Row],['#_Constructed/Existing latrines in TLS]]*50)))</f>
        <v>0</v>
      </c>
      <c r="CQ445" s="874">
        <f>ROUND(IF(WWWW[[#This Row],[Location Type 1]]="camp",WWWW[[#This Row],[Total PoP ]]/20,IF(WWWW[[#This Row],[Location Type 1]]="Temporary Location",WWWW[[#This Row],[Total PoP ]]/50,(WWWW[[#This Row],[Total PoP ]]/6))),0)</f>
        <v>25</v>
      </c>
      <c r="CR445" s="874">
        <f>IF(WWWW[[#This Row],[Total required Latrines]]-(WWWW[[#This Row],['#_Constructed latrines_by_WASHAgencies]]+WWWW[[#This Row],['#_Non Cluster partner latrines]])&lt;0,0,WWWW[[#This Row],[Total required Latrines]]-(WWWW[[#This Row],['#_Constructed latrines_by_WASHAgencies]]+WWWW[[#This Row],['#_Non Cluster partner latrines]]))</f>
        <v>25</v>
      </c>
      <c r="CS445" s="878">
        <f>1-WWWW[[#This Row],[% people access to functioning Latrine]]</f>
        <v>1</v>
      </c>
      <c r="CT445" s="875">
        <f>IF(OR(WWWW[[#This Row],['#_Non-functional latrines]]="",WWWW[[#This Row],['#_Non-functional latrines]]=0),0,WWWW[[#This Row],['#_Non-functional latrines]]/(WWWW[[#This Row],['#_Constructed latrines_by_WASHAgencies]]+WWWW[[#This Row],['#_Non Cluster partner latrines]]))</f>
        <v>0</v>
      </c>
      <c r="CU445" s="870">
        <f>IF(500*(WWWW[[#This Row],['#_male hygiene promoters]]+WWWW[[#This Row],['#_female hygiene promoters]])&gt;WWWW[[#This Row],[Total PoP ]],WWWW[[#This Row],[Total PoP ]],500*(WWWW[[#This Row],['#_male hygiene promoters]]+WWWW[[#This Row],['#_female hygiene promoters]]))</f>
        <v>0</v>
      </c>
      <c r="CV445"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1228</v>
      </c>
      <c r="CW445"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1228</v>
      </c>
      <c r="CX445" s="874">
        <f>IF(WWWW[[#This Row],['# People with access to soap]]&gt;WWWW[[#This Row],['# People with access to Sanity Pads]],WWWW[[#This Row],['# People with access to soap]],WWWW[[#This Row],['# People with access to Sanity Pads]])</f>
        <v>1228</v>
      </c>
      <c r="CY445" s="874">
        <f>IF(WWWW[[#This Row],['# people reached by regular dedicated hygiene promotion_5]]&gt;WWWW[[#This Row],['# People received regular supply of hygiene items_6]],WWWW[[#This Row],['# people reached by regular dedicated hygiene promotion_5]],WWWW[[#This Row],['# People received regular supply of hygiene items_6]])</f>
        <v>1228</v>
      </c>
      <c r="CZ445" s="876">
        <f>IF(WWWW[[#This Row],[HRP3]]/WWWW[[#This Row],[Total PoP ]]&gt;100%,100%,WWWW[[#This Row],[HRP3]]/WWWW[[#This Row],[Total PoP ]])</f>
        <v>1</v>
      </c>
      <c r="DA445" s="875">
        <f>1-WWWW[[#This Row],[Hygiene Coverage%]]</f>
        <v>0</v>
      </c>
      <c r="DB445" s="872">
        <f>WWWW[[#This Row],['# people reached by regular dedicated hygiene promotion_5]]/WWWW[[#This Row],[Total PoP ]]</f>
        <v>0</v>
      </c>
      <c r="DC445" s="872">
        <f>IF(WWWW[[#This Row],['#_households that received standard amount of soap for this quarter]]/WWWW[[#This Row],[Total HH]]&gt;1,1,WWWW[[#This Row],['#_households that received standard amount of soap for this quarter]]/WWWW[[#This Row],[Total HH]])</f>
        <v>1</v>
      </c>
      <c r="DD445" s="872">
        <f>IF(WWWW[[#This Row],['#_households that received standard amount of sanitary pads for this quarter]]/WWWW[[#This Row],[Total HH]]&gt;1,1,WWWW[[#This Row],['#_households that received standard amount of sanitary pads for this quarter]]/WWWW[[#This Row],[Total HH]])</f>
        <v>1</v>
      </c>
      <c r="DE445" s="874">
        <f>WWWW[[#This Row],['#_Constructed/Existing hand washing stations]]-WWWW[[#This Row],['#_Non-Functional_hand_washing_stations]]</f>
        <v>0</v>
      </c>
      <c r="DF445" s="879" t="e">
        <f>WWWW[[#This Row],[Total HH]]*#REF!</f>
        <v>#REF!</v>
      </c>
      <c r="DG445" s="870">
        <f>IF(WWWW[[#This Row],[Is sufficient soap available for TLS? (Yes/No)]]="yes",WWWW[[#This Row],['#_Constructed/Existing hand washing stations at TLS]],0)</f>
        <v>0</v>
      </c>
      <c r="DH445" s="702">
        <f>IF(WWWW[[#This Row],['# Functional hand washing stations during reporting period]]*100&gt;WWWW[[#This Row],[Total PoP ]],WWWW[[#This Row],[Total PoP ]],WWWW[[#This Row],['# Functional hand washing stations during reporting period]]*100)</f>
        <v>0</v>
      </c>
      <c r="DI445" s="702" t="str">
        <f>IF(WWWW[[#This Row],['#_students at TLS_CFS]]="","No","Yes")</f>
        <v>No</v>
      </c>
      <c r="DJ445" s="873">
        <f>VLOOKUP(WWWW[[#This Row],[Site Name]],SiteDB6[[Site Name]:[CCCM Management]],6,FALSE)</f>
        <v>0</v>
      </c>
      <c r="DK445" s="873">
        <f>VLOOKUP(WWWW[[#This Row],[Site Name]],SiteDB6[[Site Name]:[CCCM Focal Agency]],7,FALSE)</f>
        <v>0</v>
      </c>
      <c r="DL445" s="873" t="str">
        <f>VLOOKUP(WWWW[[#This Row],[Site Name]],SiteDB6[[Site Name]:[Location Type 1]],9,FALSE)</f>
        <v>Temporary location</v>
      </c>
      <c r="DM445" s="873" t="str">
        <f>VLOOKUP(WWWW[[#This Row],[Site Name]],SiteDB6[[Site Name]:[Type of Accommodation]],10,FALSE)</f>
        <v>Temporary location</v>
      </c>
      <c r="DN445" s="873">
        <f>VLOOKUP(WWWW[[#This Row],[Site Name]],SiteDB6[[Site Name]:[Ethnic or GCA/NGCA]],11,FALSE)</f>
        <v>0</v>
      </c>
      <c r="DO445" s="873">
        <f>VLOOKUP(WWWW[[#This Row],[Site Name]],SiteDB6[[Site Name]:[Lat]],12,FALSE)</f>
        <v>20.675489425659201</v>
      </c>
      <c r="DP445" s="873">
        <f>VLOOKUP(WWWW[[#This Row],[Site Name]],SiteDB6[[Site Name]:[Long]],13,FALSE)</f>
        <v>92.916961669921903</v>
      </c>
      <c r="DQ445" s="873">
        <f>VLOOKUP(WWWW[[#This Row],[Site Name]],SiteDB6[[Site Name]:[Pcode]],3,FALSE)</f>
        <v>196923</v>
      </c>
      <c r="DR445" s="871" t="str">
        <f t="shared" si="14"/>
        <v>Covered</v>
      </c>
      <c r="DS445" s="871"/>
      <c r="DV445" s="661"/>
    </row>
    <row r="446" spans="1:126">
      <c r="A446" s="637" t="s">
        <v>2525</v>
      </c>
      <c r="B446" s="863" t="s">
        <v>3157</v>
      </c>
      <c r="C446" s="863" t="s">
        <v>3157</v>
      </c>
      <c r="D446" s="864"/>
      <c r="E446" s="865" t="s">
        <v>3014</v>
      </c>
      <c r="F446" s="864" t="s">
        <v>320</v>
      </c>
      <c r="G446" s="866" t="str">
        <f>VLOOKUP(WWWW[[#This Row],[Site Name]],SiteDB6[[Site Name]:[Location Type]],8,FALSE)</f>
        <v>New Temporary Site</v>
      </c>
      <c r="H446" s="864" t="s">
        <v>3154</v>
      </c>
      <c r="I446" s="867">
        <v>167</v>
      </c>
      <c r="J446" s="867">
        <v>586</v>
      </c>
      <c r="K446" s="868"/>
      <c r="L446" s="869"/>
      <c r="M446" s="867"/>
      <c r="N446" s="867"/>
      <c r="O446" s="867"/>
      <c r="P446" s="867"/>
      <c r="Q446" s="870"/>
      <c r="R446" s="867"/>
      <c r="S446" s="867"/>
      <c r="T446" s="379"/>
      <c r="U446" s="867"/>
      <c r="V446" s="867"/>
      <c r="W446" s="867"/>
      <c r="X446" s="867"/>
      <c r="Y446" s="867"/>
      <c r="Z446" s="867"/>
      <c r="AA446" s="867"/>
      <c r="AB446" s="867"/>
      <c r="AC446" s="867"/>
      <c r="AD446" s="867"/>
      <c r="AE446" s="867"/>
      <c r="AF446" s="867"/>
      <c r="AG446" s="867"/>
      <c r="AH446" s="867"/>
      <c r="AI446" s="867"/>
      <c r="AJ446" s="867"/>
      <c r="AK446" s="867"/>
      <c r="AL446" s="867"/>
      <c r="AM446" s="867"/>
      <c r="AN446" s="867"/>
      <c r="AO446" s="871"/>
      <c r="AP446" s="867">
        <v>31</v>
      </c>
      <c r="AQ446" s="867"/>
      <c r="AR446" s="872"/>
      <c r="AS446" s="867"/>
      <c r="AT446" s="867"/>
      <c r="AU446" s="867"/>
      <c r="AV446" s="867"/>
      <c r="AW446" s="867"/>
      <c r="AX446" s="873"/>
      <c r="AY446" s="871"/>
      <c r="AZ446" s="867"/>
      <c r="BA446" s="867"/>
      <c r="BB446" s="867"/>
      <c r="BC446" s="873"/>
      <c r="BD446" s="867"/>
      <c r="BE446" s="867"/>
      <c r="BF446" s="867"/>
      <c r="BG446" s="867"/>
      <c r="BH446" s="867"/>
      <c r="BI446" s="867"/>
      <c r="BJ446" s="867"/>
      <c r="BK446" s="867"/>
      <c r="BL446" s="867"/>
      <c r="BM446" s="873"/>
      <c r="BN446" s="874"/>
      <c r="BO446" s="872"/>
      <c r="BP446" s="873"/>
      <c r="BQ446" s="875" t="str">
        <f>IFERROR(WWWW[[#This Row],['#_Water sources treated]]/WWWW[[#This Row],['#_Water sources tested for contamination]],"no test")</f>
        <v>no test</v>
      </c>
      <c r="BR446" s="872" t="str">
        <f>IFERROR(WWWW[[#This Row],['#_Household received remediation action due to contamination]]/WWWW[[#This Row],['#_Household water samples tested for contamination]],"no test")</f>
        <v>no test</v>
      </c>
      <c r="BS446" s="874" t="str">
        <f>IF(AND(WWWW[[#This Row],[% of water sources treated]]="no test",WWWW[[#This Row],[% Household received corrective actions]]="no test"),"No Test","Tested")</f>
        <v>No Test</v>
      </c>
      <c r="BT446" s="874">
        <f>WWWW[[#This Row],['#_Constructed/existing protected hand dug well]]-WWWW[[#This Row],['#_Non-functional protected hand dug well]]</f>
        <v>0</v>
      </c>
      <c r="BU446" s="874">
        <f>(WWWW[[#This Row],['#_Constructed/Existing tube wells/boreholes/handpumps_WASH_agency]]+WWWW[[#This Row],['#_Non-Cluster partner water tube-wells/boreholes/handpumps]])-WWWW[[#This Row],['#_Non-functional tube wells/boreholes/handpumps]]</f>
        <v>0</v>
      </c>
      <c r="BV446" s="874">
        <f>WWWW[[#This Row],['#_Constructed/Existingwater storage tank with gravity fed reticulation system]]-WWWW[[#This Row],['#_Non-functional storage tank gravity fed reticulation system]]</f>
        <v>0</v>
      </c>
      <c r="BW446" s="874">
        <f>WWWW[[#This Row],['#_Water boating or water trucking]]</f>
        <v>0</v>
      </c>
      <c r="BX446" s="874">
        <f>WWWW[[#This Row],['#_Constructed/Existing water distribution system from river or natural spring]]</f>
        <v>0</v>
      </c>
      <c r="BY446"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46"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46" s="872">
        <f>IF(WWWW[[#This Row],[Location Type 1]]="Village",WWWW[[#This Row],[Access to safe drinking water for Village]],WWWW[[#This Row],[Access to safe drinking water for Camp]])</f>
        <v>0</v>
      </c>
      <c r="CB446" s="870">
        <f>WWWW[[#This Row],[%Equitable and continuous access to sufficient quantity of safe drinking water]]*WWWW[[#This Row],[Total PoP ]]</f>
        <v>0</v>
      </c>
      <c r="CC446" s="872">
        <f>IF((WWWW[[#This Row],['#_Constructed/Existing protected/fenced ponds]]*250)/WWWW[[#This Row],[Total PoP ]]&gt;1,1,(WWWW[[#This Row],['#_Constructed/Existing protected/fenced ponds]]*250)/WWWW[[#This Row],[Total PoP ]])</f>
        <v>0</v>
      </c>
      <c r="CD446" s="870">
        <f>WWWW[[#This Row],[% Access to unimproved water points]]*WWWW[[#This Row],[Total PoP ]]</f>
        <v>0</v>
      </c>
      <c r="CE446"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46"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46" s="870">
        <f>WWWW[[#This Row],[HRP1]]/500</f>
        <v>0</v>
      </c>
      <c r="CH446" s="876">
        <f>1-WWWW[[#This Row],[% Equitable and continuous access to sufficient quantity of domestic water]]</f>
        <v>1</v>
      </c>
      <c r="CI446" s="870">
        <f>WWWW[[#This Row],[%equitable and continuous access to sufficient quantity of safe drinking and domestic water''s GAP]]*WWWW[[#This Row],[Total PoP ]]</f>
        <v>586</v>
      </c>
      <c r="CJ446" s="874">
        <f>IF(WWWW[[#This Row],[Total required water points]]-WWWW[[#This Row],['#Water points coverage]]&lt;0,0,WWWW[[#This Row],[Total required water points]]-WWWW[[#This Row],['#Water points coverage]])</f>
        <v>1</v>
      </c>
      <c r="CK446" s="874">
        <f>ROUND(IF(WWWW[[#This Row],[Total PoP ]]&lt;500,1,WWWW[[#This Row],[Total PoP ]]/500),0)</f>
        <v>1</v>
      </c>
      <c r="CL446" s="874">
        <f>(WWWW[[#This Row],['#_Constructed latrines_by_WASHAgencies]]+WWWW[[#This Row],['#_Non Cluster partner latrines]])-WWWW[[#This Row],['#_Non-functional latrines]]</f>
        <v>31</v>
      </c>
      <c r="CM446"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446"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586</v>
      </c>
      <c r="CO446"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46" s="874">
        <f>IF(WWWW[[#This Row],[Location Type 1]]="Village","NA",IF(WWWW[[#This Row],['#_Constructed/Existing latrines in TLS]]*50&gt;WWWW[[#This Row],['#_students at TLS_CFS]],WWWW[[#This Row],['#_students at TLS_CFS]],(WWWW[[#This Row],['#_Constructed/Existing latrines in TLS]]*50)))</f>
        <v>0</v>
      </c>
      <c r="CQ446" s="874">
        <f>ROUND(IF(WWWW[[#This Row],[Location Type 1]]="camp",WWWW[[#This Row],[Total PoP ]]/20,IF(WWWW[[#This Row],[Location Type 1]]="Temporary Location",WWWW[[#This Row],[Total PoP ]]/50,(WWWW[[#This Row],[Total PoP ]]/6))),0)</f>
        <v>12</v>
      </c>
      <c r="CR446" s="874">
        <f>IF(WWWW[[#This Row],[Total required Latrines]]-(WWWW[[#This Row],['#_Constructed latrines_by_WASHAgencies]]+WWWW[[#This Row],['#_Non Cluster partner latrines]])&lt;0,0,WWWW[[#This Row],[Total required Latrines]]-(WWWW[[#This Row],['#_Constructed latrines_by_WASHAgencies]]+WWWW[[#This Row],['#_Non Cluster partner latrines]]))</f>
        <v>0</v>
      </c>
      <c r="CS446" s="878">
        <f>1-WWWW[[#This Row],[% people access to functioning Latrine]]</f>
        <v>0</v>
      </c>
      <c r="CT446" s="875">
        <f>IF(OR(WWWW[[#This Row],['#_Non-functional latrines]]="",WWWW[[#This Row],['#_Non-functional latrines]]=0),0,WWWW[[#This Row],['#_Non-functional latrines]]/(WWWW[[#This Row],['#_Constructed latrines_by_WASHAgencies]]+WWWW[[#This Row],['#_Non Cluster partner latrines]]))</f>
        <v>0</v>
      </c>
      <c r="CU446" s="870">
        <f>IF(500*(WWWW[[#This Row],['#_male hygiene promoters]]+WWWW[[#This Row],['#_female hygiene promoters]])&gt;WWWW[[#This Row],[Total PoP ]],WWWW[[#This Row],[Total PoP ]],500*(WWWW[[#This Row],['#_male hygiene promoters]]+WWWW[[#This Row],['#_female hygiene promoters]]))</f>
        <v>0</v>
      </c>
      <c r="CV446"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46"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46" s="874">
        <f>IF(WWWW[[#This Row],['# People with access to soap]]&gt;WWWW[[#This Row],['# People with access to Sanity Pads]],WWWW[[#This Row],['# People with access to soap]],WWWW[[#This Row],['# People with access to Sanity Pads]])</f>
        <v>0</v>
      </c>
      <c r="CY446"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46" s="876">
        <f>IF(WWWW[[#This Row],[HRP3]]/WWWW[[#This Row],[Total PoP ]]&gt;100%,100%,WWWW[[#This Row],[HRP3]]/WWWW[[#This Row],[Total PoP ]])</f>
        <v>0</v>
      </c>
      <c r="DA446" s="875">
        <f>1-WWWW[[#This Row],[Hygiene Coverage%]]</f>
        <v>1</v>
      </c>
      <c r="DB446" s="872">
        <f>WWWW[[#This Row],['# people reached by regular dedicated hygiene promotion_5]]/WWWW[[#This Row],[Total PoP ]]</f>
        <v>0</v>
      </c>
      <c r="DC446" s="872">
        <f>IF(WWWW[[#This Row],['#_households that received standard amount of soap for this quarter]]/WWWW[[#This Row],[Total HH]]&gt;1,1,WWWW[[#This Row],['#_households that received standard amount of soap for this quarter]]/WWWW[[#This Row],[Total HH]])</f>
        <v>0</v>
      </c>
      <c r="DD446" s="872">
        <f>IF(WWWW[[#This Row],['#_households that received standard amount of sanitary pads for this quarter]]/WWWW[[#This Row],[Total HH]]&gt;1,1,WWWW[[#This Row],['#_households that received standard amount of sanitary pads for this quarter]]/WWWW[[#This Row],[Total HH]])</f>
        <v>0</v>
      </c>
      <c r="DE446" s="874">
        <f>WWWW[[#This Row],['#_Constructed/Existing hand washing stations]]-WWWW[[#This Row],['#_Non-Functional_hand_washing_stations]]</f>
        <v>0</v>
      </c>
      <c r="DF446" s="879" t="e">
        <f>WWWW[[#This Row],[Total HH]]*#REF!</f>
        <v>#REF!</v>
      </c>
      <c r="DG446" s="870">
        <f>IF(WWWW[[#This Row],[Is sufficient soap available for TLS? (Yes/No)]]="yes",WWWW[[#This Row],['#_Constructed/Existing hand washing stations at TLS]],0)</f>
        <v>0</v>
      </c>
      <c r="DH446" s="702">
        <f>IF(WWWW[[#This Row],['# Functional hand washing stations during reporting period]]*100&gt;WWWW[[#This Row],[Total PoP ]],WWWW[[#This Row],[Total PoP ]],WWWW[[#This Row],['# Functional hand washing stations during reporting period]]*100)</f>
        <v>0</v>
      </c>
      <c r="DI446" s="702" t="str">
        <f>IF(WWWW[[#This Row],['#_students at TLS_CFS]]="","No","Yes")</f>
        <v>No</v>
      </c>
      <c r="DJ446" s="873">
        <f>VLOOKUP(WWWW[[#This Row],[Site Name]],SiteDB6[[Site Name]:[CCCM Management]],6,FALSE)</f>
        <v>0</v>
      </c>
      <c r="DK446" s="873">
        <f>VLOOKUP(WWWW[[#This Row],[Site Name]],SiteDB6[[Site Name]:[CCCM Focal Agency]],7,FALSE)</f>
        <v>0</v>
      </c>
      <c r="DL446" s="873" t="str">
        <f>VLOOKUP(WWWW[[#This Row],[Site Name]],SiteDB6[[Site Name]:[Location Type 1]],9,FALSE)</f>
        <v>Temporary location</v>
      </c>
      <c r="DM446" s="873" t="str">
        <f>VLOOKUP(WWWW[[#This Row],[Site Name]],SiteDB6[[Site Name]:[Type of Accommodation]],10,FALSE)</f>
        <v>Temporary location</v>
      </c>
      <c r="DN446" s="873">
        <f>VLOOKUP(WWWW[[#This Row],[Site Name]],SiteDB6[[Site Name]:[Ethnic or GCA/NGCA]],11,FALSE)</f>
        <v>0</v>
      </c>
      <c r="DO446" s="873">
        <f>VLOOKUP(WWWW[[#This Row],[Site Name]],SiteDB6[[Site Name]:[Lat]],12,FALSE)</f>
        <v>20.680830001831101</v>
      </c>
      <c r="DP446" s="873">
        <f>VLOOKUP(WWWW[[#This Row],[Site Name]],SiteDB6[[Site Name]:[Long]],13,FALSE)</f>
        <v>92.917633056640597</v>
      </c>
      <c r="DQ446" s="873">
        <f>VLOOKUP(WWWW[[#This Row],[Site Name]],SiteDB6[[Site Name]:[Pcode]],3,FALSE)</f>
        <v>196906</v>
      </c>
      <c r="DR446" s="871" t="str">
        <f t="shared" si="14"/>
        <v>Covered</v>
      </c>
      <c r="DS446" s="871"/>
      <c r="DV446" s="661"/>
    </row>
    <row r="447" spans="1:126">
      <c r="A447" s="637" t="s">
        <v>2525</v>
      </c>
      <c r="B447" s="863" t="s">
        <v>3157</v>
      </c>
      <c r="C447" s="863" t="s">
        <v>3157</v>
      </c>
      <c r="D447" s="864"/>
      <c r="E447" s="865" t="s">
        <v>3014</v>
      </c>
      <c r="F447" s="864" t="s">
        <v>320</v>
      </c>
      <c r="G447" s="866" t="str">
        <f>VLOOKUP(WWWW[[#This Row],[Site Name]],SiteDB6[[Site Name]:[Location Type]],8,FALSE)</f>
        <v>New Temporary Site</v>
      </c>
      <c r="H447" s="864" t="s">
        <v>3155</v>
      </c>
      <c r="I447" s="867">
        <v>138</v>
      </c>
      <c r="J447" s="867">
        <v>637</v>
      </c>
      <c r="K447" s="868"/>
      <c r="L447" s="869"/>
      <c r="M447" s="867"/>
      <c r="N447" s="867"/>
      <c r="O447" s="867"/>
      <c r="P447" s="867"/>
      <c r="Q447" s="870"/>
      <c r="R447" s="867"/>
      <c r="S447" s="867"/>
      <c r="T447" s="379"/>
      <c r="U447" s="867"/>
      <c r="V447" s="867"/>
      <c r="W447" s="867"/>
      <c r="X447" s="867"/>
      <c r="Y447" s="867"/>
      <c r="Z447" s="867"/>
      <c r="AA447" s="867"/>
      <c r="AB447" s="867"/>
      <c r="AC447" s="867"/>
      <c r="AD447" s="867"/>
      <c r="AE447" s="867"/>
      <c r="AF447" s="867"/>
      <c r="AG447" s="867"/>
      <c r="AH447" s="867"/>
      <c r="AI447" s="867"/>
      <c r="AJ447" s="867"/>
      <c r="AK447" s="867"/>
      <c r="AL447" s="867"/>
      <c r="AM447" s="867"/>
      <c r="AN447" s="867"/>
      <c r="AO447" s="871"/>
      <c r="AP447" s="867">
        <v>32</v>
      </c>
      <c r="AQ447" s="867"/>
      <c r="AR447" s="872"/>
      <c r="AS447" s="867"/>
      <c r="AT447" s="867"/>
      <c r="AU447" s="867"/>
      <c r="AV447" s="867"/>
      <c r="AW447" s="867"/>
      <c r="AX447" s="873"/>
      <c r="AY447" s="871"/>
      <c r="AZ447" s="867"/>
      <c r="BA447" s="867"/>
      <c r="BB447" s="867"/>
      <c r="BC447" s="873"/>
      <c r="BD447" s="867"/>
      <c r="BE447" s="867"/>
      <c r="BF447" s="867"/>
      <c r="BG447" s="867"/>
      <c r="BH447" s="867"/>
      <c r="BI447" s="867"/>
      <c r="BJ447" s="867"/>
      <c r="BK447" s="867"/>
      <c r="BL447" s="867"/>
      <c r="BM447" s="873"/>
      <c r="BN447" s="874"/>
      <c r="BO447" s="872"/>
      <c r="BP447" s="873"/>
      <c r="BQ447" s="875" t="str">
        <f>IFERROR(WWWW[[#This Row],['#_Water sources treated]]/WWWW[[#This Row],['#_Water sources tested for contamination]],"no test")</f>
        <v>no test</v>
      </c>
      <c r="BR447" s="872" t="str">
        <f>IFERROR(WWWW[[#This Row],['#_Household received remediation action due to contamination]]/WWWW[[#This Row],['#_Household water samples tested for contamination]],"no test")</f>
        <v>no test</v>
      </c>
      <c r="BS447" s="874" t="str">
        <f>IF(AND(WWWW[[#This Row],[% of water sources treated]]="no test",WWWW[[#This Row],[% Household received corrective actions]]="no test"),"No Test","Tested")</f>
        <v>No Test</v>
      </c>
      <c r="BT447" s="874">
        <f>WWWW[[#This Row],['#_Constructed/existing protected hand dug well]]-WWWW[[#This Row],['#_Non-functional protected hand dug well]]</f>
        <v>0</v>
      </c>
      <c r="BU447" s="874">
        <f>(WWWW[[#This Row],['#_Constructed/Existing tube wells/boreholes/handpumps_WASH_agency]]+WWWW[[#This Row],['#_Non-Cluster partner water tube-wells/boreholes/handpumps]])-WWWW[[#This Row],['#_Non-functional tube wells/boreholes/handpumps]]</f>
        <v>0</v>
      </c>
      <c r="BV447" s="874">
        <f>WWWW[[#This Row],['#_Constructed/Existingwater storage tank with gravity fed reticulation system]]-WWWW[[#This Row],['#_Non-functional storage tank gravity fed reticulation system]]</f>
        <v>0</v>
      </c>
      <c r="BW447" s="874">
        <f>WWWW[[#This Row],['#_Water boating or water trucking]]</f>
        <v>0</v>
      </c>
      <c r="BX447" s="874">
        <f>WWWW[[#This Row],['#_Constructed/Existing water distribution system from river or natural spring]]</f>
        <v>0</v>
      </c>
      <c r="BY447"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47"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47" s="872">
        <f>IF(WWWW[[#This Row],[Location Type 1]]="Village",WWWW[[#This Row],[Access to safe drinking water for Village]],WWWW[[#This Row],[Access to safe drinking water for Camp]])</f>
        <v>0</v>
      </c>
      <c r="CB447" s="870">
        <f>WWWW[[#This Row],[%Equitable and continuous access to sufficient quantity of safe drinking water]]*WWWW[[#This Row],[Total PoP ]]</f>
        <v>0</v>
      </c>
      <c r="CC447" s="872">
        <f>IF((WWWW[[#This Row],['#_Constructed/Existing protected/fenced ponds]]*250)/WWWW[[#This Row],[Total PoP ]]&gt;1,1,(WWWW[[#This Row],['#_Constructed/Existing protected/fenced ponds]]*250)/WWWW[[#This Row],[Total PoP ]])</f>
        <v>0</v>
      </c>
      <c r="CD447" s="870">
        <f>WWWW[[#This Row],[% Access to unimproved water points]]*WWWW[[#This Row],[Total PoP ]]</f>
        <v>0</v>
      </c>
      <c r="CE447"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47"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47" s="870">
        <f>WWWW[[#This Row],[HRP1]]/500</f>
        <v>0</v>
      </c>
      <c r="CH447" s="876">
        <f>1-WWWW[[#This Row],[% Equitable and continuous access to sufficient quantity of domestic water]]</f>
        <v>1</v>
      </c>
      <c r="CI447" s="870">
        <f>WWWW[[#This Row],[%equitable and continuous access to sufficient quantity of safe drinking and domestic water''s GAP]]*WWWW[[#This Row],[Total PoP ]]</f>
        <v>637</v>
      </c>
      <c r="CJ447" s="874">
        <f>IF(WWWW[[#This Row],[Total required water points]]-WWWW[[#This Row],['#Water points coverage]]&lt;0,0,WWWW[[#This Row],[Total required water points]]-WWWW[[#This Row],['#Water points coverage]])</f>
        <v>1</v>
      </c>
      <c r="CK447" s="874">
        <f>ROUND(IF(WWWW[[#This Row],[Total PoP ]]&lt;500,1,WWWW[[#This Row],[Total PoP ]]/500),0)</f>
        <v>1</v>
      </c>
      <c r="CL447" s="874">
        <f>(WWWW[[#This Row],['#_Constructed latrines_by_WASHAgencies]]+WWWW[[#This Row],['#_Non Cluster partner latrines]])-WWWW[[#This Row],['#_Non-functional latrines]]</f>
        <v>32</v>
      </c>
      <c r="CM447"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447"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637</v>
      </c>
      <c r="CO447"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47" s="874">
        <f>IF(WWWW[[#This Row],[Location Type 1]]="Village","NA",IF(WWWW[[#This Row],['#_Constructed/Existing latrines in TLS]]*50&gt;WWWW[[#This Row],['#_students at TLS_CFS]],WWWW[[#This Row],['#_students at TLS_CFS]],(WWWW[[#This Row],['#_Constructed/Existing latrines in TLS]]*50)))</f>
        <v>0</v>
      </c>
      <c r="CQ447" s="874">
        <f>ROUND(IF(WWWW[[#This Row],[Location Type 1]]="camp",WWWW[[#This Row],[Total PoP ]]/20,IF(WWWW[[#This Row],[Location Type 1]]="Temporary Location",WWWW[[#This Row],[Total PoP ]]/50,(WWWW[[#This Row],[Total PoP ]]/6))),0)</f>
        <v>13</v>
      </c>
      <c r="CR447" s="874">
        <f>IF(WWWW[[#This Row],[Total required Latrines]]-(WWWW[[#This Row],['#_Constructed latrines_by_WASHAgencies]]+WWWW[[#This Row],['#_Non Cluster partner latrines]])&lt;0,0,WWWW[[#This Row],[Total required Latrines]]-(WWWW[[#This Row],['#_Constructed latrines_by_WASHAgencies]]+WWWW[[#This Row],['#_Non Cluster partner latrines]]))</f>
        <v>0</v>
      </c>
      <c r="CS447" s="878">
        <f>1-WWWW[[#This Row],[% people access to functioning Latrine]]</f>
        <v>0</v>
      </c>
      <c r="CT447" s="875">
        <f>IF(OR(WWWW[[#This Row],['#_Non-functional latrines]]="",WWWW[[#This Row],['#_Non-functional latrines]]=0),0,WWWW[[#This Row],['#_Non-functional latrines]]/(WWWW[[#This Row],['#_Constructed latrines_by_WASHAgencies]]+WWWW[[#This Row],['#_Non Cluster partner latrines]]))</f>
        <v>0</v>
      </c>
      <c r="CU447" s="870">
        <f>IF(500*(WWWW[[#This Row],['#_male hygiene promoters]]+WWWW[[#This Row],['#_female hygiene promoters]])&gt;WWWW[[#This Row],[Total PoP ]],WWWW[[#This Row],[Total PoP ]],500*(WWWW[[#This Row],['#_male hygiene promoters]]+WWWW[[#This Row],['#_female hygiene promoters]]))</f>
        <v>0</v>
      </c>
      <c r="CV447"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47"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47" s="874">
        <f>IF(WWWW[[#This Row],['# People with access to soap]]&gt;WWWW[[#This Row],['# People with access to Sanity Pads]],WWWW[[#This Row],['# People with access to soap]],WWWW[[#This Row],['# People with access to Sanity Pads]])</f>
        <v>0</v>
      </c>
      <c r="CY447"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47" s="876">
        <f>IF(WWWW[[#This Row],[HRP3]]/WWWW[[#This Row],[Total PoP ]]&gt;100%,100%,WWWW[[#This Row],[HRP3]]/WWWW[[#This Row],[Total PoP ]])</f>
        <v>0</v>
      </c>
      <c r="DA447" s="875">
        <f>1-WWWW[[#This Row],[Hygiene Coverage%]]</f>
        <v>1</v>
      </c>
      <c r="DB447" s="872">
        <f>WWWW[[#This Row],['# people reached by regular dedicated hygiene promotion_5]]/WWWW[[#This Row],[Total PoP ]]</f>
        <v>0</v>
      </c>
      <c r="DC447" s="872">
        <f>IF(WWWW[[#This Row],['#_households that received standard amount of soap for this quarter]]/WWWW[[#This Row],[Total HH]]&gt;1,1,WWWW[[#This Row],['#_households that received standard amount of soap for this quarter]]/WWWW[[#This Row],[Total HH]])</f>
        <v>0</v>
      </c>
      <c r="DD447" s="872">
        <f>IF(WWWW[[#This Row],['#_households that received standard amount of sanitary pads for this quarter]]/WWWW[[#This Row],[Total HH]]&gt;1,1,WWWW[[#This Row],['#_households that received standard amount of sanitary pads for this quarter]]/WWWW[[#This Row],[Total HH]])</f>
        <v>0</v>
      </c>
      <c r="DE447" s="874">
        <f>WWWW[[#This Row],['#_Constructed/Existing hand washing stations]]-WWWW[[#This Row],['#_Non-Functional_hand_washing_stations]]</f>
        <v>0</v>
      </c>
      <c r="DF447" s="879" t="e">
        <f>WWWW[[#This Row],[Total HH]]*#REF!</f>
        <v>#REF!</v>
      </c>
      <c r="DG447" s="870">
        <f>IF(WWWW[[#This Row],[Is sufficient soap available for TLS? (Yes/No)]]="yes",WWWW[[#This Row],['#_Constructed/Existing hand washing stations at TLS]],0)</f>
        <v>0</v>
      </c>
      <c r="DH447" s="702">
        <f>IF(WWWW[[#This Row],['# Functional hand washing stations during reporting period]]*100&gt;WWWW[[#This Row],[Total PoP ]],WWWW[[#This Row],[Total PoP ]],WWWW[[#This Row],['# Functional hand washing stations during reporting period]]*100)</f>
        <v>0</v>
      </c>
      <c r="DI447" s="702" t="str">
        <f>IF(WWWW[[#This Row],['#_students at TLS_CFS]]="","No","Yes")</f>
        <v>No</v>
      </c>
      <c r="DJ447" s="873">
        <f>VLOOKUP(WWWW[[#This Row],[Site Name]],SiteDB6[[Site Name]:[CCCM Management]],6,FALSE)</f>
        <v>0</v>
      </c>
      <c r="DK447" s="873">
        <f>VLOOKUP(WWWW[[#This Row],[Site Name]],SiteDB6[[Site Name]:[CCCM Focal Agency]],7,FALSE)</f>
        <v>0</v>
      </c>
      <c r="DL447" s="873" t="str">
        <f>VLOOKUP(WWWW[[#This Row],[Site Name]],SiteDB6[[Site Name]:[Location Type 1]],9,FALSE)</f>
        <v>Temporary location</v>
      </c>
      <c r="DM447" s="873" t="str">
        <f>VLOOKUP(WWWW[[#This Row],[Site Name]],SiteDB6[[Site Name]:[Type of Accommodation]],10,FALSE)</f>
        <v>Temporary location</v>
      </c>
      <c r="DN447" s="873">
        <f>VLOOKUP(WWWW[[#This Row],[Site Name]],SiteDB6[[Site Name]:[Ethnic or GCA/NGCA]],11,FALSE)</f>
        <v>0</v>
      </c>
      <c r="DO447" s="873">
        <f>VLOOKUP(WWWW[[#This Row],[Site Name]],SiteDB6[[Site Name]:[Lat]],12,FALSE)</f>
        <v>20.674160003662099</v>
      </c>
      <c r="DP447" s="873">
        <f>VLOOKUP(WWWW[[#This Row],[Site Name]],SiteDB6[[Site Name]:[Long]],13,FALSE)</f>
        <v>92.9078369140625</v>
      </c>
      <c r="DQ447" s="873">
        <f>VLOOKUP(WWWW[[#This Row],[Site Name]],SiteDB6[[Site Name]:[Pcode]],3,FALSE)</f>
        <v>196911</v>
      </c>
      <c r="DR447" s="871" t="str">
        <f t="shared" si="14"/>
        <v>Covered</v>
      </c>
      <c r="DS447" s="871"/>
      <c r="DV447" s="661"/>
    </row>
    <row r="448" spans="1:126">
      <c r="A448" s="637" t="s">
        <v>2525</v>
      </c>
      <c r="B448" s="976" t="s">
        <v>317</v>
      </c>
      <c r="C448" s="976" t="s">
        <v>317</v>
      </c>
      <c r="D448" s="864"/>
      <c r="E448" s="865" t="s">
        <v>3014</v>
      </c>
      <c r="F448" s="864" t="s">
        <v>320</v>
      </c>
      <c r="G448" s="866" t="str">
        <f>VLOOKUP(WWWW[[#This Row],[Site Name]],SiteDB6[[Site Name]:[Location Type]],8,FALSE)</f>
        <v>New Temporary Site</v>
      </c>
      <c r="H448" s="864" t="s">
        <v>3196</v>
      </c>
      <c r="I448" s="867">
        <v>3</v>
      </c>
      <c r="J448" s="867">
        <v>16</v>
      </c>
      <c r="K448" s="868"/>
      <c r="L448" s="869"/>
      <c r="M448" s="867"/>
      <c r="N448" s="867"/>
      <c r="O448" s="867"/>
      <c r="P448" s="867"/>
      <c r="Q448" s="870"/>
      <c r="R448" s="867"/>
      <c r="S448" s="867"/>
      <c r="T448" s="379"/>
      <c r="U448" s="867"/>
      <c r="V448" s="867"/>
      <c r="W448" s="867"/>
      <c r="X448" s="867"/>
      <c r="Y448" s="867"/>
      <c r="Z448" s="867"/>
      <c r="AA448" s="867"/>
      <c r="AB448" s="867"/>
      <c r="AC448" s="867"/>
      <c r="AD448" s="867"/>
      <c r="AE448" s="867"/>
      <c r="AF448" s="867"/>
      <c r="AG448" s="867"/>
      <c r="AH448" s="867"/>
      <c r="AI448" s="867"/>
      <c r="AJ448" s="867"/>
      <c r="AK448" s="867"/>
      <c r="AL448" s="867"/>
      <c r="AM448" s="867"/>
      <c r="AN448" s="867"/>
      <c r="AO448" s="871"/>
      <c r="AP448" s="867"/>
      <c r="AQ448" s="867"/>
      <c r="AR448" s="872"/>
      <c r="AS448" s="867"/>
      <c r="AT448" s="867"/>
      <c r="AU448" s="867"/>
      <c r="AV448" s="867"/>
      <c r="AW448" s="867"/>
      <c r="AX448" s="873"/>
      <c r="AY448" s="871"/>
      <c r="AZ448" s="867"/>
      <c r="BA448" s="867"/>
      <c r="BB448" s="867"/>
      <c r="BC448" s="873"/>
      <c r="BD448" s="867"/>
      <c r="BE448" s="867"/>
      <c r="BF448" s="867"/>
      <c r="BG448" s="867"/>
      <c r="BH448" s="867"/>
      <c r="BI448" s="867"/>
      <c r="BJ448" s="867"/>
      <c r="BK448" s="867"/>
      <c r="BL448" s="867"/>
      <c r="BM448" s="873"/>
      <c r="BN448" s="874"/>
      <c r="BO448" s="872"/>
      <c r="BP448" s="873"/>
      <c r="BQ448" s="875" t="str">
        <f>IFERROR(WWWW[[#This Row],['#_Water sources treated]]/WWWW[[#This Row],['#_Water sources tested for contamination]],"no test")</f>
        <v>no test</v>
      </c>
      <c r="BR448" s="872" t="str">
        <f>IFERROR(WWWW[[#This Row],['#_Household received remediation action due to contamination]]/WWWW[[#This Row],['#_Household water samples tested for contamination]],"no test")</f>
        <v>no test</v>
      </c>
      <c r="BS448" s="874" t="str">
        <f>IF(AND(WWWW[[#This Row],[% of water sources treated]]="no test",WWWW[[#This Row],[% Household received corrective actions]]="no test"),"No Test","Tested")</f>
        <v>No Test</v>
      </c>
      <c r="BT448" s="874">
        <f>WWWW[[#This Row],['#_Constructed/existing protected hand dug well]]-WWWW[[#This Row],['#_Non-functional protected hand dug well]]</f>
        <v>0</v>
      </c>
      <c r="BU448" s="874">
        <f>(WWWW[[#This Row],['#_Constructed/Existing tube wells/boreholes/handpumps_WASH_agency]]+WWWW[[#This Row],['#_Non-Cluster partner water tube-wells/boreholes/handpumps]])-WWWW[[#This Row],['#_Non-functional tube wells/boreholes/handpumps]]</f>
        <v>0</v>
      </c>
      <c r="BV448" s="874">
        <f>WWWW[[#This Row],['#_Constructed/Existingwater storage tank with gravity fed reticulation system]]-WWWW[[#This Row],['#_Non-functional storage tank gravity fed reticulation system]]</f>
        <v>0</v>
      </c>
      <c r="BW448" s="874">
        <f>WWWW[[#This Row],['#_Water boating or water trucking]]</f>
        <v>0</v>
      </c>
      <c r="BX448" s="874">
        <f>WWWW[[#This Row],['#_Constructed/Existing water distribution system from river or natural spring]]</f>
        <v>0</v>
      </c>
      <c r="BY448"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48"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48" s="872">
        <f>IF(WWWW[[#This Row],[Location Type 1]]="Village",WWWW[[#This Row],[Access to safe drinking water for Village]],WWWW[[#This Row],[Access to safe drinking water for Camp]])</f>
        <v>0</v>
      </c>
      <c r="CB448" s="870">
        <f>WWWW[[#This Row],[%Equitable and continuous access to sufficient quantity of safe drinking water]]*WWWW[[#This Row],[Total PoP ]]</f>
        <v>0</v>
      </c>
      <c r="CC448" s="872">
        <f>IF((WWWW[[#This Row],['#_Constructed/Existing protected/fenced ponds]]*250)/WWWW[[#This Row],[Total PoP ]]&gt;1,1,(WWWW[[#This Row],['#_Constructed/Existing protected/fenced ponds]]*250)/WWWW[[#This Row],[Total PoP ]])</f>
        <v>0</v>
      </c>
      <c r="CD448" s="870">
        <f>WWWW[[#This Row],[% Access to unimproved water points]]*WWWW[[#This Row],[Total PoP ]]</f>
        <v>0</v>
      </c>
      <c r="CE448"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48"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48" s="870">
        <f>WWWW[[#This Row],[HRP1]]/500</f>
        <v>0</v>
      </c>
      <c r="CH448" s="876">
        <f>1-WWWW[[#This Row],[% Equitable and continuous access to sufficient quantity of domestic water]]</f>
        <v>1</v>
      </c>
      <c r="CI448" s="870">
        <f>WWWW[[#This Row],[%equitable and continuous access to sufficient quantity of safe drinking and domestic water''s GAP]]*WWWW[[#This Row],[Total PoP ]]</f>
        <v>16</v>
      </c>
      <c r="CJ448" s="874">
        <f>IF(WWWW[[#This Row],[Total required water points]]-WWWW[[#This Row],['#Water points coverage]]&lt;0,0,WWWW[[#This Row],[Total required water points]]-WWWW[[#This Row],['#Water points coverage]])</f>
        <v>1</v>
      </c>
      <c r="CK448" s="874">
        <f>ROUND(IF(WWWW[[#This Row],[Total PoP ]]&lt;500,1,WWWW[[#This Row],[Total PoP ]]/500),0)</f>
        <v>1</v>
      </c>
      <c r="CL448" s="874">
        <f>(WWWW[[#This Row],['#_Constructed latrines_by_WASHAgencies]]+WWWW[[#This Row],['#_Non Cluster partner latrines]])-WWWW[[#This Row],['#_Non-functional latrines]]</f>
        <v>0</v>
      </c>
      <c r="CM448"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48"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48"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48" s="874">
        <f>IF(WWWW[[#This Row],[Location Type 1]]="Village","NA",IF(WWWW[[#This Row],['#_Constructed/Existing latrines in TLS]]*50&gt;WWWW[[#This Row],['#_students at TLS_CFS]],WWWW[[#This Row],['#_students at TLS_CFS]],(WWWW[[#This Row],['#_Constructed/Existing latrines in TLS]]*50)))</f>
        <v>0</v>
      </c>
      <c r="CQ448" s="874">
        <f>ROUND(IF(WWWW[[#This Row],[Location Type 1]]="camp",WWWW[[#This Row],[Total PoP ]]/20,IF(WWWW[[#This Row],[Location Type 1]]="Temporary Location",WWWW[[#This Row],[Total PoP ]]/50,(WWWW[[#This Row],[Total PoP ]]/6))),0)</f>
        <v>0</v>
      </c>
      <c r="CR448" s="874">
        <f>IF(WWWW[[#This Row],[Total required Latrines]]-(WWWW[[#This Row],['#_Constructed latrines_by_WASHAgencies]]+WWWW[[#This Row],['#_Non Cluster partner latrines]])&lt;0,0,WWWW[[#This Row],[Total required Latrines]]-(WWWW[[#This Row],['#_Constructed latrines_by_WASHAgencies]]+WWWW[[#This Row],['#_Non Cluster partner latrines]]))</f>
        <v>0</v>
      </c>
      <c r="CS448" s="878">
        <f>1-WWWW[[#This Row],[% people access to functioning Latrine]]</f>
        <v>1</v>
      </c>
      <c r="CT448" s="875">
        <f>IF(OR(WWWW[[#This Row],['#_Non-functional latrines]]="",WWWW[[#This Row],['#_Non-functional latrines]]=0),0,WWWW[[#This Row],['#_Non-functional latrines]]/(WWWW[[#This Row],['#_Constructed latrines_by_WASHAgencies]]+WWWW[[#This Row],['#_Non Cluster partner latrines]]))</f>
        <v>0</v>
      </c>
      <c r="CU448" s="870">
        <f>IF(500*(WWWW[[#This Row],['#_male hygiene promoters]]+WWWW[[#This Row],['#_female hygiene promoters]])&gt;WWWW[[#This Row],[Total PoP ]],WWWW[[#This Row],[Total PoP ]],500*(WWWW[[#This Row],['#_male hygiene promoters]]+WWWW[[#This Row],['#_female hygiene promoters]]))</f>
        <v>0</v>
      </c>
      <c r="CV448"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48"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48" s="874">
        <f>IF(WWWW[[#This Row],['# People with access to soap]]&gt;WWWW[[#This Row],['# People with access to Sanity Pads]],WWWW[[#This Row],['# People with access to soap]],WWWW[[#This Row],['# People with access to Sanity Pads]])</f>
        <v>0</v>
      </c>
      <c r="CY448"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48" s="876">
        <f>IF(WWWW[[#This Row],[HRP3]]/WWWW[[#This Row],[Total PoP ]]&gt;100%,100%,WWWW[[#This Row],[HRP3]]/WWWW[[#This Row],[Total PoP ]])</f>
        <v>0</v>
      </c>
      <c r="DA448" s="875">
        <f>1-WWWW[[#This Row],[Hygiene Coverage%]]</f>
        <v>1</v>
      </c>
      <c r="DB448" s="872">
        <f>WWWW[[#This Row],['# people reached by regular dedicated hygiene promotion_5]]/WWWW[[#This Row],[Total PoP ]]</f>
        <v>0</v>
      </c>
      <c r="DC448" s="872">
        <f>IF(WWWW[[#This Row],['#_households that received standard amount of soap for this quarter]]/WWWW[[#This Row],[Total HH]]&gt;1,1,WWWW[[#This Row],['#_households that received standard amount of soap for this quarter]]/WWWW[[#This Row],[Total HH]])</f>
        <v>0</v>
      </c>
      <c r="DD448" s="872">
        <f>IF(WWWW[[#This Row],['#_households that received standard amount of sanitary pads for this quarter]]/WWWW[[#This Row],[Total HH]]&gt;1,1,WWWW[[#This Row],['#_households that received standard amount of sanitary pads for this quarter]]/WWWW[[#This Row],[Total HH]])</f>
        <v>0</v>
      </c>
      <c r="DE448" s="874">
        <f>WWWW[[#This Row],['#_Constructed/Existing hand washing stations]]-WWWW[[#This Row],['#_Non-Functional_hand_washing_stations]]</f>
        <v>0</v>
      </c>
      <c r="DF448" s="879" t="e">
        <f>WWWW[[#This Row],[Total HH]]*#REF!</f>
        <v>#REF!</v>
      </c>
      <c r="DG448" s="870">
        <f>IF(WWWW[[#This Row],[Is sufficient soap available for TLS? (Yes/No)]]="yes",WWWW[[#This Row],['#_Constructed/Existing hand washing stations at TLS]],0)</f>
        <v>0</v>
      </c>
      <c r="DH448" s="702">
        <f>IF(WWWW[[#This Row],['# Functional hand washing stations during reporting period]]*100&gt;WWWW[[#This Row],[Total PoP ]],WWWW[[#This Row],[Total PoP ]],WWWW[[#This Row],['# Functional hand washing stations during reporting period]]*100)</f>
        <v>0</v>
      </c>
      <c r="DI448" s="702" t="str">
        <f>IF(WWWW[[#This Row],['#_students at TLS_CFS]]="","No","Yes")</f>
        <v>No</v>
      </c>
      <c r="DJ448" s="873">
        <f>VLOOKUP(WWWW[[#This Row],[Site Name]],SiteDB6[[Site Name]:[CCCM Management]],6,FALSE)</f>
        <v>0</v>
      </c>
      <c r="DK448" s="873">
        <f>VLOOKUP(WWWW[[#This Row],[Site Name]],SiteDB6[[Site Name]:[CCCM Focal Agency]],7,FALSE)</f>
        <v>0</v>
      </c>
      <c r="DL448" s="873" t="str">
        <f>VLOOKUP(WWWW[[#This Row],[Site Name]],SiteDB6[[Site Name]:[Location Type 1]],9,FALSE)</f>
        <v>Temporary location</v>
      </c>
      <c r="DM448" s="873" t="str">
        <f>VLOOKUP(WWWW[[#This Row],[Site Name]],SiteDB6[[Site Name]:[Type of Accommodation]],10,FALSE)</f>
        <v>Temporary location</v>
      </c>
      <c r="DN448" s="873">
        <f>VLOOKUP(WWWW[[#This Row],[Site Name]],SiteDB6[[Site Name]:[Ethnic or GCA/NGCA]],11,FALSE)</f>
        <v>0</v>
      </c>
      <c r="DO448" s="873">
        <f>VLOOKUP(WWWW[[#This Row],[Site Name]],SiteDB6[[Site Name]:[Lat]],12,FALSE)</f>
        <v>0</v>
      </c>
      <c r="DP448" s="873">
        <f>VLOOKUP(WWWW[[#This Row],[Site Name]],SiteDB6[[Site Name]:[Long]],13,FALSE)</f>
        <v>0</v>
      </c>
      <c r="DQ448" s="873">
        <f>VLOOKUP(WWWW[[#This Row],[Site Name]],SiteDB6[[Site Name]:[Pcode]],3,FALSE)</f>
        <v>0</v>
      </c>
      <c r="DR448" s="871" t="str">
        <f t="shared" si="14"/>
        <v>Notcovered</v>
      </c>
      <c r="DS448" s="871"/>
      <c r="DV448" s="661"/>
    </row>
    <row r="449" spans="1:126">
      <c r="A449" s="637" t="s">
        <v>2525</v>
      </c>
      <c r="B449" s="976" t="s">
        <v>317</v>
      </c>
      <c r="C449" s="976" t="s">
        <v>317</v>
      </c>
      <c r="D449" s="864"/>
      <c r="E449" s="865" t="s">
        <v>3014</v>
      </c>
      <c r="F449" s="864" t="s">
        <v>320</v>
      </c>
      <c r="G449" s="866" t="str">
        <f>VLOOKUP(WWWW[[#This Row],[Site Name]],SiteDB6[[Site Name]:[Location Type]],8,FALSE)</f>
        <v>New Temporary Site</v>
      </c>
      <c r="H449" s="864" t="s">
        <v>3197</v>
      </c>
      <c r="I449" s="867">
        <v>28</v>
      </c>
      <c r="J449" s="867">
        <v>116</v>
      </c>
      <c r="K449" s="868"/>
      <c r="L449" s="869"/>
      <c r="M449" s="867"/>
      <c r="N449" s="867"/>
      <c r="O449" s="867"/>
      <c r="P449" s="867"/>
      <c r="Q449" s="870"/>
      <c r="R449" s="867"/>
      <c r="S449" s="867"/>
      <c r="T449" s="379"/>
      <c r="U449" s="867"/>
      <c r="V449" s="867"/>
      <c r="W449" s="867"/>
      <c r="X449" s="867"/>
      <c r="Y449" s="867"/>
      <c r="Z449" s="867"/>
      <c r="AA449" s="867"/>
      <c r="AB449" s="867"/>
      <c r="AC449" s="867"/>
      <c r="AD449" s="867"/>
      <c r="AE449" s="867"/>
      <c r="AF449" s="867"/>
      <c r="AG449" s="867"/>
      <c r="AH449" s="867"/>
      <c r="AI449" s="867"/>
      <c r="AJ449" s="867"/>
      <c r="AK449" s="867"/>
      <c r="AL449" s="867"/>
      <c r="AM449" s="867"/>
      <c r="AN449" s="867"/>
      <c r="AO449" s="871"/>
      <c r="AP449" s="867"/>
      <c r="AQ449" s="867"/>
      <c r="AR449" s="872"/>
      <c r="AS449" s="867"/>
      <c r="AT449" s="867"/>
      <c r="AU449" s="867"/>
      <c r="AV449" s="867"/>
      <c r="AW449" s="867"/>
      <c r="AX449" s="873"/>
      <c r="AY449" s="871"/>
      <c r="AZ449" s="867"/>
      <c r="BA449" s="867"/>
      <c r="BB449" s="867"/>
      <c r="BC449" s="873"/>
      <c r="BD449" s="867"/>
      <c r="BE449" s="867"/>
      <c r="BF449" s="867"/>
      <c r="BG449" s="867"/>
      <c r="BH449" s="867"/>
      <c r="BI449" s="867"/>
      <c r="BJ449" s="867"/>
      <c r="BK449" s="867"/>
      <c r="BL449" s="867"/>
      <c r="BM449" s="873"/>
      <c r="BN449" s="874"/>
      <c r="BO449" s="872"/>
      <c r="BP449" s="873"/>
      <c r="BQ449" s="875" t="str">
        <f>IFERROR(WWWW[[#This Row],['#_Water sources treated]]/WWWW[[#This Row],['#_Water sources tested for contamination]],"no test")</f>
        <v>no test</v>
      </c>
      <c r="BR449" s="872" t="str">
        <f>IFERROR(WWWW[[#This Row],['#_Household received remediation action due to contamination]]/WWWW[[#This Row],['#_Household water samples tested for contamination]],"no test")</f>
        <v>no test</v>
      </c>
      <c r="BS449" s="874" t="str">
        <f>IF(AND(WWWW[[#This Row],[% of water sources treated]]="no test",WWWW[[#This Row],[% Household received corrective actions]]="no test"),"No Test","Tested")</f>
        <v>No Test</v>
      </c>
      <c r="BT449" s="874">
        <f>WWWW[[#This Row],['#_Constructed/existing protected hand dug well]]-WWWW[[#This Row],['#_Non-functional protected hand dug well]]</f>
        <v>0</v>
      </c>
      <c r="BU449" s="874">
        <f>(WWWW[[#This Row],['#_Constructed/Existing tube wells/boreholes/handpumps_WASH_agency]]+WWWW[[#This Row],['#_Non-Cluster partner water tube-wells/boreholes/handpumps]])-WWWW[[#This Row],['#_Non-functional tube wells/boreholes/handpumps]]</f>
        <v>0</v>
      </c>
      <c r="BV449" s="874">
        <f>WWWW[[#This Row],['#_Constructed/Existingwater storage tank with gravity fed reticulation system]]-WWWW[[#This Row],['#_Non-functional storage tank gravity fed reticulation system]]</f>
        <v>0</v>
      </c>
      <c r="BW449" s="874">
        <f>WWWW[[#This Row],['#_Water boating or water trucking]]</f>
        <v>0</v>
      </c>
      <c r="BX449" s="874">
        <f>WWWW[[#This Row],['#_Constructed/Existing water distribution system from river or natural spring]]</f>
        <v>0</v>
      </c>
      <c r="BY449"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49"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49" s="872">
        <f>IF(WWWW[[#This Row],[Location Type 1]]="Village",WWWW[[#This Row],[Access to safe drinking water for Village]],WWWW[[#This Row],[Access to safe drinking water for Camp]])</f>
        <v>0</v>
      </c>
      <c r="CB449" s="870">
        <f>WWWW[[#This Row],[%Equitable and continuous access to sufficient quantity of safe drinking water]]*WWWW[[#This Row],[Total PoP ]]</f>
        <v>0</v>
      </c>
      <c r="CC449" s="872">
        <f>IF((WWWW[[#This Row],['#_Constructed/Existing protected/fenced ponds]]*250)/WWWW[[#This Row],[Total PoP ]]&gt;1,1,(WWWW[[#This Row],['#_Constructed/Existing protected/fenced ponds]]*250)/WWWW[[#This Row],[Total PoP ]])</f>
        <v>0</v>
      </c>
      <c r="CD449" s="870">
        <f>WWWW[[#This Row],[% Access to unimproved water points]]*WWWW[[#This Row],[Total PoP ]]</f>
        <v>0</v>
      </c>
      <c r="CE449"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49"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49" s="870">
        <f>WWWW[[#This Row],[HRP1]]/500</f>
        <v>0</v>
      </c>
      <c r="CH449" s="876">
        <f>1-WWWW[[#This Row],[% Equitable and continuous access to sufficient quantity of domestic water]]</f>
        <v>1</v>
      </c>
      <c r="CI449" s="870">
        <f>WWWW[[#This Row],[%equitable and continuous access to sufficient quantity of safe drinking and domestic water''s GAP]]*WWWW[[#This Row],[Total PoP ]]</f>
        <v>116</v>
      </c>
      <c r="CJ449" s="874">
        <f>IF(WWWW[[#This Row],[Total required water points]]-WWWW[[#This Row],['#Water points coverage]]&lt;0,0,WWWW[[#This Row],[Total required water points]]-WWWW[[#This Row],['#Water points coverage]])</f>
        <v>1</v>
      </c>
      <c r="CK449" s="874">
        <f>ROUND(IF(WWWW[[#This Row],[Total PoP ]]&lt;500,1,WWWW[[#This Row],[Total PoP ]]/500),0)</f>
        <v>1</v>
      </c>
      <c r="CL449" s="874">
        <f>(WWWW[[#This Row],['#_Constructed latrines_by_WASHAgencies]]+WWWW[[#This Row],['#_Non Cluster partner latrines]])-WWWW[[#This Row],['#_Non-functional latrines]]</f>
        <v>0</v>
      </c>
      <c r="CM449"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49"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49"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49" s="874">
        <f>IF(WWWW[[#This Row],[Location Type 1]]="Village","NA",IF(WWWW[[#This Row],['#_Constructed/Existing latrines in TLS]]*50&gt;WWWW[[#This Row],['#_students at TLS_CFS]],WWWW[[#This Row],['#_students at TLS_CFS]],(WWWW[[#This Row],['#_Constructed/Existing latrines in TLS]]*50)))</f>
        <v>0</v>
      </c>
      <c r="CQ449" s="874">
        <f>ROUND(IF(WWWW[[#This Row],[Location Type 1]]="camp",WWWW[[#This Row],[Total PoP ]]/20,IF(WWWW[[#This Row],[Location Type 1]]="Temporary Location",WWWW[[#This Row],[Total PoP ]]/50,(WWWW[[#This Row],[Total PoP ]]/6))),0)</f>
        <v>2</v>
      </c>
      <c r="CR449" s="874">
        <f>IF(WWWW[[#This Row],[Total required Latrines]]-(WWWW[[#This Row],['#_Constructed latrines_by_WASHAgencies]]+WWWW[[#This Row],['#_Non Cluster partner latrines]])&lt;0,0,WWWW[[#This Row],[Total required Latrines]]-(WWWW[[#This Row],['#_Constructed latrines_by_WASHAgencies]]+WWWW[[#This Row],['#_Non Cluster partner latrines]]))</f>
        <v>2</v>
      </c>
      <c r="CS449" s="878">
        <f>1-WWWW[[#This Row],[% people access to functioning Latrine]]</f>
        <v>1</v>
      </c>
      <c r="CT449" s="875">
        <f>IF(OR(WWWW[[#This Row],['#_Non-functional latrines]]="",WWWW[[#This Row],['#_Non-functional latrines]]=0),0,WWWW[[#This Row],['#_Non-functional latrines]]/(WWWW[[#This Row],['#_Constructed latrines_by_WASHAgencies]]+WWWW[[#This Row],['#_Non Cluster partner latrines]]))</f>
        <v>0</v>
      </c>
      <c r="CU449" s="870">
        <f>IF(500*(WWWW[[#This Row],['#_male hygiene promoters]]+WWWW[[#This Row],['#_female hygiene promoters]])&gt;WWWW[[#This Row],[Total PoP ]],WWWW[[#This Row],[Total PoP ]],500*(WWWW[[#This Row],['#_male hygiene promoters]]+WWWW[[#This Row],['#_female hygiene promoters]]))</f>
        <v>0</v>
      </c>
      <c r="CV449"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49"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49" s="874">
        <f>IF(WWWW[[#This Row],['# People with access to soap]]&gt;WWWW[[#This Row],['# People with access to Sanity Pads]],WWWW[[#This Row],['# People with access to soap]],WWWW[[#This Row],['# People with access to Sanity Pads]])</f>
        <v>0</v>
      </c>
      <c r="CY449"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49" s="876">
        <f>IF(WWWW[[#This Row],[HRP3]]/WWWW[[#This Row],[Total PoP ]]&gt;100%,100%,WWWW[[#This Row],[HRP3]]/WWWW[[#This Row],[Total PoP ]])</f>
        <v>0</v>
      </c>
      <c r="DA449" s="875">
        <f>1-WWWW[[#This Row],[Hygiene Coverage%]]</f>
        <v>1</v>
      </c>
      <c r="DB449" s="872">
        <f>WWWW[[#This Row],['# people reached by regular dedicated hygiene promotion_5]]/WWWW[[#This Row],[Total PoP ]]</f>
        <v>0</v>
      </c>
      <c r="DC449" s="872">
        <f>IF(WWWW[[#This Row],['#_households that received standard amount of soap for this quarter]]/WWWW[[#This Row],[Total HH]]&gt;1,1,WWWW[[#This Row],['#_households that received standard amount of soap for this quarter]]/WWWW[[#This Row],[Total HH]])</f>
        <v>0</v>
      </c>
      <c r="DD449" s="872">
        <f>IF(WWWW[[#This Row],['#_households that received standard amount of sanitary pads for this quarter]]/WWWW[[#This Row],[Total HH]]&gt;1,1,WWWW[[#This Row],['#_households that received standard amount of sanitary pads for this quarter]]/WWWW[[#This Row],[Total HH]])</f>
        <v>0</v>
      </c>
      <c r="DE449" s="874">
        <f>WWWW[[#This Row],['#_Constructed/Existing hand washing stations]]-WWWW[[#This Row],['#_Non-Functional_hand_washing_stations]]</f>
        <v>0</v>
      </c>
      <c r="DF449" s="879" t="e">
        <f>WWWW[[#This Row],[Total HH]]*#REF!</f>
        <v>#REF!</v>
      </c>
      <c r="DG449" s="870">
        <f>IF(WWWW[[#This Row],[Is sufficient soap available for TLS? (Yes/No)]]="yes",WWWW[[#This Row],['#_Constructed/Existing hand washing stations at TLS]],0)</f>
        <v>0</v>
      </c>
      <c r="DH449" s="702">
        <f>IF(WWWW[[#This Row],['# Functional hand washing stations during reporting period]]*100&gt;WWWW[[#This Row],[Total PoP ]],WWWW[[#This Row],[Total PoP ]],WWWW[[#This Row],['# Functional hand washing stations during reporting period]]*100)</f>
        <v>0</v>
      </c>
      <c r="DI449" s="702" t="str">
        <f>IF(WWWW[[#This Row],['#_students at TLS_CFS]]="","No","Yes")</f>
        <v>No</v>
      </c>
      <c r="DJ449" s="873">
        <f>VLOOKUP(WWWW[[#This Row],[Site Name]],SiteDB6[[Site Name]:[CCCM Management]],6,FALSE)</f>
        <v>0</v>
      </c>
      <c r="DK449" s="873">
        <f>VLOOKUP(WWWW[[#This Row],[Site Name]],SiteDB6[[Site Name]:[CCCM Focal Agency]],7,FALSE)</f>
        <v>0</v>
      </c>
      <c r="DL449" s="873" t="str">
        <f>VLOOKUP(WWWW[[#This Row],[Site Name]],SiteDB6[[Site Name]:[Location Type 1]],9,FALSE)</f>
        <v>Temporary location</v>
      </c>
      <c r="DM449" s="873" t="str">
        <f>VLOOKUP(WWWW[[#This Row],[Site Name]],SiteDB6[[Site Name]:[Type of Accommodation]],10,FALSE)</f>
        <v>Temporary location</v>
      </c>
      <c r="DN449" s="873">
        <f>VLOOKUP(WWWW[[#This Row],[Site Name]],SiteDB6[[Site Name]:[Ethnic or GCA/NGCA]],11,FALSE)</f>
        <v>0</v>
      </c>
      <c r="DO449" s="873">
        <f>VLOOKUP(WWWW[[#This Row],[Site Name]],SiteDB6[[Site Name]:[Lat]],12,FALSE)</f>
        <v>20.705930710000001</v>
      </c>
      <c r="DP449" s="873">
        <f>VLOOKUP(WWWW[[#This Row],[Site Name]],SiteDB6[[Site Name]:[Long]],13,FALSE)</f>
        <v>93.001953130000004</v>
      </c>
      <c r="DQ449" s="873">
        <f>VLOOKUP(WWWW[[#This Row],[Site Name]],SiteDB6[[Site Name]:[Pcode]],3,FALSE)</f>
        <v>196943</v>
      </c>
      <c r="DR449" s="871" t="str">
        <f t="shared" si="14"/>
        <v>Notcovered</v>
      </c>
      <c r="DS449" s="871"/>
      <c r="DV449" s="661"/>
    </row>
    <row r="450" spans="1:126">
      <c r="A450" s="637" t="s">
        <v>2525</v>
      </c>
      <c r="B450" s="976" t="s">
        <v>317</v>
      </c>
      <c r="C450" s="976" t="s">
        <v>317</v>
      </c>
      <c r="D450" s="864"/>
      <c r="E450" s="865" t="s">
        <v>3014</v>
      </c>
      <c r="F450" s="864" t="s">
        <v>320</v>
      </c>
      <c r="G450" s="866" t="str">
        <f>VLOOKUP(WWWW[[#This Row],[Site Name]],SiteDB6[[Site Name]:[Location Type]],8,FALSE)</f>
        <v>New Temporary Site</v>
      </c>
      <c r="H450" s="864" t="s">
        <v>3198</v>
      </c>
      <c r="I450" s="867">
        <v>34</v>
      </c>
      <c r="J450" s="867">
        <v>137</v>
      </c>
      <c r="K450" s="868"/>
      <c r="L450" s="869"/>
      <c r="M450" s="867"/>
      <c r="N450" s="867"/>
      <c r="O450" s="867"/>
      <c r="P450" s="867"/>
      <c r="Q450" s="870"/>
      <c r="R450" s="867"/>
      <c r="S450" s="867"/>
      <c r="T450" s="379"/>
      <c r="U450" s="867"/>
      <c r="V450" s="867"/>
      <c r="W450" s="867"/>
      <c r="X450" s="867"/>
      <c r="Y450" s="867"/>
      <c r="Z450" s="867"/>
      <c r="AA450" s="867"/>
      <c r="AB450" s="867"/>
      <c r="AC450" s="867"/>
      <c r="AD450" s="867"/>
      <c r="AE450" s="867"/>
      <c r="AF450" s="867"/>
      <c r="AG450" s="867"/>
      <c r="AH450" s="867"/>
      <c r="AI450" s="867"/>
      <c r="AJ450" s="867"/>
      <c r="AK450" s="867"/>
      <c r="AL450" s="867"/>
      <c r="AM450" s="867"/>
      <c r="AN450" s="867"/>
      <c r="AO450" s="871"/>
      <c r="AP450" s="867"/>
      <c r="AQ450" s="867"/>
      <c r="AR450" s="872"/>
      <c r="AS450" s="867"/>
      <c r="AT450" s="867"/>
      <c r="AU450" s="867"/>
      <c r="AV450" s="867"/>
      <c r="AW450" s="867"/>
      <c r="AX450" s="873"/>
      <c r="AY450" s="871"/>
      <c r="AZ450" s="867"/>
      <c r="BA450" s="867"/>
      <c r="BB450" s="867"/>
      <c r="BC450" s="873"/>
      <c r="BD450" s="867"/>
      <c r="BE450" s="867"/>
      <c r="BF450" s="867"/>
      <c r="BG450" s="867"/>
      <c r="BH450" s="867"/>
      <c r="BI450" s="867"/>
      <c r="BJ450" s="867"/>
      <c r="BK450" s="867"/>
      <c r="BL450" s="867"/>
      <c r="BM450" s="873"/>
      <c r="BN450" s="874"/>
      <c r="BO450" s="872"/>
      <c r="BP450" s="873"/>
      <c r="BQ450" s="875" t="str">
        <f>IFERROR(WWWW[[#This Row],['#_Water sources treated]]/WWWW[[#This Row],['#_Water sources tested for contamination]],"no test")</f>
        <v>no test</v>
      </c>
      <c r="BR450" s="872" t="str">
        <f>IFERROR(WWWW[[#This Row],['#_Household received remediation action due to contamination]]/WWWW[[#This Row],['#_Household water samples tested for contamination]],"no test")</f>
        <v>no test</v>
      </c>
      <c r="BS450" s="874" t="str">
        <f>IF(AND(WWWW[[#This Row],[% of water sources treated]]="no test",WWWW[[#This Row],[% Household received corrective actions]]="no test"),"No Test","Tested")</f>
        <v>No Test</v>
      </c>
      <c r="BT450" s="874">
        <f>WWWW[[#This Row],['#_Constructed/existing protected hand dug well]]-WWWW[[#This Row],['#_Non-functional protected hand dug well]]</f>
        <v>0</v>
      </c>
      <c r="BU450" s="874">
        <f>(WWWW[[#This Row],['#_Constructed/Existing tube wells/boreholes/handpumps_WASH_agency]]+WWWW[[#This Row],['#_Non-Cluster partner water tube-wells/boreholes/handpumps]])-WWWW[[#This Row],['#_Non-functional tube wells/boreholes/handpumps]]</f>
        <v>0</v>
      </c>
      <c r="BV450" s="874">
        <f>WWWW[[#This Row],['#_Constructed/Existingwater storage tank with gravity fed reticulation system]]-WWWW[[#This Row],['#_Non-functional storage tank gravity fed reticulation system]]</f>
        <v>0</v>
      </c>
      <c r="BW450" s="874">
        <f>WWWW[[#This Row],['#_Water boating or water trucking]]</f>
        <v>0</v>
      </c>
      <c r="BX450" s="874">
        <f>WWWW[[#This Row],['#_Constructed/Existing water distribution system from river or natural spring]]</f>
        <v>0</v>
      </c>
      <c r="BY450"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50"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50" s="872">
        <f>IF(WWWW[[#This Row],[Location Type 1]]="Village",WWWW[[#This Row],[Access to safe drinking water for Village]],WWWW[[#This Row],[Access to safe drinking water for Camp]])</f>
        <v>0</v>
      </c>
      <c r="CB450" s="870">
        <f>WWWW[[#This Row],[%Equitable and continuous access to sufficient quantity of safe drinking water]]*WWWW[[#This Row],[Total PoP ]]</f>
        <v>0</v>
      </c>
      <c r="CC450" s="872">
        <f>IF((WWWW[[#This Row],['#_Constructed/Existing protected/fenced ponds]]*250)/WWWW[[#This Row],[Total PoP ]]&gt;1,1,(WWWW[[#This Row],['#_Constructed/Existing protected/fenced ponds]]*250)/WWWW[[#This Row],[Total PoP ]])</f>
        <v>0</v>
      </c>
      <c r="CD450" s="870">
        <f>WWWW[[#This Row],[% Access to unimproved water points]]*WWWW[[#This Row],[Total PoP ]]</f>
        <v>0</v>
      </c>
      <c r="CE450"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50"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50" s="870">
        <f>WWWW[[#This Row],[HRP1]]/500</f>
        <v>0</v>
      </c>
      <c r="CH450" s="876">
        <f>1-WWWW[[#This Row],[% Equitable and continuous access to sufficient quantity of domestic water]]</f>
        <v>1</v>
      </c>
      <c r="CI450" s="870">
        <f>WWWW[[#This Row],[%equitable and continuous access to sufficient quantity of safe drinking and domestic water''s GAP]]*WWWW[[#This Row],[Total PoP ]]</f>
        <v>137</v>
      </c>
      <c r="CJ450" s="874">
        <f>IF(WWWW[[#This Row],[Total required water points]]-WWWW[[#This Row],['#Water points coverage]]&lt;0,0,WWWW[[#This Row],[Total required water points]]-WWWW[[#This Row],['#Water points coverage]])</f>
        <v>1</v>
      </c>
      <c r="CK450" s="874">
        <f>ROUND(IF(WWWW[[#This Row],[Total PoP ]]&lt;500,1,WWWW[[#This Row],[Total PoP ]]/500),0)</f>
        <v>1</v>
      </c>
      <c r="CL450" s="874">
        <f>(WWWW[[#This Row],['#_Constructed latrines_by_WASHAgencies]]+WWWW[[#This Row],['#_Non Cluster partner latrines]])-WWWW[[#This Row],['#_Non-functional latrines]]</f>
        <v>0</v>
      </c>
      <c r="CM450"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50"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50"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50" s="874">
        <f>IF(WWWW[[#This Row],[Location Type 1]]="Village","NA",IF(WWWW[[#This Row],['#_Constructed/Existing latrines in TLS]]*50&gt;WWWW[[#This Row],['#_students at TLS_CFS]],WWWW[[#This Row],['#_students at TLS_CFS]],(WWWW[[#This Row],['#_Constructed/Existing latrines in TLS]]*50)))</f>
        <v>0</v>
      </c>
      <c r="CQ450" s="874">
        <f>ROUND(IF(WWWW[[#This Row],[Location Type 1]]="camp",WWWW[[#This Row],[Total PoP ]]/20,IF(WWWW[[#This Row],[Location Type 1]]="Temporary Location",WWWW[[#This Row],[Total PoP ]]/50,(WWWW[[#This Row],[Total PoP ]]/6))),0)</f>
        <v>3</v>
      </c>
      <c r="CR450" s="874">
        <f>IF(WWWW[[#This Row],[Total required Latrines]]-(WWWW[[#This Row],['#_Constructed latrines_by_WASHAgencies]]+WWWW[[#This Row],['#_Non Cluster partner latrines]])&lt;0,0,WWWW[[#This Row],[Total required Latrines]]-(WWWW[[#This Row],['#_Constructed latrines_by_WASHAgencies]]+WWWW[[#This Row],['#_Non Cluster partner latrines]]))</f>
        <v>3</v>
      </c>
      <c r="CS450" s="878">
        <f>1-WWWW[[#This Row],[% people access to functioning Latrine]]</f>
        <v>1</v>
      </c>
      <c r="CT450" s="875">
        <f>IF(OR(WWWW[[#This Row],['#_Non-functional latrines]]="",WWWW[[#This Row],['#_Non-functional latrines]]=0),0,WWWW[[#This Row],['#_Non-functional latrines]]/(WWWW[[#This Row],['#_Constructed latrines_by_WASHAgencies]]+WWWW[[#This Row],['#_Non Cluster partner latrines]]))</f>
        <v>0</v>
      </c>
      <c r="CU450" s="870">
        <f>IF(500*(WWWW[[#This Row],['#_male hygiene promoters]]+WWWW[[#This Row],['#_female hygiene promoters]])&gt;WWWW[[#This Row],[Total PoP ]],WWWW[[#This Row],[Total PoP ]],500*(WWWW[[#This Row],['#_male hygiene promoters]]+WWWW[[#This Row],['#_female hygiene promoters]]))</f>
        <v>0</v>
      </c>
      <c r="CV450"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50"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50" s="874">
        <f>IF(WWWW[[#This Row],['# People with access to soap]]&gt;WWWW[[#This Row],['# People with access to Sanity Pads]],WWWW[[#This Row],['# People with access to soap]],WWWW[[#This Row],['# People with access to Sanity Pads]])</f>
        <v>0</v>
      </c>
      <c r="CY450"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50" s="876">
        <f>IF(WWWW[[#This Row],[HRP3]]/WWWW[[#This Row],[Total PoP ]]&gt;100%,100%,WWWW[[#This Row],[HRP3]]/WWWW[[#This Row],[Total PoP ]])</f>
        <v>0</v>
      </c>
      <c r="DA450" s="875">
        <f>1-WWWW[[#This Row],[Hygiene Coverage%]]</f>
        <v>1</v>
      </c>
      <c r="DB450" s="872">
        <f>WWWW[[#This Row],['# people reached by regular dedicated hygiene promotion_5]]/WWWW[[#This Row],[Total PoP ]]</f>
        <v>0</v>
      </c>
      <c r="DC450" s="872">
        <f>IF(WWWW[[#This Row],['#_households that received standard amount of soap for this quarter]]/WWWW[[#This Row],[Total HH]]&gt;1,1,WWWW[[#This Row],['#_households that received standard amount of soap for this quarter]]/WWWW[[#This Row],[Total HH]])</f>
        <v>0</v>
      </c>
      <c r="DD450" s="872">
        <f>IF(WWWW[[#This Row],['#_households that received standard amount of sanitary pads for this quarter]]/WWWW[[#This Row],[Total HH]]&gt;1,1,WWWW[[#This Row],['#_households that received standard amount of sanitary pads for this quarter]]/WWWW[[#This Row],[Total HH]])</f>
        <v>0</v>
      </c>
      <c r="DE450" s="874">
        <f>WWWW[[#This Row],['#_Constructed/Existing hand washing stations]]-WWWW[[#This Row],['#_Non-Functional_hand_washing_stations]]</f>
        <v>0</v>
      </c>
      <c r="DF450" s="879" t="e">
        <f>WWWW[[#This Row],[Total HH]]*#REF!</f>
        <v>#REF!</v>
      </c>
      <c r="DG450" s="870">
        <f>IF(WWWW[[#This Row],[Is sufficient soap available for TLS? (Yes/No)]]="yes",WWWW[[#This Row],['#_Constructed/Existing hand washing stations at TLS]],0)</f>
        <v>0</v>
      </c>
      <c r="DH450" s="702">
        <f>IF(WWWW[[#This Row],['# Functional hand washing stations during reporting period]]*100&gt;WWWW[[#This Row],[Total PoP ]],WWWW[[#This Row],[Total PoP ]],WWWW[[#This Row],['# Functional hand washing stations during reporting period]]*100)</f>
        <v>0</v>
      </c>
      <c r="DI450" s="702" t="str">
        <f>IF(WWWW[[#This Row],['#_students at TLS_CFS]]="","No","Yes")</f>
        <v>No</v>
      </c>
      <c r="DJ450" s="873">
        <f>VLOOKUP(WWWW[[#This Row],[Site Name]],SiteDB6[[Site Name]:[CCCM Management]],6,FALSE)</f>
        <v>0</v>
      </c>
      <c r="DK450" s="873">
        <f>VLOOKUP(WWWW[[#This Row],[Site Name]],SiteDB6[[Site Name]:[CCCM Focal Agency]],7,FALSE)</f>
        <v>0</v>
      </c>
      <c r="DL450" s="873" t="str">
        <f>VLOOKUP(WWWW[[#This Row],[Site Name]],SiteDB6[[Site Name]:[Location Type 1]],9,FALSE)</f>
        <v>Temporary location</v>
      </c>
      <c r="DM450" s="873" t="str">
        <f>VLOOKUP(WWWW[[#This Row],[Site Name]],SiteDB6[[Site Name]:[Type of Accommodation]],10,FALSE)</f>
        <v>Temporary location</v>
      </c>
      <c r="DN450" s="873">
        <f>VLOOKUP(WWWW[[#This Row],[Site Name]],SiteDB6[[Site Name]:[Ethnic or GCA/NGCA]],11,FALSE)</f>
        <v>0</v>
      </c>
      <c r="DO450" s="873">
        <f>VLOOKUP(WWWW[[#This Row],[Site Name]],SiteDB6[[Site Name]:[Lat]],12,FALSE)</f>
        <v>0</v>
      </c>
      <c r="DP450" s="873">
        <f>VLOOKUP(WWWW[[#This Row],[Site Name]],SiteDB6[[Site Name]:[Long]],13,FALSE)</f>
        <v>0</v>
      </c>
      <c r="DQ450" s="873" t="str">
        <f>VLOOKUP(WWWW[[#This Row],[Site Name]],SiteDB6[[Site Name]:[Pcode]],3,FALSE)</f>
        <v>MMR012004701502</v>
      </c>
      <c r="DR450" s="871" t="str">
        <f t="shared" si="14"/>
        <v>Notcovered</v>
      </c>
      <c r="DS450" s="871"/>
      <c r="DV450" s="661"/>
    </row>
    <row r="451" spans="1:126">
      <c r="A451" s="637" t="s">
        <v>2525</v>
      </c>
      <c r="B451" s="976" t="s">
        <v>317</v>
      </c>
      <c r="C451" s="976" t="s">
        <v>317</v>
      </c>
      <c r="D451" s="864"/>
      <c r="E451" s="865" t="s">
        <v>3014</v>
      </c>
      <c r="F451" s="864" t="s">
        <v>320</v>
      </c>
      <c r="G451" s="866" t="str">
        <f>VLOOKUP(WWWW[[#This Row],[Site Name]],SiteDB6[[Site Name]:[Location Type]],8,FALSE)</f>
        <v>New Temporary Site</v>
      </c>
      <c r="H451" s="864" t="s">
        <v>3199</v>
      </c>
      <c r="I451" s="867">
        <v>49</v>
      </c>
      <c r="J451" s="867">
        <v>148</v>
      </c>
      <c r="K451" s="868"/>
      <c r="L451" s="869"/>
      <c r="M451" s="867"/>
      <c r="N451" s="867"/>
      <c r="O451" s="867"/>
      <c r="P451" s="867"/>
      <c r="Q451" s="870"/>
      <c r="R451" s="867"/>
      <c r="S451" s="867"/>
      <c r="T451" s="379"/>
      <c r="U451" s="867"/>
      <c r="V451" s="867"/>
      <c r="W451" s="867"/>
      <c r="X451" s="867"/>
      <c r="Y451" s="867"/>
      <c r="Z451" s="867"/>
      <c r="AA451" s="867"/>
      <c r="AB451" s="867"/>
      <c r="AC451" s="867"/>
      <c r="AD451" s="867"/>
      <c r="AE451" s="867"/>
      <c r="AF451" s="867"/>
      <c r="AG451" s="867"/>
      <c r="AH451" s="867"/>
      <c r="AI451" s="867"/>
      <c r="AJ451" s="867"/>
      <c r="AK451" s="867"/>
      <c r="AL451" s="867"/>
      <c r="AM451" s="867"/>
      <c r="AN451" s="867"/>
      <c r="AO451" s="871"/>
      <c r="AP451" s="867"/>
      <c r="AQ451" s="867"/>
      <c r="AR451" s="872"/>
      <c r="AS451" s="867"/>
      <c r="AT451" s="867"/>
      <c r="AU451" s="867"/>
      <c r="AV451" s="867"/>
      <c r="AW451" s="867"/>
      <c r="AX451" s="873"/>
      <c r="AY451" s="871"/>
      <c r="AZ451" s="867"/>
      <c r="BA451" s="867"/>
      <c r="BB451" s="867"/>
      <c r="BC451" s="873"/>
      <c r="BD451" s="867"/>
      <c r="BE451" s="867"/>
      <c r="BF451" s="867"/>
      <c r="BG451" s="867"/>
      <c r="BH451" s="867"/>
      <c r="BI451" s="867"/>
      <c r="BJ451" s="867"/>
      <c r="BK451" s="867"/>
      <c r="BL451" s="867"/>
      <c r="BM451" s="873"/>
      <c r="BN451" s="874"/>
      <c r="BO451" s="872"/>
      <c r="BP451" s="873"/>
      <c r="BQ451" s="875" t="str">
        <f>IFERROR(WWWW[[#This Row],['#_Water sources treated]]/WWWW[[#This Row],['#_Water sources tested for contamination]],"no test")</f>
        <v>no test</v>
      </c>
      <c r="BR451" s="872" t="str">
        <f>IFERROR(WWWW[[#This Row],['#_Household received remediation action due to contamination]]/WWWW[[#This Row],['#_Household water samples tested for contamination]],"no test")</f>
        <v>no test</v>
      </c>
      <c r="BS451" s="874" t="str">
        <f>IF(AND(WWWW[[#This Row],[% of water sources treated]]="no test",WWWW[[#This Row],[% Household received corrective actions]]="no test"),"No Test","Tested")</f>
        <v>No Test</v>
      </c>
      <c r="BT451" s="874">
        <f>WWWW[[#This Row],['#_Constructed/existing protected hand dug well]]-WWWW[[#This Row],['#_Non-functional protected hand dug well]]</f>
        <v>0</v>
      </c>
      <c r="BU451" s="874">
        <f>(WWWW[[#This Row],['#_Constructed/Existing tube wells/boreholes/handpumps_WASH_agency]]+WWWW[[#This Row],['#_Non-Cluster partner water tube-wells/boreholes/handpumps]])-WWWW[[#This Row],['#_Non-functional tube wells/boreholes/handpumps]]</f>
        <v>0</v>
      </c>
      <c r="BV451" s="874">
        <f>WWWW[[#This Row],['#_Constructed/Existingwater storage tank with gravity fed reticulation system]]-WWWW[[#This Row],['#_Non-functional storage tank gravity fed reticulation system]]</f>
        <v>0</v>
      </c>
      <c r="BW451" s="874">
        <f>WWWW[[#This Row],['#_Water boating or water trucking]]</f>
        <v>0</v>
      </c>
      <c r="BX451" s="874">
        <f>WWWW[[#This Row],['#_Constructed/Existing water distribution system from river or natural spring]]</f>
        <v>0</v>
      </c>
      <c r="BY451"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51"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51" s="872">
        <f>IF(WWWW[[#This Row],[Location Type 1]]="Village",WWWW[[#This Row],[Access to safe drinking water for Village]],WWWW[[#This Row],[Access to safe drinking water for Camp]])</f>
        <v>0</v>
      </c>
      <c r="CB451" s="870">
        <f>WWWW[[#This Row],[%Equitable and continuous access to sufficient quantity of safe drinking water]]*WWWW[[#This Row],[Total PoP ]]</f>
        <v>0</v>
      </c>
      <c r="CC451" s="872">
        <f>IF((WWWW[[#This Row],['#_Constructed/Existing protected/fenced ponds]]*250)/WWWW[[#This Row],[Total PoP ]]&gt;1,1,(WWWW[[#This Row],['#_Constructed/Existing protected/fenced ponds]]*250)/WWWW[[#This Row],[Total PoP ]])</f>
        <v>0</v>
      </c>
      <c r="CD451" s="870">
        <f>WWWW[[#This Row],[% Access to unimproved water points]]*WWWW[[#This Row],[Total PoP ]]</f>
        <v>0</v>
      </c>
      <c r="CE451"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51"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51" s="870">
        <f>WWWW[[#This Row],[HRP1]]/500</f>
        <v>0</v>
      </c>
      <c r="CH451" s="876">
        <f>1-WWWW[[#This Row],[% Equitable and continuous access to sufficient quantity of domestic water]]</f>
        <v>1</v>
      </c>
      <c r="CI451" s="870">
        <f>WWWW[[#This Row],[%equitable and continuous access to sufficient quantity of safe drinking and domestic water''s GAP]]*WWWW[[#This Row],[Total PoP ]]</f>
        <v>148</v>
      </c>
      <c r="CJ451" s="874">
        <f>IF(WWWW[[#This Row],[Total required water points]]-WWWW[[#This Row],['#Water points coverage]]&lt;0,0,WWWW[[#This Row],[Total required water points]]-WWWW[[#This Row],['#Water points coverage]])</f>
        <v>1</v>
      </c>
      <c r="CK451" s="874">
        <f>ROUND(IF(WWWW[[#This Row],[Total PoP ]]&lt;500,1,WWWW[[#This Row],[Total PoP ]]/500),0)</f>
        <v>1</v>
      </c>
      <c r="CL451" s="874">
        <f>(WWWW[[#This Row],['#_Constructed latrines_by_WASHAgencies]]+WWWW[[#This Row],['#_Non Cluster partner latrines]])-WWWW[[#This Row],['#_Non-functional latrines]]</f>
        <v>0</v>
      </c>
      <c r="CM451"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51"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51"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51" s="874">
        <f>IF(WWWW[[#This Row],[Location Type 1]]="Village","NA",IF(WWWW[[#This Row],['#_Constructed/Existing latrines in TLS]]*50&gt;WWWW[[#This Row],['#_students at TLS_CFS]],WWWW[[#This Row],['#_students at TLS_CFS]],(WWWW[[#This Row],['#_Constructed/Existing latrines in TLS]]*50)))</f>
        <v>0</v>
      </c>
      <c r="CQ451" s="874">
        <f>ROUND(IF(WWWW[[#This Row],[Location Type 1]]="camp",WWWW[[#This Row],[Total PoP ]]/20,IF(WWWW[[#This Row],[Location Type 1]]="Temporary Location",WWWW[[#This Row],[Total PoP ]]/50,(WWWW[[#This Row],[Total PoP ]]/6))),0)</f>
        <v>3</v>
      </c>
      <c r="CR451" s="874">
        <f>IF(WWWW[[#This Row],[Total required Latrines]]-(WWWW[[#This Row],['#_Constructed latrines_by_WASHAgencies]]+WWWW[[#This Row],['#_Non Cluster partner latrines]])&lt;0,0,WWWW[[#This Row],[Total required Latrines]]-(WWWW[[#This Row],['#_Constructed latrines_by_WASHAgencies]]+WWWW[[#This Row],['#_Non Cluster partner latrines]]))</f>
        <v>3</v>
      </c>
      <c r="CS451" s="878">
        <f>1-WWWW[[#This Row],[% people access to functioning Latrine]]</f>
        <v>1</v>
      </c>
      <c r="CT451" s="875">
        <f>IF(OR(WWWW[[#This Row],['#_Non-functional latrines]]="",WWWW[[#This Row],['#_Non-functional latrines]]=0),0,WWWW[[#This Row],['#_Non-functional latrines]]/(WWWW[[#This Row],['#_Constructed latrines_by_WASHAgencies]]+WWWW[[#This Row],['#_Non Cluster partner latrines]]))</f>
        <v>0</v>
      </c>
      <c r="CU451" s="870">
        <f>IF(500*(WWWW[[#This Row],['#_male hygiene promoters]]+WWWW[[#This Row],['#_female hygiene promoters]])&gt;WWWW[[#This Row],[Total PoP ]],WWWW[[#This Row],[Total PoP ]],500*(WWWW[[#This Row],['#_male hygiene promoters]]+WWWW[[#This Row],['#_female hygiene promoters]]))</f>
        <v>0</v>
      </c>
      <c r="CV451"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51"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51" s="874">
        <f>IF(WWWW[[#This Row],['# People with access to soap]]&gt;WWWW[[#This Row],['# People with access to Sanity Pads]],WWWW[[#This Row],['# People with access to soap]],WWWW[[#This Row],['# People with access to Sanity Pads]])</f>
        <v>0</v>
      </c>
      <c r="CY451"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51" s="876">
        <f>IF(WWWW[[#This Row],[HRP3]]/WWWW[[#This Row],[Total PoP ]]&gt;100%,100%,WWWW[[#This Row],[HRP3]]/WWWW[[#This Row],[Total PoP ]])</f>
        <v>0</v>
      </c>
      <c r="DA451" s="875">
        <f>1-WWWW[[#This Row],[Hygiene Coverage%]]</f>
        <v>1</v>
      </c>
      <c r="DB451" s="872">
        <f>WWWW[[#This Row],['# people reached by regular dedicated hygiene promotion_5]]/WWWW[[#This Row],[Total PoP ]]</f>
        <v>0</v>
      </c>
      <c r="DC451" s="872">
        <f>IF(WWWW[[#This Row],['#_households that received standard amount of soap for this quarter]]/WWWW[[#This Row],[Total HH]]&gt;1,1,WWWW[[#This Row],['#_households that received standard amount of soap for this quarter]]/WWWW[[#This Row],[Total HH]])</f>
        <v>0</v>
      </c>
      <c r="DD451" s="872">
        <f>IF(WWWW[[#This Row],['#_households that received standard amount of sanitary pads for this quarter]]/WWWW[[#This Row],[Total HH]]&gt;1,1,WWWW[[#This Row],['#_households that received standard amount of sanitary pads for this quarter]]/WWWW[[#This Row],[Total HH]])</f>
        <v>0</v>
      </c>
      <c r="DE451" s="874">
        <f>WWWW[[#This Row],['#_Constructed/Existing hand washing stations]]-WWWW[[#This Row],['#_Non-Functional_hand_washing_stations]]</f>
        <v>0</v>
      </c>
      <c r="DF451" s="879" t="e">
        <f>WWWW[[#This Row],[Total HH]]*#REF!</f>
        <v>#REF!</v>
      </c>
      <c r="DG451" s="870">
        <f>IF(WWWW[[#This Row],[Is sufficient soap available for TLS? (Yes/No)]]="yes",WWWW[[#This Row],['#_Constructed/Existing hand washing stations at TLS]],0)</f>
        <v>0</v>
      </c>
      <c r="DH451" s="702">
        <f>IF(WWWW[[#This Row],['# Functional hand washing stations during reporting period]]*100&gt;WWWW[[#This Row],[Total PoP ]],WWWW[[#This Row],[Total PoP ]],WWWW[[#This Row],['# Functional hand washing stations during reporting period]]*100)</f>
        <v>0</v>
      </c>
      <c r="DI451" s="702" t="str">
        <f>IF(WWWW[[#This Row],['#_students at TLS_CFS]]="","No","Yes")</f>
        <v>No</v>
      </c>
      <c r="DJ451" s="873">
        <f>VLOOKUP(WWWW[[#This Row],[Site Name]],SiteDB6[[Site Name]:[CCCM Management]],6,FALSE)</f>
        <v>0</v>
      </c>
      <c r="DK451" s="873">
        <f>VLOOKUP(WWWW[[#This Row],[Site Name]],SiteDB6[[Site Name]:[CCCM Focal Agency]],7,FALSE)</f>
        <v>0</v>
      </c>
      <c r="DL451" s="873" t="str">
        <f>VLOOKUP(WWWW[[#This Row],[Site Name]],SiteDB6[[Site Name]:[Location Type 1]],9,FALSE)</f>
        <v>Temporary location</v>
      </c>
      <c r="DM451" s="873" t="str">
        <f>VLOOKUP(WWWW[[#This Row],[Site Name]],SiteDB6[[Site Name]:[Type of Accommodation]],10,FALSE)</f>
        <v>Temporary location</v>
      </c>
      <c r="DN451" s="873">
        <f>VLOOKUP(WWWW[[#This Row],[Site Name]],SiteDB6[[Site Name]:[Ethnic or GCA/NGCA]],11,FALSE)</f>
        <v>0</v>
      </c>
      <c r="DO451" s="873">
        <f>VLOOKUP(WWWW[[#This Row],[Site Name]],SiteDB6[[Site Name]:[Lat]],12,FALSE)</f>
        <v>0</v>
      </c>
      <c r="DP451" s="873">
        <f>VLOOKUP(WWWW[[#This Row],[Site Name]],SiteDB6[[Site Name]:[Long]],13,FALSE)</f>
        <v>0</v>
      </c>
      <c r="DQ451" s="873" t="str">
        <f>VLOOKUP(WWWW[[#This Row],[Site Name]],SiteDB6[[Site Name]:[Pcode]],3,FALSE)</f>
        <v>MMR012004701505</v>
      </c>
      <c r="DR451" s="871" t="str">
        <f t="shared" si="14"/>
        <v>Notcovered</v>
      </c>
      <c r="DS451" s="871"/>
      <c r="DV451" s="661"/>
    </row>
    <row r="452" spans="1:126">
      <c r="A452" s="637" t="s">
        <v>2525</v>
      </c>
      <c r="B452" s="976" t="s">
        <v>317</v>
      </c>
      <c r="C452" s="976" t="s">
        <v>317</v>
      </c>
      <c r="D452" s="864"/>
      <c r="E452" s="865" t="s">
        <v>3014</v>
      </c>
      <c r="F452" s="864" t="s">
        <v>320</v>
      </c>
      <c r="G452" s="866" t="str">
        <f>VLOOKUP(WWWW[[#This Row],[Site Name]],SiteDB6[[Site Name]:[Location Type]],8,FALSE)</f>
        <v>New Temporary Site</v>
      </c>
      <c r="H452" s="864" t="s">
        <v>3200</v>
      </c>
      <c r="I452" s="867">
        <v>93</v>
      </c>
      <c r="J452" s="867">
        <v>372</v>
      </c>
      <c r="K452" s="868"/>
      <c r="L452" s="869"/>
      <c r="M452" s="867"/>
      <c r="N452" s="867"/>
      <c r="O452" s="867"/>
      <c r="P452" s="867"/>
      <c r="Q452" s="870"/>
      <c r="R452" s="867"/>
      <c r="S452" s="867"/>
      <c r="T452" s="379"/>
      <c r="U452" s="867"/>
      <c r="V452" s="867"/>
      <c r="W452" s="867"/>
      <c r="X452" s="867"/>
      <c r="Y452" s="867"/>
      <c r="Z452" s="867"/>
      <c r="AA452" s="867"/>
      <c r="AB452" s="867"/>
      <c r="AC452" s="867"/>
      <c r="AD452" s="867"/>
      <c r="AE452" s="867"/>
      <c r="AF452" s="867"/>
      <c r="AG452" s="867"/>
      <c r="AH452" s="867"/>
      <c r="AI452" s="867"/>
      <c r="AJ452" s="867"/>
      <c r="AK452" s="867"/>
      <c r="AL452" s="867"/>
      <c r="AM452" s="867"/>
      <c r="AN452" s="867"/>
      <c r="AO452" s="871"/>
      <c r="AP452" s="867"/>
      <c r="AQ452" s="867"/>
      <c r="AR452" s="872"/>
      <c r="AS452" s="867"/>
      <c r="AT452" s="867"/>
      <c r="AU452" s="867"/>
      <c r="AV452" s="867"/>
      <c r="AW452" s="867"/>
      <c r="AX452" s="873"/>
      <c r="AY452" s="871"/>
      <c r="AZ452" s="867"/>
      <c r="BA452" s="867"/>
      <c r="BB452" s="867"/>
      <c r="BC452" s="873"/>
      <c r="BD452" s="867"/>
      <c r="BE452" s="867"/>
      <c r="BF452" s="867"/>
      <c r="BG452" s="867"/>
      <c r="BH452" s="867"/>
      <c r="BI452" s="867"/>
      <c r="BJ452" s="867"/>
      <c r="BK452" s="867"/>
      <c r="BL452" s="867"/>
      <c r="BM452" s="873"/>
      <c r="BN452" s="874"/>
      <c r="BO452" s="872"/>
      <c r="BP452" s="873"/>
      <c r="BQ452" s="875" t="str">
        <f>IFERROR(WWWW[[#This Row],['#_Water sources treated]]/WWWW[[#This Row],['#_Water sources tested for contamination]],"no test")</f>
        <v>no test</v>
      </c>
      <c r="BR452" s="872" t="str">
        <f>IFERROR(WWWW[[#This Row],['#_Household received remediation action due to contamination]]/WWWW[[#This Row],['#_Household water samples tested for contamination]],"no test")</f>
        <v>no test</v>
      </c>
      <c r="BS452" s="874" t="str">
        <f>IF(AND(WWWW[[#This Row],[% of water sources treated]]="no test",WWWW[[#This Row],[% Household received corrective actions]]="no test"),"No Test","Tested")</f>
        <v>No Test</v>
      </c>
      <c r="BT452" s="874">
        <f>WWWW[[#This Row],['#_Constructed/existing protected hand dug well]]-WWWW[[#This Row],['#_Non-functional protected hand dug well]]</f>
        <v>0</v>
      </c>
      <c r="BU452" s="874">
        <f>(WWWW[[#This Row],['#_Constructed/Existing tube wells/boreholes/handpumps_WASH_agency]]+WWWW[[#This Row],['#_Non-Cluster partner water tube-wells/boreholes/handpumps]])-WWWW[[#This Row],['#_Non-functional tube wells/boreholes/handpumps]]</f>
        <v>0</v>
      </c>
      <c r="BV452" s="874">
        <f>WWWW[[#This Row],['#_Constructed/Existingwater storage tank with gravity fed reticulation system]]-WWWW[[#This Row],['#_Non-functional storage tank gravity fed reticulation system]]</f>
        <v>0</v>
      </c>
      <c r="BW452" s="874">
        <f>WWWW[[#This Row],['#_Water boating or water trucking]]</f>
        <v>0</v>
      </c>
      <c r="BX452" s="874">
        <f>WWWW[[#This Row],['#_Constructed/Existing water distribution system from river or natural spring]]</f>
        <v>0</v>
      </c>
      <c r="BY452"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52"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52" s="872">
        <f>IF(WWWW[[#This Row],[Location Type 1]]="Village",WWWW[[#This Row],[Access to safe drinking water for Village]],WWWW[[#This Row],[Access to safe drinking water for Camp]])</f>
        <v>0</v>
      </c>
      <c r="CB452" s="870">
        <f>WWWW[[#This Row],[%Equitable and continuous access to sufficient quantity of safe drinking water]]*WWWW[[#This Row],[Total PoP ]]</f>
        <v>0</v>
      </c>
      <c r="CC452" s="872">
        <f>IF((WWWW[[#This Row],['#_Constructed/Existing protected/fenced ponds]]*250)/WWWW[[#This Row],[Total PoP ]]&gt;1,1,(WWWW[[#This Row],['#_Constructed/Existing protected/fenced ponds]]*250)/WWWW[[#This Row],[Total PoP ]])</f>
        <v>0</v>
      </c>
      <c r="CD452" s="870">
        <f>WWWW[[#This Row],[% Access to unimproved water points]]*WWWW[[#This Row],[Total PoP ]]</f>
        <v>0</v>
      </c>
      <c r="CE452"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52"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52" s="870">
        <f>WWWW[[#This Row],[HRP1]]/500</f>
        <v>0</v>
      </c>
      <c r="CH452" s="876">
        <f>1-WWWW[[#This Row],[% Equitable and continuous access to sufficient quantity of domestic water]]</f>
        <v>1</v>
      </c>
      <c r="CI452" s="870">
        <f>WWWW[[#This Row],[%equitable and continuous access to sufficient quantity of safe drinking and domestic water''s GAP]]*WWWW[[#This Row],[Total PoP ]]</f>
        <v>372</v>
      </c>
      <c r="CJ452" s="874">
        <f>IF(WWWW[[#This Row],[Total required water points]]-WWWW[[#This Row],['#Water points coverage]]&lt;0,0,WWWW[[#This Row],[Total required water points]]-WWWW[[#This Row],['#Water points coverage]])</f>
        <v>1</v>
      </c>
      <c r="CK452" s="874">
        <f>ROUND(IF(WWWW[[#This Row],[Total PoP ]]&lt;500,1,WWWW[[#This Row],[Total PoP ]]/500),0)</f>
        <v>1</v>
      </c>
      <c r="CL452" s="874">
        <f>(WWWW[[#This Row],['#_Constructed latrines_by_WASHAgencies]]+WWWW[[#This Row],['#_Non Cluster partner latrines]])-WWWW[[#This Row],['#_Non-functional latrines]]</f>
        <v>0</v>
      </c>
      <c r="CM452"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52"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52"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52" s="874">
        <f>IF(WWWW[[#This Row],[Location Type 1]]="Village","NA",IF(WWWW[[#This Row],['#_Constructed/Existing latrines in TLS]]*50&gt;WWWW[[#This Row],['#_students at TLS_CFS]],WWWW[[#This Row],['#_students at TLS_CFS]],(WWWW[[#This Row],['#_Constructed/Existing latrines in TLS]]*50)))</f>
        <v>0</v>
      </c>
      <c r="CQ452" s="874">
        <f>ROUND(IF(WWWW[[#This Row],[Location Type 1]]="camp",WWWW[[#This Row],[Total PoP ]]/20,IF(WWWW[[#This Row],[Location Type 1]]="Temporary Location",WWWW[[#This Row],[Total PoP ]]/50,(WWWW[[#This Row],[Total PoP ]]/6))),0)</f>
        <v>7</v>
      </c>
      <c r="CR452" s="874">
        <f>IF(WWWW[[#This Row],[Total required Latrines]]-(WWWW[[#This Row],['#_Constructed latrines_by_WASHAgencies]]+WWWW[[#This Row],['#_Non Cluster partner latrines]])&lt;0,0,WWWW[[#This Row],[Total required Latrines]]-(WWWW[[#This Row],['#_Constructed latrines_by_WASHAgencies]]+WWWW[[#This Row],['#_Non Cluster partner latrines]]))</f>
        <v>7</v>
      </c>
      <c r="CS452" s="878">
        <f>1-WWWW[[#This Row],[% people access to functioning Latrine]]</f>
        <v>1</v>
      </c>
      <c r="CT452" s="875">
        <f>IF(OR(WWWW[[#This Row],['#_Non-functional latrines]]="",WWWW[[#This Row],['#_Non-functional latrines]]=0),0,WWWW[[#This Row],['#_Non-functional latrines]]/(WWWW[[#This Row],['#_Constructed latrines_by_WASHAgencies]]+WWWW[[#This Row],['#_Non Cluster partner latrines]]))</f>
        <v>0</v>
      </c>
      <c r="CU452" s="870">
        <f>IF(500*(WWWW[[#This Row],['#_male hygiene promoters]]+WWWW[[#This Row],['#_female hygiene promoters]])&gt;WWWW[[#This Row],[Total PoP ]],WWWW[[#This Row],[Total PoP ]],500*(WWWW[[#This Row],['#_male hygiene promoters]]+WWWW[[#This Row],['#_female hygiene promoters]]))</f>
        <v>0</v>
      </c>
      <c r="CV452"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52"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52" s="874">
        <f>IF(WWWW[[#This Row],['# People with access to soap]]&gt;WWWW[[#This Row],['# People with access to Sanity Pads]],WWWW[[#This Row],['# People with access to soap]],WWWW[[#This Row],['# People with access to Sanity Pads]])</f>
        <v>0</v>
      </c>
      <c r="CY452"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52" s="876">
        <f>IF(WWWW[[#This Row],[HRP3]]/WWWW[[#This Row],[Total PoP ]]&gt;100%,100%,WWWW[[#This Row],[HRP3]]/WWWW[[#This Row],[Total PoP ]])</f>
        <v>0</v>
      </c>
      <c r="DA452" s="875">
        <f>1-WWWW[[#This Row],[Hygiene Coverage%]]</f>
        <v>1</v>
      </c>
      <c r="DB452" s="872">
        <f>WWWW[[#This Row],['# people reached by regular dedicated hygiene promotion_5]]/WWWW[[#This Row],[Total PoP ]]</f>
        <v>0</v>
      </c>
      <c r="DC452" s="872">
        <f>IF(WWWW[[#This Row],['#_households that received standard amount of soap for this quarter]]/WWWW[[#This Row],[Total HH]]&gt;1,1,WWWW[[#This Row],['#_households that received standard amount of soap for this quarter]]/WWWW[[#This Row],[Total HH]])</f>
        <v>0</v>
      </c>
      <c r="DD452" s="872">
        <f>IF(WWWW[[#This Row],['#_households that received standard amount of sanitary pads for this quarter]]/WWWW[[#This Row],[Total HH]]&gt;1,1,WWWW[[#This Row],['#_households that received standard amount of sanitary pads for this quarter]]/WWWW[[#This Row],[Total HH]])</f>
        <v>0</v>
      </c>
      <c r="DE452" s="874">
        <f>WWWW[[#This Row],['#_Constructed/Existing hand washing stations]]-WWWW[[#This Row],['#_Non-Functional_hand_washing_stations]]</f>
        <v>0</v>
      </c>
      <c r="DF452" s="879" t="e">
        <f>WWWW[[#This Row],[Total HH]]*#REF!</f>
        <v>#REF!</v>
      </c>
      <c r="DG452" s="870">
        <f>IF(WWWW[[#This Row],[Is sufficient soap available for TLS? (Yes/No)]]="yes",WWWW[[#This Row],['#_Constructed/Existing hand washing stations at TLS]],0)</f>
        <v>0</v>
      </c>
      <c r="DH452" s="702">
        <f>IF(WWWW[[#This Row],['# Functional hand washing stations during reporting period]]*100&gt;WWWW[[#This Row],[Total PoP ]],WWWW[[#This Row],[Total PoP ]],WWWW[[#This Row],['# Functional hand washing stations during reporting period]]*100)</f>
        <v>0</v>
      </c>
      <c r="DI452" s="702" t="str">
        <f>IF(WWWW[[#This Row],['#_students at TLS_CFS]]="","No","Yes")</f>
        <v>No</v>
      </c>
      <c r="DJ452" s="873">
        <f>VLOOKUP(WWWW[[#This Row],[Site Name]],SiteDB6[[Site Name]:[CCCM Management]],6,FALSE)</f>
        <v>0</v>
      </c>
      <c r="DK452" s="873">
        <f>VLOOKUP(WWWW[[#This Row],[Site Name]],SiteDB6[[Site Name]:[CCCM Focal Agency]],7,FALSE)</f>
        <v>0</v>
      </c>
      <c r="DL452" s="873" t="str">
        <f>VLOOKUP(WWWW[[#This Row],[Site Name]],SiteDB6[[Site Name]:[Location Type 1]],9,FALSE)</f>
        <v>Temporary location</v>
      </c>
      <c r="DM452" s="873" t="str">
        <f>VLOOKUP(WWWW[[#This Row],[Site Name]],SiteDB6[[Site Name]:[Type of Accommodation]],10,FALSE)</f>
        <v>Temporary location</v>
      </c>
      <c r="DN452" s="873">
        <f>VLOOKUP(WWWW[[#This Row],[Site Name]],SiteDB6[[Site Name]:[Ethnic or GCA/NGCA]],11,FALSE)</f>
        <v>0</v>
      </c>
      <c r="DO452" s="873">
        <f>VLOOKUP(WWWW[[#This Row],[Site Name]],SiteDB6[[Site Name]:[Lat]],12,FALSE)</f>
        <v>20.6715202331543</v>
      </c>
      <c r="DP452" s="873">
        <f>VLOOKUP(WWWW[[#This Row],[Site Name]],SiteDB6[[Site Name]:[Long]],13,FALSE)</f>
        <v>92.998092651367202</v>
      </c>
      <c r="DQ452" s="873">
        <f>VLOOKUP(WWWW[[#This Row],[Site Name]],SiteDB6[[Site Name]:[Pcode]],3,FALSE)</f>
        <v>196942</v>
      </c>
      <c r="DR452" s="871" t="str">
        <f t="shared" si="14"/>
        <v>Notcovered</v>
      </c>
      <c r="DS452" s="871"/>
      <c r="DV452" s="661"/>
    </row>
    <row r="453" spans="1:126">
      <c r="A453" s="637" t="s">
        <v>2525</v>
      </c>
      <c r="B453" s="976" t="s">
        <v>317</v>
      </c>
      <c r="C453" s="976" t="s">
        <v>317</v>
      </c>
      <c r="D453" s="864"/>
      <c r="E453" s="865" t="s">
        <v>3014</v>
      </c>
      <c r="F453" s="864" t="s">
        <v>320</v>
      </c>
      <c r="G453" s="866" t="str">
        <f>VLOOKUP(WWWW[[#This Row],[Site Name]],SiteDB6[[Site Name]:[Location Type]],8,FALSE)</f>
        <v>New Temporary Site</v>
      </c>
      <c r="H453" s="864" t="s">
        <v>3201</v>
      </c>
      <c r="I453" s="867">
        <v>97</v>
      </c>
      <c r="J453" s="867">
        <v>281</v>
      </c>
      <c r="K453" s="868"/>
      <c r="L453" s="869"/>
      <c r="M453" s="867"/>
      <c r="N453" s="867"/>
      <c r="O453" s="867"/>
      <c r="P453" s="867"/>
      <c r="Q453" s="870"/>
      <c r="R453" s="867"/>
      <c r="S453" s="867"/>
      <c r="T453" s="379"/>
      <c r="U453" s="867"/>
      <c r="V453" s="867"/>
      <c r="W453" s="867"/>
      <c r="X453" s="867"/>
      <c r="Y453" s="867"/>
      <c r="Z453" s="867"/>
      <c r="AA453" s="867"/>
      <c r="AB453" s="867"/>
      <c r="AC453" s="867"/>
      <c r="AD453" s="867"/>
      <c r="AE453" s="867"/>
      <c r="AF453" s="867"/>
      <c r="AG453" s="867"/>
      <c r="AH453" s="867"/>
      <c r="AI453" s="867"/>
      <c r="AJ453" s="867"/>
      <c r="AK453" s="867"/>
      <c r="AL453" s="867"/>
      <c r="AM453" s="867"/>
      <c r="AN453" s="867"/>
      <c r="AO453" s="871"/>
      <c r="AP453" s="867"/>
      <c r="AQ453" s="867"/>
      <c r="AR453" s="872"/>
      <c r="AS453" s="867"/>
      <c r="AT453" s="867"/>
      <c r="AU453" s="867"/>
      <c r="AV453" s="867"/>
      <c r="AW453" s="867"/>
      <c r="AX453" s="873"/>
      <c r="AY453" s="871"/>
      <c r="AZ453" s="867"/>
      <c r="BA453" s="867"/>
      <c r="BB453" s="867"/>
      <c r="BC453" s="873"/>
      <c r="BD453" s="867"/>
      <c r="BE453" s="867"/>
      <c r="BF453" s="867"/>
      <c r="BG453" s="867"/>
      <c r="BH453" s="867"/>
      <c r="BI453" s="867"/>
      <c r="BJ453" s="867"/>
      <c r="BK453" s="867"/>
      <c r="BL453" s="867"/>
      <c r="BM453" s="873"/>
      <c r="BN453" s="874"/>
      <c r="BO453" s="872"/>
      <c r="BP453" s="873"/>
      <c r="BQ453" s="875" t="str">
        <f>IFERROR(WWWW[[#This Row],['#_Water sources treated]]/WWWW[[#This Row],['#_Water sources tested for contamination]],"no test")</f>
        <v>no test</v>
      </c>
      <c r="BR453" s="872" t="str">
        <f>IFERROR(WWWW[[#This Row],['#_Household received remediation action due to contamination]]/WWWW[[#This Row],['#_Household water samples tested for contamination]],"no test")</f>
        <v>no test</v>
      </c>
      <c r="BS453" s="874" t="str">
        <f>IF(AND(WWWW[[#This Row],[% of water sources treated]]="no test",WWWW[[#This Row],[% Household received corrective actions]]="no test"),"No Test","Tested")</f>
        <v>No Test</v>
      </c>
      <c r="BT453" s="874">
        <f>WWWW[[#This Row],['#_Constructed/existing protected hand dug well]]-WWWW[[#This Row],['#_Non-functional protected hand dug well]]</f>
        <v>0</v>
      </c>
      <c r="BU453" s="874">
        <f>(WWWW[[#This Row],['#_Constructed/Existing tube wells/boreholes/handpumps_WASH_agency]]+WWWW[[#This Row],['#_Non-Cluster partner water tube-wells/boreholes/handpumps]])-WWWW[[#This Row],['#_Non-functional tube wells/boreholes/handpumps]]</f>
        <v>0</v>
      </c>
      <c r="BV453" s="874">
        <f>WWWW[[#This Row],['#_Constructed/Existingwater storage tank with gravity fed reticulation system]]-WWWW[[#This Row],['#_Non-functional storage tank gravity fed reticulation system]]</f>
        <v>0</v>
      </c>
      <c r="BW453" s="874">
        <f>WWWW[[#This Row],['#_Water boating or water trucking]]</f>
        <v>0</v>
      </c>
      <c r="BX453" s="874">
        <f>WWWW[[#This Row],['#_Constructed/Existing water distribution system from river or natural spring]]</f>
        <v>0</v>
      </c>
      <c r="BY453"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53"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53" s="872">
        <f>IF(WWWW[[#This Row],[Location Type 1]]="Village",WWWW[[#This Row],[Access to safe drinking water for Village]],WWWW[[#This Row],[Access to safe drinking water for Camp]])</f>
        <v>0</v>
      </c>
      <c r="CB453" s="870">
        <f>WWWW[[#This Row],[%Equitable and continuous access to sufficient quantity of safe drinking water]]*WWWW[[#This Row],[Total PoP ]]</f>
        <v>0</v>
      </c>
      <c r="CC453" s="872">
        <f>IF((WWWW[[#This Row],['#_Constructed/Existing protected/fenced ponds]]*250)/WWWW[[#This Row],[Total PoP ]]&gt;1,1,(WWWW[[#This Row],['#_Constructed/Existing protected/fenced ponds]]*250)/WWWW[[#This Row],[Total PoP ]])</f>
        <v>0</v>
      </c>
      <c r="CD453" s="870">
        <f>WWWW[[#This Row],[% Access to unimproved water points]]*WWWW[[#This Row],[Total PoP ]]</f>
        <v>0</v>
      </c>
      <c r="CE453"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53"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53" s="870">
        <f>WWWW[[#This Row],[HRP1]]/500</f>
        <v>0</v>
      </c>
      <c r="CH453" s="876">
        <f>1-WWWW[[#This Row],[% Equitable and continuous access to sufficient quantity of domestic water]]</f>
        <v>1</v>
      </c>
      <c r="CI453" s="870">
        <f>WWWW[[#This Row],[%equitable and continuous access to sufficient quantity of safe drinking and domestic water''s GAP]]*WWWW[[#This Row],[Total PoP ]]</f>
        <v>281</v>
      </c>
      <c r="CJ453" s="874">
        <f>IF(WWWW[[#This Row],[Total required water points]]-WWWW[[#This Row],['#Water points coverage]]&lt;0,0,WWWW[[#This Row],[Total required water points]]-WWWW[[#This Row],['#Water points coverage]])</f>
        <v>1</v>
      </c>
      <c r="CK453" s="874">
        <f>ROUND(IF(WWWW[[#This Row],[Total PoP ]]&lt;500,1,WWWW[[#This Row],[Total PoP ]]/500),0)</f>
        <v>1</v>
      </c>
      <c r="CL453" s="874">
        <f>(WWWW[[#This Row],['#_Constructed latrines_by_WASHAgencies]]+WWWW[[#This Row],['#_Non Cluster partner latrines]])-WWWW[[#This Row],['#_Non-functional latrines]]</f>
        <v>0</v>
      </c>
      <c r="CM453"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53"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53"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53" s="874">
        <f>IF(WWWW[[#This Row],[Location Type 1]]="Village","NA",IF(WWWW[[#This Row],['#_Constructed/Existing latrines in TLS]]*50&gt;WWWW[[#This Row],['#_students at TLS_CFS]],WWWW[[#This Row],['#_students at TLS_CFS]],(WWWW[[#This Row],['#_Constructed/Existing latrines in TLS]]*50)))</f>
        <v>0</v>
      </c>
      <c r="CQ453" s="874">
        <f>ROUND(IF(WWWW[[#This Row],[Location Type 1]]="camp",WWWW[[#This Row],[Total PoP ]]/20,IF(WWWW[[#This Row],[Location Type 1]]="Temporary Location",WWWW[[#This Row],[Total PoP ]]/50,(WWWW[[#This Row],[Total PoP ]]/6))),0)</f>
        <v>6</v>
      </c>
      <c r="CR453" s="874">
        <f>IF(WWWW[[#This Row],[Total required Latrines]]-(WWWW[[#This Row],['#_Constructed latrines_by_WASHAgencies]]+WWWW[[#This Row],['#_Non Cluster partner latrines]])&lt;0,0,WWWW[[#This Row],[Total required Latrines]]-(WWWW[[#This Row],['#_Constructed latrines_by_WASHAgencies]]+WWWW[[#This Row],['#_Non Cluster partner latrines]]))</f>
        <v>6</v>
      </c>
      <c r="CS453" s="878">
        <f>1-WWWW[[#This Row],[% people access to functioning Latrine]]</f>
        <v>1</v>
      </c>
      <c r="CT453" s="875">
        <f>IF(OR(WWWW[[#This Row],['#_Non-functional latrines]]="",WWWW[[#This Row],['#_Non-functional latrines]]=0),0,WWWW[[#This Row],['#_Non-functional latrines]]/(WWWW[[#This Row],['#_Constructed latrines_by_WASHAgencies]]+WWWW[[#This Row],['#_Non Cluster partner latrines]]))</f>
        <v>0</v>
      </c>
      <c r="CU453" s="870">
        <f>IF(500*(WWWW[[#This Row],['#_male hygiene promoters]]+WWWW[[#This Row],['#_female hygiene promoters]])&gt;WWWW[[#This Row],[Total PoP ]],WWWW[[#This Row],[Total PoP ]],500*(WWWW[[#This Row],['#_male hygiene promoters]]+WWWW[[#This Row],['#_female hygiene promoters]]))</f>
        <v>0</v>
      </c>
      <c r="CV453"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53"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53" s="874">
        <f>IF(WWWW[[#This Row],['# People with access to soap]]&gt;WWWW[[#This Row],['# People with access to Sanity Pads]],WWWW[[#This Row],['# People with access to soap]],WWWW[[#This Row],['# People with access to Sanity Pads]])</f>
        <v>0</v>
      </c>
      <c r="CY453"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53" s="876">
        <f>IF(WWWW[[#This Row],[HRP3]]/WWWW[[#This Row],[Total PoP ]]&gt;100%,100%,WWWW[[#This Row],[HRP3]]/WWWW[[#This Row],[Total PoP ]])</f>
        <v>0</v>
      </c>
      <c r="DA453" s="875">
        <f>1-WWWW[[#This Row],[Hygiene Coverage%]]</f>
        <v>1</v>
      </c>
      <c r="DB453" s="872">
        <f>WWWW[[#This Row],['# people reached by regular dedicated hygiene promotion_5]]/WWWW[[#This Row],[Total PoP ]]</f>
        <v>0</v>
      </c>
      <c r="DC453" s="872">
        <f>IF(WWWW[[#This Row],['#_households that received standard amount of soap for this quarter]]/WWWW[[#This Row],[Total HH]]&gt;1,1,WWWW[[#This Row],['#_households that received standard amount of soap for this quarter]]/WWWW[[#This Row],[Total HH]])</f>
        <v>0</v>
      </c>
      <c r="DD453" s="872">
        <f>IF(WWWW[[#This Row],['#_households that received standard amount of sanitary pads for this quarter]]/WWWW[[#This Row],[Total HH]]&gt;1,1,WWWW[[#This Row],['#_households that received standard amount of sanitary pads for this quarter]]/WWWW[[#This Row],[Total HH]])</f>
        <v>0</v>
      </c>
      <c r="DE453" s="874">
        <f>WWWW[[#This Row],['#_Constructed/Existing hand washing stations]]-WWWW[[#This Row],['#_Non-Functional_hand_washing_stations]]</f>
        <v>0</v>
      </c>
      <c r="DF453" s="879" t="e">
        <f>WWWW[[#This Row],[Total HH]]*#REF!</f>
        <v>#REF!</v>
      </c>
      <c r="DG453" s="870">
        <f>IF(WWWW[[#This Row],[Is sufficient soap available for TLS? (Yes/No)]]="yes",WWWW[[#This Row],['#_Constructed/Existing hand washing stations at TLS]],0)</f>
        <v>0</v>
      </c>
      <c r="DH453" s="702">
        <f>IF(WWWW[[#This Row],['# Functional hand washing stations during reporting period]]*100&gt;WWWW[[#This Row],[Total PoP ]],WWWW[[#This Row],[Total PoP ]],WWWW[[#This Row],['# Functional hand washing stations during reporting period]]*100)</f>
        <v>0</v>
      </c>
      <c r="DI453" s="702" t="str">
        <f>IF(WWWW[[#This Row],['#_students at TLS_CFS]]="","No","Yes")</f>
        <v>No</v>
      </c>
      <c r="DJ453" s="873">
        <f>VLOOKUP(WWWW[[#This Row],[Site Name]],SiteDB6[[Site Name]:[CCCM Management]],6,FALSE)</f>
        <v>0</v>
      </c>
      <c r="DK453" s="873">
        <f>VLOOKUP(WWWW[[#This Row],[Site Name]],SiteDB6[[Site Name]:[CCCM Focal Agency]],7,FALSE)</f>
        <v>0</v>
      </c>
      <c r="DL453" s="873" t="str">
        <f>VLOOKUP(WWWW[[#This Row],[Site Name]],SiteDB6[[Site Name]:[Location Type 1]],9,FALSE)</f>
        <v>Temporary location</v>
      </c>
      <c r="DM453" s="873" t="str">
        <f>VLOOKUP(WWWW[[#This Row],[Site Name]],SiteDB6[[Site Name]:[Type of Accommodation]],10,FALSE)</f>
        <v>Temporary location</v>
      </c>
      <c r="DN453" s="873">
        <f>VLOOKUP(WWWW[[#This Row],[Site Name]],SiteDB6[[Site Name]:[Ethnic or GCA/NGCA]],11,FALSE)</f>
        <v>0</v>
      </c>
      <c r="DO453" s="873">
        <f>VLOOKUP(WWWW[[#This Row],[Site Name]],SiteDB6[[Site Name]:[Lat]],12,FALSE)</f>
        <v>20.64656067</v>
      </c>
      <c r="DP453" s="873">
        <f>VLOOKUP(WWWW[[#This Row],[Site Name]],SiteDB6[[Site Name]:[Long]],13,FALSE)</f>
        <v>92.976043700000005</v>
      </c>
      <c r="DQ453" s="873">
        <f>VLOOKUP(WWWW[[#This Row],[Site Name]],SiteDB6[[Site Name]:[Pcode]],3,FALSE)</f>
        <v>196937</v>
      </c>
      <c r="DR453" s="871" t="str">
        <f t="shared" si="14"/>
        <v>Notcovered</v>
      </c>
      <c r="DS453" s="871"/>
      <c r="DV453" s="661"/>
    </row>
    <row r="454" spans="1:126">
      <c r="A454" s="637" t="s">
        <v>2525</v>
      </c>
      <c r="B454" s="976" t="s">
        <v>317</v>
      </c>
      <c r="C454" s="976" t="s">
        <v>317</v>
      </c>
      <c r="D454" s="864"/>
      <c r="E454" s="865" t="s">
        <v>3014</v>
      </c>
      <c r="F454" s="864" t="s">
        <v>320</v>
      </c>
      <c r="G454" s="866" t="str">
        <f>VLOOKUP(WWWW[[#This Row],[Site Name]],SiteDB6[[Site Name]:[Location Type]],8,FALSE)</f>
        <v>New Temporary Site</v>
      </c>
      <c r="H454" s="864" t="s">
        <v>3202</v>
      </c>
      <c r="I454" s="867">
        <v>42</v>
      </c>
      <c r="J454" s="867">
        <v>169</v>
      </c>
      <c r="K454" s="868"/>
      <c r="L454" s="869"/>
      <c r="M454" s="867"/>
      <c r="N454" s="867"/>
      <c r="O454" s="867"/>
      <c r="P454" s="867"/>
      <c r="Q454" s="870"/>
      <c r="R454" s="867"/>
      <c r="S454" s="867"/>
      <c r="T454" s="379"/>
      <c r="U454" s="867"/>
      <c r="V454" s="867"/>
      <c r="W454" s="867"/>
      <c r="X454" s="867"/>
      <c r="Y454" s="867"/>
      <c r="Z454" s="867"/>
      <c r="AA454" s="867"/>
      <c r="AB454" s="867"/>
      <c r="AC454" s="867"/>
      <c r="AD454" s="867"/>
      <c r="AE454" s="867"/>
      <c r="AF454" s="867"/>
      <c r="AG454" s="867"/>
      <c r="AH454" s="867"/>
      <c r="AI454" s="867"/>
      <c r="AJ454" s="867"/>
      <c r="AK454" s="867"/>
      <c r="AL454" s="867"/>
      <c r="AM454" s="867"/>
      <c r="AN454" s="867"/>
      <c r="AO454" s="871"/>
      <c r="AP454" s="867"/>
      <c r="AQ454" s="867"/>
      <c r="AR454" s="872"/>
      <c r="AS454" s="867"/>
      <c r="AT454" s="867"/>
      <c r="AU454" s="867"/>
      <c r="AV454" s="867"/>
      <c r="AW454" s="867"/>
      <c r="AX454" s="873"/>
      <c r="AY454" s="871"/>
      <c r="AZ454" s="867"/>
      <c r="BA454" s="867"/>
      <c r="BB454" s="867"/>
      <c r="BC454" s="873"/>
      <c r="BD454" s="867"/>
      <c r="BE454" s="867"/>
      <c r="BF454" s="867"/>
      <c r="BG454" s="867"/>
      <c r="BH454" s="867"/>
      <c r="BI454" s="867"/>
      <c r="BJ454" s="867"/>
      <c r="BK454" s="867"/>
      <c r="BL454" s="867"/>
      <c r="BM454" s="873"/>
      <c r="BN454" s="874"/>
      <c r="BO454" s="872"/>
      <c r="BP454" s="873"/>
      <c r="BQ454" s="875" t="str">
        <f>IFERROR(WWWW[[#This Row],['#_Water sources treated]]/WWWW[[#This Row],['#_Water sources tested for contamination]],"no test")</f>
        <v>no test</v>
      </c>
      <c r="BR454" s="872" t="str">
        <f>IFERROR(WWWW[[#This Row],['#_Household received remediation action due to contamination]]/WWWW[[#This Row],['#_Household water samples tested for contamination]],"no test")</f>
        <v>no test</v>
      </c>
      <c r="BS454" s="874" t="str">
        <f>IF(AND(WWWW[[#This Row],[% of water sources treated]]="no test",WWWW[[#This Row],[% Household received corrective actions]]="no test"),"No Test","Tested")</f>
        <v>No Test</v>
      </c>
      <c r="BT454" s="874">
        <f>WWWW[[#This Row],['#_Constructed/existing protected hand dug well]]-WWWW[[#This Row],['#_Non-functional protected hand dug well]]</f>
        <v>0</v>
      </c>
      <c r="BU454" s="874">
        <f>(WWWW[[#This Row],['#_Constructed/Existing tube wells/boreholes/handpumps_WASH_agency]]+WWWW[[#This Row],['#_Non-Cluster partner water tube-wells/boreholes/handpumps]])-WWWW[[#This Row],['#_Non-functional tube wells/boreholes/handpumps]]</f>
        <v>0</v>
      </c>
      <c r="BV454" s="874">
        <f>WWWW[[#This Row],['#_Constructed/Existingwater storage tank with gravity fed reticulation system]]-WWWW[[#This Row],['#_Non-functional storage tank gravity fed reticulation system]]</f>
        <v>0</v>
      </c>
      <c r="BW454" s="874">
        <f>WWWW[[#This Row],['#_Water boating or water trucking]]</f>
        <v>0</v>
      </c>
      <c r="BX454" s="874">
        <f>WWWW[[#This Row],['#_Constructed/Existing water distribution system from river or natural spring]]</f>
        <v>0</v>
      </c>
      <c r="BY454"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54"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54" s="872">
        <f>IF(WWWW[[#This Row],[Location Type 1]]="Village",WWWW[[#This Row],[Access to safe drinking water for Village]],WWWW[[#This Row],[Access to safe drinking water for Camp]])</f>
        <v>0</v>
      </c>
      <c r="CB454" s="870">
        <f>WWWW[[#This Row],[%Equitable and continuous access to sufficient quantity of safe drinking water]]*WWWW[[#This Row],[Total PoP ]]</f>
        <v>0</v>
      </c>
      <c r="CC454" s="872">
        <f>IF((WWWW[[#This Row],['#_Constructed/Existing protected/fenced ponds]]*250)/WWWW[[#This Row],[Total PoP ]]&gt;1,1,(WWWW[[#This Row],['#_Constructed/Existing protected/fenced ponds]]*250)/WWWW[[#This Row],[Total PoP ]])</f>
        <v>0</v>
      </c>
      <c r="CD454" s="870">
        <f>WWWW[[#This Row],[% Access to unimproved water points]]*WWWW[[#This Row],[Total PoP ]]</f>
        <v>0</v>
      </c>
      <c r="CE454"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54"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54" s="870">
        <f>WWWW[[#This Row],[HRP1]]/500</f>
        <v>0</v>
      </c>
      <c r="CH454" s="876">
        <f>1-WWWW[[#This Row],[% Equitable and continuous access to sufficient quantity of domestic water]]</f>
        <v>1</v>
      </c>
      <c r="CI454" s="870">
        <f>WWWW[[#This Row],[%equitable and continuous access to sufficient quantity of safe drinking and domestic water''s GAP]]*WWWW[[#This Row],[Total PoP ]]</f>
        <v>169</v>
      </c>
      <c r="CJ454" s="874">
        <f>IF(WWWW[[#This Row],[Total required water points]]-WWWW[[#This Row],['#Water points coverage]]&lt;0,0,WWWW[[#This Row],[Total required water points]]-WWWW[[#This Row],['#Water points coverage]])</f>
        <v>1</v>
      </c>
      <c r="CK454" s="874">
        <f>ROUND(IF(WWWW[[#This Row],[Total PoP ]]&lt;500,1,WWWW[[#This Row],[Total PoP ]]/500),0)</f>
        <v>1</v>
      </c>
      <c r="CL454" s="874">
        <f>(WWWW[[#This Row],['#_Constructed latrines_by_WASHAgencies]]+WWWW[[#This Row],['#_Non Cluster partner latrines]])-WWWW[[#This Row],['#_Non-functional latrines]]</f>
        <v>0</v>
      </c>
      <c r="CM454"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54"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54"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54" s="874">
        <f>IF(WWWW[[#This Row],[Location Type 1]]="Village","NA",IF(WWWW[[#This Row],['#_Constructed/Existing latrines in TLS]]*50&gt;WWWW[[#This Row],['#_students at TLS_CFS]],WWWW[[#This Row],['#_students at TLS_CFS]],(WWWW[[#This Row],['#_Constructed/Existing latrines in TLS]]*50)))</f>
        <v>0</v>
      </c>
      <c r="CQ454" s="874">
        <f>ROUND(IF(WWWW[[#This Row],[Location Type 1]]="camp",WWWW[[#This Row],[Total PoP ]]/20,IF(WWWW[[#This Row],[Location Type 1]]="Temporary Location",WWWW[[#This Row],[Total PoP ]]/50,(WWWW[[#This Row],[Total PoP ]]/6))),0)</f>
        <v>3</v>
      </c>
      <c r="CR454" s="874">
        <f>IF(WWWW[[#This Row],[Total required Latrines]]-(WWWW[[#This Row],['#_Constructed latrines_by_WASHAgencies]]+WWWW[[#This Row],['#_Non Cluster partner latrines]])&lt;0,0,WWWW[[#This Row],[Total required Latrines]]-(WWWW[[#This Row],['#_Constructed latrines_by_WASHAgencies]]+WWWW[[#This Row],['#_Non Cluster partner latrines]]))</f>
        <v>3</v>
      </c>
      <c r="CS454" s="878">
        <f>1-WWWW[[#This Row],[% people access to functioning Latrine]]</f>
        <v>1</v>
      </c>
      <c r="CT454" s="875">
        <f>IF(OR(WWWW[[#This Row],['#_Non-functional latrines]]="",WWWW[[#This Row],['#_Non-functional latrines]]=0),0,WWWW[[#This Row],['#_Non-functional latrines]]/(WWWW[[#This Row],['#_Constructed latrines_by_WASHAgencies]]+WWWW[[#This Row],['#_Non Cluster partner latrines]]))</f>
        <v>0</v>
      </c>
      <c r="CU454" s="870">
        <f>IF(500*(WWWW[[#This Row],['#_male hygiene promoters]]+WWWW[[#This Row],['#_female hygiene promoters]])&gt;WWWW[[#This Row],[Total PoP ]],WWWW[[#This Row],[Total PoP ]],500*(WWWW[[#This Row],['#_male hygiene promoters]]+WWWW[[#This Row],['#_female hygiene promoters]]))</f>
        <v>0</v>
      </c>
      <c r="CV454"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54"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54" s="874">
        <f>IF(WWWW[[#This Row],['# People with access to soap]]&gt;WWWW[[#This Row],['# People with access to Sanity Pads]],WWWW[[#This Row],['# People with access to soap]],WWWW[[#This Row],['# People with access to Sanity Pads]])</f>
        <v>0</v>
      </c>
      <c r="CY454"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54" s="876">
        <f>IF(WWWW[[#This Row],[HRP3]]/WWWW[[#This Row],[Total PoP ]]&gt;100%,100%,WWWW[[#This Row],[HRP3]]/WWWW[[#This Row],[Total PoP ]])</f>
        <v>0</v>
      </c>
      <c r="DA454" s="875">
        <f>1-WWWW[[#This Row],[Hygiene Coverage%]]</f>
        <v>1</v>
      </c>
      <c r="DB454" s="872">
        <f>WWWW[[#This Row],['# people reached by regular dedicated hygiene promotion_5]]/WWWW[[#This Row],[Total PoP ]]</f>
        <v>0</v>
      </c>
      <c r="DC454" s="872">
        <f>IF(WWWW[[#This Row],['#_households that received standard amount of soap for this quarter]]/WWWW[[#This Row],[Total HH]]&gt;1,1,WWWW[[#This Row],['#_households that received standard amount of soap for this quarter]]/WWWW[[#This Row],[Total HH]])</f>
        <v>0</v>
      </c>
      <c r="DD454" s="872">
        <f>IF(WWWW[[#This Row],['#_households that received standard amount of sanitary pads for this quarter]]/WWWW[[#This Row],[Total HH]]&gt;1,1,WWWW[[#This Row],['#_households that received standard amount of sanitary pads for this quarter]]/WWWW[[#This Row],[Total HH]])</f>
        <v>0</v>
      </c>
      <c r="DE454" s="874">
        <f>WWWW[[#This Row],['#_Constructed/Existing hand washing stations]]-WWWW[[#This Row],['#_Non-Functional_hand_washing_stations]]</f>
        <v>0</v>
      </c>
      <c r="DF454" s="879" t="e">
        <f>WWWW[[#This Row],[Total HH]]*#REF!</f>
        <v>#REF!</v>
      </c>
      <c r="DG454" s="870">
        <f>IF(WWWW[[#This Row],[Is sufficient soap available for TLS? (Yes/No)]]="yes",WWWW[[#This Row],['#_Constructed/Existing hand washing stations at TLS]],0)</f>
        <v>0</v>
      </c>
      <c r="DH454" s="702">
        <f>IF(WWWW[[#This Row],['# Functional hand washing stations during reporting period]]*100&gt;WWWW[[#This Row],[Total PoP ]],WWWW[[#This Row],[Total PoP ]],WWWW[[#This Row],['# Functional hand washing stations during reporting period]]*100)</f>
        <v>0</v>
      </c>
      <c r="DI454" s="702" t="str">
        <f>IF(WWWW[[#This Row],['#_students at TLS_CFS]]="","No","Yes")</f>
        <v>No</v>
      </c>
      <c r="DJ454" s="873">
        <f>VLOOKUP(WWWW[[#This Row],[Site Name]],SiteDB6[[Site Name]:[CCCM Management]],6,FALSE)</f>
        <v>0</v>
      </c>
      <c r="DK454" s="873">
        <f>VLOOKUP(WWWW[[#This Row],[Site Name]],SiteDB6[[Site Name]:[CCCM Focal Agency]],7,FALSE)</f>
        <v>0</v>
      </c>
      <c r="DL454" s="873" t="str">
        <f>VLOOKUP(WWWW[[#This Row],[Site Name]],SiteDB6[[Site Name]:[Location Type 1]],9,FALSE)</f>
        <v>Temporary location</v>
      </c>
      <c r="DM454" s="873" t="str">
        <f>VLOOKUP(WWWW[[#This Row],[Site Name]],SiteDB6[[Site Name]:[Type of Accommodation]],10,FALSE)</f>
        <v>Temporary location</v>
      </c>
      <c r="DN454" s="873">
        <f>VLOOKUP(WWWW[[#This Row],[Site Name]],SiteDB6[[Site Name]:[Ethnic or GCA/NGCA]],11,FALSE)</f>
        <v>0</v>
      </c>
      <c r="DO454" s="873">
        <f>VLOOKUP(WWWW[[#This Row],[Site Name]],SiteDB6[[Site Name]:[Lat]],12,FALSE)</f>
        <v>20.6563606262207</v>
      </c>
      <c r="DP454" s="873">
        <f>VLOOKUP(WWWW[[#This Row],[Site Name]],SiteDB6[[Site Name]:[Long]],13,FALSE)</f>
        <v>92.998542785644503</v>
      </c>
      <c r="DQ454" s="873">
        <f>VLOOKUP(WWWW[[#This Row],[Site Name]],SiteDB6[[Site Name]:[Pcode]],3,FALSE)</f>
        <v>196940</v>
      </c>
      <c r="DR454" s="871" t="str">
        <f t="shared" si="14"/>
        <v>Notcovered</v>
      </c>
      <c r="DS454" s="871"/>
      <c r="DV454" s="661"/>
    </row>
    <row r="455" spans="1:126">
      <c r="A455" s="637" t="s">
        <v>2525</v>
      </c>
      <c r="B455" s="976" t="s">
        <v>317</v>
      </c>
      <c r="C455" s="976" t="s">
        <v>317</v>
      </c>
      <c r="D455" s="864"/>
      <c r="E455" s="865" t="s">
        <v>3014</v>
      </c>
      <c r="F455" s="864" t="s">
        <v>320</v>
      </c>
      <c r="G455" s="866" t="str">
        <f>VLOOKUP(WWWW[[#This Row],[Site Name]],SiteDB6[[Site Name]:[Location Type]],8,FALSE)</f>
        <v>New Temporary Site</v>
      </c>
      <c r="H455" s="864" t="s">
        <v>3203</v>
      </c>
      <c r="I455" s="867">
        <v>4</v>
      </c>
      <c r="J455" s="867">
        <v>20</v>
      </c>
      <c r="K455" s="868"/>
      <c r="L455" s="869"/>
      <c r="M455" s="867"/>
      <c r="N455" s="867"/>
      <c r="O455" s="867"/>
      <c r="P455" s="867"/>
      <c r="Q455" s="870"/>
      <c r="R455" s="867"/>
      <c r="S455" s="867"/>
      <c r="T455" s="379"/>
      <c r="U455" s="867"/>
      <c r="V455" s="867"/>
      <c r="W455" s="867"/>
      <c r="X455" s="867"/>
      <c r="Y455" s="867"/>
      <c r="Z455" s="867"/>
      <c r="AA455" s="867"/>
      <c r="AB455" s="867"/>
      <c r="AC455" s="867"/>
      <c r="AD455" s="867"/>
      <c r="AE455" s="867"/>
      <c r="AF455" s="867"/>
      <c r="AG455" s="867"/>
      <c r="AH455" s="867"/>
      <c r="AI455" s="867"/>
      <c r="AJ455" s="867"/>
      <c r="AK455" s="867"/>
      <c r="AL455" s="867"/>
      <c r="AM455" s="867"/>
      <c r="AN455" s="867"/>
      <c r="AO455" s="871"/>
      <c r="AP455" s="867"/>
      <c r="AQ455" s="867"/>
      <c r="AR455" s="872"/>
      <c r="AS455" s="867"/>
      <c r="AT455" s="867"/>
      <c r="AU455" s="867"/>
      <c r="AV455" s="867"/>
      <c r="AW455" s="867"/>
      <c r="AX455" s="873"/>
      <c r="AY455" s="871"/>
      <c r="AZ455" s="867"/>
      <c r="BA455" s="867"/>
      <c r="BB455" s="867"/>
      <c r="BC455" s="873"/>
      <c r="BD455" s="867"/>
      <c r="BE455" s="867"/>
      <c r="BF455" s="867"/>
      <c r="BG455" s="867"/>
      <c r="BH455" s="867"/>
      <c r="BI455" s="867"/>
      <c r="BJ455" s="867"/>
      <c r="BK455" s="867"/>
      <c r="BL455" s="867"/>
      <c r="BM455" s="873"/>
      <c r="BN455" s="874"/>
      <c r="BO455" s="872"/>
      <c r="BP455" s="873"/>
      <c r="BQ455" s="875" t="str">
        <f>IFERROR(WWWW[[#This Row],['#_Water sources treated]]/WWWW[[#This Row],['#_Water sources tested for contamination]],"no test")</f>
        <v>no test</v>
      </c>
      <c r="BR455" s="872" t="str">
        <f>IFERROR(WWWW[[#This Row],['#_Household received remediation action due to contamination]]/WWWW[[#This Row],['#_Household water samples tested for contamination]],"no test")</f>
        <v>no test</v>
      </c>
      <c r="BS455" s="874" t="str">
        <f>IF(AND(WWWW[[#This Row],[% of water sources treated]]="no test",WWWW[[#This Row],[% Household received corrective actions]]="no test"),"No Test","Tested")</f>
        <v>No Test</v>
      </c>
      <c r="BT455" s="874">
        <f>WWWW[[#This Row],['#_Constructed/existing protected hand dug well]]-WWWW[[#This Row],['#_Non-functional protected hand dug well]]</f>
        <v>0</v>
      </c>
      <c r="BU455" s="874">
        <f>(WWWW[[#This Row],['#_Constructed/Existing tube wells/boreholes/handpumps_WASH_agency]]+WWWW[[#This Row],['#_Non-Cluster partner water tube-wells/boreholes/handpumps]])-WWWW[[#This Row],['#_Non-functional tube wells/boreholes/handpumps]]</f>
        <v>0</v>
      </c>
      <c r="BV455" s="874">
        <f>WWWW[[#This Row],['#_Constructed/Existingwater storage tank with gravity fed reticulation system]]-WWWW[[#This Row],['#_Non-functional storage tank gravity fed reticulation system]]</f>
        <v>0</v>
      </c>
      <c r="BW455" s="874">
        <f>WWWW[[#This Row],['#_Water boating or water trucking]]</f>
        <v>0</v>
      </c>
      <c r="BX455" s="874">
        <f>WWWW[[#This Row],['#_Constructed/Existing water distribution system from river or natural spring]]</f>
        <v>0</v>
      </c>
      <c r="BY455"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55"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55" s="872">
        <f>IF(WWWW[[#This Row],[Location Type 1]]="Village",WWWW[[#This Row],[Access to safe drinking water for Village]],WWWW[[#This Row],[Access to safe drinking water for Camp]])</f>
        <v>0</v>
      </c>
      <c r="CB455" s="870">
        <f>WWWW[[#This Row],[%Equitable and continuous access to sufficient quantity of safe drinking water]]*WWWW[[#This Row],[Total PoP ]]</f>
        <v>0</v>
      </c>
      <c r="CC455" s="872">
        <f>IF((WWWW[[#This Row],['#_Constructed/Existing protected/fenced ponds]]*250)/WWWW[[#This Row],[Total PoP ]]&gt;1,1,(WWWW[[#This Row],['#_Constructed/Existing protected/fenced ponds]]*250)/WWWW[[#This Row],[Total PoP ]])</f>
        <v>0</v>
      </c>
      <c r="CD455" s="870">
        <f>WWWW[[#This Row],[% Access to unimproved water points]]*WWWW[[#This Row],[Total PoP ]]</f>
        <v>0</v>
      </c>
      <c r="CE455"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55"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55" s="870">
        <f>WWWW[[#This Row],[HRP1]]/500</f>
        <v>0</v>
      </c>
      <c r="CH455" s="876">
        <f>1-WWWW[[#This Row],[% Equitable and continuous access to sufficient quantity of domestic water]]</f>
        <v>1</v>
      </c>
      <c r="CI455" s="870">
        <f>WWWW[[#This Row],[%equitable and continuous access to sufficient quantity of safe drinking and domestic water''s GAP]]*WWWW[[#This Row],[Total PoP ]]</f>
        <v>20</v>
      </c>
      <c r="CJ455" s="874">
        <f>IF(WWWW[[#This Row],[Total required water points]]-WWWW[[#This Row],['#Water points coverage]]&lt;0,0,WWWW[[#This Row],[Total required water points]]-WWWW[[#This Row],['#Water points coverage]])</f>
        <v>1</v>
      </c>
      <c r="CK455" s="874">
        <f>ROUND(IF(WWWW[[#This Row],[Total PoP ]]&lt;500,1,WWWW[[#This Row],[Total PoP ]]/500),0)</f>
        <v>1</v>
      </c>
      <c r="CL455" s="874">
        <f>(WWWW[[#This Row],['#_Constructed latrines_by_WASHAgencies]]+WWWW[[#This Row],['#_Non Cluster partner latrines]])-WWWW[[#This Row],['#_Non-functional latrines]]</f>
        <v>0</v>
      </c>
      <c r="CM455"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55"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55"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55" s="874">
        <f>IF(WWWW[[#This Row],[Location Type 1]]="Village","NA",IF(WWWW[[#This Row],['#_Constructed/Existing latrines in TLS]]*50&gt;WWWW[[#This Row],['#_students at TLS_CFS]],WWWW[[#This Row],['#_students at TLS_CFS]],(WWWW[[#This Row],['#_Constructed/Existing latrines in TLS]]*50)))</f>
        <v>0</v>
      </c>
      <c r="CQ455" s="874">
        <f>ROUND(IF(WWWW[[#This Row],[Location Type 1]]="camp",WWWW[[#This Row],[Total PoP ]]/20,IF(WWWW[[#This Row],[Location Type 1]]="Temporary Location",WWWW[[#This Row],[Total PoP ]]/50,(WWWW[[#This Row],[Total PoP ]]/6))),0)</f>
        <v>0</v>
      </c>
      <c r="CR455" s="874">
        <f>IF(WWWW[[#This Row],[Total required Latrines]]-(WWWW[[#This Row],['#_Constructed latrines_by_WASHAgencies]]+WWWW[[#This Row],['#_Non Cluster partner latrines]])&lt;0,0,WWWW[[#This Row],[Total required Latrines]]-(WWWW[[#This Row],['#_Constructed latrines_by_WASHAgencies]]+WWWW[[#This Row],['#_Non Cluster partner latrines]]))</f>
        <v>0</v>
      </c>
      <c r="CS455" s="878">
        <f>1-WWWW[[#This Row],[% people access to functioning Latrine]]</f>
        <v>1</v>
      </c>
      <c r="CT455" s="875">
        <f>IF(OR(WWWW[[#This Row],['#_Non-functional latrines]]="",WWWW[[#This Row],['#_Non-functional latrines]]=0),0,WWWW[[#This Row],['#_Non-functional latrines]]/(WWWW[[#This Row],['#_Constructed latrines_by_WASHAgencies]]+WWWW[[#This Row],['#_Non Cluster partner latrines]]))</f>
        <v>0</v>
      </c>
      <c r="CU455" s="870">
        <f>IF(500*(WWWW[[#This Row],['#_male hygiene promoters]]+WWWW[[#This Row],['#_female hygiene promoters]])&gt;WWWW[[#This Row],[Total PoP ]],WWWW[[#This Row],[Total PoP ]],500*(WWWW[[#This Row],['#_male hygiene promoters]]+WWWW[[#This Row],['#_female hygiene promoters]]))</f>
        <v>0</v>
      </c>
      <c r="CV455"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55"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55" s="874">
        <f>IF(WWWW[[#This Row],['# People with access to soap]]&gt;WWWW[[#This Row],['# People with access to Sanity Pads]],WWWW[[#This Row],['# People with access to soap]],WWWW[[#This Row],['# People with access to Sanity Pads]])</f>
        <v>0</v>
      </c>
      <c r="CY455"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55" s="876">
        <f>IF(WWWW[[#This Row],[HRP3]]/WWWW[[#This Row],[Total PoP ]]&gt;100%,100%,WWWW[[#This Row],[HRP3]]/WWWW[[#This Row],[Total PoP ]])</f>
        <v>0</v>
      </c>
      <c r="DA455" s="875">
        <f>1-WWWW[[#This Row],[Hygiene Coverage%]]</f>
        <v>1</v>
      </c>
      <c r="DB455" s="872">
        <f>WWWW[[#This Row],['# people reached by regular dedicated hygiene promotion_5]]/WWWW[[#This Row],[Total PoP ]]</f>
        <v>0</v>
      </c>
      <c r="DC455" s="872">
        <f>IF(WWWW[[#This Row],['#_households that received standard amount of soap for this quarter]]/WWWW[[#This Row],[Total HH]]&gt;1,1,WWWW[[#This Row],['#_households that received standard amount of soap for this quarter]]/WWWW[[#This Row],[Total HH]])</f>
        <v>0</v>
      </c>
      <c r="DD455" s="872">
        <f>IF(WWWW[[#This Row],['#_households that received standard amount of sanitary pads for this quarter]]/WWWW[[#This Row],[Total HH]]&gt;1,1,WWWW[[#This Row],['#_households that received standard amount of sanitary pads for this quarter]]/WWWW[[#This Row],[Total HH]])</f>
        <v>0</v>
      </c>
      <c r="DE455" s="874">
        <f>WWWW[[#This Row],['#_Constructed/Existing hand washing stations]]-WWWW[[#This Row],['#_Non-Functional_hand_washing_stations]]</f>
        <v>0</v>
      </c>
      <c r="DF455" s="879" t="e">
        <f>WWWW[[#This Row],[Total HH]]*#REF!</f>
        <v>#REF!</v>
      </c>
      <c r="DG455" s="870">
        <f>IF(WWWW[[#This Row],[Is sufficient soap available for TLS? (Yes/No)]]="yes",WWWW[[#This Row],['#_Constructed/Existing hand washing stations at TLS]],0)</f>
        <v>0</v>
      </c>
      <c r="DH455" s="702">
        <f>IF(WWWW[[#This Row],['# Functional hand washing stations during reporting period]]*100&gt;WWWW[[#This Row],[Total PoP ]],WWWW[[#This Row],[Total PoP ]],WWWW[[#This Row],['# Functional hand washing stations during reporting period]]*100)</f>
        <v>0</v>
      </c>
      <c r="DI455" s="702" t="str">
        <f>IF(WWWW[[#This Row],['#_students at TLS_CFS]]="","No","Yes")</f>
        <v>No</v>
      </c>
      <c r="DJ455" s="873">
        <f>VLOOKUP(WWWW[[#This Row],[Site Name]],SiteDB6[[Site Name]:[CCCM Management]],6,FALSE)</f>
        <v>0</v>
      </c>
      <c r="DK455" s="873">
        <f>VLOOKUP(WWWW[[#This Row],[Site Name]],SiteDB6[[Site Name]:[CCCM Focal Agency]],7,FALSE)</f>
        <v>0</v>
      </c>
      <c r="DL455" s="873" t="str">
        <f>VLOOKUP(WWWW[[#This Row],[Site Name]],SiteDB6[[Site Name]:[Location Type 1]],9,FALSE)</f>
        <v>Temporary location</v>
      </c>
      <c r="DM455" s="873" t="str">
        <f>VLOOKUP(WWWW[[#This Row],[Site Name]],SiteDB6[[Site Name]:[Type of Accommodation]],10,FALSE)</f>
        <v>Temporary location</v>
      </c>
      <c r="DN455" s="873">
        <f>VLOOKUP(WWWW[[#This Row],[Site Name]],SiteDB6[[Site Name]:[Ethnic or GCA/NGCA]],11,FALSE)</f>
        <v>0</v>
      </c>
      <c r="DO455" s="873">
        <f>VLOOKUP(WWWW[[#This Row],[Site Name]],SiteDB6[[Site Name]:[Lat]],12,FALSE)</f>
        <v>20.8122158050537</v>
      </c>
      <c r="DP455" s="873">
        <f>VLOOKUP(WWWW[[#This Row],[Site Name]],SiteDB6[[Site Name]:[Long]],13,FALSE)</f>
        <v>93.061012268066406</v>
      </c>
      <c r="DQ455" s="873">
        <f>VLOOKUP(WWWW[[#This Row],[Site Name]],SiteDB6[[Site Name]:[Pcode]],3,FALSE)</f>
        <v>196865</v>
      </c>
      <c r="DR455" s="871" t="str">
        <f t="shared" si="14"/>
        <v>Notcovered</v>
      </c>
      <c r="DS455" s="871"/>
      <c r="DV455" s="661"/>
    </row>
    <row r="456" spans="1:126">
      <c r="A456" s="637" t="s">
        <v>2525</v>
      </c>
      <c r="B456" s="976" t="s">
        <v>317</v>
      </c>
      <c r="C456" s="976" t="s">
        <v>317</v>
      </c>
      <c r="D456" s="864"/>
      <c r="E456" s="865" t="s">
        <v>3014</v>
      </c>
      <c r="F456" s="864" t="s">
        <v>320</v>
      </c>
      <c r="G456" s="866" t="str">
        <f>VLOOKUP(WWWW[[#This Row],[Site Name]],SiteDB6[[Site Name]:[Location Type]],8,FALSE)</f>
        <v>New Temporary Site</v>
      </c>
      <c r="H456" s="864" t="s">
        <v>3204</v>
      </c>
      <c r="I456" s="867">
        <v>22</v>
      </c>
      <c r="J456" s="867">
        <v>100</v>
      </c>
      <c r="K456" s="868"/>
      <c r="L456" s="869"/>
      <c r="M456" s="867"/>
      <c r="N456" s="867"/>
      <c r="O456" s="867"/>
      <c r="P456" s="867"/>
      <c r="Q456" s="870"/>
      <c r="R456" s="867"/>
      <c r="S456" s="867"/>
      <c r="T456" s="379"/>
      <c r="U456" s="867"/>
      <c r="V456" s="867"/>
      <c r="W456" s="867"/>
      <c r="X456" s="867"/>
      <c r="Y456" s="867"/>
      <c r="Z456" s="867"/>
      <c r="AA456" s="867"/>
      <c r="AB456" s="867"/>
      <c r="AC456" s="867"/>
      <c r="AD456" s="867"/>
      <c r="AE456" s="867"/>
      <c r="AF456" s="867"/>
      <c r="AG456" s="867"/>
      <c r="AH456" s="867"/>
      <c r="AI456" s="867"/>
      <c r="AJ456" s="867"/>
      <c r="AK456" s="867"/>
      <c r="AL456" s="867"/>
      <c r="AM456" s="867"/>
      <c r="AN456" s="867"/>
      <c r="AO456" s="871"/>
      <c r="AP456" s="867"/>
      <c r="AQ456" s="867"/>
      <c r="AR456" s="872"/>
      <c r="AS456" s="867"/>
      <c r="AT456" s="867"/>
      <c r="AU456" s="867"/>
      <c r="AV456" s="867"/>
      <c r="AW456" s="867"/>
      <c r="AX456" s="873"/>
      <c r="AY456" s="871"/>
      <c r="AZ456" s="867"/>
      <c r="BA456" s="867"/>
      <c r="BB456" s="867"/>
      <c r="BC456" s="873"/>
      <c r="BD456" s="867"/>
      <c r="BE456" s="867"/>
      <c r="BF456" s="867"/>
      <c r="BG456" s="867"/>
      <c r="BH456" s="867"/>
      <c r="BI456" s="867"/>
      <c r="BJ456" s="867"/>
      <c r="BK456" s="867"/>
      <c r="BL456" s="867"/>
      <c r="BM456" s="873"/>
      <c r="BN456" s="874"/>
      <c r="BO456" s="872"/>
      <c r="BP456" s="873"/>
      <c r="BQ456" s="875" t="str">
        <f>IFERROR(WWWW[[#This Row],['#_Water sources treated]]/WWWW[[#This Row],['#_Water sources tested for contamination]],"no test")</f>
        <v>no test</v>
      </c>
      <c r="BR456" s="872" t="str">
        <f>IFERROR(WWWW[[#This Row],['#_Household received remediation action due to contamination]]/WWWW[[#This Row],['#_Household water samples tested for contamination]],"no test")</f>
        <v>no test</v>
      </c>
      <c r="BS456" s="874" t="str">
        <f>IF(AND(WWWW[[#This Row],[% of water sources treated]]="no test",WWWW[[#This Row],[% Household received corrective actions]]="no test"),"No Test","Tested")</f>
        <v>No Test</v>
      </c>
      <c r="BT456" s="874">
        <f>WWWW[[#This Row],['#_Constructed/existing protected hand dug well]]-WWWW[[#This Row],['#_Non-functional protected hand dug well]]</f>
        <v>0</v>
      </c>
      <c r="BU456" s="874">
        <f>(WWWW[[#This Row],['#_Constructed/Existing tube wells/boreholes/handpumps_WASH_agency]]+WWWW[[#This Row],['#_Non-Cluster partner water tube-wells/boreholes/handpumps]])-WWWW[[#This Row],['#_Non-functional tube wells/boreholes/handpumps]]</f>
        <v>0</v>
      </c>
      <c r="BV456" s="874">
        <f>WWWW[[#This Row],['#_Constructed/Existingwater storage tank with gravity fed reticulation system]]-WWWW[[#This Row],['#_Non-functional storage tank gravity fed reticulation system]]</f>
        <v>0</v>
      </c>
      <c r="BW456" s="874">
        <f>WWWW[[#This Row],['#_Water boating or water trucking]]</f>
        <v>0</v>
      </c>
      <c r="BX456" s="874">
        <f>WWWW[[#This Row],['#_Constructed/Existing water distribution system from river or natural spring]]</f>
        <v>0</v>
      </c>
      <c r="BY456"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56"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56" s="872">
        <f>IF(WWWW[[#This Row],[Location Type 1]]="Village",WWWW[[#This Row],[Access to safe drinking water for Village]],WWWW[[#This Row],[Access to safe drinking water for Camp]])</f>
        <v>0</v>
      </c>
      <c r="CB456" s="870">
        <f>WWWW[[#This Row],[%Equitable and continuous access to sufficient quantity of safe drinking water]]*WWWW[[#This Row],[Total PoP ]]</f>
        <v>0</v>
      </c>
      <c r="CC456" s="872">
        <f>IF((WWWW[[#This Row],['#_Constructed/Existing protected/fenced ponds]]*250)/WWWW[[#This Row],[Total PoP ]]&gt;1,1,(WWWW[[#This Row],['#_Constructed/Existing protected/fenced ponds]]*250)/WWWW[[#This Row],[Total PoP ]])</f>
        <v>0</v>
      </c>
      <c r="CD456" s="870">
        <f>WWWW[[#This Row],[% Access to unimproved water points]]*WWWW[[#This Row],[Total PoP ]]</f>
        <v>0</v>
      </c>
      <c r="CE456"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56"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56" s="870">
        <f>WWWW[[#This Row],[HRP1]]/500</f>
        <v>0</v>
      </c>
      <c r="CH456" s="876">
        <f>1-WWWW[[#This Row],[% Equitable and continuous access to sufficient quantity of domestic water]]</f>
        <v>1</v>
      </c>
      <c r="CI456" s="870">
        <f>WWWW[[#This Row],[%equitable and continuous access to sufficient quantity of safe drinking and domestic water''s GAP]]*WWWW[[#This Row],[Total PoP ]]</f>
        <v>100</v>
      </c>
      <c r="CJ456" s="874">
        <f>IF(WWWW[[#This Row],[Total required water points]]-WWWW[[#This Row],['#Water points coverage]]&lt;0,0,WWWW[[#This Row],[Total required water points]]-WWWW[[#This Row],['#Water points coverage]])</f>
        <v>1</v>
      </c>
      <c r="CK456" s="874">
        <f>ROUND(IF(WWWW[[#This Row],[Total PoP ]]&lt;500,1,WWWW[[#This Row],[Total PoP ]]/500),0)</f>
        <v>1</v>
      </c>
      <c r="CL456" s="874">
        <f>(WWWW[[#This Row],['#_Constructed latrines_by_WASHAgencies]]+WWWW[[#This Row],['#_Non Cluster partner latrines]])-WWWW[[#This Row],['#_Non-functional latrines]]</f>
        <v>0</v>
      </c>
      <c r="CM456"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56"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56"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56" s="874">
        <f>IF(WWWW[[#This Row],[Location Type 1]]="Village","NA",IF(WWWW[[#This Row],['#_Constructed/Existing latrines in TLS]]*50&gt;WWWW[[#This Row],['#_students at TLS_CFS]],WWWW[[#This Row],['#_students at TLS_CFS]],(WWWW[[#This Row],['#_Constructed/Existing latrines in TLS]]*50)))</f>
        <v>0</v>
      </c>
      <c r="CQ456" s="874">
        <f>ROUND(IF(WWWW[[#This Row],[Location Type 1]]="camp",WWWW[[#This Row],[Total PoP ]]/20,IF(WWWW[[#This Row],[Location Type 1]]="Temporary Location",WWWW[[#This Row],[Total PoP ]]/50,(WWWW[[#This Row],[Total PoP ]]/6))),0)</f>
        <v>2</v>
      </c>
      <c r="CR456" s="874">
        <f>IF(WWWW[[#This Row],[Total required Latrines]]-(WWWW[[#This Row],['#_Constructed latrines_by_WASHAgencies]]+WWWW[[#This Row],['#_Non Cluster partner latrines]])&lt;0,0,WWWW[[#This Row],[Total required Latrines]]-(WWWW[[#This Row],['#_Constructed latrines_by_WASHAgencies]]+WWWW[[#This Row],['#_Non Cluster partner latrines]]))</f>
        <v>2</v>
      </c>
      <c r="CS456" s="878">
        <f>1-WWWW[[#This Row],[% people access to functioning Latrine]]</f>
        <v>1</v>
      </c>
      <c r="CT456" s="875">
        <f>IF(OR(WWWW[[#This Row],['#_Non-functional latrines]]="",WWWW[[#This Row],['#_Non-functional latrines]]=0),0,WWWW[[#This Row],['#_Non-functional latrines]]/(WWWW[[#This Row],['#_Constructed latrines_by_WASHAgencies]]+WWWW[[#This Row],['#_Non Cluster partner latrines]]))</f>
        <v>0</v>
      </c>
      <c r="CU456" s="870">
        <f>IF(500*(WWWW[[#This Row],['#_male hygiene promoters]]+WWWW[[#This Row],['#_female hygiene promoters]])&gt;WWWW[[#This Row],[Total PoP ]],WWWW[[#This Row],[Total PoP ]],500*(WWWW[[#This Row],['#_male hygiene promoters]]+WWWW[[#This Row],['#_female hygiene promoters]]))</f>
        <v>0</v>
      </c>
      <c r="CV456"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56"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56" s="874">
        <f>IF(WWWW[[#This Row],['# People with access to soap]]&gt;WWWW[[#This Row],['# People with access to Sanity Pads]],WWWW[[#This Row],['# People with access to soap]],WWWW[[#This Row],['# People with access to Sanity Pads]])</f>
        <v>0</v>
      </c>
      <c r="CY456"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56" s="876">
        <f>IF(WWWW[[#This Row],[HRP3]]/WWWW[[#This Row],[Total PoP ]]&gt;100%,100%,WWWW[[#This Row],[HRP3]]/WWWW[[#This Row],[Total PoP ]])</f>
        <v>0</v>
      </c>
      <c r="DA456" s="875">
        <f>1-WWWW[[#This Row],[Hygiene Coverage%]]</f>
        <v>1</v>
      </c>
      <c r="DB456" s="872">
        <f>WWWW[[#This Row],['# people reached by regular dedicated hygiene promotion_5]]/WWWW[[#This Row],[Total PoP ]]</f>
        <v>0</v>
      </c>
      <c r="DC456" s="872">
        <f>IF(WWWW[[#This Row],['#_households that received standard amount of soap for this quarter]]/WWWW[[#This Row],[Total HH]]&gt;1,1,WWWW[[#This Row],['#_households that received standard amount of soap for this quarter]]/WWWW[[#This Row],[Total HH]])</f>
        <v>0</v>
      </c>
      <c r="DD456" s="872">
        <f>IF(WWWW[[#This Row],['#_households that received standard amount of sanitary pads for this quarter]]/WWWW[[#This Row],[Total HH]]&gt;1,1,WWWW[[#This Row],['#_households that received standard amount of sanitary pads for this quarter]]/WWWW[[#This Row],[Total HH]])</f>
        <v>0</v>
      </c>
      <c r="DE456" s="874">
        <f>WWWW[[#This Row],['#_Constructed/Existing hand washing stations]]-WWWW[[#This Row],['#_Non-Functional_hand_washing_stations]]</f>
        <v>0</v>
      </c>
      <c r="DF456" s="879" t="e">
        <f>WWWW[[#This Row],[Total HH]]*#REF!</f>
        <v>#REF!</v>
      </c>
      <c r="DG456" s="870">
        <f>IF(WWWW[[#This Row],[Is sufficient soap available for TLS? (Yes/No)]]="yes",WWWW[[#This Row],['#_Constructed/Existing hand washing stations at TLS]],0)</f>
        <v>0</v>
      </c>
      <c r="DH456" s="702">
        <f>IF(WWWW[[#This Row],['# Functional hand washing stations during reporting period]]*100&gt;WWWW[[#This Row],[Total PoP ]],WWWW[[#This Row],[Total PoP ]],WWWW[[#This Row],['# Functional hand washing stations during reporting period]]*100)</f>
        <v>0</v>
      </c>
      <c r="DI456" s="702" t="str">
        <f>IF(WWWW[[#This Row],['#_students at TLS_CFS]]="","No","Yes")</f>
        <v>No</v>
      </c>
      <c r="DJ456" s="873">
        <f>VLOOKUP(WWWW[[#This Row],[Site Name]],SiteDB6[[Site Name]:[CCCM Management]],6,FALSE)</f>
        <v>0</v>
      </c>
      <c r="DK456" s="873">
        <f>VLOOKUP(WWWW[[#This Row],[Site Name]],SiteDB6[[Site Name]:[CCCM Focal Agency]],7,FALSE)</f>
        <v>0</v>
      </c>
      <c r="DL456" s="873" t="str">
        <f>VLOOKUP(WWWW[[#This Row],[Site Name]],SiteDB6[[Site Name]:[Location Type 1]],9,FALSE)</f>
        <v>Temporary location</v>
      </c>
      <c r="DM456" s="873" t="str">
        <f>VLOOKUP(WWWW[[#This Row],[Site Name]],SiteDB6[[Site Name]:[Type of Accommodation]],10,FALSE)</f>
        <v>Temporary location</v>
      </c>
      <c r="DN456" s="873">
        <f>VLOOKUP(WWWW[[#This Row],[Site Name]],SiteDB6[[Site Name]:[Ethnic or GCA/NGCA]],11,FALSE)</f>
        <v>0</v>
      </c>
      <c r="DO456" s="873">
        <f>VLOOKUP(WWWW[[#This Row],[Site Name]],SiteDB6[[Site Name]:[Lat]],12,FALSE)</f>
        <v>20.656810760498001</v>
      </c>
      <c r="DP456" s="873">
        <f>VLOOKUP(WWWW[[#This Row],[Site Name]],SiteDB6[[Site Name]:[Long]],13,FALSE)</f>
        <v>93.029953002929702</v>
      </c>
      <c r="DQ456" s="873">
        <f>VLOOKUP(WWWW[[#This Row],[Site Name]],SiteDB6[[Site Name]:[Pcode]],3,FALSE)</f>
        <v>196981</v>
      </c>
      <c r="DR456" s="871" t="str">
        <f t="shared" si="14"/>
        <v>Notcovered</v>
      </c>
      <c r="DS456" s="871"/>
      <c r="DV456" s="661"/>
    </row>
    <row r="457" spans="1:126">
      <c r="A457" s="637" t="s">
        <v>2525</v>
      </c>
      <c r="B457" s="976" t="s">
        <v>317</v>
      </c>
      <c r="C457" s="976" t="s">
        <v>317</v>
      </c>
      <c r="D457" s="864"/>
      <c r="E457" s="865" t="s">
        <v>3013</v>
      </c>
      <c r="F457" s="864" t="s">
        <v>337</v>
      </c>
      <c r="G457" s="866" t="s">
        <v>3028</v>
      </c>
      <c r="H457" s="864" t="s">
        <v>3243</v>
      </c>
      <c r="I457" s="867">
        <v>25</v>
      </c>
      <c r="J457" s="867">
        <v>100</v>
      </c>
      <c r="K457" s="868"/>
      <c r="L457" s="869"/>
      <c r="M457" s="867"/>
      <c r="N457" s="867"/>
      <c r="O457" s="867"/>
      <c r="P457" s="867"/>
      <c r="Q457" s="870"/>
      <c r="R457" s="867"/>
      <c r="S457" s="867"/>
      <c r="T457" s="379"/>
      <c r="U457" s="867"/>
      <c r="V457" s="867"/>
      <c r="W457" s="867"/>
      <c r="X457" s="867"/>
      <c r="Y457" s="867"/>
      <c r="Z457" s="867"/>
      <c r="AA457" s="867"/>
      <c r="AB457" s="867"/>
      <c r="AC457" s="867"/>
      <c r="AD457" s="867"/>
      <c r="AE457" s="867"/>
      <c r="AF457" s="867"/>
      <c r="AG457" s="867"/>
      <c r="AH457" s="867"/>
      <c r="AI457" s="867"/>
      <c r="AJ457" s="867"/>
      <c r="AK457" s="867"/>
      <c r="AL457" s="867"/>
      <c r="AM457" s="867"/>
      <c r="AN457" s="867"/>
      <c r="AO457" s="871"/>
      <c r="AP457" s="867"/>
      <c r="AQ457" s="867"/>
      <c r="AR457" s="872"/>
      <c r="AS457" s="867"/>
      <c r="AT457" s="867"/>
      <c r="AU457" s="867"/>
      <c r="AV457" s="867"/>
      <c r="AW457" s="867"/>
      <c r="AX457" s="873"/>
      <c r="AY457" s="871"/>
      <c r="AZ457" s="867"/>
      <c r="BA457" s="867"/>
      <c r="BB457" s="867"/>
      <c r="BC457" s="873"/>
      <c r="BD457" s="867"/>
      <c r="BE457" s="867"/>
      <c r="BF457" s="867"/>
      <c r="BG457" s="867"/>
      <c r="BH457" s="867"/>
      <c r="BI457" s="867"/>
      <c r="BJ457" s="867"/>
      <c r="BK457" s="867"/>
      <c r="BL457" s="867"/>
      <c r="BM457" s="873"/>
      <c r="BN457" s="874"/>
      <c r="BO457" s="872"/>
      <c r="BP457" s="873"/>
      <c r="BQ457" s="875" t="str">
        <f>IFERROR(WWWW[[#This Row],['#_Water sources treated]]/WWWW[[#This Row],['#_Water sources tested for contamination]],"no test")</f>
        <v>no test</v>
      </c>
      <c r="BR457" s="872" t="str">
        <f>IFERROR(WWWW[[#This Row],['#_Household received remediation action due to contamination]]/WWWW[[#This Row],['#_Household water samples tested for contamination]],"no test")</f>
        <v>no test</v>
      </c>
      <c r="BS457" s="874" t="str">
        <f>IF(AND(WWWW[[#This Row],[% of water sources treated]]="no test",WWWW[[#This Row],[% Household received corrective actions]]="no test"),"No Test","Tested")</f>
        <v>No Test</v>
      </c>
      <c r="BT457" s="874">
        <f>WWWW[[#This Row],['#_Constructed/existing protected hand dug well]]-WWWW[[#This Row],['#_Non-functional protected hand dug well]]</f>
        <v>0</v>
      </c>
      <c r="BU457" s="874">
        <f>(WWWW[[#This Row],['#_Constructed/Existing tube wells/boreholes/handpumps_WASH_agency]]+WWWW[[#This Row],['#_Non-Cluster partner water tube-wells/boreholes/handpumps]])-WWWW[[#This Row],['#_Non-functional tube wells/boreholes/handpumps]]</f>
        <v>0</v>
      </c>
      <c r="BV457" s="874">
        <f>WWWW[[#This Row],['#_Constructed/Existingwater storage tank with gravity fed reticulation system]]-WWWW[[#This Row],['#_Non-functional storage tank gravity fed reticulation system]]</f>
        <v>0</v>
      </c>
      <c r="BW457" s="874">
        <f>WWWW[[#This Row],['#_Water boating or water trucking]]</f>
        <v>0</v>
      </c>
      <c r="BX457" s="874">
        <f>WWWW[[#This Row],['#_Constructed/Existing water distribution system from river or natural spring]]</f>
        <v>0</v>
      </c>
      <c r="BY457"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57"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57" s="872">
        <f>IF(WWWW[[#This Row],[Location Type 1]]="Village",WWWW[[#This Row],[Access to safe drinking water for Village]],WWWW[[#This Row],[Access to safe drinking water for Camp]])</f>
        <v>0</v>
      </c>
      <c r="CB457" s="870">
        <f>WWWW[[#This Row],[%Equitable and continuous access to sufficient quantity of safe drinking water]]*WWWW[[#This Row],[Total PoP ]]</f>
        <v>0</v>
      </c>
      <c r="CC457" s="872">
        <f>IF((WWWW[[#This Row],['#_Constructed/Existing protected/fenced ponds]]*250)/WWWW[[#This Row],[Total PoP ]]&gt;1,1,(WWWW[[#This Row],['#_Constructed/Existing protected/fenced ponds]]*250)/WWWW[[#This Row],[Total PoP ]])</f>
        <v>0</v>
      </c>
      <c r="CD457" s="870">
        <f>WWWW[[#This Row],[% Access to unimproved water points]]*WWWW[[#This Row],[Total PoP ]]</f>
        <v>0</v>
      </c>
      <c r="CE457"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57"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57" s="870">
        <f>WWWW[[#This Row],[HRP1]]/500</f>
        <v>0</v>
      </c>
      <c r="CH457" s="876">
        <f>1-WWWW[[#This Row],[% Equitable and continuous access to sufficient quantity of domestic water]]</f>
        <v>1</v>
      </c>
      <c r="CI457" s="870">
        <f>WWWW[[#This Row],[%equitable and continuous access to sufficient quantity of safe drinking and domestic water''s GAP]]*WWWW[[#This Row],[Total PoP ]]</f>
        <v>100</v>
      </c>
      <c r="CJ457" s="874">
        <f>IF(WWWW[[#This Row],[Total required water points]]-WWWW[[#This Row],['#Water points coverage]]&lt;0,0,WWWW[[#This Row],[Total required water points]]-WWWW[[#This Row],['#Water points coverage]])</f>
        <v>1</v>
      </c>
      <c r="CK457" s="874">
        <f>ROUND(IF(WWWW[[#This Row],[Total PoP ]]&lt;500,1,WWWW[[#This Row],[Total PoP ]]/500),0)</f>
        <v>1</v>
      </c>
      <c r="CL457" s="874">
        <f>(WWWW[[#This Row],['#_Constructed latrines_by_WASHAgencies]]+WWWW[[#This Row],['#_Non Cluster partner latrines]])-WWWW[[#This Row],['#_Non-functional latrines]]</f>
        <v>0</v>
      </c>
      <c r="CM457"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57"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57"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57" s="874">
        <f>IF(WWWW[[#This Row],[Location Type 1]]="Village","NA",IF(WWWW[[#This Row],['#_Constructed/Existing latrines in TLS]]*50&gt;WWWW[[#This Row],['#_students at TLS_CFS]],WWWW[[#This Row],['#_students at TLS_CFS]],(WWWW[[#This Row],['#_Constructed/Existing latrines in TLS]]*50)))</f>
        <v>0</v>
      </c>
      <c r="CQ457" s="874">
        <f>ROUND(IF(WWWW[[#This Row],[Location Type 1]]="camp",WWWW[[#This Row],[Total PoP ]]/20,IF(WWWW[[#This Row],[Location Type 1]]="Temporary Location",WWWW[[#This Row],[Total PoP ]]/50,(WWWW[[#This Row],[Total PoP ]]/6))),0)</f>
        <v>2</v>
      </c>
      <c r="CR457" s="874">
        <f>IF(WWWW[[#This Row],[Total required Latrines]]-(WWWW[[#This Row],['#_Constructed latrines_by_WASHAgencies]]+WWWW[[#This Row],['#_Non Cluster partner latrines]])&lt;0,0,WWWW[[#This Row],[Total required Latrines]]-(WWWW[[#This Row],['#_Constructed latrines_by_WASHAgencies]]+WWWW[[#This Row],['#_Non Cluster partner latrines]]))</f>
        <v>2</v>
      </c>
      <c r="CS457" s="878">
        <f>1-WWWW[[#This Row],[% people access to functioning Latrine]]</f>
        <v>1</v>
      </c>
      <c r="CT457" s="875">
        <f>IF(OR(WWWW[[#This Row],['#_Non-functional latrines]]="",WWWW[[#This Row],['#_Non-functional latrines]]=0),0,WWWW[[#This Row],['#_Non-functional latrines]]/(WWWW[[#This Row],['#_Constructed latrines_by_WASHAgencies]]+WWWW[[#This Row],['#_Non Cluster partner latrines]]))</f>
        <v>0</v>
      </c>
      <c r="CU457" s="870">
        <f>IF(500*(WWWW[[#This Row],['#_male hygiene promoters]]+WWWW[[#This Row],['#_female hygiene promoters]])&gt;WWWW[[#This Row],[Total PoP ]],WWWW[[#This Row],[Total PoP ]],500*(WWWW[[#This Row],['#_male hygiene promoters]]+WWWW[[#This Row],['#_female hygiene promoters]]))</f>
        <v>0</v>
      </c>
      <c r="CV457"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57"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57" s="874">
        <f>IF(WWWW[[#This Row],['# People with access to soap]]&gt;WWWW[[#This Row],['# People with access to Sanity Pads]],WWWW[[#This Row],['# People with access to soap]],WWWW[[#This Row],['# People with access to Sanity Pads]])</f>
        <v>0</v>
      </c>
      <c r="CY457"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57" s="876">
        <f>IF(WWWW[[#This Row],[HRP3]]/WWWW[[#This Row],[Total PoP ]]&gt;100%,100%,WWWW[[#This Row],[HRP3]]/WWWW[[#This Row],[Total PoP ]])</f>
        <v>0</v>
      </c>
      <c r="DA457" s="875">
        <f>1-WWWW[[#This Row],[Hygiene Coverage%]]</f>
        <v>1</v>
      </c>
      <c r="DB457" s="872">
        <f>WWWW[[#This Row],['# people reached by regular dedicated hygiene promotion_5]]/WWWW[[#This Row],[Total PoP ]]</f>
        <v>0</v>
      </c>
      <c r="DC457" s="872">
        <f>IF(WWWW[[#This Row],['#_households that received standard amount of soap for this quarter]]/WWWW[[#This Row],[Total HH]]&gt;1,1,WWWW[[#This Row],['#_households that received standard amount of soap for this quarter]]/WWWW[[#This Row],[Total HH]])</f>
        <v>0</v>
      </c>
      <c r="DD457" s="872">
        <f>IF(WWWW[[#This Row],['#_households that received standard amount of sanitary pads for this quarter]]/WWWW[[#This Row],[Total HH]]&gt;1,1,WWWW[[#This Row],['#_households that received standard amount of sanitary pads for this quarter]]/WWWW[[#This Row],[Total HH]])</f>
        <v>0</v>
      </c>
      <c r="DE457" s="874">
        <f>WWWW[[#This Row],['#_Constructed/Existing hand washing stations]]-WWWW[[#This Row],['#_Non-Functional_hand_washing_stations]]</f>
        <v>0</v>
      </c>
      <c r="DF457" s="879" t="e">
        <f>WWWW[[#This Row],[Total HH]]*#REF!</f>
        <v>#REF!</v>
      </c>
      <c r="DG457" s="870">
        <f>IF(WWWW[[#This Row],[Is sufficient soap available for TLS? (Yes/No)]]="yes",WWWW[[#This Row],['#_Constructed/Existing hand washing stations at TLS]],0)</f>
        <v>0</v>
      </c>
      <c r="DH457" s="702">
        <f>IF(WWWW[[#This Row],['# Functional hand washing stations during reporting period]]*100&gt;WWWW[[#This Row],[Total PoP ]],WWWW[[#This Row],[Total PoP ]],WWWW[[#This Row],['# Functional hand washing stations during reporting period]]*100)</f>
        <v>0</v>
      </c>
      <c r="DI457" s="702" t="str">
        <f>IF(WWWW[[#This Row],['#_students at TLS_CFS]]="","No","Yes")</f>
        <v>No</v>
      </c>
      <c r="DJ457" s="873">
        <f>VLOOKUP(WWWW[[#This Row],[Site Name]],SiteDB6[[Site Name]:[CCCM Management]],6,FALSE)</f>
        <v>0</v>
      </c>
      <c r="DK457" s="873">
        <f>VLOOKUP(WWWW[[#This Row],[Site Name]],SiteDB6[[Site Name]:[CCCM Focal Agency]],7,FALSE)</f>
        <v>0</v>
      </c>
      <c r="DL457" s="873" t="str">
        <f>VLOOKUP(WWWW[[#This Row],[Site Name]],SiteDB6[[Site Name]:[Location Type 1]],9,FALSE)</f>
        <v>Temporary location</v>
      </c>
      <c r="DM457" s="873" t="str">
        <f>VLOOKUP(WWWW[[#This Row],[Site Name]],SiteDB6[[Site Name]:[Type of Accommodation]],10,FALSE)</f>
        <v>Temporary location</v>
      </c>
      <c r="DN457" s="873">
        <f>VLOOKUP(WWWW[[#This Row],[Site Name]],SiteDB6[[Site Name]:[Ethnic or GCA/NGCA]],11,FALSE)</f>
        <v>0</v>
      </c>
      <c r="DO457" s="873">
        <f>VLOOKUP(WWWW[[#This Row],[Site Name]],SiteDB6[[Site Name]:[Lat]],12,FALSE)</f>
        <v>20.734859466552699</v>
      </c>
      <c r="DP457" s="873">
        <f>VLOOKUP(WWWW[[#This Row],[Site Name]],SiteDB6[[Site Name]:[Long]],13,FALSE)</f>
        <v>92.657089233398395</v>
      </c>
      <c r="DQ457" s="873">
        <f>VLOOKUP(WWWW[[#This Row],[Site Name]],SiteDB6[[Site Name]:[Pcode]],3,FALSE)</f>
        <v>198415</v>
      </c>
      <c r="DR457" s="871" t="str">
        <f t="shared" si="14"/>
        <v>Notcovered</v>
      </c>
      <c r="DS457" s="871"/>
      <c r="DV457" s="661"/>
    </row>
    <row r="458" spans="1:126">
      <c r="A458" s="637" t="s">
        <v>2525</v>
      </c>
      <c r="B458" s="863" t="s">
        <v>249</v>
      </c>
      <c r="C458" s="863" t="s">
        <v>249</v>
      </c>
      <c r="D458" s="864"/>
      <c r="E458" s="865" t="s">
        <v>3013</v>
      </c>
      <c r="F458" s="864" t="s">
        <v>337</v>
      </c>
      <c r="G458" s="866" t="str">
        <f>VLOOKUP(WWWW[[#This Row],[Site Name]],SiteDB6[[Site Name]:[Location Type]],8,FALSE)</f>
        <v>New Temporary Site</v>
      </c>
      <c r="H458" s="864" t="s">
        <v>2943</v>
      </c>
      <c r="I458" s="867">
        <v>31</v>
      </c>
      <c r="J458" s="867">
        <v>127</v>
      </c>
      <c r="K458" s="868"/>
      <c r="L458" s="869"/>
      <c r="M458" s="867"/>
      <c r="N458" s="867"/>
      <c r="O458" s="867"/>
      <c r="P458" s="867"/>
      <c r="Q458" s="870"/>
      <c r="R458" s="867"/>
      <c r="S458" s="867"/>
      <c r="T458" s="379"/>
      <c r="U458" s="867"/>
      <c r="V458" s="867"/>
      <c r="W458" s="867"/>
      <c r="X458" s="867"/>
      <c r="Y458" s="867"/>
      <c r="Z458" s="867"/>
      <c r="AA458" s="867"/>
      <c r="AB458" s="867"/>
      <c r="AC458" s="867"/>
      <c r="AD458" s="867"/>
      <c r="AE458" s="867"/>
      <c r="AF458" s="867"/>
      <c r="AG458" s="867"/>
      <c r="AH458" s="867"/>
      <c r="AI458" s="867"/>
      <c r="AJ458" s="867"/>
      <c r="AK458" s="867"/>
      <c r="AL458" s="867"/>
      <c r="AM458" s="867"/>
      <c r="AN458" s="867"/>
      <c r="AO458" s="871"/>
      <c r="AP458" s="867"/>
      <c r="AQ458" s="867"/>
      <c r="AR458" s="872"/>
      <c r="AS458" s="867"/>
      <c r="AT458" s="867"/>
      <c r="AU458" s="867"/>
      <c r="AV458" s="867"/>
      <c r="AW458" s="867"/>
      <c r="AX458" s="873"/>
      <c r="AY458" s="871"/>
      <c r="AZ458" s="867"/>
      <c r="BA458" s="867"/>
      <c r="BB458" s="867"/>
      <c r="BC458" s="873"/>
      <c r="BD458" s="867"/>
      <c r="BE458" s="867"/>
      <c r="BF458" s="867"/>
      <c r="BG458" s="867"/>
      <c r="BH458" s="867"/>
      <c r="BI458" s="867"/>
      <c r="BJ458" s="867"/>
      <c r="BK458" s="867">
        <v>31</v>
      </c>
      <c r="BL458" s="867">
        <v>31</v>
      </c>
      <c r="BM458" s="873"/>
      <c r="BN458" s="874"/>
      <c r="BO458" s="872"/>
      <c r="BP458" s="873"/>
      <c r="BQ458" s="875" t="str">
        <f>IFERROR(WWWW[[#This Row],['#_Water sources treated]]/WWWW[[#This Row],['#_Water sources tested for contamination]],"no test")</f>
        <v>no test</v>
      </c>
      <c r="BR458" s="872" t="str">
        <f>IFERROR(WWWW[[#This Row],['#_Household received remediation action due to contamination]]/WWWW[[#This Row],['#_Household water samples tested for contamination]],"no test")</f>
        <v>no test</v>
      </c>
      <c r="BS458" s="874" t="str">
        <f>IF(AND(WWWW[[#This Row],[% of water sources treated]]="no test",WWWW[[#This Row],[% Household received corrective actions]]="no test"),"No Test","Tested")</f>
        <v>No Test</v>
      </c>
      <c r="BT458" s="874">
        <f>WWWW[[#This Row],['#_Constructed/existing protected hand dug well]]-WWWW[[#This Row],['#_Non-functional protected hand dug well]]</f>
        <v>0</v>
      </c>
      <c r="BU458" s="874">
        <f>(WWWW[[#This Row],['#_Constructed/Existing tube wells/boreholes/handpumps_WASH_agency]]+WWWW[[#This Row],['#_Non-Cluster partner water tube-wells/boreholes/handpumps]])-WWWW[[#This Row],['#_Non-functional tube wells/boreholes/handpumps]]</f>
        <v>0</v>
      </c>
      <c r="BV458" s="874">
        <f>WWWW[[#This Row],['#_Constructed/Existingwater storage tank with gravity fed reticulation system]]-WWWW[[#This Row],['#_Non-functional storage tank gravity fed reticulation system]]</f>
        <v>0</v>
      </c>
      <c r="BW458" s="874">
        <f>WWWW[[#This Row],['#_Water boating or water trucking]]</f>
        <v>0</v>
      </c>
      <c r="BX458" s="874">
        <f>WWWW[[#This Row],['#_Constructed/Existing water distribution system from river or natural spring]]</f>
        <v>0</v>
      </c>
      <c r="BY458"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58"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58" s="872">
        <f>IF(WWWW[[#This Row],[Location Type 1]]="Village",WWWW[[#This Row],[Access to safe drinking water for Village]],WWWW[[#This Row],[Access to safe drinking water for Camp]])</f>
        <v>0</v>
      </c>
      <c r="CB458" s="870">
        <f>WWWW[[#This Row],[%Equitable and continuous access to sufficient quantity of safe drinking water]]*WWWW[[#This Row],[Total PoP ]]</f>
        <v>0</v>
      </c>
      <c r="CC458" s="872">
        <f>IF((WWWW[[#This Row],['#_Constructed/Existing protected/fenced ponds]]*250)/WWWW[[#This Row],[Total PoP ]]&gt;1,1,(WWWW[[#This Row],['#_Constructed/Existing protected/fenced ponds]]*250)/WWWW[[#This Row],[Total PoP ]])</f>
        <v>0</v>
      </c>
      <c r="CD458" s="870">
        <f>WWWW[[#This Row],[% Access to unimproved water points]]*WWWW[[#This Row],[Total PoP ]]</f>
        <v>0</v>
      </c>
      <c r="CE458"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58"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58" s="870">
        <f>WWWW[[#This Row],[HRP1]]/500</f>
        <v>0</v>
      </c>
      <c r="CH458" s="876">
        <f>1-WWWW[[#This Row],[% Equitable and continuous access to sufficient quantity of domestic water]]</f>
        <v>1</v>
      </c>
      <c r="CI458" s="870">
        <f>WWWW[[#This Row],[%equitable and continuous access to sufficient quantity of safe drinking and domestic water''s GAP]]*WWWW[[#This Row],[Total PoP ]]</f>
        <v>127</v>
      </c>
      <c r="CJ458" s="874">
        <f>IF(WWWW[[#This Row],[Total required water points]]-WWWW[[#This Row],['#Water points coverage]]&lt;0,0,WWWW[[#This Row],[Total required water points]]-WWWW[[#This Row],['#Water points coverage]])</f>
        <v>1</v>
      </c>
      <c r="CK458" s="874">
        <f>ROUND(IF(WWWW[[#This Row],[Total PoP ]]&lt;500,1,WWWW[[#This Row],[Total PoP ]]/500),0)</f>
        <v>1</v>
      </c>
      <c r="CL458" s="874">
        <f>(WWWW[[#This Row],['#_Constructed latrines_by_WASHAgencies]]+WWWW[[#This Row],['#_Non Cluster partner latrines]])-WWWW[[#This Row],['#_Non-functional latrines]]</f>
        <v>0</v>
      </c>
      <c r="CM458"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58"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58"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58" s="874">
        <f>IF(WWWW[[#This Row],[Location Type 1]]="Village","NA",IF(WWWW[[#This Row],['#_Constructed/Existing latrines in TLS]]*50&gt;WWWW[[#This Row],['#_students at TLS_CFS]],WWWW[[#This Row],['#_students at TLS_CFS]],(WWWW[[#This Row],['#_Constructed/Existing latrines in TLS]]*50)))</f>
        <v>0</v>
      </c>
      <c r="CQ458" s="874">
        <f>ROUND(IF(WWWW[[#This Row],[Location Type 1]]="camp",WWWW[[#This Row],[Total PoP ]]/20,IF(WWWW[[#This Row],[Location Type 1]]="Temporary Location",WWWW[[#This Row],[Total PoP ]]/50,(WWWW[[#This Row],[Total PoP ]]/6))),0)</f>
        <v>3</v>
      </c>
      <c r="CR458" s="874">
        <f>IF(WWWW[[#This Row],[Total required Latrines]]-(WWWW[[#This Row],['#_Constructed latrines_by_WASHAgencies]]+WWWW[[#This Row],['#_Non Cluster partner latrines]])&lt;0,0,WWWW[[#This Row],[Total required Latrines]]-(WWWW[[#This Row],['#_Constructed latrines_by_WASHAgencies]]+WWWW[[#This Row],['#_Non Cluster partner latrines]]))</f>
        <v>3</v>
      </c>
      <c r="CS458" s="878">
        <f>1-WWWW[[#This Row],[% people access to functioning Latrine]]</f>
        <v>1</v>
      </c>
      <c r="CT458" s="875">
        <f>IF(OR(WWWW[[#This Row],['#_Non-functional latrines]]="",WWWW[[#This Row],['#_Non-functional latrines]]=0),0,WWWW[[#This Row],['#_Non-functional latrines]]/(WWWW[[#This Row],['#_Constructed latrines_by_WASHAgencies]]+WWWW[[#This Row],['#_Non Cluster partner latrines]]))</f>
        <v>0</v>
      </c>
      <c r="CU458" s="870">
        <f>IF(500*(WWWW[[#This Row],['#_male hygiene promoters]]+WWWW[[#This Row],['#_female hygiene promoters]])&gt;WWWW[[#This Row],[Total PoP ]],WWWW[[#This Row],[Total PoP ]],500*(WWWW[[#This Row],['#_male hygiene promoters]]+WWWW[[#This Row],['#_female hygiene promoters]]))</f>
        <v>0</v>
      </c>
      <c r="CV458"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127</v>
      </c>
      <c r="CW458"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127</v>
      </c>
      <c r="CX458" s="874">
        <f>IF(WWWW[[#This Row],['# People with access to soap]]&gt;WWWW[[#This Row],['# People with access to Sanity Pads]],WWWW[[#This Row],['# People with access to soap]],WWWW[[#This Row],['# People with access to Sanity Pads]])</f>
        <v>127</v>
      </c>
      <c r="CY458" s="874">
        <f>IF(WWWW[[#This Row],['# people reached by regular dedicated hygiene promotion_5]]&gt;WWWW[[#This Row],['# People received regular supply of hygiene items_6]],WWWW[[#This Row],['# people reached by regular dedicated hygiene promotion_5]],WWWW[[#This Row],['# People received regular supply of hygiene items_6]])</f>
        <v>127</v>
      </c>
      <c r="CZ458" s="876">
        <f>IF(WWWW[[#This Row],[HRP3]]/WWWW[[#This Row],[Total PoP ]]&gt;100%,100%,WWWW[[#This Row],[HRP3]]/WWWW[[#This Row],[Total PoP ]])</f>
        <v>1</v>
      </c>
      <c r="DA458" s="875">
        <f>1-WWWW[[#This Row],[Hygiene Coverage%]]</f>
        <v>0</v>
      </c>
      <c r="DB458" s="872">
        <f>WWWW[[#This Row],['# people reached by regular dedicated hygiene promotion_5]]/WWWW[[#This Row],[Total PoP ]]</f>
        <v>0</v>
      </c>
      <c r="DC458" s="872">
        <f>IF(WWWW[[#This Row],['#_households that received standard amount of soap for this quarter]]/WWWW[[#This Row],[Total HH]]&gt;1,1,WWWW[[#This Row],['#_households that received standard amount of soap for this quarter]]/WWWW[[#This Row],[Total HH]])</f>
        <v>1</v>
      </c>
      <c r="DD458" s="872">
        <f>IF(WWWW[[#This Row],['#_households that received standard amount of sanitary pads for this quarter]]/WWWW[[#This Row],[Total HH]]&gt;1,1,WWWW[[#This Row],['#_households that received standard amount of sanitary pads for this quarter]]/WWWW[[#This Row],[Total HH]])</f>
        <v>1</v>
      </c>
      <c r="DE458" s="874">
        <f>WWWW[[#This Row],['#_Constructed/Existing hand washing stations]]-WWWW[[#This Row],['#_Non-Functional_hand_washing_stations]]</f>
        <v>0</v>
      </c>
      <c r="DF458" s="879" t="e">
        <f>WWWW[[#This Row],[Total HH]]*#REF!</f>
        <v>#REF!</v>
      </c>
      <c r="DG458" s="870">
        <f>IF(WWWW[[#This Row],[Is sufficient soap available for TLS? (Yes/No)]]="yes",WWWW[[#This Row],['#_Constructed/Existing hand washing stations at TLS]],0)</f>
        <v>0</v>
      </c>
      <c r="DH458" s="702">
        <f>IF(WWWW[[#This Row],['# Functional hand washing stations during reporting period]]*100&gt;WWWW[[#This Row],[Total PoP ]],WWWW[[#This Row],[Total PoP ]],WWWW[[#This Row],['# Functional hand washing stations during reporting period]]*100)</f>
        <v>0</v>
      </c>
      <c r="DI458" s="702" t="str">
        <f>IF(WWWW[[#This Row],['#_students at TLS_CFS]]="","No","Yes")</f>
        <v>No</v>
      </c>
      <c r="DJ458" s="873">
        <f>VLOOKUP(WWWW[[#This Row],[Site Name]],SiteDB6[[Site Name]:[CCCM Management]],6,FALSE)</f>
        <v>0</v>
      </c>
      <c r="DK458" s="873">
        <f>VLOOKUP(WWWW[[#This Row],[Site Name]],SiteDB6[[Site Name]:[CCCM Focal Agency]],7,FALSE)</f>
        <v>0</v>
      </c>
      <c r="DL458" s="873" t="str">
        <f>VLOOKUP(WWWW[[#This Row],[Site Name]],SiteDB6[[Site Name]:[Location Type 1]],9,FALSE)</f>
        <v>Temporary location</v>
      </c>
      <c r="DM458" s="873" t="str">
        <f>VLOOKUP(WWWW[[#This Row],[Site Name]],SiteDB6[[Site Name]:[Type of Accommodation]],10,FALSE)</f>
        <v>Temporary location</v>
      </c>
      <c r="DN458" s="873">
        <f>VLOOKUP(WWWW[[#This Row],[Site Name]],SiteDB6[[Site Name]:[Ethnic or GCA/NGCA]],11,FALSE)</f>
        <v>0</v>
      </c>
      <c r="DO458" s="873">
        <f>VLOOKUP(WWWW[[#This Row],[Site Name]],SiteDB6[[Site Name]:[Lat]],12,FALSE)</f>
        <v>0</v>
      </c>
      <c r="DP458" s="873">
        <f>VLOOKUP(WWWW[[#This Row],[Site Name]],SiteDB6[[Site Name]:[Long]],13,FALSE)</f>
        <v>0</v>
      </c>
      <c r="DQ458" s="873">
        <f>VLOOKUP(WWWW[[#This Row],[Site Name]],SiteDB6[[Site Name]:[Pcode]],3,FALSE)</f>
        <v>198369</v>
      </c>
      <c r="DR458" s="871" t="str">
        <f t="shared" si="14"/>
        <v>Covered</v>
      </c>
      <c r="DS458" s="871"/>
      <c r="DV458" s="661"/>
    </row>
    <row r="459" spans="1:126">
      <c r="A459" s="637" t="s">
        <v>2525</v>
      </c>
      <c r="B459" s="637" t="s">
        <v>2802</v>
      </c>
      <c r="C459" s="644" t="s">
        <v>387</v>
      </c>
      <c r="D459" s="644" t="s">
        <v>2803</v>
      </c>
      <c r="E459" s="901" t="s">
        <v>3013</v>
      </c>
      <c r="F459" s="644" t="s">
        <v>337</v>
      </c>
      <c r="G459" s="901" t="str">
        <f>VLOOKUP(WWWW[[#This Row],[Site Name]],SiteDB6[[Site Name]:[Location Type]],8,FALSE)</f>
        <v>New Temporary Site</v>
      </c>
      <c r="H459" s="644" t="s">
        <v>2818</v>
      </c>
      <c r="I459" s="899">
        <v>30</v>
      </c>
      <c r="J459" s="899">
        <v>123</v>
      </c>
      <c r="K459" s="653">
        <v>43480</v>
      </c>
      <c r="L459" s="654">
        <v>43723</v>
      </c>
      <c r="M459" s="646"/>
      <c r="N459" s="646"/>
      <c r="O459" s="646"/>
      <c r="P459" s="646"/>
      <c r="Q459" s="645"/>
      <c r="R459" s="646"/>
      <c r="S459" s="646"/>
      <c r="T459" s="646"/>
      <c r="U459" s="646"/>
      <c r="V459" s="646"/>
      <c r="W459" s="646"/>
      <c r="X459" s="646"/>
      <c r="Y459" s="646"/>
      <c r="Z459" s="646"/>
      <c r="AA459" s="646"/>
      <c r="AB459" s="646"/>
      <c r="AC459" s="646"/>
      <c r="AD459" s="646"/>
      <c r="AE459" s="646"/>
      <c r="AF459" s="646"/>
      <c r="AG459" s="646"/>
      <c r="AH459" s="646"/>
      <c r="AI459" s="646"/>
      <c r="AJ459" s="646"/>
      <c r="AK459" s="646"/>
      <c r="AL459" s="646"/>
      <c r="AM459" s="646"/>
      <c r="AN459" s="646"/>
      <c r="AO459" s="652"/>
      <c r="AP459" s="646"/>
      <c r="AQ459" s="646"/>
      <c r="AR459" s="648"/>
      <c r="AS459" s="646"/>
      <c r="AT459" s="646"/>
      <c r="AU459" s="646"/>
      <c r="AV459" s="646"/>
      <c r="AW459" s="646"/>
      <c r="AX459" s="643"/>
      <c r="AY459" s="652"/>
      <c r="AZ459" s="646"/>
      <c r="BA459" s="646"/>
      <c r="BB459" s="646"/>
      <c r="BC459" s="643"/>
      <c r="BD459" s="646"/>
      <c r="BE459" s="646"/>
      <c r="BF459" s="646"/>
      <c r="BG459" s="646"/>
      <c r="BH459" s="646"/>
      <c r="BI459" s="646">
        <v>30</v>
      </c>
      <c r="BJ459" s="646">
        <v>30</v>
      </c>
      <c r="BK459" s="646"/>
      <c r="BL459" s="646"/>
      <c r="BM459" s="643"/>
      <c r="BN459" s="647"/>
      <c r="BO459" s="648"/>
      <c r="BP459" s="643"/>
      <c r="BQ459" s="649" t="str">
        <f>IFERROR(WWWW[[#This Row],['#_Water sources treated]]/WWWW[[#This Row],['#_Water sources tested for contamination]],"no test")</f>
        <v>no test</v>
      </c>
      <c r="BR459" s="648" t="str">
        <f>IFERROR(WWWW[[#This Row],['#_Household received remediation action due to contamination]]/WWWW[[#This Row],['#_Household water samples tested for contamination]],"no test")</f>
        <v>no test</v>
      </c>
      <c r="BS459" s="647" t="str">
        <f>IF(AND(WWWW[[#This Row],[% of water sources treated]]="no test",WWWW[[#This Row],[% Household received corrective actions]]="no test"),"No Test","Tested")</f>
        <v>No Test</v>
      </c>
      <c r="BT459" s="647">
        <f>WWWW[[#This Row],['#_Constructed/existing protected hand dug well]]-WWWW[[#This Row],['#_Non-functional protected hand dug well]]</f>
        <v>0</v>
      </c>
      <c r="BU459" s="647">
        <f>(WWWW[[#This Row],['#_Constructed/Existing tube wells/boreholes/handpumps_WASH_agency]]+WWWW[[#This Row],['#_Non-Cluster partner water tube-wells/boreholes/handpumps]])-WWWW[[#This Row],['#_Non-functional tube wells/boreholes/handpumps]]</f>
        <v>0</v>
      </c>
      <c r="BV459" s="647">
        <f>WWWW[[#This Row],['#_Constructed/Existingwater storage tank with gravity fed reticulation system]]-WWWW[[#This Row],['#_Non-functional storage tank gravity fed reticulation system]]</f>
        <v>0</v>
      </c>
      <c r="BW459" s="647">
        <f>WWWW[[#This Row],['#_Water boating or water trucking]]</f>
        <v>0</v>
      </c>
      <c r="BX459" s="647">
        <f>WWWW[[#This Row],['#_Constructed/Existing water distribution system from river or natural spring]]</f>
        <v>0</v>
      </c>
      <c r="BY459"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59"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59" s="648">
        <f>IF(WWWW[[#This Row],[Location Type 1]]="Village",WWWW[[#This Row],[Access to safe drinking water for Village]],WWWW[[#This Row],[Access to safe drinking water for Camp]])</f>
        <v>0</v>
      </c>
      <c r="CB459" s="645">
        <f>WWWW[[#This Row],[%Equitable and continuous access to sufficient quantity of safe drinking water]]*WWWW[[#This Row],[Total PoP ]]</f>
        <v>0</v>
      </c>
      <c r="CC459" s="648">
        <f>IF((WWWW[[#This Row],['#_Constructed/Existing protected/fenced ponds]]*250)/WWWW[[#This Row],[Total PoP ]]&gt;1,1,(WWWW[[#This Row],['#_Constructed/Existing protected/fenced ponds]]*250)/WWWW[[#This Row],[Total PoP ]])</f>
        <v>0</v>
      </c>
      <c r="CD459" s="645">
        <f>WWWW[[#This Row],[% Access to unimproved water points]]*WWWW[[#This Row],[Total PoP ]]</f>
        <v>0</v>
      </c>
      <c r="CE459"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59"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59" s="645">
        <f>WWWW[[#This Row],[HRP1]]/500</f>
        <v>0</v>
      </c>
      <c r="CH459" s="650">
        <f>1-WWWW[[#This Row],[% Equitable and continuous access to sufficient quantity of domestic water]]</f>
        <v>1</v>
      </c>
      <c r="CI459" s="645">
        <f>WWWW[[#This Row],[%equitable and continuous access to sufficient quantity of safe drinking and domestic water''s GAP]]*WWWW[[#This Row],[Total PoP ]]</f>
        <v>123</v>
      </c>
      <c r="CJ459" s="647">
        <f>IF(WWWW[[#This Row],[Total required water points]]-WWWW[[#This Row],['#Water points coverage]]&lt;0,0,WWWW[[#This Row],[Total required water points]]-WWWW[[#This Row],['#Water points coverage]])</f>
        <v>1</v>
      </c>
      <c r="CK459" s="647">
        <f>ROUND(IF(WWWW[[#This Row],[Total PoP ]]&lt;500,1,WWWW[[#This Row],[Total PoP ]]/500),0)</f>
        <v>1</v>
      </c>
      <c r="CL459" s="647">
        <f>(WWWW[[#This Row],['#_Constructed latrines_by_WASHAgencies]]+WWWW[[#This Row],['#_Non Cluster partner latrines]])-WWWW[[#This Row],['#_Non-functional latrines]]</f>
        <v>0</v>
      </c>
      <c r="CM459"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59"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59"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59" s="647">
        <f>IF(WWWW[[#This Row],[Location Type 1]]="Village","NA",IF(WWWW[[#This Row],['#_Constructed/Existing latrines in TLS]]*50&gt;WWWW[[#This Row],['#_students at TLS_CFS]],WWWW[[#This Row],['#_students at TLS_CFS]],(WWWW[[#This Row],['#_Constructed/Existing latrines in TLS]]*50)))</f>
        <v>0</v>
      </c>
      <c r="CQ459" s="647">
        <f>ROUND(IF(WWWW[[#This Row],[Location Type 1]]="camp",WWWW[[#This Row],[Total PoP ]]/20,IF(WWWW[[#This Row],[Location Type 1]]="Temporary Location",WWWW[[#This Row],[Total PoP ]]/50,(WWWW[[#This Row],[Total PoP ]]/6))),0)</f>
        <v>2</v>
      </c>
      <c r="CR459" s="647">
        <f>IF(WWWW[[#This Row],[Total required Latrines]]-(WWWW[[#This Row],['#_Constructed latrines_by_WASHAgencies]]+WWWW[[#This Row],['#_Non Cluster partner latrines]])&lt;0,0,WWWW[[#This Row],[Total required Latrines]]-(WWWW[[#This Row],['#_Constructed latrines_by_WASHAgencies]]+WWWW[[#This Row],['#_Non Cluster partner latrines]]))</f>
        <v>2</v>
      </c>
      <c r="CS459" s="79">
        <f>1-WWWW[[#This Row],[% people access to functioning Latrine]]</f>
        <v>1</v>
      </c>
      <c r="CT459" s="649">
        <f>IF(OR(WWWW[[#This Row],['#_Non-functional latrines]]="",WWWW[[#This Row],['#_Non-functional latrines]]=0),0,WWWW[[#This Row],['#_Non-functional latrines]]/(WWWW[[#This Row],['#_Constructed latrines_by_WASHAgencies]]+WWWW[[#This Row],['#_Non Cluster partner latrines]]))</f>
        <v>0</v>
      </c>
      <c r="CU459" s="645">
        <f>IF(500*(WWWW[[#This Row],['#_male hygiene promoters]]+WWWW[[#This Row],['#_female hygiene promoters]])&gt;WWWW[[#This Row],[Total PoP ]],WWWW[[#This Row],[Total PoP ]],500*(WWWW[[#This Row],['#_male hygiene promoters]]+WWWW[[#This Row],['#_female hygiene promoters]]))</f>
        <v>123</v>
      </c>
      <c r="CV459"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59"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59" s="647">
        <f>IF(WWWW[[#This Row],['# People with access to soap]]&gt;WWWW[[#This Row],['# People with access to Sanity Pads]],WWWW[[#This Row],['# People with access to soap]],WWWW[[#This Row],['# People with access to Sanity Pads]])</f>
        <v>0</v>
      </c>
      <c r="CY459" s="647">
        <f>IF(WWWW[[#This Row],['# people reached by regular dedicated hygiene promotion_5]]&gt;WWWW[[#This Row],['# People received regular supply of hygiene items_6]],WWWW[[#This Row],['# people reached by regular dedicated hygiene promotion_5]],WWWW[[#This Row],['# People received regular supply of hygiene items_6]])</f>
        <v>123</v>
      </c>
      <c r="CZ459" s="650">
        <f>IF(WWWW[[#This Row],[HRP3]]/WWWW[[#This Row],[Total PoP ]]&gt;100%,100%,WWWW[[#This Row],[HRP3]]/WWWW[[#This Row],[Total PoP ]])</f>
        <v>1</v>
      </c>
      <c r="DA459" s="649">
        <f>1-WWWW[[#This Row],[Hygiene Coverage%]]</f>
        <v>0</v>
      </c>
      <c r="DB459" s="648">
        <f>WWWW[[#This Row],['# people reached by regular dedicated hygiene promotion_5]]/WWWW[[#This Row],[Total PoP ]]</f>
        <v>1</v>
      </c>
      <c r="DC459" s="648">
        <f>IF(WWWW[[#This Row],['#_households that received standard amount of soap for this quarter]]/WWWW[[#This Row],[Total HH]]&gt;1,1,WWWW[[#This Row],['#_households that received standard amount of soap for this quarter]]/WWWW[[#This Row],[Total HH]])</f>
        <v>0</v>
      </c>
      <c r="DD459" s="648">
        <f>IF(WWWW[[#This Row],['#_households that received standard amount of sanitary pads for this quarter]]/WWWW[[#This Row],[Total HH]]&gt;1,1,WWWW[[#This Row],['#_households that received standard amount of sanitary pads for this quarter]]/WWWW[[#This Row],[Total HH]])</f>
        <v>0</v>
      </c>
      <c r="DE459" s="647">
        <f>WWWW[[#This Row],['#_Constructed/Existing hand washing stations]]-WWWW[[#This Row],['#_Non-Functional_hand_washing_stations]]</f>
        <v>0</v>
      </c>
      <c r="DF459" s="902">
        <f>IF(WWWW[[#This Row],['# Functional hand washing stations during reporting period]]*20&gt;WWWW[[#This Row],[Total HH]],WWWW[[#This Row],[Total HH]],WWWW[[#This Row],['# Functional hand washing stations during reporting period]]*20)</f>
        <v>0</v>
      </c>
      <c r="DG459" s="645">
        <f>IF(WWWW[[#This Row],[Is sufficient soap available for TLS? (Yes/No)]]="yes",WWWW[[#This Row],['#_Constructed/Existing hand washing stations at TLS]],0)</f>
        <v>0</v>
      </c>
      <c r="DH459" s="645">
        <f>IF(WWWW[[#This Row],['# Functional hand washing stations during reporting period]]*100&gt;WWWW[[#This Row],[Total PoP ]],WWWW[[#This Row],[Total PoP ]],WWWW[[#This Row],['# Functional hand washing stations during reporting period]]*100)</f>
        <v>0</v>
      </c>
      <c r="DI459" s="645" t="str">
        <f>IF(WWWW[[#This Row],['#_students at TLS_CFS]]="","No","Yes")</f>
        <v>No</v>
      </c>
      <c r="DJ459" s="643">
        <f>VLOOKUP(WWWW[[#This Row],[Site Name]],SiteDB6[[Site Name]:[CCCM Management]],6,FALSE)</f>
        <v>0</v>
      </c>
      <c r="DK459" s="643">
        <f>VLOOKUP(WWWW[[#This Row],[Site Name]],SiteDB6[[Site Name]:[CCCM Focal Agency]],7,FALSE)</f>
        <v>0</v>
      </c>
      <c r="DL459" s="643" t="str">
        <f>VLOOKUP(WWWW[[#This Row],[Site Name]],SiteDB6[[Site Name]:[Location Type 1]],9,FALSE)</f>
        <v>Temporary location</v>
      </c>
      <c r="DM459" s="643" t="str">
        <f>VLOOKUP(WWWW[[#This Row],[Site Name]],SiteDB6[[Site Name]:[Type of Accommodation]],10,FALSE)</f>
        <v>Temporary location</v>
      </c>
      <c r="DN459" s="643" t="str">
        <f>VLOOKUP(WWWW[[#This Row],[Site Name]],SiteDB6[[Site Name]:[Ethnic or GCA/NGCA]],11,FALSE)</f>
        <v>Rakhine</v>
      </c>
      <c r="DO459" s="643">
        <f>VLOOKUP(WWWW[[#This Row],[Site Name]],SiteDB6[[Site Name]:[Lat]],12,FALSE)</f>
        <v>20.769779209999999</v>
      </c>
      <c r="DP459" s="643">
        <f>VLOOKUP(WWWW[[#This Row],[Site Name]],SiteDB6[[Site Name]:[Long]],13,FALSE)</f>
        <v>92.604240419999996</v>
      </c>
      <c r="DQ459" s="643">
        <f>VLOOKUP(WWWW[[#This Row],[Site Name]],SiteDB6[[Site Name]:[Pcode]],3,FALSE)</f>
        <v>198404</v>
      </c>
      <c r="DR459" s="652" t="str">
        <f t="shared" si="14"/>
        <v>Covered</v>
      </c>
      <c r="DS459" s="652"/>
      <c r="DV459" s="661"/>
    </row>
    <row r="460" spans="1:126">
      <c r="A460" s="637" t="s">
        <v>2525</v>
      </c>
      <c r="B460" s="976" t="s">
        <v>317</v>
      </c>
      <c r="C460" s="976" t="s">
        <v>317</v>
      </c>
      <c r="D460" s="864"/>
      <c r="E460" s="865" t="s">
        <v>3013</v>
      </c>
      <c r="F460" s="864" t="s">
        <v>337</v>
      </c>
      <c r="G460" s="866" t="str">
        <f>VLOOKUP(WWWW[[#This Row],[Site Name]],SiteDB6[[Site Name]:[Location Type]],8,FALSE)</f>
        <v>New Temporary Site</v>
      </c>
      <c r="H460" s="864" t="s">
        <v>3205</v>
      </c>
      <c r="I460" s="867">
        <v>58</v>
      </c>
      <c r="J460" s="867">
        <v>302</v>
      </c>
      <c r="K460" s="868"/>
      <c r="L460" s="869"/>
      <c r="M460" s="867"/>
      <c r="N460" s="867"/>
      <c r="O460" s="867"/>
      <c r="P460" s="867"/>
      <c r="Q460" s="870"/>
      <c r="R460" s="867"/>
      <c r="S460" s="867"/>
      <c r="T460" s="379"/>
      <c r="U460" s="867"/>
      <c r="V460" s="867"/>
      <c r="W460" s="867"/>
      <c r="X460" s="867"/>
      <c r="Y460" s="867"/>
      <c r="Z460" s="867"/>
      <c r="AA460" s="867"/>
      <c r="AB460" s="867"/>
      <c r="AC460" s="867"/>
      <c r="AD460" s="867"/>
      <c r="AE460" s="867"/>
      <c r="AF460" s="867"/>
      <c r="AG460" s="867"/>
      <c r="AH460" s="867"/>
      <c r="AI460" s="867"/>
      <c r="AJ460" s="867"/>
      <c r="AK460" s="867"/>
      <c r="AL460" s="867"/>
      <c r="AM460" s="867"/>
      <c r="AN460" s="867"/>
      <c r="AO460" s="871"/>
      <c r="AP460" s="867"/>
      <c r="AQ460" s="867"/>
      <c r="AR460" s="872"/>
      <c r="AS460" s="867"/>
      <c r="AT460" s="867"/>
      <c r="AU460" s="867"/>
      <c r="AV460" s="867"/>
      <c r="AW460" s="867"/>
      <c r="AX460" s="873"/>
      <c r="AY460" s="871"/>
      <c r="AZ460" s="867"/>
      <c r="BA460" s="867"/>
      <c r="BB460" s="867"/>
      <c r="BC460" s="873"/>
      <c r="BD460" s="867"/>
      <c r="BE460" s="867"/>
      <c r="BF460" s="867"/>
      <c r="BG460" s="867"/>
      <c r="BH460" s="867"/>
      <c r="BI460" s="867"/>
      <c r="BJ460" s="867"/>
      <c r="BK460" s="867"/>
      <c r="BL460" s="867"/>
      <c r="BM460" s="873"/>
      <c r="BN460" s="874"/>
      <c r="BO460" s="872"/>
      <c r="BP460" s="873"/>
      <c r="BQ460" s="875" t="str">
        <f>IFERROR(WWWW[[#This Row],['#_Water sources treated]]/WWWW[[#This Row],['#_Water sources tested for contamination]],"no test")</f>
        <v>no test</v>
      </c>
      <c r="BR460" s="872" t="str">
        <f>IFERROR(WWWW[[#This Row],['#_Household received remediation action due to contamination]]/WWWW[[#This Row],['#_Household water samples tested for contamination]],"no test")</f>
        <v>no test</v>
      </c>
      <c r="BS460" s="874" t="str">
        <f>IF(AND(WWWW[[#This Row],[% of water sources treated]]="no test",WWWW[[#This Row],[% Household received corrective actions]]="no test"),"No Test","Tested")</f>
        <v>No Test</v>
      </c>
      <c r="BT460" s="874">
        <f>WWWW[[#This Row],['#_Constructed/existing protected hand dug well]]-WWWW[[#This Row],['#_Non-functional protected hand dug well]]</f>
        <v>0</v>
      </c>
      <c r="BU460" s="874">
        <f>(WWWW[[#This Row],['#_Constructed/Existing tube wells/boreholes/handpumps_WASH_agency]]+WWWW[[#This Row],['#_Non-Cluster partner water tube-wells/boreholes/handpumps]])-WWWW[[#This Row],['#_Non-functional tube wells/boreholes/handpumps]]</f>
        <v>0</v>
      </c>
      <c r="BV460" s="874">
        <f>WWWW[[#This Row],['#_Constructed/Existingwater storage tank with gravity fed reticulation system]]-WWWW[[#This Row],['#_Non-functional storage tank gravity fed reticulation system]]</f>
        <v>0</v>
      </c>
      <c r="BW460" s="874">
        <f>WWWW[[#This Row],['#_Water boating or water trucking]]</f>
        <v>0</v>
      </c>
      <c r="BX460" s="874">
        <f>WWWW[[#This Row],['#_Constructed/Existing water distribution system from river or natural spring]]</f>
        <v>0</v>
      </c>
      <c r="BY460"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60"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60" s="872">
        <f>IF(WWWW[[#This Row],[Location Type 1]]="Village",WWWW[[#This Row],[Access to safe drinking water for Village]],WWWW[[#This Row],[Access to safe drinking water for Camp]])</f>
        <v>0</v>
      </c>
      <c r="CB460" s="870">
        <f>WWWW[[#This Row],[%Equitable and continuous access to sufficient quantity of safe drinking water]]*WWWW[[#This Row],[Total PoP ]]</f>
        <v>0</v>
      </c>
      <c r="CC460" s="872">
        <f>IF((WWWW[[#This Row],['#_Constructed/Existing protected/fenced ponds]]*250)/WWWW[[#This Row],[Total PoP ]]&gt;1,1,(WWWW[[#This Row],['#_Constructed/Existing protected/fenced ponds]]*250)/WWWW[[#This Row],[Total PoP ]])</f>
        <v>0</v>
      </c>
      <c r="CD460" s="870">
        <f>WWWW[[#This Row],[% Access to unimproved water points]]*WWWW[[#This Row],[Total PoP ]]</f>
        <v>0</v>
      </c>
      <c r="CE460"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60"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60" s="870">
        <f>WWWW[[#This Row],[HRP1]]/500</f>
        <v>0</v>
      </c>
      <c r="CH460" s="876">
        <f>1-WWWW[[#This Row],[% Equitable and continuous access to sufficient quantity of domestic water]]</f>
        <v>1</v>
      </c>
      <c r="CI460" s="870">
        <f>WWWW[[#This Row],[%equitable and continuous access to sufficient quantity of safe drinking and domestic water''s GAP]]*WWWW[[#This Row],[Total PoP ]]</f>
        <v>302</v>
      </c>
      <c r="CJ460" s="874">
        <f>IF(WWWW[[#This Row],[Total required water points]]-WWWW[[#This Row],['#Water points coverage]]&lt;0,0,WWWW[[#This Row],[Total required water points]]-WWWW[[#This Row],['#Water points coverage]])</f>
        <v>1</v>
      </c>
      <c r="CK460" s="874">
        <f>ROUND(IF(WWWW[[#This Row],[Total PoP ]]&lt;500,1,WWWW[[#This Row],[Total PoP ]]/500),0)</f>
        <v>1</v>
      </c>
      <c r="CL460" s="874">
        <f>(WWWW[[#This Row],['#_Constructed latrines_by_WASHAgencies]]+WWWW[[#This Row],['#_Non Cluster partner latrines]])-WWWW[[#This Row],['#_Non-functional latrines]]</f>
        <v>0</v>
      </c>
      <c r="CM460"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60"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60"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60" s="874">
        <f>IF(WWWW[[#This Row],[Location Type 1]]="Village","NA",IF(WWWW[[#This Row],['#_Constructed/Existing latrines in TLS]]*50&gt;WWWW[[#This Row],['#_students at TLS_CFS]],WWWW[[#This Row],['#_students at TLS_CFS]],(WWWW[[#This Row],['#_Constructed/Existing latrines in TLS]]*50)))</f>
        <v>0</v>
      </c>
      <c r="CQ460" s="874">
        <f>ROUND(IF(WWWW[[#This Row],[Location Type 1]]="camp",WWWW[[#This Row],[Total PoP ]]/20,IF(WWWW[[#This Row],[Location Type 1]]="Temporary Location",WWWW[[#This Row],[Total PoP ]]/50,(WWWW[[#This Row],[Total PoP ]]/6))),0)</f>
        <v>6</v>
      </c>
      <c r="CR460" s="874">
        <f>IF(WWWW[[#This Row],[Total required Latrines]]-(WWWW[[#This Row],['#_Constructed latrines_by_WASHAgencies]]+WWWW[[#This Row],['#_Non Cluster partner latrines]])&lt;0,0,WWWW[[#This Row],[Total required Latrines]]-(WWWW[[#This Row],['#_Constructed latrines_by_WASHAgencies]]+WWWW[[#This Row],['#_Non Cluster partner latrines]]))</f>
        <v>6</v>
      </c>
      <c r="CS460" s="878">
        <f>1-WWWW[[#This Row],[% people access to functioning Latrine]]</f>
        <v>1</v>
      </c>
      <c r="CT460" s="875">
        <f>IF(OR(WWWW[[#This Row],['#_Non-functional latrines]]="",WWWW[[#This Row],['#_Non-functional latrines]]=0),0,WWWW[[#This Row],['#_Non-functional latrines]]/(WWWW[[#This Row],['#_Constructed latrines_by_WASHAgencies]]+WWWW[[#This Row],['#_Non Cluster partner latrines]]))</f>
        <v>0</v>
      </c>
      <c r="CU460" s="870">
        <f>IF(500*(WWWW[[#This Row],['#_male hygiene promoters]]+WWWW[[#This Row],['#_female hygiene promoters]])&gt;WWWW[[#This Row],[Total PoP ]],WWWW[[#This Row],[Total PoP ]],500*(WWWW[[#This Row],['#_male hygiene promoters]]+WWWW[[#This Row],['#_female hygiene promoters]]))</f>
        <v>0</v>
      </c>
      <c r="CV460"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60"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60" s="874">
        <f>IF(WWWW[[#This Row],['# People with access to soap]]&gt;WWWW[[#This Row],['# People with access to Sanity Pads]],WWWW[[#This Row],['# People with access to soap]],WWWW[[#This Row],['# People with access to Sanity Pads]])</f>
        <v>0</v>
      </c>
      <c r="CY460"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60" s="876">
        <f>IF(WWWW[[#This Row],[HRP3]]/WWWW[[#This Row],[Total PoP ]]&gt;100%,100%,WWWW[[#This Row],[HRP3]]/WWWW[[#This Row],[Total PoP ]])</f>
        <v>0</v>
      </c>
      <c r="DA460" s="875">
        <f>1-WWWW[[#This Row],[Hygiene Coverage%]]</f>
        <v>1</v>
      </c>
      <c r="DB460" s="872">
        <f>WWWW[[#This Row],['# people reached by regular dedicated hygiene promotion_5]]/WWWW[[#This Row],[Total PoP ]]</f>
        <v>0</v>
      </c>
      <c r="DC460" s="872">
        <f>IF(WWWW[[#This Row],['#_households that received standard amount of soap for this quarter]]/WWWW[[#This Row],[Total HH]]&gt;1,1,WWWW[[#This Row],['#_households that received standard amount of soap for this quarter]]/WWWW[[#This Row],[Total HH]])</f>
        <v>0</v>
      </c>
      <c r="DD460" s="872">
        <f>IF(WWWW[[#This Row],['#_households that received standard amount of sanitary pads for this quarter]]/WWWW[[#This Row],[Total HH]]&gt;1,1,WWWW[[#This Row],['#_households that received standard amount of sanitary pads for this quarter]]/WWWW[[#This Row],[Total HH]])</f>
        <v>0</v>
      </c>
      <c r="DE460" s="874">
        <f>WWWW[[#This Row],['#_Constructed/Existing hand washing stations]]-WWWW[[#This Row],['#_Non-Functional_hand_washing_stations]]</f>
        <v>0</v>
      </c>
      <c r="DF460" s="879" t="e">
        <f>WWWW[[#This Row],[Total HH]]*#REF!</f>
        <v>#REF!</v>
      </c>
      <c r="DG460" s="870">
        <f>IF(WWWW[[#This Row],[Is sufficient soap available for TLS? (Yes/No)]]="yes",WWWW[[#This Row],['#_Constructed/Existing hand washing stations at TLS]],0)</f>
        <v>0</v>
      </c>
      <c r="DH460" s="702">
        <f>IF(WWWW[[#This Row],['# Functional hand washing stations during reporting period]]*100&gt;WWWW[[#This Row],[Total PoP ]],WWWW[[#This Row],[Total PoP ]],WWWW[[#This Row],['# Functional hand washing stations during reporting period]]*100)</f>
        <v>0</v>
      </c>
      <c r="DI460" s="702" t="str">
        <f>IF(WWWW[[#This Row],['#_students at TLS_CFS]]="","No","Yes")</f>
        <v>No</v>
      </c>
      <c r="DJ460" s="873">
        <f>VLOOKUP(WWWW[[#This Row],[Site Name]],SiteDB6[[Site Name]:[CCCM Management]],6,FALSE)</f>
        <v>0</v>
      </c>
      <c r="DK460" s="873">
        <f>VLOOKUP(WWWW[[#This Row],[Site Name]],SiteDB6[[Site Name]:[CCCM Focal Agency]],7,FALSE)</f>
        <v>0</v>
      </c>
      <c r="DL460" s="873" t="str">
        <f>VLOOKUP(WWWW[[#This Row],[Site Name]],SiteDB6[[Site Name]:[Location Type 1]],9,FALSE)</f>
        <v>Temporary location</v>
      </c>
      <c r="DM460" s="873" t="str">
        <f>VLOOKUP(WWWW[[#This Row],[Site Name]],SiteDB6[[Site Name]:[Type of Accommodation]],10,FALSE)</f>
        <v>Temporary location</v>
      </c>
      <c r="DN460" s="873">
        <f>VLOOKUP(WWWW[[#This Row],[Site Name]],SiteDB6[[Site Name]:[Ethnic or GCA/NGCA]],11,FALSE)</f>
        <v>0</v>
      </c>
      <c r="DO460" s="873">
        <f>VLOOKUP(WWWW[[#This Row],[Site Name]],SiteDB6[[Site Name]:[Lat]],12,FALSE)</f>
        <v>20.838279724121101</v>
      </c>
      <c r="DP460" s="873">
        <f>VLOOKUP(WWWW[[#This Row],[Site Name]],SiteDB6[[Site Name]:[Long]],13,FALSE)</f>
        <v>92.610900878906307</v>
      </c>
      <c r="DQ460" s="873">
        <f>VLOOKUP(WWWW[[#This Row],[Site Name]],SiteDB6[[Site Name]:[Pcode]],3,FALSE)</f>
        <v>198289</v>
      </c>
      <c r="DR460" s="871" t="str">
        <f t="shared" si="14"/>
        <v>Notcovered</v>
      </c>
      <c r="DS460" s="871"/>
      <c r="DV460" s="661"/>
    </row>
    <row r="461" spans="1:126">
      <c r="A461" s="637" t="s">
        <v>2525</v>
      </c>
      <c r="B461" s="863" t="s">
        <v>249</v>
      </c>
      <c r="C461" s="863" t="s">
        <v>249</v>
      </c>
      <c r="D461" s="864"/>
      <c r="E461" s="865" t="s">
        <v>3013</v>
      </c>
      <c r="F461" s="864" t="s">
        <v>337</v>
      </c>
      <c r="G461" s="866" t="str">
        <f>VLOOKUP(WWWW[[#This Row],[Site Name]],SiteDB6[[Site Name]:[Location Type]],8,FALSE)</f>
        <v>New Temporary Site</v>
      </c>
      <c r="H461" s="864" t="s">
        <v>2839</v>
      </c>
      <c r="I461" s="867">
        <v>57</v>
      </c>
      <c r="J461" s="867">
        <v>280</v>
      </c>
      <c r="K461" s="868"/>
      <c r="L461" s="869"/>
      <c r="M461" s="867"/>
      <c r="N461" s="867"/>
      <c r="O461" s="867"/>
      <c r="P461" s="867"/>
      <c r="Q461" s="870"/>
      <c r="R461" s="867"/>
      <c r="S461" s="867"/>
      <c r="T461" s="379"/>
      <c r="U461" s="867"/>
      <c r="V461" s="867"/>
      <c r="W461" s="867"/>
      <c r="X461" s="867"/>
      <c r="Y461" s="867"/>
      <c r="Z461" s="867"/>
      <c r="AA461" s="867"/>
      <c r="AB461" s="867"/>
      <c r="AC461" s="867"/>
      <c r="AD461" s="867"/>
      <c r="AE461" s="867"/>
      <c r="AF461" s="867"/>
      <c r="AG461" s="867"/>
      <c r="AH461" s="867"/>
      <c r="AI461" s="867"/>
      <c r="AJ461" s="867"/>
      <c r="AK461" s="867"/>
      <c r="AL461" s="867"/>
      <c r="AM461" s="867"/>
      <c r="AN461" s="867"/>
      <c r="AO461" s="871"/>
      <c r="AP461" s="867"/>
      <c r="AQ461" s="867"/>
      <c r="AR461" s="872"/>
      <c r="AS461" s="867"/>
      <c r="AT461" s="867"/>
      <c r="AU461" s="867"/>
      <c r="AV461" s="867"/>
      <c r="AW461" s="867"/>
      <c r="AX461" s="873"/>
      <c r="AY461" s="871"/>
      <c r="AZ461" s="867"/>
      <c r="BA461" s="867"/>
      <c r="BB461" s="867"/>
      <c r="BC461" s="873"/>
      <c r="BD461" s="867"/>
      <c r="BE461" s="867"/>
      <c r="BF461" s="867"/>
      <c r="BG461" s="867"/>
      <c r="BH461" s="867"/>
      <c r="BI461" s="867"/>
      <c r="BJ461" s="867"/>
      <c r="BK461" s="867">
        <v>57</v>
      </c>
      <c r="BL461" s="867">
        <v>57</v>
      </c>
      <c r="BM461" s="873"/>
      <c r="BN461" s="874"/>
      <c r="BO461" s="872"/>
      <c r="BP461" s="873"/>
      <c r="BQ461" s="875" t="str">
        <f>IFERROR(WWWW[[#This Row],['#_Water sources treated]]/WWWW[[#This Row],['#_Water sources tested for contamination]],"no test")</f>
        <v>no test</v>
      </c>
      <c r="BR461" s="872" t="str">
        <f>IFERROR(WWWW[[#This Row],['#_Household received remediation action due to contamination]]/WWWW[[#This Row],['#_Household water samples tested for contamination]],"no test")</f>
        <v>no test</v>
      </c>
      <c r="BS461" s="874" t="str">
        <f>IF(AND(WWWW[[#This Row],[% of water sources treated]]="no test",WWWW[[#This Row],[% Household received corrective actions]]="no test"),"No Test","Tested")</f>
        <v>No Test</v>
      </c>
      <c r="BT461" s="874">
        <f>WWWW[[#This Row],['#_Constructed/existing protected hand dug well]]-WWWW[[#This Row],['#_Non-functional protected hand dug well]]</f>
        <v>0</v>
      </c>
      <c r="BU461" s="874">
        <f>(WWWW[[#This Row],['#_Constructed/Existing tube wells/boreholes/handpumps_WASH_agency]]+WWWW[[#This Row],['#_Non-Cluster partner water tube-wells/boreholes/handpumps]])-WWWW[[#This Row],['#_Non-functional tube wells/boreholes/handpumps]]</f>
        <v>0</v>
      </c>
      <c r="BV461" s="874">
        <f>WWWW[[#This Row],['#_Constructed/Existingwater storage tank with gravity fed reticulation system]]-WWWW[[#This Row],['#_Non-functional storage tank gravity fed reticulation system]]</f>
        <v>0</v>
      </c>
      <c r="BW461" s="874">
        <f>WWWW[[#This Row],['#_Water boating or water trucking]]</f>
        <v>0</v>
      </c>
      <c r="BX461" s="874">
        <f>WWWW[[#This Row],['#_Constructed/Existing water distribution system from river or natural spring]]</f>
        <v>0</v>
      </c>
      <c r="BY461"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61"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61" s="872">
        <f>IF(WWWW[[#This Row],[Location Type 1]]="Village",WWWW[[#This Row],[Access to safe drinking water for Village]],WWWW[[#This Row],[Access to safe drinking water for Camp]])</f>
        <v>0</v>
      </c>
      <c r="CB461" s="870">
        <f>WWWW[[#This Row],[%Equitable and continuous access to sufficient quantity of safe drinking water]]*WWWW[[#This Row],[Total PoP ]]</f>
        <v>0</v>
      </c>
      <c r="CC461" s="872">
        <f>IF((WWWW[[#This Row],['#_Constructed/Existing protected/fenced ponds]]*250)/WWWW[[#This Row],[Total PoP ]]&gt;1,1,(WWWW[[#This Row],['#_Constructed/Existing protected/fenced ponds]]*250)/WWWW[[#This Row],[Total PoP ]])</f>
        <v>0</v>
      </c>
      <c r="CD461" s="870">
        <f>WWWW[[#This Row],[% Access to unimproved water points]]*WWWW[[#This Row],[Total PoP ]]</f>
        <v>0</v>
      </c>
      <c r="CE461"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61"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61" s="870">
        <f>WWWW[[#This Row],[HRP1]]/500</f>
        <v>0</v>
      </c>
      <c r="CH461" s="876">
        <f>1-WWWW[[#This Row],[% Equitable and continuous access to sufficient quantity of domestic water]]</f>
        <v>1</v>
      </c>
      <c r="CI461" s="870">
        <f>WWWW[[#This Row],[%equitable and continuous access to sufficient quantity of safe drinking and domestic water''s GAP]]*WWWW[[#This Row],[Total PoP ]]</f>
        <v>280</v>
      </c>
      <c r="CJ461" s="874">
        <f>IF(WWWW[[#This Row],[Total required water points]]-WWWW[[#This Row],['#Water points coverage]]&lt;0,0,WWWW[[#This Row],[Total required water points]]-WWWW[[#This Row],['#Water points coverage]])</f>
        <v>1</v>
      </c>
      <c r="CK461" s="874">
        <f>ROUND(IF(WWWW[[#This Row],[Total PoP ]]&lt;500,1,WWWW[[#This Row],[Total PoP ]]/500),0)</f>
        <v>1</v>
      </c>
      <c r="CL461" s="874">
        <f>(WWWW[[#This Row],['#_Constructed latrines_by_WASHAgencies]]+WWWW[[#This Row],['#_Non Cluster partner latrines]])-WWWW[[#This Row],['#_Non-functional latrines]]</f>
        <v>0</v>
      </c>
      <c r="CM461"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61"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61"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61" s="874">
        <f>IF(WWWW[[#This Row],[Location Type 1]]="Village","NA",IF(WWWW[[#This Row],['#_Constructed/Existing latrines in TLS]]*50&gt;WWWW[[#This Row],['#_students at TLS_CFS]],WWWW[[#This Row],['#_students at TLS_CFS]],(WWWW[[#This Row],['#_Constructed/Existing latrines in TLS]]*50)))</f>
        <v>0</v>
      </c>
      <c r="CQ461" s="874">
        <f>ROUND(IF(WWWW[[#This Row],[Location Type 1]]="camp",WWWW[[#This Row],[Total PoP ]]/20,IF(WWWW[[#This Row],[Location Type 1]]="Temporary Location",WWWW[[#This Row],[Total PoP ]]/50,(WWWW[[#This Row],[Total PoP ]]/6))),0)</f>
        <v>6</v>
      </c>
      <c r="CR461" s="874">
        <f>IF(WWWW[[#This Row],[Total required Latrines]]-(WWWW[[#This Row],['#_Constructed latrines_by_WASHAgencies]]+WWWW[[#This Row],['#_Non Cluster partner latrines]])&lt;0,0,WWWW[[#This Row],[Total required Latrines]]-(WWWW[[#This Row],['#_Constructed latrines_by_WASHAgencies]]+WWWW[[#This Row],['#_Non Cluster partner latrines]]))</f>
        <v>6</v>
      </c>
      <c r="CS461" s="878">
        <f>1-WWWW[[#This Row],[% people access to functioning Latrine]]</f>
        <v>1</v>
      </c>
      <c r="CT461" s="875">
        <f>IF(OR(WWWW[[#This Row],['#_Non-functional latrines]]="",WWWW[[#This Row],['#_Non-functional latrines]]=0),0,WWWW[[#This Row],['#_Non-functional latrines]]/(WWWW[[#This Row],['#_Constructed latrines_by_WASHAgencies]]+WWWW[[#This Row],['#_Non Cluster partner latrines]]))</f>
        <v>0</v>
      </c>
      <c r="CU461" s="870">
        <f>IF(500*(WWWW[[#This Row],['#_male hygiene promoters]]+WWWW[[#This Row],['#_female hygiene promoters]])&gt;WWWW[[#This Row],[Total PoP ]],WWWW[[#This Row],[Total PoP ]],500*(WWWW[[#This Row],['#_male hygiene promoters]]+WWWW[[#This Row],['#_female hygiene promoters]]))</f>
        <v>0</v>
      </c>
      <c r="CV461"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280</v>
      </c>
      <c r="CW461"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280</v>
      </c>
      <c r="CX461" s="874">
        <f>IF(WWWW[[#This Row],['# People with access to soap]]&gt;WWWW[[#This Row],['# People with access to Sanity Pads]],WWWW[[#This Row],['# People with access to soap]],WWWW[[#This Row],['# People with access to Sanity Pads]])</f>
        <v>280</v>
      </c>
      <c r="CY461" s="874">
        <f>IF(WWWW[[#This Row],['# people reached by regular dedicated hygiene promotion_5]]&gt;WWWW[[#This Row],['# People received regular supply of hygiene items_6]],WWWW[[#This Row],['# people reached by regular dedicated hygiene promotion_5]],WWWW[[#This Row],['# People received regular supply of hygiene items_6]])</f>
        <v>280</v>
      </c>
      <c r="CZ461" s="876">
        <f>IF(WWWW[[#This Row],[HRP3]]/WWWW[[#This Row],[Total PoP ]]&gt;100%,100%,WWWW[[#This Row],[HRP3]]/WWWW[[#This Row],[Total PoP ]])</f>
        <v>1</v>
      </c>
      <c r="DA461" s="875">
        <f>1-WWWW[[#This Row],[Hygiene Coverage%]]</f>
        <v>0</v>
      </c>
      <c r="DB461" s="872">
        <f>WWWW[[#This Row],['# people reached by regular dedicated hygiene promotion_5]]/WWWW[[#This Row],[Total PoP ]]</f>
        <v>0</v>
      </c>
      <c r="DC461" s="872">
        <f>IF(WWWW[[#This Row],['#_households that received standard amount of soap for this quarter]]/WWWW[[#This Row],[Total HH]]&gt;1,1,WWWW[[#This Row],['#_households that received standard amount of soap for this quarter]]/WWWW[[#This Row],[Total HH]])</f>
        <v>1</v>
      </c>
      <c r="DD461" s="872">
        <f>IF(WWWW[[#This Row],['#_households that received standard amount of sanitary pads for this quarter]]/WWWW[[#This Row],[Total HH]]&gt;1,1,WWWW[[#This Row],['#_households that received standard amount of sanitary pads for this quarter]]/WWWW[[#This Row],[Total HH]])</f>
        <v>1</v>
      </c>
      <c r="DE461" s="874">
        <f>WWWW[[#This Row],['#_Constructed/Existing hand washing stations]]-WWWW[[#This Row],['#_Non-Functional_hand_washing_stations]]</f>
        <v>0</v>
      </c>
      <c r="DF461" s="879" t="e">
        <f>WWWW[[#This Row],[Total HH]]*#REF!</f>
        <v>#REF!</v>
      </c>
      <c r="DG461" s="870">
        <f>IF(WWWW[[#This Row],[Is sufficient soap available for TLS? (Yes/No)]]="yes",WWWW[[#This Row],['#_Constructed/Existing hand washing stations at TLS]],0)</f>
        <v>0</v>
      </c>
      <c r="DH461" s="702">
        <f>IF(WWWW[[#This Row],['# Functional hand washing stations during reporting period]]*100&gt;WWWW[[#This Row],[Total PoP ]],WWWW[[#This Row],[Total PoP ]],WWWW[[#This Row],['# Functional hand washing stations during reporting period]]*100)</f>
        <v>0</v>
      </c>
      <c r="DI461" s="702" t="str">
        <f>IF(WWWW[[#This Row],['#_students at TLS_CFS]]="","No","Yes")</f>
        <v>No</v>
      </c>
      <c r="DJ461" s="873">
        <f>VLOOKUP(WWWW[[#This Row],[Site Name]],SiteDB6[[Site Name]:[CCCM Management]],6,FALSE)</f>
        <v>0</v>
      </c>
      <c r="DK461" s="873">
        <f>VLOOKUP(WWWW[[#This Row],[Site Name]],SiteDB6[[Site Name]:[CCCM Focal Agency]],7,FALSE)</f>
        <v>0</v>
      </c>
      <c r="DL461" s="873" t="str">
        <f>VLOOKUP(WWWW[[#This Row],[Site Name]],SiteDB6[[Site Name]:[Location Type 1]],9,FALSE)</f>
        <v>Temporary location</v>
      </c>
      <c r="DM461" s="873" t="str">
        <f>VLOOKUP(WWWW[[#This Row],[Site Name]],SiteDB6[[Site Name]:[Type of Accommodation]],10,FALSE)</f>
        <v>Temporary location</v>
      </c>
      <c r="DN461" s="873">
        <f>VLOOKUP(WWWW[[#This Row],[Site Name]],SiteDB6[[Site Name]:[Ethnic or GCA/NGCA]],11,FALSE)</f>
        <v>0</v>
      </c>
      <c r="DO461" s="873">
        <f>VLOOKUP(WWWW[[#This Row],[Site Name]],SiteDB6[[Site Name]:[Lat]],12,FALSE)</f>
        <v>0</v>
      </c>
      <c r="DP461" s="873">
        <f>VLOOKUP(WWWW[[#This Row],[Site Name]],SiteDB6[[Site Name]:[Long]],13,FALSE)</f>
        <v>0</v>
      </c>
      <c r="DQ461" s="873">
        <f>VLOOKUP(WWWW[[#This Row],[Site Name]],SiteDB6[[Site Name]:[Pcode]],3,FALSE)</f>
        <v>0</v>
      </c>
      <c r="DR461" s="871" t="str">
        <f t="shared" si="14"/>
        <v>Covered</v>
      </c>
      <c r="DS461" s="871"/>
      <c r="DV461" s="661"/>
    </row>
    <row r="462" spans="1:126">
      <c r="A462" s="637" t="s">
        <v>2525</v>
      </c>
      <c r="B462" s="863" t="s">
        <v>249</v>
      </c>
      <c r="C462" s="863" t="s">
        <v>3161</v>
      </c>
      <c r="D462" s="864"/>
      <c r="E462" s="865" t="s">
        <v>3013</v>
      </c>
      <c r="F462" s="864" t="s">
        <v>337</v>
      </c>
      <c r="G462" s="866" t="str">
        <f>VLOOKUP(WWWW[[#This Row],[Site Name]],SiteDB6[[Site Name]:[Location Type]],8,FALSE)</f>
        <v>New Temporary Site</v>
      </c>
      <c r="H462" s="864" t="s">
        <v>3158</v>
      </c>
      <c r="I462" s="867">
        <v>200</v>
      </c>
      <c r="J462" s="867">
        <v>1891</v>
      </c>
      <c r="K462" s="868"/>
      <c r="L462" s="869"/>
      <c r="M462" s="867"/>
      <c r="N462" s="867"/>
      <c r="O462" s="867"/>
      <c r="P462" s="867"/>
      <c r="Q462" s="870"/>
      <c r="R462" s="867"/>
      <c r="S462" s="867"/>
      <c r="T462" s="379"/>
      <c r="U462" s="867"/>
      <c r="V462" s="867"/>
      <c r="W462" s="867"/>
      <c r="X462" s="867"/>
      <c r="Y462" s="867"/>
      <c r="Z462" s="867"/>
      <c r="AA462" s="867"/>
      <c r="AB462" s="867"/>
      <c r="AC462" s="867"/>
      <c r="AD462" s="867"/>
      <c r="AE462" s="867"/>
      <c r="AF462" s="867"/>
      <c r="AG462" s="867"/>
      <c r="AH462" s="867"/>
      <c r="AI462" s="867"/>
      <c r="AJ462" s="867"/>
      <c r="AK462" s="867"/>
      <c r="AL462" s="867"/>
      <c r="AM462" s="867"/>
      <c r="AN462" s="867"/>
      <c r="AO462" s="871"/>
      <c r="AP462" s="867"/>
      <c r="AQ462" s="867"/>
      <c r="AR462" s="872"/>
      <c r="AS462" s="867"/>
      <c r="AT462" s="867"/>
      <c r="AU462" s="867"/>
      <c r="AV462" s="867"/>
      <c r="AW462" s="867"/>
      <c r="AX462" s="873"/>
      <c r="AY462" s="871"/>
      <c r="AZ462" s="867"/>
      <c r="BA462" s="867"/>
      <c r="BB462" s="867"/>
      <c r="BC462" s="873"/>
      <c r="BD462" s="867"/>
      <c r="BE462" s="867"/>
      <c r="BF462" s="867"/>
      <c r="BG462" s="867"/>
      <c r="BH462" s="867"/>
      <c r="BI462" s="867"/>
      <c r="BJ462" s="867"/>
      <c r="BK462" s="867">
        <v>82</v>
      </c>
      <c r="BL462" s="867">
        <v>82</v>
      </c>
      <c r="BM462" s="873"/>
      <c r="BN462" s="874"/>
      <c r="BO462" s="872"/>
      <c r="BP462" s="873"/>
      <c r="BQ462" s="875" t="str">
        <f>IFERROR(WWWW[[#This Row],['#_Water sources treated]]/WWWW[[#This Row],['#_Water sources tested for contamination]],"no test")</f>
        <v>no test</v>
      </c>
      <c r="BR462" s="872" t="str">
        <f>IFERROR(WWWW[[#This Row],['#_Household received remediation action due to contamination]]/WWWW[[#This Row],['#_Household water samples tested for contamination]],"no test")</f>
        <v>no test</v>
      </c>
      <c r="BS462" s="874" t="str">
        <f>IF(AND(WWWW[[#This Row],[% of water sources treated]]="no test",WWWW[[#This Row],[% Household received corrective actions]]="no test"),"No Test","Tested")</f>
        <v>No Test</v>
      </c>
      <c r="BT462" s="874">
        <f>WWWW[[#This Row],['#_Constructed/existing protected hand dug well]]-WWWW[[#This Row],['#_Non-functional protected hand dug well]]</f>
        <v>0</v>
      </c>
      <c r="BU462" s="874">
        <f>(WWWW[[#This Row],['#_Constructed/Existing tube wells/boreholes/handpumps_WASH_agency]]+WWWW[[#This Row],['#_Non-Cluster partner water tube-wells/boreholes/handpumps]])-WWWW[[#This Row],['#_Non-functional tube wells/boreholes/handpumps]]</f>
        <v>0</v>
      </c>
      <c r="BV462" s="874">
        <f>WWWW[[#This Row],['#_Constructed/Existingwater storage tank with gravity fed reticulation system]]-WWWW[[#This Row],['#_Non-functional storage tank gravity fed reticulation system]]</f>
        <v>0</v>
      </c>
      <c r="BW462" s="874">
        <f>WWWW[[#This Row],['#_Water boating or water trucking]]</f>
        <v>0</v>
      </c>
      <c r="BX462" s="874">
        <f>WWWW[[#This Row],['#_Constructed/Existing water distribution system from river or natural spring]]</f>
        <v>0</v>
      </c>
      <c r="BY462"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62"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62" s="872">
        <f>IF(WWWW[[#This Row],[Location Type 1]]="Village",WWWW[[#This Row],[Access to safe drinking water for Village]],WWWW[[#This Row],[Access to safe drinking water for Camp]])</f>
        <v>0</v>
      </c>
      <c r="CB462" s="870">
        <f>WWWW[[#This Row],[%Equitable and continuous access to sufficient quantity of safe drinking water]]*WWWW[[#This Row],[Total PoP ]]</f>
        <v>0</v>
      </c>
      <c r="CC462" s="872">
        <f>IF((WWWW[[#This Row],['#_Constructed/Existing protected/fenced ponds]]*250)/WWWW[[#This Row],[Total PoP ]]&gt;1,1,(WWWW[[#This Row],['#_Constructed/Existing protected/fenced ponds]]*250)/WWWW[[#This Row],[Total PoP ]])</f>
        <v>0</v>
      </c>
      <c r="CD462" s="870">
        <f>WWWW[[#This Row],[% Access to unimproved water points]]*WWWW[[#This Row],[Total PoP ]]</f>
        <v>0</v>
      </c>
      <c r="CE462"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62"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62" s="870">
        <f>WWWW[[#This Row],[HRP1]]/500</f>
        <v>0</v>
      </c>
      <c r="CH462" s="876">
        <f>1-WWWW[[#This Row],[% Equitable and continuous access to sufficient quantity of domestic water]]</f>
        <v>1</v>
      </c>
      <c r="CI462" s="870">
        <f>WWWW[[#This Row],[%equitable and continuous access to sufficient quantity of safe drinking and domestic water''s GAP]]*WWWW[[#This Row],[Total PoP ]]</f>
        <v>1891</v>
      </c>
      <c r="CJ462" s="874">
        <f>IF(WWWW[[#This Row],[Total required water points]]-WWWW[[#This Row],['#Water points coverage]]&lt;0,0,WWWW[[#This Row],[Total required water points]]-WWWW[[#This Row],['#Water points coverage]])</f>
        <v>4</v>
      </c>
      <c r="CK462" s="874">
        <f>ROUND(IF(WWWW[[#This Row],[Total PoP ]]&lt;500,1,WWWW[[#This Row],[Total PoP ]]/500),0)</f>
        <v>4</v>
      </c>
      <c r="CL462" s="874">
        <f>(WWWW[[#This Row],['#_Constructed latrines_by_WASHAgencies]]+WWWW[[#This Row],['#_Non Cluster partner latrines]])-WWWW[[#This Row],['#_Non-functional latrines]]</f>
        <v>0</v>
      </c>
      <c r="CM462"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62"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62"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62" s="874">
        <f>IF(WWWW[[#This Row],[Location Type 1]]="Village","NA",IF(WWWW[[#This Row],['#_Constructed/Existing latrines in TLS]]*50&gt;WWWW[[#This Row],['#_students at TLS_CFS]],WWWW[[#This Row],['#_students at TLS_CFS]],(WWWW[[#This Row],['#_Constructed/Existing latrines in TLS]]*50)))</f>
        <v>0</v>
      </c>
      <c r="CQ462" s="874">
        <f>ROUND(IF(WWWW[[#This Row],[Location Type 1]]="camp",WWWW[[#This Row],[Total PoP ]]/20,IF(WWWW[[#This Row],[Location Type 1]]="Temporary Location",WWWW[[#This Row],[Total PoP ]]/50,(WWWW[[#This Row],[Total PoP ]]/6))),0)</f>
        <v>38</v>
      </c>
      <c r="CR462" s="874">
        <f>IF(WWWW[[#This Row],[Total required Latrines]]-(WWWW[[#This Row],['#_Constructed latrines_by_WASHAgencies]]+WWWW[[#This Row],['#_Non Cluster partner latrines]])&lt;0,0,WWWW[[#This Row],[Total required Latrines]]-(WWWW[[#This Row],['#_Constructed latrines_by_WASHAgencies]]+WWWW[[#This Row],['#_Non Cluster partner latrines]]))</f>
        <v>38</v>
      </c>
      <c r="CS462" s="878">
        <f>1-WWWW[[#This Row],[% people access to functioning Latrine]]</f>
        <v>1</v>
      </c>
      <c r="CT462" s="875">
        <f>IF(OR(WWWW[[#This Row],['#_Non-functional latrines]]="",WWWW[[#This Row],['#_Non-functional latrines]]=0),0,WWWW[[#This Row],['#_Non-functional latrines]]/(WWWW[[#This Row],['#_Constructed latrines_by_WASHAgencies]]+WWWW[[#This Row],['#_Non Cluster partner latrines]]))</f>
        <v>0</v>
      </c>
      <c r="CU462" s="870">
        <f>IF(500*(WWWW[[#This Row],['#_male hygiene promoters]]+WWWW[[#This Row],['#_female hygiene promoters]])&gt;WWWW[[#This Row],[Total PoP ]],WWWW[[#This Row],[Total PoP ]],500*(WWWW[[#This Row],['#_male hygiene promoters]]+WWWW[[#This Row],['#_female hygiene promoters]]))</f>
        <v>0</v>
      </c>
      <c r="CV462"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410</v>
      </c>
      <c r="CW462"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410</v>
      </c>
      <c r="CX462" s="874">
        <f>IF(WWWW[[#This Row],['# People with access to soap]]&gt;WWWW[[#This Row],['# People with access to Sanity Pads]],WWWW[[#This Row],['# People with access to soap]],WWWW[[#This Row],['# People with access to Sanity Pads]])</f>
        <v>410</v>
      </c>
      <c r="CY462" s="874">
        <f>IF(WWWW[[#This Row],['# people reached by regular dedicated hygiene promotion_5]]&gt;WWWW[[#This Row],['# People received regular supply of hygiene items_6]],WWWW[[#This Row],['# people reached by regular dedicated hygiene promotion_5]],WWWW[[#This Row],['# People received regular supply of hygiene items_6]])</f>
        <v>410</v>
      </c>
      <c r="CZ462" s="876">
        <f>IF(WWWW[[#This Row],[HRP3]]/WWWW[[#This Row],[Total PoP ]]&gt;100%,100%,WWWW[[#This Row],[HRP3]]/WWWW[[#This Row],[Total PoP ]])</f>
        <v>0.2168164992067689</v>
      </c>
      <c r="DA462" s="875">
        <f>1-WWWW[[#This Row],[Hygiene Coverage%]]</f>
        <v>0.78318350079323107</v>
      </c>
      <c r="DB462" s="872">
        <f>WWWW[[#This Row],['# people reached by regular dedicated hygiene promotion_5]]/WWWW[[#This Row],[Total PoP ]]</f>
        <v>0</v>
      </c>
      <c r="DC462" s="872">
        <f>IF(WWWW[[#This Row],['#_households that received standard amount of soap for this quarter]]/WWWW[[#This Row],[Total HH]]&gt;1,1,WWWW[[#This Row],['#_households that received standard amount of soap for this quarter]]/WWWW[[#This Row],[Total HH]])</f>
        <v>0.41</v>
      </c>
      <c r="DD462" s="872">
        <f>IF(WWWW[[#This Row],['#_households that received standard amount of sanitary pads for this quarter]]/WWWW[[#This Row],[Total HH]]&gt;1,1,WWWW[[#This Row],['#_households that received standard amount of sanitary pads for this quarter]]/WWWW[[#This Row],[Total HH]])</f>
        <v>0.41</v>
      </c>
      <c r="DE462" s="874">
        <f>WWWW[[#This Row],['#_Constructed/Existing hand washing stations]]-WWWW[[#This Row],['#_Non-Functional_hand_washing_stations]]</f>
        <v>0</v>
      </c>
      <c r="DF462" s="879" t="e">
        <f>WWWW[[#This Row],[Total HH]]*#REF!</f>
        <v>#REF!</v>
      </c>
      <c r="DG462" s="870">
        <f>IF(WWWW[[#This Row],[Is sufficient soap available for TLS? (Yes/No)]]="yes",WWWW[[#This Row],['#_Constructed/Existing hand washing stations at TLS]],0)</f>
        <v>0</v>
      </c>
      <c r="DH462" s="702">
        <f>IF(WWWW[[#This Row],['# Functional hand washing stations during reporting period]]*100&gt;WWWW[[#This Row],[Total PoP ]],WWWW[[#This Row],[Total PoP ]],WWWW[[#This Row],['# Functional hand washing stations during reporting period]]*100)</f>
        <v>0</v>
      </c>
      <c r="DI462" s="702" t="str">
        <f>IF(WWWW[[#This Row],['#_students at TLS_CFS]]="","No","Yes")</f>
        <v>No</v>
      </c>
      <c r="DJ462" s="873">
        <f>VLOOKUP(WWWW[[#This Row],[Site Name]],SiteDB6[[Site Name]:[CCCM Management]],6,FALSE)</f>
        <v>0</v>
      </c>
      <c r="DK462" s="873">
        <f>VLOOKUP(WWWW[[#This Row],[Site Name]],SiteDB6[[Site Name]:[CCCM Focal Agency]],7,FALSE)</f>
        <v>0</v>
      </c>
      <c r="DL462" s="873" t="str">
        <f>VLOOKUP(WWWW[[#This Row],[Site Name]],SiteDB6[[Site Name]:[Location Type 1]],9,FALSE)</f>
        <v>Temporary location</v>
      </c>
      <c r="DM462" s="873" t="str">
        <f>VLOOKUP(WWWW[[#This Row],[Site Name]],SiteDB6[[Site Name]:[Type of Accommodation]],10,FALSE)</f>
        <v>Temporary location</v>
      </c>
      <c r="DN462" s="873">
        <f>VLOOKUP(WWWW[[#This Row],[Site Name]],SiteDB6[[Site Name]:[Ethnic or GCA/NGCA]],11,FALSE)</f>
        <v>0</v>
      </c>
      <c r="DO462" s="873">
        <f>VLOOKUP(WWWW[[#This Row],[Site Name]],SiteDB6[[Site Name]:[Lat]],12,FALSE)</f>
        <v>20.765670776367202</v>
      </c>
      <c r="DP462" s="873">
        <f>VLOOKUP(WWWW[[#This Row],[Site Name]],SiteDB6[[Site Name]:[Long]],13,FALSE)</f>
        <v>92.577812194824205</v>
      </c>
      <c r="DQ462" s="873">
        <f>VLOOKUP(WWWW[[#This Row],[Site Name]],SiteDB6[[Site Name]:[Pcode]],3,FALSE)</f>
        <v>198401</v>
      </c>
      <c r="DR462" s="871" t="str">
        <f t="shared" si="14"/>
        <v>Covered</v>
      </c>
      <c r="DS462" s="871"/>
      <c r="DV462" s="661"/>
    </row>
    <row r="463" spans="1:126">
      <c r="A463" s="637" t="s">
        <v>2525</v>
      </c>
      <c r="B463" s="863" t="s">
        <v>249</v>
      </c>
      <c r="C463" s="863" t="s">
        <v>249</v>
      </c>
      <c r="D463" s="864"/>
      <c r="E463" s="865" t="s">
        <v>3013</v>
      </c>
      <c r="F463" s="864" t="s">
        <v>337</v>
      </c>
      <c r="G463" s="866" t="str">
        <f>VLOOKUP(WWWW[[#This Row],[Site Name]],SiteDB6[[Site Name]:[Location Type]],8,FALSE)</f>
        <v>New Temporary Site</v>
      </c>
      <c r="H463" s="864" t="s">
        <v>3242</v>
      </c>
      <c r="I463" s="867">
        <v>10</v>
      </c>
      <c r="J463" s="867">
        <v>61</v>
      </c>
      <c r="K463" s="868"/>
      <c r="L463" s="869"/>
      <c r="M463" s="867"/>
      <c r="N463" s="867"/>
      <c r="O463" s="867"/>
      <c r="P463" s="867"/>
      <c r="Q463" s="870"/>
      <c r="R463" s="867"/>
      <c r="S463" s="867"/>
      <c r="T463" s="379"/>
      <c r="U463" s="867"/>
      <c r="V463" s="867"/>
      <c r="W463" s="867"/>
      <c r="X463" s="867"/>
      <c r="Y463" s="867"/>
      <c r="Z463" s="867"/>
      <c r="AA463" s="867"/>
      <c r="AB463" s="867"/>
      <c r="AC463" s="867"/>
      <c r="AD463" s="867"/>
      <c r="AE463" s="867"/>
      <c r="AF463" s="867"/>
      <c r="AG463" s="867"/>
      <c r="AH463" s="867"/>
      <c r="AI463" s="867"/>
      <c r="AJ463" s="867"/>
      <c r="AK463" s="867"/>
      <c r="AL463" s="867"/>
      <c r="AM463" s="867"/>
      <c r="AN463" s="867"/>
      <c r="AO463" s="871"/>
      <c r="AP463" s="867"/>
      <c r="AQ463" s="867"/>
      <c r="AR463" s="872"/>
      <c r="AS463" s="867"/>
      <c r="AT463" s="867"/>
      <c r="AU463" s="867"/>
      <c r="AV463" s="867"/>
      <c r="AW463" s="867"/>
      <c r="AX463" s="873"/>
      <c r="AY463" s="871"/>
      <c r="AZ463" s="867"/>
      <c r="BA463" s="867"/>
      <c r="BB463" s="867"/>
      <c r="BC463" s="873"/>
      <c r="BD463" s="867"/>
      <c r="BE463" s="867"/>
      <c r="BF463" s="867"/>
      <c r="BG463" s="867"/>
      <c r="BH463" s="867"/>
      <c r="BI463" s="867"/>
      <c r="BJ463" s="867"/>
      <c r="BK463" s="867">
        <v>10</v>
      </c>
      <c r="BL463" s="867">
        <v>10</v>
      </c>
      <c r="BM463" s="873"/>
      <c r="BN463" s="874"/>
      <c r="BO463" s="872"/>
      <c r="BP463" s="873"/>
      <c r="BQ463" s="875" t="str">
        <f>IFERROR(WWWW[[#This Row],['#_Water sources treated]]/WWWW[[#This Row],['#_Water sources tested for contamination]],"no test")</f>
        <v>no test</v>
      </c>
      <c r="BR463" s="872" t="str">
        <f>IFERROR(WWWW[[#This Row],['#_Household received remediation action due to contamination]]/WWWW[[#This Row],['#_Household water samples tested for contamination]],"no test")</f>
        <v>no test</v>
      </c>
      <c r="BS463" s="874" t="str">
        <f>IF(AND(WWWW[[#This Row],[% of water sources treated]]="no test",WWWW[[#This Row],[% Household received corrective actions]]="no test"),"No Test","Tested")</f>
        <v>No Test</v>
      </c>
      <c r="BT463" s="874">
        <f>WWWW[[#This Row],['#_Constructed/existing protected hand dug well]]-WWWW[[#This Row],['#_Non-functional protected hand dug well]]</f>
        <v>0</v>
      </c>
      <c r="BU463" s="874">
        <f>(WWWW[[#This Row],['#_Constructed/Existing tube wells/boreholes/handpumps_WASH_agency]]+WWWW[[#This Row],['#_Non-Cluster partner water tube-wells/boreholes/handpumps]])-WWWW[[#This Row],['#_Non-functional tube wells/boreholes/handpumps]]</f>
        <v>0</v>
      </c>
      <c r="BV463" s="874">
        <f>WWWW[[#This Row],['#_Constructed/Existingwater storage tank with gravity fed reticulation system]]-WWWW[[#This Row],['#_Non-functional storage tank gravity fed reticulation system]]</f>
        <v>0</v>
      </c>
      <c r="BW463" s="874">
        <f>WWWW[[#This Row],['#_Water boating or water trucking]]</f>
        <v>0</v>
      </c>
      <c r="BX463" s="874">
        <f>WWWW[[#This Row],['#_Constructed/Existing water distribution system from river or natural spring]]</f>
        <v>0</v>
      </c>
      <c r="BY463"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63"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63" s="872">
        <f>IF(WWWW[[#This Row],[Location Type 1]]="Village",WWWW[[#This Row],[Access to safe drinking water for Village]],WWWW[[#This Row],[Access to safe drinking water for Camp]])</f>
        <v>0</v>
      </c>
      <c r="CB463" s="870">
        <f>WWWW[[#This Row],[%Equitable and continuous access to sufficient quantity of safe drinking water]]*WWWW[[#This Row],[Total PoP ]]</f>
        <v>0</v>
      </c>
      <c r="CC463" s="872">
        <f>IF((WWWW[[#This Row],['#_Constructed/Existing protected/fenced ponds]]*250)/WWWW[[#This Row],[Total PoP ]]&gt;1,1,(WWWW[[#This Row],['#_Constructed/Existing protected/fenced ponds]]*250)/WWWW[[#This Row],[Total PoP ]])</f>
        <v>0</v>
      </c>
      <c r="CD463" s="870">
        <f>WWWW[[#This Row],[% Access to unimproved water points]]*WWWW[[#This Row],[Total PoP ]]</f>
        <v>0</v>
      </c>
      <c r="CE463"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63"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63" s="870">
        <f>WWWW[[#This Row],[HRP1]]/500</f>
        <v>0</v>
      </c>
      <c r="CH463" s="876">
        <f>1-WWWW[[#This Row],[% Equitable and continuous access to sufficient quantity of domestic water]]</f>
        <v>1</v>
      </c>
      <c r="CI463" s="870">
        <f>WWWW[[#This Row],[%equitable and continuous access to sufficient quantity of safe drinking and domestic water''s GAP]]*WWWW[[#This Row],[Total PoP ]]</f>
        <v>61</v>
      </c>
      <c r="CJ463" s="874">
        <f>IF(WWWW[[#This Row],[Total required water points]]-WWWW[[#This Row],['#Water points coverage]]&lt;0,0,WWWW[[#This Row],[Total required water points]]-WWWW[[#This Row],['#Water points coverage]])</f>
        <v>1</v>
      </c>
      <c r="CK463" s="874">
        <f>ROUND(IF(WWWW[[#This Row],[Total PoP ]]&lt;500,1,WWWW[[#This Row],[Total PoP ]]/500),0)</f>
        <v>1</v>
      </c>
      <c r="CL463" s="874">
        <f>(WWWW[[#This Row],['#_Constructed latrines_by_WASHAgencies]]+WWWW[[#This Row],['#_Non Cluster partner latrines]])-WWWW[[#This Row],['#_Non-functional latrines]]</f>
        <v>0</v>
      </c>
      <c r="CM463"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63"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63"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63" s="874">
        <f>IF(WWWW[[#This Row],[Location Type 1]]="Village","NA",IF(WWWW[[#This Row],['#_Constructed/Existing latrines in TLS]]*50&gt;WWWW[[#This Row],['#_students at TLS_CFS]],WWWW[[#This Row],['#_students at TLS_CFS]],(WWWW[[#This Row],['#_Constructed/Existing latrines in TLS]]*50)))</f>
        <v>0</v>
      </c>
      <c r="CQ463" s="874">
        <f>ROUND(IF(WWWW[[#This Row],[Location Type 1]]="camp",WWWW[[#This Row],[Total PoP ]]/20,IF(WWWW[[#This Row],[Location Type 1]]="Temporary Location",WWWW[[#This Row],[Total PoP ]]/50,(WWWW[[#This Row],[Total PoP ]]/6))),0)</f>
        <v>1</v>
      </c>
      <c r="CR463" s="874">
        <f>IF(WWWW[[#This Row],[Total required Latrines]]-(WWWW[[#This Row],['#_Constructed latrines_by_WASHAgencies]]+WWWW[[#This Row],['#_Non Cluster partner latrines]])&lt;0,0,WWWW[[#This Row],[Total required Latrines]]-(WWWW[[#This Row],['#_Constructed latrines_by_WASHAgencies]]+WWWW[[#This Row],['#_Non Cluster partner latrines]]))</f>
        <v>1</v>
      </c>
      <c r="CS463" s="878">
        <f>1-WWWW[[#This Row],[% people access to functioning Latrine]]</f>
        <v>1</v>
      </c>
      <c r="CT463" s="875">
        <f>IF(OR(WWWW[[#This Row],['#_Non-functional latrines]]="",WWWW[[#This Row],['#_Non-functional latrines]]=0),0,WWWW[[#This Row],['#_Non-functional latrines]]/(WWWW[[#This Row],['#_Constructed latrines_by_WASHAgencies]]+WWWW[[#This Row],['#_Non Cluster partner latrines]]))</f>
        <v>0</v>
      </c>
      <c r="CU463" s="870">
        <f>IF(500*(WWWW[[#This Row],['#_male hygiene promoters]]+WWWW[[#This Row],['#_female hygiene promoters]])&gt;WWWW[[#This Row],[Total PoP ]],WWWW[[#This Row],[Total PoP ]],500*(WWWW[[#This Row],['#_male hygiene promoters]]+WWWW[[#This Row],['#_female hygiene promoters]]))</f>
        <v>0</v>
      </c>
      <c r="CV463"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61</v>
      </c>
      <c r="CW463"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61</v>
      </c>
      <c r="CX463" s="874">
        <f>IF(WWWW[[#This Row],['# People with access to soap]]&gt;WWWW[[#This Row],['# People with access to Sanity Pads]],WWWW[[#This Row],['# People with access to soap]],WWWW[[#This Row],['# People with access to Sanity Pads]])</f>
        <v>61</v>
      </c>
      <c r="CY463" s="874">
        <f>IF(WWWW[[#This Row],['# people reached by regular dedicated hygiene promotion_5]]&gt;WWWW[[#This Row],['# People received regular supply of hygiene items_6]],WWWW[[#This Row],['# people reached by regular dedicated hygiene promotion_5]],WWWW[[#This Row],['# People received regular supply of hygiene items_6]])</f>
        <v>61</v>
      </c>
      <c r="CZ463" s="876">
        <f>IF(WWWW[[#This Row],[HRP3]]/WWWW[[#This Row],[Total PoP ]]&gt;100%,100%,WWWW[[#This Row],[HRP3]]/WWWW[[#This Row],[Total PoP ]])</f>
        <v>1</v>
      </c>
      <c r="DA463" s="875">
        <f>1-WWWW[[#This Row],[Hygiene Coverage%]]</f>
        <v>0</v>
      </c>
      <c r="DB463" s="872">
        <f>WWWW[[#This Row],['# people reached by regular dedicated hygiene promotion_5]]/WWWW[[#This Row],[Total PoP ]]</f>
        <v>0</v>
      </c>
      <c r="DC463" s="872">
        <f>IF(WWWW[[#This Row],['#_households that received standard amount of soap for this quarter]]/WWWW[[#This Row],[Total HH]]&gt;1,1,WWWW[[#This Row],['#_households that received standard amount of soap for this quarter]]/WWWW[[#This Row],[Total HH]])</f>
        <v>1</v>
      </c>
      <c r="DD463" s="872">
        <f>IF(WWWW[[#This Row],['#_households that received standard amount of sanitary pads for this quarter]]/WWWW[[#This Row],[Total HH]]&gt;1,1,WWWW[[#This Row],['#_households that received standard amount of sanitary pads for this quarter]]/WWWW[[#This Row],[Total HH]])</f>
        <v>1</v>
      </c>
      <c r="DE463" s="874">
        <f>WWWW[[#This Row],['#_Constructed/Existing hand washing stations]]-WWWW[[#This Row],['#_Non-Functional_hand_washing_stations]]</f>
        <v>0</v>
      </c>
      <c r="DF463" s="879" t="e">
        <f>WWWW[[#This Row],[Total HH]]*#REF!</f>
        <v>#REF!</v>
      </c>
      <c r="DG463" s="870">
        <f>IF(WWWW[[#This Row],[Is sufficient soap available for TLS? (Yes/No)]]="yes",WWWW[[#This Row],['#_Constructed/Existing hand washing stations at TLS]],0)</f>
        <v>0</v>
      </c>
      <c r="DH463" s="702">
        <f>IF(WWWW[[#This Row],['# Functional hand washing stations during reporting period]]*100&gt;WWWW[[#This Row],[Total PoP ]],WWWW[[#This Row],[Total PoP ]],WWWW[[#This Row],['# Functional hand washing stations during reporting period]]*100)</f>
        <v>0</v>
      </c>
      <c r="DI463" s="702" t="str">
        <f>IF(WWWW[[#This Row],['#_students at TLS_CFS]]="","No","Yes")</f>
        <v>No</v>
      </c>
      <c r="DJ463" s="873">
        <f>VLOOKUP(WWWW[[#This Row],[Site Name]],SiteDB6[[Site Name]:[CCCM Management]],6,FALSE)</f>
        <v>0</v>
      </c>
      <c r="DK463" s="873">
        <f>VLOOKUP(WWWW[[#This Row],[Site Name]],SiteDB6[[Site Name]:[CCCM Focal Agency]],7,FALSE)</f>
        <v>0</v>
      </c>
      <c r="DL463" s="873" t="str">
        <f>VLOOKUP(WWWW[[#This Row],[Site Name]],SiteDB6[[Site Name]:[Location Type 1]],9,FALSE)</f>
        <v>Temporary location</v>
      </c>
      <c r="DM463" s="873" t="str">
        <f>VLOOKUP(WWWW[[#This Row],[Site Name]],SiteDB6[[Site Name]:[Type of Accommodation]],10,FALSE)</f>
        <v>Temporary location</v>
      </c>
      <c r="DN463" s="873">
        <f>VLOOKUP(WWWW[[#This Row],[Site Name]],SiteDB6[[Site Name]:[Ethnic or GCA/NGCA]],11,FALSE)</f>
        <v>0</v>
      </c>
      <c r="DO463" s="873">
        <f>VLOOKUP(WWWW[[#This Row],[Site Name]],SiteDB6[[Site Name]:[Lat]],12,FALSE)</f>
        <v>0</v>
      </c>
      <c r="DP463" s="873">
        <f>VLOOKUP(WWWW[[#This Row],[Site Name]],SiteDB6[[Site Name]:[Long]],13,FALSE)</f>
        <v>0</v>
      </c>
      <c r="DQ463" s="873">
        <f>VLOOKUP(WWWW[[#This Row],[Site Name]],SiteDB6[[Site Name]:[Pcode]],3,FALSE)</f>
        <v>198362</v>
      </c>
      <c r="DR463" s="871" t="str">
        <f t="shared" si="14"/>
        <v>Covered</v>
      </c>
      <c r="DS463" s="871"/>
      <c r="DV463" s="661"/>
    </row>
    <row r="464" spans="1:126">
      <c r="A464" s="637" t="s">
        <v>2525</v>
      </c>
      <c r="B464" s="863" t="s">
        <v>249</v>
      </c>
      <c r="C464" s="863" t="s">
        <v>3161</v>
      </c>
      <c r="D464" s="864"/>
      <c r="E464" s="865" t="s">
        <v>3013</v>
      </c>
      <c r="F464" s="864" t="s">
        <v>337</v>
      </c>
      <c r="G464" s="866" t="str">
        <f>VLOOKUP(WWWW[[#This Row],[Site Name]],SiteDB6[[Site Name]:[Location Type]],8,FALSE)</f>
        <v>New Temporary Site</v>
      </c>
      <c r="H464" s="864" t="s">
        <v>3159</v>
      </c>
      <c r="I464" s="867">
        <v>41</v>
      </c>
      <c r="J464" s="867">
        <v>166</v>
      </c>
      <c r="K464" s="868"/>
      <c r="L464" s="869"/>
      <c r="M464" s="867"/>
      <c r="N464" s="867"/>
      <c r="O464" s="867"/>
      <c r="P464" s="867"/>
      <c r="Q464" s="870"/>
      <c r="R464" s="867"/>
      <c r="S464" s="867"/>
      <c r="T464" s="379"/>
      <c r="U464" s="867"/>
      <c r="V464" s="867"/>
      <c r="W464" s="867"/>
      <c r="X464" s="867"/>
      <c r="Y464" s="867"/>
      <c r="Z464" s="867"/>
      <c r="AA464" s="867"/>
      <c r="AB464" s="867"/>
      <c r="AC464" s="867"/>
      <c r="AD464" s="867"/>
      <c r="AE464" s="867"/>
      <c r="AF464" s="867"/>
      <c r="AG464" s="867"/>
      <c r="AH464" s="867"/>
      <c r="AI464" s="867"/>
      <c r="AJ464" s="867"/>
      <c r="AK464" s="867"/>
      <c r="AL464" s="867"/>
      <c r="AM464" s="867"/>
      <c r="AN464" s="867"/>
      <c r="AO464" s="871"/>
      <c r="AP464" s="867"/>
      <c r="AQ464" s="867"/>
      <c r="AR464" s="872"/>
      <c r="AS464" s="867"/>
      <c r="AT464" s="867"/>
      <c r="AU464" s="867"/>
      <c r="AV464" s="867"/>
      <c r="AW464" s="867"/>
      <c r="AX464" s="873"/>
      <c r="AY464" s="871"/>
      <c r="AZ464" s="867"/>
      <c r="BA464" s="867"/>
      <c r="BB464" s="867"/>
      <c r="BC464" s="873"/>
      <c r="BD464" s="867"/>
      <c r="BE464" s="867"/>
      <c r="BF464" s="867"/>
      <c r="BG464" s="867"/>
      <c r="BH464" s="867"/>
      <c r="BI464" s="867"/>
      <c r="BJ464" s="867"/>
      <c r="BK464" s="867"/>
      <c r="BL464" s="867"/>
      <c r="BM464" s="873"/>
      <c r="BN464" s="874"/>
      <c r="BO464" s="872"/>
      <c r="BP464" s="873"/>
      <c r="BQ464" s="875" t="str">
        <f>IFERROR(WWWW[[#This Row],['#_Water sources treated]]/WWWW[[#This Row],['#_Water sources tested for contamination]],"no test")</f>
        <v>no test</v>
      </c>
      <c r="BR464" s="872" t="str">
        <f>IFERROR(WWWW[[#This Row],['#_Household received remediation action due to contamination]]/WWWW[[#This Row],['#_Household water samples tested for contamination]],"no test")</f>
        <v>no test</v>
      </c>
      <c r="BS464" s="874" t="str">
        <f>IF(AND(WWWW[[#This Row],[% of water sources treated]]="no test",WWWW[[#This Row],[% Household received corrective actions]]="no test"),"No Test","Tested")</f>
        <v>No Test</v>
      </c>
      <c r="BT464" s="874">
        <f>WWWW[[#This Row],['#_Constructed/existing protected hand dug well]]-WWWW[[#This Row],['#_Non-functional protected hand dug well]]</f>
        <v>0</v>
      </c>
      <c r="BU464" s="874">
        <f>(WWWW[[#This Row],['#_Constructed/Existing tube wells/boreholes/handpumps_WASH_agency]]+WWWW[[#This Row],['#_Non-Cluster partner water tube-wells/boreholes/handpumps]])-WWWW[[#This Row],['#_Non-functional tube wells/boreholes/handpumps]]</f>
        <v>0</v>
      </c>
      <c r="BV464" s="874">
        <f>WWWW[[#This Row],['#_Constructed/Existingwater storage tank with gravity fed reticulation system]]-WWWW[[#This Row],['#_Non-functional storage tank gravity fed reticulation system]]</f>
        <v>0</v>
      </c>
      <c r="BW464" s="874">
        <f>WWWW[[#This Row],['#_Water boating or water trucking]]</f>
        <v>0</v>
      </c>
      <c r="BX464" s="874">
        <f>WWWW[[#This Row],['#_Constructed/Existing water distribution system from river or natural spring]]</f>
        <v>0</v>
      </c>
      <c r="BY464"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64"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64" s="872">
        <f>IF(WWWW[[#This Row],[Location Type 1]]="Village",WWWW[[#This Row],[Access to safe drinking water for Village]],WWWW[[#This Row],[Access to safe drinking water for Camp]])</f>
        <v>0</v>
      </c>
      <c r="CB464" s="870">
        <f>WWWW[[#This Row],[%Equitable and continuous access to sufficient quantity of safe drinking water]]*WWWW[[#This Row],[Total PoP ]]</f>
        <v>0</v>
      </c>
      <c r="CC464" s="872">
        <f>IF((WWWW[[#This Row],['#_Constructed/Existing protected/fenced ponds]]*250)/WWWW[[#This Row],[Total PoP ]]&gt;1,1,(WWWW[[#This Row],['#_Constructed/Existing protected/fenced ponds]]*250)/WWWW[[#This Row],[Total PoP ]])</f>
        <v>0</v>
      </c>
      <c r="CD464" s="870">
        <f>WWWW[[#This Row],[% Access to unimproved water points]]*WWWW[[#This Row],[Total PoP ]]</f>
        <v>0</v>
      </c>
      <c r="CE464"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64"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64" s="870">
        <f>WWWW[[#This Row],[HRP1]]/500</f>
        <v>0</v>
      </c>
      <c r="CH464" s="876">
        <f>1-WWWW[[#This Row],[% Equitable and continuous access to sufficient quantity of domestic water]]</f>
        <v>1</v>
      </c>
      <c r="CI464" s="870">
        <f>WWWW[[#This Row],[%equitable and continuous access to sufficient quantity of safe drinking and domestic water''s GAP]]*WWWW[[#This Row],[Total PoP ]]</f>
        <v>166</v>
      </c>
      <c r="CJ464" s="874">
        <f>IF(WWWW[[#This Row],[Total required water points]]-WWWW[[#This Row],['#Water points coverage]]&lt;0,0,WWWW[[#This Row],[Total required water points]]-WWWW[[#This Row],['#Water points coverage]])</f>
        <v>1</v>
      </c>
      <c r="CK464" s="874">
        <f>ROUND(IF(WWWW[[#This Row],[Total PoP ]]&lt;500,1,WWWW[[#This Row],[Total PoP ]]/500),0)</f>
        <v>1</v>
      </c>
      <c r="CL464" s="874">
        <f>(WWWW[[#This Row],['#_Constructed latrines_by_WASHAgencies]]+WWWW[[#This Row],['#_Non Cluster partner latrines]])-WWWW[[#This Row],['#_Non-functional latrines]]</f>
        <v>0</v>
      </c>
      <c r="CM464"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64"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64"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64" s="874">
        <f>IF(WWWW[[#This Row],[Location Type 1]]="Village","NA",IF(WWWW[[#This Row],['#_Constructed/Existing latrines in TLS]]*50&gt;WWWW[[#This Row],['#_students at TLS_CFS]],WWWW[[#This Row],['#_students at TLS_CFS]],(WWWW[[#This Row],['#_Constructed/Existing latrines in TLS]]*50)))</f>
        <v>0</v>
      </c>
      <c r="CQ464" s="874">
        <f>ROUND(IF(WWWW[[#This Row],[Location Type 1]]="camp",WWWW[[#This Row],[Total PoP ]]/20,IF(WWWW[[#This Row],[Location Type 1]]="Temporary Location",WWWW[[#This Row],[Total PoP ]]/50,(WWWW[[#This Row],[Total PoP ]]/6))),0)</f>
        <v>3</v>
      </c>
      <c r="CR464" s="874">
        <f>IF(WWWW[[#This Row],[Total required Latrines]]-(WWWW[[#This Row],['#_Constructed latrines_by_WASHAgencies]]+WWWW[[#This Row],['#_Non Cluster partner latrines]])&lt;0,0,WWWW[[#This Row],[Total required Latrines]]-(WWWW[[#This Row],['#_Constructed latrines_by_WASHAgencies]]+WWWW[[#This Row],['#_Non Cluster partner latrines]]))</f>
        <v>3</v>
      </c>
      <c r="CS464" s="878">
        <f>1-WWWW[[#This Row],[% people access to functioning Latrine]]</f>
        <v>1</v>
      </c>
      <c r="CT464" s="875">
        <f>IF(OR(WWWW[[#This Row],['#_Non-functional latrines]]="",WWWW[[#This Row],['#_Non-functional latrines]]=0),0,WWWW[[#This Row],['#_Non-functional latrines]]/(WWWW[[#This Row],['#_Constructed latrines_by_WASHAgencies]]+WWWW[[#This Row],['#_Non Cluster partner latrines]]))</f>
        <v>0</v>
      </c>
      <c r="CU464" s="870">
        <f>IF(500*(WWWW[[#This Row],['#_male hygiene promoters]]+WWWW[[#This Row],['#_female hygiene promoters]])&gt;WWWW[[#This Row],[Total PoP ]],WWWW[[#This Row],[Total PoP ]],500*(WWWW[[#This Row],['#_male hygiene promoters]]+WWWW[[#This Row],['#_female hygiene promoters]]))</f>
        <v>0</v>
      </c>
      <c r="CV464"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64"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64" s="874">
        <f>IF(WWWW[[#This Row],['# People with access to soap]]&gt;WWWW[[#This Row],['# People with access to Sanity Pads]],WWWW[[#This Row],['# People with access to soap]],WWWW[[#This Row],['# People with access to Sanity Pads]])</f>
        <v>0</v>
      </c>
      <c r="CY464"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64" s="876">
        <f>IF(WWWW[[#This Row],[HRP3]]/WWWW[[#This Row],[Total PoP ]]&gt;100%,100%,WWWW[[#This Row],[HRP3]]/WWWW[[#This Row],[Total PoP ]])</f>
        <v>0</v>
      </c>
      <c r="DA464" s="875">
        <f>1-WWWW[[#This Row],[Hygiene Coverage%]]</f>
        <v>1</v>
      </c>
      <c r="DB464" s="872">
        <f>WWWW[[#This Row],['# people reached by regular dedicated hygiene promotion_5]]/WWWW[[#This Row],[Total PoP ]]</f>
        <v>0</v>
      </c>
      <c r="DC464" s="872">
        <f>IF(WWWW[[#This Row],['#_households that received standard amount of soap for this quarter]]/WWWW[[#This Row],[Total HH]]&gt;1,1,WWWW[[#This Row],['#_households that received standard amount of soap for this quarter]]/WWWW[[#This Row],[Total HH]])</f>
        <v>0</v>
      </c>
      <c r="DD464" s="872">
        <f>IF(WWWW[[#This Row],['#_households that received standard amount of sanitary pads for this quarter]]/WWWW[[#This Row],[Total HH]]&gt;1,1,WWWW[[#This Row],['#_households that received standard amount of sanitary pads for this quarter]]/WWWW[[#This Row],[Total HH]])</f>
        <v>0</v>
      </c>
      <c r="DE464" s="874">
        <f>WWWW[[#This Row],['#_Constructed/Existing hand washing stations]]-WWWW[[#This Row],['#_Non-Functional_hand_washing_stations]]</f>
        <v>0</v>
      </c>
      <c r="DF464" s="879" t="e">
        <f>WWWW[[#This Row],[Total HH]]*#REF!</f>
        <v>#REF!</v>
      </c>
      <c r="DG464" s="870">
        <f>IF(WWWW[[#This Row],[Is sufficient soap available for TLS? (Yes/No)]]="yes",WWWW[[#This Row],['#_Constructed/Existing hand washing stations at TLS]],0)</f>
        <v>0</v>
      </c>
      <c r="DH464" s="702">
        <f>IF(WWWW[[#This Row],['# Functional hand washing stations during reporting period]]*100&gt;WWWW[[#This Row],[Total PoP ]],WWWW[[#This Row],[Total PoP ]],WWWW[[#This Row],['# Functional hand washing stations during reporting period]]*100)</f>
        <v>0</v>
      </c>
      <c r="DI464" s="702" t="str">
        <f>IF(WWWW[[#This Row],['#_students at TLS_CFS]]="","No","Yes")</f>
        <v>No</v>
      </c>
      <c r="DJ464" s="873">
        <f>VLOOKUP(WWWW[[#This Row],[Site Name]],SiteDB6[[Site Name]:[CCCM Management]],6,FALSE)</f>
        <v>0</v>
      </c>
      <c r="DK464" s="873">
        <f>VLOOKUP(WWWW[[#This Row],[Site Name]],SiteDB6[[Site Name]:[CCCM Focal Agency]],7,FALSE)</f>
        <v>0</v>
      </c>
      <c r="DL464" s="873" t="str">
        <f>VLOOKUP(WWWW[[#This Row],[Site Name]],SiteDB6[[Site Name]:[Location Type 1]],9,FALSE)</f>
        <v>Temporary location</v>
      </c>
      <c r="DM464" s="873" t="str">
        <f>VLOOKUP(WWWW[[#This Row],[Site Name]],SiteDB6[[Site Name]:[Type of Accommodation]],10,FALSE)</f>
        <v>Temporary location</v>
      </c>
      <c r="DN464" s="873">
        <f>VLOOKUP(WWWW[[#This Row],[Site Name]],SiteDB6[[Site Name]:[Ethnic or GCA/NGCA]],11,FALSE)</f>
        <v>0</v>
      </c>
      <c r="DO464" s="873">
        <f>VLOOKUP(WWWW[[#This Row],[Site Name]],SiteDB6[[Site Name]:[Lat]],12,FALSE)</f>
        <v>0</v>
      </c>
      <c r="DP464" s="873">
        <f>VLOOKUP(WWWW[[#This Row],[Site Name]],SiteDB6[[Site Name]:[Long]],13,FALSE)</f>
        <v>0</v>
      </c>
      <c r="DQ464" s="873">
        <f>VLOOKUP(WWWW[[#This Row],[Site Name]],SiteDB6[[Site Name]:[Pcode]],3,FALSE)</f>
        <v>0</v>
      </c>
      <c r="DR464" s="871" t="str">
        <f t="shared" si="14"/>
        <v>Covered</v>
      </c>
      <c r="DS464" s="871"/>
      <c r="DV464" s="661"/>
    </row>
    <row r="465" spans="1:126">
      <c r="A465" s="637" t="s">
        <v>2525</v>
      </c>
      <c r="B465" s="863" t="s">
        <v>249</v>
      </c>
      <c r="C465" s="863" t="s">
        <v>249</v>
      </c>
      <c r="D465" s="864"/>
      <c r="E465" s="865" t="s">
        <v>3013</v>
      </c>
      <c r="F465" s="864" t="s">
        <v>337</v>
      </c>
      <c r="G465" s="866" t="str">
        <f>VLOOKUP(WWWW[[#This Row],[Site Name]],SiteDB6[[Site Name]:[Location Type]],8,FALSE)</f>
        <v>New Temporary Site</v>
      </c>
      <c r="H465" s="864" t="s">
        <v>2840</v>
      </c>
      <c r="I465" s="867">
        <v>55</v>
      </c>
      <c r="J465" s="867">
        <v>314</v>
      </c>
      <c r="K465" s="868"/>
      <c r="L465" s="869"/>
      <c r="M465" s="867"/>
      <c r="N465" s="867"/>
      <c r="O465" s="867"/>
      <c r="P465" s="867"/>
      <c r="Q465" s="870"/>
      <c r="R465" s="867"/>
      <c r="S465" s="867"/>
      <c r="T465" s="379"/>
      <c r="U465" s="867"/>
      <c r="V465" s="867"/>
      <c r="W465" s="867"/>
      <c r="X465" s="867"/>
      <c r="Y465" s="867"/>
      <c r="Z465" s="867"/>
      <c r="AA465" s="867"/>
      <c r="AB465" s="867"/>
      <c r="AC465" s="867"/>
      <c r="AD465" s="867"/>
      <c r="AE465" s="867"/>
      <c r="AF465" s="867"/>
      <c r="AG465" s="867"/>
      <c r="AH465" s="867"/>
      <c r="AI465" s="867"/>
      <c r="AJ465" s="867"/>
      <c r="AK465" s="867"/>
      <c r="AL465" s="867"/>
      <c r="AM465" s="867"/>
      <c r="AN465" s="867"/>
      <c r="AO465" s="871"/>
      <c r="AP465" s="867"/>
      <c r="AQ465" s="867"/>
      <c r="AR465" s="872"/>
      <c r="AS465" s="867"/>
      <c r="AT465" s="867"/>
      <c r="AU465" s="867"/>
      <c r="AV465" s="867"/>
      <c r="AW465" s="867"/>
      <c r="AX465" s="873"/>
      <c r="AY465" s="871"/>
      <c r="AZ465" s="867"/>
      <c r="BA465" s="867"/>
      <c r="BB465" s="867"/>
      <c r="BC465" s="873"/>
      <c r="BD465" s="867"/>
      <c r="BE465" s="867"/>
      <c r="BF465" s="867"/>
      <c r="BG465" s="867"/>
      <c r="BH465" s="867"/>
      <c r="BI465" s="867"/>
      <c r="BJ465" s="867"/>
      <c r="BK465" s="867">
        <v>55</v>
      </c>
      <c r="BL465" s="867">
        <v>55</v>
      </c>
      <c r="BM465" s="873"/>
      <c r="BN465" s="874"/>
      <c r="BO465" s="872"/>
      <c r="BP465" s="873"/>
      <c r="BQ465" s="875" t="str">
        <f>IFERROR(WWWW[[#This Row],['#_Water sources treated]]/WWWW[[#This Row],['#_Water sources tested for contamination]],"no test")</f>
        <v>no test</v>
      </c>
      <c r="BR465" s="872" t="str">
        <f>IFERROR(WWWW[[#This Row],['#_Household received remediation action due to contamination]]/WWWW[[#This Row],['#_Household water samples tested for contamination]],"no test")</f>
        <v>no test</v>
      </c>
      <c r="BS465" s="874" t="str">
        <f>IF(AND(WWWW[[#This Row],[% of water sources treated]]="no test",WWWW[[#This Row],[% Household received corrective actions]]="no test"),"No Test","Tested")</f>
        <v>No Test</v>
      </c>
      <c r="BT465" s="874">
        <f>WWWW[[#This Row],['#_Constructed/existing protected hand dug well]]-WWWW[[#This Row],['#_Non-functional protected hand dug well]]</f>
        <v>0</v>
      </c>
      <c r="BU465" s="874">
        <f>(WWWW[[#This Row],['#_Constructed/Existing tube wells/boreholes/handpumps_WASH_agency]]+WWWW[[#This Row],['#_Non-Cluster partner water tube-wells/boreholes/handpumps]])-WWWW[[#This Row],['#_Non-functional tube wells/boreholes/handpumps]]</f>
        <v>0</v>
      </c>
      <c r="BV465" s="874">
        <f>WWWW[[#This Row],['#_Constructed/Existingwater storage tank with gravity fed reticulation system]]-WWWW[[#This Row],['#_Non-functional storage tank gravity fed reticulation system]]</f>
        <v>0</v>
      </c>
      <c r="BW465" s="874">
        <f>WWWW[[#This Row],['#_Water boating or water trucking]]</f>
        <v>0</v>
      </c>
      <c r="BX465" s="874">
        <f>WWWW[[#This Row],['#_Constructed/Existing water distribution system from river or natural spring]]</f>
        <v>0</v>
      </c>
      <c r="BY465"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65"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65" s="872">
        <f>IF(WWWW[[#This Row],[Location Type 1]]="Village",WWWW[[#This Row],[Access to safe drinking water for Village]],WWWW[[#This Row],[Access to safe drinking water for Camp]])</f>
        <v>0</v>
      </c>
      <c r="CB465" s="870">
        <f>WWWW[[#This Row],[%Equitable and continuous access to sufficient quantity of safe drinking water]]*WWWW[[#This Row],[Total PoP ]]</f>
        <v>0</v>
      </c>
      <c r="CC465" s="872">
        <f>IF((WWWW[[#This Row],['#_Constructed/Existing protected/fenced ponds]]*250)/WWWW[[#This Row],[Total PoP ]]&gt;1,1,(WWWW[[#This Row],['#_Constructed/Existing protected/fenced ponds]]*250)/WWWW[[#This Row],[Total PoP ]])</f>
        <v>0</v>
      </c>
      <c r="CD465" s="870">
        <f>WWWW[[#This Row],[% Access to unimproved water points]]*WWWW[[#This Row],[Total PoP ]]</f>
        <v>0</v>
      </c>
      <c r="CE465"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65"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65" s="870">
        <f>WWWW[[#This Row],[HRP1]]/500</f>
        <v>0</v>
      </c>
      <c r="CH465" s="876">
        <f>1-WWWW[[#This Row],[% Equitable and continuous access to sufficient quantity of domestic water]]</f>
        <v>1</v>
      </c>
      <c r="CI465" s="870">
        <f>WWWW[[#This Row],[%equitable and continuous access to sufficient quantity of safe drinking and domestic water''s GAP]]*WWWW[[#This Row],[Total PoP ]]</f>
        <v>314</v>
      </c>
      <c r="CJ465" s="874">
        <f>IF(WWWW[[#This Row],[Total required water points]]-WWWW[[#This Row],['#Water points coverage]]&lt;0,0,WWWW[[#This Row],[Total required water points]]-WWWW[[#This Row],['#Water points coverage]])</f>
        <v>1</v>
      </c>
      <c r="CK465" s="874">
        <f>ROUND(IF(WWWW[[#This Row],[Total PoP ]]&lt;500,1,WWWW[[#This Row],[Total PoP ]]/500),0)</f>
        <v>1</v>
      </c>
      <c r="CL465" s="874">
        <f>(WWWW[[#This Row],['#_Constructed latrines_by_WASHAgencies]]+WWWW[[#This Row],['#_Non Cluster partner latrines]])-WWWW[[#This Row],['#_Non-functional latrines]]</f>
        <v>0</v>
      </c>
      <c r="CM465"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65"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65"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65" s="874">
        <f>IF(WWWW[[#This Row],[Location Type 1]]="Village","NA",IF(WWWW[[#This Row],['#_Constructed/Existing latrines in TLS]]*50&gt;WWWW[[#This Row],['#_students at TLS_CFS]],WWWW[[#This Row],['#_students at TLS_CFS]],(WWWW[[#This Row],['#_Constructed/Existing latrines in TLS]]*50)))</f>
        <v>0</v>
      </c>
      <c r="CQ465" s="874">
        <f>ROUND(IF(WWWW[[#This Row],[Location Type 1]]="camp",WWWW[[#This Row],[Total PoP ]]/20,IF(WWWW[[#This Row],[Location Type 1]]="Temporary Location",WWWW[[#This Row],[Total PoP ]]/50,(WWWW[[#This Row],[Total PoP ]]/6))),0)</f>
        <v>6</v>
      </c>
      <c r="CR465" s="874">
        <f>IF(WWWW[[#This Row],[Total required Latrines]]-(WWWW[[#This Row],['#_Constructed latrines_by_WASHAgencies]]+WWWW[[#This Row],['#_Non Cluster partner latrines]])&lt;0,0,WWWW[[#This Row],[Total required Latrines]]-(WWWW[[#This Row],['#_Constructed latrines_by_WASHAgencies]]+WWWW[[#This Row],['#_Non Cluster partner latrines]]))</f>
        <v>6</v>
      </c>
      <c r="CS465" s="878">
        <f>1-WWWW[[#This Row],[% people access to functioning Latrine]]</f>
        <v>1</v>
      </c>
      <c r="CT465" s="875">
        <f>IF(OR(WWWW[[#This Row],['#_Non-functional latrines]]="",WWWW[[#This Row],['#_Non-functional latrines]]=0),0,WWWW[[#This Row],['#_Non-functional latrines]]/(WWWW[[#This Row],['#_Constructed latrines_by_WASHAgencies]]+WWWW[[#This Row],['#_Non Cluster partner latrines]]))</f>
        <v>0</v>
      </c>
      <c r="CU465" s="870">
        <f>IF(500*(WWWW[[#This Row],['#_male hygiene promoters]]+WWWW[[#This Row],['#_female hygiene promoters]])&gt;WWWW[[#This Row],[Total PoP ]],WWWW[[#This Row],[Total PoP ]],500*(WWWW[[#This Row],['#_male hygiene promoters]]+WWWW[[#This Row],['#_female hygiene promoters]]))</f>
        <v>0</v>
      </c>
      <c r="CV465"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314</v>
      </c>
      <c r="CW465"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314</v>
      </c>
      <c r="CX465" s="874">
        <f>IF(WWWW[[#This Row],['# People with access to soap]]&gt;WWWW[[#This Row],['# People with access to Sanity Pads]],WWWW[[#This Row],['# People with access to soap]],WWWW[[#This Row],['# People with access to Sanity Pads]])</f>
        <v>314</v>
      </c>
      <c r="CY465" s="874">
        <f>IF(WWWW[[#This Row],['# people reached by regular dedicated hygiene promotion_5]]&gt;WWWW[[#This Row],['# People received regular supply of hygiene items_6]],WWWW[[#This Row],['# people reached by regular dedicated hygiene promotion_5]],WWWW[[#This Row],['# People received regular supply of hygiene items_6]])</f>
        <v>314</v>
      </c>
      <c r="CZ465" s="876">
        <f>IF(WWWW[[#This Row],[HRP3]]/WWWW[[#This Row],[Total PoP ]]&gt;100%,100%,WWWW[[#This Row],[HRP3]]/WWWW[[#This Row],[Total PoP ]])</f>
        <v>1</v>
      </c>
      <c r="DA465" s="875">
        <f>1-WWWW[[#This Row],[Hygiene Coverage%]]</f>
        <v>0</v>
      </c>
      <c r="DB465" s="872">
        <f>WWWW[[#This Row],['# people reached by regular dedicated hygiene promotion_5]]/WWWW[[#This Row],[Total PoP ]]</f>
        <v>0</v>
      </c>
      <c r="DC465" s="872">
        <f>IF(WWWW[[#This Row],['#_households that received standard amount of soap for this quarter]]/WWWW[[#This Row],[Total HH]]&gt;1,1,WWWW[[#This Row],['#_households that received standard amount of soap for this quarter]]/WWWW[[#This Row],[Total HH]])</f>
        <v>1</v>
      </c>
      <c r="DD465" s="872">
        <f>IF(WWWW[[#This Row],['#_households that received standard amount of sanitary pads for this quarter]]/WWWW[[#This Row],[Total HH]]&gt;1,1,WWWW[[#This Row],['#_households that received standard amount of sanitary pads for this quarter]]/WWWW[[#This Row],[Total HH]])</f>
        <v>1</v>
      </c>
      <c r="DE465" s="874">
        <f>WWWW[[#This Row],['#_Constructed/Existing hand washing stations]]-WWWW[[#This Row],['#_Non-Functional_hand_washing_stations]]</f>
        <v>0</v>
      </c>
      <c r="DF465" s="879" t="e">
        <f>WWWW[[#This Row],[Total HH]]*#REF!</f>
        <v>#REF!</v>
      </c>
      <c r="DG465" s="870">
        <f>IF(WWWW[[#This Row],[Is sufficient soap available for TLS? (Yes/No)]]="yes",WWWW[[#This Row],['#_Constructed/Existing hand washing stations at TLS]],0)</f>
        <v>0</v>
      </c>
      <c r="DH465" s="702">
        <f>IF(WWWW[[#This Row],['# Functional hand washing stations during reporting period]]*100&gt;WWWW[[#This Row],[Total PoP ]],WWWW[[#This Row],[Total PoP ]],WWWW[[#This Row],['# Functional hand washing stations during reporting period]]*100)</f>
        <v>0</v>
      </c>
      <c r="DI465" s="702" t="str">
        <f>IF(WWWW[[#This Row],['#_students at TLS_CFS]]="","No","Yes")</f>
        <v>No</v>
      </c>
      <c r="DJ465" s="873">
        <f>VLOOKUP(WWWW[[#This Row],[Site Name]],SiteDB6[[Site Name]:[CCCM Management]],6,FALSE)</f>
        <v>0</v>
      </c>
      <c r="DK465" s="873">
        <f>VLOOKUP(WWWW[[#This Row],[Site Name]],SiteDB6[[Site Name]:[CCCM Focal Agency]],7,FALSE)</f>
        <v>0</v>
      </c>
      <c r="DL465" s="873" t="str">
        <f>VLOOKUP(WWWW[[#This Row],[Site Name]],SiteDB6[[Site Name]:[Location Type 1]],9,FALSE)</f>
        <v>Temporary location</v>
      </c>
      <c r="DM465" s="873" t="str">
        <f>VLOOKUP(WWWW[[#This Row],[Site Name]],SiteDB6[[Site Name]:[Type of Accommodation]],10,FALSE)</f>
        <v>Temporary location</v>
      </c>
      <c r="DN465" s="873">
        <f>VLOOKUP(WWWW[[#This Row],[Site Name]],SiteDB6[[Site Name]:[Ethnic or GCA/NGCA]],11,FALSE)</f>
        <v>0</v>
      </c>
      <c r="DO465" s="873">
        <f>VLOOKUP(WWWW[[#This Row],[Site Name]],SiteDB6[[Site Name]:[Lat]],12,FALSE)</f>
        <v>0</v>
      </c>
      <c r="DP465" s="873">
        <f>VLOOKUP(WWWW[[#This Row],[Site Name]],SiteDB6[[Site Name]:[Long]],13,FALSE)</f>
        <v>0</v>
      </c>
      <c r="DQ465" s="873">
        <f>VLOOKUP(WWWW[[#This Row],[Site Name]],SiteDB6[[Site Name]:[Pcode]],3,FALSE)</f>
        <v>0</v>
      </c>
      <c r="DR465" s="871" t="str">
        <f t="shared" si="14"/>
        <v>Covered</v>
      </c>
      <c r="DS465" s="871"/>
      <c r="DV465" s="661"/>
    </row>
    <row r="466" spans="1:126">
      <c r="A466" s="637" t="s">
        <v>2525</v>
      </c>
      <c r="B466" s="863" t="s">
        <v>249</v>
      </c>
      <c r="C466" s="863" t="s">
        <v>3161</v>
      </c>
      <c r="D466" s="864"/>
      <c r="E466" s="865" t="s">
        <v>3013</v>
      </c>
      <c r="F466" s="864" t="s">
        <v>337</v>
      </c>
      <c r="G466" s="866" t="str">
        <f>VLOOKUP(WWWW[[#This Row],[Site Name]],SiteDB6[[Site Name]:[Location Type]],8,FALSE)</f>
        <v>New Temporary Site</v>
      </c>
      <c r="H466" s="864" t="s">
        <v>3160</v>
      </c>
      <c r="I466" s="867">
        <v>521</v>
      </c>
      <c r="J466" s="867">
        <v>1995</v>
      </c>
      <c r="K466" s="868"/>
      <c r="L466" s="869"/>
      <c r="M466" s="867"/>
      <c r="N466" s="867"/>
      <c r="O466" s="867"/>
      <c r="P466" s="867"/>
      <c r="Q466" s="870"/>
      <c r="R466" s="867"/>
      <c r="S466" s="867"/>
      <c r="T466" s="379"/>
      <c r="U466" s="867"/>
      <c r="V466" s="867"/>
      <c r="W466" s="867"/>
      <c r="X466" s="867"/>
      <c r="Y466" s="867"/>
      <c r="Z466" s="867"/>
      <c r="AA466" s="867"/>
      <c r="AB466" s="867"/>
      <c r="AC466" s="867"/>
      <c r="AD466" s="867"/>
      <c r="AE466" s="867"/>
      <c r="AF466" s="867"/>
      <c r="AG466" s="867"/>
      <c r="AH466" s="867"/>
      <c r="AI466" s="867"/>
      <c r="AJ466" s="867"/>
      <c r="AK466" s="867"/>
      <c r="AL466" s="867"/>
      <c r="AM466" s="867"/>
      <c r="AN466" s="867"/>
      <c r="AO466" s="871"/>
      <c r="AP466" s="867"/>
      <c r="AQ466" s="867"/>
      <c r="AR466" s="872"/>
      <c r="AS466" s="867"/>
      <c r="AT466" s="867"/>
      <c r="AU466" s="867"/>
      <c r="AV466" s="867"/>
      <c r="AW466" s="867"/>
      <c r="AX466" s="873"/>
      <c r="AY466" s="871"/>
      <c r="AZ466" s="867"/>
      <c r="BA466" s="867"/>
      <c r="BB466" s="867"/>
      <c r="BC466" s="873"/>
      <c r="BD466" s="867"/>
      <c r="BE466" s="867"/>
      <c r="BF466" s="867"/>
      <c r="BG466" s="867"/>
      <c r="BH466" s="867"/>
      <c r="BI466" s="867"/>
      <c r="BJ466" s="867"/>
      <c r="BK466" s="867">
        <v>75</v>
      </c>
      <c r="BL466" s="867">
        <v>75</v>
      </c>
      <c r="BM466" s="873"/>
      <c r="BN466" s="874"/>
      <c r="BO466" s="872"/>
      <c r="BP466" s="873"/>
      <c r="BQ466" s="875" t="str">
        <f>IFERROR(WWWW[[#This Row],['#_Water sources treated]]/WWWW[[#This Row],['#_Water sources tested for contamination]],"no test")</f>
        <v>no test</v>
      </c>
      <c r="BR466" s="872" t="str">
        <f>IFERROR(WWWW[[#This Row],['#_Household received remediation action due to contamination]]/WWWW[[#This Row],['#_Household water samples tested for contamination]],"no test")</f>
        <v>no test</v>
      </c>
      <c r="BS466" s="874" t="str">
        <f>IF(AND(WWWW[[#This Row],[% of water sources treated]]="no test",WWWW[[#This Row],[% Household received corrective actions]]="no test"),"No Test","Tested")</f>
        <v>No Test</v>
      </c>
      <c r="BT466" s="874">
        <f>WWWW[[#This Row],['#_Constructed/existing protected hand dug well]]-WWWW[[#This Row],['#_Non-functional protected hand dug well]]</f>
        <v>0</v>
      </c>
      <c r="BU466" s="874">
        <f>(WWWW[[#This Row],['#_Constructed/Existing tube wells/boreholes/handpumps_WASH_agency]]+WWWW[[#This Row],['#_Non-Cluster partner water tube-wells/boreholes/handpumps]])-WWWW[[#This Row],['#_Non-functional tube wells/boreholes/handpumps]]</f>
        <v>0</v>
      </c>
      <c r="BV466" s="874">
        <f>WWWW[[#This Row],['#_Constructed/Existingwater storage tank with gravity fed reticulation system]]-WWWW[[#This Row],['#_Non-functional storage tank gravity fed reticulation system]]</f>
        <v>0</v>
      </c>
      <c r="BW466" s="874">
        <f>WWWW[[#This Row],['#_Water boating or water trucking]]</f>
        <v>0</v>
      </c>
      <c r="BX466" s="874">
        <f>WWWW[[#This Row],['#_Constructed/Existing water distribution system from river or natural spring]]</f>
        <v>0</v>
      </c>
      <c r="BY466"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66"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66" s="872">
        <f>IF(WWWW[[#This Row],[Location Type 1]]="Village",WWWW[[#This Row],[Access to safe drinking water for Village]],WWWW[[#This Row],[Access to safe drinking water for Camp]])</f>
        <v>0</v>
      </c>
      <c r="CB466" s="870">
        <f>WWWW[[#This Row],[%Equitable and continuous access to sufficient quantity of safe drinking water]]*WWWW[[#This Row],[Total PoP ]]</f>
        <v>0</v>
      </c>
      <c r="CC466" s="872">
        <f>IF((WWWW[[#This Row],['#_Constructed/Existing protected/fenced ponds]]*250)/WWWW[[#This Row],[Total PoP ]]&gt;1,1,(WWWW[[#This Row],['#_Constructed/Existing protected/fenced ponds]]*250)/WWWW[[#This Row],[Total PoP ]])</f>
        <v>0</v>
      </c>
      <c r="CD466" s="870">
        <f>WWWW[[#This Row],[% Access to unimproved water points]]*WWWW[[#This Row],[Total PoP ]]</f>
        <v>0</v>
      </c>
      <c r="CE466"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66"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66" s="870">
        <f>WWWW[[#This Row],[HRP1]]/500</f>
        <v>0</v>
      </c>
      <c r="CH466" s="876">
        <f>1-WWWW[[#This Row],[% Equitable and continuous access to sufficient quantity of domestic water]]</f>
        <v>1</v>
      </c>
      <c r="CI466" s="870">
        <f>WWWW[[#This Row],[%equitable and continuous access to sufficient quantity of safe drinking and domestic water''s GAP]]*WWWW[[#This Row],[Total PoP ]]</f>
        <v>1995</v>
      </c>
      <c r="CJ466" s="874">
        <f>IF(WWWW[[#This Row],[Total required water points]]-WWWW[[#This Row],['#Water points coverage]]&lt;0,0,WWWW[[#This Row],[Total required water points]]-WWWW[[#This Row],['#Water points coverage]])</f>
        <v>4</v>
      </c>
      <c r="CK466" s="874">
        <f>ROUND(IF(WWWW[[#This Row],[Total PoP ]]&lt;500,1,WWWW[[#This Row],[Total PoP ]]/500),0)</f>
        <v>4</v>
      </c>
      <c r="CL466" s="874">
        <f>(WWWW[[#This Row],['#_Constructed latrines_by_WASHAgencies]]+WWWW[[#This Row],['#_Non Cluster partner latrines]])-WWWW[[#This Row],['#_Non-functional latrines]]</f>
        <v>0</v>
      </c>
      <c r="CM466"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66"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66"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66" s="874">
        <f>IF(WWWW[[#This Row],[Location Type 1]]="Village","NA",IF(WWWW[[#This Row],['#_Constructed/Existing latrines in TLS]]*50&gt;WWWW[[#This Row],['#_students at TLS_CFS]],WWWW[[#This Row],['#_students at TLS_CFS]],(WWWW[[#This Row],['#_Constructed/Existing latrines in TLS]]*50)))</f>
        <v>0</v>
      </c>
      <c r="CQ466" s="874">
        <f>ROUND(IF(WWWW[[#This Row],[Location Type 1]]="camp",WWWW[[#This Row],[Total PoP ]]/20,IF(WWWW[[#This Row],[Location Type 1]]="Temporary Location",WWWW[[#This Row],[Total PoP ]]/50,(WWWW[[#This Row],[Total PoP ]]/6))),0)</f>
        <v>40</v>
      </c>
      <c r="CR466" s="874">
        <f>IF(WWWW[[#This Row],[Total required Latrines]]-(WWWW[[#This Row],['#_Constructed latrines_by_WASHAgencies]]+WWWW[[#This Row],['#_Non Cluster partner latrines]])&lt;0,0,WWWW[[#This Row],[Total required Latrines]]-(WWWW[[#This Row],['#_Constructed latrines_by_WASHAgencies]]+WWWW[[#This Row],['#_Non Cluster partner latrines]]))</f>
        <v>40</v>
      </c>
      <c r="CS466" s="878">
        <f>1-WWWW[[#This Row],[% people access to functioning Latrine]]</f>
        <v>1</v>
      </c>
      <c r="CT466" s="875">
        <f>IF(OR(WWWW[[#This Row],['#_Non-functional latrines]]="",WWWW[[#This Row],['#_Non-functional latrines]]=0),0,WWWW[[#This Row],['#_Non-functional latrines]]/(WWWW[[#This Row],['#_Constructed latrines_by_WASHAgencies]]+WWWW[[#This Row],['#_Non Cluster partner latrines]]))</f>
        <v>0</v>
      </c>
      <c r="CU466" s="870">
        <f>IF(500*(WWWW[[#This Row],['#_male hygiene promoters]]+WWWW[[#This Row],['#_female hygiene promoters]])&gt;WWWW[[#This Row],[Total PoP ]],WWWW[[#This Row],[Total PoP ]],500*(WWWW[[#This Row],['#_male hygiene promoters]]+WWWW[[#This Row],['#_female hygiene promoters]]))</f>
        <v>0</v>
      </c>
      <c r="CV466"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375</v>
      </c>
      <c r="CW466"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375</v>
      </c>
      <c r="CX466" s="874">
        <f>IF(WWWW[[#This Row],['# People with access to soap]]&gt;WWWW[[#This Row],['# People with access to Sanity Pads]],WWWW[[#This Row],['# People with access to soap]],WWWW[[#This Row],['# People with access to Sanity Pads]])</f>
        <v>375</v>
      </c>
      <c r="CY466" s="874">
        <f>IF(WWWW[[#This Row],['# people reached by regular dedicated hygiene promotion_5]]&gt;WWWW[[#This Row],['# People received regular supply of hygiene items_6]],WWWW[[#This Row],['# people reached by regular dedicated hygiene promotion_5]],WWWW[[#This Row],['# People received regular supply of hygiene items_6]])</f>
        <v>375</v>
      </c>
      <c r="CZ466" s="876">
        <f>IF(WWWW[[#This Row],[HRP3]]/WWWW[[#This Row],[Total PoP ]]&gt;100%,100%,WWWW[[#This Row],[HRP3]]/WWWW[[#This Row],[Total PoP ]])</f>
        <v>0.18796992481203006</v>
      </c>
      <c r="DA466" s="875">
        <f>1-WWWW[[#This Row],[Hygiene Coverage%]]</f>
        <v>0.81203007518796988</v>
      </c>
      <c r="DB466" s="872">
        <f>WWWW[[#This Row],['# people reached by regular dedicated hygiene promotion_5]]/WWWW[[#This Row],[Total PoP ]]</f>
        <v>0</v>
      </c>
      <c r="DC466" s="872">
        <f>IF(WWWW[[#This Row],['#_households that received standard amount of soap for this quarter]]/WWWW[[#This Row],[Total HH]]&gt;1,1,WWWW[[#This Row],['#_households that received standard amount of soap for this quarter]]/WWWW[[#This Row],[Total HH]])</f>
        <v>0.14395393474088292</v>
      </c>
      <c r="DD466" s="872">
        <f>IF(WWWW[[#This Row],['#_households that received standard amount of sanitary pads for this quarter]]/WWWW[[#This Row],[Total HH]]&gt;1,1,WWWW[[#This Row],['#_households that received standard amount of sanitary pads for this quarter]]/WWWW[[#This Row],[Total HH]])</f>
        <v>0.14395393474088292</v>
      </c>
      <c r="DE466" s="874">
        <f>WWWW[[#This Row],['#_Constructed/Existing hand washing stations]]-WWWW[[#This Row],['#_Non-Functional_hand_washing_stations]]</f>
        <v>0</v>
      </c>
      <c r="DF466" s="879" t="e">
        <f>WWWW[[#This Row],[Total HH]]*#REF!</f>
        <v>#REF!</v>
      </c>
      <c r="DG466" s="870">
        <f>IF(WWWW[[#This Row],[Is sufficient soap available for TLS? (Yes/No)]]="yes",WWWW[[#This Row],['#_Constructed/Existing hand washing stations at TLS]],0)</f>
        <v>0</v>
      </c>
      <c r="DH466" s="702">
        <f>IF(WWWW[[#This Row],['# Functional hand washing stations during reporting period]]*100&gt;WWWW[[#This Row],[Total PoP ]],WWWW[[#This Row],[Total PoP ]],WWWW[[#This Row],['# Functional hand washing stations during reporting period]]*100)</f>
        <v>0</v>
      </c>
      <c r="DI466" s="702" t="str">
        <f>IF(WWWW[[#This Row],['#_students at TLS_CFS]]="","No","Yes")</f>
        <v>No</v>
      </c>
      <c r="DJ466" s="873">
        <f>VLOOKUP(WWWW[[#This Row],[Site Name]],SiteDB6[[Site Name]:[CCCM Management]],6,FALSE)</f>
        <v>0</v>
      </c>
      <c r="DK466" s="873">
        <f>VLOOKUP(WWWW[[#This Row],[Site Name]],SiteDB6[[Site Name]:[CCCM Focal Agency]],7,FALSE)</f>
        <v>0</v>
      </c>
      <c r="DL466" s="873" t="str">
        <f>VLOOKUP(WWWW[[#This Row],[Site Name]],SiteDB6[[Site Name]:[Location Type 1]],9,FALSE)</f>
        <v>Temporary location</v>
      </c>
      <c r="DM466" s="873" t="str">
        <f>VLOOKUP(WWWW[[#This Row],[Site Name]],SiteDB6[[Site Name]:[Type of Accommodation]],10,FALSE)</f>
        <v>Temporary location</v>
      </c>
      <c r="DN466" s="873">
        <f>VLOOKUP(WWWW[[#This Row],[Site Name]],SiteDB6[[Site Name]:[Ethnic or GCA/NGCA]],11,FALSE)</f>
        <v>0</v>
      </c>
      <c r="DO466" s="873">
        <f>VLOOKUP(WWWW[[#This Row],[Site Name]],SiteDB6[[Site Name]:[Lat]],12,FALSE)</f>
        <v>20.8608493804932</v>
      </c>
      <c r="DP466" s="873">
        <f>VLOOKUP(WWWW[[#This Row],[Site Name]],SiteDB6[[Site Name]:[Long]],13,FALSE)</f>
        <v>92.539390563964801</v>
      </c>
      <c r="DQ466" s="873">
        <f>VLOOKUP(WWWW[[#This Row],[Site Name]],SiteDB6[[Site Name]:[Pcode]],3,FALSE)</f>
        <v>198326</v>
      </c>
      <c r="DR466" s="871" t="str">
        <f t="shared" si="14"/>
        <v>Covered</v>
      </c>
      <c r="DS466" s="871"/>
      <c r="DV466" s="661"/>
    </row>
    <row r="467" spans="1:126">
      <c r="A467" s="637" t="s">
        <v>2525</v>
      </c>
      <c r="B467" s="863" t="s">
        <v>3167</v>
      </c>
      <c r="C467" s="863" t="s">
        <v>3167</v>
      </c>
      <c r="D467" s="864"/>
      <c r="E467" s="865" t="s">
        <v>3013</v>
      </c>
      <c r="F467" s="864" t="s">
        <v>355</v>
      </c>
      <c r="G467" s="866" t="str">
        <f>VLOOKUP(WWWW[[#This Row],[Site Name]],SiteDB6[[Site Name]:[Location Type]],8,FALSE)</f>
        <v>New Temporary Site</v>
      </c>
      <c r="H467" s="864" t="s">
        <v>561</v>
      </c>
      <c r="I467" s="867">
        <v>103</v>
      </c>
      <c r="J467" s="867">
        <v>534</v>
      </c>
      <c r="K467" s="868"/>
      <c r="L467" s="869"/>
      <c r="M467" s="867"/>
      <c r="N467" s="867"/>
      <c r="O467" s="867"/>
      <c r="P467" s="867"/>
      <c r="Q467" s="870"/>
      <c r="R467" s="867"/>
      <c r="S467" s="867"/>
      <c r="T467" s="379"/>
      <c r="U467" s="867"/>
      <c r="V467" s="867"/>
      <c r="W467" s="867"/>
      <c r="X467" s="867"/>
      <c r="Y467" s="867"/>
      <c r="Z467" s="867"/>
      <c r="AA467" s="867"/>
      <c r="AB467" s="867"/>
      <c r="AC467" s="867"/>
      <c r="AD467" s="867"/>
      <c r="AE467" s="867"/>
      <c r="AF467" s="867"/>
      <c r="AG467" s="867"/>
      <c r="AH467" s="867"/>
      <c r="AI467" s="867"/>
      <c r="AJ467" s="867"/>
      <c r="AK467" s="867"/>
      <c r="AL467" s="867"/>
      <c r="AM467" s="867"/>
      <c r="AN467" s="867"/>
      <c r="AO467" s="871"/>
      <c r="AP467" s="867">
        <v>30</v>
      </c>
      <c r="AQ467" s="867"/>
      <c r="AR467" s="872"/>
      <c r="AS467" s="867"/>
      <c r="AT467" s="867"/>
      <c r="AU467" s="867"/>
      <c r="AV467" s="867"/>
      <c r="AW467" s="867"/>
      <c r="AX467" s="873"/>
      <c r="AY467" s="871"/>
      <c r="AZ467" s="867"/>
      <c r="BA467" s="867"/>
      <c r="BB467" s="867"/>
      <c r="BC467" s="873"/>
      <c r="BD467" s="867"/>
      <c r="BE467" s="867"/>
      <c r="BF467" s="867"/>
      <c r="BG467" s="867"/>
      <c r="BH467" s="867"/>
      <c r="BI467" s="867"/>
      <c r="BJ467" s="867"/>
      <c r="BK467" s="867"/>
      <c r="BL467" s="867"/>
      <c r="BM467" s="873"/>
      <c r="BN467" s="874"/>
      <c r="BO467" s="872"/>
      <c r="BP467" s="873"/>
      <c r="BQ467" s="875" t="str">
        <f>IFERROR(WWWW[[#This Row],['#_Water sources treated]]/WWWW[[#This Row],['#_Water sources tested for contamination]],"no test")</f>
        <v>no test</v>
      </c>
      <c r="BR467" s="872" t="str">
        <f>IFERROR(WWWW[[#This Row],['#_Household received remediation action due to contamination]]/WWWW[[#This Row],['#_Household water samples tested for contamination]],"no test")</f>
        <v>no test</v>
      </c>
      <c r="BS467" s="874" t="str">
        <f>IF(AND(WWWW[[#This Row],[% of water sources treated]]="no test",WWWW[[#This Row],[% Household received corrective actions]]="no test"),"No Test","Tested")</f>
        <v>No Test</v>
      </c>
      <c r="BT467" s="874">
        <f>WWWW[[#This Row],['#_Constructed/existing protected hand dug well]]-WWWW[[#This Row],['#_Non-functional protected hand dug well]]</f>
        <v>0</v>
      </c>
      <c r="BU467" s="874">
        <f>(WWWW[[#This Row],['#_Constructed/Existing tube wells/boreholes/handpumps_WASH_agency]]+WWWW[[#This Row],['#_Non-Cluster partner water tube-wells/boreholes/handpumps]])-WWWW[[#This Row],['#_Non-functional tube wells/boreholes/handpumps]]</f>
        <v>0</v>
      </c>
      <c r="BV467" s="874">
        <f>WWWW[[#This Row],['#_Constructed/Existingwater storage tank with gravity fed reticulation system]]-WWWW[[#This Row],['#_Non-functional storage tank gravity fed reticulation system]]</f>
        <v>0</v>
      </c>
      <c r="BW467" s="874">
        <f>WWWW[[#This Row],['#_Water boating or water trucking]]</f>
        <v>0</v>
      </c>
      <c r="BX467" s="874">
        <f>WWWW[[#This Row],['#_Constructed/Existing water distribution system from river or natural spring]]</f>
        <v>0</v>
      </c>
      <c r="BY467"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67"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67" s="872">
        <f>IF(WWWW[[#This Row],[Location Type 1]]="Village",WWWW[[#This Row],[Access to safe drinking water for Village]],WWWW[[#This Row],[Access to safe drinking water for Camp]])</f>
        <v>0</v>
      </c>
      <c r="CB467" s="870">
        <f>WWWW[[#This Row],[%Equitable and continuous access to sufficient quantity of safe drinking water]]*WWWW[[#This Row],[Total PoP ]]</f>
        <v>0</v>
      </c>
      <c r="CC467" s="872">
        <f>IF((WWWW[[#This Row],['#_Constructed/Existing protected/fenced ponds]]*250)/WWWW[[#This Row],[Total PoP ]]&gt;1,1,(WWWW[[#This Row],['#_Constructed/Existing protected/fenced ponds]]*250)/WWWW[[#This Row],[Total PoP ]])</f>
        <v>0</v>
      </c>
      <c r="CD467" s="870">
        <f>WWWW[[#This Row],[% Access to unimproved water points]]*WWWW[[#This Row],[Total PoP ]]</f>
        <v>0</v>
      </c>
      <c r="CE467"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67"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67" s="870">
        <f>WWWW[[#This Row],[HRP1]]/500</f>
        <v>0</v>
      </c>
      <c r="CH467" s="876">
        <f>1-WWWW[[#This Row],[% Equitable and continuous access to sufficient quantity of domestic water]]</f>
        <v>1</v>
      </c>
      <c r="CI467" s="870">
        <f>WWWW[[#This Row],[%equitable and continuous access to sufficient quantity of safe drinking and domestic water''s GAP]]*WWWW[[#This Row],[Total PoP ]]</f>
        <v>534</v>
      </c>
      <c r="CJ467" s="874">
        <f>IF(WWWW[[#This Row],[Total required water points]]-WWWW[[#This Row],['#Water points coverage]]&lt;0,0,WWWW[[#This Row],[Total required water points]]-WWWW[[#This Row],['#Water points coverage]])</f>
        <v>1</v>
      </c>
      <c r="CK467" s="874">
        <f>ROUND(IF(WWWW[[#This Row],[Total PoP ]]&lt;500,1,WWWW[[#This Row],[Total PoP ]]/500),0)</f>
        <v>1</v>
      </c>
      <c r="CL467" s="874">
        <f>(WWWW[[#This Row],['#_Constructed latrines_by_WASHAgencies]]+WWWW[[#This Row],['#_Non Cluster partner latrines]])-WWWW[[#This Row],['#_Non-functional latrines]]</f>
        <v>30</v>
      </c>
      <c r="CM467"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467"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534</v>
      </c>
      <c r="CO467"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67" s="874">
        <f>IF(WWWW[[#This Row],[Location Type 1]]="Village","NA",IF(WWWW[[#This Row],['#_Constructed/Existing latrines in TLS]]*50&gt;WWWW[[#This Row],['#_students at TLS_CFS]],WWWW[[#This Row],['#_students at TLS_CFS]],(WWWW[[#This Row],['#_Constructed/Existing latrines in TLS]]*50)))</f>
        <v>0</v>
      </c>
      <c r="CQ467" s="874">
        <f>ROUND(IF(WWWW[[#This Row],[Location Type 1]]="camp",WWWW[[#This Row],[Total PoP ]]/20,IF(WWWW[[#This Row],[Location Type 1]]="Temporary Location",WWWW[[#This Row],[Total PoP ]]/50,(WWWW[[#This Row],[Total PoP ]]/6))),0)</f>
        <v>11</v>
      </c>
      <c r="CR467" s="874">
        <f>IF(WWWW[[#This Row],[Total required Latrines]]-(WWWW[[#This Row],['#_Constructed latrines_by_WASHAgencies]]+WWWW[[#This Row],['#_Non Cluster partner latrines]])&lt;0,0,WWWW[[#This Row],[Total required Latrines]]-(WWWW[[#This Row],['#_Constructed latrines_by_WASHAgencies]]+WWWW[[#This Row],['#_Non Cluster partner latrines]]))</f>
        <v>0</v>
      </c>
      <c r="CS467" s="878">
        <f>1-WWWW[[#This Row],[% people access to functioning Latrine]]</f>
        <v>0</v>
      </c>
      <c r="CT467" s="875">
        <f>IF(OR(WWWW[[#This Row],['#_Non-functional latrines]]="",WWWW[[#This Row],['#_Non-functional latrines]]=0),0,WWWW[[#This Row],['#_Non-functional latrines]]/(WWWW[[#This Row],['#_Constructed latrines_by_WASHAgencies]]+WWWW[[#This Row],['#_Non Cluster partner latrines]]))</f>
        <v>0</v>
      </c>
      <c r="CU467" s="870">
        <f>IF(500*(WWWW[[#This Row],['#_male hygiene promoters]]+WWWW[[#This Row],['#_female hygiene promoters]])&gt;WWWW[[#This Row],[Total PoP ]],WWWW[[#This Row],[Total PoP ]],500*(WWWW[[#This Row],['#_male hygiene promoters]]+WWWW[[#This Row],['#_female hygiene promoters]]))</f>
        <v>0</v>
      </c>
      <c r="CV467"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67"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67" s="874">
        <f>IF(WWWW[[#This Row],['# People with access to soap]]&gt;WWWW[[#This Row],['# People with access to Sanity Pads]],WWWW[[#This Row],['# People with access to soap]],WWWW[[#This Row],['# People with access to Sanity Pads]])</f>
        <v>0</v>
      </c>
      <c r="CY467"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67" s="876">
        <f>IF(WWWW[[#This Row],[HRP3]]/WWWW[[#This Row],[Total PoP ]]&gt;100%,100%,WWWW[[#This Row],[HRP3]]/WWWW[[#This Row],[Total PoP ]])</f>
        <v>0</v>
      </c>
      <c r="DA467" s="875">
        <f>1-WWWW[[#This Row],[Hygiene Coverage%]]</f>
        <v>1</v>
      </c>
      <c r="DB467" s="872">
        <f>WWWW[[#This Row],['# people reached by regular dedicated hygiene promotion_5]]/WWWW[[#This Row],[Total PoP ]]</f>
        <v>0</v>
      </c>
      <c r="DC467" s="872">
        <f>IF(WWWW[[#This Row],['#_households that received standard amount of soap for this quarter]]/WWWW[[#This Row],[Total HH]]&gt;1,1,WWWW[[#This Row],['#_households that received standard amount of soap for this quarter]]/WWWW[[#This Row],[Total HH]])</f>
        <v>0</v>
      </c>
      <c r="DD467" s="872">
        <f>IF(WWWW[[#This Row],['#_households that received standard amount of sanitary pads for this quarter]]/WWWW[[#This Row],[Total HH]]&gt;1,1,WWWW[[#This Row],['#_households that received standard amount of sanitary pads for this quarter]]/WWWW[[#This Row],[Total HH]])</f>
        <v>0</v>
      </c>
      <c r="DE467" s="874">
        <f>WWWW[[#This Row],['#_Constructed/Existing hand washing stations]]-WWWW[[#This Row],['#_Non-Functional_hand_washing_stations]]</f>
        <v>0</v>
      </c>
      <c r="DF467" s="879" t="e">
        <f>WWWW[[#This Row],[Total HH]]*#REF!</f>
        <v>#REF!</v>
      </c>
      <c r="DG467" s="870">
        <f>IF(WWWW[[#This Row],[Is sufficient soap available for TLS? (Yes/No)]]="yes",WWWW[[#This Row],['#_Constructed/Existing hand washing stations at TLS]],0)</f>
        <v>0</v>
      </c>
      <c r="DH467" s="702">
        <f>IF(WWWW[[#This Row],['# Functional hand washing stations during reporting period]]*100&gt;WWWW[[#This Row],[Total PoP ]],WWWW[[#This Row],[Total PoP ]],WWWW[[#This Row],['# Functional hand washing stations during reporting period]]*100)</f>
        <v>0</v>
      </c>
      <c r="DI467" s="702" t="str">
        <f>IF(WWWW[[#This Row],['#_students at TLS_CFS]]="","No","Yes")</f>
        <v>No</v>
      </c>
      <c r="DJ467" s="873">
        <f>VLOOKUP(WWWW[[#This Row],[Site Name]],SiteDB6[[Site Name]:[CCCM Management]],6,FALSE)</f>
        <v>0</v>
      </c>
      <c r="DK467" s="873">
        <f>VLOOKUP(WWWW[[#This Row],[Site Name]],SiteDB6[[Site Name]:[CCCM Focal Agency]],7,FALSE)</f>
        <v>0</v>
      </c>
      <c r="DL467" s="873" t="str">
        <f>VLOOKUP(WWWW[[#This Row],[Site Name]],SiteDB6[[Site Name]:[Location Type 1]],9,FALSE)</f>
        <v>Temporary location</v>
      </c>
      <c r="DM467" s="873" t="str">
        <f>VLOOKUP(WWWW[[#This Row],[Site Name]],SiteDB6[[Site Name]:[Type of Accommodation]],10,FALSE)</f>
        <v>Temporary location</v>
      </c>
      <c r="DN467" s="873" t="str">
        <f>VLOOKUP(WWWW[[#This Row],[Site Name]],SiteDB6[[Site Name]:[Ethnic or GCA/NGCA]],11,FALSE)</f>
        <v>Rakhine</v>
      </c>
      <c r="DO467" s="873">
        <f>VLOOKUP(WWWW[[#This Row],[Site Name]],SiteDB6[[Site Name]:[Lat]],12,FALSE)</f>
        <v>20.688629150000001</v>
      </c>
      <c r="DP467" s="873">
        <f>VLOOKUP(WWWW[[#This Row],[Site Name]],SiteDB6[[Site Name]:[Long]],13,FALSE)</f>
        <v>92.652481080000001</v>
      </c>
      <c r="DQ467" s="873">
        <f>VLOOKUP(WWWW[[#This Row],[Site Name]],SiteDB6[[Site Name]:[Pcode]],3,FALSE)</f>
        <v>197669</v>
      </c>
      <c r="DR467" s="871" t="str">
        <f t="shared" ref="DR467:DR482" si="15">IF(C467="none","Notcovered","Covered")</f>
        <v>Covered</v>
      </c>
      <c r="DS467" s="871"/>
      <c r="DV467" s="661"/>
    </row>
    <row r="468" spans="1:126">
      <c r="A468" s="637" t="s">
        <v>2525</v>
      </c>
      <c r="B468" s="976" t="s">
        <v>317</v>
      </c>
      <c r="C468" s="976" t="s">
        <v>317</v>
      </c>
      <c r="D468" s="864"/>
      <c r="E468" s="865" t="s">
        <v>3013</v>
      </c>
      <c r="F468" s="864" t="s">
        <v>355</v>
      </c>
      <c r="G468" s="866" t="str">
        <f>VLOOKUP(WWWW[[#This Row],[Site Name]],SiteDB6[[Site Name]:[Location Type]],8,FALSE)</f>
        <v>New Temporary Site</v>
      </c>
      <c r="H468" s="864" t="s">
        <v>3260</v>
      </c>
      <c r="I468" s="867">
        <v>8</v>
      </c>
      <c r="J468" s="867">
        <v>16</v>
      </c>
      <c r="K468" s="868"/>
      <c r="L468" s="869"/>
      <c r="M468" s="867"/>
      <c r="N468" s="867"/>
      <c r="O468" s="867"/>
      <c r="P468" s="867"/>
      <c r="Q468" s="870"/>
      <c r="R468" s="867"/>
      <c r="S468" s="867"/>
      <c r="T468" s="379"/>
      <c r="U468" s="867"/>
      <c r="V468" s="867"/>
      <c r="W468" s="867"/>
      <c r="X468" s="867"/>
      <c r="Y468" s="867"/>
      <c r="Z468" s="867"/>
      <c r="AA468" s="867"/>
      <c r="AB468" s="867"/>
      <c r="AC468" s="867"/>
      <c r="AD468" s="867"/>
      <c r="AE468" s="867"/>
      <c r="AF468" s="867"/>
      <c r="AG468" s="867"/>
      <c r="AH468" s="867"/>
      <c r="AI468" s="867"/>
      <c r="AJ468" s="867"/>
      <c r="AK468" s="867"/>
      <c r="AL468" s="867"/>
      <c r="AM468" s="867"/>
      <c r="AN468" s="867"/>
      <c r="AO468" s="871"/>
      <c r="AP468" s="867"/>
      <c r="AQ468" s="867"/>
      <c r="AR468" s="872"/>
      <c r="AS468" s="867"/>
      <c r="AT468" s="867"/>
      <c r="AU468" s="867"/>
      <c r="AV468" s="867"/>
      <c r="AW468" s="867"/>
      <c r="AX468" s="873"/>
      <c r="AY468" s="871"/>
      <c r="AZ468" s="867"/>
      <c r="BA468" s="867"/>
      <c r="BB468" s="867"/>
      <c r="BC468" s="873"/>
      <c r="BD468" s="867"/>
      <c r="BE468" s="867"/>
      <c r="BF468" s="867"/>
      <c r="BG468" s="867"/>
      <c r="BH468" s="867"/>
      <c r="BI468" s="867"/>
      <c r="BJ468" s="867"/>
      <c r="BK468" s="867"/>
      <c r="BL468" s="867"/>
      <c r="BM468" s="873"/>
      <c r="BN468" s="874"/>
      <c r="BO468" s="872"/>
      <c r="BP468" s="873"/>
      <c r="BQ468" s="875" t="str">
        <f>IFERROR(WWWW[[#This Row],['#_Water sources treated]]/WWWW[[#This Row],['#_Water sources tested for contamination]],"no test")</f>
        <v>no test</v>
      </c>
      <c r="BR468" s="872" t="str">
        <f>IFERROR(WWWW[[#This Row],['#_Household received remediation action due to contamination]]/WWWW[[#This Row],['#_Household water samples tested for contamination]],"no test")</f>
        <v>no test</v>
      </c>
      <c r="BS468" s="874" t="str">
        <f>IF(AND(WWWW[[#This Row],[% of water sources treated]]="no test",WWWW[[#This Row],[% Household received corrective actions]]="no test"),"No Test","Tested")</f>
        <v>No Test</v>
      </c>
      <c r="BT468" s="874">
        <f>WWWW[[#This Row],['#_Constructed/existing protected hand dug well]]-WWWW[[#This Row],['#_Non-functional protected hand dug well]]</f>
        <v>0</v>
      </c>
      <c r="BU468" s="874">
        <f>(WWWW[[#This Row],['#_Constructed/Existing tube wells/boreholes/handpumps_WASH_agency]]+WWWW[[#This Row],['#_Non-Cluster partner water tube-wells/boreholes/handpumps]])-WWWW[[#This Row],['#_Non-functional tube wells/boreholes/handpumps]]</f>
        <v>0</v>
      </c>
      <c r="BV468" s="874">
        <f>WWWW[[#This Row],['#_Constructed/Existingwater storage tank with gravity fed reticulation system]]-WWWW[[#This Row],['#_Non-functional storage tank gravity fed reticulation system]]</f>
        <v>0</v>
      </c>
      <c r="BW468" s="874">
        <f>WWWW[[#This Row],['#_Water boating or water trucking]]</f>
        <v>0</v>
      </c>
      <c r="BX468" s="874">
        <f>WWWW[[#This Row],['#_Constructed/Existing water distribution system from river or natural spring]]</f>
        <v>0</v>
      </c>
      <c r="BY468"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68"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68" s="872">
        <f>IF(WWWW[[#This Row],[Location Type 1]]="Village",WWWW[[#This Row],[Access to safe drinking water for Village]],WWWW[[#This Row],[Access to safe drinking water for Camp]])</f>
        <v>0</v>
      </c>
      <c r="CB468" s="870">
        <f>WWWW[[#This Row],[%Equitable and continuous access to sufficient quantity of safe drinking water]]*WWWW[[#This Row],[Total PoP ]]</f>
        <v>0</v>
      </c>
      <c r="CC468" s="872">
        <f>IF((WWWW[[#This Row],['#_Constructed/Existing protected/fenced ponds]]*250)/WWWW[[#This Row],[Total PoP ]]&gt;1,1,(WWWW[[#This Row],['#_Constructed/Existing protected/fenced ponds]]*250)/WWWW[[#This Row],[Total PoP ]])</f>
        <v>0</v>
      </c>
      <c r="CD468" s="870">
        <f>WWWW[[#This Row],[% Access to unimproved water points]]*WWWW[[#This Row],[Total PoP ]]</f>
        <v>0</v>
      </c>
      <c r="CE468"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68"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68" s="870">
        <f>WWWW[[#This Row],[HRP1]]/500</f>
        <v>0</v>
      </c>
      <c r="CH468" s="876">
        <f>1-WWWW[[#This Row],[% Equitable and continuous access to sufficient quantity of domestic water]]</f>
        <v>1</v>
      </c>
      <c r="CI468" s="870">
        <f>WWWW[[#This Row],[%equitable and continuous access to sufficient quantity of safe drinking and domestic water''s GAP]]*WWWW[[#This Row],[Total PoP ]]</f>
        <v>16</v>
      </c>
      <c r="CJ468" s="874">
        <f>IF(WWWW[[#This Row],[Total required water points]]-WWWW[[#This Row],['#Water points coverage]]&lt;0,0,WWWW[[#This Row],[Total required water points]]-WWWW[[#This Row],['#Water points coverage]])</f>
        <v>1</v>
      </c>
      <c r="CK468" s="874">
        <f>ROUND(IF(WWWW[[#This Row],[Total PoP ]]&lt;500,1,WWWW[[#This Row],[Total PoP ]]/500),0)</f>
        <v>1</v>
      </c>
      <c r="CL468" s="874">
        <f>(WWWW[[#This Row],['#_Constructed latrines_by_WASHAgencies]]+WWWW[[#This Row],['#_Non Cluster partner latrines]])-WWWW[[#This Row],['#_Non-functional latrines]]</f>
        <v>0</v>
      </c>
      <c r="CM468"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68"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68"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68" s="874">
        <f>IF(WWWW[[#This Row],[Location Type 1]]="Village","NA",IF(WWWW[[#This Row],['#_Constructed/Existing latrines in TLS]]*50&gt;WWWW[[#This Row],['#_students at TLS_CFS]],WWWW[[#This Row],['#_students at TLS_CFS]],(WWWW[[#This Row],['#_Constructed/Existing latrines in TLS]]*50)))</f>
        <v>0</v>
      </c>
      <c r="CQ468" s="874">
        <f>ROUND(IF(WWWW[[#This Row],[Location Type 1]]="camp",WWWW[[#This Row],[Total PoP ]]/20,IF(WWWW[[#This Row],[Location Type 1]]="Temporary Location",WWWW[[#This Row],[Total PoP ]]/50,(WWWW[[#This Row],[Total PoP ]]/6))),0)</f>
        <v>0</v>
      </c>
      <c r="CR468" s="874">
        <f>IF(WWWW[[#This Row],[Total required Latrines]]-(WWWW[[#This Row],['#_Constructed latrines_by_WASHAgencies]]+WWWW[[#This Row],['#_Non Cluster partner latrines]])&lt;0,0,WWWW[[#This Row],[Total required Latrines]]-(WWWW[[#This Row],['#_Constructed latrines_by_WASHAgencies]]+WWWW[[#This Row],['#_Non Cluster partner latrines]]))</f>
        <v>0</v>
      </c>
      <c r="CS468" s="878">
        <f>1-WWWW[[#This Row],[% people access to functioning Latrine]]</f>
        <v>1</v>
      </c>
      <c r="CT468" s="875">
        <f>IF(OR(WWWW[[#This Row],['#_Non-functional latrines]]="",WWWW[[#This Row],['#_Non-functional latrines]]=0),0,WWWW[[#This Row],['#_Non-functional latrines]]/(WWWW[[#This Row],['#_Constructed latrines_by_WASHAgencies]]+WWWW[[#This Row],['#_Non Cluster partner latrines]]))</f>
        <v>0</v>
      </c>
      <c r="CU468" s="870">
        <f>IF(500*(WWWW[[#This Row],['#_male hygiene promoters]]+WWWW[[#This Row],['#_female hygiene promoters]])&gt;WWWW[[#This Row],[Total PoP ]],WWWW[[#This Row],[Total PoP ]],500*(WWWW[[#This Row],['#_male hygiene promoters]]+WWWW[[#This Row],['#_female hygiene promoters]]))</f>
        <v>0</v>
      </c>
      <c r="CV468"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68"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68" s="874">
        <f>IF(WWWW[[#This Row],['# People with access to soap]]&gt;WWWW[[#This Row],['# People with access to Sanity Pads]],WWWW[[#This Row],['# People with access to soap]],WWWW[[#This Row],['# People with access to Sanity Pads]])</f>
        <v>0</v>
      </c>
      <c r="CY468"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68" s="876">
        <f>IF(WWWW[[#This Row],[HRP3]]/WWWW[[#This Row],[Total PoP ]]&gt;100%,100%,WWWW[[#This Row],[HRP3]]/WWWW[[#This Row],[Total PoP ]])</f>
        <v>0</v>
      </c>
      <c r="DA468" s="875">
        <f>1-WWWW[[#This Row],[Hygiene Coverage%]]</f>
        <v>1</v>
      </c>
      <c r="DB468" s="872">
        <f>WWWW[[#This Row],['# people reached by regular dedicated hygiene promotion_5]]/WWWW[[#This Row],[Total PoP ]]</f>
        <v>0</v>
      </c>
      <c r="DC468" s="872">
        <f>IF(WWWW[[#This Row],['#_households that received standard amount of soap for this quarter]]/WWWW[[#This Row],[Total HH]]&gt;1,1,WWWW[[#This Row],['#_households that received standard amount of soap for this quarter]]/WWWW[[#This Row],[Total HH]])</f>
        <v>0</v>
      </c>
      <c r="DD468" s="872">
        <f>IF(WWWW[[#This Row],['#_households that received standard amount of sanitary pads for this quarter]]/WWWW[[#This Row],[Total HH]]&gt;1,1,WWWW[[#This Row],['#_households that received standard amount of sanitary pads for this quarter]]/WWWW[[#This Row],[Total HH]])</f>
        <v>0</v>
      </c>
      <c r="DE468" s="874">
        <f>WWWW[[#This Row],['#_Constructed/Existing hand washing stations]]-WWWW[[#This Row],['#_Non-Functional_hand_washing_stations]]</f>
        <v>0</v>
      </c>
      <c r="DF468" s="879" t="e">
        <f>WWWW[[#This Row],[Total HH]]*#REF!</f>
        <v>#REF!</v>
      </c>
      <c r="DG468" s="870">
        <f>IF(WWWW[[#This Row],[Is sufficient soap available for TLS? (Yes/No)]]="yes",WWWW[[#This Row],['#_Constructed/Existing hand washing stations at TLS]],0)</f>
        <v>0</v>
      </c>
      <c r="DH468" s="702">
        <f>IF(WWWW[[#This Row],['# Functional hand washing stations during reporting period]]*100&gt;WWWW[[#This Row],[Total PoP ]],WWWW[[#This Row],[Total PoP ]],WWWW[[#This Row],['# Functional hand washing stations during reporting period]]*100)</f>
        <v>0</v>
      </c>
      <c r="DI468" s="702" t="str">
        <f>IF(WWWW[[#This Row],['#_students at TLS_CFS]]="","No","Yes")</f>
        <v>No</v>
      </c>
      <c r="DJ468" s="873">
        <f>VLOOKUP(WWWW[[#This Row],[Site Name]],SiteDB6[[Site Name]:[CCCM Management]],6,FALSE)</f>
        <v>0</v>
      </c>
      <c r="DK468" s="873">
        <f>VLOOKUP(WWWW[[#This Row],[Site Name]],SiteDB6[[Site Name]:[CCCM Focal Agency]],7,FALSE)</f>
        <v>0</v>
      </c>
      <c r="DL468" s="873" t="str">
        <f>VLOOKUP(WWWW[[#This Row],[Site Name]],SiteDB6[[Site Name]:[Location Type 1]],9,FALSE)</f>
        <v>Temporary location</v>
      </c>
      <c r="DM468" s="873" t="str">
        <f>VLOOKUP(WWWW[[#This Row],[Site Name]],SiteDB6[[Site Name]:[Type of Accommodation]],10,FALSE)</f>
        <v>Temporary location</v>
      </c>
      <c r="DN468" s="873">
        <f>VLOOKUP(WWWW[[#This Row],[Site Name]],SiteDB6[[Site Name]:[Ethnic or GCA/NGCA]],11,FALSE)</f>
        <v>0</v>
      </c>
      <c r="DO468" s="873">
        <f>VLOOKUP(WWWW[[#This Row],[Site Name]],SiteDB6[[Site Name]:[Lat]],12,FALSE)</f>
        <v>20.575780868530298</v>
      </c>
      <c r="DP468" s="873">
        <f>VLOOKUP(WWWW[[#This Row],[Site Name]],SiteDB6[[Site Name]:[Long]],13,FALSE)</f>
        <v>92.670402526855497</v>
      </c>
      <c r="DQ468" s="873">
        <f>VLOOKUP(WWWW[[#This Row],[Site Name]],SiteDB6[[Site Name]:[Pcode]],3,FALSE)</f>
        <v>197589</v>
      </c>
      <c r="DR468" s="871" t="str">
        <f t="shared" si="15"/>
        <v>Notcovered</v>
      </c>
      <c r="DS468" s="871"/>
      <c r="DV468" s="661"/>
    </row>
    <row r="469" spans="1:126">
      <c r="A469" s="637" t="s">
        <v>2525</v>
      </c>
      <c r="B469" s="976" t="s">
        <v>317</v>
      </c>
      <c r="C469" s="976" t="s">
        <v>317</v>
      </c>
      <c r="D469" s="864"/>
      <c r="E469" s="865" t="s">
        <v>3013</v>
      </c>
      <c r="F469" s="864" t="s">
        <v>355</v>
      </c>
      <c r="G469" s="866" t="str">
        <f>VLOOKUP(WWWW[[#This Row],[Site Name]],SiteDB6[[Site Name]:[Location Type]],8,FALSE)</f>
        <v>New Temporary Site</v>
      </c>
      <c r="H469" s="864" t="s">
        <v>541</v>
      </c>
      <c r="I469" s="867">
        <v>59</v>
      </c>
      <c r="J469" s="867">
        <v>255</v>
      </c>
      <c r="K469" s="868"/>
      <c r="L469" s="869"/>
      <c r="M469" s="867"/>
      <c r="N469" s="867"/>
      <c r="O469" s="867"/>
      <c r="P469" s="867"/>
      <c r="Q469" s="870"/>
      <c r="R469" s="867"/>
      <c r="S469" s="867"/>
      <c r="T469" s="379"/>
      <c r="U469" s="867"/>
      <c r="V469" s="867"/>
      <c r="W469" s="867"/>
      <c r="X469" s="867"/>
      <c r="Y469" s="867"/>
      <c r="Z469" s="867"/>
      <c r="AA469" s="867"/>
      <c r="AB469" s="867"/>
      <c r="AC469" s="867"/>
      <c r="AD469" s="867"/>
      <c r="AE469" s="867"/>
      <c r="AF469" s="867"/>
      <c r="AG469" s="867"/>
      <c r="AH469" s="867"/>
      <c r="AI469" s="867"/>
      <c r="AJ469" s="867"/>
      <c r="AK469" s="867"/>
      <c r="AL469" s="867"/>
      <c r="AM469" s="867"/>
      <c r="AN469" s="867"/>
      <c r="AO469" s="871"/>
      <c r="AP469" s="867"/>
      <c r="AQ469" s="867"/>
      <c r="AR469" s="872"/>
      <c r="AS469" s="867"/>
      <c r="AT469" s="867"/>
      <c r="AU469" s="867"/>
      <c r="AV469" s="867"/>
      <c r="AW469" s="867"/>
      <c r="AX469" s="873"/>
      <c r="AY469" s="871"/>
      <c r="AZ469" s="867"/>
      <c r="BA469" s="867"/>
      <c r="BB469" s="867"/>
      <c r="BC469" s="873"/>
      <c r="BD469" s="867"/>
      <c r="BE469" s="867"/>
      <c r="BF469" s="867"/>
      <c r="BG469" s="867"/>
      <c r="BH469" s="867"/>
      <c r="BI469" s="867"/>
      <c r="BJ469" s="867"/>
      <c r="BK469" s="867"/>
      <c r="BL469" s="867"/>
      <c r="BM469" s="873"/>
      <c r="BN469" s="874"/>
      <c r="BO469" s="872"/>
      <c r="BP469" s="873"/>
      <c r="BQ469" s="875" t="str">
        <f>IFERROR(WWWW[[#This Row],['#_Water sources treated]]/WWWW[[#This Row],['#_Water sources tested for contamination]],"no test")</f>
        <v>no test</v>
      </c>
      <c r="BR469" s="872" t="str">
        <f>IFERROR(WWWW[[#This Row],['#_Household received remediation action due to contamination]]/WWWW[[#This Row],['#_Household water samples tested for contamination]],"no test")</f>
        <v>no test</v>
      </c>
      <c r="BS469" s="874" t="str">
        <f>IF(AND(WWWW[[#This Row],[% of water sources treated]]="no test",WWWW[[#This Row],[% Household received corrective actions]]="no test"),"No Test","Tested")</f>
        <v>No Test</v>
      </c>
      <c r="BT469" s="874">
        <f>WWWW[[#This Row],['#_Constructed/existing protected hand dug well]]-WWWW[[#This Row],['#_Non-functional protected hand dug well]]</f>
        <v>0</v>
      </c>
      <c r="BU469" s="874">
        <f>(WWWW[[#This Row],['#_Constructed/Existing tube wells/boreholes/handpumps_WASH_agency]]+WWWW[[#This Row],['#_Non-Cluster partner water tube-wells/boreholes/handpumps]])-WWWW[[#This Row],['#_Non-functional tube wells/boreholes/handpumps]]</f>
        <v>0</v>
      </c>
      <c r="BV469" s="874">
        <f>WWWW[[#This Row],['#_Constructed/Existingwater storage tank with gravity fed reticulation system]]-WWWW[[#This Row],['#_Non-functional storage tank gravity fed reticulation system]]</f>
        <v>0</v>
      </c>
      <c r="BW469" s="874">
        <f>WWWW[[#This Row],['#_Water boating or water trucking]]</f>
        <v>0</v>
      </c>
      <c r="BX469" s="874">
        <f>WWWW[[#This Row],['#_Constructed/Existing water distribution system from river or natural spring]]</f>
        <v>0</v>
      </c>
      <c r="BY469"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69"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69" s="872">
        <f>IF(WWWW[[#This Row],[Location Type 1]]="Village",WWWW[[#This Row],[Access to safe drinking water for Village]],WWWW[[#This Row],[Access to safe drinking water for Camp]])</f>
        <v>0</v>
      </c>
      <c r="CB469" s="870">
        <f>WWWW[[#This Row],[%Equitable and continuous access to sufficient quantity of safe drinking water]]*WWWW[[#This Row],[Total PoP ]]</f>
        <v>0</v>
      </c>
      <c r="CC469" s="872">
        <f>IF((WWWW[[#This Row],['#_Constructed/Existing protected/fenced ponds]]*250)/WWWW[[#This Row],[Total PoP ]]&gt;1,1,(WWWW[[#This Row],['#_Constructed/Existing protected/fenced ponds]]*250)/WWWW[[#This Row],[Total PoP ]])</f>
        <v>0</v>
      </c>
      <c r="CD469" s="870">
        <f>WWWW[[#This Row],[% Access to unimproved water points]]*WWWW[[#This Row],[Total PoP ]]</f>
        <v>0</v>
      </c>
      <c r="CE469"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69"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69" s="870">
        <f>WWWW[[#This Row],[HRP1]]/500</f>
        <v>0</v>
      </c>
      <c r="CH469" s="876">
        <f>1-WWWW[[#This Row],[% Equitable and continuous access to sufficient quantity of domestic water]]</f>
        <v>1</v>
      </c>
      <c r="CI469" s="870">
        <f>WWWW[[#This Row],[%equitable and continuous access to sufficient quantity of safe drinking and domestic water''s GAP]]*WWWW[[#This Row],[Total PoP ]]</f>
        <v>255</v>
      </c>
      <c r="CJ469" s="874">
        <f>IF(WWWW[[#This Row],[Total required water points]]-WWWW[[#This Row],['#Water points coverage]]&lt;0,0,WWWW[[#This Row],[Total required water points]]-WWWW[[#This Row],['#Water points coverage]])</f>
        <v>1</v>
      </c>
      <c r="CK469" s="874">
        <f>ROUND(IF(WWWW[[#This Row],[Total PoP ]]&lt;500,1,WWWW[[#This Row],[Total PoP ]]/500),0)</f>
        <v>1</v>
      </c>
      <c r="CL469" s="874">
        <f>(WWWW[[#This Row],['#_Constructed latrines_by_WASHAgencies]]+WWWW[[#This Row],['#_Non Cluster partner latrines]])-WWWW[[#This Row],['#_Non-functional latrines]]</f>
        <v>0</v>
      </c>
      <c r="CM469"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69"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69"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69" s="874">
        <f>IF(WWWW[[#This Row],[Location Type 1]]="Village","NA",IF(WWWW[[#This Row],['#_Constructed/Existing latrines in TLS]]*50&gt;WWWW[[#This Row],['#_students at TLS_CFS]],WWWW[[#This Row],['#_students at TLS_CFS]],(WWWW[[#This Row],['#_Constructed/Existing latrines in TLS]]*50)))</f>
        <v>0</v>
      </c>
      <c r="CQ469" s="874">
        <f>ROUND(IF(WWWW[[#This Row],[Location Type 1]]="camp",WWWW[[#This Row],[Total PoP ]]/20,IF(WWWW[[#This Row],[Location Type 1]]="Temporary Location",WWWW[[#This Row],[Total PoP ]]/50,(WWWW[[#This Row],[Total PoP ]]/6))),0)</f>
        <v>5</v>
      </c>
      <c r="CR469" s="874">
        <f>IF(WWWW[[#This Row],[Total required Latrines]]-(WWWW[[#This Row],['#_Constructed latrines_by_WASHAgencies]]+WWWW[[#This Row],['#_Non Cluster partner latrines]])&lt;0,0,WWWW[[#This Row],[Total required Latrines]]-(WWWW[[#This Row],['#_Constructed latrines_by_WASHAgencies]]+WWWW[[#This Row],['#_Non Cluster partner latrines]]))</f>
        <v>5</v>
      </c>
      <c r="CS469" s="878">
        <f>1-WWWW[[#This Row],[% people access to functioning Latrine]]</f>
        <v>1</v>
      </c>
      <c r="CT469" s="875">
        <f>IF(OR(WWWW[[#This Row],['#_Non-functional latrines]]="",WWWW[[#This Row],['#_Non-functional latrines]]=0),0,WWWW[[#This Row],['#_Non-functional latrines]]/(WWWW[[#This Row],['#_Constructed latrines_by_WASHAgencies]]+WWWW[[#This Row],['#_Non Cluster partner latrines]]))</f>
        <v>0</v>
      </c>
      <c r="CU469" s="870">
        <f>IF(500*(WWWW[[#This Row],['#_male hygiene promoters]]+WWWW[[#This Row],['#_female hygiene promoters]])&gt;WWWW[[#This Row],[Total PoP ]],WWWW[[#This Row],[Total PoP ]],500*(WWWW[[#This Row],['#_male hygiene promoters]]+WWWW[[#This Row],['#_female hygiene promoters]]))</f>
        <v>0</v>
      </c>
      <c r="CV469"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69"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69" s="874">
        <f>IF(WWWW[[#This Row],['# People with access to soap]]&gt;WWWW[[#This Row],['# People with access to Sanity Pads]],WWWW[[#This Row],['# People with access to soap]],WWWW[[#This Row],['# People with access to Sanity Pads]])</f>
        <v>0</v>
      </c>
      <c r="CY469"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69" s="876">
        <f>IF(WWWW[[#This Row],[HRP3]]/WWWW[[#This Row],[Total PoP ]]&gt;100%,100%,WWWW[[#This Row],[HRP3]]/WWWW[[#This Row],[Total PoP ]])</f>
        <v>0</v>
      </c>
      <c r="DA469" s="875">
        <f>1-WWWW[[#This Row],[Hygiene Coverage%]]</f>
        <v>1</v>
      </c>
      <c r="DB469" s="872">
        <f>WWWW[[#This Row],['# people reached by regular dedicated hygiene promotion_5]]/WWWW[[#This Row],[Total PoP ]]</f>
        <v>0</v>
      </c>
      <c r="DC469" s="872">
        <f>IF(WWWW[[#This Row],['#_households that received standard amount of soap for this quarter]]/WWWW[[#This Row],[Total HH]]&gt;1,1,WWWW[[#This Row],['#_households that received standard amount of soap for this quarter]]/WWWW[[#This Row],[Total HH]])</f>
        <v>0</v>
      </c>
      <c r="DD469" s="872">
        <f>IF(WWWW[[#This Row],['#_households that received standard amount of sanitary pads for this quarter]]/WWWW[[#This Row],[Total HH]]&gt;1,1,WWWW[[#This Row],['#_households that received standard amount of sanitary pads for this quarter]]/WWWW[[#This Row],[Total HH]])</f>
        <v>0</v>
      </c>
      <c r="DE469" s="874">
        <f>WWWW[[#This Row],['#_Constructed/Existing hand washing stations]]-WWWW[[#This Row],['#_Non-Functional_hand_washing_stations]]</f>
        <v>0</v>
      </c>
      <c r="DF469" s="879" t="e">
        <f>WWWW[[#This Row],[Total HH]]*#REF!</f>
        <v>#REF!</v>
      </c>
      <c r="DG469" s="870">
        <f>IF(WWWW[[#This Row],[Is sufficient soap available for TLS? (Yes/No)]]="yes",WWWW[[#This Row],['#_Constructed/Existing hand washing stations at TLS]],0)</f>
        <v>0</v>
      </c>
      <c r="DH469" s="702">
        <f>IF(WWWW[[#This Row],['# Functional hand washing stations during reporting period]]*100&gt;WWWW[[#This Row],[Total PoP ]],WWWW[[#This Row],[Total PoP ]],WWWW[[#This Row],['# Functional hand washing stations during reporting period]]*100)</f>
        <v>0</v>
      </c>
      <c r="DI469" s="702" t="str">
        <f>IF(WWWW[[#This Row],['#_students at TLS_CFS]]="","No","Yes")</f>
        <v>No</v>
      </c>
      <c r="DJ469" s="873">
        <f>VLOOKUP(WWWW[[#This Row],[Site Name]],SiteDB6[[Site Name]:[CCCM Management]],6,FALSE)</f>
        <v>0</v>
      </c>
      <c r="DK469" s="873">
        <f>VLOOKUP(WWWW[[#This Row],[Site Name]],SiteDB6[[Site Name]:[CCCM Focal Agency]],7,FALSE)</f>
        <v>0</v>
      </c>
      <c r="DL469" s="873" t="str">
        <f>VLOOKUP(WWWW[[#This Row],[Site Name]],SiteDB6[[Site Name]:[Location Type 1]],9,FALSE)</f>
        <v>Temporary location</v>
      </c>
      <c r="DM469" s="873" t="str">
        <f>VLOOKUP(WWWW[[#This Row],[Site Name]],SiteDB6[[Site Name]:[Type of Accommodation]],10,FALSE)</f>
        <v>Temporary location</v>
      </c>
      <c r="DN469" s="873" t="str">
        <f>VLOOKUP(WWWW[[#This Row],[Site Name]],SiteDB6[[Site Name]:[Ethnic or GCA/NGCA]],11,FALSE)</f>
        <v>Rakhine</v>
      </c>
      <c r="DO469" s="873">
        <f>VLOOKUP(WWWW[[#This Row],[Site Name]],SiteDB6[[Site Name]:[Lat]],12,FALSE)</f>
        <v>20.66592979</v>
      </c>
      <c r="DP469" s="873">
        <f>VLOOKUP(WWWW[[#This Row],[Site Name]],SiteDB6[[Site Name]:[Long]],13,FALSE)</f>
        <v>92.672691349999994</v>
      </c>
      <c r="DQ469" s="873">
        <f>VLOOKUP(WWWW[[#This Row],[Site Name]],SiteDB6[[Site Name]:[Pcode]],3,FALSE)</f>
        <v>197673</v>
      </c>
      <c r="DR469" s="871" t="str">
        <f t="shared" si="15"/>
        <v>Notcovered</v>
      </c>
      <c r="DS469" s="871"/>
      <c r="DV469" s="661"/>
    </row>
    <row r="470" spans="1:126">
      <c r="A470" s="637" t="s">
        <v>2525</v>
      </c>
      <c r="B470" s="976" t="s">
        <v>317</v>
      </c>
      <c r="C470" s="976" t="s">
        <v>317</v>
      </c>
      <c r="D470" s="864"/>
      <c r="E470" s="865" t="s">
        <v>3013</v>
      </c>
      <c r="F470" s="864" t="s">
        <v>355</v>
      </c>
      <c r="G470" s="866" t="str">
        <f>VLOOKUP(WWWW[[#This Row],[Site Name]],SiteDB6[[Site Name]:[Location Type]],8,FALSE)</f>
        <v>New Temporary Site</v>
      </c>
      <c r="H470" s="864" t="s">
        <v>545</v>
      </c>
      <c r="I470" s="867">
        <v>103</v>
      </c>
      <c r="J470" s="867">
        <v>347</v>
      </c>
      <c r="K470" s="868"/>
      <c r="L470" s="869"/>
      <c r="M470" s="867"/>
      <c r="N470" s="867"/>
      <c r="O470" s="867"/>
      <c r="P470" s="867"/>
      <c r="Q470" s="870"/>
      <c r="R470" s="867"/>
      <c r="S470" s="867"/>
      <c r="T470" s="379"/>
      <c r="U470" s="867"/>
      <c r="V470" s="867"/>
      <c r="W470" s="867"/>
      <c r="X470" s="867"/>
      <c r="Y470" s="867"/>
      <c r="Z470" s="867"/>
      <c r="AA470" s="867"/>
      <c r="AB470" s="867"/>
      <c r="AC470" s="867"/>
      <c r="AD470" s="867"/>
      <c r="AE470" s="867"/>
      <c r="AF470" s="867"/>
      <c r="AG470" s="867"/>
      <c r="AH470" s="867"/>
      <c r="AI470" s="867"/>
      <c r="AJ470" s="867"/>
      <c r="AK470" s="867"/>
      <c r="AL470" s="867"/>
      <c r="AM470" s="867"/>
      <c r="AN470" s="867"/>
      <c r="AO470" s="871"/>
      <c r="AP470" s="867"/>
      <c r="AQ470" s="867"/>
      <c r="AR470" s="872"/>
      <c r="AS470" s="867"/>
      <c r="AT470" s="867"/>
      <c r="AU470" s="867"/>
      <c r="AV470" s="867"/>
      <c r="AW470" s="867"/>
      <c r="AX470" s="873"/>
      <c r="AY470" s="871"/>
      <c r="AZ470" s="867"/>
      <c r="BA470" s="867"/>
      <c r="BB470" s="867"/>
      <c r="BC470" s="873"/>
      <c r="BD470" s="867"/>
      <c r="BE470" s="867"/>
      <c r="BF470" s="867"/>
      <c r="BG470" s="867"/>
      <c r="BH470" s="867"/>
      <c r="BI470" s="867"/>
      <c r="BJ470" s="867"/>
      <c r="BK470" s="867"/>
      <c r="BL470" s="867"/>
      <c r="BM470" s="873"/>
      <c r="BN470" s="874"/>
      <c r="BO470" s="872"/>
      <c r="BP470" s="873"/>
      <c r="BQ470" s="875" t="str">
        <f>IFERROR(WWWW[[#This Row],['#_Water sources treated]]/WWWW[[#This Row],['#_Water sources tested for contamination]],"no test")</f>
        <v>no test</v>
      </c>
      <c r="BR470" s="872" t="str">
        <f>IFERROR(WWWW[[#This Row],['#_Household received remediation action due to contamination]]/WWWW[[#This Row],['#_Household water samples tested for contamination]],"no test")</f>
        <v>no test</v>
      </c>
      <c r="BS470" s="874" t="str">
        <f>IF(AND(WWWW[[#This Row],[% of water sources treated]]="no test",WWWW[[#This Row],[% Household received corrective actions]]="no test"),"No Test","Tested")</f>
        <v>No Test</v>
      </c>
      <c r="BT470" s="874">
        <f>WWWW[[#This Row],['#_Constructed/existing protected hand dug well]]-WWWW[[#This Row],['#_Non-functional protected hand dug well]]</f>
        <v>0</v>
      </c>
      <c r="BU470" s="874">
        <f>(WWWW[[#This Row],['#_Constructed/Existing tube wells/boreholes/handpumps_WASH_agency]]+WWWW[[#This Row],['#_Non-Cluster partner water tube-wells/boreholes/handpumps]])-WWWW[[#This Row],['#_Non-functional tube wells/boreholes/handpumps]]</f>
        <v>0</v>
      </c>
      <c r="BV470" s="874">
        <f>WWWW[[#This Row],['#_Constructed/Existingwater storage tank with gravity fed reticulation system]]-WWWW[[#This Row],['#_Non-functional storage tank gravity fed reticulation system]]</f>
        <v>0</v>
      </c>
      <c r="BW470" s="874">
        <f>WWWW[[#This Row],['#_Water boating or water trucking]]</f>
        <v>0</v>
      </c>
      <c r="BX470" s="874">
        <f>WWWW[[#This Row],['#_Constructed/Existing water distribution system from river or natural spring]]</f>
        <v>0</v>
      </c>
      <c r="BY470"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70"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70" s="872">
        <f>IF(WWWW[[#This Row],[Location Type 1]]="Village",WWWW[[#This Row],[Access to safe drinking water for Village]],WWWW[[#This Row],[Access to safe drinking water for Camp]])</f>
        <v>0</v>
      </c>
      <c r="CB470" s="870">
        <f>WWWW[[#This Row],[%Equitable and continuous access to sufficient quantity of safe drinking water]]*WWWW[[#This Row],[Total PoP ]]</f>
        <v>0</v>
      </c>
      <c r="CC470" s="872">
        <f>IF((WWWW[[#This Row],['#_Constructed/Existing protected/fenced ponds]]*250)/WWWW[[#This Row],[Total PoP ]]&gt;1,1,(WWWW[[#This Row],['#_Constructed/Existing protected/fenced ponds]]*250)/WWWW[[#This Row],[Total PoP ]])</f>
        <v>0</v>
      </c>
      <c r="CD470" s="870">
        <f>WWWW[[#This Row],[% Access to unimproved water points]]*WWWW[[#This Row],[Total PoP ]]</f>
        <v>0</v>
      </c>
      <c r="CE470"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70"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70" s="870">
        <f>WWWW[[#This Row],[HRP1]]/500</f>
        <v>0</v>
      </c>
      <c r="CH470" s="876">
        <f>1-WWWW[[#This Row],[% Equitable and continuous access to sufficient quantity of domestic water]]</f>
        <v>1</v>
      </c>
      <c r="CI470" s="870">
        <f>WWWW[[#This Row],[%equitable and continuous access to sufficient quantity of safe drinking and domestic water''s GAP]]*WWWW[[#This Row],[Total PoP ]]</f>
        <v>347</v>
      </c>
      <c r="CJ470" s="874">
        <f>IF(WWWW[[#This Row],[Total required water points]]-WWWW[[#This Row],['#Water points coverage]]&lt;0,0,WWWW[[#This Row],[Total required water points]]-WWWW[[#This Row],['#Water points coverage]])</f>
        <v>1</v>
      </c>
      <c r="CK470" s="874">
        <f>ROUND(IF(WWWW[[#This Row],[Total PoP ]]&lt;500,1,WWWW[[#This Row],[Total PoP ]]/500),0)</f>
        <v>1</v>
      </c>
      <c r="CL470" s="874">
        <f>(WWWW[[#This Row],['#_Constructed latrines_by_WASHAgencies]]+WWWW[[#This Row],['#_Non Cluster partner latrines]])-WWWW[[#This Row],['#_Non-functional latrines]]</f>
        <v>0</v>
      </c>
      <c r="CM470"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70"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70"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70" s="874">
        <f>IF(WWWW[[#This Row],[Location Type 1]]="Village","NA",IF(WWWW[[#This Row],['#_Constructed/Existing latrines in TLS]]*50&gt;WWWW[[#This Row],['#_students at TLS_CFS]],WWWW[[#This Row],['#_students at TLS_CFS]],(WWWW[[#This Row],['#_Constructed/Existing latrines in TLS]]*50)))</f>
        <v>0</v>
      </c>
      <c r="CQ470" s="874">
        <f>ROUND(IF(WWWW[[#This Row],[Location Type 1]]="camp",WWWW[[#This Row],[Total PoP ]]/20,IF(WWWW[[#This Row],[Location Type 1]]="Temporary Location",WWWW[[#This Row],[Total PoP ]]/50,(WWWW[[#This Row],[Total PoP ]]/6))),0)</f>
        <v>7</v>
      </c>
      <c r="CR470" s="874">
        <f>IF(WWWW[[#This Row],[Total required Latrines]]-(WWWW[[#This Row],['#_Constructed latrines_by_WASHAgencies]]+WWWW[[#This Row],['#_Non Cluster partner latrines]])&lt;0,0,WWWW[[#This Row],[Total required Latrines]]-(WWWW[[#This Row],['#_Constructed latrines_by_WASHAgencies]]+WWWW[[#This Row],['#_Non Cluster partner latrines]]))</f>
        <v>7</v>
      </c>
      <c r="CS470" s="878">
        <f>1-WWWW[[#This Row],[% people access to functioning Latrine]]</f>
        <v>1</v>
      </c>
      <c r="CT470" s="875">
        <f>IF(OR(WWWW[[#This Row],['#_Non-functional latrines]]="",WWWW[[#This Row],['#_Non-functional latrines]]=0),0,WWWW[[#This Row],['#_Non-functional latrines]]/(WWWW[[#This Row],['#_Constructed latrines_by_WASHAgencies]]+WWWW[[#This Row],['#_Non Cluster partner latrines]]))</f>
        <v>0</v>
      </c>
      <c r="CU470" s="870">
        <f>IF(500*(WWWW[[#This Row],['#_male hygiene promoters]]+WWWW[[#This Row],['#_female hygiene promoters]])&gt;WWWW[[#This Row],[Total PoP ]],WWWW[[#This Row],[Total PoP ]],500*(WWWW[[#This Row],['#_male hygiene promoters]]+WWWW[[#This Row],['#_female hygiene promoters]]))</f>
        <v>0</v>
      </c>
      <c r="CV470"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70"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70" s="874">
        <f>IF(WWWW[[#This Row],['# People with access to soap]]&gt;WWWW[[#This Row],['# People with access to Sanity Pads]],WWWW[[#This Row],['# People with access to soap]],WWWW[[#This Row],['# People with access to Sanity Pads]])</f>
        <v>0</v>
      </c>
      <c r="CY470"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70" s="876">
        <f>IF(WWWW[[#This Row],[HRP3]]/WWWW[[#This Row],[Total PoP ]]&gt;100%,100%,WWWW[[#This Row],[HRP3]]/WWWW[[#This Row],[Total PoP ]])</f>
        <v>0</v>
      </c>
      <c r="DA470" s="875">
        <f>1-WWWW[[#This Row],[Hygiene Coverage%]]</f>
        <v>1</v>
      </c>
      <c r="DB470" s="872">
        <f>WWWW[[#This Row],['# people reached by regular dedicated hygiene promotion_5]]/WWWW[[#This Row],[Total PoP ]]</f>
        <v>0</v>
      </c>
      <c r="DC470" s="872">
        <f>IF(WWWW[[#This Row],['#_households that received standard amount of soap for this quarter]]/WWWW[[#This Row],[Total HH]]&gt;1,1,WWWW[[#This Row],['#_households that received standard amount of soap for this quarter]]/WWWW[[#This Row],[Total HH]])</f>
        <v>0</v>
      </c>
      <c r="DD470" s="872">
        <f>IF(WWWW[[#This Row],['#_households that received standard amount of sanitary pads for this quarter]]/WWWW[[#This Row],[Total HH]]&gt;1,1,WWWW[[#This Row],['#_households that received standard amount of sanitary pads for this quarter]]/WWWW[[#This Row],[Total HH]])</f>
        <v>0</v>
      </c>
      <c r="DE470" s="874">
        <f>WWWW[[#This Row],['#_Constructed/Existing hand washing stations]]-WWWW[[#This Row],['#_Non-Functional_hand_washing_stations]]</f>
        <v>0</v>
      </c>
      <c r="DF470" s="879" t="e">
        <f>WWWW[[#This Row],[Total HH]]*#REF!</f>
        <v>#REF!</v>
      </c>
      <c r="DG470" s="870">
        <f>IF(WWWW[[#This Row],[Is sufficient soap available for TLS? (Yes/No)]]="yes",WWWW[[#This Row],['#_Constructed/Existing hand washing stations at TLS]],0)</f>
        <v>0</v>
      </c>
      <c r="DH470" s="702">
        <f>IF(WWWW[[#This Row],['# Functional hand washing stations during reporting period]]*100&gt;WWWW[[#This Row],[Total PoP ]],WWWW[[#This Row],[Total PoP ]],WWWW[[#This Row],['# Functional hand washing stations during reporting period]]*100)</f>
        <v>0</v>
      </c>
      <c r="DI470" s="702" t="str">
        <f>IF(WWWW[[#This Row],['#_students at TLS_CFS]]="","No","Yes")</f>
        <v>No</v>
      </c>
      <c r="DJ470" s="873">
        <f>VLOOKUP(WWWW[[#This Row],[Site Name]],SiteDB6[[Site Name]:[CCCM Management]],6,FALSE)</f>
        <v>0</v>
      </c>
      <c r="DK470" s="873">
        <f>VLOOKUP(WWWW[[#This Row],[Site Name]],SiteDB6[[Site Name]:[CCCM Focal Agency]],7,FALSE)</f>
        <v>0</v>
      </c>
      <c r="DL470" s="873" t="str">
        <f>VLOOKUP(WWWW[[#This Row],[Site Name]],SiteDB6[[Site Name]:[Location Type 1]],9,FALSE)</f>
        <v>Temporary location</v>
      </c>
      <c r="DM470" s="873" t="str">
        <f>VLOOKUP(WWWW[[#This Row],[Site Name]],SiteDB6[[Site Name]:[Type of Accommodation]],10,FALSE)</f>
        <v>Temporary location</v>
      </c>
      <c r="DN470" s="873" t="str">
        <f>VLOOKUP(WWWW[[#This Row],[Site Name]],SiteDB6[[Site Name]:[Ethnic or GCA/NGCA]],11,FALSE)</f>
        <v>Rakhine</v>
      </c>
      <c r="DO470" s="873">
        <f>VLOOKUP(WWWW[[#This Row],[Site Name]],SiteDB6[[Site Name]:[Lat]],12,FALSE)</f>
        <v>20.670539860000002</v>
      </c>
      <c r="DP470" s="873">
        <f>VLOOKUP(WWWW[[#This Row],[Site Name]],SiteDB6[[Site Name]:[Long]],13,FALSE)</f>
        <v>92.703033450000007</v>
      </c>
      <c r="DQ470" s="873">
        <f>VLOOKUP(WWWW[[#This Row],[Site Name]],SiteDB6[[Site Name]:[Pcode]],3,FALSE)</f>
        <v>197675</v>
      </c>
      <c r="DR470" s="871" t="str">
        <f t="shared" si="15"/>
        <v>Notcovered</v>
      </c>
      <c r="DS470" s="871"/>
      <c r="DV470" s="661"/>
    </row>
    <row r="471" spans="1:126">
      <c r="A471" s="637" t="s">
        <v>2525</v>
      </c>
      <c r="B471" s="976" t="s">
        <v>317</v>
      </c>
      <c r="C471" s="976" t="s">
        <v>317</v>
      </c>
      <c r="D471" s="864"/>
      <c r="E471" s="865" t="s">
        <v>3013</v>
      </c>
      <c r="F471" s="864" t="s">
        <v>355</v>
      </c>
      <c r="G471" s="866" t="str">
        <f>VLOOKUP(WWWW[[#This Row],[Site Name]],SiteDB6[[Site Name]:[Location Type]],8,FALSE)</f>
        <v>New Temporary Site</v>
      </c>
      <c r="H471" s="884" t="s">
        <v>3207</v>
      </c>
      <c r="I471" s="867">
        <v>16</v>
      </c>
      <c r="J471" s="867">
        <v>54</v>
      </c>
      <c r="K471" s="868"/>
      <c r="L471" s="869"/>
      <c r="M471" s="867"/>
      <c r="N471" s="867"/>
      <c r="O471" s="867"/>
      <c r="P471" s="867"/>
      <c r="Q471" s="870"/>
      <c r="R471" s="867"/>
      <c r="S471" s="867"/>
      <c r="T471" s="379"/>
      <c r="U471" s="867"/>
      <c r="V471" s="867"/>
      <c r="W471" s="867"/>
      <c r="X471" s="867"/>
      <c r="Y471" s="867"/>
      <c r="Z471" s="867"/>
      <c r="AA471" s="867"/>
      <c r="AB471" s="867"/>
      <c r="AC471" s="867"/>
      <c r="AD471" s="867"/>
      <c r="AE471" s="867"/>
      <c r="AF471" s="867"/>
      <c r="AG471" s="867"/>
      <c r="AH471" s="867"/>
      <c r="AI471" s="867"/>
      <c r="AJ471" s="867"/>
      <c r="AK471" s="867"/>
      <c r="AL471" s="867"/>
      <c r="AM471" s="867"/>
      <c r="AN471" s="867"/>
      <c r="AO471" s="871"/>
      <c r="AP471" s="867"/>
      <c r="AQ471" s="867"/>
      <c r="AR471" s="872"/>
      <c r="AS471" s="867"/>
      <c r="AT471" s="867"/>
      <c r="AU471" s="867"/>
      <c r="AV471" s="867"/>
      <c r="AW471" s="867"/>
      <c r="AX471" s="873"/>
      <c r="AY471" s="871"/>
      <c r="AZ471" s="867"/>
      <c r="BA471" s="867"/>
      <c r="BB471" s="867"/>
      <c r="BC471" s="873"/>
      <c r="BD471" s="867"/>
      <c r="BE471" s="867"/>
      <c r="BF471" s="867"/>
      <c r="BG471" s="867"/>
      <c r="BH471" s="867"/>
      <c r="BI471" s="867"/>
      <c r="BJ471" s="867"/>
      <c r="BK471" s="867"/>
      <c r="BL471" s="867"/>
      <c r="BM471" s="873"/>
      <c r="BN471" s="874"/>
      <c r="BO471" s="872"/>
      <c r="BP471" s="873"/>
      <c r="BQ471" s="875" t="str">
        <f>IFERROR(WWWW[[#This Row],['#_Water sources treated]]/WWWW[[#This Row],['#_Water sources tested for contamination]],"no test")</f>
        <v>no test</v>
      </c>
      <c r="BR471" s="872" t="str">
        <f>IFERROR(WWWW[[#This Row],['#_Household received remediation action due to contamination]]/WWWW[[#This Row],['#_Household water samples tested for contamination]],"no test")</f>
        <v>no test</v>
      </c>
      <c r="BS471" s="874" t="str">
        <f>IF(AND(WWWW[[#This Row],[% of water sources treated]]="no test",WWWW[[#This Row],[% Household received corrective actions]]="no test"),"No Test","Tested")</f>
        <v>No Test</v>
      </c>
      <c r="BT471" s="874">
        <f>WWWW[[#This Row],['#_Constructed/existing protected hand dug well]]-WWWW[[#This Row],['#_Non-functional protected hand dug well]]</f>
        <v>0</v>
      </c>
      <c r="BU471" s="874">
        <f>(WWWW[[#This Row],['#_Constructed/Existing tube wells/boreholes/handpumps_WASH_agency]]+WWWW[[#This Row],['#_Non-Cluster partner water tube-wells/boreholes/handpumps]])-WWWW[[#This Row],['#_Non-functional tube wells/boreholes/handpumps]]</f>
        <v>0</v>
      </c>
      <c r="BV471" s="874">
        <f>WWWW[[#This Row],['#_Constructed/Existingwater storage tank with gravity fed reticulation system]]-WWWW[[#This Row],['#_Non-functional storage tank gravity fed reticulation system]]</f>
        <v>0</v>
      </c>
      <c r="BW471" s="874">
        <f>WWWW[[#This Row],['#_Water boating or water trucking]]</f>
        <v>0</v>
      </c>
      <c r="BX471" s="874">
        <f>WWWW[[#This Row],['#_Constructed/Existing water distribution system from river or natural spring]]</f>
        <v>0</v>
      </c>
      <c r="BY471"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71"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71" s="872">
        <f>IF(WWWW[[#This Row],[Location Type 1]]="Village",WWWW[[#This Row],[Access to safe drinking water for Village]],WWWW[[#This Row],[Access to safe drinking water for Camp]])</f>
        <v>0</v>
      </c>
      <c r="CB471" s="870">
        <f>WWWW[[#This Row],[%Equitable and continuous access to sufficient quantity of safe drinking water]]*WWWW[[#This Row],[Total PoP ]]</f>
        <v>0</v>
      </c>
      <c r="CC471" s="872">
        <f>IF((WWWW[[#This Row],['#_Constructed/Existing protected/fenced ponds]]*250)/WWWW[[#This Row],[Total PoP ]]&gt;1,1,(WWWW[[#This Row],['#_Constructed/Existing protected/fenced ponds]]*250)/WWWW[[#This Row],[Total PoP ]])</f>
        <v>0</v>
      </c>
      <c r="CD471" s="870">
        <f>WWWW[[#This Row],[% Access to unimproved water points]]*WWWW[[#This Row],[Total PoP ]]</f>
        <v>0</v>
      </c>
      <c r="CE471"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71"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71" s="870">
        <f>WWWW[[#This Row],[HRP1]]/500</f>
        <v>0</v>
      </c>
      <c r="CH471" s="876">
        <f>1-WWWW[[#This Row],[% Equitable and continuous access to sufficient quantity of domestic water]]</f>
        <v>1</v>
      </c>
      <c r="CI471" s="870">
        <f>WWWW[[#This Row],[%equitable and continuous access to sufficient quantity of safe drinking and domestic water''s GAP]]*WWWW[[#This Row],[Total PoP ]]</f>
        <v>54</v>
      </c>
      <c r="CJ471" s="874">
        <f>IF(WWWW[[#This Row],[Total required water points]]-WWWW[[#This Row],['#Water points coverage]]&lt;0,0,WWWW[[#This Row],[Total required water points]]-WWWW[[#This Row],['#Water points coverage]])</f>
        <v>1</v>
      </c>
      <c r="CK471" s="874">
        <f>ROUND(IF(WWWW[[#This Row],[Total PoP ]]&lt;500,1,WWWW[[#This Row],[Total PoP ]]/500),0)</f>
        <v>1</v>
      </c>
      <c r="CL471" s="874">
        <f>(WWWW[[#This Row],['#_Constructed latrines_by_WASHAgencies]]+WWWW[[#This Row],['#_Non Cluster partner latrines]])-WWWW[[#This Row],['#_Non-functional latrines]]</f>
        <v>0</v>
      </c>
      <c r="CM471"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71"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71"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71" s="874">
        <f>IF(WWWW[[#This Row],[Location Type 1]]="Village","NA",IF(WWWW[[#This Row],['#_Constructed/Existing latrines in TLS]]*50&gt;WWWW[[#This Row],['#_students at TLS_CFS]],WWWW[[#This Row],['#_students at TLS_CFS]],(WWWW[[#This Row],['#_Constructed/Existing latrines in TLS]]*50)))</f>
        <v>0</v>
      </c>
      <c r="CQ471" s="874">
        <f>ROUND(IF(WWWW[[#This Row],[Location Type 1]]="camp",WWWW[[#This Row],[Total PoP ]]/20,IF(WWWW[[#This Row],[Location Type 1]]="Temporary Location",WWWW[[#This Row],[Total PoP ]]/50,(WWWW[[#This Row],[Total PoP ]]/6))),0)</f>
        <v>1</v>
      </c>
      <c r="CR471" s="874">
        <f>IF(WWWW[[#This Row],[Total required Latrines]]-(WWWW[[#This Row],['#_Constructed latrines_by_WASHAgencies]]+WWWW[[#This Row],['#_Non Cluster partner latrines]])&lt;0,0,WWWW[[#This Row],[Total required Latrines]]-(WWWW[[#This Row],['#_Constructed latrines_by_WASHAgencies]]+WWWW[[#This Row],['#_Non Cluster partner latrines]]))</f>
        <v>1</v>
      </c>
      <c r="CS471" s="878">
        <f>1-WWWW[[#This Row],[% people access to functioning Latrine]]</f>
        <v>1</v>
      </c>
      <c r="CT471" s="875">
        <f>IF(OR(WWWW[[#This Row],['#_Non-functional latrines]]="",WWWW[[#This Row],['#_Non-functional latrines]]=0),0,WWWW[[#This Row],['#_Non-functional latrines]]/(WWWW[[#This Row],['#_Constructed latrines_by_WASHAgencies]]+WWWW[[#This Row],['#_Non Cluster partner latrines]]))</f>
        <v>0</v>
      </c>
      <c r="CU471" s="870">
        <f>IF(500*(WWWW[[#This Row],['#_male hygiene promoters]]+WWWW[[#This Row],['#_female hygiene promoters]])&gt;WWWW[[#This Row],[Total PoP ]],WWWW[[#This Row],[Total PoP ]],500*(WWWW[[#This Row],['#_male hygiene promoters]]+WWWW[[#This Row],['#_female hygiene promoters]]))</f>
        <v>0</v>
      </c>
      <c r="CV471"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71"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71" s="874">
        <f>IF(WWWW[[#This Row],['# People with access to soap]]&gt;WWWW[[#This Row],['# People with access to Sanity Pads]],WWWW[[#This Row],['# People with access to soap]],WWWW[[#This Row],['# People with access to Sanity Pads]])</f>
        <v>0</v>
      </c>
      <c r="CY471"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71" s="876">
        <f>IF(WWWW[[#This Row],[HRP3]]/WWWW[[#This Row],[Total PoP ]]&gt;100%,100%,WWWW[[#This Row],[HRP3]]/WWWW[[#This Row],[Total PoP ]])</f>
        <v>0</v>
      </c>
      <c r="DA471" s="875">
        <f>1-WWWW[[#This Row],[Hygiene Coverage%]]</f>
        <v>1</v>
      </c>
      <c r="DB471" s="872">
        <f>WWWW[[#This Row],['# people reached by regular dedicated hygiene promotion_5]]/WWWW[[#This Row],[Total PoP ]]</f>
        <v>0</v>
      </c>
      <c r="DC471" s="872">
        <f>IF(WWWW[[#This Row],['#_households that received standard amount of soap for this quarter]]/WWWW[[#This Row],[Total HH]]&gt;1,1,WWWW[[#This Row],['#_households that received standard amount of soap for this quarter]]/WWWW[[#This Row],[Total HH]])</f>
        <v>0</v>
      </c>
      <c r="DD471" s="872">
        <f>IF(WWWW[[#This Row],['#_households that received standard amount of sanitary pads for this quarter]]/WWWW[[#This Row],[Total HH]]&gt;1,1,WWWW[[#This Row],['#_households that received standard amount of sanitary pads for this quarter]]/WWWW[[#This Row],[Total HH]])</f>
        <v>0</v>
      </c>
      <c r="DE471" s="874">
        <f>WWWW[[#This Row],['#_Constructed/Existing hand washing stations]]-WWWW[[#This Row],['#_Non-Functional_hand_washing_stations]]</f>
        <v>0</v>
      </c>
      <c r="DF471" s="879" t="e">
        <f>WWWW[[#This Row],[Total HH]]*#REF!</f>
        <v>#REF!</v>
      </c>
      <c r="DG471" s="870">
        <f>IF(WWWW[[#This Row],[Is sufficient soap available for TLS? (Yes/No)]]="yes",WWWW[[#This Row],['#_Constructed/Existing hand washing stations at TLS]],0)</f>
        <v>0</v>
      </c>
      <c r="DH471" s="702">
        <f>IF(WWWW[[#This Row],['# Functional hand washing stations during reporting period]]*100&gt;WWWW[[#This Row],[Total PoP ]],WWWW[[#This Row],[Total PoP ]],WWWW[[#This Row],['# Functional hand washing stations during reporting period]]*100)</f>
        <v>0</v>
      </c>
      <c r="DI471" s="702" t="str">
        <f>IF(WWWW[[#This Row],['#_students at TLS_CFS]]="","No","Yes")</f>
        <v>No</v>
      </c>
      <c r="DJ471" s="873">
        <f>VLOOKUP(WWWW[[#This Row],[Site Name]],SiteDB6[[Site Name]:[CCCM Management]],6,FALSE)</f>
        <v>0</v>
      </c>
      <c r="DK471" s="873">
        <f>VLOOKUP(WWWW[[#This Row],[Site Name]],SiteDB6[[Site Name]:[CCCM Focal Agency]],7,FALSE)</f>
        <v>0</v>
      </c>
      <c r="DL471" s="873" t="str">
        <f>VLOOKUP(WWWW[[#This Row],[Site Name]],SiteDB6[[Site Name]:[Location Type 1]],9,FALSE)</f>
        <v>Temporary location</v>
      </c>
      <c r="DM471" s="873" t="str">
        <f>VLOOKUP(WWWW[[#This Row],[Site Name]],SiteDB6[[Site Name]:[Type of Accommodation]],10,FALSE)</f>
        <v>Temporary location</v>
      </c>
      <c r="DN471" s="873">
        <f>VLOOKUP(WWWW[[#This Row],[Site Name]],SiteDB6[[Site Name]:[Ethnic or GCA/NGCA]],11,FALSE)</f>
        <v>0</v>
      </c>
      <c r="DO471" s="873">
        <f>VLOOKUP(WWWW[[#This Row],[Site Name]],SiteDB6[[Site Name]:[Lat]],12,FALSE)</f>
        <v>0</v>
      </c>
      <c r="DP471" s="873">
        <f>VLOOKUP(WWWW[[#This Row],[Site Name]],SiteDB6[[Site Name]:[Long]],13,FALSE)</f>
        <v>0</v>
      </c>
      <c r="DQ471" s="873">
        <f>VLOOKUP(WWWW[[#This Row],[Site Name]],SiteDB6[[Site Name]:[Pcode]],3,FALSE)</f>
        <v>0</v>
      </c>
      <c r="DR471" s="871" t="str">
        <f t="shared" si="15"/>
        <v>Notcovered</v>
      </c>
      <c r="DS471" s="871"/>
      <c r="DV471" s="661"/>
    </row>
    <row r="472" spans="1:126">
      <c r="A472" s="637" t="s">
        <v>2525</v>
      </c>
      <c r="B472" s="976" t="s">
        <v>317</v>
      </c>
      <c r="C472" s="976" t="s">
        <v>317</v>
      </c>
      <c r="D472" s="864"/>
      <c r="E472" s="865" t="s">
        <v>3013</v>
      </c>
      <c r="F472" s="864" t="s">
        <v>355</v>
      </c>
      <c r="G472" s="866" t="str">
        <f>VLOOKUP(WWWW[[#This Row],[Site Name]],SiteDB6[[Site Name]:[Location Type]],8,FALSE)</f>
        <v>New Temporary Site</v>
      </c>
      <c r="H472" s="864" t="s">
        <v>3261</v>
      </c>
      <c r="I472" s="867">
        <v>13</v>
      </c>
      <c r="J472" s="867">
        <v>56</v>
      </c>
      <c r="K472" s="868"/>
      <c r="L472" s="869"/>
      <c r="M472" s="867"/>
      <c r="N472" s="867"/>
      <c r="O472" s="867"/>
      <c r="P472" s="867"/>
      <c r="Q472" s="870"/>
      <c r="R472" s="867"/>
      <c r="S472" s="867"/>
      <c r="T472" s="379"/>
      <c r="U472" s="867"/>
      <c r="V472" s="867"/>
      <c r="W472" s="867"/>
      <c r="X472" s="867"/>
      <c r="Y472" s="867"/>
      <c r="Z472" s="867"/>
      <c r="AA472" s="867"/>
      <c r="AB472" s="867"/>
      <c r="AC472" s="867"/>
      <c r="AD472" s="867"/>
      <c r="AE472" s="867"/>
      <c r="AF472" s="867"/>
      <c r="AG472" s="867"/>
      <c r="AH472" s="867"/>
      <c r="AI472" s="867"/>
      <c r="AJ472" s="867"/>
      <c r="AK472" s="867"/>
      <c r="AL472" s="867"/>
      <c r="AM472" s="867"/>
      <c r="AN472" s="867"/>
      <c r="AO472" s="871"/>
      <c r="AP472" s="867"/>
      <c r="AQ472" s="867"/>
      <c r="AR472" s="872"/>
      <c r="AS472" s="867"/>
      <c r="AT472" s="867"/>
      <c r="AU472" s="867"/>
      <c r="AV472" s="867"/>
      <c r="AW472" s="867"/>
      <c r="AX472" s="873"/>
      <c r="AY472" s="871"/>
      <c r="AZ472" s="867"/>
      <c r="BA472" s="867"/>
      <c r="BB472" s="867"/>
      <c r="BC472" s="873"/>
      <c r="BD472" s="867"/>
      <c r="BE472" s="867"/>
      <c r="BF472" s="867"/>
      <c r="BG472" s="867"/>
      <c r="BH472" s="867"/>
      <c r="BI472" s="867"/>
      <c r="BJ472" s="867"/>
      <c r="BK472" s="867"/>
      <c r="BL472" s="867"/>
      <c r="BM472" s="873"/>
      <c r="BN472" s="874"/>
      <c r="BO472" s="872"/>
      <c r="BP472" s="873"/>
      <c r="BQ472" s="875" t="str">
        <f>IFERROR(WWWW[[#This Row],['#_Water sources treated]]/WWWW[[#This Row],['#_Water sources tested for contamination]],"no test")</f>
        <v>no test</v>
      </c>
      <c r="BR472" s="872" t="str">
        <f>IFERROR(WWWW[[#This Row],['#_Household received remediation action due to contamination]]/WWWW[[#This Row],['#_Household water samples tested for contamination]],"no test")</f>
        <v>no test</v>
      </c>
      <c r="BS472" s="874" t="str">
        <f>IF(AND(WWWW[[#This Row],[% of water sources treated]]="no test",WWWW[[#This Row],[% Household received corrective actions]]="no test"),"No Test","Tested")</f>
        <v>No Test</v>
      </c>
      <c r="BT472" s="874">
        <f>WWWW[[#This Row],['#_Constructed/existing protected hand dug well]]-WWWW[[#This Row],['#_Non-functional protected hand dug well]]</f>
        <v>0</v>
      </c>
      <c r="BU472" s="874">
        <f>(WWWW[[#This Row],['#_Constructed/Existing tube wells/boreholes/handpumps_WASH_agency]]+WWWW[[#This Row],['#_Non-Cluster partner water tube-wells/boreholes/handpumps]])-WWWW[[#This Row],['#_Non-functional tube wells/boreholes/handpumps]]</f>
        <v>0</v>
      </c>
      <c r="BV472" s="874">
        <f>WWWW[[#This Row],['#_Constructed/Existingwater storage tank with gravity fed reticulation system]]-WWWW[[#This Row],['#_Non-functional storage tank gravity fed reticulation system]]</f>
        <v>0</v>
      </c>
      <c r="BW472" s="874">
        <f>WWWW[[#This Row],['#_Water boating or water trucking]]</f>
        <v>0</v>
      </c>
      <c r="BX472" s="874">
        <f>WWWW[[#This Row],['#_Constructed/Existing water distribution system from river or natural spring]]</f>
        <v>0</v>
      </c>
      <c r="BY472"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72"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72" s="872">
        <f>IF(WWWW[[#This Row],[Location Type 1]]="Village",WWWW[[#This Row],[Access to safe drinking water for Village]],WWWW[[#This Row],[Access to safe drinking water for Camp]])</f>
        <v>0</v>
      </c>
      <c r="CB472" s="870">
        <f>WWWW[[#This Row],[%Equitable and continuous access to sufficient quantity of safe drinking water]]*WWWW[[#This Row],[Total PoP ]]</f>
        <v>0</v>
      </c>
      <c r="CC472" s="872">
        <f>IF((WWWW[[#This Row],['#_Constructed/Existing protected/fenced ponds]]*250)/WWWW[[#This Row],[Total PoP ]]&gt;1,1,(WWWW[[#This Row],['#_Constructed/Existing protected/fenced ponds]]*250)/WWWW[[#This Row],[Total PoP ]])</f>
        <v>0</v>
      </c>
      <c r="CD472" s="870">
        <f>WWWW[[#This Row],[% Access to unimproved water points]]*WWWW[[#This Row],[Total PoP ]]</f>
        <v>0</v>
      </c>
      <c r="CE472"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72"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72" s="870">
        <f>WWWW[[#This Row],[HRP1]]/500</f>
        <v>0</v>
      </c>
      <c r="CH472" s="876">
        <f>1-WWWW[[#This Row],[% Equitable and continuous access to sufficient quantity of domestic water]]</f>
        <v>1</v>
      </c>
      <c r="CI472" s="870">
        <f>WWWW[[#This Row],[%equitable and continuous access to sufficient quantity of safe drinking and domestic water''s GAP]]*WWWW[[#This Row],[Total PoP ]]</f>
        <v>56</v>
      </c>
      <c r="CJ472" s="874">
        <f>IF(WWWW[[#This Row],[Total required water points]]-WWWW[[#This Row],['#Water points coverage]]&lt;0,0,WWWW[[#This Row],[Total required water points]]-WWWW[[#This Row],['#Water points coverage]])</f>
        <v>1</v>
      </c>
      <c r="CK472" s="874">
        <f>ROUND(IF(WWWW[[#This Row],[Total PoP ]]&lt;500,1,WWWW[[#This Row],[Total PoP ]]/500),0)</f>
        <v>1</v>
      </c>
      <c r="CL472" s="874">
        <f>(WWWW[[#This Row],['#_Constructed latrines_by_WASHAgencies]]+WWWW[[#This Row],['#_Non Cluster partner latrines]])-WWWW[[#This Row],['#_Non-functional latrines]]</f>
        <v>0</v>
      </c>
      <c r="CM472"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72"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72"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72" s="874">
        <f>IF(WWWW[[#This Row],[Location Type 1]]="Village","NA",IF(WWWW[[#This Row],['#_Constructed/Existing latrines in TLS]]*50&gt;WWWW[[#This Row],['#_students at TLS_CFS]],WWWW[[#This Row],['#_students at TLS_CFS]],(WWWW[[#This Row],['#_Constructed/Existing latrines in TLS]]*50)))</f>
        <v>0</v>
      </c>
      <c r="CQ472" s="874">
        <f>ROUND(IF(WWWW[[#This Row],[Location Type 1]]="camp",WWWW[[#This Row],[Total PoP ]]/20,IF(WWWW[[#This Row],[Location Type 1]]="Temporary Location",WWWW[[#This Row],[Total PoP ]]/50,(WWWW[[#This Row],[Total PoP ]]/6))),0)</f>
        <v>1</v>
      </c>
      <c r="CR472" s="874">
        <f>IF(WWWW[[#This Row],[Total required Latrines]]-(WWWW[[#This Row],['#_Constructed latrines_by_WASHAgencies]]+WWWW[[#This Row],['#_Non Cluster partner latrines]])&lt;0,0,WWWW[[#This Row],[Total required Latrines]]-(WWWW[[#This Row],['#_Constructed latrines_by_WASHAgencies]]+WWWW[[#This Row],['#_Non Cluster partner latrines]]))</f>
        <v>1</v>
      </c>
      <c r="CS472" s="878">
        <f>1-WWWW[[#This Row],[% people access to functioning Latrine]]</f>
        <v>1</v>
      </c>
      <c r="CT472" s="875">
        <f>IF(OR(WWWW[[#This Row],['#_Non-functional latrines]]="",WWWW[[#This Row],['#_Non-functional latrines]]=0),0,WWWW[[#This Row],['#_Non-functional latrines]]/(WWWW[[#This Row],['#_Constructed latrines_by_WASHAgencies]]+WWWW[[#This Row],['#_Non Cluster partner latrines]]))</f>
        <v>0</v>
      </c>
      <c r="CU472" s="870">
        <f>IF(500*(WWWW[[#This Row],['#_male hygiene promoters]]+WWWW[[#This Row],['#_female hygiene promoters]])&gt;WWWW[[#This Row],[Total PoP ]],WWWW[[#This Row],[Total PoP ]],500*(WWWW[[#This Row],['#_male hygiene promoters]]+WWWW[[#This Row],['#_female hygiene promoters]]))</f>
        <v>0</v>
      </c>
      <c r="CV472"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72"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72" s="874">
        <f>IF(WWWW[[#This Row],['# People with access to soap]]&gt;WWWW[[#This Row],['# People with access to Sanity Pads]],WWWW[[#This Row],['# People with access to soap]],WWWW[[#This Row],['# People with access to Sanity Pads]])</f>
        <v>0</v>
      </c>
      <c r="CY472"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72" s="876">
        <f>IF(WWWW[[#This Row],[HRP3]]/WWWW[[#This Row],[Total PoP ]]&gt;100%,100%,WWWW[[#This Row],[HRP3]]/WWWW[[#This Row],[Total PoP ]])</f>
        <v>0</v>
      </c>
      <c r="DA472" s="875">
        <f>1-WWWW[[#This Row],[Hygiene Coverage%]]</f>
        <v>1</v>
      </c>
      <c r="DB472" s="872">
        <f>WWWW[[#This Row],['# people reached by regular dedicated hygiene promotion_5]]/WWWW[[#This Row],[Total PoP ]]</f>
        <v>0</v>
      </c>
      <c r="DC472" s="872">
        <f>IF(WWWW[[#This Row],['#_households that received standard amount of soap for this quarter]]/WWWW[[#This Row],[Total HH]]&gt;1,1,WWWW[[#This Row],['#_households that received standard amount of soap for this quarter]]/WWWW[[#This Row],[Total HH]])</f>
        <v>0</v>
      </c>
      <c r="DD472" s="872">
        <f>IF(WWWW[[#This Row],['#_households that received standard amount of sanitary pads for this quarter]]/WWWW[[#This Row],[Total HH]]&gt;1,1,WWWW[[#This Row],['#_households that received standard amount of sanitary pads for this quarter]]/WWWW[[#This Row],[Total HH]])</f>
        <v>0</v>
      </c>
      <c r="DE472" s="874">
        <f>WWWW[[#This Row],['#_Constructed/Existing hand washing stations]]-WWWW[[#This Row],['#_Non-Functional_hand_washing_stations]]</f>
        <v>0</v>
      </c>
      <c r="DF472" s="879" t="e">
        <f>WWWW[[#This Row],[Total HH]]*#REF!</f>
        <v>#REF!</v>
      </c>
      <c r="DG472" s="870">
        <f>IF(WWWW[[#This Row],[Is sufficient soap available for TLS? (Yes/No)]]="yes",WWWW[[#This Row],['#_Constructed/Existing hand washing stations at TLS]],0)</f>
        <v>0</v>
      </c>
      <c r="DH472" s="702">
        <f>IF(WWWW[[#This Row],['# Functional hand washing stations during reporting period]]*100&gt;WWWW[[#This Row],[Total PoP ]],WWWW[[#This Row],[Total PoP ]],WWWW[[#This Row],['# Functional hand washing stations during reporting period]]*100)</f>
        <v>0</v>
      </c>
      <c r="DI472" s="702" t="str">
        <f>IF(WWWW[[#This Row],['#_students at TLS_CFS]]="","No","Yes")</f>
        <v>No</v>
      </c>
      <c r="DJ472" s="873">
        <f>VLOOKUP(WWWW[[#This Row],[Site Name]],SiteDB6[[Site Name]:[CCCM Management]],6,FALSE)</f>
        <v>0</v>
      </c>
      <c r="DK472" s="873">
        <f>VLOOKUP(WWWW[[#This Row],[Site Name]],SiteDB6[[Site Name]:[CCCM Focal Agency]],7,FALSE)</f>
        <v>0</v>
      </c>
      <c r="DL472" s="873" t="str">
        <f>VLOOKUP(WWWW[[#This Row],[Site Name]],SiteDB6[[Site Name]:[Location Type 1]],9,FALSE)</f>
        <v>Temporary location</v>
      </c>
      <c r="DM472" s="873" t="str">
        <f>VLOOKUP(WWWW[[#This Row],[Site Name]],SiteDB6[[Site Name]:[Type of Accommodation]],10,FALSE)</f>
        <v>Temporary location</v>
      </c>
      <c r="DN472" s="873">
        <f>VLOOKUP(WWWW[[#This Row],[Site Name]],SiteDB6[[Site Name]:[Ethnic or GCA/NGCA]],11,FALSE)</f>
        <v>0</v>
      </c>
      <c r="DO472" s="873">
        <f>VLOOKUP(WWWW[[#This Row],[Site Name]],SiteDB6[[Site Name]:[Lat]],12,FALSE)</f>
        <v>20.631229400634801</v>
      </c>
      <c r="DP472" s="873">
        <f>VLOOKUP(WWWW[[#This Row],[Site Name]],SiteDB6[[Site Name]:[Long]],13,FALSE)</f>
        <v>92.641532897949205</v>
      </c>
      <c r="DQ472" s="873">
        <f>VLOOKUP(WWWW[[#This Row],[Site Name]],SiteDB6[[Site Name]:[Pcode]],3,FALSE)</f>
        <v>197581</v>
      </c>
      <c r="DR472" s="871" t="str">
        <f t="shared" si="15"/>
        <v>Notcovered</v>
      </c>
      <c r="DS472" s="871"/>
      <c r="DV472" s="661"/>
    </row>
    <row r="473" spans="1:126">
      <c r="A473" s="637" t="s">
        <v>2525</v>
      </c>
      <c r="B473" s="863" t="s">
        <v>3167</v>
      </c>
      <c r="C473" s="863" t="s">
        <v>3167</v>
      </c>
      <c r="D473" s="864"/>
      <c r="E473" s="865" t="s">
        <v>3013</v>
      </c>
      <c r="F473" s="864" t="s">
        <v>355</v>
      </c>
      <c r="G473" s="866" t="str">
        <f>VLOOKUP(WWWW[[#This Row],[Site Name]],SiteDB6[[Site Name]:[Location Type]],8,FALSE)</f>
        <v>New Temporary Site</v>
      </c>
      <c r="H473" s="701" t="s">
        <v>3262</v>
      </c>
      <c r="I473" s="867">
        <v>121</v>
      </c>
      <c r="J473" s="867">
        <v>624</v>
      </c>
      <c r="K473" s="868"/>
      <c r="L473" s="869"/>
      <c r="M473" s="867"/>
      <c r="N473" s="867"/>
      <c r="O473" s="867"/>
      <c r="P473" s="867"/>
      <c r="Q473" s="870"/>
      <c r="R473" s="867"/>
      <c r="S473" s="867"/>
      <c r="T473" s="379"/>
      <c r="U473" s="867"/>
      <c r="V473" s="867"/>
      <c r="W473" s="867"/>
      <c r="X473" s="867"/>
      <c r="Y473" s="867"/>
      <c r="Z473" s="867"/>
      <c r="AA473" s="867"/>
      <c r="AB473" s="867"/>
      <c r="AC473" s="867"/>
      <c r="AD473" s="867"/>
      <c r="AE473" s="867"/>
      <c r="AF473" s="867"/>
      <c r="AG473" s="867"/>
      <c r="AH473" s="867"/>
      <c r="AI473" s="867"/>
      <c r="AJ473" s="867"/>
      <c r="AK473" s="867"/>
      <c r="AL473" s="867"/>
      <c r="AM473" s="867"/>
      <c r="AN473" s="867"/>
      <c r="AO473" s="871"/>
      <c r="AP473" s="867">
        <v>20</v>
      </c>
      <c r="AQ473" s="867"/>
      <c r="AR473" s="872"/>
      <c r="AS473" s="867"/>
      <c r="AT473" s="867"/>
      <c r="AU473" s="867"/>
      <c r="AV473" s="867"/>
      <c r="AW473" s="867"/>
      <c r="AX473" s="873"/>
      <c r="AY473" s="871"/>
      <c r="AZ473" s="867"/>
      <c r="BA473" s="867"/>
      <c r="BB473" s="867"/>
      <c r="BC473" s="873"/>
      <c r="BD473" s="867"/>
      <c r="BE473" s="867"/>
      <c r="BF473" s="867"/>
      <c r="BG473" s="867"/>
      <c r="BH473" s="867"/>
      <c r="BI473" s="867"/>
      <c r="BJ473" s="867"/>
      <c r="BK473" s="867"/>
      <c r="BL473" s="867"/>
      <c r="BM473" s="873"/>
      <c r="BN473" s="874"/>
      <c r="BO473" s="872"/>
      <c r="BP473" s="873"/>
      <c r="BQ473" s="875" t="str">
        <f>IFERROR(WWWW[[#This Row],['#_Water sources treated]]/WWWW[[#This Row],['#_Water sources tested for contamination]],"no test")</f>
        <v>no test</v>
      </c>
      <c r="BR473" s="872" t="str">
        <f>IFERROR(WWWW[[#This Row],['#_Household received remediation action due to contamination]]/WWWW[[#This Row],['#_Household water samples tested for contamination]],"no test")</f>
        <v>no test</v>
      </c>
      <c r="BS473" s="874" t="str">
        <f>IF(AND(WWWW[[#This Row],[% of water sources treated]]="no test",WWWW[[#This Row],[% Household received corrective actions]]="no test"),"No Test","Tested")</f>
        <v>No Test</v>
      </c>
      <c r="BT473" s="874">
        <f>WWWW[[#This Row],['#_Constructed/existing protected hand dug well]]-WWWW[[#This Row],['#_Non-functional protected hand dug well]]</f>
        <v>0</v>
      </c>
      <c r="BU473" s="874">
        <f>(WWWW[[#This Row],['#_Constructed/Existing tube wells/boreholes/handpumps_WASH_agency]]+WWWW[[#This Row],['#_Non-Cluster partner water tube-wells/boreholes/handpumps]])-WWWW[[#This Row],['#_Non-functional tube wells/boreholes/handpumps]]</f>
        <v>0</v>
      </c>
      <c r="BV473" s="874">
        <f>WWWW[[#This Row],['#_Constructed/Existingwater storage tank with gravity fed reticulation system]]-WWWW[[#This Row],['#_Non-functional storage tank gravity fed reticulation system]]</f>
        <v>0</v>
      </c>
      <c r="BW473" s="874">
        <f>WWWW[[#This Row],['#_Water boating or water trucking]]</f>
        <v>0</v>
      </c>
      <c r="BX473" s="874">
        <f>WWWW[[#This Row],['#_Constructed/Existing water distribution system from river or natural spring]]</f>
        <v>0</v>
      </c>
      <c r="BY473"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73"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73" s="872">
        <f>IF(WWWW[[#This Row],[Location Type 1]]="Village",WWWW[[#This Row],[Access to safe drinking water for Village]],WWWW[[#This Row],[Access to safe drinking water for Camp]])</f>
        <v>0</v>
      </c>
      <c r="CB473" s="870">
        <f>WWWW[[#This Row],[%Equitable and continuous access to sufficient quantity of safe drinking water]]*WWWW[[#This Row],[Total PoP ]]</f>
        <v>0</v>
      </c>
      <c r="CC473" s="872">
        <f>IF((WWWW[[#This Row],['#_Constructed/Existing protected/fenced ponds]]*250)/WWWW[[#This Row],[Total PoP ]]&gt;1,1,(WWWW[[#This Row],['#_Constructed/Existing protected/fenced ponds]]*250)/WWWW[[#This Row],[Total PoP ]])</f>
        <v>0</v>
      </c>
      <c r="CD473" s="870">
        <f>WWWW[[#This Row],[% Access to unimproved water points]]*WWWW[[#This Row],[Total PoP ]]</f>
        <v>0</v>
      </c>
      <c r="CE473"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73"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73" s="870">
        <f>WWWW[[#This Row],[HRP1]]/500</f>
        <v>0</v>
      </c>
      <c r="CH473" s="876">
        <f>1-WWWW[[#This Row],[% Equitable and continuous access to sufficient quantity of domestic water]]</f>
        <v>1</v>
      </c>
      <c r="CI473" s="870">
        <f>WWWW[[#This Row],[%equitable and continuous access to sufficient quantity of safe drinking and domestic water''s GAP]]*WWWW[[#This Row],[Total PoP ]]</f>
        <v>624</v>
      </c>
      <c r="CJ473" s="874">
        <f>IF(WWWW[[#This Row],[Total required water points]]-WWWW[[#This Row],['#Water points coverage]]&lt;0,0,WWWW[[#This Row],[Total required water points]]-WWWW[[#This Row],['#Water points coverage]])</f>
        <v>1</v>
      </c>
      <c r="CK473" s="874">
        <f>ROUND(IF(WWWW[[#This Row],[Total PoP ]]&lt;500,1,WWWW[[#This Row],[Total PoP ]]/500),0)</f>
        <v>1</v>
      </c>
      <c r="CL473" s="874">
        <f>(WWWW[[#This Row],['#_Constructed latrines_by_WASHAgencies]]+WWWW[[#This Row],['#_Non Cluster partner latrines]])-WWWW[[#This Row],['#_Non-functional latrines]]</f>
        <v>20</v>
      </c>
      <c r="CM473"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473"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624</v>
      </c>
      <c r="CO473"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73" s="874">
        <f>IF(WWWW[[#This Row],[Location Type 1]]="Village","NA",IF(WWWW[[#This Row],['#_Constructed/Existing latrines in TLS]]*50&gt;WWWW[[#This Row],['#_students at TLS_CFS]],WWWW[[#This Row],['#_students at TLS_CFS]],(WWWW[[#This Row],['#_Constructed/Existing latrines in TLS]]*50)))</f>
        <v>0</v>
      </c>
      <c r="CQ473" s="874">
        <f>ROUND(IF(WWWW[[#This Row],[Location Type 1]]="camp",WWWW[[#This Row],[Total PoP ]]/20,IF(WWWW[[#This Row],[Location Type 1]]="Temporary Location",WWWW[[#This Row],[Total PoP ]]/50,(WWWW[[#This Row],[Total PoP ]]/6))),0)</f>
        <v>12</v>
      </c>
      <c r="CR473" s="874">
        <f>IF(WWWW[[#This Row],[Total required Latrines]]-(WWWW[[#This Row],['#_Constructed latrines_by_WASHAgencies]]+WWWW[[#This Row],['#_Non Cluster partner latrines]])&lt;0,0,WWWW[[#This Row],[Total required Latrines]]-(WWWW[[#This Row],['#_Constructed latrines_by_WASHAgencies]]+WWWW[[#This Row],['#_Non Cluster partner latrines]]))</f>
        <v>0</v>
      </c>
      <c r="CS473" s="878">
        <f>1-WWWW[[#This Row],[% people access to functioning Latrine]]</f>
        <v>0</v>
      </c>
      <c r="CT473" s="875">
        <f>IF(OR(WWWW[[#This Row],['#_Non-functional latrines]]="",WWWW[[#This Row],['#_Non-functional latrines]]=0),0,WWWW[[#This Row],['#_Non-functional latrines]]/(WWWW[[#This Row],['#_Constructed latrines_by_WASHAgencies]]+WWWW[[#This Row],['#_Non Cluster partner latrines]]))</f>
        <v>0</v>
      </c>
      <c r="CU473" s="870">
        <f>IF(500*(WWWW[[#This Row],['#_male hygiene promoters]]+WWWW[[#This Row],['#_female hygiene promoters]])&gt;WWWW[[#This Row],[Total PoP ]],WWWW[[#This Row],[Total PoP ]],500*(WWWW[[#This Row],['#_male hygiene promoters]]+WWWW[[#This Row],['#_female hygiene promoters]]))</f>
        <v>0</v>
      </c>
      <c r="CV473"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73"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73" s="874">
        <f>IF(WWWW[[#This Row],['# People with access to soap]]&gt;WWWW[[#This Row],['# People with access to Sanity Pads]],WWWW[[#This Row],['# People with access to soap]],WWWW[[#This Row],['# People with access to Sanity Pads]])</f>
        <v>0</v>
      </c>
      <c r="CY473"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73" s="876">
        <f>IF(WWWW[[#This Row],[HRP3]]/WWWW[[#This Row],[Total PoP ]]&gt;100%,100%,WWWW[[#This Row],[HRP3]]/WWWW[[#This Row],[Total PoP ]])</f>
        <v>0</v>
      </c>
      <c r="DA473" s="875">
        <f>1-WWWW[[#This Row],[Hygiene Coverage%]]</f>
        <v>1</v>
      </c>
      <c r="DB473" s="872">
        <f>WWWW[[#This Row],['# people reached by regular dedicated hygiene promotion_5]]/WWWW[[#This Row],[Total PoP ]]</f>
        <v>0</v>
      </c>
      <c r="DC473" s="872">
        <f>IF(WWWW[[#This Row],['#_households that received standard amount of soap for this quarter]]/WWWW[[#This Row],[Total HH]]&gt;1,1,WWWW[[#This Row],['#_households that received standard amount of soap for this quarter]]/WWWW[[#This Row],[Total HH]])</f>
        <v>0</v>
      </c>
      <c r="DD473" s="872">
        <f>IF(WWWW[[#This Row],['#_households that received standard amount of sanitary pads for this quarter]]/WWWW[[#This Row],[Total HH]]&gt;1,1,WWWW[[#This Row],['#_households that received standard amount of sanitary pads for this quarter]]/WWWW[[#This Row],[Total HH]])</f>
        <v>0</v>
      </c>
      <c r="DE473" s="874">
        <f>WWWW[[#This Row],['#_Constructed/Existing hand washing stations]]-WWWW[[#This Row],['#_Non-Functional_hand_washing_stations]]</f>
        <v>0</v>
      </c>
      <c r="DF473" s="879" t="e">
        <f>WWWW[[#This Row],[Total HH]]*#REF!</f>
        <v>#REF!</v>
      </c>
      <c r="DG473" s="870">
        <f>IF(WWWW[[#This Row],[Is sufficient soap available for TLS? (Yes/No)]]="yes",WWWW[[#This Row],['#_Constructed/Existing hand washing stations at TLS]],0)</f>
        <v>0</v>
      </c>
      <c r="DH473" s="702">
        <f>IF(WWWW[[#This Row],['# Functional hand washing stations during reporting period]]*100&gt;WWWW[[#This Row],[Total PoP ]],WWWW[[#This Row],[Total PoP ]],WWWW[[#This Row],['# Functional hand washing stations during reporting period]]*100)</f>
        <v>0</v>
      </c>
      <c r="DI473" s="702" t="str">
        <f>IF(WWWW[[#This Row],['#_students at TLS_CFS]]="","No","Yes")</f>
        <v>No</v>
      </c>
      <c r="DJ473" s="873">
        <f>VLOOKUP(WWWW[[#This Row],[Site Name]],SiteDB6[[Site Name]:[CCCM Management]],6,FALSE)</f>
        <v>0</v>
      </c>
      <c r="DK473" s="873">
        <f>VLOOKUP(WWWW[[#This Row],[Site Name]],SiteDB6[[Site Name]:[CCCM Focal Agency]],7,FALSE)</f>
        <v>0</v>
      </c>
      <c r="DL473" s="873" t="str">
        <f>VLOOKUP(WWWW[[#This Row],[Site Name]],SiteDB6[[Site Name]:[Location Type 1]],9,FALSE)</f>
        <v>Temporary location</v>
      </c>
      <c r="DM473" s="873" t="str">
        <f>VLOOKUP(WWWW[[#This Row],[Site Name]],SiteDB6[[Site Name]:[Type of Accommodation]],10,FALSE)</f>
        <v>Temporary location</v>
      </c>
      <c r="DN473" s="873">
        <f>VLOOKUP(WWWW[[#This Row],[Site Name]],SiteDB6[[Site Name]:[Ethnic or GCA/NGCA]],11,FALSE)</f>
        <v>0</v>
      </c>
      <c r="DO473" s="873">
        <f>VLOOKUP(WWWW[[#This Row],[Site Name]],SiteDB6[[Site Name]:[Lat]],12,FALSE)</f>
        <v>20.586620330810501</v>
      </c>
      <c r="DP473" s="873">
        <f>VLOOKUP(WWWW[[#This Row],[Site Name]],SiteDB6[[Site Name]:[Long]],13,FALSE)</f>
        <v>92.689620971679702</v>
      </c>
      <c r="DQ473" s="873">
        <f>VLOOKUP(WWWW[[#This Row],[Site Name]],SiteDB6[[Site Name]:[Pcode]],3,FALSE)</f>
        <v>220693</v>
      </c>
      <c r="DR473" s="871" t="str">
        <f t="shared" si="15"/>
        <v>Covered</v>
      </c>
      <c r="DS473" s="871"/>
      <c r="DV473" s="661"/>
    </row>
    <row r="474" spans="1:126">
      <c r="A474" s="637" t="s">
        <v>2525</v>
      </c>
      <c r="B474" s="976" t="s">
        <v>317</v>
      </c>
      <c r="C474" s="976" t="s">
        <v>317</v>
      </c>
      <c r="D474" s="864"/>
      <c r="E474" s="865" t="s">
        <v>3013</v>
      </c>
      <c r="F474" s="864" t="s">
        <v>355</v>
      </c>
      <c r="G474" s="866" t="str">
        <f>VLOOKUP(WWWW[[#This Row],[Site Name]],SiteDB6[[Site Name]:[Location Type]],8,FALSE)</f>
        <v>New Temporary Site</v>
      </c>
      <c r="H474" s="864" t="s">
        <v>3263</v>
      </c>
      <c r="I474" s="867">
        <v>54</v>
      </c>
      <c r="J474" s="867">
        <v>193</v>
      </c>
      <c r="K474" s="868"/>
      <c r="L474" s="869"/>
      <c r="M474" s="867"/>
      <c r="N474" s="867"/>
      <c r="O474" s="867"/>
      <c r="P474" s="867"/>
      <c r="Q474" s="870"/>
      <c r="R474" s="867"/>
      <c r="S474" s="867"/>
      <c r="T474" s="379"/>
      <c r="U474" s="867"/>
      <c r="V474" s="867"/>
      <c r="W474" s="867"/>
      <c r="X474" s="867"/>
      <c r="Y474" s="867"/>
      <c r="Z474" s="867"/>
      <c r="AA474" s="867"/>
      <c r="AB474" s="867"/>
      <c r="AC474" s="867"/>
      <c r="AD474" s="867"/>
      <c r="AE474" s="867"/>
      <c r="AF474" s="867"/>
      <c r="AG474" s="867"/>
      <c r="AH474" s="867"/>
      <c r="AI474" s="867"/>
      <c r="AJ474" s="867"/>
      <c r="AK474" s="867"/>
      <c r="AL474" s="867"/>
      <c r="AM474" s="867"/>
      <c r="AN474" s="867"/>
      <c r="AO474" s="871"/>
      <c r="AP474" s="867"/>
      <c r="AQ474" s="867"/>
      <c r="AR474" s="872"/>
      <c r="AS474" s="867"/>
      <c r="AT474" s="867"/>
      <c r="AU474" s="867"/>
      <c r="AV474" s="867"/>
      <c r="AW474" s="867"/>
      <c r="AX474" s="873"/>
      <c r="AY474" s="871"/>
      <c r="AZ474" s="867"/>
      <c r="BA474" s="867"/>
      <c r="BB474" s="867"/>
      <c r="BC474" s="873"/>
      <c r="BD474" s="867"/>
      <c r="BE474" s="867"/>
      <c r="BF474" s="867"/>
      <c r="BG474" s="867"/>
      <c r="BH474" s="867"/>
      <c r="BI474" s="867"/>
      <c r="BJ474" s="867"/>
      <c r="BK474" s="867"/>
      <c r="BL474" s="867"/>
      <c r="BM474" s="873"/>
      <c r="BN474" s="874"/>
      <c r="BO474" s="872"/>
      <c r="BP474" s="873"/>
      <c r="BQ474" s="875" t="str">
        <f>IFERROR(WWWW[[#This Row],['#_Water sources treated]]/WWWW[[#This Row],['#_Water sources tested for contamination]],"no test")</f>
        <v>no test</v>
      </c>
      <c r="BR474" s="872" t="str">
        <f>IFERROR(WWWW[[#This Row],['#_Household received remediation action due to contamination]]/WWWW[[#This Row],['#_Household water samples tested for contamination]],"no test")</f>
        <v>no test</v>
      </c>
      <c r="BS474" s="874" t="str">
        <f>IF(AND(WWWW[[#This Row],[% of water sources treated]]="no test",WWWW[[#This Row],[% Household received corrective actions]]="no test"),"No Test","Tested")</f>
        <v>No Test</v>
      </c>
      <c r="BT474" s="874">
        <f>WWWW[[#This Row],['#_Constructed/existing protected hand dug well]]-WWWW[[#This Row],['#_Non-functional protected hand dug well]]</f>
        <v>0</v>
      </c>
      <c r="BU474" s="874">
        <f>(WWWW[[#This Row],['#_Constructed/Existing tube wells/boreholes/handpumps_WASH_agency]]+WWWW[[#This Row],['#_Non-Cluster partner water tube-wells/boreholes/handpumps]])-WWWW[[#This Row],['#_Non-functional tube wells/boreholes/handpumps]]</f>
        <v>0</v>
      </c>
      <c r="BV474" s="874">
        <f>WWWW[[#This Row],['#_Constructed/Existingwater storage tank with gravity fed reticulation system]]-WWWW[[#This Row],['#_Non-functional storage tank gravity fed reticulation system]]</f>
        <v>0</v>
      </c>
      <c r="BW474" s="874">
        <f>WWWW[[#This Row],['#_Water boating or water trucking]]</f>
        <v>0</v>
      </c>
      <c r="BX474" s="874">
        <f>WWWW[[#This Row],['#_Constructed/Existing water distribution system from river or natural spring]]</f>
        <v>0</v>
      </c>
      <c r="BY474"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74"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74" s="872">
        <f>IF(WWWW[[#This Row],[Location Type 1]]="Village",WWWW[[#This Row],[Access to safe drinking water for Village]],WWWW[[#This Row],[Access to safe drinking water for Camp]])</f>
        <v>0</v>
      </c>
      <c r="CB474" s="870">
        <f>WWWW[[#This Row],[%Equitable and continuous access to sufficient quantity of safe drinking water]]*WWWW[[#This Row],[Total PoP ]]</f>
        <v>0</v>
      </c>
      <c r="CC474" s="872">
        <f>IF((WWWW[[#This Row],['#_Constructed/Existing protected/fenced ponds]]*250)/WWWW[[#This Row],[Total PoP ]]&gt;1,1,(WWWW[[#This Row],['#_Constructed/Existing protected/fenced ponds]]*250)/WWWW[[#This Row],[Total PoP ]])</f>
        <v>0</v>
      </c>
      <c r="CD474" s="870">
        <f>WWWW[[#This Row],[% Access to unimproved water points]]*WWWW[[#This Row],[Total PoP ]]</f>
        <v>0</v>
      </c>
      <c r="CE474"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74"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74" s="870">
        <f>WWWW[[#This Row],[HRP1]]/500</f>
        <v>0</v>
      </c>
      <c r="CH474" s="876">
        <f>1-WWWW[[#This Row],[% Equitable and continuous access to sufficient quantity of domestic water]]</f>
        <v>1</v>
      </c>
      <c r="CI474" s="870">
        <f>WWWW[[#This Row],[%equitable and continuous access to sufficient quantity of safe drinking and domestic water''s GAP]]*WWWW[[#This Row],[Total PoP ]]</f>
        <v>193</v>
      </c>
      <c r="CJ474" s="874">
        <f>IF(WWWW[[#This Row],[Total required water points]]-WWWW[[#This Row],['#Water points coverage]]&lt;0,0,WWWW[[#This Row],[Total required water points]]-WWWW[[#This Row],['#Water points coverage]])</f>
        <v>1</v>
      </c>
      <c r="CK474" s="874">
        <f>ROUND(IF(WWWW[[#This Row],[Total PoP ]]&lt;500,1,WWWW[[#This Row],[Total PoP ]]/500),0)</f>
        <v>1</v>
      </c>
      <c r="CL474" s="874">
        <f>(WWWW[[#This Row],['#_Constructed latrines_by_WASHAgencies]]+WWWW[[#This Row],['#_Non Cluster partner latrines]])-WWWW[[#This Row],['#_Non-functional latrines]]</f>
        <v>0</v>
      </c>
      <c r="CM474"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74"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74"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74" s="874">
        <f>IF(WWWW[[#This Row],[Location Type 1]]="Village","NA",IF(WWWW[[#This Row],['#_Constructed/Existing latrines in TLS]]*50&gt;WWWW[[#This Row],['#_students at TLS_CFS]],WWWW[[#This Row],['#_students at TLS_CFS]],(WWWW[[#This Row],['#_Constructed/Existing latrines in TLS]]*50)))</f>
        <v>0</v>
      </c>
      <c r="CQ474" s="874">
        <f>ROUND(IF(WWWW[[#This Row],[Location Type 1]]="camp",WWWW[[#This Row],[Total PoP ]]/20,IF(WWWW[[#This Row],[Location Type 1]]="Temporary Location",WWWW[[#This Row],[Total PoP ]]/50,(WWWW[[#This Row],[Total PoP ]]/6))),0)</f>
        <v>4</v>
      </c>
      <c r="CR474" s="874">
        <f>IF(WWWW[[#This Row],[Total required Latrines]]-(WWWW[[#This Row],['#_Constructed latrines_by_WASHAgencies]]+WWWW[[#This Row],['#_Non Cluster partner latrines]])&lt;0,0,WWWW[[#This Row],[Total required Latrines]]-(WWWW[[#This Row],['#_Constructed latrines_by_WASHAgencies]]+WWWW[[#This Row],['#_Non Cluster partner latrines]]))</f>
        <v>4</v>
      </c>
      <c r="CS474" s="878">
        <f>1-WWWW[[#This Row],[% people access to functioning Latrine]]</f>
        <v>1</v>
      </c>
      <c r="CT474" s="875">
        <f>IF(OR(WWWW[[#This Row],['#_Non-functional latrines]]="",WWWW[[#This Row],['#_Non-functional latrines]]=0),0,WWWW[[#This Row],['#_Non-functional latrines]]/(WWWW[[#This Row],['#_Constructed latrines_by_WASHAgencies]]+WWWW[[#This Row],['#_Non Cluster partner latrines]]))</f>
        <v>0</v>
      </c>
      <c r="CU474" s="870">
        <f>IF(500*(WWWW[[#This Row],['#_male hygiene promoters]]+WWWW[[#This Row],['#_female hygiene promoters]])&gt;WWWW[[#This Row],[Total PoP ]],WWWW[[#This Row],[Total PoP ]],500*(WWWW[[#This Row],['#_male hygiene promoters]]+WWWW[[#This Row],['#_female hygiene promoters]]))</f>
        <v>0</v>
      </c>
      <c r="CV474"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74"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74" s="874">
        <f>IF(WWWW[[#This Row],['# People with access to soap]]&gt;WWWW[[#This Row],['# People with access to Sanity Pads]],WWWW[[#This Row],['# People with access to soap]],WWWW[[#This Row],['# People with access to Sanity Pads]])</f>
        <v>0</v>
      </c>
      <c r="CY474"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74" s="876">
        <f>IF(WWWW[[#This Row],[HRP3]]/WWWW[[#This Row],[Total PoP ]]&gt;100%,100%,WWWW[[#This Row],[HRP3]]/WWWW[[#This Row],[Total PoP ]])</f>
        <v>0</v>
      </c>
      <c r="DA474" s="875">
        <f>1-WWWW[[#This Row],[Hygiene Coverage%]]</f>
        <v>1</v>
      </c>
      <c r="DB474" s="872">
        <f>WWWW[[#This Row],['# people reached by regular dedicated hygiene promotion_5]]/WWWW[[#This Row],[Total PoP ]]</f>
        <v>0</v>
      </c>
      <c r="DC474" s="872">
        <f>IF(WWWW[[#This Row],['#_households that received standard amount of soap for this quarter]]/WWWW[[#This Row],[Total HH]]&gt;1,1,WWWW[[#This Row],['#_households that received standard amount of soap for this quarter]]/WWWW[[#This Row],[Total HH]])</f>
        <v>0</v>
      </c>
      <c r="DD474" s="872">
        <f>IF(WWWW[[#This Row],['#_households that received standard amount of sanitary pads for this quarter]]/WWWW[[#This Row],[Total HH]]&gt;1,1,WWWW[[#This Row],['#_households that received standard amount of sanitary pads for this quarter]]/WWWW[[#This Row],[Total HH]])</f>
        <v>0</v>
      </c>
      <c r="DE474" s="874">
        <f>WWWW[[#This Row],['#_Constructed/Existing hand washing stations]]-WWWW[[#This Row],['#_Non-Functional_hand_washing_stations]]</f>
        <v>0</v>
      </c>
      <c r="DF474" s="879" t="e">
        <f>WWWW[[#This Row],[Total HH]]*#REF!</f>
        <v>#REF!</v>
      </c>
      <c r="DG474" s="870">
        <f>IF(WWWW[[#This Row],[Is sufficient soap available for TLS? (Yes/No)]]="yes",WWWW[[#This Row],['#_Constructed/Existing hand washing stations at TLS]],0)</f>
        <v>0</v>
      </c>
      <c r="DH474" s="702">
        <f>IF(WWWW[[#This Row],['# Functional hand washing stations during reporting period]]*100&gt;WWWW[[#This Row],[Total PoP ]],WWWW[[#This Row],[Total PoP ]],WWWW[[#This Row],['# Functional hand washing stations during reporting period]]*100)</f>
        <v>0</v>
      </c>
      <c r="DI474" s="702" t="str">
        <f>IF(WWWW[[#This Row],['#_students at TLS_CFS]]="","No","Yes")</f>
        <v>No</v>
      </c>
      <c r="DJ474" s="873">
        <f>VLOOKUP(WWWW[[#This Row],[Site Name]],SiteDB6[[Site Name]:[CCCM Management]],6,FALSE)</f>
        <v>0</v>
      </c>
      <c r="DK474" s="873">
        <f>VLOOKUP(WWWW[[#This Row],[Site Name]],SiteDB6[[Site Name]:[CCCM Focal Agency]],7,FALSE)</f>
        <v>0</v>
      </c>
      <c r="DL474" s="873" t="str">
        <f>VLOOKUP(WWWW[[#This Row],[Site Name]],SiteDB6[[Site Name]:[Location Type 1]],9,FALSE)</f>
        <v>Temporary location</v>
      </c>
      <c r="DM474" s="873" t="str">
        <f>VLOOKUP(WWWW[[#This Row],[Site Name]],SiteDB6[[Site Name]:[Type of Accommodation]],10,FALSE)</f>
        <v>Temporary location</v>
      </c>
      <c r="DN474" s="873">
        <f>VLOOKUP(WWWW[[#This Row],[Site Name]],SiteDB6[[Site Name]:[Ethnic or GCA/NGCA]],11,FALSE)</f>
        <v>0</v>
      </c>
      <c r="DO474" s="873">
        <f>VLOOKUP(WWWW[[#This Row],[Site Name]],SiteDB6[[Site Name]:[Lat]],12,FALSE)</f>
        <v>0</v>
      </c>
      <c r="DP474" s="873">
        <f>VLOOKUP(WWWW[[#This Row],[Site Name]],SiteDB6[[Site Name]:[Long]],13,FALSE)</f>
        <v>0</v>
      </c>
      <c r="DQ474" s="873" t="str">
        <f>VLOOKUP(WWWW[[#This Row],[Site Name]],SiteDB6[[Site Name]:[Pcode]],3,FALSE)</f>
        <v>MMR012008701503</v>
      </c>
      <c r="DR474" s="871" t="str">
        <f t="shared" si="15"/>
        <v>Notcovered</v>
      </c>
      <c r="DS474" s="871"/>
      <c r="DV474" s="661"/>
    </row>
    <row r="475" spans="1:126">
      <c r="A475" s="637" t="s">
        <v>2525</v>
      </c>
      <c r="B475" s="863" t="s">
        <v>3237</v>
      </c>
      <c r="C475" s="863" t="s">
        <v>3237</v>
      </c>
      <c r="D475" s="864"/>
      <c r="E475" s="865" t="s">
        <v>3013</v>
      </c>
      <c r="F475" s="864" t="s">
        <v>355</v>
      </c>
      <c r="G475" s="866" t="s">
        <v>3028</v>
      </c>
      <c r="H475" s="864" t="s">
        <v>552</v>
      </c>
      <c r="I475" s="867">
        <v>33</v>
      </c>
      <c r="J475" s="867">
        <v>188</v>
      </c>
      <c r="K475" s="868"/>
      <c r="L475" s="869"/>
      <c r="M475" s="867"/>
      <c r="N475" s="867"/>
      <c r="O475" s="867"/>
      <c r="P475" s="867"/>
      <c r="Q475" s="870"/>
      <c r="R475" s="867"/>
      <c r="S475" s="867"/>
      <c r="T475" s="379"/>
      <c r="U475" s="867"/>
      <c r="V475" s="867"/>
      <c r="W475" s="867"/>
      <c r="X475" s="867"/>
      <c r="Y475" s="867"/>
      <c r="Z475" s="867"/>
      <c r="AA475" s="867"/>
      <c r="AB475" s="867"/>
      <c r="AC475" s="867"/>
      <c r="AD475" s="867"/>
      <c r="AE475" s="867"/>
      <c r="AF475" s="867"/>
      <c r="AG475" s="867"/>
      <c r="AH475" s="867"/>
      <c r="AI475" s="867"/>
      <c r="AJ475" s="867"/>
      <c r="AK475" s="867"/>
      <c r="AL475" s="867"/>
      <c r="AM475" s="867"/>
      <c r="AN475" s="867"/>
      <c r="AO475" s="871"/>
      <c r="AP475" s="867">
        <v>10</v>
      </c>
      <c r="AQ475" s="867"/>
      <c r="AR475" s="872"/>
      <c r="AS475" s="867"/>
      <c r="AT475" s="867"/>
      <c r="AU475" s="867"/>
      <c r="AV475" s="867"/>
      <c r="AW475" s="867"/>
      <c r="AX475" s="873"/>
      <c r="AY475" s="871"/>
      <c r="AZ475" s="867"/>
      <c r="BA475" s="867"/>
      <c r="BB475" s="867"/>
      <c r="BC475" s="873"/>
      <c r="BD475" s="867"/>
      <c r="BE475" s="867"/>
      <c r="BF475" s="867"/>
      <c r="BG475" s="867"/>
      <c r="BH475" s="867"/>
      <c r="BI475" s="867"/>
      <c r="BJ475" s="867"/>
      <c r="BK475" s="867"/>
      <c r="BL475" s="867"/>
      <c r="BM475" s="873"/>
      <c r="BN475" s="874"/>
      <c r="BO475" s="872"/>
      <c r="BP475" s="873"/>
      <c r="BQ475" s="875" t="str">
        <f>IFERROR(WWWW[[#This Row],['#_Water sources treated]]/WWWW[[#This Row],['#_Water sources tested for contamination]],"no test")</f>
        <v>no test</v>
      </c>
      <c r="BR475" s="872" t="str">
        <f>IFERROR(WWWW[[#This Row],['#_Household received remediation action due to contamination]]/WWWW[[#This Row],['#_Household water samples tested for contamination]],"no test")</f>
        <v>no test</v>
      </c>
      <c r="BS475" s="874" t="str">
        <f>IF(AND(WWWW[[#This Row],[% of water sources treated]]="no test",WWWW[[#This Row],[% Household received corrective actions]]="no test"),"No Test","Tested")</f>
        <v>No Test</v>
      </c>
      <c r="BT475" s="874">
        <f>WWWW[[#This Row],['#_Constructed/existing protected hand dug well]]-WWWW[[#This Row],['#_Non-functional protected hand dug well]]</f>
        <v>0</v>
      </c>
      <c r="BU475" s="874">
        <f>(WWWW[[#This Row],['#_Constructed/Existing tube wells/boreholes/handpumps_WASH_agency]]+WWWW[[#This Row],['#_Non-Cluster partner water tube-wells/boreholes/handpumps]])-WWWW[[#This Row],['#_Non-functional tube wells/boreholes/handpumps]]</f>
        <v>0</v>
      </c>
      <c r="BV475" s="874">
        <f>WWWW[[#This Row],['#_Constructed/Existingwater storage tank with gravity fed reticulation system]]-WWWW[[#This Row],['#_Non-functional storage tank gravity fed reticulation system]]</f>
        <v>0</v>
      </c>
      <c r="BW475" s="874">
        <f>WWWW[[#This Row],['#_Water boating or water trucking]]</f>
        <v>0</v>
      </c>
      <c r="BX475" s="874">
        <f>WWWW[[#This Row],['#_Constructed/Existing water distribution system from river or natural spring]]</f>
        <v>0</v>
      </c>
      <c r="BY475"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75"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75" s="872">
        <f>IF(WWWW[[#This Row],[Location Type 1]]="Village",WWWW[[#This Row],[Access to safe drinking water for Village]],WWWW[[#This Row],[Access to safe drinking water for Camp]])</f>
        <v>0</v>
      </c>
      <c r="CB475" s="870">
        <f>WWWW[[#This Row],[%Equitable and continuous access to sufficient quantity of safe drinking water]]*WWWW[[#This Row],[Total PoP ]]</f>
        <v>0</v>
      </c>
      <c r="CC475" s="872">
        <f>IF((WWWW[[#This Row],['#_Constructed/Existing protected/fenced ponds]]*250)/WWWW[[#This Row],[Total PoP ]]&gt;1,1,(WWWW[[#This Row],['#_Constructed/Existing protected/fenced ponds]]*250)/WWWW[[#This Row],[Total PoP ]])</f>
        <v>0</v>
      </c>
      <c r="CD475" s="870">
        <f>WWWW[[#This Row],[% Access to unimproved water points]]*WWWW[[#This Row],[Total PoP ]]</f>
        <v>0</v>
      </c>
      <c r="CE475"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75"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75" s="870">
        <f>WWWW[[#This Row],[HRP1]]/500</f>
        <v>0</v>
      </c>
      <c r="CH475" s="876">
        <f>1-WWWW[[#This Row],[% Equitable and continuous access to sufficient quantity of domestic water]]</f>
        <v>1</v>
      </c>
      <c r="CI475" s="870">
        <f>WWWW[[#This Row],[%equitable and continuous access to sufficient quantity of safe drinking and domestic water''s GAP]]*WWWW[[#This Row],[Total PoP ]]</f>
        <v>188</v>
      </c>
      <c r="CJ475" s="874">
        <f>IF(WWWW[[#This Row],[Total required water points]]-WWWW[[#This Row],['#Water points coverage]]&lt;0,0,WWWW[[#This Row],[Total required water points]]-WWWW[[#This Row],['#Water points coverage]])</f>
        <v>1</v>
      </c>
      <c r="CK475" s="874">
        <f>ROUND(IF(WWWW[[#This Row],[Total PoP ]]&lt;500,1,WWWW[[#This Row],[Total PoP ]]/500),0)</f>
        <v>1</v>
      </c>
      <c r="CL475" s="874">
        <f>(WWWW[[#This Row],['#_Constructed latrines_by_WASHAgencies]]+WWWW[[#This Row],['#_Non Cluster partner latrines]])-WWWW[[#This Row],['#_Non-functional latrines]]</f>
        <v>10</v>
      </c>
      <c r="CM475"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475"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188</v>
      </c>
      <c r="CO475"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75" s="874">
        <f>IF(WWWW[[#This Row],[Location Type 1]]="Village","NA",IF(WWWW[[#This Row],['#_Constructed/Existing latrines in TLS]]*50&gt;WWWW[[#This Row],['#_students at TLS_CFS]],WWWW[[#This Row],['#_students at TLS_CFS]],(WWWW[[#This Row],['#_Constructed/Existing latrines in TLS]]*50)))</f>
        <v>0</v>
      </c>
      <c r="CQ475" s="874">
        <f>ROUND(IF(WWWW[[#This Row],[Location Type 1]]="camp",WWWW[[#This Row],[Total PoP ]]/20,IF(WWWW[[#This Row],[Location Type 1]]="Temporary Location",WWWW[[#This Row],[Total PoP ]]/50,(WWWW[[#This Row],[Total PoP ]]/6))),0)</f>
        <v>4</v>
      </c>
      <c r="CR475" s="874">
        <f>IF(WWWW[[#This Row],[Total required Latrines]]-(WWWW[[#This Row],['#_Constructed latrines_by_WASHAgencies]]+WWWW[[#This Row],['#_Non Cluster partner latrines]])&lt;0,0,WWWW[[#This Row],[Total required Latrines]]-(WWWW[[#This Row],['#_Constructed latrines_by_WASHAgencies]]+WWWW[[#This Row],['#_Non Cluster partner latrines]]))</f>
        <v>0</v>
      </c>
      <c r="CS475" s="878">
        <f>1-WWWW[[#This Row],[% people access to functioning Latrine]]</f>
        <v>0</v>
      </c>
      <c r="CT475" s="875">
        <f>IF(OR(WWWW[[#This Row],['#_Non-functional latrines]]="",WWWW[[#This Row],['#_Non-functional latrines]]=0),0,WWWW[[#This Row],['#_Non-functional latrines]]/(WWWW[[#This Row],['#_Constructed latrines_by_WASHAgencies]]+WWWW[[#This Row],['#_Non Cluster partner latrines]]))</f>
        <v>0</v>
      </c>
      <c r="CU475" s="870">
        <f>IF(500*(WWWW[[#This Row],['#_male hygiene promoters]]+WWWW[[#This Row],['#_female hygiene promoters]])&gt;WWWW[[#This Row],[Total PoP ]],WWWW[[#This Row],[Total PoP ]],500*(WWWW[[#This Row],['#_male hygiene promoters]]+WWWW[[#This Row],['#_female hygiene promoters]]))</f>
        <v>0</v>
      </c>
      <c r="CV475"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75"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75" s="874">
        <f>IF(WWWW[[#This Row],['# People with access to soap]]&gt;WWWW[[#This Row],['# People with access to Sanity Pads]],WWWW[[#This Row],['# People with access to soap]],WWWW[[#This Row],['# People with access to Sanity Pads]])</f>
        <v>0</v>
      </c>
      <c r="CY475"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75" s="876">
        <f>IF(WWWW[[#This Row],[HRP3]]/WWWW[[#This Row],[Total PoP ]]&gt;100%,100%,WWWW[[#This Row],[HRP3]]/WWWW[[#This Row],[Total PoP ]])</f>
        <v>0</v>
      </c>
      <c r="DA475" s="875">
        <f>1-WWWW[[#This Row],[Hygiene Coverage%]]</f>
        <v>1</v>
      </c>
      <c r="DB475" s="872">
        <f>WWWW[[#This Row],['# people reached by regular dedicated hygiene promotion_5]]/WWWW[[#This Row],[Total PoP ]]</f>
        <v>0</v>
      </c>
      <c r="DC475" s="872">
        <f>IF(WWWW[[#This Row],['#_households that received standard amount of soap for this quarter]]/WWWW[[#This Row],[Total HH]]&gt;1,1,WWWW[[#This Row],['#_households that received standard amount of soap for this quarter]]/WWWW[[#This Row],[Total HH]])</f>
        <v>0</v>
      </c>
      <c r="DD475" s="872">
        <f>IF(WWWW[[#This Row],['#_households that received standard amount of sanitary pads for this quarter]]/WWWW[[#This Row],[Total HH]]&gt;1,1,WWWW[[#This Row],['#_households that received standard amount of sanitary pads for this quarter]]/WWWW[[#This Row],[Total HH]])</f>
        <v>0</v>
      </c>
      <c r="DE475" s="874">
        <f>WWWW[[#This Row],['#_Constructed/Existing hand washing stations]]-WWWW[[#This Row],['#_Non-Functional_hand_washing_stations]]</f>
        <v>0</v>
      </c>
      <c r="DF475" s="879" t="e">
        <f>WWWW[[#This Row],[Total HH]]*#REF!</f>
        <v>#REF!</v>
      </c>
      <c r="DG475" s="870">
        <f>IF(WWWW[[#This Row],[Is sufficient soap available for TLS? (Yes/No)]]="yes",WWWW[[#This Row],['#_Constructed/Existing hand washing stations at TLS]],0)</f>
        <v>0</v>
      </c>
      <c r="DH475" s="702">
        <f>IF(WWWW[[#This Row],['# Functional hand washing stations during reporting period]]*100&gt;WWWW[[#This Row],[Total PoP ]],WWWW[[#This Row],[Total PoP ]],WWWW[[#This Row],['# Functional hand washing stations during reporting period]]*100)</f>
        <v>0</v>
      </c>
      <c r="DI475" s="702" t="str">
        <f>IF(WWWW[[#This Row],['#_students at TLS_CFS]]="","No","Yes")</f>
        <v>No</v>
      </c>
      <c r="DJ475" s="873">
        <f>VLOOKUP(WWWW[[#This Row],[Site Name]],SiteDB6[[Site Name]:[CCCM Management]],6,FALSE)</f>
        <v>0</v>
      </c>
      <c r="DK475" s="873">
        <f>VLOOKUP(WWWW[[#This Row],[Site Name]],SiteDB6[[Site Name]:[CCCM Focal Agency]],7,FALSE)</f>
        <v>0</v>
      </c>
      <c r="DL475" s="873" t="str">
        <f>VLOOKUP(WWWW[[#This Row],[Site Name]],SiteDB6[[Site Name]:[Location Type 1]],9,FALSE)</f>
        <v>Temporary location</v>
      </c>
      <c r="DM475" s="873" t="str">
        <f>VLOOKUP(WWWW[[#This Row],[Site Name]],SiteDB6[[Site Name]:[Type of Accommodation]],10,FALSE)</f>
        <v>Temporary location</v>
      </c>
      <c r="DN475" s="873" t="str">
        <f>VLOOKUP(WWWW[[#This Row],[Site Name]],SiteDB6[[Site Name]:[Ethnic or GCA/NGCA]],11,FALSE)</f>
        <v>Rakhine</v>
      </c>
      <c r="DO475" s="873">
        <f>VLOOKUP(WWWW[[#This Row],[Site Name]],SiteDB6[[Site Name]:[Lat]],12,FALSE)</f>
        <v>20.678159709999999</v>
      </c>
      <c r="DP475" s="873">
        <f>VLOOKUP(WWWW[[#This Row],[Site Name]],SiteDB6[[Site Name]:[Long]],13,FALSE)</f>
        <v>92.713821409999994</v>
      </c>
      <c r="DQ475" s="873">
        <f>VLOOKUP(WWWW[[#This Row],[Site Name]],SiteDB6[[Site Name]:[Pcode]],3,FALSE)</f>
        <v>197683</v>
      </c>
      <c r="DR475" s="871" t="str">
        <f t="shared" si="15"/>
        <v>Covered</v>
      </c>
      <c r="DS475" s="871"/>
      <c r="DV475" s="661"/>
    </row>
    <row r="476" spans="1:126">
      <c r="A476" s="637" t="s">
        <v>2525</v>
      </c>
      <c r="B476" s="863" t="s">
        <v>322</v>
      </c>
      <c r="C476" s="863" t="s">
        <v>322</v>
      </c>
      <c r="D476" s="864"/>
      <c r="E476" s="865" t="s">
        <v>3013</v>
      </c>
      <c r="F476" s="864" t="s">
        <v>355</v>
      </c>
      <c r="G476" s="866" t="str">
        <f>VLOOKUP(WWWW[[#This Row],[Site Name]],SiteDB6[[Site Name]:[Location Type]],8,FALSE)</f>
        <v>New Temporary Site</v>
      </c>
      <c r="H476" s="864" t="s">
        <v>3211</v>
      </c>
      <c r="I476" s="867">
        <v>84</v>
      </c>
      <c r="J476" s="867">
        <v>423</v>
      </c>
      <c r="K476" s="868"/>
      <c r="L476" s="869"/>
      <c r="M476" s="867"/>
      <c r="N476" s="867"/>
      <c r="O476" s="867"/>
      <c r="P476" s="867"/>
      <c r="Q476" s="870"/>
      <c r="R476" s="867"/>
      <c r="S476" s="867"/>
      <c r="T476" s="379"/>
      <c r="U476" s="867"/>
      <c r="V476" s="867"/>
      <c r="W476" s="867"/>
      <c r="X476" s="867"/>
      <c r="Y476" s="867"/>
      <c r="Z476" s="867"/>
      <c r="AA476" s="867"/>
      <c r="AB476" s="867"/>
      <c r="AC476" s="867"/>
      <c r="AD476" s="867"/>
      <c r="AE476" s="867"/>
      <c r="AF476" s="867"/>
      <c r="AG476" s="867"/>
      <c r="AH476" s="867"/>
      <c r="AI476" s="867"/>
      <c r="AJ476" s="867"/>
      <c r="AK476" s="867"/>
      <c r="AL476" s="867"/>
      <c r="AM476" s="867"/>
      <c r="AN476" s="867"/>
      <c r="AO476" s="871"/>
      <c r="AP476" s="867"/>
      <c r="AQ476" s="867"/>
      <c r="AR476" s="872"/>
      <c r="AS476" s="867"/>
      <c r="AT476" s="867"/>
      <c r="AU476" s="867"/>
      <c r="AV476" s="867"/>
      <c r="AW476" s="867"/>
      <c r="AX476" s="873"/>
      <c r="AY476" s="871"/>
      <c r="AZ476" s="867"/>
      <c r="BA476" s="867"/>
      <c r="BB476" s="867"/>
      <c r="BC476" s="873"/>
      <c r="BD476" s="867"/>
      <c r="BE476" s="867"/>
      <c r="BF476" s="867"/>
      <c r="BG476" s="867"/>
      <c r="BH476" s="867"/>
      <c r="BI476" s="867"/>
      <c r="BJ476" s="867"/>
      <c r="BK476" s="867"/>
      <c r="BL476" s="867"/>
      <c r="BM476" s="873"/>
      <c r="BN476" s="874"/>
      <c r="BO476" s="872"/>
      <c r="BP476" s="873"/>
      <c r="BQ476" s="875" t="str">
        <f>IFERROR(WWWW[[#This Row],['#_Water sources treated]]/WWWW[[#This Row],['#_Water sources tested for contamination]],"no test")</f>
        <v>no test</v>
      </c>
      <c r="BR476" s="872" t="str">
        <f>IFERROR(WWWW[[#This Row],['#_Household received remediation action due to contamination]]/WWWW[[#This Row],['#_Household water samples tested for contamination]],"no test")</f>
        <v>no test</v>
      </c>
      <c r="BS476" s="874" t="str">
        <f>IF(AND(WWWW[[#This Row],[% of water sources treated]]="no test",WWWW[[#This Row],[% Household received corrective actions]]="no test"),"No Test","Tested")</f>
        <v>No Test</v>
      </c>
      <c r="BT476" s="874">
        <f>WWWW[[#This Row],['#_Constructed/existing protected hand dug well]]-WWWW[[#This Row],['#_Non-functional protected hand dug well]]</f>
        <v>0</v>
      </c>
      <c r="BU476" s="874">
        <f>(WWWW[[#This Row],['#_Constructed/Existing tube wells/boreholes/handpumps_WASH_agency]]+WWWW[[#This Row],['#_Non-Cluster partner water tube-wells/boreholes/handpumps]])-WWWW[[#This Row],['#_Non-functional tube wells/boreholes/handpumps]]</f>
        <v>0</v>
      </c>
      <c r="BV476" s="874">
        <f>WWWW[[#This Row],['#_Constructed/Existingwater storage tank with gravity fed reticulation system]]-WWWW[[#This Row],['#_Non-functional storage tank gravity fed reticulation system]]</f>
        <v>0</v>
      </c>
      <c r="BW476" s="874">
        <f>WWWW[[#This Row],['#_Water boating or water trucking]]</f>
        <v>0</v>
      </c>
      <c r="BX476" s="874">
        <f>WWWW[[#This Row],['#_Constructed/Existing water distribution system from river or natural spring]]</f>
        <v>0</v>
      </c>
      <c r="BY476"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76"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76" s="872">
        <f>IF(WWWW[[#This Row],[Location Type 1]]="Village",WWWW[[#This Row],[Access to safe drinking water for Village]],WWWW[[#This Row],[Access to safe drinking water for Camp]])</f>
        <v>0</v>
      </c>
      <c r="CB476" s="870">
        <f>WWWW[[#This Row],[%Equitable and continuous access to sufficient quantity of safe drinking water]]*WWWW[[#This Row],[Total PoP ]]</f>
        <v>0</v>
      </c>
      <c r="CC476" s="872">
        <f>IF((WWWW[[#This Row],['#_Constructed/Existing protected/fenced ponds]]*250)/WWWW[[#This Row],[Total PoP ]]&gt;1,1,(WWWW[[#This Row],['#_Constructed/Existing protected/fenced ponds]]*250)/WWWW[[#This Row],[Total PoP ]])</f>
        <v>0</v>
      </c>
      <c r="CD476" s="870">
        <f>WWWW[[#This Row],[% Access to unimproved water points]]*WWWW[[#This Row],[Total PoP ]]</f>
        <v>0</v>
      </c>
      <c r="CE476"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76"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76" s="870">
        <f>WWWW[[#This Row],[HRP1]]/500</f>
        <v>0</v>
      </c>
      <c r="CH476" s="876">
        <f>1-WWWW[[#This Row],[% Equitable and continuous access to sufficient quantity of domestic water]]</f>
        <v>1</v>
      </c>
      <c r="CI476" s="870">
        <f>WWWW[[#This Row],[%equitable and continuous access to sufficient quantity of safe drinking and domestic water''s GAP]]*WWWW[[#This Row],[Total PoP ]]</f>
        <v>423</v>
      </c>
      <c r="CJ476" s="874">
        <f>IF(WWWW[[#This Row],[Total required water points]]-WWWW[[#This Row],['#Water points coverage]]&lt;0,0,WWWW[[#This Row],[Total required water points]]-WWWW[[#This Row],['#Water points coverage]])</f>
        <v>1</v>
      </c>
      <c r="CK476" s="874">
        <f>ROUND(IF(WWWW[[#This Row],[Total PoP ]]&lt;500,1,WWWW[[#This Row],[Total PoP ]]/500),0)</f>
        <v>1</v>
      </c>
      <c r="CL476" s="874">
        <f>(WWWW[[#This Row],['#_Constructed latrines_by_WASHAgencies]]+WWWW[[#This Row],['#_Non Cluster partner latrines]])-WWWW[[#This Row],['#_Non-functional latrines]]</f>
        <v>0</v>
      </c>
      <c r="CM476"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76"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76"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76" s="874">
        <f>IF(WWWW[[#This Row],[Location Type 1]]="Village","NA",IF(WWWW[[#This Row],['#_Constructed/Existing latrines in TLS]]*50&gt;WWWW[[#This Row],['#_students at TLS_CFS]],WWWW[[#This Row],['#_students at TLS_CFS]],(WWWW[[#This Row],['#_Constructed/Existing latrines in TLS]]*50)))</f>
        <v>0</v>
      </c>
      <c r="CQ476" s="874">
        <f>ROUND(IF(WWWW[[#This Row],[Location Type 1]]="camp",WWWW[[#This Row],[Total PoP ]]/20,IF(WWWW[[#This Row],[Location Type 1]]="Temporary Location",WWWW[[#This Row],[Total PoP ]]/50,(WWWW[[#This Row],[Total PoP ]]/6))),0)</f>
        <v>8</v>
      </c>
      <c r="CR476" s="874">
        <f>IF(WWWW[[#This Row],[Total required Latrines]]-(WWWW[[#This Row],['#_Constructed latrines_by_WASHAgencies]]+WWWW[[#This Row],['#_Non Cluster partner latrines]])&lt;0,0,WWWW[[#This Row],[Total required Latrines]]-(WWWW[[#This Row],['#_Constructed latrines_by_WASHAgencies]]+WWWW[[#This Row],['#_Non Cluster partner latrines]]))</f>
        <v>8</v>
      </c>
      <c r="CS476" s="878">
        <f>1-WWWW[[#This Row],[% people access to functioning Latrine]]</f>
        <v>1</v>
      </c>
      <c r="CT476" s="875">
        <f>IF(OR(WWWW[[#This Row],['#_Non-functional latrines]]="",WWWW[[#This Row],['#_Non-functional latrines]]=0),0,WWWW[[#This Row],['#_Non-functional latrines]]/(WWWW[[#This Row],['#_Constructed latrines_by_WASHAgencies]]+WWWW[[#This Row],['#_Non Cluster partner latrines]]))</f>
        <v>0</v>
      </c>
      <c r="CU476" s="870">
        <f>IF(500*(WWWW[[#This Row],['#_male hygiene promoters]]+WWWW[[#This Row],['#_female hygiene promoters]])&gt;WWWW[[#This Row],[Total PoP ]],WWWW[[#This Row],[Total PoP ]],500*(WWWW[[#This Row],['#_male hygiene promoters]]+WWWW[[#This Row],['#_female hygiene promoters]]))</f>
        <v>0</v>
      </c>
      <c r="CV476"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76"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76" s="874">
        <f>IF(WWWW[[#This Row],['# People with access to soap]]&gt;WWWW[[#This Row],['# People with access to Sanity Pads]],WWWW[[#This Row],['# People with access to soap]],WWWW[[#This Row],['# People with access to Sanity Pads]])</f>
        <v>0</v>
      </c>
      <c r="CY476"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76" s="876">
        <f>IF(WWWW[[#This Row],[HRP3]]/WWWW[[#This Row],[Total PoP ]]&gt;100%,100%,WWWW[[#This Row],[HRP3]]/WWWW[[#This Row],[Total PoP ]])</f>
        <v>0</v>
      </c>
      <c r="DA476" s="875">
        <f>1-WWWW[[#This Row],[Hygiene Coverage%]]</f>
        <v>1</v>
      </c>
      <c r="DB476" s="872">
        <f>WWWW[[#This Row],['# people reached by regular dedicated hygiene promotion_5]]/WWWW[[#This Row],[Total PoP ]]</f>
        <v>0</v>
      </c>
      <c r="DC476" s="872">
        <f>IF(WWWW[[#This Row],['#_households that received standard amount of soap for this quarter]]/WWWW[[#This Row],[Total HH]]&gt;1,1,WWWW[[#This Row],['#_households that received standard amount of soap for this quarter]]/WWWW[[#This Row],[Total HH]])</f>
        <v>0</v>
      </c>
      <c r="DD476" s="872">
        <f>IF(WWWW[[#This Row],['#_households that received standard amount of sanitary pads for this quarter]]/WWWW[[#This Row],[Total HH]]&gt;1,1,WWWW[[#This Row],['#_households that received standard amount of sanitary pads for this quarter]]/WWWW[[#This Row],[Total HH]])</f>
        <v>0</v>
      </c>
      <c r="DE476" s="874">
        <f>WWWW[[#This Row],['#_Constructed/Existing hand washing stations]]-WWWW[[#This Row],['#_Non-Functional_hand_washing_stations]]</f>
        <v>0</v>
      </c>
      <c r="DF476" s="879" t="e">
        <f>WWWW[[#This Row],[Total HH]]*#REF!</f>
        <v>#REF!</v>
      </c>
      <c r="DG476" s="870">
        <f>IF(WWWW[[#This Row],[Is sufficient soap available for TLS? (Yes/No)]]="yes",WWWW[[#This Row],['#_Constructed/Existing hand washing stations at TLS]],0)</f>
        <v>0</v>
      </c>
      <c r="DH476" s="702">
        <f>IF(WWWW[[#This Row],['# Functional hand washing stations during reporting period]]*100&gt;WWWW[[#This Row],[Total PoP ]],WWWW[[#This Row],[Total PoP ]],WWWW[[#This Row],['# Functional hand washing stations during reporting period]]*100)</f>
        <v>0</v>
      </c>
      <c r="DI476" s="702" t="str">
        <f>IF(WWWW[[#This Row],['#_students at TLS_CFS]]="","No","Yes")</f>
        <v>No</v>
      </c>
      <c r="DJ476" s="873">
        <f>VLOOKUP(WWWW[[#This Row],[Site Name]],SiteDB6[[Site Name]:[CCCM Management]],6,FALSE)</f>
        <v>0</v>
      </c>
      <c r="DK476" s="873">
        <f>VLOOKUP(WWWW[[#This Row],[Site Name]],SiteDB6[[Site Name]:[CCCM Focal Agency]],7,FALSE)</f>
        <v>0</v>
      </c>
      <c r="DL476" s="873" t="str">
        <f>VLOOKUP(WWWW[[#This Row],[Site Name]],SiteDB6[[Site Name]:[Location Type 1]],9,FALSE)</f>
        <v>Temporary location</v>
      </c>
      <c r="DM476" s="873" t="str">
        <f>VLOOKUP(WWWW[[#This Row],[Site Name]],SiteDB6[[Site Name]:[Type of Accommodation]],10,FALSE)</f>
        <v>Temporary location</v>
      </c>
      <c r="DN476" s="873">
        <f>VLOOKUP(WWWW[[#This Row],[Site Name]],SiteDB6[[Site Name]:[Ethnic or GCA/NGCA]],11,FALSE)</f>
        <v>0</v>
      </c>
      <c r="DO476" s="873">
        <f>VLOOKUP(WWWW[[#This Row],[Site Name]],SiteDB6[[Site Name]:[Lat]],12,FALSE)</f>
        <v>20.660871505737301</v>
      </c>
      <c r="DP476" s="873">
        <f>VLOOKUP(WWWW[[#This Row],[Site Name]],SiteDB6[[Site Name]:[Long]],13,FALSE)</f>
        <v>92.683090209960895</v>
      </c>
      <c r="DQ476" s="873">
        <f>VLOOKUP(WWWW[[#This Row],[Site Name]],SiteDB6[[Site Name]:[Pcode]],3,FALSE)</f>
        <v>197677</v>
      </c>
      <c r="DR476" s="871" t="str">
        <f t="shared" si="15"/>
        <v>Covered</v>
      </c>
      <c r="DS476" s="871"/>
      <c r="DV476" s="661"/>
    </row>
    <row r="477" spans="1:126">
      <c r="A477" s="637" t="s">
        <v>2525</v>
      </c>
      <c r="B477" s="863" t="s">
        <v>322</v>
      </c>
      <c r="C477" s="863" t="s">
        <v>322</v>
      </c>
      <c r="D477" s="864"/>
      <c r="E477" s="865" t="s">
        <v>3013</v>
      </c>
      <c r="F477" s="864" t="s">
        <v>355</v>
      </c>
      <c r="G477" s="866" t="str">
        <f>VLOOKUP(WWWW[[#This Row],[Site Name]],SiteDB6[[Site Name]:[Location Type]],8,FALSE)</f>
        <v>New Temporary Site</v>
      </c>
      <c r="H477" s="864" t="s">
        <v>3212</v>
      </c>
      <c r="I477" s="867">
        <v>20</v>
      </c>
      <c r="J477" s="867">
        <v>113</v>
      </c>
      <c r="K477" s="868"/>
      <c r="L477" s="869"/>
      <c r="M477" s="867"/>
      <c r="N477" s="867"/>
      <c r="O477" s="867"/>
      <c r="P477" s="867"/>
      <c r="Q477" s="870"/>
      <c r="R477" s="867"/>
      <c r="S477" s="867"/>
      <c r="T477" s="379"/>
      <c r="U477" s="867"/>
      <c r="V477" s="867"/>
      <c r="W477" s="867"/>
      <c r="X477" s="867"/>
      <c r="Y477" s="867"/>
      <c r="Z477" s="867"/>
      <c r="AA477" s="867"/>
      <c r="AB477" s="867"/>
      <c r="AC477" s="867"/>
      <c r="AD477" s="867"/>
      <c r="AE477" s="867"/>
      <c r="AF477" s="867"/>
      <c r="AG477" s="867"/>
      <c r="AH477" s="867"/>
      <c r="AI477" s="867"/>
      <c r="AJ477" s="867"/>
      <c r="AK477" s="867"/>
      <c r="AL477" s="867"/>
      <c r="AM477" s="867"/>
      <c r="AN477" s="867"/>
      <c r="AO477" s="871"/>
      <c r="AP477" s="867"/>
      <c r="AQ477" s="867"/>
      <c r="AR477" s="872"/>
      <c r="AS477" s="867"/>
      <c r="AT477" s="867"/>
      <c r="AU477" s="867"/>
      <c r="AV477" s="867"/>
      <c r="AW477" s="867"/>
      <c r="AX477" s="873"/>
      <c r="AY477" s="871"/>
      <c r="AZ477" s="867"/>
      <c r="BA477" s="867"/>
      <c r="BB477" s="867"/>
      <c r="BC477" s="873"/>
      <c r="BD477" s="867"/>
      <c r="BE477" s="867"/>
      <c r="BF477" s="867"/>
      <c r="BG477" s="867"/>
      <c r="BH477" s="867"/>
      <c r="BI477" s="867"/>
      <c r="BJ477" s="867"/>
      <c r="BK477" s="867"/>
      <c r="BL477" s="867"/>
      <c r="BM477" s="873"/>
      <c r="BN477" s="874"/>
      <c r="BO477" s="872"/>
      <c r="BP477" s="873"/>
      <c r="BQ477" s="875" t="str">
        <f>IFERROR(WWWW[[#This Row],['#_Water sources treated]]/WWWW[[#This Row],['#_Water sources tested for contamination]],"no test")</f>
        <v>no test</v>
      </c>
      <c r="BR477" s="872" t="str">
        <f>IFERROR(WWWW[[#This Row],['#_Household received remediation action due to contamination]]/WWWW[[#This Row],['#_Household water samples tested for contamination]],"no test")</f>
        <v>no test</v>
      </c>
      <c r="BS477" s="874" t="str">
        <f>IF(AND(WWWW[[#This Row],[% of water sources treated]]="no test",WWWW[[#This Row],[% Household received corrective actions]]="no test"),"No Test","Tested")</f>
        <v>No Test</v>
      </c>
      <c r="BT477" s="874">
        <f>WWWW[[#This Row],['#_Constructed/existing protected hand dug well]]-WWWW[[#This Row],['#_Non-functional protected hand dug well]]</f>
        <v>0</v>
      </c>
      <c r="BU477" s="874">
        <f>(WWWW[[#This Row],['#_Constructed/Existing tube wells/boreholes/handpumps_WASH_agency]]+WWWW[[#This Row],['#_Non-Cluster partner water tube-wells/boreholes/handpumps]])-WWWW[[#This Row],['#_Non-functional tube wells/boreholes/handpumps]]</f>
        <v>0</v>
      </c>
      <c r="BV477" s="874">
        <f>WWWW[[#This Row],['#_Constructed/Existingwater storage tank with gravity fed reticulation system]]-WWWW[[#This Row],['#_Non-functional storage tank gravity fed reticulation system]]</f>
        <v>0</v>
      </c>
      <c r="BW477" s="874">
        <f>WWWW[[#This Row],['#_Water boating or water trucking]]</f>
        <v>0</v>
      </c>
      <c r="BX477" s="874">
        <f>WWWW[[#This Row],['#_Constructed/Existing water distribution system from river or natural spring]]</f>
        <v>0</v>
      </c>
      <c r="BY477"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77"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77" s="872">
        <f>IF(WWWW[[#This Row],[Location Type 1]]="Village",WWWW[[#This Row],[Access to safe drinking water for Village]],WWWW[[#This Row],[Access to safe drinking water for Camp]])</f>
        <v>0</v>
      </c>
      <c r="CB477" s="870">
        <f>WWWW[[#This Row],[%Equitable and continuous access to sufficient quantity of safe drinking water]]*WWWW[[#This Row],[Total PoP ]]</f>
        <v>0</v>
      </c>
      <c r="CC477" s="872">
        <f>IF((WWWW[[#This Row],['#_Constructed/Existing protected/fenced ponds]]*250)/WWWW[[#This Row],[Total PoP ]]&gt;1,1,(WWWW[[#This Row],['#_Constructed/Existing protected/fenced ponds]]*250)/WWWW[[#This Row],[Total PoP ]])</f>
        <v>0</v>
      </c>
      <c r="CD477" s="870">
        <f>WWWW[[#This Row],[% Access to unimproved water points]]*WWWW[[#This Row],[Total PoP ]]</f>
        <v>0</v>
      </c>
      <c r="CE477"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77"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77" s="870">
        <f>WWWW[[#This Row],[HRP1]]/500</f>
        <v>0</v>
      </c>
      <c r="CH477" s="876">
        <f>1-WWWW[[#This Row],[% Equitable and continuous access to sufficient quantity of domestic water]]</f>
        <v>1</v>
      </c>
      <c r="CI477" s="870">
        <f>WWWW[[#This Row],[%equitable and continuous access to sufficient quantity of safe drinking and domestic water''s GAP]]*WWWW[[#This Row],[Total PoP ]]</f>
        <v>113</v>
      </c>
      <c r="CJ477" s="874">
        <f>IF(WWWW[[#This Row],[Total required water points]]-WWWW[[#This Row],['#Water points coverage]]&lt;0,0,WWWW[[#This Row],[Total required water points]]-WWWW[[#This Row],['#Water points coverage]])</f>
        <v>1</v>
      </c>
      <c r="CK477" s="874">
        <f>ROUND(IF(WWWW[[#This Row],[Total PoP ]]&lt;500,1,WWWW[[#This Row],[Total PoP ]]/500),0)</f>
        <v>1</v>
      </c>
      <c r="CL477" s="874">
        <f>(WWWW[[#This Row],['#_Constructed latrines_by_WASHAgencies]]+WWWW[[#This Row],['#_Non Cluster partner latrines]])-WWWW[[#This Row],['#_Non-functional latrines]]</f>
        <v>0</v>
      </c>
      <c r="CM477"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77"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77"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77" s="874">
        <f>IF(WWWW[[#This Row],[Location Type 1]]="Village","NA",IF(WWWW[[#This Row],['#_Constructed/Existing latrines in TLS]]*50&gt;WWWW[[#This Row],['#_students at TLS_CFS]],WWWW[[#This Row],['#_students at TLS_CFS]],(WWWW[[#This Row],['#_Constructed/Existing latrines in TLS]]*50)))</f>
        <v>0</v>
      </c>
      <c r="CQ477" s="874">
        <f>ROUND(IF(WWWW[[#This Row],[Location Type 1]]="camp",WWWW[[#This Row],[Total PoP ]]/20,IF(WWWW[[#This Row],[Location Type 1]]="Temporary Location",WWWW[[#This Row],[Total PoP ]]/50,(WWWW[[#This Row],[Total PoP ]]/6))),0)</f>
        <v>2</v>
      </c>
      <c r="CR477" s="874">
        <f>IF(WWWW[[#This Row],[Total required Latrines]]-(WWWW[[#This Row],['#_Constructed latrines_by_WASHAgencies]]+WWWW[[#This Row],['#_Non Cluster partner latrines]])&lt;0,0,WWWW[[#This Row],[Total required Latrines]]-(WWWW[[#This Row],['#_Constructed latrines_by_WASHAgencies]]+WWWW[[#This Row],['#_Non Cluster partner latrines]]))</f>
        <v>2</v>
      </c>
      <c r="CS477" s="878">
        <f>1-WWWW[[#This Row],[% people access to functioning Latrine]]</f>
        <v>1</v>
      </c>
      <c r="CT477" s="875">
        <f>IF(OR(WWWW[[#This Row],['#_Non-functional latrines]]="",WWWW[[#This Row],['#_Non-functional latrines]]=0),0,WWWW[[#This Row],['#_Non-functional latrines]]/(WWWW[[#This Row],['#_Constructed latrines_by_WASHAgencies]]+WWWW[[#This Row],['#_Non Cluster partner latrines]]))</f>
        <v>0</v>
      </c>
      <c r="CU477" s="870">
        <f>IF(500*(WWWW[[#This Row],['#_male hygiene promoters]]+WWWW[[#This Row],['#_female hygiene promoters]])&gt;WWWW[[#This Row],[Total PoP ]],WWWW[[#This Row],[Total PoP ]],500*(WWWW[[#This Row],['#_male hygiene promoters]]+WWWW[[#This Row],['#_female hygiene promoters]]))</f>
        <v>0</v>
      </c>
      <c r="CV477"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77"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77" s="874">
        <f>IF(WWWW[[#This Row],['# People with access to soap]]&gt;WWWW[[#This Row],['# People with access to Sanity Pads]],WWWW[[#This Row],['# People with access to soap]],WWWW[[#This Row],['# People with access to Sanity Pads]])</f>
        <v>0</v>
      </c>
      <c r="CY477"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77" s="876">
        <f>IF(WWWW[[#This Row],[HRP3]]/WWWW[[#This Row],[Total PoP ]]&gt;100%,100%,WWWW[[#This Row],[HRP3]]/WWWW[[#This Row],[Total PoP ]])</f>
        <v>0</v>
      </c>
      <c r="DA477" s="875">
        <f>1-WWWW[[#This Row],[Hygiene Coverage%]]</f>
        <v>1</v>
      </c>
      <c r="DB477" s="872">
        <f>WWWW[[#This Row],['# people reached by regular dedicated hygiene promotion_5]]/WWWW[[#This Row],[Total PoP ]]</f>
        <v>0</v>
      </c>
      <c r="DC477" s="872">
        <f>IF(WWWW[[#This Row],['#_households that received standard amount of soap for this quarter]]/WWWW[[#This Row],[Total HH]]&gt;1,1,WWWW[[#This Row],['#_households that received standard amount of soap for this quarter]]/WWWW[[#This Row],[Total HH]])</f>
        <v>0</v>
      </c>
      <c r="DD477" s="872">
        <f>IF(WWWW[[#This Row],['#_households that received standard amount of sanitary pads for this quarter]]/WWWW[[#This Row],[Total HH]]&gt;1,1,WWWW[[#This Row],['#_households that received standard amount of sanitary pads for this quarter]]/WWWW[[#This Row],[Total HH]])</f>
        <v>0</v>
      </c>
      <c r="DE477" s="874">
        <f>WWWW[[#This Row],['#_Constructed/Existing hand washing stations]]-WWWW[[#This Row],['#_Non-Functional_hand_washing_stations]]</f>
        <v>0</v>
      </c>
      <c r="DF477" s="879" t="e">
        <f>WWWW[[#This Row],[Total HH]]*#REF!</f>
        <v>#REF!</v>
      </c>
      <c r="DG477" s="870">
        <f>IF(WWWW[[#This Row],[Is sufficient soap available for TLS? (Yes/No)]]="yes",WWWW[[#This Row],['#_Constructed/Existing hand washing stations at TLS]],0)</f>
        <v>0</v>
      </c>
      <c r="DH477" s="702">
        <f>IF(WWWW[[#This Row],['# Functional hand washing stations during reporting period]]*100&gt;WWWW[[#This Row],[Total PoP ]],WWWW[[#This Row],[Total PoP ]],WWWW[[#This Row],['# Functional hand washing stations during reporting period]]*100)</f>
        <v>0</v>
      </c>
      <c r="DI477" s="702" t="str">
        <f>IF(WWWW[[#This Row],['#_students at TLS_CFS]]="","No","Yes")</f>
        <v>No</v>
      </c>
      <c r="DJ477" s="873">
        <f>VLOOKUP(WWWW[[#This Row],[Site Name]],SiteDB6[[Site Name]:[CCCM Management]],6,FALSE)</f>
        <v>0</v>
      </c>
      <c r="DK477" s="873">
        <f>VLOOKUP(WWWW[[#This Row],[Site Name]],SiteDB6[[Site Name]:[CCCM Focal Agency]],7,FALSE)</f>
        <v>0</v>
      </c>
      <c r="DL477" s="873" t="str">
        <f>VLOOKUP(WWWW[[#This Row],[Site Name]],SiteDB6[[Site Name]:[Location Type 1]],9,FALSE)</f>
        <v>Temporary location</v>
      </c>
      <c r="DM477" s="873" t="str">
        <f>VLOOKUP(WWWW[[#This Row],[Site Name]],SiteDB6[[Site Name]:[Type of Accommodation]],10,FALSE)</f>
        <v>Temporary location</v>
      </c>
      <c r="DN477" s="873">
        <f>VLOOKUP(WWWW[[#This Row],[Site Name]],SiteDB6[[Site Name]:[Ethnic or GCA/NGCA]],11,FALSE)</f>
        <v>0</v>
      </c>
      <c r="DO477" s="873">
        <f>VLOOKUP(WWWW[[#This Row],[Site Name]],SiteDB6[[Site Name]:[Lat]],12,FALSE)</f>
        <v>0</v>
      </c>
      <c r="DP477" s="873">
        <f>VLOOKUP(WWWW[[#This Row],[Site Name]],SiteDB6[[Site Name]:[Long]],13,FALSE)</f>
        <v>0</v>
      </c>
      <c r="DQ477" s="873">
        <f>VLOOKUP(WWWW[[#This Row],[Site Name]],SiteDB6[[Site Name]:[Pcode]],3,FALSE)</f>
        <v>0</v>
      </c>
      <c r="DR477" s="871" t="str">
        <f t="shared" si="15"/>
        <v>Covered</v>
      </c>
      <c r="DS477" s="871"/>
      <c r="DV477" s="661"/>
    </row>
    <row r="478" spans="1:126">
      <c r="A478" s="637" t="s">
        <v>2525</v>
      </c>
      <c r="B478" s="863" t="s">
        <v>3238</v>
      </c>
      <c r="C478" s="863" t="s">
        <v>3238</v>
      </c>
      <c r="D478" s="864"/>
      <c r="E478" s="865" t="s">
        <v>3013</v>
      </c>
      <c r="F478" s="864" t="s">
        <v>355</v>
      </c>
      <c r="G478" s="866" t="str">
        <f>VLOOKUP(WWWW[[#This Row],[Site Name]],SiteDB6[[Site Name]:[Location Type]],8,FALSE)</f>
        <v>New Temporary Site</v>
      </c>
      <c r="H478" s="864" t="s">
        <v>3213</v>
      </c>
      <c r="I478" s="867">
        <v>298</v>
      </c>
      <c r="J478" s="867">
        <v>1260</v>
      </c>
      <c r="K478" s="868"/>
      <c r="L478" s="869"/>
      <c r="M478" s="867"/>
      <c r="N478" s="867"/>
      <c r="O478" s="867"/>
      <c r="P478" s="867"/>
      <c r="Q478" s="870"/>
      <c r="R478" s="867"/>
      <c r="S478" s="867"/>
      <c r="T478" s="379"/>
      <c r="U478" s="867"/>
      <c r="V478" s="867"/>
      <c r="W478" s="867"/>
      <c r="X478" s="867"/>
      <c r="Y478" s="867"/>
      <c r="Z478" s="867"/>
      <c r="AA478" s="867"/>
      <c r="AB478" s="867"/>
      <c r="AC478" s="867"/>
      <c r="AD478" s="867"/>
      <c r="AE478" s="867"/>
      <c r="AF478" s="867"/>
      <c r="AG478" s="867"/>
      <c r="AH478" s="867"/>
      <c r="AI478" s="867"/>
      <c r="AJ478" s="867"/>
      <c r="AK478" s="867"/>
      <c r="AL478" s="867"/>
      <c r="AM478" s="867"/>
      <c r="AN478" s="867"/>
      <c r="AO478" s="871"/>
      <c r="AP478" s="867">
        <v>20</v>
      </c>
      <c r="AQ478" s="867"/>
      <c r="AR478" s="872"/>
      <c r="AS478" s="867"/>
      <c r="AT478" s="867"/>
      <c r="AU478" s="867"/>
      <c r="AV478" s="867"/>
      <c r="AW478" s="867"/>
      <c r="AX478" s="873"/>
      <c r="AY478" s="871"/>
      <c r="AZ478" s="867"/>
      <c r="BA478" s="867"/>
      <c r="BB478" s="867"/>
      <c r="BC478" s="873"/>
      <c r="BD478" s="867"/>
      <c r="BE478" s="867"/>
      <c r="BF478" s="867"/>
      <c r="BG478" s="867"/>
      <c r="BH478" s="867"/>
      <c r="BI478" s="867"/>
      <c r="BJ478" s="867"/>
      <c r="BK478" s="867"/>
      <c r="BL478" s="867"/>
      <c r="BM478" s="873"/>
      <c r="BN478" s="874"/>
      <c r="BO478" s="872"/>
      <c r="BP478" s="873"/>
      <c r="BQ478" s="875" t="str">
        <f>IFERROR(WWWW[[#This Row],['#_Water sources treated]]/WWWW[[#This Row],['#_Water sources tested for contamination]],"no test")</f>
        <v>no test</v>
      </c>
      <c r="BR478" s="872" t="str">
        <f>IFERROR(WWWW[[#This Row],['#_Household received remediation action due to contamination]]/WWWW[[#This Row],['#_Household water samples tested for contamination]],"no test")</f>
        <v>no test</v>
      </c>
      <c r="BS478" s="874" t="str">
        <f>IF(AND(WWWW[[#This Row],[% of water sources treated]]="no test",WWWW[[#This Row],[% Household received corrective actions]]="no test"),"No Test","Tested")</f>
        <v>No Test</v>
      </c>
      <c r="BT478" s="874">
        <f>WWWW[[#This Row],['#_Constructed/existing protected hand dug well]]-WWWW[[#This Row],['#_Non-functional protected hand dug well]]</f>
        <v>0</v>
      </c>
      <c r="BU478" s="874">
        <f>(WWWW[[#This Row],['#_Constructed/Existing tube wells/boreholes/handpumps_WASH_agency]]+WWWW[[#This Row],['#_Non-Cluster partner water tube-wells/boreholes/handpumps]])-WWWW[[#This Row],['#_Non-functional tube wells/boreholes/handpumps]]</f>
        <v>0</v>
      </c>
      <c r="BV478" s="874">
        <f>WWWW[[#This Row],['#_Constructed/Existingwater storage tank with gravity fed reticulation system]]-WWWW[[#This Row],['#_Non-functional storage tank gravity fed reticulation system]]</f>
        <v>0</v>
      </c>
      <c r="BW478" s="874">
        <f>WWWW[[#This Row],['#_Water boating or water trucking]]</f>
        <v>0</v>
      </c>
      <c r="BX478" s="874">
        <f>WWWW[[#This Row],['#_Constructed/Existing water distribution system from river or natural spring]]</f>
        <v>0</v>
      </c>
      <c r="BY478"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78"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78" s="872">
        <f>IF(WWWW[[#This Row],[Location Type 1]]="Village",WWWW[[#This Row],[Access to safe drinking water for Village]],WWWW[[#This Row],[Access to safe drinking water for Camp]])</f>
        <v>0</v>
      </c>
      <c r="CB478" s="870">
        <f>WWWW[[#This Row],[%Equitable and continuous access to sufficient quantity of safe drinking water]]*WWWW[[#This Row],[Total PoP ]]</f>
        <v>0</v>
      </c>
      <c r="CC478" s="872">
        <f>IF((WWWW[[#This Row],['#_Constructed/Existing protected/fenced ponds]]*250)/WWWW[[#This Row],[Total PoP ]]&gt;1,1,(WWWW[[#This Row],['#_Constructed/Existing protected/fenced ponds]]*250)/WWWW[[#This Row],[Total PoP ]])</f>
        <v>0</v>
      </c>
      <c r="CD478" s="870">
        <f>WWWW[[#This Row],[% Access to unimproved water points]]*WWWW[[#This Row],[Total PoP ]]</f>
        <v>0</v>
      </c>
      <c r="CE478"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78"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78" s="870">
        <f>WWWW[[#This Row],[HRP1]]/500</f>
        <v>0</v>
      </c>
      <c r="CH478" s="876">
        <f>1-WWWW[[#This Row],[% Equitable and continuous access to sufficient quantity of domestic water]]</f>
        <v>1</v>
      </c>
      <c r="CI478" s="870">
        <f>WWWW[[#This Row],[%equitable and continuous access to sufficient quantity of safe drinking and domestic water''s GAP]]*WWWW[[#This Row],[Total PoP ]]</f>
        <v>1260</v>
      </c>
      <c r="CJ478" s="874">
        <f>IF(WWWW[[#This Row],[Total required water points]]-WWWW[[#This Row],['#Water points coverage]]&lt;0,0,WWWW[[#This Row],[Total required water points]]-WWWW[[#This Row],['#Water points coverage]])</f>
        <v>3</v>
      </c>
      <c r="CK478" s="874">
        <f>ROUND(IF(WWWW[[#This Row],[Total PoP ]]&lt;500,1,WWWW[[#This Row],[Total PoP ]]/500),0)</f>
        <v>3</v>
      </c>
      <c r="CL478" s="874">
        <f>(WWWW[[#This Row],['#_Constructed latrines_by_WASHAgencies]]+WWWW[[#This Row],['#_Non Cluster partner latrines]])-WWWW[[#This Row],['#_Non-functional latrines]]</f>
        <v>20</v>
      </c>
      <c r="CM478"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0.79365079365079361</v>
      </c>
      <c r="CN478"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1000</v>
      </c>
      <c r="CO478"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78" s="874">
        <f>IF(WWWW[[#This Row],[Location Type 1]]="Village","NA",IF(WWWW[[#This Row],['#_Constructed/Existing latrines in TLS]]*50&gt;WWWW[[#This Row],['#_students at TLS_CFS]],WWWW[[#This Row],['#_students at TLS_CFS]],(WWWW[[#This Row],['#_Constructed/Existing latrines in TLS]]*50)))</f>
        <v>0</v>
      </c>
      <c r="CQ478" s="874">
        <f>ROUND(IF(WWWW[[#This Row],[Location Type 1]]="camp",WWWW[[#This Row],[Total PoP ]]/20,IF(WWWW[[#This Row],[Location Type 1]]="Temporary Location",WWWW[[#This Row],[Total PoP ]]/50,(WWWW[[#This Row],[Total PoP ]]/6))),0)</f>
        <v>25</v>
      </c>
      <c r="CR478" s="874">
        <f>IF(WWWW[[#This Row],[Total required Latrines]]-(WWWW[[#This Row],['#_Constructed latrines_by_WASHAgencies]]+WWWW[[#This Row],['#_Non Cluster partner latrines]])&lt;0,0,WWWW[[#This Row],[Total required Latrines]]-(WWWW[[#This Row],['#_Constructed latrines_by_WASHAgencies]]+WWWW[[#This Row],['#_Non Cluster partner latrines]]))</f>
        <v>5</v>
      </c>
      <c r="CS478" s="878">
        <f>1-WWWW[[#This Row],[% people access to functioning Latrine]]</f>
        <v>0.20634920634920639</v>
      </c>
      <c r="CT478" s="875">
        <f>IF(OR(WWWW[[#This Row],['#_Non-functional latrines]]="",WWWW[[#This Row],['#_Non-functional latrines]]=0),0,WWWW[[#This Row],['#_Non-functional latrines]]/(WWWW[[#This Row],['#_Constructed latrines_by_WASHAgencies]]+WWWW[[#This Row],['#_Non Cluster partner latrines]]))</f>
        <v>0</v>
      </c>
      <c r="CU478" s="870">
        <f>IF(500*(WWWW[[#This Row],['#_male hygiene promoters]]+WWWW[[#This Row],['#_female hygiene promoters]])&gt;WWWW[[#This Row],[Total PoP ]],WWWW[[#This Row],[Total PoP ]],500*(WWWW[[#This Row],['#_male hygiene promoters]]+WWWW[[#This Row],['#_female hygiene promoters]]))</f>
        <v>0</v>
      </c>
      <c r="CV478"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78"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78" s="874">
        <f>IF(WWWW[[#This Row],['# People with access to soap]]&gt;WWWW[[#This Row],['# People with access to Sanity Pads]],WWWW[[#This Row],['# People with access to soap]],WWWW[[#This Row],['# People with access to Sanity Pads]])</f>
        <v>0</v>
      </c>
      <c r="CY478"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78" s="876">
        <f>IF(WWWW[[#This Row],[HRP3]]/WWWW[[#This Row],[Total PoP ]]&gt;100%,100%,WWWW[[#This Row],[HRP3]]/WWWW[[#This Row],[Total PoP ]])</f>
        <v>0</v>
      </c>
      <c r="DA478" s="875">
        <f>1-WWWW[[#This Row],[Hygiene Coverage%]]</f>
        <v>1</v>
      </c>
      <c r="DB478" s="872">
        <f>WWWW[[#This Row],['# people reached by regular dedicated hygiene promotion_5]]/WWWW[[#This Row],[Total PoP ]]</f>
        <v>0</v>
      </c>
      <c r="DC478" s="872">
        <f>IF(WWWW[[#This Row],['#_households that received standard amount of soap for this quarter]]/WWWW[[#This Row],[Total HH]]&gt;1,1,WWWW[[#This Row],['#_households that received standard amount of soap for this quarter]]/WWWW[[#This Row],[Total HH]])</f>
        <v>0</v>
      </c>
      <c r="DD478" s="872">
        <f>IF(WWWW[[#This Row],['#_households that received standard amount of sanitary pads for this quarter]]/WWWW[[#This Row],[Total HH]]&gt;1,1,WWWW[[#This Row],['#_households that received standard amount of sanitary pads for this quarter]]/WWWW[[#This Row],[Total HH]])</f>
        <v>0</v>
      </c>
      <c r="DE478" s="874">
        <f>WWWW[[#This Row],['#_Constructed/Existing hand washing stations]]-WWWW[[#This Row],['#_Non-Functional_hand_washing_stations]]</f>
        <v>0</v>
      </c>
      <c r="DF478" s="879" t="e">
        <f>WWWW[[#This Row],[Total HH]]*#REF!</f>
        <v>#REF!</v>
      </c>
      <c r="DG478" s="870">
        <f>IF(WWWW[[#This Row],[Is sufficient soap available for TLS? (Yes/No)]]="yes",WWWW[[#This Row],['#_Constructed/Existing hand washing stations at TLS]],0)</f>
        <v>0</v>
      </c>
      <c r="DH478" s="702">
        <f>IF(WWWW[[#This Row],['# Functional hand washing stations during reporting period]]*100&gt;WWWW[[#This Row],[Total PoP ]],WWWW[[#This Row],[Total PoP ]],WWWW[[#This Row],['# Functional hand washing stations during reporting period]]*100)</f>
        <v>0</v>
      </c>
      <c r="DI478" s="702" t="str">
        <f>IF(WWWW[[#This Row],['#_students at TLS_CFS]]="","No","Yes")</f>
        <v>No</v>
      </c>
      <c r="DJ478" s="873">
        <f>VLOOKUP(WWWW[[#This Row],[Site Name]],SiteDB6[[Site Name]:[CCCM Management]],6,FALSE)</f>
        <v>0</v>
      </c>
      <c r="DK478" s="873">
        <f>VLOOKUP(WWWW[[#This Row],[Site Name]],SiteDB6[[Site Name]:[CCCM Focal Agency]],7,FALSE)</f>
        <v>0</v>
      </c>
      <c r="DL478" s="873" t="str">
        <f>VLOOKUP(WWWW[[#This Row],[Site Name]],SiteDB6[[Site Name]:[Location Type 1]],9,FALSE)</f>
        <v>Temporary location</v>
      </c>
      <c r="DM478" s="873" t="str">
        <f>VLOOKUP(WWWW[[#This Row],[Site Name]],SiteDB6[[Site Name]:[Type of Accommodation]],10,FALSE)</f>
        <v>Temporary location</v>
      </c>
      <c r="DN478" s="873">
        <f>VLOOKUP(WWWW[[#This Row],[Site Name]],SiteDB6[[Site Name]:[Ethnic or GCA/NGCA]],11,FALSE)</f>
        <v>0</v>
      </c>
      <c r="DO478" s="873">
        <f>VLOOKUP(WWWW[[#This Row],[Site Name]],SiteDB6[[Site Name]:[Lat]],12,FALSE)</f>
        <v>0</v>
      </c>
      <c r="DP478" s="873">
        <f>VLOOKUP(WWWW[[#This Row],[Site Name]],SiteDB6[[Site Name]:[Long]],13,FALSE)</f>
        <v>0</v>
      </c>
      <c r="DQ478" s="873">
        <f>VLOOKUP(WWWW[[#This Row],[Site Name]],SiteDB6[[Site Name]:[Pcode]],3,FALSE)</f>
        <v>0</v>
      </c>
      <c r="DR478" s="871" t="str">
        <f t="shared" si="15"/>
        <v>Covered</v>
      </c>
      <c r="DS478" s="871"/>
      <c r="DV478" s="661"/>
    </row>
    <row r="479" spans="1:126">
      <c r="A479" s="637" t="s">
        <v>2525</v>
      </c>
      <c r="B479" s="976" t="s">
        <v>317</v>
      </c>
      <c r="C479" s="976" t="s">
        <v>317</v>
      </c>
      <c r="D479" s="864"/>
      <c r="E479" s="865" t="s">
        <v>3014</v>
      </c>
      <c r="F479" s="864" t="s">
        <v>420</v>
      </c>
      <c r="G479" s="866" t="str">
        <f>VLOOKUP(WWWW[[#This Row],[Site Name]],SiteDB6[[Site Name]:[Location Type]],8,FALSE)</f>
        <v>New Temporary Site</v>
      </c>
      <c r="H479" s="864" t="s">
        <v>3214</v>
      </c>
      <c r="I479" s="867">
        <v>10</v>
      </c>
      <c r="J479" s="867">
        <v>25</v>
      </c>
      <c r="K479" s="868"/>
      <c r="L479" s="869"/>
      <c r="M479" s="867"/>
      <c r="N479" s="867"/>
      <c r="O479" s="867"/>
      <c r="P479" s="867"/>
      <c r="Q479" s="870"/>
      <c r="R479" s="867"/>
      <c r="S479" s="867"/>
      <c r="T479" s="379"/>
      <c r="U479" s="867"/>
      <c r="V479" s="867"/>
      <c r="W479" s="867"/>
      <c r="X479" s="867"/>
      <c r="Y479" s="867"/>
      <c r="Z479" s="867"/>
      <c r="AA479" s="867"/>
      <c r="AB479" s="867"/>
      <c r="AC479" s="867"/>
      <c r="AD479" s="867"/>
      <c r="AE479" s="867"/>
      <c r="AF479" s="867"/>
      <c r="AG479" s="867"/>
      <c r="AH479" s="867"/>
      <c r="AI479" s="867"/>
      <c r="AJ479" s="867"/>
      <c r="AK479" s="867"/>
      <c r="AL479" s="867"/>
      <c r="AM479" s="867"/>
      <c r="AN479" s="867"/>
      <c r="AO479" s="871"/>
      <c r="AP479" s="867"/>
      <c r="AQ479" s="867"/>
      <c r="AR479" s="872"/>
      <c r="AS479" s="867"/>
      <c r="AT479" s="867"/>
      <c r="AU479" s="867"/>
      <c r="AV479" s="867"/>
      <c r="AW479" s="867"/>
      <c r="AX479" s="873"/>
      <c r="AY479" s="871"/>
      <c r="AZ479" s="867"/>
      <c r="BA479" s="867"/>
      <c r="BB479" s="867"/>
      <c r="BC479" s="873"/>
      <c r="BD479" s="867"/>
      <c r="BE479" s="867"/>
      <c r="BF479" s="867"/>
      <c r="BG479" s="867"/>
      <c r="BH479" s="867"/>
      <c r="BI479" s="867"/>
      <c r="BJ479" s="867"/>
      <c r="BK479" s="867"/>
      <c r="BL479" s="867"/>
      <c r="BM479" s="873"/>
      <c r="BN479" s="874"/>
      <c r="BO479" s="872"/>
      <c r="BP479" s="873"/>
      <c r="BQ479" s="875" t="str">
        <f>IFERROR(WWWW[[#This Row],['#_Water sources treated]]/WWWW[[#This Row],['#_Water sources tested for contamination]],"no test")</f>
        <v>no test</v>
      </c>
      <c r="BR479" s="872" t="str">
        <f>IFERROR(WWWW[[#This Row],['#_Household received remediation action due to contamination]]/WWWW[[#This Row],['#_Household water samples tested for contamination]],"no test")</f>
        <v>no test</v>
      </c>
      <c r="BS479" s="874" t="str">
        <f>IF(AND(WWWW[[#This Row],[% of water sources treated]]="no test",WWWW[[#This Row],[% Household received corrective actions]]="no test"),"No Test","Tested")</f>
        <v>No Test</v>
      </c>
      <c r="BT479" s="874">
        <f>WWWW[[#This Row],['#_Constructed/existing protected hand dug well]]-WWWW[[#This Row],['#_Non-functional protected hand dug well]]</f>
        <v>0</v>
      </c>
      <c r="BU479" s="874">
        <f>(WWWW[[#This Row],['#_Constructed/Existing tube wells/boreholes/handpumps_WASH_agency]]+WWWW[[#This Row],['#_Non-Cluster partner water tube-wells/boreholes/handpumps]])-WWWW[[#This Row],['#_Non-functional tube wells/boreholes/handpumps]]</f>
        <v>0</v>
      </c>
      <c r="BV479" s="874">
        <f>WWWW[[#This Row],['#_Constructed/Existingwater storage tank with gravity fed reticulation system]]-WWWW[[#This Row],['#_Non-functional storage tank gravity fed reticulation system]]</f>
        <v>0</v>
      </c>
      <c r="BW479" s="874">
        <f>WWWW[[#This Row],['#_Water boating or water trucking]]</f>
        <v>0</v>
      </c>
      <c r="BX479" s="874">
        <f>WWWW[[#This Row],['#_Constructed/Existing water distribution system from river or natural spring]]</f>
        <v>0</v>
      </c>
      <c r="BY479"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79"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79" s="872">
        <f>IF(WWWW[[#This Row],[Location Type 1]]="Village",WWWW[[#This Row],[Access to safe drinking water for Village]],WWWW[[#This Row],[Access to safe drinking water for Camp]])</f>
        <v>0</v>
      </c>
      <c r="CB479" s="870">
        <f>WWWW[[#This Row],[%Equitable and continuous access to sufficient quantity of safe drinking water]]*WWWW[[#This Row],[Total PoP ]]</f>
        <v>0</v>
      </c>
      <c r="CC479" s="872">
        <f>IF((WWWW[[#This Row],['#_Constructed/Existing protected/fenced ponds]]*250)/WWWW[[#This Row],[Total PoP ]]&gt;1,1,(WWWW[[#This Row],['#_Constructed/Existing protected/fenced ponds]]*250)/WWWW[[#This Row],[Total PoP ]])</f>
        <v>0</v>
      </c>
      <c r="CD479" s="870">
        <f>WWWW[[#This Row],[% Access to unimproved water points]]*WWWW[[#This Row],[Total PoP ]]</f>
        <v>0</v>
      </c>
      <c r="CE479"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79"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79" s="870">
        <f>WWWW[[#This Row],[HRP1]]/500</f>
        <v>0</v>
      </c>
      <c r="CH479" s="876">
        <f>1-WWWW[[#This Row],[% Equitable and continuous access to sufficient quantity of domestic water]]</f>
        <v>1</v>
      </c>
      <c r="CI479" s="870">
        <f>WWWW[[#This Row],[%equitable and continuous access to sufficient quantity of safe drinking and domestic water''s GAP]]*WWWW[[#This Row],[Total PoP ]]</f>
        <v>25</v>
      </c>
      <c r="CJ479" s="874">
        <f>IF(WWWW[[#This Row],[Total required water points]]-WWWW[[#This Row],['#Water points coverage]]&lt;0,0,WWWW[[#This Row],[Total required water points]]-WWWW[[#This Row],['#Water points coverage]])</f>
        <v>1</v>
      </c>
      <c r="CK479" s="874">
        <f>ROUND(IF(WWWW[[#This Row],[Total PoP ]]&lt;500,1,WWWW[[#This Row],[Total PoP ]]/500),0)</f>
        <v>1</v>
      </c>
      <c r="CL479" s="874">
        <f>(WWWW[[#This Row],['#_Constructed latrines_by_WASHAgencies]]+WWWW[[#This Row],['#_Non Cluster partner latrines]])-WWWW[[#This Row],['#_Non-functional latrines]]</f>
        <v>0</v>
      </c>
      <c r="CM479"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79"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79"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79" s="874">
        <f>IF(WWWW[[#This Row],[Location Type 1]]="Village","NA",IF(WWWW[[#This Row],['#_Constructed/Existing latrines in TLS]]*50&gt;WWWW[[#This Row],['#_students at TLS_CFS]],WWWW[[#This Row],['#_students at TLS_CFS]],(WWWW[[#This Row],['#_Constructed/Existing latrines in TLS]]*50)))</f>
        <v>0</v>
      </c>
      <c r="CQ479" s="874">
        <f>ROUND(IF(WWWW[[#This Row],[Location Type 1]]="camp",WWWW[[#This Row],[Total PoP ]]/20,IF(WWWW[[#This Row],[Location Type 1]]="Temporary Location",WWWW[[#This Row],[Total PoP ]]/50,(WWWW[[#This Row],[Total PoP ]]/6))),0)</f>
        <v>1</v>
      </c>
      <c r="CR479" s="874">
        <f>IF(WWWW[[#This Row],[Total required Latrines]]-(WWWW[[#This Row],['#_Constructed latrines_by_WASHAgencies]]+WWWW[[#This Row],['#_Non Cluster partner latrines]])&lt;0,0,WWWW[[#This Row],[Total required Latrines]]-(WWWW[[#This Row],['#_Constructed latrines_by_WASHAgencies]]+WWWW[[#This Row],['#_Non Cluster partner latrines]]))</f>
        <v>1</v>
      </c>
      <c r="CS479" s="878">
        <f>1-WWWW[[#This Row],[% people access to functioning Latrine]]</f>
        <v>1</v>
      </c>
      <c r="CT479" s="875">
        <f>IF(OR(WWWW[[#This Row],['#_Non-functional latrines]]="",WWWW[[#This Row],['#_Non-functional latrines]]=0),0,WWWW[[#This Row],['#_Non-functional latrines]]/(WWWW[[#This Row],['#_Constructed latrines_by_WASHAgencies]]+WWWW[[#This Row],['#_Non Cluster partner latrines]]))</f>
        <v>0</v>
      </c>
      <c r="CU479" s="870">
        <f>IF(500*(WWWW[[#This Row],['#_male hygiene promoters]]+WWWW[[#This Row],['#_female hygiene promoters]])&gt;WWWW[[#This Row],[Total PoP ]],WWWW[[#This Row],[Total PoP ]],500*(WWWW[[#This Row],['#_male hygiene promoters]]+WWWW[[#This Row],['#_female hygiene promoters]]))</f>
        <v>0</v>
      </c>
      <c r="CV479"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79"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79" s="874">
        <f>IF(WWWW[[#This Row],['# People with access to soap]]&gt;WWWW[[#This Row],['# People with access to Sanity Pads]],WWWW[[#This Row],['# People with access to soap]],WWWW[[#This Row],['# People with access to Sanity Pads]])</f>
        <v>0</v>
      </c>
      <c r="CY479"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79" s="876">
        <f>IF(WWWW[[#This Row],[HRP3]]/WWWW[[#This Row],[Total PoP ]]&gt;100%,100%,WWWW[[#This Row],[HRP3]]/WWWW[[#This Row],[Total PoP ]])</f>
        <v>0</v>
      </c>
      <c r="DA479" s="875">
        <f>1-WWWW[[#This Row],[Hygiene Coverage%]]</f>
        <v>1</v>
      </c>
      <c r="DB479" s="872">
        <f>WWWW[[#This Row],['# people reached by regular dedicated hygiene promotion_5]]/WWWW[[#This Row],[Total PoP ]]</f>
        <v>0</v>
      </c>
      <c r="DC479" s="872">
        <f>IF(WWWW[[#This Row],['#_households that received standard amount of soap for this quarter]]/WWWW[[#This Row],[Total HH]]&gt;1,1,WWWW[[#This Row],['#_households that received standard amount of soap for this quarter]]/WWWW[[#This Row],[Total HH]])</f>
        <v>0</v>
      </c>
      <c r="DD479" s="872">
        <f>IF(WWWW[[#This Row],['#_households that received standard amount of sanitary pads for this quarter]]/WWWW[[#This Row],[Total HH]]&gt;1,1,WWWW[[#This Row],['#_households that received standard amount of sanitary pads for this quarter]]/WWWW[[#This Row],[Total HH]])</f>
        <v>0</v>
      </c>
      <c r="DE479" s="874">
        <f>WWWW[[#This Row],['#_Constructed/Existing hand washing stations]]-WWWW[[#This Row],['#_Non-Functional_hand_washing_stations]]</f>
        <v>0</v>
      </c>
      <c r="DF479" s="879" t="e">
        <f>WWWW[[#This Row],[Total HH]]*#REF!</f>
        <v>#REF!</v>
      </c>
      <c r="DG479" s="870">
        <f>IF(WWWW[[#This Row],[Is sufficient soap available for TLS? (Yes/No)]]="yes",WWWW[[#This Row],['#_Constructed/Existing hand washing stations at TLS]],0)</f>
        <v>0</v>
      </c>
      <c r="DH479" s="702">
        <f>IF(WWWW[[#This Row],['# Functional hand washing stations during reporting period]]*100&gt;WWWW[[#This Row],[Total PoP ]],WWWW[[#This Row],[Total PoP ]],WWWW[[#This Row],['# Functional hand washing stations during reporting period]]*100)</f>
        <v>0</v>
      </c>
      <c r="DI479" s="702" t="str">
        <f>IF(WWWW[[#This Row],['#_students at TLS_CFS]]="","No","Yes")</f>
        <v>No</v>
      </c>
      <c r="DJ479" s="873">
        <f>VLOOKUP(WWWW[[#This Row],[Site Name]],SiteDB6[[Site Name]:[CCCM Management]],6,FALSE)</f>
        <v>0</v>
      </c>
      <c r="DK479" s="873">
        <f>VLOOKUP(WWWW[[#This Row],[Site Name]],SiteDB6[[Site Name]:[CCCM Focal Agency]],7,FALSE)</f>
        <v>0</v>
      </c>
      <c r="DL479" s="873" t="str">
        <f>VLOOKUP(WWWW[[#This Row],[Site Name]],SiteDB6[[Site Name]:[Location Type 1]],9,FALSE)</f>
        <v>Temporary location</v>
      </c>
      <c r="DM479" s="873" t="str">
        <f>VLOOKUP(WWWW[[#This Row],[Site Name]],SiteDB6[[Site Name]:[Type of Accommodation]],10,FALSE)</f>
        <v>Temporary location</v>
      </c>
      <c r="DN479" s="873">
        <f>VLOOKUP(WWWW[[#This Row],[Site Name]],SiteDB6[[Site Name]:[Ethnic or GCA/NGCA]],11,FALSE)</f>
        <v>0</v>
      </c>
      <c r="DO479" s="873">
        <f>VLOOKUP(WWWW[[#This Row],[Site Name]],SiteDB6[[Site Name]:[Lat]],12,FALSE)</f>
        <v>20.343349456787099</v>
      </c>
      <c r="DP479" s="873">
        <f>VLOOKUP(WWWW[[#This Row],[Site Name]],SiteDB6[[Site Name]:[Long]],13,FALSE)</f>
        <v>93.121322631835895</v>
      </c>
      <c r="DQ479" s="873">
        <f>VLOOKUP(WWWW[[#This Row],[Site Name]],SiteDB6[[Site Name]:[Pcode]],3,FALSE)</f>
        <v>197470</v>
      </c>
      <c r="DR479" s="871" t="str">
        <f t="shared" si="15"/>
        <v>Notcovered</v>
      </c>
      <c r="DS479" s="871"/>
      <c r="DV479" s="661"/>
    </row>
    <row r="480" spans="1:126">
      <c r="A480" s="637" t="s">
        <v>2525</v>
      </c>
      <c r="B480" s="976" t="s">
        <v>317</v>
      </c>
      <c r="C480" s="976" t="s">
        <v>317</v>
      </c>
      <c r="D480" s="864"/>
      <c r="E480" s="865" t="s">
        <v>3014</v>
      </c>
      <c r="F480" s="864" t="s">
        <v>420</v>
      </c>
      <c r="G480" s="866" t="str">
        <f>VLOOKUP(WWWW[[#This Row],[Site Name]],SiteDB6[[Site Name]:[Location Type]],8,FALSE)</f>
        <v>New Temporary Site</v>
      </c>
      <c r="H480" s="864" t="s">
        <v>3215</v>
      </c>
      <c r="I480" s="867">
        <v>19</v>
      </c>
      <c r="J480" s="867">
        <v>45</v>
      </c>
      <c r="K480" s="868"/>
      <c r="L480" s="869"/>
      <c r="M480" s="867"/>
      <c r="N480" s="867"/>
      <c r="O480" s="867"/>
      <c r="P480" s="867"/>
      <c r="Q480" s="870"/>
      <c r="R480" s="867"/>
      <c r="S480" s="867"/>
      <c r="T480" s="908"/>
      <c r="U480" s="867"/>
      <c r="V480" s="867"/>
      <c r="W480" s="867"/>
      <c r="X480" s="867"/>
      <c r="Y480" s="867"/>
      <c r="Z480" s="867"/>
      <c r="AA480" s="867"/>
      <c r="AB480" s="867"/>
      <c r="AC480" s="867"/>
      <c r="AD480" s="867"/>
      <c r="AE480" s="867"/>
      <c r="AF480" s="867"/>
      <c r="AG480" s="867"/>
      <c r="AH480" s="867"/>
      <c r="AI480" s="867"/>
      <c r="AJ480" s="867"/>
      <c r="AK480" s="867"/>
      <c r="AL480" s="867"/>
      <c r="AM480" s="867"/>
      <c r="AN480" s="867"/>
      <c r="AO480" s="871"/>
      <c r="AP480" s="867"/>
      <c r="AQ480" s="867"/>
      <c r="AR480" s="872"/>
      <c r="AS480" s="867"/>
      <c r="AT480" s="867"/>
      <c r="AU480" s="867"/>
      <c r="AV480" s="867"/>
      <c r="AW480" s="867"/>
      <c r="AX480" s="873"/>
      <c r="AY480" s="871"/>
      <c r="AZ480" s="867"/>
      <c r="BA480" s="867"/>
      <c r="BB480" s="867"/>
      <c r="BC480" s="873"/>
      <c r="BD480" s="867"/>
      <c r="BE480" s="867"/>
      <c r="BF480" s="867"/>
      <c r="BG480" s="867"/>
      <c r="BH480" s="867"/>
      <c r="BI480" s="867"/>
      <c r="BJ480" s="867"/>
      <c r="BK480" s="867"/>
      <c r="BL480" s="867"/>
      <c r="BM480" s="873"/>
      <c r="BN480" s="874"/>
      <c r="BO480" s="872"/>
      <c r="BP480" s="873"/>
      <c r="BQ480" s="875" t="str">
        <f>IFERROR(WWWW[[#This Row],['#_Water sources treated]]/WWWW[[#This Row],['#_Water sources tested for contamination]],"no test")</f>
        <v>no test</v>
      </c>
      <c r="BR480" s="872" t="str">
        <f>IFERROR(WWWW[[#This Row],['#_Household received remediation action due to contamination]]/WWWW[[#This Row],['#_Household water samples tested for contamination]],"no test")</f>
        <v>no test</v>
      </c>
      <c r="BS480" s="874" t="str">
        <f>IF(AND(WWWW[[#This Row],[% of water sources treated]]="no test",WWWW[[#This Row],[% Household received corrective actions]]="no test"),"No Test","Tested")</f>
        <v>No Test</v>
      </c>
      <c r="BT480" s="874">
        <f>WWWW[[#This Row],['#_Constructed/existing protected hand dug well]]-WWWW[[#This Row],['#_Non-functional protected hand dug well]]</f>
        <v>0</v>
      </c>
      <c r="BU480" s="874">
        <f>(WWWW[[#This Row],['#_Constructed/Existing tube wells/boreholes/handpumps_WASH_agency]]+WWWW[[#This Row],['#_Non-Cluster partner water tube-wells/boreholes/handpumps]])-WWWW[[#This Row],['#_Non-functional tube wells/boreholes/handpumps]]</f>
        <v>0</v>
      </c>
      <c r="BV480" s="874">
        <f>WWWW[[#This Row],['#_Constructed/Existingwater storage tank with gravity fed reticulation system]]-WWWW[[#This Row],['#_Non-functional storage tank gravity fed reticulation system]]</f>
        <v>0</v>
      </c>
      <c r="BW480" s="874">
        <f>WWWW[[#This Row],['#_Water boating or water trucking]]</f>
        <v>0</v>
      </c>
      <c r="BX480" s="874">
        <f>WWWW[[#This Row],['#_Constructed/Existing water distribution system from river or natural spring]]</f>
        <v>0</v>
      </c>
      <c r="BY480"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80"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80" s="872">
        <f>IF(WWWW[[#This Row],[Location Type 1]]="Village",WWWW[[#This Row],[Access to safe drinking water for Village]],WWWW[[#This Row],[Access to safe drinking water for Camp]])</f>
        <v>0</v>
      </c>
      <c r="CB480" s="870">
        <f>WWWW[[#This Row],[%Equitable and continuous access to sufficient quantity of safe drinking water]]*WWWW[[#This Row],[Total PoP ]]</f>
        <v>0</v>
      </c>
      <c r="CC480" s="872">
        <f>IF((WWWW[[#This Row],['#_Constructed/Existing protected/fenced ponds]]*250)/WWWW[[#This Row],[Total PoP ]]&gt;1,1,(WWWW[[#This Row],['#_Constructed/Existing protected/fenced ponds]]*250)/WWWW[[#This Row],[Total PoP ]])</f>
        <v>0</v>
      </c>
      <c r="CD480" s="870">
        <f>WWWW[[#This Row],[% Access to unimproved water points]]*WWWW[[#This Row],[Total PoP ]]</f>
        <v>0</v>
      </c>
      <c r="CE480"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80"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80" s="870">
        <f>WWWW[[#This Row],[HRP1]]/500</f>
        <v>0</v>
      </c>
      <c r="CH480" s="876">
        <f>1-WWWW[[#This Row],[% Equitable and continuous access to sufficient quantity of domestic water]]</f>
        <v>1</v>
      </c>
      <c r="CI480" s="870">
        <f>WWWW[[#This Row],[%equitable and continuous access to sufficient quantity of safe drinking and domestic water''s GAP]]*WWWW[[#This Row],[Total PoP ]]</f>
        <v>45</v>
      </c>
      <c r="CJ480" s="874">
        <f>IF(WWWW[[#This Row],[Total required water points]]-WWWW[[#This Row],['#Water points coverage]]&lt;0,0,WWWW[[#This Row],[Total required water points]]-WWWW[[#This Row],['#Water points coverage]])</f>
        <v>1</v>
      </c>
      <c r="CK480" s="874">
        <f>ROUND(IF(WWWW[[#This Row],[Total PoP ]]&lt;500,1,WWWW[[#This Row],[Total PoP ]]/500),0)</f>
        <v>1</v>
      </c>
      <c r="CL480" s="874">
        <f>(WWWW[[#This Row],['#_Constructed latrines_by_WASHAgencies]]+WWWW[[#This Row],['#_Non Cluster partner latrines]])-WWWW[[#This Row],['#_Non-functional latrines]]</f>
        <v>0</v>
      </c>
      <c r="CM480"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80"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80"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80" s="874">
        <f>IF(WWWW[[#This Row],[Location Type 1]]="Village","NA",IF(WWWW[[#This Row],['#_Constructed/Existing latrines in TLS]]*50&gt;WWWW[[#This Row],['#_students at TLS_CFS]],WWWW[[#This Row],['#_students at TLS_CFS]],(WWWW[[#This Row],['#_Constructed/Existing latrines in TLS]]*50)))</f>
        <v>0</v>
      </c>
      <c r="CQ480" s="874">
        <f>ROUND(IF(WWWW[[#This Row],[Location Type 1]]="camp",WWWW[[#This Row],[Total PoP ]]/20,IF(WWWW[[#This Row],[Location Type 1]]="Temporary Location",WWWW[[#This Row],[Total PoP ]]/50,(WWWW[[#This Row],[Total PoP ]]/6))),0)</f>
        <v>1</v>
      </c>
      <c r="CR480" s="874">
        <f>IF(WWWW[[#This Row],[Total required Latrines]]-(WWWW[[#This Row],['#_Constructed latrines_by_WASHAgencies]]+WWWW[[#This Row],['#_Non Cluster partner latrines]])&lt;0,0,WWWW[[#This Row],[Total required Latrines]]-(WWWW[[#This Row],['#_Constructed latrines_by_WASHAgencies]]+WWWW[[#This Row],['#_Non Cluster partner latrines]]))</f>
        <v>1</v>
      </c>
      <c r="CS480" s="878">
        <f>1-WWWW[[#This Row],[% people access to functioning Latrine]]</f>
        <v>1</v>
      </c>
      <c r="CT480" s="875">
        <f>IF(OR(WWWW[[#This Row],['#_Non-functional latrines]]="",WWWW[[#This Row],['#_Non-functional latrines]]=0),0,WWWW[[#This Row],['#_Non-functional latrines]]/(WWWW[[#This Row],['#_Constructed latrines_by_WASHAgencies]]+WWWW[[#This Row],['#_Non Cluster partner latrines]]))</f>
        <v>0</v>
      </c>
      <c r="CU480" s="870">
        <f>IF(500*(WWWW[[#This Row],['#_male hygiene promoters]]+WWWW[[#This Row],['#_female hygiene promoters]])&gt;WWWW[[#This Row],[Total PoP ]],WWWW[[#This Row],[Total PoP ]],500*(WWWW[[#This Row],['#_male hygiene promoters]]+WWWW[[#This Row],['#_female hygiene promoters]]))</f>
        <v>0</v>
      </c>
      <c r="CV480"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80"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80" s="874">
        <f>IF(WWWW[[#This Row],['# People with access to soap]]&gt;WWWW[[#This Row],['# People with access to Sanity Pads]],WWWW[[#This Row],['# People with access to soap]],WWWW[[#This Row],['# People with access to Sanity Pads]])</f>
        <v>0</v>
      </c>
      <c r="CY480" s="874">
        <f>IF(WWWW[[#This Row],['# people reached by regular dedicated hygiene promotion_5]]&gt;WWWW[[#This Row],['# People received regular supply of hygiene items_6]],WWWW[[#This Row],['# people reached by regular dedicated hygiene promotion_5]],WWWW[[#This Row],['# People received regular supply of hygiene items_6]])</f>
        <v>0</v>
      </c>
      <c r="CZ480" s="876">
        <f>IF(WWWW[[#This Row],[HRP3]]/WWWW[[#This Row],[Total PoP ]]&gt;100%,100%,WWWW[[#This Row],[HRP3]]/WWWW[[#This Row],[Total PoP ]])</f>
        <v>0</v>
      </c>
      <c r="DA480" s="875">
        <f>1-WWWW[[#This Row],[Hygiene Coverage%]]</f>
        <v>1</v>
      </c>
      <c r="DB480" s="872">
        <f>WWWW[[#This Row],['# people reached by regular dedicated hygiene promotion_5]]/WWWW[[#This Row],[Total PoP ]]</f>
        <v>0</v>
      </c>
      <c r="DC480" s="872">
        <f>IF(WWWW[[#This Row],['#_households that received standard amount of soap for this quarter]]/WWWW[[#This Row],[Total HH]]&gt;1,1,WWWW[[#This Row],['#_households that received standard amount of soap for this quarter]]/WWWW[[#This Row],[Total HH]])</f>
        <v>0</v>
      </c>
      <c r="DD480" s="872">
        <f>IF(WWWW[[#This Row],['#_households that received standard amount of sanitary pads for this quarter]]/WWWW[[#This Row],[Total HH]]&gt;1,1,WWWW[[#This Row],['#_households that received standard amount of sanitary pads for this quarter]]/WWWW[[#This Row],[Total HH]])</f>
        <v>0</v>
      </c>
      <c r="DE480" s="874">
        <f>WWWW[[#This Row],['#_Constructed/Existing hand washing stations]]-WWWW[[#This Row],['#_Non-Functional_hand_washing_stations]]</f>
        <v>0</v>
      </c>
      <c r="DF480" s="879" t="e">
        <f>WWWW[[#This Row],[Total HH]]*#REF!</f>
        <v>#REF!</v>
      </c>
      <c r="DG480" s="870">
        <f>IF(WWWW[[#This Row],[Is sufficient soap available for TLS? (Yes/No)]]="yes",WWWW[[#This Row],['#_Constructed/Existing hand washing stations at TLS]],0)</f>
        <v>0</v>
      </c>
      <c r="DH480" s="702">
        <f>IF(WWWW[[#This Row],['# Functional hand washing stations during reporting period]]*100&gt;WWWW[[#This Row],[Total PoP ]],WWWW[[#This Row],[Total PoP ]],WWWW[[#This Row],['# Functional hand washing stations during reporting period]]*100)</f>
        <v>0</v>
      </c>
      <c r="DI480" s="702" t="str">
        <f>IF(WWWW[[#This Row],['#_students at TLS_CFS]]="","No","Yes")</f>
        <v>No</v>
      </c>
      <c r="DJ480" s="873">
        <f>VLOOKUP(WWWW[[#This Row],[Site Name]],SiteDB6[[Site Name]:[CCCM Management]],6,FALSE)</f>
        <v>0</v>
      </c>
      <c r="DK480" s="873">
        <f>VLOOKUP(WWWW[[#This Row],[Site Name]],SiteDB6[[Site Name]:[CCCM Focal Agency]],7,FALSE)</f>
        <v>0</v>
      </c>
      <c r="DL480" s="873" t="str">
        <f>VLOOKUP(WWWW[[#This Row],[Site Name]],SiteDB6[[Site Name]:[Location Type 1]],9,FALSE)</f>
        <v>Temporary location</v>
      </c>
      <c r="DM480" s="873" t="str">
        <f>VLOOKUP(WWWW[[#This Row],[Site Name]],SiteDB6[[Site Name]:[Type of Accommodation]],10,FALSE)</f>
        <v>Temporary location</v>
      </c>
      <c r="DN480" s="873">
        <f>VLOOKUP(WWWW[[#This Row],[Site Name]],SiteDB6[[Site Name]:[Ethnic or GCA/NGCA]],11,FALSE)</f>
        <v>0</v>
      </c>
      <c r="DO480" s="873">
        <f>VLOOKUP(WWWW[[#This Row],[Site Name]],SiteDB6[[Site Name]:[Lat]],12,FALSE)</f>
        <v>0</v>
      </c>
      <c r="DP480" s="873">
        <f>VLOOKUP(WWWW[[#This Row],[Site Name]],SiteDB6[[Site Name]:[Long]],13,FALSE)</f>
        <v>0</v>
      </c>
      <c r="DQ480" s="873" t="str">
        <f>VLOOKUP(WWWW[[#This Row],[Site Name]],SiteDB6[[Site Name]:[Pcode]],3,FALSE)</f>
        <v>MMR012007701505</v>
      </c>
      <c r="DR480" s="871" t="str">
        <f t="shared" si="15"/>
        <v>Notcovered</v>
      </c>
      <c r="DS480" s="871"/>
      <c r="DV480" s="661"/>
    </row>
    <row r="481" spans="1:138">
      <c r="A481" s="637" t="s">
        <v>2525</v>
      </c>
      <c r="B481" s="863" t="s">
        <v>3239</v>
      </c>
      <c r="C481" s="863" t="s">
        <v>3239</v>
      </c>
      <c r="D481" s="864"/>
      <c r="E481" s="865" t="s">
        <v>3014</v>
      </c>
      <c r="F481" s="864" t="s">
        <v>489</v>
      </c>
      <c r="G481" s="866" t="str">
        <f>VLOOKUP(WWWW[[#This Row],[Site Name]],SiteDB6[[Site Name]:[Location Type]],8,FALSE)</f>
        <v>New Temporary Site</v>
      </c>
      <c r="H481" s="864" t="s">
        <v>3252</v>
      </c>
      <c r="I481" s="867">
        <v>417</v>
      </c>
      <c r="J481" s="867">
        <v>2027</v>
      </c>
      <c r="K481" s="868"/>
      <c r="L481" s="869"/>
      <c r="M481" s="867"/>
      <c r="N481" s="867"/>
      <c r="O481" s="867"/>
      <c r="P481" s="867"/>
      <c r="Q481" s="870"/>
      <c r="R481" s="867"/>
      <c r="S481" s="867"/>
      <c r="T481" s="908"/>
      <c r="U481" s="867"/>
      <c r="V481" s="867"/>
      <c r="W481" s="867"/>
      <c r="X481" s="867"/>
      <c r="Y481" s="867"/>
      <c r="Z481" s="867"/>
      <c r="AA481" s="867"/>
      <c r="AB481" s="867"/>
      <c r="AC481" s="867"/>
      <c r="AD481" s="867"/>
      <c r="AE481" s="867"/>
      <c r="AF481" s="867"/>
      <c r="AG481" s="867"/>
      <c r="AH481" s="867"/>
      <c r="AI481" s="867"/>
      <c r="AJ481" s="867"/>
      <c r="AK481" s="867"/>
      <c r="AL481" s="867"/>
      <c r="AM481" s="867"/>
      <c r="AN481" s="867"/>
      <c r="AO481" s="871"/>
      <c r="AP481" s="867">
        <v>30</v>
      </c>
      <c r="AQ481" s="867"/>
      <c r="AR481" s="872"/>
      <c r="AS481" s="867"/>
      <c r="AT481" s="867"/>
      <c r="AU481" s="867"/>
      <c r="AV481" s="867"/>
      <c r="AW481" s="867"/>
      <c r="AX481" s="873"/>
      <c r="AY481" s="871"/>
      <c r="AZ481" s="867"/>
      <c r="BA481" s="867"/>
      <c r="BB481" s="867"/>
      <c r="BC481" s="873"/>
      <c r="BD481" s="867"/>
      <c r="BE481" s="867"/>
      <c r="BF481" s="867"/>
      <c r="BG481" s="867"/>
      <c r="BH481" s="867"/>
      <c r="BI481" s="867"/>
      <c r="BJ481" s="867"/>
      <c r="BK481" s="867">
        <v>122</v>
      </c>
      <c r="BL481" s="867">
        <v>122</v>
      </c>
      <c r="BM481" s="873"/>
      <c r="BN481" s="874"/>
      <c r="BO481" s="872"/>
      <c r="BP481" s="873"/>
      <c r="BQ481" s="875" t="str">
        <f>IFERROR(WWWW[[#This Row],['#_Water sources treated]]/WWWW[[#This Row],['#_Water sources tested for contamination]],"no test")</f>
        <v>no test</v>
      </c>
      <c r="BR481" s="872" t="str">
        <f>IFERROR(WWWW[[#This Row],['#_Household received remediation action due to contamination]]/WWWW[[#This Row],['#_Household water samples tested for contamination]],"no test")</f>
        <v>no test</v>
      </c>
      <c r="BS481" s="874" t="str">
        <f>IF(AND(WWWW[[#This Row],[% of water sources treated]]="no test",WWWW[[#This Row],[% Household received corrective actions]]="no test"),"No Test","Tested")</f>
        <v>No Test</v>
      </c>
      <c r="BT481" s="874">
        <f>WWWW[[#This Row],['#_Constructed/existing protected hand dug well]]-WWWW[[#This Row],['#_Non-functional protected hand dug well]]</f>
        <v>0</v>
      </c>
      <c r="BU481" s="874">
        <f>(WWWW[[#This Row],['#_Constructed/Existing tube wells/boreholes/handpumps_WASH_agency]]+WWWW[[#This Row],['#_Non-Cluster partner water tube-wells/boreholes/handpumps]])-WWWW[[#This Row],['#_Non-functional tube wells/boreholes/handpumps]]</f>
        <v>0</v>
      </c>
      <c r="BV481" s="874">
        <f>WWWW[[#This Row],['#_Constructed/Existingwater storage tank with gravity fed reticulation system]]-WWWW[[#This Row],['#_Non-functional storage tank gravity fed reticulation system]]</f>
        <v>0</v>
      </c>
      <c r="BW481" s="874">
        <f>WWWW[[#This Row],['#_Water boating or water trucking]]</f>
        <v>0</v>
      </c>
      <c r="BX481" s="874">
        <f>WWWW[[#This Row],['#_Constructed/Existing water distribution system from river or natural spring]]</f>
        <v>0</v>
      </c>
      <c r="BY481"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81"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81" s="872">
        <f>IF(WWWW[[#This Row],[Location Type 1]]="Village",WWWW[[#This Row],[Access to safe drinking water for Village]],WWWW[[#This Row],[Access to safe drinking water for Camp]])</f>
        <v>0</v>
      </c>
      <c r="CB481" s="870">
        <f>WWWW[[#This Row],[%Equitable and continuous access to sufficient quantity of safe drinking water]]*WWWW[[#This Row],[Total PoP ]]</f>
        <v>0</v>
      </c>
      <c r="CC481" s="872">
        <f>IF((WWWW[[#This Row],['#_Constructed/Existing protected/fenced ponds]]*250)/WWWW[[#This Row],[Total PoP ]]&gt;1,1,(WWWW[[#This Row],['#_Constructed/Existing protected/fenced ponds]]*250)/WWWW[[#This Row],[Total PoP ]])</f>
        <v>0</v>
      </c>
      <c r="CD481" s="870">
        <f>WWWW[[#This Row],[% Access to unimproved water points]]*WWWW[[#This Row],[Total PoP ]]</f>
        <v>0</v>
      </c>
      <c r="CE481"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81"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81" s="870">
        <f>WWWW[[#This Row],[HRP1]]/500</f>
        <v>0</v>
      </c>
      <c r="CH481" s="876">
        <f>1-WWWW[[#This Row],[% Equitable and continuous access to sufficient quantity of domestic water]]</f>
        <v>1</v>
      </c>
      <c r="CI481" s="870">
        <f>WWWW[[#This Row],[%equitable and continuous access to sufficient quantity of safe drinking and domestic water''s GAP]]*WWWW[[#This Row],[Total PoP ]]</f>
        <v>2027</v>
      </c>
      <c r="CJ481" s="874">
        <f>IF(WWWW[[#This Row],[Total required water points]]-WWWW[[#This Row],['#Water points coverage]]&lt;0,0,WWWW[[#This Row],[Total required water points]]-WWWW[[#This Row],['#Water points coverage]])</f>
        <v>4</v>
      </c>
      <c r="CK481" s="874">
        <f>ROUND(IF(WWWW[[#This Row],[Total PoP ]]&lt;500,1,WWWW[[#This Row],[Total PoP ]]/500),0)</f>
        <v>4</v>
      </c>
      <c r="CL481" s="874">
        <f>(WWWW[[#This Row],['#_Constructed latrines_by_WASHAgencies]]+WWWW[[#This Row],['#_Non Cluster partner latrines]])-WWWW[[#This Row],['#_Non-functional latrines]]</f>
        <v>30</v>
      </c>
      <c r="CM481"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0.740009866798224</v>
      </c>
      <c r="CN481"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1500</v>
      </c>
      <c r="CO481"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81" s="874">
        <f>IF(WWWW[[#This Row],[Location Type 1]]="Village","NA",IF(WWWW[[#This Row],['#_Constructed/Existing latrines in TLS]]*50&gt;WWWW[[#This Row],['#_students at TLS_CFS]],WWWW[[#This Row],['#_students at TLS_CFS]],(WWWW[[#This Row],['#_Constructed/Existing latrines in TLS]]*50)))</f>
        <v>0</v>
      </c>
      <c r="CQ481" s="874">
        <f>ROUND(IF(WWWW[[#This Row],[Location Type 1]]="camp",WWWW[[#This Row],[Total PoP ]]/20,IF(WWWW[[#This Row],[Location Type 1]]="Temporary Location",WWWW[[#This Row],[Total PoP ]]/50,(WWWW[[#This Row],[Total PoP ]]/6))),0)</f>
        <v>41</v>
      </c>
      <c r="CR481" s="874">
        <f>IF(WWWW[[#This Row],[Total required Latrines]]-(WWWW[[#This Row],['#_Constructed latrines_by_WASHAgencies]]+WWWW[[#This Row],['#_Non Cluster partner latrines]])&lt;0,0,WWWW[[#This Row],[Total required Latrines]]-(WWWW[[#This Row],['#_Constructed latrines_by_WASHAgencies]]+WWWW[[#This Row],['#_Non Cluster partner latrines]]))</f>
        <v>11</v>
      </c>
      <c r="CS481" s="878">
        <f>1-WWWW[[#This Row],[% people access to functioning Latrine]]</f>
        <v>0.259990133201776</v>
      </c>
      <c r="CT481" s="875">
        <f>IF(OR(WWWW[[#This Row],['#_Non-functional latrines]]="",WWWW[[#This Row],['#_Non-functional latrines]]=0),0,WWWW[[#This Row],['#_Non-functional latrines]]/(WWWW[[#This Row],['#_Constructed latrines_by_WASHAgencies]]+WWWW[[#This Row],['#_Non Cluster partner latrines]]))</f>
        <v>0</v>
      </c>
      <c r="CU481" s="870">
        <f>IF(500*(WWWW[[#This Row],['#_male hygiene promoters]]+WWWW[[#This Row],['#_female hygiene promoters]])&gt;WWWW[[#This Row],[Total PoP ]],WWWW[[#This Row],[Total PoP ]],500*(WWWW[[#This Row],['#_male hygiene promoters]]+WWWW[[#This Row],['#_female hygiene promoters]]))</f>
        <v>0</v>
      </c>
      <c r="CV481"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610</v>
      </c>
      <c r="CW481"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610</v>
      </c>
      <c r="CX481" s="874">
        <f>IF(WWWW[[#This Row],['# People with access to soap]]&gt;WWWW[[#This Row],['# People with access to Sanity Pads]],WWWW[[#This Row],['# People with access to soap]],WWWW[[#This Row],['# People with access to Sanity Pads]])</f>
        <v>610</v>
      </c>
      <c r="CY481" s="874">
        <f>IF(WWWW[[#This Row],['# people reached by regular dedicated hygiene promotion_5]]&gt;WWWW[[#This Row],['# People received regular supply of hygiene items_6]],WWWW[[#This Row],['# people reached by regular dedicated hygiene promotion_5]],WWWW[[#This Row],['# People received regular supply of hygiene items_6]])</f>
        <v>610</v>
      </c>
      <c r="CZ481" s="876">
        <f>IF(WWWW[[#This Row],[HRP3]]/WWWW[[#This Row],[Total PoP ]]&gt;100%,100%,WWWW[[#This Row],[HRP3]]/WWWW[[#This Row],[Total PoP ]])</f>
        <v>0.30093734583127774</v>
      </c>
      <c r="DA481" s="875">
        <f>1-WWWW[[#This Row],[Hygiene Coverage%]]</f>
        <v>0.69906265416872226</v>
      </c>
      <c r="DB481" s="872">
        <f>WWWW[[#This Row],['# people reached by regular dedicated hygiene promotion_5]]/WWWW[[#This Row],[Total PoP ]]</f>
        <v>0</v>
      </c>
      <c r="DC481" s="872">
        <f>IF(WWWW[[#This Row],['#_households that received standard amount of soap for this quarter]]/WWWW[[#This Row],[Total HH]]&gt;1,1,WWWW[[#This Row],['#_households that received standard amount of soap for this quarter]]/WWWW[[#This Row],[Total HH]])</f>
        <v>0.29256594724220625</v>
      </c>
      <c r="DD481" s="872">
        <f>IF(WWWW[[#This Row],['#_households that received standard amount of sanitary pads for this quarter]]/WWWW[[#This Row],[Total HH]]&gt;1,1,WWWW[[#This Row],['#_households that received standard amount of sanitary pads for this quarter]]/WWWW[[#This Row],[Total HH]])</f>
        <v>0.29256594724220625</v>
      </c>
      <c r="DE481" s="874">
        <f>WWWW[[#This Row],['#_Constructed/Existing hand washing stations]]-WWWW[[#This Row],['#_Non-Functional_hand_washing_stations]]</f>
        <v>0</v>
      </c>
      <c r="DF481" s="879" t="e">
        <f>WWWW[[#This Row],[Total HH]]*#REF!</f>
        <v>#REF!</v>
      </c>
      <c r="DG481" s="870">
        <f>IF(WWWW[[#This Row],[Is sufficient soap available for TLS? (Yes/No)]]="yes",WWWW[[#This Row],['#_Constructed/Existing hand washing stations at TLS]],0)</f>
        <v>0</v>
      </c>
      <c r="DH481" s="702">
        <f>IF(WWWW[[#This Row],['# Functional hand washing stations during reporting period]]*100&gt;WWWW[[#This Row],[Total PoP ]],WWWW[[#This Row],[Total PoP ]],WWWW[[#This Row],['# Functional hand washing stations during reporting period]]*100)</f>
        <v>0</v>
      </c>
      <c r="DI481" s="702" t="str">
        <f>IF(WWWW[[#This Row],['#_students at TLS_CFS]]="","No","Yes")</f>
        <v>No</v>
      </c>
      <c r="DJ481" s="873">
        <f>VLOOKUP(WWWW[[#This Row],[Site Name]],SiteDB6[[Site Name]:[CCCM Management]],6,FALSE)</f>
        <v>0</v>
      </c>
      <c r="DK481" s="873">
        <f>VLOOKUP(WWWW[[#This Row],[Site Name]],SiteDB6[[Site Name]:[CCCM Focal Agency]],7,FALSE)</f>
        <v>0</v>
      </c>
      <c r="DL481" s="873" t="str">
        <f>VLOOKUP(WWWW[[#This Row],[Site Name]],SiteDB6[[Site Name]:[Location Type 1]],9,FALSE)</f>
        <v>Temporary location</v>
      </c>
      <c r="DM481" s="873" t="str">
        <f>VLOOKUP(WWWW[[#This Row],[Site Name]],SiteDB6[[Site Name]:[Type of Accommodation]],10,FALSE)</f>
        <v>Temporary location</v>
      </c>
      <c r="DN481" s="873">
        <f>VLOOKUP(WWWW[[#This Row],[Site Name]],SiteDB6[[Site Name]:[Ethnic or GCA/NGCA]],11,FALSE)</f>
        <v>0</v>
      </c>
      <c r="DO481" s="873">
        <f>VLOOKUP(WWWW[[#This Row],[Site Name]],SiteDB6[[Site Name]:[Lat]],12,FALSE)</f>
        <v>20.686229705810501</v>
      </c>
      <c r="DP481" s="873">
        <f>VLOOKUP(WWWW[[#This Row],[Site Name]],SiteDB6[[Site Name]:[Long]],13,FALSE)</f>
        <v>93.220001220703097</v>
      </c>
      <c r="DQ481" s="873">
        <f>VLOOKUP(WWWW[[#This Row],[Site Name]],SiteDB6[[Site Name]:[Pcode]],3,FALSE)</f>
        <v>196453</v>
      </c>
      <c r="DR481" s="871" t="str">
        <f t="shared" si="15"/>
        <v>Covered</v>
      </c>
      <c r="DS481" s="871"/>
      <c r="DV481" s="661"/>
    </row>
    <row r="482" spans="1:138">
      <c r="A482" s="637" t="s">
        <v>2525</v>
      </c>
      <c r="B482" s="863" t="s">
        <v>3240</v>
      </c>
      <c r="C482" s="863" t="s">
        <v>3240</v>
      </c>
      <c r="D482" s="864"/>
      <c r="E482" s="865" t="s">
        <v>3014</v>
      </c>
      <c r="F482" s="864" t="s">
        <v>489</v>
      </c>
      <c r="G482" s="866" t="str">
        <f>VLOOKUP(WWWW[[#This Row],[Site Name]],SiteDB6[[Site Name]:[Location Type]],8,FALSE)</f>
        <v>New Temporary Site</v>
      </c>
      <c r="H482" s="864" t="s">
        <v>3251</v>
      </c>
      <c r="I482" s="867">
        <v>446</v>
      </c>
      <c r="J482" s="867">
        <v>2290</v>
      </c>
      <c r="K482" s="868"/>
      <c r="L482" s="869"/>
      <c r="M482" s="867"/>
      <c r="N482" s="867"/>
      <c r="O482" s="867"/>
      <c r="P482" s="867"/>
      <c r="Q482" s="870"/>
      <c r="R482" s="867"/>
      <c r="S482" s="867"/>
      <c r="T482" s="908"/>
      <c r="U482" s="867"/>
      <c r="V482" s="867"/>
      <c r="W482" s="867"/>
      <c r="X482" s="867"/>
      <c r="Y482" s="867"/>
      <c r="Z482" s="867"/>
      <c r="AA482" s="867"/>
      <c r="AB482" s="867"/>
      <c r="AC482" s="867"/>
      <c r="AD482" s="867"/>
      <c r="AE482" s="867"/>
      <c r="AF482" s="867"/>
      <c r="AG482" s="867"/>
      <c r="AH482" s="867"/>
      <c r="AI482" s="867"/>
      <c r="AJ482" s="867"/>
      <c r="AK482" s="867"/>
      <c r="AL482" s="867"/>
      <c r="AM482" s="867"/>
      <c r="AN482" s="867"/>
      <c r="AO482" s="871"/>
      <c r="AP482" s="867"/>
      <c r="AQ482" s="867"/>
      <c r="AR482" s="872"/>
      <c r="AS482" s="867"/>
      <c r="AT482" s="867"/>
      <c r="AU482" s="867"/>
      <c r="AV482" s="867"/>
      <c r="AW482" s="867"/>
      <c r="AX482" s="873"/>
      <c r="AY482" s="871"/>
      <c r="AZ482" s="867"/>
      <c r="BA482" s="867"/>
      <c r="BB482" s="867"/>
      <c r="BC482" s="873"/>
      <c r="BD482" s="867"/>
      <c r="BE482" s="867"/>
      <c r="BF482" s="867"/>
      <c r="BG482" s="867"/>
      <c r="BH482" s="867"/>
      <c r="BI482" s="867"/>
      <c r="BJ482" s="867"/>
      <c r="BK482" s="867">
        <v>100</v>
      </c>
      <c r="BL482" s="867">
        <v>100</v>
      </c>
      <c r="BM482" s="873"/>
      <c r="BN482" s="874"/>
      <c r="BO482" s="872"/>
      <c r="BP482" s="873"/>
      <c r="BQ482" s="875" t="str">
        <f>IFERROR(WWWW[[#This Row],['#_Water sources treated]]/WWWW[[#This Row],['#_Water sources tested for contamination]],"no test")</f>
        <v>no test</v>
      </c>
      <c r="BR482" s="872" t="str">
        <f>IFERROR(WWWW[[#This Row],['#_Household received remediation action due to contamination]]/WWWW[[#This Row],['#_Household water samples tested for contamination]],"no test")</f>
        <v>no test</v>
      </c>
      <c r="BS482" s="874" t="str">
        <f>IF(AND(WWWW[[#This Row],[% of water sources treated]]="no test",WWWW[[#This Row],[% Household received corrective actions]]="no test"),"No Test","Tested")</f>
        <v>No Test</v>
      </c>
      <c r="BT482" s="874">
        <f>WWWW[[#This Row],['#_Constructed/existing protected hand dug well]]-WWWW[[#This Row],['#_Non-functional protected hand dug well]]</f>
        <v>0</v>
      </c>
      <c r="BU482" s="874">
        <f>(WWWW[[#This Row],['#_Constructed/Existing tube wells/boreholes/handpumps_WASH_agency]]+WWWW[[#This Row],['#_Non-Cluster partner water tube-wells/boreholes/handpumps]])-WWWW[[#This Row],['#_Non-functional tube wells/boreholes/handpumps]]</f>
        <v>0</v>
      </c>
      <c r="BV482" s="874">
        <f>WWWW[[#This Row],['#_Constructed/Existingwater storage tank with gravity fed reticulation system]]-WWWW[[#This Row],['#_Non-functional storage tank gravity fed reticulation system]]</f>
        <v>0</v>
      </c>
      <c r="BW482" s="874">
        <f>WWWW[[#This Row],['#_Water boating or water trucking]]</f>
        <v>0</v>
      </c>
      <c r="BX482" s="874">
        <f>WWWW[[#This Row],['#_Constructed/Existing water distribution system from river or natural spring]]</f>
        <v>0</v>
      </c>
      <c r="BY482" s="875">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82" s="875">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82" s="872">
        <f>IF(WWWW[[#This Row],[Location Type 1]]="Village",WWWW[[#This Row],[Access to safe drinking water for Village]],WWWW[[#This Row],[Access to safe drinking water for Camp]])</f>
        <v>0</v>
      </c>
      <c r="CB482" s="870">
        <f>WWWW[[#This Row],[%Equitable and continuous access to sufficient quantity of safe drinking water]]*WWWW[[#This Row],[Total PoP ]]</f>
        <v>0</v>
      </c>
      <c r="CC482" s="872">
        <f>IF((WWWW[[#This Row],['#_Constructed/Existing protected/fenced ponds]]*250)/WWWW[[#This Row],[Total PoP ]]&gt;1,1,(WWWW[[#This Row],['#_Constructed/Existing protected/fenced ponds]]*250)/WWWW[[#This Row],[Total PoP ]])</f>
        <v>0</v>
      </c>
      <c r="CD482" s="870">
        <f>WWWW[[#This Row],[% Access to unimproved water points]]*WWWW[[#This Row],[Total PoP ]]</f>
        <v>0</v>
      </c>
      <c r="CE482" s="872">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482" s="870">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482" s="870">
        <f>WWWW[[#This Row],[HRP1]]/500</f>
        <v>0</v>
      </c>
      <c r="CH482" s="876">
        <f>1-WWWW[[#This Row],[% Equitable and continuous access to sufficient quantity of domestic water]]</f>
        <v>1</v>
      </c>
      <c r="CI482" s="870">
        <f>WWWW[[#This Row],[%equitable and continuous access to sufficient quantity of safe drinking and domestic water''s GAP]]*WWWW[[#This Row],[Total PoP ]]</f>
        <v>2290</v>
      </c>
      <c r="CJ482" s="874">
        <f>IF(WWWW[[#This Row],[Total required water points]]-WWWW[[#This Row],['#Water points coverage]]&lt;0,0,WWWW[[#This Row],[Total required water points]]-WWWW[[#This Row],['#Water points coverage]])</f>
        <v>5</v>
      </c>
      <c r="CK482" s="874">
        <f>ROUND(IF(WWWW[[#This Row],[Total PoP ]]&lt;500,1,WWWW[[#This Row],[Total PoP ]]/500),0)</f>
        <v>5</v>
      </c>
      <c r="CL482" s="874">
        <f>(WWWW[[#This Row],['#_Constructed latrines_by_WASHAgencies]]+WWWW[[#This Row],['#_Non Cluster partner latrines]])-WWWW[[#This Row],['#_Non-functional latrines]]</f>
        <v>0</v>
      </c>
      <c r="CM482" s="713">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82" s="870">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82" s="877">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82" s="874">
        <f>IF(WWWW[[#This Row],[Location Type 1]]="Village","NA",IF(WWWW[[#This Row],['#_Constructed/Existing latrines in TLS]]*50&gt;WWWW[[#This Row],['#_students at TLS_CFS]],WWWW[[#This Row],['#_students at TLS_CFS]],(WWWW[[#This Row],['#_Constructed/Existing latrines in TLS]]*50)))</f>
        <v>0</v>
      </c>
      <c r="CQ482" s="874">
        <f>ROUND(IF(WWWW[[#This Row],[Location Type 1]]="camp",WWWW[[#This Row],[Total PoP ]]/20,IF(WWWW[[#This Row],[Location Type 1]]="Temporary Location",WWWW[[#This Row],[Total PoP ]]/50,(WWWW[[#This Row],[Total PoP ]]/6))),0)</f>
        <v>46</v>
      </c>
      <c r="CR482" s="874">
        <f>IF(WWWW[[#This Row],[Total required Latrines]]-(WWWW[[#This Row],['#_Constructed latrines_by_WASHAgencies]]+WWWW[[#This Row],['#_Non Cluster partner latrines]])&lt;0,0,WWWW[[#This Row],[Total required Latrines]]-(WWWW[[#This Row],['#_Constructed latrines_by_WASHAgencies]]+WWWW[[#This Row],['#_Non Cluster partner latrines]]))</f>
        <v>46</v>
      </c>
      <c r="CS482" s="878">
        <f>1-WWWW[[#This Row],[% people access to functioning Latrine]]</f>
        <v>1</v>
      </c>
      <c r="CT482" s="875">
        <f>IF(OR(WWWW[[#This Row],['#_Non-functional latrines]]="",WWWW[[#This Row],['#_Non-functional latrines]]=0),0,WWWW[[#This Row],['#_Non-functional latrines]]/(WWWW[[#This Row],['#_Constructed latrines_by_WASHAgencies]]+WWWW[[#This Row],['#_Non Cluster partner latrines]]))</f>
        <v>0</v>
      </c>
      <c r="CU482" s="870">
        <f>IF(500*(WWWW[[#This Row],['#_male hygiene promoters]]+WWWW[[#This Row],['#_female hygiene promoters]])&gt;WWWW[[#This Row],[Total PoP ]],WWWW[[#This Row],[Total PoP ]],500*(WWWW[[#This Row],['#_male hygiene promoters]]+WWWW[[#This Row],['#_female hygiene promoters]]))</f>
        <v>0</v>
      </c>
      <c r="CV482" s="874">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500</v>
      </c>
      <c r="CW482" s="874">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500</v>
      </c>
      <c r="CX482" s="874">
        <f>IF(WWWW[[#This Row],['# People with access to soap]]&gt;WWWW[[#This Row],['# People with access to Sanity Pads]],WWWW[[#This Row],['# People with access to soap]],WWWW[[#This Row],['# People with access to Sanity Pads]])</f>
        <v>500</v>
      </c>
      <c r="CY482" s="874">
        <f>IF(WWWW[[#This Row],['# people reached by regular dedicated hygiene promotion_5]]&gt;WWWW[[#This Row],['# People received regular supply of hygiene items_6]],WWWW[[#This Row],['# people reached by regular dedicated hygiene promotion_5]],WWWW[[#This Row],['# People received regular supply of hygiene items_6]])</f>
        <v>500</v>
      </c>
      <c r="CZ482" s="876">
        <f>IF(WWWW[[#This Row],[HRP3]]/WWWW[[#This Row],[Total PoP ]]&gt;100%,100%,WWWW[[#This Row],[HRP3]]/WWWW[[#This Row],[Total PoP ]])</f>
        <v>0.2183406113537118</v>
      </c>
      <c r="DA482" s="875">
        <f>1-WWWW[[#This Row],[Hygiene Coverage%]]</f>
        <v>0.78165938864628814</v>
      </c>
      <c r="DB482" s="872">
        <f>WWWW[[#This Row],['# people reached by regular dedicated hygiene promotion_5]]/WWWW[[#This Row],[Total PoP ]]</f>
        <v>0</v>
      </c>
      <c r="DC482" s="872">
        <f>IF(WWWW[[#This Row],['#_households that received standard amount of soap for this quarter]]/WWWW[[#This Row],[Total HH]]&gt;1,1,WWWW[[#This Row],['#_households that received standard amount of soap for this quarter]]/WWWW[[#This Row],[Total HH]])</f>
        <v>0.22421524663677131</v>
      </c>
      <c r="DD482" s="872">
        <f>IF(WWWW[[#This Row],['#_households that received standard amount of sanitary pads for this quarter]]/WWWW[[#This Row],[Total HH]]&gt;1,1,WWWW[[#This Row],['#_households that received standard amount of sanitary pads for this quarter]]/WWWW[[#This Row],[Total HH]])</f>
        <v>0.22421524663677131</v>
      </c>
      <c r="DE482" s="874">
        <f>WWWW[[#This Row],['#_Constructed/Existing hand washing stations]]-WWWW[[#This Row],['#_Non-Functional_hand_washing_stations]]</f>
        <v>0</v>
      </c>
      <c r="DF482" s="879" t="e">
        <f>WWWW[[#This Row],[Total HH]]*#REF!</f>
        <v>#REF!</v>
      </c>
      <c r="DG482" s="870">
        <f>IF(WWWW[[#This Row],[Is sufficient soap available for TLS? (Yes/No)]]="yes",WWWW[[#This Row],['#_Constructed/Existing hand washing stations at TLS]],0)</f>
        <v>0</v>
      </c>
      <c r="DH482" s="702">
        <f>IF(WWWW[[#This Row],['# Functional hand washing stations during reporting period]]*100&gt;WWWW[[#This Row],[Total PoP ]],WWWW[[#This Row],[Total PoP ]],WWWW[[#This Row],['# Functional hand washing stations during reporting period]]*100)</f>
        <v>0</v>
      </c>
      <c r="DI482" s="702" t="str">
        <f>IF(WWWW[[#This Row],['#_students at TLS_CFS]]="","No","Yes")</f>
        <v>No</v>
      </c>
      <c r="DJ482" s="873">
        <f>VLOOKUP(WWWW[[#This Row],[Site Name]],SiteDB6[[Site Name]:[CCCM Management]],6,FALSE)</f>
        <v>0</v>
      </c>
      <c r="DK482" s="873">
        <f>VLOOKUP(WWWW[[#This Row],[Site Name]],SiteDB6[[Site Name]:[CCCM Focal Agency]],7,FALSE)</f>
        <v>0</v>
      </c>
      <c r="DL482" s="873" t="str">
        <f>VLOOKUP(WWWW[[#This Row],[Site Name]],SiteDB6[[Site Name]:[Location Type 1]],9,FALSE)</f>
        <v>Temporary location</v>
      </c>
      <c r="DM482" s="873" t="str">
        <f>VLOOKUP(WWWW[[#This Row],[Site Name]],SiteDB6[[Site Name]:[Type of Accommodation]],10,FALSE)</f>
        <v>Temporary location</v>
      </c>
      <c r="DN482" s="873">
        <f>VLOOKUP(WWWW[[#This Row],[Site Name]],SiteDB6[[Site Name]:[Ethnic or GCA/NGCA]],11,FALSE)</f>
        <v>0</v>
      </c>
      <c r="DO482" s="873">
        <f>VLOOKUP(WWWW[[#This Row],[Site Name]],SiteDB6[[Site Name]:[Lat]],12,FALSE)</f>
        <v>20.686229705810501</v>
      </c>
      <c r="DP482" s="873">
        <f>VLOOKUP(WWWW[[#This Row],[Site Name]],SiteDB6[[Site Name]:[Long]],13,FALSE)</f>
        <v>93.220001220703097</v>
      </c>
      <c r="DQ482" s="873">
        <f>VLOOKUP(WWWW[[#This Row],[Site Name]],SiteDB6[[Site Name]:[Pcode]],3,FALSE)</f>
        <v>196453</v>
      </c>
      <c r="DR482" s="871" t="str">
        <f t="shared" si="15"/>
        <v>Covered</v>
      </c>
      <c r="DS482" s="871"/>
      <c r="DV482" s="661"/>
    </row>
    <row r="483" spans="1:138" s="911" customFormat="1">
      <c r="A483" s="637" t="s">
        <v>2525</v>
      </c>
      <c r="B483" s="912" t="s">
        <v>3272</v>
      </c>
      <c r="C483" s="912" t="s">
        <v>387</v>
      </c>
      <c r="D483" s="912" t="s">
        <v>252</v>
      </c>
      <c r="E483" s="912" t="s">
        <v>3013</v>
      </c>
      <c r="F483" s="912" t="s">
        <v>337</v>
      </c>
      <c r="G483" s="959" t="str">
        <f>VLOOKUP(WWWW[[#This Row],[Site Name]],SiteDB6[[Site Name]:[Location Type]],8,FALSE)</f>
        <v>Village</v>
      </c>
      <c r="H483" s="977" t="s">
        <v>3274</v>
      </c>
      <c r="I483" s="978">
        <v>38</v>
      </c>
      <c r="J483" s="925">
        <v>184</v>
      </c>
      <c r="K483" s="923">
        <v>43251</v>
      </c>
      <c r="L483" s="923">
        <v>43677</v>
      </c>
      <c r="M483" s="975"/>
      <c r="N483" s="975"/>
      <c r="O483" s="975"/>
      <c r="P483" s="975"/>
      <c r="Q483" s="927"/>
      <c r="R483" s="975"/>
      <c r="S483" s="975"/>
      <c r="T483" s="974">
        <v>0</v>
      </c>
      <c r="U483" s="974">
        <v>0</v>
      </c>
      <c r="V483" s="974">
        <v>0</v>
      </c>
      <c r="W483" s="974">
        <v>1</v>
      </c>
      <c r="X483" s="974">
        <v>2</v>
      </c>
      <c r="Y483" s="974">
        <v>0</v>
      </c>
      <c r="Z483" s="974">
        <v>0</v>
      </c>
      <c r="AA483" s="974">
        <v>0</v>
      </c>
      <c r="AB483" s="974">
        <v>0</v>
      </c>
      <c r="AC483" s="974">
        <v>0</v>
      </c>
      <c r="AD483" s="975"/>
      <c r="AE483" s="974">
        <v>1</v>
      </c>
      <c r="AF483" s="975"/>
      <c r="AG483" s="975"/>
      <c r="AH483" s="974">
        <v>0</v>
      </c>
      <c r="AI483" s="974">
        <v>1</v>
      </c>
      <c r="AJ483" s="974">
        <v>0</v>
      </c>
      <c r="AK483" s="974">
        <v>1</v>
      </c>
      <c r="AL483" s="974">
        <v>1</v>
      </c>
      <c r="AM483" s="974">
        <v>0</v>
      </c>
      <c r="AN483" s="974">
        <v>1</v>
      </c>
      <c r="AO483" s="950"/>
      <c r="AP483" s="925">
        <v>24</v>
      </c>
      <c r="AQ483" s="912">
        <v>0</v>
      </c>
      <c r="AR483" s="917"/>
      <c r="AS483" s="975"/>
      <c r="AT483" s="975"/>
      <c r="AU483" s="975"/>
      <c r="AV483" s="975"/>
      <c r="AW483" s="926">
        <v>24</v>
      </c>
      <c r="AX483" s="926" t="s">
        <v>43</v>
      </c>
      <c r="AY483" s="926" t="s">
        <v>144</v>
      </c>
      <c r="AZ483" s="926">
        <v>0</v>
      </c>
      <c r="BA483" s="975"/>
      <c r="BB483" s="925">
        <v>0</v>
      </c>
      <c r="BC483" s="920"/>
      <c r="BD483" s="975"/>
      <c r="BE483" s="975"/>
      <c r="BF483" s="975"/>
      <c r="BG483" s="975"/>
      <c r="BH483" s="975"/>
      <c r="BI483" s="925">
        <v>1</v>
      </c>
      <c r="BJ483" s="925">
        <v>0</v>
      </c>
      <c r="BK483" s="925">
        <v>38</v>
      </c>
      <c r="BL483" s="925">
        <v>38</v>
      </c>
      <c r="BM483" s="925" t="s">
        <v>144</v>
      </c>
      <c r="BN483" s="925">
        <v>2</v>
      </c>
      <c r="BO483" s="917"/>
      <c r="BP483" s="920"/>
      <c r="BQ483" s="919">
        <f>IFERROR(WWWW[[#This Row],['#_Water sources treated]]/WWWW[[#This Row],['#_Water sources tested for contamination]],"no test")</f>
        <v>0</v>
      </c>
      <c r="BR483" s="917">
        <f>IFERROR(WWWW[[#This Row],['#_Household received remediation action due to contamination]]/WWWW[[#This Row],['#_Household water samples tested for contamination]],"no test")</f>
        <v>1</v>
      </c>
      <c r="BS483" s="918" t="str">
        <f>IF(AND(WWWW[[#This Row],[% of water sources treated]]="no test",WWWW[[#This Row],[% Household received corrective actions]]="no test"),"No Test","Tested")</f>
        <v>Tested</v>
      </c>
      <c r="BT483" s="918">
        <f>WWWW[[#This Row],['#_Constructed/existing protected hand dug well]]-WWWW[[#This Row],['#_Non-functional protected hand dug well]]</f>
        <v>0</v>
      </c>
      <c r="BU483" s="918">
        <f>(WWWW[[#This Row],['#_Constructed/Existing tube wells/boreholes/handpumps_WASH_agency]]+WWWW[[#This Row],['#_Non-Cluster partner water tube-wells/boreholes/handpumps]])-WWWW[[#This Row],['#_Non-functional tube wells/boreholes/handpumps]]</f>
        <v>3</v>
      </c>
      <c r="BV483" s="918">
        <f>WWWW[[#This Row],['#_Constructed/Existingwater storage tank with gravity fed reticulation system]]-WWWW[[#This Row],['#_Non-functional storage tank gravity fed reticulation system]]</f>
        <v>0</v>
      </c>
      <c r="BW483" s="918">
        <f>WWWW[[#This Row],['#_Water boating or water trucking]]</f>
        <v>0</v>
      </c>
      <c r="BX483" s="918">
        <f>WWWW[[#This Row],['#_Constructed/Existing water distribution system from river or natural spring]]</f>
        <v>0</v>
      </c>
      <c r="BY483" s="91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483" s="91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483" s="917">
        <f>IF(WWWW[[#This Row],[Location Type 1]]="Village",WWWW[[#This Row],[Access to safe drinking water for Village]],WWWW[[#This Row],[Access to safe drinking water for Camp]])</f>
        <v>1</v>
      </c>
      <c r="CB483" s="927">
        <f>WWWW[[#This Row],[%Equitable and continuous access to sufficient quantity of safe drinking water]]*WWWW[[#This Row],[Total PoP ]]</f>
        <v>184</v>
      </c>
      <c r="CC483" s="917">
        <f>IF((WWWW[[#This Row],['#_Constructed/Existing protected/fenced ponds]]*250)/WWWW[[#This Row],[Total PoP ]]&gt;1,1,(WWWW[[#This Row],['#_Constructed/Existing protected/fenced ponds]]*250)/WWWW[[#This Row],[Total PoP ]])</f>
        <v>1</v>
      </c>
      <c r="CD483" s="927">
        <f>WWWW[[#This Row],[% Access to unimproved water points]]*WWWW[[#This Row],[Total PoP ]]</f>
        <v>184</v>
      </c>
      <c r="CE483" s="91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483" s="92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184</v>
      </c>
      <c r="CG483" s="903">
        <f>WWWW[[#This Row],[HRP1]]/500</f>
        <v>0.36799999999999999</v>
      </c>
      <c r="CH483" s="916">
        <f>1-WWWW[[#This Row],[% Equitable and continuous access to sufficient quantity of domestic water]]</f>
        <v>0</v>
      </c>
      <c r="CI483" s="927">
        <f>WWWW[[#This Row],[%equitable and continuous access to sufficient quantity of safe drinking and domestic water''s GAP]]*WWWW[[#This Row],[Total PoP ]]</f>
        <v>0</v>
      </c>
      <c r="CJ483" s="918">
        <f>IF(WWWW[[#This Row],[Total required water points]]-WWWW[[#This Row],['#Water points coverage]]&lt;0,0,WWWW[[#This Row],[Total required water points]]-WWWW[[#This Row],['#Water points coverage]])</f>
        <v>0.63200000000000001</v>
      </c>
      <c r="CK483" s="918">
        <f>ROUND(IF(WWWW[[#This Row],[Total PoP ]]&lt;500,1,WWWW[[#This Row],[Total PoP ]]/500),0)</f>
        <v>1</v>
      </c>
      <c r="CL483" s="918">
        <f>(WWWW[[#This Row],['#_Constructed latrines_by_WASHAgencies]]+WWWW[[#This Row],['#_Non Cluster partner latrines]])-WWWW[[#This Row],['#_Non-functional latrines]]</f>
        <v>24</v>
      </c>
      <c r="CM483" s="919">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0.78260869565217395</v>
      </c>
      <c r="CN483" s="927">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144</v>
      </c>
      <c r="CO483" s="930"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483" s="918" t="str">
        <f>IF(WWWW[[#This Row],[Location Type 1]]="Village","NA",IF(WWWW[[#This Row],['#_Constructed/Existing latrines in TLS]]*50&gt;WWWW[[#This Row],['#_students at TLS_CFS]],WWWW[[#This Row],['#_students at TLS_CFS]],(WWWW[[#This Row],['#_Constructed/Existing latrines in TLS]]*50)))</f>
        <v>NA</v>
      </c>
      <c r="CQ483" s="918">
        <f>ROUND(IF(WWWW[[#This Row],[Location Type 1]]="camp",WWWW[[#This Row],[Total PoP ]]/20,IF(WWWW[[#This Row],[Location Type 1]]="Temporary Location",WWWW[[#This Row],[Total PoP ]]/50,(WWWW[[#This Row],[Total PoP ]]/6))),0)</f>
        <v>31</v>
      </c>
      <c r="CR483" s="918">
        <f>IF(WWWW[[#This Row],[Total required Latrines]]-(WWWW[[#This Row],['#_Constructed latrines_by_WASHAgencies]]+WWWW[[#This Row],['#_Non Cluster partner latrines]])&lt;0,0,WWWW[[#This Row],[Total required Latrines]]-(WWWW[[#This Row],['#_Constructed latrines_by_WASHAgencies]]+WWWW[[#This Row],['#_Non Cluster partner latrines]]))</f>
        <v>7</v>
      </c>
      <c r="CS483" s="924">
        <f>1-WWWW[[#This Row],[% people access to functioning Latrine]]</f>
        <v>0.21739130434782605</v>
      </c>
      <c r="CT483" s="919">
        <f>IF(OR(WWWW[[#This Row],['#_Non-functional latrines]]="",WWWW[[#This Row],['#_Non-functional latrines]]=0),0,WWWW[[#This Row],['#_Non-functional latrines]]/(WWWW[[#This Row],['#_Constructed latrines_by_WASHAgencies]]+WWWW[[#This Row],['#_Non Cluster partner latrines]]))</f>
        <v>0</v>
      </c>
      <c r="CU483" s="927">
        <f>IF(500*(WWWW[[#This Row],['#_male hygiene promoters]]+WWWW[[#This Row],['#_female hygiene promoters]])&gt;WWWW[[#This Row],[Total PoP ]],WWWW[[#This Row],[Total PoP ]],500*(WWWW[[#This Row],['#_male hygiene promoters]]+WWWW[[#This Row],['#_female hygiene promoters]]))</f>
        <v>184</v>
      </c>
      <c r="CV483" s="918">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184</v>
      </c>
      <c r="CW483" s="918">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184</v>
      </c>
      <c r="CX483" s="918">
        <f>IF(WWWW[[#This Row],['# People with access to soap]]&gt;WWWW[[#This Row],['# People with access to Sanity Pads]],WWWW[[#This Row],['# People with access to soap]],WWWW[[#This Row],['# People with access to Sanity Pads]])</f>
        <v>184</v>
      </c>
      <c r="CY483" s="918">
        <f>IF(WWWW[[#This Row],['# people reached by regular dedicated hygiene promotion_5]]&gt;WWWW[[#This Row],['# People received regular supply of hygiene items_6]],WWWW[[#This Row],['# people reached by regular dedicated hygiene promotion_5]],WWWW[[#This Row],['# People received regular supply of hygiene items_6]])</f>
        <v>184</v>
      </c>
      <c r="CZ483" s="916">
        <f>IF(WWWW[[#This Row],[HRP3]]/WWWW[[#This Row],[Total PoP ]]&gt;100%,100%,WWWW[[#This Row],[HRP3]]/WWWW[[#This Row],[Total PoP ]])</f>
        <v>1</v>
      </c>
      <c r="DA483" s="919">
        <f>1-WWWW[[#This Row],[Hygiene Coverage%]]</f>
        <v>0</v>
      </c>
      <c r="DB483" s="904">
        <f>WWWW[[#This Row],['# people reached by regular dedicated hygiene promotion_5]]/WWWW[[#This Row],[Total PoP ]]</f>
        <v>1</v>
      </c>
      <c r="DC483" s="904">
        <f>IF(WWWW[[#This Row],['#_households that received standard amount of soap for this quarter]]/WWWW[[#This Row],[Total HH]]&gt;1,1,WWWW[[#This Row],['#_households that received standard amount of soap for this quarter]]/WWWW[[#This Row],[Total HH]])</f>
        <v>1</v>
      </c>
      <c r="DD483" s="904">
        <f>IF(WWWW[[#This Row],['#_households that received standard amount of sanitary pads for this quarter]]/WWWW[[#This Row],[Total HH]]&gt;1,1,WWWW[[#This Row],['#_households that received standard amount of sanitary pads for this quarter]]/WWWW[[#This Row],[Total HH]])</f>
        <v>1</v>
      </c>
      <c r="DE483" s="712">
        <f>WWWW[[#This Row],['#_Constructed/Existing hand washing stations]]-WWWW[[#This Row],['#_Non-Functional_hand_washing_stations]]</f>
        <v>0</v>
      </c>
      <c r="DF483" s="902" t="e">
        <f>WWWW[[#This Row],[Total HH]]*#REF!</f>
        <v>#REF!</v>
      </c>
      <c r="DG483" s="903">
        <f>IF(WWWW[[#This Row],[Is sufficient soap available for TLS? (Yes/No)]]="yes",WWWW[[#This Row],['#_Constructed/Existing hand washing stations at TLS]],0)</f>
        <v>0</v>
      </c>
      <c r="DH483" s="903">
        <f>IF(WWWW[[#This Row],['# Functional hand washing stations during reporting period]]*100&gt;WWWW[[#This Row],[Total PoP ]],WWWW[[#This Row],[Total PoP ]],WWWW[[#This Row],['# Functional hand washing stations during reporting period]]*100)</f>
        <v>0</v>
      </c>
      <c r="DI483" s="903" t="str">
        <f>IF(WWWW[[#This Row],['#_students at TLS_CFS]]="","No","Yes")</f>
        <v>No</v>
      </c>
      <c r="DJ483" s="920">
        <f>VLOOKUP(WWWW[[#This Row],[Site Name]],SiteDB6[[Site Name]:[CCCM Management]],6,FALSE)</f>
        <v>0</v>
      </c>
      <c r="DK483" s="920">
        <f>VLOOKUP(WWWW[[#This Row],[Site Name]],SiteDB6[[Site Name]:[CCCM Focal Agency]],7,FALSE)</f>
        <v>0</v>
      </c>
      <c r="DL483" s="920" t="str">
        <f>VLOOKUP(WWWW[[#This Row],[Site Name]],SiteDB6[[Site Name]:[Location Type 1]],9,FALSE)</f>
        <v>Village</v>
      </c>
      <c r="DM483" s="920" t="str">
        <f>VLOOKUP(WWWW[[#This Row],[Site Name]],SiteDB6[[Site Name]:[Type of Accommodation]],10,FALSE)</f>
        <v>Village</v>
      </c>
      <c r="DN483" s="920">
        <f>VLOOKUP(WWWW[[#This Row],[Site Name]],SiteDB6[[Site Name]:[Ethnic or GCA/NGCA]],11,FALSE)</f>
        <v>0</v>
      </c>
      <c r="DO483" s="920">
        <f>VLOOKUP(WWWW[[#This Row],[Site Name]],SiteDB6[[Site Name]:[Lat]],12,FALSE)</f>
        <v>20.813840866088899</v>
      </c>
      <c r="DP483" s="920">
        <f>VLOOKUP(WWWW[[#This Row],[Site Name]],SiteDB6[[Site Name]:[Long]],13,FALSE)</f>
        <v>92.599952697753906</v>
      </c>
      <c r="DQ483" s="920">
        <f>VLOOKUP(WWWW[[#This Row],[Site Name]],SiteDB6[[Site Name]:[Pcode]],3,FALSE)</f>
        <v>198357</v>
      </c>
      <c r="DR483" s="950" t="str">
        <f t="shared" ref="DR483:DR484" si="16">IF(C483="none","Notcovered","Covered")</f>
        <v>Covered</v>
      </c>
      <c r="DS483" s="950"/>
      <c r="DT483" s="913"/>
      <c r="DU483" s="913"/>
      <c r="DV483" s="938"/>
      <c r="DW483" s="913"/>
      <c r="DX483" s="914"/>
      <c r="DY483" s="914"/>
      <c r="DZ483" s="915"/>
      <c r="EA483" s="915"/>
      <c r="EB483" s="915"/>
      <c r="EC483" s="915"/>
      <c r="ED483" s="915"/>
      <c r="EE483" s="915"/>
      <c r="EF483" s="915"/>
      <c r="EG483" s="915"/>
      <c r="EH483" s="915"/>
    </row>
    <row r="484" spans="1:138" s="911" customFormat="1">
      <c r="A484" s="637" t="s">
        <v>2525</v>
      </c>
      <c r="B484" s="912" t="s">
        <v>3272</v>
      </c>
      <c r="C484" s="912" t="s">
        <v>387</v>
      </c>
      <c r="D484" s="912" t="s">
        <v>252</v>
      </c>
      <c r="E484" s="912" t="s">
        <v>3013</v>
      </c>
      <c r="F484" s="912" t="s">
        <v>337</v>
      </c>
      <c r="G484" s="959" t="str">
        <f>VLOOKUP(WWWW[[#This Row],[Site Name]],SiteDB6[[Site Name]:[Location Type]],8,FALSE)</f>
        <v>New Temporary Site</v>
      </c>
      <c r="H484" s="977" t="s">
        <v>635</v>
      </c>
      <c r="I484" s="978">
        <v>41</v>
      </c>
      <c r="J484" s="925">
        <v>172</v>
      </c>
      <c r="K484" s="923">
        <v>43251</v>
      </c>
      <c r="L484" s="923">
        <v>43677</v>
      </c>
      <c r="M484" s="975"/>
      <c r="N484" s="975"/>
      <c r="O484" s="975"/>
      <c r="P484" s="975"/>
      <c r="Q484" s="927"/>
      <c r="R484" s="975"/>
      <c r="S484" s="975"/>
      <c r="T484" s="974">
        <v>0</v>
      </c>
      <c r="U484" s="974">
        <v>0</v>
      </c>
      <c r="V484" s="974">
        <v>0</v>
      </c>
      <c r="W484" s="974">
        <v>2</v>
      </c>
      <c r="X484" s="974">
        <v>0</v>
      </c>
      <c r="Y484" s="974">
        <v>0</v>
      </c>
      <c r="Z484" s="974">
        <v>0</v>
      </c>
      <c r="AA484" s="974">
        <v>0</v>
      </c>
      <c r="AB484" s="974">
        <v>1</v>
      </c>
      <c r="AC484" s="974">
        <v>0</v>
      </c>
      <c r="AD484" s="975"/>
      <c r="AE484" s="974">
        <v>2</v>
      </c>
      <c r="AF484" s="975"/>
      <c r="AG484" s="975"/>
      <c r="AH484" s="974">
        <v>0</v>
      </c>
      <c r="AI484" s="974">
        <v>1</v>
      </c>
      <c r="AJ484" s="974">
        <v>0</v>
      </c>
      <c r="AK484" s="974">
        <v>1</v>
      </c>
      <c r="AL484" s="974">
        <v>1</v>
      </c>
      <c r="AM484" s="974">
        <v>1</v>
      </c>
      <c r="AN484" s="974">
        <v>1</v>
      </c>
      <c r="AO484" s="950"/>
      <c r="AP484" s="925">
        <v>0</v>
      </c>
      <c r="AQ484" s="912">
        <v>0</v>
      </c>
      <c r="AR484" s="917"/>
      <c r="AS484" s="975"/>
      <c r="AT484" s="975"/>
      <c r="AU484" s="975"/>
      <c r="AV484" s="975"/>
      <c r="AW484" s="926">
        <v>0</v>
      </c>
      <c r="AX484" s="926" t="s">
        <v>144</v>
      </c>
      <c r="AY484" s="926" t="s">
        <v>144</v>
      </c>
      <c r="AZ484" s="926">
        <v>0</v>
      </c>
      <c r="BA484" s="975"/>
      <c r="BB484" s="925">
        <v>6</v>
      </c>
      <c r="BC484" s="920"/>
      <c r="BD484" s="975"/>
      <c r="BE484" s="975"/>
      <c r="BF484" s="975"/>
      <c r="BG484" s="975"/>
      <c r="BH484" s="975"/>
      <c r="BI484" s="925">
        <v>1</v>
      </c>
      <c r="BJ484" s="925">
        <v>1</v>
      </c>
      <c r="BK484" s="925">
        <v>41</v>
      </c>
      <c r="BL484" s="925">
        <v>0</v>
      </c>
      <c r="BM484" s="925" t="s">
        <v>144</v>
      </c>
      <c r="BN484" s="925">
        <v>2</v>
      </c>
      <c r="BO484" s="917"/>
      <c r="BP484" s="920"/>
      <c r="BQ484" s="919">
        <f>IFERROR(WWWW[[#This Row],['#_Water sources treated]]/WWWW[[#This Row],['#_Water sources tested for contamination]],"no test")</f>
        <v>0</v>
      </c>
      <c r="BR484" s="917">
        <f>IFERROR(WWWW[[#This Row],['#_Household received remediation action due to contamination]]/WWWW[[#This Row],['#_Household water samples tested for contamination]],"no test")</f>
        <v>1</v>
      </c>
      <c r="BS484" s="918" t="str">
        <f>IF(AND(WWWW[[#This Row],[% of water sources treated]]="no test",WWWW[[#This Row],[% Household received corrective actions]]="no test"),"No Test","Tested")</f>
        <v>Tested</v>
      </c>
      <c r="BT484" s="918">
        <f>WWWW[[#This Row],['#_Constructed/existing protected hand dug well]]-WWWW[[#This Row],['#_Non-functional protected hand dug well]]</f>
        <v>0</v>
      </c>
      <c r="BU484" s="918">
        <f>(WWWW[[#This Row],['#_Constructed/Existing tube wells/boreholes/handpumps_WASH_agency]]+WWWW[[#This Row],['#_Non-Cluster partner water tube-wells/boreholes/handpumps]])-WWWW[[#This Row],['#_Non-functional tube wells/boreholes/handpumps]]</f>
        <v>2</v>
      </c>
      <c r="BV484" s="918">
        <f>WWWW[[#This Row],['#_Constructed/Existingwater storage tank with gravity fed reticulation system]]-WWWW[[#This Row],['#_Non-functional storage tank gravity fed reticulation system]]</f>
        <v>-1</v>
      </c>
      <c r="BW484" s="918">
        <f>WWWW[[#This Row],['#_Water boating or water trucking]]</f>
        <v>0</v>
      </c>
      <c r="BX484" s="918">
        <f>WWWW[[#This Row],['#_Constructed/Existing water distribution system from river or natural spring]]</f>
        <v>0</v>
      </c>
      <c r="BY484" s="91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484" s="91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484" s="917">
        <f>IF(WWWW[[#This Row],[Location Type 1]]="Village",WWWW[[#This Row],[Access to safe drinking water for Village]],WWWW[[#This Row],[Access to safe drinking water for Camp]])</f>
        <v>1</v>
      </c>
      <c r="CB484" s="927">
        <f>WWWW[[#This Row],[%Equitable and continuous access to sufficient quantity of safe drinking water]]*WWWW[[#This Row],[Total PoP ]]</f>
        <v>172</v>
      </c>
      <c r="CC484" s="917">
        <f>IF((WWWW[[#This Row],['#_Constructed/Existing protected/fenced ponds]]*250)/WWWW[[#This Row],[Total PoP ]]&gt;1,1,(WWWW[[#This Row],['#_Constructed/Existing protected/fenced ponds]]*250)/WWWW[[#This Row],[Total PoP ]])</f>
        <v>1</v>
      </c>
      <c r="CD484" s="927">
        <f>WWWW[[#This Row],[% Access to unimproved water points]]*WWWW[[#This Row],[Total PoP ]]</f>
        <v>172</v>
      </c>
      <c r="CE484" s="91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484" s="92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172</v>
      </c>
      <c r="CG484" s="903">
        <f>WWWW[[#This Row],[HRP1]]/500</f>
        <v>0.34399999999999997</v>
      </c>
      <c r="CH484" s="916">
        <f>1-WWWW[[#This Row],[% Equitable and continuous access to sufficient quantity of domestic water]]</f>
        <v>0</v>
      </c>
      <c r="CI484" s="927">
        <f>WWWW[[#This Row],[%equitable and continuous access to sufficient quantity of safe drinking and domestic water''s GAP]]*WWWW[[#This Row],[Total PoP ]]</f>
        <v>0</v>
      </c>
      <c r="CJ484" s="918">
        <f>IF(WWWW[[#This Row],[Total required water points]]-WWWW[[#This Row],['#Water points coverage]]&lt;0,0,WWWW[[#This Row],[Total required water points]]-WWWW[[#This Row],['#Water points coverage]])</f>
        <v>0.65600000000000003</v>
      </c>
      <c r="CK484" s="918">
        <f>ROUND(IF(WWWW[[#This Row],[Total PoP ]]&lt;500,1,WWWW[[#This Row],[Total PoP ]]/500),0)</f>
        <v>1</v>
      </c>
      <c r="CL484" s="918">
        <f>(WWWW[[#This Row],['#_Constructed latrines_by_WASHAgencies]]+WWWW[[#This Row],['#_Non Cluster partner latrines]])-WWWW[[#This Row],['#_Non-functional latrines]]</f>
        <v>0</v>
      </c>
      <c r="CM484" s="919">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84" s="927">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84" s="930">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484" s="918">
        <f>IF(WWWW[[#This Row],[Location Type 1]]="Village","NA",IF(WWWW[[#This Row],['#_Constructed/Existing latrines in TLS]]*50&gt;WWWW[[#This Row],['#_students at TLS_CFS]],WWWW[[#This Row],['#_students at TLS_CFS]],(WWWW[[#This Row],['#_Constructed/Existing latrines in TLS]]*50)))</f>
        <v>0</v>
      </c>
      <c r="CQ484" s="918">
        <f>ROUND(IF(WWWW[[#This Row],[Location Type 1]]="camp",WWWW[[#This Row],[Total PoP ]]/20,IF(WWWW[[#This Row],[Location Type 1]]="Temporary Location",WWWW[[#This Row],[Total PoP ]]/50,(WWWW[[#This Row],[Total PoP ]]/6))),0)</f>
        <v>3</v>
      </c>
      <c r="CR484" s="918">
        <f>IF(WWWW[[#This Row],[Total required Latrines]]-(WWWW[[#This Row],['#_Constructed latrines_by_WASHAgencies]]+WWWW[[#This Row],['#_Non Cluster partner latrines]])&lt;0,0,WWWW[[#This Row],[Total required Latrines]]-(WWWW[[#This Row],['#_Constructed latrines_by_WASHAgencies]]+WWWW[[#This Row],['#_Non Cluster partner latrines]]))</f>
        <v>3</v>
      </c>
      <c r="CS484" s="924">
        <f>1-WWWW[[#This Row],[% people access to functioning Latrine]]</f>
        <v>1</v>
      </c>
      <c r="CT484" s="919">
        <f>IF(OR(WWWW[[#This Row],['#_Non-functional latrines]]="",WWWW[[#This Row],['#_Non-functional latrines]]=0),0,WWWW[[#This Row],['#_Non-functional latrines]]/(WWWW[[#This Row],['#_Constructed latrines_by_WASHAgencies]]+WWWW[[#This Row],['#_Non Cluster partner latrines]]))</f>
        <v>0</v>
      </c>
      <c r="CU484" s="927">
        <f>IF(500*(WWWW[[#This Row],['#_male hygiene promoters]]+WWWW[[#This Row],['#_female hygiene promoters]])&gt;WWWW[[#This Row],[Total PoP ]],WWWW[[#This Row],[Total PoP ]],500*(WWWW[[#This Row],['#_male hygiene promoters]]+WWWW[[#This Row],['#_female hygiene promoters]]))</f>
        <v>172</v>
      </c>
      <c r="CV484" s="918">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172</v>
      </c>
      <c r="CW484" s="918">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84" s="918">
        <f>IF(WWWW[[#This Row],['# People with access to soap]]&gt;WWWW[[#This Row],['# People with access to Sanity Pads]],WWWW[[#This Row],['# People with access to soap]],WWWW[[#This Row],['# People with access to Sanity Pads]])</f>
        <v>172</v>
      </c>
      <c r="CY484" s="918">
        <f>IF(WWWW[[#This Row],['# people reached by regular dedicated hygiene promotion_5]]&gt;WWWW[[#This Row],['# People received regular supply of hygiene items_6]],WWWW[[#This Row],['# people reached by regular dedicated hygiene promotion_5]],WWWW[[#This Row],['# People received regular supply of hygiene items_6]])</f>
        <v>172</v>
      </c>
      <c r="CZ484" s="916">
        <f>IF(WWWW[[#This Row],[HRP3]]/WWWW[[#This Row],[Total PoP ]]&gt;100%,100%,WWWW[[#This Row],[HRP3]]/WWWW[[#This Row],[Total PoP ]])</f>
        <v>1</v>
      </c>
      <c r="DA484" s="919">
        <f>1-WWWW[[#This Row],[Hygiene Coverage%]]</f>
        <v>0</v>
      </c>
      <c r="DB484" s="904">
        <f>WWWW[[#This Row],['# people reached by regular dedicated hygiene promotion_5]]/WWWW[[#This Row],[Total PoP ]]</f>
        <v>1</v>
      </c>
      <c r="DC484" s="904">
        <f>IF(WWWW[[#This Row],['#_households that received standard amount of soap for this quarter]]/WWWW[[#This Row],[Total HH]]&gt;1,1,WWWW[[#This Row],['#_households that received standard amount of soap for this quarter]]/WWWW[[#This Row],[Total HH]])</f>
        <v>1</v>
      </c>
      <c r="DD484" s="904">
        <f>IF(WWWW[[#This Row],['#_households that received standard amount of sanitary pads for this quarter]]/WWWW[[#This Row],[Total HH]]&gt;1,1,WWWW[[#This Row],['#_households that received standard amount of sanitary pads for this quarter]]/WWWW[[#This Row],[Total HH]])</f>
        <v>0</v>
      </c>
      <c r="DE484" s="712">
        <f>WWWW[[#This Row],['#_Constructed/Existing hand washing stations]]-WWWW[[#This Row],['#_Non-Functional_hand_washing_stations]]</f>
        <v>0</v>
      </c>
      <c r="DF484" s="902" t="e">
        <f>WWWW[[#This Row],[Total HH]]*#REF!</f>
        <v>#REF!</v>
      </c>
      <c r="DG484" s="903">
        <f>IF(WWWW[[#This Row],[Is sufficient soap available for TLS? (Yes/No)]]="yes",WWWW[[#This Row],['#_Constructed/Existing hand washing stations at TLS]],0)</f>
        <v>0</v>
      </c>
      <c r="DH484" s="903">
        <f>IF(WWWW[[#This Row],['# Functional hand washing stations during reporting period]]*100&gt;WWWW[[#This Row],[Total PoP ]],WWWW[[#This Row],[Total PoP ]],WWWW[[#This Row],['# Functional hand washing stations during reporting period]]*100)</f>
        <v>0</v>
      </c>
      <c r="DI484" s="903" t="str">
        <f>IF(WWWW[[#This Row],['#_students at TLS_CFS]]="","No","Yes")</f>
        <v>No</v>
      </c>
      <c r="DJ484" s="920">
        <f>VLOOKUP(WWWW[[#This Row],[Site Name]],SiteDB6[[Site Name]:[CCCM Management]],6,FALSE)</f>
        <v>0</v>
      </c>
      <c r="DK484" s="920">
        <f>VLOOKUP(WWWW[[#This Row],[Site Name]],SiteDB6[[Site Name]:[CCCM Focal Agency]],7,FALSE)</f>
        <v>0</v>
      </c>
      <c r="DL484" s="920" t="str">
        <f>VLOOKUP(WWWW[[#This Row],[Site Name]],SiteDB6[[Site Name]:[Location Type 1]],9,FALSE)</f>
        <v>Temporary location</v>
      </c>
      <c r="DM484" s="920" t="str">
        <f>VLOOKUP(WWWW[[#This Row],[Site Name]],SiteDB6[[Site Name]:[Type of Accommodation]],10,FALSE)</f>
        <v>Temporary location</v>
      </c>
      <c r="DN484" s="920" t="str">
        <f>VLOOKUP(WWWW[[#This Row],[Site Name]],SiteDB6[[Site Name]:[Ethnic or GCA/NGCA]],11,FALSE)</f>
        <v>Rakhine</v>
      </c>
      <c r="DO484" s="920">
        <f>VLOOKUP(WWWW[[#This Row],[Site Name]],SiteDB6[[Site Name]:[Lat]],12,FALSE)</f>
        <v>20.818290709999999</v>
      </c>
      <c r="DP484" s="920">
        <f>VLOOKUP(WWWW[[#This Row],[Site Name]],SiteDB6[[Site Name]:[Long]],13,FALSE)</f>
        <v>92.594978330000004</v>
      </c>
      <c r="DQ484" s="920">
        <f>VLOOKUP(WWWW[[#This Row],[Site Name]],SiteDB6[[Site Name]:[Pcode]],3,FALSE)</f>
        <v>217876</v>
      </c>
      <c r="DR484" s="950" t="str">
        <f t="shared" si="16"/>
        <v>Covered</v>
      </c>
      <c r="DS484" s="950"/>
      <c r="DT484" s="913"/>
      <c r="DU484" s="913"/>
      <c r="DV484" s="938"/>
      <c r="DW484" s="913"/>
      <c r="DX484" s="914"/>
      <c r="DY484" s="914"/>
      <c r="DZ484" s="915"/>
      <c r="EA484" s="915"/>
      <c r="EB484" s="915"/>
      <c r="EC484" s="915"/>
      <c r="ED484" s="915"/>
      <c r="EE484" s="915"/>
      <c r="EF484" s="915"/>
      <c r="EG484" s="915"/>
      <c r="EH484" s="915"/>
    </row>
    <row r="485" spans="1:138" s="911" customFormat="1">
      <c r="A485" s="637" t="s">
        <v>2525</v>
      </c>
      <c r="B485" s="912" t="s">
        <v>3272</v>
      </c>
      <c r="C485" s="912" t="s">
        <v>387</v>
      </c>
      <c r="D485" s="912" t="s">
        <v>252</v>
      </c>
      <c r="E485" s="912" t="s">
        <v>3013</v>
      </c>
      <c r="F485" s="912" t="s">
        <v>337</v>
      </c>
      <c r="G485" s="959" t="str">
        <f>VLOOKUP(WWWW[[#This Row],[Site Name]],SiteDB6[[Site Name]:[Location Type]],8,FALSE)</f>
        <v>Village</v>
      </c>
      <c r="H485" s="977" t="s">
        <v>631</v>
      </c>
      <c r="I485" s="978">
        <v>105</v>
      </c>
      <c r="J485" s="925">
        <v>523</v>
      </c>
      <c r="K485" s="923">
        <v>43251</v>
      </c>
      <c r="L485" s="923">
        <v>43677</v>
      </c>
      <c r="M485" s="975"/>
      <c r="N485" s="975"/>
      <c r="O485" s="975"/>
      <c r="P485" s="975"/>
      <c r="Q485" s="927"/>
      <c r="R485" s="975"/>
      <c r="S485" s="975"/>
      <c r="T485" s="974">
        <v>0</v>
      </c>
      <c r="U485" s="974">
        <v>0</v>
      </c>
      <c r="V485" s="974">
        <v>0</v>
      </c>
      <c r="W485" s="974">
        <v>2</v>
      </c>
      <c r="X485" s="974">
        <v>1</v>
      </c>
      <c r="Y485" s="974">
        <v>0</v>
      </c>
      <c r="Z485" s="974">
        <v>0</v>
      </c>
      <c r="AA485" s="974">
        <v>0</v>
      </c>
      <c r="AB485" s="974">
        <v>0</v>
      </c>
      <c r="AC485" s="974">
        <v>0</v>
      </c>
      <c r="AD485" s="975"/>
      <c r="AE485" s="974">
        <v>1</v>
      </c>
      <c r="AF485" s="975"/>
      <c r="AG485" s="975"/>
      <c r="AH485" s="974">
        <v>0</v>
      </c>
      <c r="AI485" s="974">
        <v>1</v>
      </c>
      <c r="AJ485" s="974">
        <v>0</v>
      </c>
      <c r="AK485" s="974">
        <v>1</v>
      </c>
      <c r="AL485" s="974">
        <v>1</v>
      </c>
      <c r="AM485" s="974">
        <v>0</v>
      </c>
      <c r="AN485" s="974">
        <v>0</v>
      </c>
      <c r="AO485" s="950"/>
      <c r="AP485" s="925">
        <v>0</v>
      </c>
      <c r="AQ485" s="912">
        <v>0</v>
      </c>
      <c r="AR485" s="917"/>
      <c r="AS485" s="975"/>
      <c r="AT485" s="975"/>
      <c r="AU485" s="975"/>
      <c r="AV485" s="975"/>
      <c r="AW485" s="926">
        <v>0</v>
      </c>
      <c r="AX485" s="926" t="s">
        <v>144</v>
      </c>
      <c r="AY485" s="926" t="s">
        <v>148</v>
      </c>
      <c r="AZ485" s="926">
        <v>0</v>
      </c>
      <c r="BA485" s="975"/>
      <c r="BB485" s="925">
        <v>0</v>
      </c>
      <c r="BC485" s="920"/>
      <c r="BD485" s="975"/>
      <c r="BE485" s="975"/>
      <c r="BF485" s="975"/>
      <c r="BG485" s="975"/>
      <c r="BH485" s="975"/>
      <c r="BI485" s="925">
        <v>1</v>
      </c>
      <c r="BJ485" s="925">
        <v>0</v>
      </c>
      <c r="BK485" s="925">
        <v>105</v>
      </c>
      <c r="BL485" s="925">
        <v>0</v>
      </c>
      <c r="BM485" s="925" t="s">
        <v>144</v>
      </c>
      <c r="BN485" s="925">
        <v>1</v>
      </c>
      <c r="BO485" s="917"/>
      <c r="BP485" s="920"/>
      <c r="BQ485" s="919">
        <f>IFERROR(WWWW[[#This Row],['#_Water sources treated]]/WWWW[[#This Row],['#_Water sources tested for contamination]],"no test")</f>
        <v>0</v>
      </c>
      <c r="BR485" s="917">
        <f>IFERROR(WWWW[[#This Row],['#_Household received remediation action due to contamination]]/WWWW[[#This Row],['#_Household water samples tested for contamination]],"no test")</f>
        <v>1</v>
      </c>
      <c r="BS485" s="918" t="str">
        <f>IF(AND(WWWW[[#This Row],[% of water sources treated]]="no test",WWWW[[#This Row],[% Household received corrective actions]]="no test"),"No Test","Tested")</f>
        <v>Tested</v>
      </c>
      <c r="BT485" s="918">
        <f>WWWW[[#This Row],['#_Constructed/existing protected hand dug well]]-WWWW[[#This Row],['#_Non-functional protected hand dug well]]</f>
        <v>0</v>
      </c>
      <c r="BU485" s="918">
        <f>(WWWW[[#This Row],['#_Constructed/Existing tube wells/boreholes/handpumps_WASH_agency]]+WWWW[[#This Row],['#_Non-Cluster partner water tube-wells/boreholes/handpumps]])-WWWW[[#This Row],['#_Non-functional tube wells/boreholes/handpumps]]</f>
        <v>3</v>
      </c>
      <c r="BV485" s="918">
        <f>WWWW[[#This Row],['#_Constructed/Existingwater storage tank with gravity fed reticulation system]]-WWWW[[#This Row],['#_Non-functional storage tank gravity fed reticulation system]]</f>
        <v>0</v>
      </c>
      <c r="BW485" s="918">
        <f>WWWW[[#This Row],['#_Water boating or water trucking]]</f>
        <v>0</v>
      </c>
      <c r="BX485" s="918">
        <f>WWWW[[#This Row],['#_Constructed/Existing water distribution system from river or natural spring]]</f>
        <v>0</v>
      </c>
      <c r="BY485" s="91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485" s="91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485" s="917">
        <f>IF(WWWW[[#This Row],[Location Type 1]]="Village",WWWW[[#This Row],[Access to safe drinking water for Village]],WWWW[[#This Row],[Access to safe drinking water for Camp]])</f>
        <v>1</v>
      </c>
      <c r="CB485" s="927">
        <f>WWWW[[#This Row],[%Equitable and continuous access to sufficient quantity of safe drinking water]]*WWWW[[#This Row],[Total PoP ]]</f>
        <v>523</v>
      </c>
      <c r="CC485" s="917">
        <f>IF((WWWW[[#This Row],['#_Constructed/Existing protected/fenced ponds]]*250)/WWWW[[#This Row],[Total PoP ]]&gt;1,1,(WWWW[[#This Row],['#_Constructed/Existing protected/fenced ponds]]*250)/WWWW[[#This Row],[Total PoP ]])</f>
        <v>0.47801147227533458</v>
      </c>
      <c r="CD485" s="927">
        <f>WWWW[[#This Row],[% Access to unimproved water points]]*WWWW[[#This Row],[Total PoP ]]</f>
        <v>250</v>
      </c>
      <c r="CE485" s="91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485" s="92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523</v>
      </c>
      <c r="CG485" s="903">
        <f>WWWW[[#This Row],[HRP1]]/500</f>
        <v>1.046</v>
      </c>
      <c r="CH485" s="916">
        <f>1-WWWW[[#This Row],[% Equitable and continuous access to sufficient quantity of domestic water]]</f>
        <v>0</v>
      </c>
      <c r="CI485" s="927">
        <f>WWWW[[#This Row],[%equitable and continuous access to sufficient quantity of safe drinking and domestic water''s GAP]]*WWWW[[#This Row],[Total PoP ]]</f>
        <v>0</v>
      </c>
      <c r="CJ485" s="918">
        <f>IF(WWWW[[#This Row],[Total required water points]]-WWWW[[#This Row],['#Water points coverage]]&lt;0,0,WWWW[[#This Row],[Total required water points]]-WWWW[[#This Row],['#Water points coverage]])</f>
        <v>0</v>
      </c>
      <c r="CK485" s="918">
        <f>ROUND(IF(WWWW[[#This Row],[Total PoP ]]&lt;500,1,WWWW[[#This Row],[Total PoP ]]/500),0)</f>
        <v>1</v>
      </c>
      <c r="CL485" s="918">
        <f>(WWWW[[#This Row],['#_Constructed latrines_by_WASHAgencies]]+WWWW[[#This Row],['#_Non Cluster partner latrines]])-WWWW[[#This Row],['#_Non-functional latrines]]</f>
        <v>0</v>
      </c>
      <c r="CM485" s="919">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85" s="927">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85" s="930"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485" s="918" t="str">
        <f>IF(WWWW[[#This Row],[Location Type 1]]="Village","NA",IF(WWWW[[#This Row],['#_Constructed/Existing latrines in TLS]]*50&gt;WWWW[[#This Row],['#_students at TLS_CFS]],WWWW[[#This Row],['#_students at TLS_CFS]],(WWWW[[#This Row],['#_Constructed/Existing latrines in TLS]]*50)))</f>
        <v>NA</v>
      </c>
      <c r="CQ485" s="918">
        <f>ROUND(IF(WWWW[[#This Row],[Location Type 1]]="camp",WWWW[[#This Row],[Total PoP ]]/20,IF(WWWW[[#This Row],[Location Type 1]]="Temporary Location",WWWW[[#This Row],[Total PoP ]]/50,(WWWW[[#This Row],[Total PoP ]]/6))),0)</f>
        <v>87</v>
      </c>
      <c r="CR485" s="918">
        <f>IF(WWWW[[#This Row],[Total required Latrines]]-(WWWW[[#This Row],['#_Constructed latrines_by_WASHAgencies]]+WWWW[[#This Row],['#_Non Cluster partner latrines]])&lt;0,0,WWWW[[#This Row],[Total required Latrines]]-(WWWW[[#This Row],['#_Constructed latrines_by_WASHAgencies]]+WWWW[[#This Row],['#_Non Cluster partner latrines]]))</f>
        <v>87</v>
      </c>
      <c r="CS485" s="924">
        <f>1-WWWW[[#This Row],[% people access to functioning Latrine]]</f>
        <v>1</v>
      </c>
      <c r="CT485" s="919">
        <f>IF(OR(WWWW[[#This Row],['#_Non-functional latrines]]="",WWWW[[#This Row],['#_Non-functional latrines]]=0),0,WWWW[[#This Row],['#_Non-functional latrines]]/(WWWW[[#This Row],['#_Constructed latrines_by_WASHAgencies]]+WWWW[[#This Row],['#_Non Cluster partner latrines]]))</f>
        <v>0</v>
      </c>
      <c r="CU485" s="927">
        <f>IF(500*(WWWW[[#This Row],['#_male hygiene promoters]]+WWWW[[#This Row],['#_female hygiene promoters]])&gt;WWWW[[#This Row],[Total PoP ]],WWWW[[#This Row],[Total PoP ]],500*(WWWW[[#This Row],['#_male hygiene promoters]]+WWWW[[#This Row],['#_female hygiene promoters]]))</f>
        <v>500</v>
      </c>
      <c r="CV485" s="918">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523</v>
      </c>
      <c r="CW485" s="918">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85" s="918">
        <f>IF(WWWW[[#This Row],['# People with access to soap]]&gt;WWWW[[#This Row],['# People with access to Sanity Pads]],WWWW[[#This Row],['# People with access to soap]],WWWW[[#This Row],['# People with access to Sanity Pads]])</f>
        <v>523</v>
      </c>
      <c r="CY485" s="918">
        <f>IF(WWWW[[#This Row],['# people reached by regular dedicated hygiene promotion_5]]&gt;WWWW[[#This Row],['# People received regular supply of hygiene items_6]],WWWW[[#This Row],['# people reached by regular dedicated hygiene promotion_5]],WWWW[[#This Row],['# People received regular supply of hygiene items_6]])</f>
        <v>523</v>
      </c>
      <c r="CZ485" s="916">
        <f>IF(WWWW[[#This Row],[HRP3]]/WWWW[[#This Row],[Total PoP ]]&gt;100%,100%,WWWW[[#This Row],[HRP3]]/WWWW[[#This Row],[Total PoP ]])</f>
        <v>1</v>
      </c>
      <c r="DA485" s="919">
        <f>1-WWWW[[#This Row],[Hygiene Coverage%]]</f>
        <v>0</v>
      </c>
      <c r="DB485" s="904">
        <f>WWWW[[#This Row],['# people reached by regular dedicated hygiene promotion_5]]/WWWW[[#This Row],[Total PoP ]]</f>
        <v>0.95602294455066916</v>
      </c>
      <c r="DC485" s="904">
        <f>IF(WWWW[[#This Row],['#_households that received standard amount of soap for this quarter]]/WWWW[[#This Row],[Total HH]]&gt;1,1,WWWW[[#This Row],['#_households that received standard amount of soap for this quarter]]/WWWW[[#This Row],[Total HH]])</f>
        <v>1</v>
      </c>
      <c r="DD485" s="904">
        <f>IF(WWWW[[#This Row],['#_households that received standard amount of sanitary pads for this quarter]]/WWWW[[#This Row],[Total HH]]&gt;1,1,WWWW[[#This Row],['#_households that received standard amount of sanitary pads for this quarter]]/WWWW[[#This Row],[Total HH]])</f>
        <v>0</v>
      </c>
      <c r="DE485" s="712">
        <f>WWWW[[#This Row],['#_Constructed/Existing hand washing stations]]-WWWW[[#This Row],['#_Non-Functional_hand_washing_stations]]</f>
        <v>0</v>
      </c>
      <c r="DF485" s="902" t="e">
        <f>WWWW[[#This Row],[Total HH]]*#REF!</f>
        <v>#REF!</v>
      </c>
      <c r="DG485" s="903">
        <f>IF(WWWW[[#This Row],[Is sufficient soap available for TLS? (Yes/No)]]="yes",WWWW[[#This Row],['#_Constructed/Existing hand washing stations at TLS]],0)</f>
        <v>0</v>
      </c>
      <c r="DH485" s="903">
        <f>IF(WWWW[[#This Row],['# Functional hand washing stations during reporting period]]*100&gt;WWWW[[#This Row],[Total PoP ]],WWWW[[#This Row],[Total PoP ]],WWWW[[#This Row],['# Functional hand washing stations during reporting period]]*100)</f>
        <v>0</v>
      </c>
      <c r="DI485" s="903" t="str">
        <f>IF(WWWW[[#This Row],['#_students at TLS_CFS]]="","No","Yes")</f>
        <v>No</v>
      </c>
      <c r="DJ485" s="920">
        <f>VLOOKUP(WWWW[[#This Row],[Site Name]],SiteDB6[[Site Name]:[CCCM Management]],6,FALSE)</f>
        <v>0</v>
      </c>
      <c r="DK485" s="920">
        <f>VLOOKUP(WWWW[[#This Row],[Site Name]],SiteDB6[[Site Name]:[CCCM Focal Agency]],7,FALSE)</f>
        <v>0</v>
      </c>
      <c r="DL485" s="920" t="str">
        <f>VLOOKUP(WWWW[[#This Row],[Site Name]],SiteDB6[[Site Name]:[Location Type 1]],9,FALSE)</f>
        <v>Village</v>
      </c>
      <c r="DM485" s="920" t="str">
        <f>VLOOKUP(WWWW[[#This Row],[Site Name]],SiteDB6[[Site Name]:[Type of Accommodation]],10,FALSE)</f>
        <v>Village</v>
      </c>
      <c r="DN485" s="920" t="str">
        <f>VLOOKUP(WWWW[[#This Row],[Site Name]],SiteDB6[[Site Name]:[Ethnic or GCA/NGCA]],11,FALSE)</f>
        <v>Muslim</v>
      </c>
      <c r="DO485" s="920">
        <f>VLOOKUP(WWWW[[#This Row],[Site Name]],SiteDB6[[Site Name]:[Lat]],12,FALSE)</f>
        <v>20.806030270000001</v>
      </c>
      <c r="DP485" s="920">
        <f>VLOOKUP(WWWW[[#This Row],[Site Name]],SiteDB6[[Site Name]:[Long]],13,FALSE)</f>
        <v>92.601951600000007</v>
      </c>
      <c r="DQ485" s="920">
        <f>VLOOKUP(WWWW[[#This Row],[Site Name]],SiteDB6[[Site Name]:[Pcode]],3,FALSE)</f>
        <v>198369</v>
      </c>
      <c r="DR485" s="950" t="str">
        <f t="shared" ref="DR485:DR504" si="17">IF(C485="none","Notcovered","Covered")</f>
        <v>Covered</v>
      </c>
      <c r="DS485" s="950"/>
      <c r="DT485" s="913"/>
      <c r="DU485" s="913"/>
      <c r="DV485" s="938"/>
      <c r="DW485" s="913"/>
      <c r="DX485" s="914"/>
      <c r="DY485" s="914"/>
      <c r="DZ485" s="915"/>
      <c r="EA485" s="915"/>
      <c r="EB485" s="915"/>
      <c r="EC485" s="915"/>
      <c r="ED485" s="915"/>
      <c r="EE485" s="915"/>
      <c r="EF485" s="915"/>
      <c r="EG485" s="915"/>
      <c r="EH485" s="915"/>
    </row>
    <row r="486" spans="1:138" s="911" customFormat="1">
      <c r="A486" s="637" t="s">
        <v>2525</v>
      </c>
      <c r="B486" s="912" t="s">
        <v>3272</v>
      </c>
      <c r="C486" s="912" t="s">
        <v>387</v>
      </c>
      <c r="D486" s="912" t="s">
        <v>252</v>
      </c>
      <c r="E486" s="912" t="s">
        <v>3013</v>
      </c>
      <c r="F486" s="912" t="s">
        <v>337</v>
      </c>
      <c r="G486" s="959" t="str">
        <f>VLOOKUP(WWWW[[#This Row],[Site Name]],SiteDB6[[Site Name]:[Location Type]],8,FALSE)</f>
        <v>Village</v>
      </c>
      <c r="H486" s="977" t="s">
        <v>3267</v>
      </c>
      <c r="I486" s="979">
        <v>311</v>
      </c>
      <c r="J486" s="925">
        <v>1713</v>
      </c>
      <c r="K486" s="923">
        <v>43251</v>
      </c>
      <c r="L486" s="923">
        <v>43677</v>
      </c>
      <c r="M486" s="975"/>
      <c r="N486" s="975"/>
      <c r="O486" s="975"/>
      <c r="P486" s="975"/>
      <c r="Q486" s="927"/>
      <c r="R486" s="975"/>
      <c r="S486" s="975"/>
      <c r="T486" s="974">
        <v>3</v>
      </c>
      <c r="U486" s="974">
        <v>0</v>
      </c>
      <c r="V486" s="974">
        <v>0</v>
      </c>
      <c r="W486" s="974">
        <v>0</v>
      </c>
      <c r="X486" s="974">
        <v>0</v>
      </c>
      <c r="Y486" s="974">
        <v>0</v>
      </c>
      <c r="Z486" s="974">
        <v>0</v>
      </c>
      <c r="AA486" s="974">
        <v>1</v>
      </c>
      <c r="AB486" s="974">
        <v>0</v>
      </c>
      <c r="AC486" s="974">
        <v>1</v>
      </c>
      <c r="AD486" s="975"/>
      <c r="AE486" s="974">
        <v>2</v>
      </c>
      <c r="AF486" s="975"/>
      <c r="AG486" s="975"/>
      <c r="AH486" s="974">
        <v>1</v>
      </c>
      <c r="AI486" s="974">
        <v>1</v>
      </c>
      <c r="AJ486" s="974">
        <v>0</v>
      </c>
      <c r="AK486" s="974">
        <v>1</v>
      </c>
      <c r="AL486" s="974">
        <v>1</v>
      </c>
      <c r="AM486" s="974">
        <v>1</v>
      </c>
      <c r="AN486" s="974">
        <v>1</v>
      </c>
      <c r="AO486" s="950"/>
      <c r="AP486" s="925">
        <v>0</v>
      </c>
      <c r="AQ486" s="912">
        <v>2</v>
      </c>
      <c r="AR486" s="917"/>
      <c r="AS486" s="975"/>
      <c r="AT486" s="975"/>
      <c r="AU486" s="975"/>
      <c r="AV486" s="975"/>
      <c r="AW486" s="926">
        <v>0</v>
      </c>
      <c r="AX486" s="926" t="s">
        <v>144</v>
      </c>
      <c r="AY486" s="926" t="s">
        <v>1200</v>
      </c>
      <c r="AZ486" s="926">
        <v>2</v>
      </c>
      <c r="BA486" s="975"/>
      <c r="BB486" s="925">
        <v>8</v>
      </c>
      <c r="BC486" s="920"/>
      <c r="BD486" s="975"/>
      <c r="BE486" s="975"/>
      <c r="BF486" s="975"/>
      <c r="BG486" s="975"/>
      <c r="BH486" s="975"/>
      <c r="BI486" s="925">
        <v>1</v>
      </c>
      <c r="BJ486" s="925">
        <v>2</v>
      </c>
      <c r="BK486" s="925">
        <v>311</v>
      </c>
      <c r="BL486" s="925">
        <v>0</v>
      </c>
      <c r="BM486" s="925" t="s">
        <v>144</v>
      </c>
      <c r="BN486" s="925">
        <v>1</v>
      </c>
      <c r="BO486" s="917"/>
      <c r="BP486" s="920"/>
      <c r="BQ486" s="919">
        <f>IFERROR(WWWW[[#This Row],['#_Water sources treated]]/WWWW[[#This Row],['#_Water sources tested for contamination]],"no test")</f>
        <v>0</v>
      </c>
      <c r="BR486" s="917">
        <f>IFERROR(WWWW[[#This Row],['#_Household received remediation action due to contamination]]/WWWW[[#This Row],['#_Household water samples tested for contamination]],"no test")</f>
        <v>1</v>
      </c>
      <c r="BS486" s="918" t="str">
        <f>IF(AND(WWWW[[#This Row],[% of water sources treated]]="no test",WWWW[[#This Row],[% Household received corrective actions]]="no test"),"No Test","Tested")</f>
        <v>Tested</v>
      </c>
      <c r="BT486" s="918">
        <f>WWWW[[#This Row],['#_Constructed/existing protected hand dug well]]-WWWW[[#This Row],['#_Non-functional protected hand dug well]]</f>
        <v>3</v>
      </c>
      <c r="BU486" s="918">
        <f>(WWWW[[#This Row],['#_Constructed/Existing tube wells/boreholes/handpumps_WASH_agency]]+WWWW[[#This Row],['#_Non-Cluster partner water tube-wells/boreholes/handpumps]])-WWWW[[#This Row],['#_Non-functional tube wells/boreholes/handpumps]]</f>
        <v>0</v>
      </c>
      <c r="BV486" s="918">
        <f>WWWW[[#This Row],['#_Constructed/Existingwater storage tank with gravity fed reticulation system]]-WWWW[[#This Row],['#_Non-functional storage tank gravity fed reticulation system]]</f>
        <v>1</v>
      </c>
      <c r="BW486" s="918">
        <f>WWWW[[#This Row],['#_Water boating or water trucking]]</f>
        <v>0</v>
      </c>
      <c r="BX486" s="918">
        <f>WWWW[[#This Row],['#_Constructed/Existing water distribution system from river or natural spring]]</f>
        <v>0</v>
      </c>
      <c r="BY486" s="91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0.73944347149250833</v>
      </c>
      <c r="BZ486" s="91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0.47674644872543293</v>
      </c>
      <c r="CA486" s="917">
        <f>IF(WWWW[[#This Row],[Location Type 1]]="Village",WWWW[[#This Row],[Access to safe drinking water for Village]],WWWW[[#This Row],[Access to safe drinking water for Camp]])</f>
        <v>0.47674644872543293</v>
      </c>
      <c r="CB486" s="927">
        <f>WWWW[[#This Row],[%Equitable and continuous access to sufficient quantity of safe drinking water]]*WWWW[[#This Row],[Total PoP ]]</f>
        <v>816.66666666666663</v>
      </c>
      <c r="CC486" s="917">
        <f>IF((WWWW[[#This Row],['#_Constructed/Existing protected/fenced ponds]]*250)/WWWW[[#This Row],[Total PoP ]]&gt;1,1,(WWWW[[#This Row],['#_Constructed/Existing protected/fenced ponds]]*250)/WWWW[[#This Row],[Total PoP ]])</f>
        <v>0.29188558085230587</v>
      </c>
      <c r="CD486" s="927">
        <f>WWWW[[#This Row],[% Access to unimproved water points]]*WWWW[[#This Row],[Total PoP ]]</f>
        <v>499.99999999999994</v>
      </c>
      <c r="CE486" s="91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0.7686320295777388</v>
      </c>
      <c r="CF486" s="92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1316.6666666666665</v>
      </c>
      <c r="CG486" s="903">
        <f>WWWW[[#This Row],[HRP1]]/500</f>
        <v>2.6333333333333329</v>
      </c>
      <c r="CH486" s="916">
        <f>1-WWWW[[#This Row],[% Equitable and continuous access to sufficient quantity of domestic water]]</f>
        <v>0.2313679704222612</v>
      </c>
      <c r="CI486" s="927">
        <f>WWWW[[#This Row],[%equitable and continuous access to sufficient quantity of safe drinking and domestic water''s GAP]]*WWWW[[#This Row],[Total PoP ]]</f>
        <v>396.33333333333343</v>
      </c>
      <c r="CJ486" s="918">
        <f>IF(WWWW[[#This Row],[Total required water points]]-WWWW[[#This Row],['#Water points coverage]]&lt;0,0,WWWW[[#This Row],[Total required water points]]-WWWW[[#This Row],['#Water points coverage]])</f>
        <v>0.36666666666666714</v>
      </c>
      <c r="CK486" s="918">
        <f>ROUND(IF(WWWW[[#This Row],[Total PoP ]]&lt;500,1,WWWW[[#This Row],[Total PoP ]]/500),0)</f>
        <v>3</v>
      </c>
      <c r="CL486" s="918">
        <f>(WWWW[[#This Row],['#_Constructed latrines_by_WASHAgencies]]+WWWW[[#This Row],['#_Non Cluster partner latrines]])-WWWW[[#This Row],['#_Non-functional latrines]]</f>
        <v>2</v>
      </c>
      <c r="CM486" s="919">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7.0052539404553416E-3</v>
      </c>
      <c r="CN486" s="927">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12</v>
      </c>
      <c r="CO486" s="930"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486" s="918" t="str">
        <f>IF(WWWW[[#This Row],[Location Type 1]]="Village","NA",IF(WWWW[[#This Row],['#_Constructed/Existing latrines in TLS]]*50&gt;WWWW[[#This Row],['#_students at TLS_CFS]],WWWW[[#This Row],['#_students at TLS_CFS]],(WWWW[[#This Row],['#_Constructed/Existing latrines in TLS]]*50)))</f>
        <v>NA</v>
      </c>
      <c r="CQ486" s="918">
        <f>ROUND(IF(WWWW[[#This Row],[Location Type 1]]="camp",WWWW[[#This Row],[Total PoP ]]/20,IF(WWWW[[#This Row],[Location Type 1]]="Temporary Location",WWWW[[#This Row],[Total PoP ]]/50,(WWWW[[#This Row],[Total PoP ]]/6))),0)</f>
        <v>286</v>
      </c>
      <c r="CR486" s="918">
        <f>IF(WWWW[[#This Row],[Total required Latrines]]-(WWWW[[#This Row],['#_Constructed latrines_by_WASHAgencies]]+WWWW[[#This Row],['#_Non Cluster partner latrines]])&lt;0,0,WWWW[[#This Row],[Total required Latrines]]-(WWWW[[#This Row],['#_Constructed latrines_by_WASHAgencies]]+WWWW[[#This Row],['#_Non Cluster partner latrines]]))</f>
        <v>284</v>
      </c>
      <c r="CS486" s="924">
        <f>1-WWWW[[#This Row],[% people access to functioning Latrine]]</f>
        <v>0.99299474605954463</v>
      </c>
      <c r="CT486" s="919">
        <f>IF(OR(WWWW[[#This Row],['#_Non-functional latrines]]="",WWWW[[#This Row],['#_Non-functional latrines]]=0),0,WWWW[[#This Row],['#_Non-functional latrines]]/(WWWW[[#This Row],['#_Constructed latrines_by_WASHAgencies]]+WWWW[[#This Row],['#_Non Cluster partner latrines]]))</f>
        <v>0</v>
      </c>
      <c r="CU486" s="927">
        <f>IF(500*(WWWW[[#This Row],['#_male hygiene promoters]]+WWWW[[#This Row],['#_female hygiene promoters]])&gt;WWWW[[#This Row],[Total PoP ]],WWWW[[#This Row],[Total PoP ]],500*(WWWW[[#This Row],['#_male hygiene promoters]]+WWWW[[#This Row],['#_female hygiene promoters]]))</f>
        <v>1500</v>
      </c>
      <c r="CV486" s="918">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1713</v>
      </c>
      <c r="CW486" s="918">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86" s="918">
        <f>IF(WWWW[[#This Row],['# People with access to soap]]&gt;WWWW[[#This Row],['# People with access to Sanity Pads]],WWWW[[#This Row],['# People with access to soap]],WWWW[[#This Row],['# People with access to Sanity Pads]])</f>
        <v>1713</v>
      </c>
      <c r="CY486" s="918">
        <f>IF(WWWW[[#This Row],['# people reached by regular dedicated hygiene promotion_5]]&gt;WWWW[[#This Row],['# People received regular supply of hygiene items_6]],WWWW[[#This Row],['# people reached by regular dedicated hygiene promotion_5]],WWWW[[#This Row],['# People received regular supply of hygiene items_6]])</f>
        <v>1713</v>
      </c>
      <c r="CZ486" s="916">
        <f>IF(WWWW[[#This Row],[HRP3]]/WWWW[[#This Row],[Total PoP ]]&gt;100%,100%,WWWW[[#This Row],[HRP3]]/WWWW[[#This Row],[Total PoP ]])</f>
        <v>1</v>
      </c>
      <c r="DA486" s="919">
        <f>1-WWWW[[#This Row],[Hygiene Coverage%]]</f>
        <v>0</v>
      </c>
      <c r="DB486" s="904">
        <f>WWWW[[#This Row],['# people reached by regular dedicated hygiene promotion_5]]/WWWW[[#This Row],[Total PoP ]]</f>
        <v>0.87565674255691772</v>
      </c>
      <c r="DC486" s="904">
        <f>IF(WWWW[[#This Row],['#_households that received standard amount of soap for this quarter]]/WWWW[[#This Row],[Total HH]]&gt;1,1,WWWW[[#This Row],['#_households that received standard amount of soap for this quarter]]/WWWW[[#This Row],[Total HH]])</f>
        <v>1</v>
      </c>
      <c r="DD486" s="904">
        <f>IF(WWWW[[#This Row],['#_households that received standard amount of sanitary pads for this quarter]]/WWWW[[#This Row],[Total HH]]&gt;1,1,WWWW[[#This Row],['#_households that received standard amount of sanitary pads for this quarter]]/WWWW[[#This Row],[Total HH]])</f>
        <v>0</v>
      </c>
      <c r="DE486" s="712">
        <f>WWWW[[#This Row],['#_Constructed/Existing hand washing stations]]-WWWW[[#This Row],['#_Non-Functional_hand_washing_stations]]</f>
        <v>0</v>
      </c>
      <c r="DF486" s="902" t="e">
        <f>WWWW[[#This Row],[Total HH]]*#REF!</f>
        <v>#REF!</v>
      </c>
      <c r="DG486" s="903">
        <f>IF(WWWW[[#This Row],[Is sufficient soap available for TLS? (Yes/No)]]="yes",WWWW[[#This Row],['#_Constructed/Existing hand washing stations at TLS]],0)</f>
        <v>0</v>
      </c>
      <c r="DH486" s="903">
        <f>IF(WWWW[[#This Row],['# Functional hand washing stations during reporting period]]*100&gt;WWWW[[#This Row],[Total PoP ]],WWWW[[#This Row],[Total PoP ]],WWWW[[#This Row],['# Functional hand washing stations during reporting period]]*100)</f>
        <v>0</v>
      </c>
      <c r="DI486" s="903" t="str">
        <f>IF(WWWW[[#This Row],['#_students at TLS_CFS]]="","No","Yes")</f>
        <v>No</v>
      </c>
      <c r="DJ486" s="920">
        <f>VLOOKUP(WWWW[[#This Row],[Site Name]],SiteDB6[[Site Name]:[CCCM Management]],6,FALSE)</f>
        <v>0</v>
      </c>
      <c r="DK486" s="920">
        <f>VLOOKUP(WWWW[[#This Row],[Site Name]],SiteDB6[[Site Name]:[CCCM Focal Agency]],7,FALSE)</f>
        <v>0</v>
      </c>
      <c r="DL486" s="920" t="str">
        <f>VLOOKUP(WWWW[[#This Row],[Site Name]],SiteDB6[[Site Name]:[Location Type 1]],9,FALSE)</f>
        <v>Village</v>
      </c>
      <c r="DM486" s="920" t="str">
        <f>VLOOKUP(WWWW[[#This Row],[Site Name]],SiteDB6[[Site Name]:[Type of Accommodation]],10,FALSE)</f>
        <v>Village</v>
      </c>
      <c r="DN486" s="920">
        <f>VLOOKUP(WWWW[[#This Row],[Site Name]],SiteDB6[[Site Name]:[Ethnic or GCA/NGCA]],11,FALSE)</f>
        <v>0</v>
      </c>
      <c r="DO486" s="920">
        <f>VLOOKUP(WWWW[[#This Row],[Site Name]],SiteDB6[[Site Name]:[Lat]],12,FALSE)</f>
        <v>0</v>
      </c>
      <c r="DP486" s="920">
        <f>VLOOKUP(WWWW[[#This Row],[Site Name]],SiteDB6[[Site Name]:[Long]],13,FALSE)</f>
        <v>0</v>
      </c>
      <c r="DQ486" s="920">
        <f>VLOOKUP(WWWW[[#This Row],[Site Name]],SiteDB6[[Site Name]:[Pcode]],3,FALSE)</f>
        <v>0</v>
      </c>
      <c r="DR486" s="950" t="str">
        <f t="shared" si="17"/>
        <v>Covered</v>
      </c>
      <c r="DS486" s="950"/>
      <c r="DT486" s="913"/>
      <c r="DU486" s="913"/>
      <c r="DV486" s="938"/>
      <c r="DW486" s="913"/>
      <c r="DX486" s="914"/>
      <c r="DY486" s="914"/>
      <c r="DZ486" s="915"/>
      <c r="EA486" s="915"/>
      <c r="EB486" s="915"/>
      <c r="EC486" s="915"/>
      <c r="ED486" s="915"/>
      <c r="EE486" s="915"/>
      <c r="EF486" s="915"/>
      <c r="EG486" s="915"/>
      <c r="EH486" s="915"/>
    </row>
    <row r="487" spans="1:138" s="911" customFormat="1">
      <c r="A487" s="637" t="s">
        <v>2525</v>
      </c>
      <c r="B487" s="912" t="s">
        <v>3272</v>
      </c>
      <c r="C487" s="912" t="s">
        <v>387</v>
      </c>
      <c r="D487" s="912" t="s">
        <v>252</v>
      </c>
      <c r="E487" s="912" t="s">
        <v>3013</v>
      </c>
      <c r="F487" s="912" t="s">
        <v>337</v>
      </c>
      <c r="G487" s="959" t="str">
        <f>VLOOKUP(WWWW[[#This Row],[Site Name]],SiteDB6[[Site Name]:[Location Type]],8,FALSE)</f>
        <v>Village</v>
      </c>
      <c r="H487" s="977" t="s">
        <v>956</v>
      </c>
      <c r="I487" s="979">
        <v>20</v>
      </c>
      <c r="J487" s="927">
        <v>96</v>
      </c>
      <c r="K487" s="923">
        <v>43251</v>
      </c>
      <c r="L487" s="923">
        <v>43677</v>
      </c>
      <c r="M487" s="975"/>
      <c r="N487" s="975"/>
      <c r="O487" s="975"/>
      <c r="P487" s="975"/>
      <c r="Q487" s="927"/>
      <c r="R487" s="975"/>
      <c r="S487" s="975"/>
      <c r="T487" s="975">
        <v>0</v>
      </c>
      <c r="U487" s="975">
        <v>0</v>
      </c>
      <c r="V487" s="975">
        <v>0</v>
      </c>
      <c r="W487" s="975">
        <v>0</v>
      </c>
      <c r="X487" s="975">
        <v>0</v>
      </c>
      <c r="Y487" s="975">
        <v>0</v>
      </c>
      <c r="Z487" s="975">
        <v>0</v>
      </c>
      <c r="AA487" s="975">
        <v>0</v>
      </c>
      <c r="AB487" s="975">
        <v>0</v>
      </c>
      <c r="AC487" s="975">
        <v>0</v>
      </c>
      <c r="AD487" s="975"/>
      <c r="AE487" s="975">
        <v>1</v>
      </c>
      <c r="AF487" s="975"/>
      <c r="AG487" s="975"/>
      <c r="AH487" s="975">
        <v>0</v>
      </c>
      <c r="AI487" s="975">
        <v>1</v>
      </c>
      <c r="AJ487" s="975">
        <v>0</v>
      </c>
      <c r="AK487" s="975">
        <v>1</v>
      </c>
      <c r="AL487" s="975">
        <v>1</v>
      </c>
      <c r="AM487" s="975">
        <v>0</v>
      </c>
      <c r="AN487" s="975">
        <v>0</v>
      </c>
      <c r="AO487" s="950"/>
      <c r="AP487" s="927">
        <v>17</v>
      </c>
      <c r="AQ487" s="912">
        <v>0</v>
      </c>
      <c r="AR487" s="917"/>
      <c r="AS487" s="975"/>
      <c r="AT487" s="975"/>
      <c r="AU487" s="975"/>
      <c r="AV487" s="975"/>
      <c r="AW487" s="918">
        <v>17</v>
      </c>
      <c r="AX487" s="918" t="s">
        <v>144</v>
      </c>
      <c r="AY487" s="918" t="s">
        <v>144</v>
      </c>
      <c r="AZ487" s="918">
        <v>0</v>
      </c>
      <c r="BA487" s="975"/>
      <c r="BB487" s="927">
        <v>0</v>
      </c>
      <c r="BC487" s="920"/>
      <c r="BD487" s="975"/>
      <c r="BE487" s="975"/>
      <c r="BF487" s="975"/>
      <c r="BG487" s="975"/>
      <c r="BH487" s="975"/>
      <c r="BI487" s="918">
        <v>1</v>
      </c>
      <c r="BJ487" s="918">
        <v>0</v>
      </c>
      <c r="BK487" s="918">
        <v>20</v>
      </c>
      <c r="BL487" s="918">
        <v>20</v>
      </c>
      <c r="BM487" s="918" t="s">
        <v>144</v>
      </c>
      <c r="BN487" s="918">
        <v>0</v>
      </c>
      <c r="BO487" s="917"/>
      <c r="BP487" s="920"/>
      <c r="BQ487" s="919">
        <f>IFERROR(WWWW[[#This Row],['#_Water sources treated]]/WWWW[[#This Row],['#_Water sources tested for contamination]],"no test")</f>
        <v>0</v>
      </c>
      <c r="BR487" s="917">
        <f>IFERROR(WWWW[[#This Row],['#_Household received remediation action due to contamination]]/WWWW[[#This Row],['#_Household water samples tested for contamination]],"no test")</f>
        <v>1</v>
      </c>
      <c r="BS487" s="918" t="str">
        <f>IF(AND(WWWW[[#This Row],[% of water sources treated]]="no test",WWWW[[#This Row],[% Household received corrective actions]]="no test"),"No Test","Tested")</f>
        <v>Tested</v>
      </c>
      <c r="BT487" s="918">
        <f>WWWW[[#This Row],['#_Constructed/existing protected hand dug well]]-WWWW[[#This Row],['#_Non-functional protected hand dug well]]</f>
        <v>0</v>
      </c>
      <c r="BU487" s="918">
        <f>(WWWW[[#This Row],['#_Constructed/Existing tube wells/boreholes/handpumps_WASH_agency]]+WWWW[[#This Row],['#_Non-Cluster partner water tube-wells/boreholes/handpumps]])-WWWW[[#This Row],['#_Non-functional tube wells/boreholes/handpumps]]</f>
        <v>0</v>
      </c>
      <c r="BV487" s="918">
        <f>WWWW[[#This Row],['#_Constructed/Existingwater storage tank with gravity fed reticulation system]]-WWWW[[#This Row],['#_Non-functional storage tank gravity fed reticulation system]]</f>
        <v>0</v>
      </c>
      <c r="BW487" s="918">
        <f>WWWW[[#This Row],['#_Water boating or water trucking]]</f>
        <v>0</v>
      </c>
      <c r="BX487" s="918">
        <f>WWWW[[#This Row],['#_Constructed/Existing water distribution system from river or natural spring]]</f>
        <v>0</v>
      </c>
      <c r="BY487" s="91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87" s="91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87" s="917">
        <f>IF(WWWW[[#This Row],[Location Type 1]]="Village",WWWW[[#This Row],[Access to safe drinking water for Village]],WWWW[[#This Row],[Access to safe drinking water for Camp]])</f>
        <v>0</v>
      </c>
      <c r="CB487" s="927">
        <f>WWWW[[#This Row],[%Equitable and continuous access to sufficient quantity of safe drinking water]]*WWWW[[#This Row],[Total PoP ]]</f>
        <v>0</v>
      </c>
      <c r="CC487" s="917">
        <f>IF((WWWW[[#This Row],['#_Constructed/Existing protected/fenced ponds]]*250)/WWWW[[#This Row],[Total PoP ]]&gt;1,1,(WWWW[[#This Row],['#_Constructed/Existing protected/fenced ponds]]*250)/WWWW[[#This Row],[Total PoP ]])</f>
        <v>1</v>
      </c>
      <c r="CD487" s="927">
        <f>WWWW[[#This Row],[% Access to unimproved water points]]*WWWW[[#This Row],[Total PoP ]]</f>
        <v>96</v>
      </c>
      <c r="CE487" s="91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487" s="92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96</v>
      </c>
      <c r="CG487" s="903">
        <f>WWWW[[#This Row],[HRP1]]/500</f>
        <v>0.192</v>
      </c>
      <c r="CH487" s="916">
        <f>1-WWWW[[#This Row],[% Equitable and continuous access to sufficient quantity of domestic water]]</f>
        <v>0</v>
      </c>
      <c r="CI487" s="927">
        <f>WWWW[[#This Row],[%equitable and continuous access to sufficient quantity of safe drinking and domestic water''s GAP]]*WWWW[[#This Row],[Total PoP ]]</f>
        <v>0</v>
      </c>
      <c r="CJ487" s="918">
        <f>IF(WWWW[[#This Row],[Total required water points]]-WWWW[[#This Row],['#Water points coverage]]&lt;0,0,WWWW[[#This Row],[Total required water points]]-WWWW[[#This Row],['#Water points coverage]])</f>
        <v>0.80800000000000005</v>
      </c>
      <c r="CK487" s="918">
        <f>ROUND(IF(WWWW[[#This Row],[Total PoP ]]&lt;500,1,WWWW[[#This Row],[Total PoP ]]/500),0)</f>
        <v>1</v>
      </c>
      <c r="CL487" s="918">
        <f>(WWWW[[#This Row],['#_Constructed latrines_by_WASHAgencies]]+WWWW[[#This Row],['#_Non Cluster partner latrines]])-WWWW[[#This Row],['#_Non-functional latrines]]</f>
        <v>17</v>
      </c>
      <c r="CM487" s="919">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487" s="927">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96</v>
      </c>
      <c r="CO487" s="930"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487" s="918" t="str">
        <f>IF(WWWW[[#This Row],[Location Type 1]]="Village","NA",IF(WWWW[[#This Row],['#_Constructed/Existing latrines in TLS]]*50&gt;WWWW[[#This Row],['#_students at TLS_CFS]],WWWW[[#This Row],['#_students at TLS_CFS]],(WWWW[[#This Row],['#_Constructed/Existing latrines in TLS]]*50)))</f>
        <v>NA</v>
      </c>
      <c r="CQ487" s="918">
        <f>ROUND(IF(WWWW[[#This Row],[Location Type 1]]="camp",WWWW[[#This Row],[Total PoP ]]/20,IF(WWWW[[#This Row],[Location Type 1]]="Temporary Location",WWWW[[#This Row],[Total PoP ]]/50,(WWWW[[#This Row],[Total PoP ]]/6))),0)</f>
        <v>16</v>
      </c>
      <c r="CR487" s="918">
        <f>IF(WWWW[[#This Row],[Total required Latrines]]-(WWWW[[#This Row],['#_Constructed latrines_by_WASHAgencies]]+WWWW[[#This Row],['#_Non Cluster partner latrines]])&lt;0,0,WWWW[[#This Row],[Total required Latrines]]-(WWWW[[#This Row],['#_Constructed latrines_by_WASHAgencies]]+WWWW[[#This Row],['#_Non Cluster partner latrines]]))</f>
        <v>0</v>
      </c>
      <c r="CS487" s="924">
        <f>1-WWWW[[#This Row],[% people access to functioning Latrine]]</f>
        <v>0</v>
      </c>
      <c r="CT487" s="919">
        <f>IF(OR(WWWW[[#This Row],['#_Non-functional latrines]]="",WWWW[[#This Row],['#_Non-functional latrines]]=0),0,WWWW[[#This Row],['#_Non-functional latrines]]/(WWWW[[#This Row],['#_Constructed latrines_by_WASHAgencies]]+WWWW[[#This Row],['#_Non Cluster partner latrines]]))</f>
        <v>0</v>
      </c>
      <c r="CU487" s="927">
        <f>IF(500*(WWWW[[#This Row],['#_male hygiene promoters]]+WWWW[[#This Row],['#_female hygiene promoters]])&gt;WWWW[[#This Row],[Total PoP ]],WWWW[[#This Row],[Total PoP ]],500*(WWWW[[#This Row],['#_male hygiene promoters]]+WWWW[[#This Row],['#_female hygiene promoters]]))</f>
        <v>96</v>
      </c>
      <c r="CV487" s="918">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96</v>
      </c>
      <c r="CW487" s="918">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96</v>
      </c>
      <c r="CX487" s="918">
        <f>IF(WWWW[[#This Row],['# People with access to soap]]&gt;WWWW[[#This Row],['# People with access to Sanity Pads]],WWWW[[#This Row],['# People with access to soap]],WWWW[[#This Row],['# People with access to Sanity Pads]])</f>
        <v>96</v>
      </c>
      <c r="CY487" s="918">
        <f>IF(WWWW[[#This Row],['# people reached by regular dedicated hygiene promotion_5]]&gt;WWWW[[#This Row],['# People received regular supply of hygiene items_6]],WWWW[[#This Row],['# people reached by regular dedicated hygiene promotion_5]],WWWW[[#This Row],['# People received regular supply of hygiene items_6]])</f>
        <v>96</v>
      </c>
      <c r="CZ487" s="916">
        <f>IF(WWWW[[#This Row],[HRP3]]/WWWW[[#This Row],[Total PoP ]]&gt;100%,100%,WWWW[[#This Row],[HRP3]]/WWWW[[#This Row],[Total PoP ]])</f>
        <v>1</v>
      </c>
      <c r="DA487" s="919">
        <f>1-WWWW[[#This Row],[Hygiene Coverage%]]</f>
        <v>0</v>
      </c>
      <c r="DB487" s="904">
        <f>WWWW[[#This Row],['# people reached by regular dedicated hygiene promotion_5]]/WWWW[[#This Row],[Total PoP ]]</f>
        <v>1</v>
      </c>
      <c r="DC487" s="904">
        <f>IF(WWWW[[#This Row],['#_households that received standard amount of soap for this quarter]]/WWWW[[#This Row],[Total HH]]&gt;1,1,WWWW[[#This Row],['#_households that received standard amount of soap for this quarter]]/WWWW[[#This Row],[Total HH]])</f>
        <v>1</v>
      </c>
      <c r="DD487" s="904">
        <f>IF(WWWW[[#This Row],['#_households that received standard amount of sanitary pads for this quarter]]/WWWW[[#This Row],[Total HH]]&gt;1,1,WWWW[[#This Row],['#_households that received standard amount of sanitary pads for this quarter]]/WWWW[[#This Row],[Total HH]])</f>
        <v>1</v>
      </c>
      <c r="DE487" s="712">
        <f>WWWW[[#This Row],['#_Constructed/Existing hand washing stations]]-WWWW[[#This Row],['#_Non-Functional_hand_washing_stations]]</f>
        <v>0</v>
      </c>
      <c r="DF487" s="902" t="e">
        <f>WWWW[[#This Row],[Total HH]]*#REF!</f>
        <v>#REF!</v>
      </c>
      <c r="DG487" s="903">
        <f>IF(WWWW[[#This Row],[Is sufficient soap available for TLS? (Yes/No)]]="yes",WWWW[[#This Row],['#_Constructed/Existing hand washing stations at TLS]],0)</f>
        <v>0</v>
      </c>
      <c r="DH487" s="903">
        <f>IF(WWWW[[#This Row],['# Functional hand washing stations during reporting period]]*100&gt;WWWW[[#This Row],[Total PoP ]],WWWW[[#This Row],[Total PoP ]],WWWW[[#This Row],['# Functional hand washing stations during reporting period]]*100)</f>
        <v>0</v>
      </c>
      <c r="DI487" s="903" t="str">
        <f>IF(WWWW[[#This Row],['#_students at TLS_CFS]]="","No","Yes")</f>
        <v>No</v>
      </c>
      <c r="DJ487" s="920">
        <f>VLOOKUP(WWWW[[#This Row],[Site Name]],SiteDB6[[Site Name]:[CCCM Management]],6,FALSE)</f>
        <v>0</v>
      </c>
      <c r="DK487" s="920">
        <f>VLOOKUP(WWWW[[#This Row],[Site Name]],SiteDB6[[Site Name]:[CCCM Focal Agency]],7,FALSE)</f>
        <v>0</v>
      </c>
      <c r="DL487" s="920" t="str">
        <f>VLOOKUP(WWWW[[#This Row],[Site Name]],SiteDB6[[Site Name]:[Location Type 1]],9,FALSE)</f>
        <v>Village</v>
      </c>
      <c r="DM487" s="920" t="str">
        <f>VLOOKUP(WWWW[[#This Row],[Site Name]],SiteDB6[[Site Name]:[Type of Accommodation]],10,FALSE)</f>
        <v>Village</v>
      </c>
      <c r="DN487" s="920">
        <f>VLOOKUP(WWWW[[#This Row],[Site Name]],SiteDB6[[Site Name]:[Ethnic or GCA/NGCA]],11,FALSE)</f>
        <v>0</v>
      </c>
      <c r="DO487" s="920">
        <f>VLOOKUP(WWWW[[#This Row],[Site Name]],SiteDB6[[Site Name]:[Lat]],12,FALSE)</f>
        <v>0</v>
      </c>
      <c r="DP487" s="920">
        <f>VLOOKUP(WWWW[[#This Row],[Site Name]],SiteDB6[[Site Name]:[Long]],13,FALSE)</f>
        <v>0</v>
      </c>
      <c r="DQ487" s="920">
        <f>VLOOKUP(WWWW[[#This Row],[Site Name]],SiteDB6[[Site Name]:[Pcode]],3,FALSE)</f>
        <v>0</v>
      </c>
      <c r="DR487" s="950" t="str">
        <f t="shared" si="17"/>
        <v>Covered</v>
      </c>
      <c r="DS487" s="950"/>
      <c r="DT487" s="913"/>
      <c r="DU487" s="913"/>
      <c r="DV487" s="938"/>
      <c r="DW487" s="913"/>
      <c r="DX487" s="914"/>
      <c r="DY487" s="914"/>
      <c r="DZ487" s="915"/>
      <c r="EA487" s="915"/>
      <c r="EB487" s="915"/>
      <c r="EC487" s="915"/>
      <c r="ED487" s="915"/>
      <c r="EE487" s="915"/>
      <c r="EF487" s="915"/>
      <c r="EG487" s="915"/>
      <c r="EH487" s="915"/>
    </row>
    <row r="488" spans="1:138" s="911" customFormat="1">
      <c r="A488" s="637" t="s">
        <v>2525</v>
      </c>
      <c r="B488" s="912" t="s">
        <v>3272</v>
      </c>
      <c r="C488" s="912" t="s">
        <v>387</v>
      </c>
      <c r="D488" s="912" t="s">
        <v>252</v>
      </c>
      <c r="E488" s="912" t="s">
        <v>3013</v>
      </c>
      <c r="F488" s="912" t="s">
        <v>337</v>
      </c>
      <c r="G488" s="959" t="str">
        <f>VLOOKUP(WWWW[[#This Row],[Site Name]],SiteDB6[[Site Name]:[Location Type]],8,FALSE)</f>
        <v>Village</v>
      </c>
      <c r="H488" s="977" t="s">
        <v>652</v>
      </c>
      <c r="I488" s="979">
        <v>24</v>
      </c>
      <c r="J488" s="927">
        <v>91</v>
      </c>
      <c r="K488" s="923">
        <v>43251</v>
      </c>
      <c r="L488" s="923">
        <v>43677</v>
      </c>
      <c r="M488" s="975"/>
      <c r="N488" s="975"/>
      <c r="O488" s="975"/>
      <c r="P488" s="975"/>
      <c r="Q488" s="927"/>
      <c r="R488" s="975"/>
      <c r="S488" s="975"/>
      <c r="T488" s="975">
        <v>2</v>
      </c>
      <c r="U488" s="975">
        <v>0</v>
      </c>
      <c r="V488" s="975">
        <v>0</v>
      </c>
      <c r="W488" s="975">
        <v>2</v>
      </c>
      <c r="X488" s="975">
        <v>0</v>
      </c>
      <c r="Y488" s="975">
        <v>0</v>
      </c>
      <c r="Z488" s="975">
        <v>2</v>
      </c>
      <c r="AA488" s="975">
        <v>0</v>
      </c>
      <c r="AB488" s="975">
        <v>0</v>
      </c>
      <c r="AC488" s="975">
        <v>0</v>
      </c>
      <c r="AD488" s="975"/>
      <c r="AE488" s="975">
        <v>1</v>
      </c>
      <c r="AF488" s="975"/>
      <c r="AG488" s="975"/>
      <c r="AH488" s="975">
        <v>1</v>
      </c>
      <c r="AI488" s="975">
        <v>1</v>
      </c>
      <c r="AJ488" s="975">
        <v>0</v>
      </c>
      <c r="AK488" s="975">
        <v>1</v>
      </c>
      <c r="AL488" s="975">
        <v>1</v>
      </c>
      <c r="AM488" s="975">
        <v>0</v>
      </c>
      <c r="AN488" s="975">
        <v>0</v>
      </c>
      <c r="AO488" s="950"/>
      <c r="AP488" s="927">
        <v>25</v>
      </c>
      <c r="AQ488" s="912">
        <v>25</v>
      </c>
      <c r="AR488" s="917"/>
      <c r="AS488" s="975"/>
      <c r="AT488" s="975"/>
      <c r="AU488" s="975"/>
      <c r="AV488" s="975"/>
      <c r="AW488" s="918">
        <v>15</v>
      </c>
      <c r="AX488" s="918" t="s">
        <v>43</v>
      </c>
      <c r="AY488" s="918" t="s">
        <v>145</v>
      </c>
      <c r="AZ488" s="918">
        <v>0</v>
      </c>
      <c r="BA488" s="975"/>
      <c r="BB488" s="927">
        <v>0</v>
      </c>
      <c r="BC488" s="920"/>
      <c r="BD488" s="975"/>
      <c r="BE488" s="975"/>
      <c r="BF488" s="975"/>
      <c r="BG488" s="975"/>
      <c r="BH488" s="975"/>
      <c r="BI488" s="918">
        <v>1</v>
      </c>
      <c r="BJ488" s="918">
        <v>1</v>
      </c>
      <c r="BK488" s="918">
        <v>25</v>
      </c>
      <c r="BL488" s="918">
        <v>25</v>
      </c>
      <c r="BM488" s="918" t="s">
        <v>144</v>
      </c>
      <c r="BN488" s="918">
        <v>0</v>
      </c>
      <c r="BO488" s="917"/>
      <c r="BP488" s="920"/>
      <c r="BQ488" s="919">
        <f>IFERROR(WWWW[[#This Row],['#_Water sources treated]]/WWWW[[#This Row],['#_Water sources tested for contamination]],"no test")</f>
        <v>0</v>
      </c>
      <c r="BR488" s="917">
        <f>IFERROR(WWWW[[#This Row],['#_Household received remediation action due to contamination]]/WWWW[[#This Row],['#_Household water samples tested for contamination]],"no test")</f>
        <v>1</v>
      </c>
      <c r="BS488" s="918" t="str">
        <f>IF(AND(WWWW[[#This Row],[% of water sources treated]]="no test",WWWW[[#This Row],[% Household received corrective actions]]="no test"),"No Test","Tested")</f>
        <v>Tested</v>
      </c>
      <c r="BT488" s="918">
        <f>WWWW[[#This Row],['#_Constructed/existing protected hand dug well]]-WWWW[[#This Row],['#_Non-functional protected hand dug well]]</f>
        <v>2</v>
      </c>
      <c r="BU488" s="918">
        <f>(WWWW[[#This Row],['#_Constructed/Existing tube wells/boreholes/handpumps_WASH_agency]]+WWWW[[#This Row],['#_Non-Cluster partner water tube-wells/boreholes/handpumps]])-WWWW[[#This Row],['#_Non-functional tube wells/boreholes/handpumps]]</f>
        <v>2</v>
      </c>
      <c r="BV488" s="918">
        <f>WWWW[[#This Row],['#_Constructed/Existingwater storage tank with gravity fed reticulation system]]-WWWW[[#This Row],['#_Non-functional storage tank gravity fed reticulation system]]</f>
        <v>0</v>
      </c>
      <c r="BW488" s="918">
        <f>WWWW[[#This Row],['#_Water boating or water trucking]]</f>
        <v>0</v>
      </c>
      <c r="BX488" s="918">
        <f>WWWW[[#This Row],['#_Constructed/Existing water distribution system from river or natural spring]]</f>
        <v>0</v>
      </c>
      <c r="BY488" s="91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488" s="91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488" s="917">
        <f>IF(WWWW[[#This Row],[Location Type 1]]="Village",WWWW[[#This Row],[Access to safe drinking water for Village]],WWWW[[#This Row],[Access to safe drinking water for Camp]])</f>
        <v>1</v>
      </c>
      <c r="CB488" s="927">
        <f>WWWW[[#This Row],[%Equitable and continuous access to sufficient quantity of safe drinking water]]*WWWW[[#This Row],[Total PoP ]]</f>
        <v>91</v>
      </c>
      <c r="CC488" s="917">
        <f>IF((WWWW[[#This Row],['#_Constructed/Existing protected/fenced ponds]]*250)/WWWW[[#This Row],[Total PoP ]]&gt;1,1,(WWWW[[#This Row],['#_Constructed/Existing protected/fenced ponds]]*250)/WWWW[[#This Row],[Total PoP ]])</f>
        <v>1</v>
      </c>
      <c r="CD488" s="927">
        <f>WWWW[[#This Row],[% Access to unimproved water points]]*WWWW[[#This Row],[Total PoP ]]</f>
        <v>91</v>
      </c>
      <c r="CE488" s="91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488" s="92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91</v>
      </c>
      <c r="CG488" s="903">
        <f>WWWW[[#This Row],[HRP1]]/500</f>
        <v>0.182</v>
      </c>
      <c r="CH488" s="916">
        <f>1-WWWW[[#This Row],[% Equitable and continuous access to sufficient quantity of domestic water]]</f>
        <v>0</v>
      </c>
      <c r="CI488" s="927">
        <f>WWWW[[#This Row],[%equitable and continuous access to sufficient quantity of safe drinking and domestic water''s GAP]]*WWWW[[#This Row],[Total PoP ]]</f>
        <v>0</v>
      </c>
      <c r="CJ488" s="918">
        <f>IF(WWWW[[#This Row],[Total required water points]]-WWWW[[#This Row],['#Water points coverage]]&lt;0,0,WWWW[[#This Row],[Total required water points]]-WWWW[[#This Row],['#Water points coverage]])</f>
        <v>0.81800000000000006</v>
      </c>
      <c r="CK488" s="918">
        <f>ROUND(IF(WWWW[[#This Row],[Total PoP ]]&lt;500,1,WWWW[[#This Row],[Total PoP ]]/500),0)</f>
        <v>1</v>
      </c>
      <c r="CL488" s="918">
        <f>(WWWW[[#This Row],['#_Constructed latrines_by_WASHAgencies]]+WWWW[[#This Row],['#_Non Cluster partner latrines]])-WWWW[[#This Row],['#_Non-functional latrines]]</f>
        <v>50</v>
      </c>
      <c r="CM488" s="919">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488" s="927">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91</v>
      </c>
      <c r="CO488" s="930"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488" s="918" t="str">
        <f>IF(WWWW[[#This Row],[Location Type 1]]="Village","NA",IF(WWWW[[#This Row],['#_Constructed/Existing latrines in TLS]]*50&gt;WWWW[[#This Row],['#_students at TLS_CFS]],WWWW[[#This Row],['#_students at TLS_CFS]],(WWWW[[#This Row],['#_Constructed/Existing latrines in TLS]]*50)))</f>
        <v>NA</v>
      </c>
      <c r="CQ488" s="918">
        <f>ROUND(IF(WWWW[[#This Row],[Location Type 1]]="camp",WWWW[[#This Row],[Total PoP ]]/20,IF(WWWW[[#This Row],[Location Type 1]]="Temporary Location",WWWW[[#This Row],[Total PoP ]]/50,(WWWW[[#This Row],[Total PoP ]]/6))),0)</f>
        <v>15</v>
      </c>
      <c r="CR488" s="918">
        <f>IF(WWWW[[#This Row],[Total required Latrines]]-(WWWW[[#This Row],['#_Constructed latrines_by_WASHAgencies]]+WWWW[[#This Row],['#_Non Cluster partner latrines]])&lt;0,0,WWWW[[#This Row],[Total required Latrines]]-(WWWW[[#This Row],['#_Constructed latrines_by_WASHAgencies]]+WWWW[[#This Row],['#_Non Cluster partner latrines]]))</f>
        <v>0</v>
      </c>
      <c r="CS488" s="924">
        <f>1-WWWW[[#This Row],[% people access to functioning Latrine]]</f>
        <v>0</v>
      </c>
      <c r="CT488" s="919">
        <f>IF(OR(WWWW[[#This Row],['#_Non-functional latrines]]="",WWWW[[#This Row],['#_Non-functional latrines]]=0),0,WWWW[[#This Row],['#_Non-functional latrines]]/(WWWW[[#This Row],['#_Constructed latrines_by_WASHAgencies]]+WWWW[[#This Row],['#_Non Cluster partner latrines]]))</f>
        <v>0</v>
      </c>
      <c r="CU488" s="927">
        <f>IF(500*(WWWW[[#This Row],['#_male hygiene promoters]]+WWWW[[#This Row],['#_female hygiene promoters]])&gt;WWWW[[#This Row],[Total PoP ]],WWWW[[#This Row],[Total PoP ]],500*(WWWW[[#This Row],['#_male hygiene promoters]]+WWWW[[#This Row],['#_female hygiene promoters]]))</f>
        <v>91</v>
      </c>
      <c r="CV488" s="918">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91</v>
      </c>
      <c r="CW488" s="918">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91</v>
      </c>
      <c r="CX488" s="918">
        <f>IF(WWWW[[#This Row],['# People with access to soap]]&gt;WWWW[[#This Row],['# People with access to Sanity Pads]],WWWW[[#This Row],['# People with access to soap]],WWWW[[#This Row],['# People with access to Sanity Pads]])</f>
        <v>91</v>
      </c>
      <c r="CY488" s="918">
        <f>IF(WWWW[[#This Row],['# people reached by regular dedicated hygiene promotion_5]]&gt;WWWW[[#This Row],['# People received regular supply of hygiene items_6]],WWWW[[#This Row],['# people reached by regular dedicated hygiene promotion_5]],WWWW[[#This Row],['# People received regular supply of hygiene items_6]])</f>
        <v>91</v>
      </c>
      <c r="CZ488" s="916">
        <f>IF(WWWW[[#This Row],[HRP3]]/WWWW[[#This Row],[Total PoP ]]&gt;100%,100%,WWWW[[#This Row],[HRP3]]/WWWW[[#This Row],[Total PoP ]])</f>
        <v>1</v>
      </c>
      <c r="DA488" s="919">
        <f>1-WWWW[[#This Row],[Hygiene Coverage%]]</f>
        <v>0</v>
      </c>
      <c r="DB488" s="904">
        <f>WWWW[[#This Row],['# people reached by regular dedicated hygiene promotion_5]]/WWWW[[#This Row],[Total PoP ]]</f>
        <v>1</v>
      </c>
      <c r="DC488" s="904">
        <f>IF(WWWW[[#This Row],['#_households that received standard amount of soap for this quarter]]/WWWW[[#This Row],[Total HH]]&gt;1,1,WWWW[[#This Row],['#_households that received standard amount of soap for this quarter]]/WWWW[[#This Row],[Total HH]])</f>
        <v>1</v>
      </c>
      <c r="DD488" s="904">
        <f>IF(WWWW[[#This Row],['#_households that received standard amount of sanitary pads for this quarter]]/WWWW[[#This Row],[Total HH]]&gt;1,1,WWWW[[#This Row],['#_households that received standard amount of sanitary pads for this quarter]]/WWWW[[#This Row],[Total HH]])</f>
        <v>1</v>
      </c>
      <c r="DE488" s="712">
        <f>WWWW[[#This Row],['#_Constructed/Existing hand washing stations]]-WWWW[[#This Row],['#_Non-Functional_hand_washing_stations]]</f>
        <v>0</v>
      </c>
      <c r="DF488" s="902" t="e">
        <f>WWWW[[#This Row],[Total HH]]*#REF!</f>
        <v>#REF!</v>
      </c>
      <c r="DG488" s="903">
        <f>IF(WWWW[[#This Row],[Is sufficient soap available for TLS? (Yes/No)]]="yes",WWWW[[#This Row],['#_Constructed/Existing hand washing stations at TLS]],0)</f>
        <v>0</v>
      </c>
      <c r="DH488" s="903">
        <f>IF(WWWW[[#This Row],['# Functional hand washing stations during reporting period]]*100&gt;WWWW[[#This Row],[Total PoP ]],WWWW[[#This Row],[Total PoP ]],WWWW[[#This Row],['# Functional hand washing stations during reporting period]]*100)</f>
        <v>0</v>
      </c>
      <c r="DI488" s="903" t="str">
        <f>IF(WWWW[[#This Row],['#_students at TLS_CFS]]="","No","Yes")</f>
        <v>No</v>
      </c>
      <c r="DJ488" s="920">
        <f>VLOOKUP(WWWW[[#This Row],[Site Name]],SiteDB6[[Site Name]:[CCCM Management]],6,FALSE)</f>
        <v>0</v>
      </c>
      <c r="DK488" s="920">
        <f>VLOOKUP(WWWW[[#This Row],[Site Name]],SiteDB6[[Site Name]:[CCCM Focal Agency]],7,FALSE)</f>
        <v>0</v>
      </c>
      <c r="DL488" s="920" t="str">
        <f>VLOOKUP(WWWW[[#This Row],[Site Name]],SiteDB6[[Site Name]:[Location Type 1]],9,FALSE)</f>
        <v>Village</v>
      </c>
      <c r="DM488" s="920" t="str">
        <f>VLOOKUP(WWWW[[#This Row],[Site Name]],SiteDB6[[Site Name]:[Type of Accommodation]],10,FALSE)</f>
        <v>Village</v>
      </c>
      <c r="DN488" s="920" t="str">
        <f>VLOOKUP(WWWW[[#This Row],[Site Name]],SiteDB6[[Site Name]:[Ethnic or GCA/NGCA]],11,FALSE)</f>
        <v>Rakhine</v>
      </c>
      <c r="DO488" s="920">
        <f>VLOOKUP(WWWW[[#This Row],[Site Name]],SiteDB6[[Site Name]:[Lat]],12,FALSE)</f>
        <v>20.849060059999999</v>
      </c>
      <c r="DP488" s="920">
        <f>VLOOKUP(WWWW[[#This Row],[Site Name]],SiteDB6[[Site Name]:[Long]],13,FALSE)</f>
        <v>92.497413640000005</v>
      </c>
      <c r="DQ488" s="920">
        <f>VLOOKUP(WWWW[[#This Row],[Site Name]],SiteDB6[[Site Name]:[Pcode]],3,FALSE)</f>
        <v>198313</v>
      </c>
      <c r="DR488" s="950" t="str">
        <f t="shared" si="17"/>
        <v>Covered</v>
      </c>
      <c r="DS488" s="950"/>
      <c r="DT488" s="913"/>
      <c r="DU488" s="913"/>
      <c r="DV488" s="938"/>
      <c r="DW488" s="913"/>
      <c r="DX488" s="914"/>
      <c r="DY488" s="914"/>
      <c r="DZ488" s="915"/>
      <c r="EA488" s="915"/>
      <c r="EB488" s="915"/>
      <c r="EC488" s="915"/>
      <c r="ED488" s="915"/>
      <c r="EE488" s="915"/>
      <c r="EF488" s="915"/>
      <c r="EG488" s="915"/>
      <c r="EH488" s="915"/>
    </row>
    <row r="489" spans="1:138" s="911" customFormat="1">
      <c r="A489" s="637" t="s">
        <v>2525</v>
      </c>
      <c r="B489" s="912" t="s">
        <v>3272</v>
      </c>
      <c r="C489" s="912" t="s">
        <v>387</v>
      </c>
      <c r="D489" s="912" t="s">
        <v>252</v>
      </c>
      <c r="E489" s="912" t="s">
        <v>3013</v>
      </c>
      <c r="F489" s="912" t="s">
        <v>337</v>
      </c>
      <c r="G489" s="959" t="str">
        <f>VLOOKUP(WWWW[[#This Row],[Site Name]],SiteDB6[[Site Name]:[Location Type]],8,FALSE)</f>
        <v>Village</v>
      </c>
      <c r="H489" s="977" t="s">
        <v>658</v>
      </c>
      <c r="I489" s="979">
        <v>115</v>
      </c>
      <c r="J489" s="927">
        <v>658</v>
      </c>
      <c r="K489" s="923">
        <v>43251</v>
      </c>
      <c r="L489" s="923">
        <v>43677</v>
      </c>
      <c r="M489" s="975"/>
      <c r="N489" s="975"/>
      <c r="O489" s="975"/>
      <c r="P489" s="975"/>
      <c r="Q489" s="927"/>
      <c r="R489" s="975"/>
      <c r="S489" s="975"/>
      <c r="T489" s="975">
        <v>0</v>
      </c>
      <c r="U489" s="975">
        <v>0</v>
      </c>
      <c r="V489" s="975">
        <v>0</v>
      </c>
      <c r="W489" s="975">
        <v>0</v>
      </c>
      <c r="X489" s="975">
        <v>0</v>
      </c>
      <c r="Y489" s="975">
        <v>0</v>
      </c>
      <c r="Z489" s="975">
        <v>0</v>
      </c>
      <c r="AA489" s="975">
        <v>0</v>
      </c>
      <c r="AB489" s="975">
        <v>0</v>
      </c>
      <c r="AC489" s="975">
        <v>0</v>
      </c>
      <c r="AD489" s="975"/>
      <c r="AE489" s="975">
        <v>2</v>
      </c>
      <c r="AF489" s="975"/>
      <c r="AG489" s="975"/>
      <c r="AH489" s="975">
        <v>2</v>
      </c>
      <c r="AI489" s="975">
        <v>1</v>
      </c>
      <c r="AJ489" s="975">
        <v>0</v>
      </c>
      <c r="AK489" s="975">
        <v>1</v>
      </c>
      <c r="AL489" s="975">
        <v>1</v>
      </c>
      <c r="AM489" s="975">
        <v>0</v>
      </c>
      <c r="AN489" s="975">
        <v>1</v>
      </c>
      <c r="AO489" s="950"/>
      <c r="AP489" s="927">
        <v>70</v>
      </c>
      <c r="AQ489" s="912">
        <v>0</v>
      </c>
      <c r="AR489" s="917"/>
      <c r="AS489" s="975"/>
      <c r="AT489" s="975"/>
      <c r="AU489" s="975"/>
      <c r="AV489" s="975"/>
      <c r="AW489" s="918">
        <v>70</v>
      </c>
      <c r="AX489" s="918" t="s">
        <v>144</v>
      </c>
      <c r="AY489" s="918" t="s">
        <v>144</v>
      </c>
      <c r="AZ489" s="918">
        <v>4</v>
      </c>
      <c r="BA489" s="975"/>
      <c r="BB489" s="927">
        <v>4</v>
      </c>
      <c r="BC489" s="920"/>
      <c r="BD489" s="975"/>
      <c r="BE489" s="975"/>
      <c r="BF489" s="975"/>
      <c r="BG489" s="975"/>
      <c r="BH489" s="975"/>
      <c r="BI489" s="918">
        <v>1</v>
      </c>
      <c r="BJ489" s="918">
        <v>0</v>
      </c>
      <c r="BK489" s="918">
        <v>115</v>
      </c>
      <c r="BL489" s="918">
        <v>115</v>
      </c>
      <c r="BM489" s="918" t="s">
        <v>144</v>
      </c>
      <c r="BN489" s="918">
        <v>2</v>
      </c>
      <c r="BO489" s="917"/>
      <c r="BP489" s="920"/>
      <c r="BQ489" s="919">
        <f>IFERROR(WWWW[[#This Row],['#_Water sources treated]]/WWWW[[#This Row],['#_Water sources tested for contamination]],"no test")</f>
        <v>0</v>
      </c>
      <c r="BR489" s="917">
        <f>IFERROR(WWWW[[#This Row],['#_Household received remediation action due to contamination]]/WWWW[[#This Row],['#_Household water samples tested for contamination]],"no test")</f>
        <v>1</v>
      </c>
      <c r="BS489" s="918" t="str">
        <f>IF(AND(WWWW[[#This Row],[% of water sources treated]]="no test",WWWW[[#This Row],[% Household received corrective actions]]="no test"),"No Test","Tested")</f>
        <v>Tested</v>
      </c>
      <c r="BT489" s="918">
        <f>WWWW[[#This Row],['#_Constructed/existing protected hand dug well]]-WWWW[[#This Row],['#_Non-functional protected hand dug well]]</f>
        <v>0</v>
      </c>
      <c r="BU489" s="918">
        <f>(WWWW[[#This Row],['#_Constructed/Existing tube wells/boreholes/handpumps_WASH_agency]]+WWWW[[#This Row],['#_Non-Cluster partner water tube-wells/boreholes/handpumps]])-WWWW[[#This Row],['#_Non-functional tube wells/boreholes/handpumps]]</f>
        <v>0</v>
      </c>
      <c r="BV489" s="918">
        <f>WWWW[[#This Row],['#_Constructed/Existingwater storage tank with gravity fed reticulation system]]-WWWW[[#This Row],['#_Non-functional storage tank gravity fed reticulation system]]</f>
        <v>0</v>
      </c>
      <c r="BW489" s="918">
        <f>WWWW[[#This Row],['#_Water boating or water trucking]]</f>
        <v>0</v>
      </c>
      <c r="BX489" s="918">
        <f>WWWW[[#This Row],['#_Constructed/Existing water distribution system from river or natural spring]]</f>
        <v>0</v>
      </c>
      <c r="BY489" s="91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89" s="91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89" s="917">
        <f>IF(WWWW[[#This Row],[Location Type 1]]="Village",WWWW[[#This Row],[Access to safe drinking water for Village]],WWWW[[#This Row],[Access to safe drinking water for Camp]])</f>
        <v>0</v>
      </c>
      <c r="CB489" s="927">
        <f>WWWW[[#This Row],[%Equitable and continuous access to sufficient quantity of safe drinking water]]*WWWW[[#This Row],[Total PoP ]]</f>
        <v>0</v>
      </c>
      <c r="CC489" s="917">
        <f>IF((WWWW[[#This Row],['#_Constructed/Existing protected/fenced ponds]]*250)/WWWW[[#This Row],[Total PoP ]]&gt;1,1,(WWWW[[#This Row],['#_Constructed/Existing protected/fenced ponds]]*250)/WWWW[[#This Row],[Total PoP ]])</f>
        <v>0.75987841945288759</v>
      </c>
      <c r="CD489" s="927">
        <f>WWWW[[#This Row],[% Access to unimproved water points]]*WWWW[[#This Row],[Total PoP ]]</f>
        <v>500.00000000000006</v>
      </c>
      <c r="CE489" s="91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0.75987841945288759</v>
      </c>
      <c r="CF489" s="92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500.00000000000006</v>
      </c>
      <c r="CG489" s="903">
        <f>WWWW[[#This Row],[HRP1]]/500</f>
        <v>1.0000000000000002</v>
      </c>
      <c r="CH489" s="916">
        <f>1-WWWW[[#This Row],[% Equitable and continuous access to sufficient quantity of domestic water]]</f>
        <v>0.24012158054711241</v>
      </c>
      <c r="CI489" s="927">
        <f>WWWW[[#This Row],[%equitable and continuous access to sufficient quantity of safe drinking and domestic water''s GAP]]*WWWW[[#This Row],[Total PoP ]]</f>
        <v>157.99999999999997</v>
      </c>
      <c r="CJ489" s="918">
        <f>IF(WWWW[[#This Row],[Total required water points]]-WWWW[[#This Row],['#Water points coverage]]&lt;0,0,WWWW[[#This Row],[Total required water points]]-WWWW[[#This Row],['#Water points coverage]])</f>
        <v>0</v>
      </c>
      <c r="CK489" s="918">
        <f>ROUND(IF(WWWW[[#This Row],[Total PoP ]]&lt;500,1,WWWW[[#This Row],[Total PoP ]]/500),0)</f>
        <v>1</v>
      </c>
      <c r="CL489" s="918">
        <f>(WWWW[[#This Row],['#_Constructed latrines_by_WASHAgencies]]+WWWW[[#This Row],['#_Non Cluster partner latrines]])-WWWW[[#This Row],['#_Non-functional latrines]]</f>
        <v>70</v>
      </c>
      <c r="CM489" s="919">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0.63829787234042556</v>
      </c>
      <c r="CN489" s="927">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420</v>
      </c>
      <c r="CO489" s="930"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489" s="918" t="str">
        <f>IF(WWWW[[#This Row],[Location Type 1]]="Village","NA",IF(WWWW[[#This Row],['#_Constructed/Existing latrines in TLS]]*50&gt;WWWW[[#This Row],['#_students at TLS_CFS]],WWWW[[#This Row],['#_students at TLS_CFS]],(WWWW[[#This Row],['#_Constructed/Existing latrines in TLS]]*50)))</f>
        <v>NA</v>
      </c>
      <c r="CQ489" s="918">
        <f>ROUND(IF(WWWW[[#This Row],[Location Type 1]]="camp",WWWW[[#This Row],[Total PoP ]]/20,IF(WWWW[[#This Row],[Location Type 1]]="Temporary Location",WWWW[[#This Row],[Total PoP ]]/50,(WWWW[[#This Row],[Total PoP ]]/6))),0)</f>
        <v>110</v>
      </c>
      <c r="CR489" s="918">
        <f>IF(WWWW[[#This Row],[Total required Latrines]]-(WWWW[[#This Row],['#_Constructed latrines_by_WASHAgencies]]+WWWW[[#This Row],['#_Non Cluster partner latrines]])&lt;0,0,WWWW[[#This Row],[Total required Latrines]]-(WWWW[[#This Row],['#_Constructed latrines_by_WASHAgencies]]+WWWW[[#This Row],['#_Non Cluster partner latrines]]))</f>
        <v>40</v>
      </c>
      <c r="CS489" s="924">
        <f>1-WWWW[[#This Row],[% people access to functioning Latrine]]</f>
        <v>0.36170212765957444</v>
      </c>
      <c r="CT489" s="919">
        <f>IF(OR(WWWW[[#This Row],['#_Non-functional latrines]]="",WWWW[[#This Row],['#_Non-functional latrines]]=0),0,WWWW[[#This Row],['#_Non-functional latrines]]/(WWWW[[#This Row],['#_Constructed latrines_by_WASHAgencies]]+WWWW[[#This Row],['#_Non Cluster partner latrines]]))</f>
        <v>0</v>
      </c>
      <c r="CU489" s="927">
        <f>IF(500*(WWWW[[#This Row],['#_male hygiene promoters]]+WWWW[[#This Row],['#_female hygiene promoters]])&gt;WWWW[[#This Row],[Total PoP ]],WWWW[[#This Row],[Total PoP ]],500*(WWWW[[#This Row],['#_male hygiene promoters]]+WWWW[[#This Row],['#_female hygiene promoters]]))</f>
        <v>500</v>
      </c>
      <c r="CV489" s="918">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658</v>
      </c>
      <c r="CW489" s="918">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658</v>
      </c>
      <c r="CX489" s="918">
        <f>IF(WWWW[[#This Row],['# People with access to soap]]&gt;WWWW[[#This Row],['# People with access to Sanity Pads]],WWWW[[#This Row],['# People with access to soap]],WWWW[[#This Row],['# People with access to Sanity Pads]])</f>
        <v>658</v>
      </c>
      <c r="CY489" s="918">
        <f>IF(WWWW[[#This Row],['# people reached by regular dedicated hygiene promotion_5]]&gt;WWWW[[#This Row],['# People received regular supply of hygiene items_6]],WWWW[[#This Row],['# people reached by regular dedicated hygiene promotion_5]],WWWW[[#This Row],['# People received regular supply of hygiene items_6]])</f>
        <v>658</v>
      </c>
      <c r="CZ489" s="916">
        <f>IF(WWWW[[#This Row],[HRP3]]/WWWW[[#This Row],[Total PoP ]]&gt;100%,100%,WWWW[[#This Row],[HRP3]]/WWWW[[#This Row],[Total PoP ]])</f>
        <v>1</v>
      </c>
      <c r="DA489" s="919">
        <f>1-WWWW[[#This Row],[Hygiene Coverage%]]</f>
        <v>0</v>
      </c>
      <c r="DB489" s="904">
        <f>WWWW[[#This Row],['# people reached by regular dedicated hygiene promotion_5]]/WWWW[[#This Row],[Total PoP ]]</f>
        <v>0.75987841945288759</v>
      </c>
      <c r="DC489" s="904">
        <f>IF(WWWW[[#This Row],['#_households that received standard amount of soap for this quarter]]/WWWW[[#This Row],[Total HH]]&gt;1,1,WWWW[[#This Row],['#_households that received standard amount of soap for this quarter]]/WWWW[[#This Row],[Total HH]])</f>
        <v>1</v>
      </c>
      <c r="DD489" s="904">
        <f>IF(WWWW[[#This Row],['#_households that received standard amount of sanitary pads for this quarter]]/WWWW[[#This Row],[Total HH]]&gt;1,1,WWWW[[#This Row],['#_households that received standard amount of sanitary pads for this quarter]]/WWWW[[#This Row],[Total HH]])</f>
        <v>1</v>
      </c>
      <c r="DE489" s="712">
        <f>WWWW[[#This Row],['#_Constructed/Existing hand washing stations]]-WWWW[[#This Row],['#_Non-Functional_hand_washing_stations]]</f>
        <v>0</v>
      </c>
      <c r="DF489" s="902" t="e">
        <f>WWWW[[#This Row],[Total HH]]*#REF!</f>
        <v>#REF!</v>
      </c>
      <c r="DG489" s="903">
        <f>IF(WWWW[[#This Row],[Is sufficient soap available for TLS? (Yes/No)]]="yes",WWWW[[#This Row],['#_Constructed/Existing hand washing stations at TLS]],0)</f>
        <v>0</v>
      </c>
      <c r="DH489" s="903">
        <f>IF(WWWW[[#This Row],['# Functional hand washing stations during reporting period]]*100&gt;WWWW[[#This Row],[Total PoP ]],WWWW[[#This Row],[Total PoP ]],WWWW[[#This Row],['# Functional hand washing stations during reporting period]]*100)</f>
        <v>0</v>
      </c>
      <c r="DI489" s="903" t="str">
        <f>IF(WWWW[[#This Row],['#_students at TLS_CFS]]="","No","Yes")</f>
        <v>No</v>
      </c>
      <c r="DJ489" s="920">
        <f>VLOOKUP(WWWW[[#This Row],[Site Name]],SiteDB6[[Site Name]:[CCCM Management]],6,FALSE)</f>
        <v>0</v>
      </c>
      <c r="DK489" s="920">
        <f>VLOOKUP(WWWW[[#This Row],[Site Name]],SiteDB6[[Site Name]:[CCCM Focal Agency]],7,FALSE)</f>
        <v>0</v>
      </c>
      <c r="DL489" s="920" t="str">
        <f>VLOOKUP(WWWW[[#This Row],[Site Name]],SiteDB6[[Site Name]:[Location Type 1]],9,FALSE)</f>
        <v>Village</v>
      </c>
      <c r="DM489" s="920" t="str">
        <f>VLOOKUP(WWWW[[#This Row],[Site Name]],SiteDB6[[Site Name]:[Type of Accommodation]],10,FALSE)</f>
        <v>Village</v>
      </c>
      <c r="DN489" s="920" t="str">
        <f>VLOOKUP(WWWW[[#This Row],[Site Name]],SiteDB6[[Site Name]:[Ethnic or GCA/NGCA]],11,FALSE)</f>
        <v>Muslim</v>
      </c>
      <c r="DO489" s="920">
        <f>VLOOKUP(WWWW[[#This Row],[Site Name]],SiteDB6[[Site Name]:[Lat]],12,FALSE)</f>
        <v>20.876710889999998</v>
      </c>
      <c r="DP489" s="920">
        <f>VLOOKUP(WWWW[[#This Row],[Site Name]],SiteDB6[[Site Name]:[Long]],13,FALSE)</f>
        <v>92.537406919999995</v>
      </c>
      <c r="DQ489" s="920">
        <f>VLOOKUP(WWWW[[#This Row],[Site Name]],SiteDB6[[Site Name]:[Pcode]],3,FALSE)</f>
        <v>198301</v>
      </c>
      <c r="DR489" s="950" t="str">
        <f t="shared" si="17"/>
        <v>Covered</v>
      </c>
      <c r="DS489" s="950"/>
      <c r="DT489" s="913"/>
      <c r="DU489" s="913"/>
      <c r="DV489" s="938"/>
      <c r="DW489" s="913"/>
      <c r="DX489" s="914"/>
      <c r="DY489" s="914"/>
      <c r="DZ489" s="915"/>
      <c r="EA489" s="915"/>
      <c r="EB489" s="915"/>
      <c r="EC489" s="915"/>
      <c r="ED489" s="915"/>
      <c r="EE489" s="915"/>
      <c r="EF489" s="915"/>
      <c r="EG489" s="915"/>
      <c r="EH489" s="915"/>
    </row>
    <row r="490" spans="1:138" s="911" customFormat="1">
      <c r="A490" s="637" t="s">
        <v>2525</v>
      </c>
      <c r="B490" s="912" t="s">
        <v>3272</v>
      </c>
      <c r="C490" s="912" t="s">
        <v>387</v>
      </c>
      <c r="D490" s="912" t="s">
        <v>252</v>
      </c>
      <c r="E490" s="912" t="s">
        <v>3013</v>
      </c>
      <c r="F490" s="912" t="s">
        <v>337</v>
      </c>
      <c r="G490" s="959" t="str">
        <f>VLOOKUP(WWWW[[#This Row],[Site Name]],SiteDB6[[Site Name]:[Location Type]],8,FALSE)</f>
        <v>Village</v>
      </c>
      <c r="H490" s="977" t="s">
        <v>664</v>
      </c>
      <c r="I490" s="979">
        <v>11</v>
      </c>
      <c r="J490" s="927">
        <v>69</v>
      </c>
      <c r="K490" s="923">
        <v>43251</v>
      </c>
      <c r="L490" s="923">
        <v>43677</v>
      </c>
      <c r="M490" s="975"/>
      <c r="N490" s="975"/>
      <c r="O490" s="975"/>
      <c r="P490" s="975"/>
      <c r="Q490" s="927"/>
      <c r="R490" s="975"/>
      <c r="S490" s="975"/>
      <c r="T490" s="975">
        <v>0</v>
      </c>
      <c r="U490" s="975">
        <v>0</v>
      </c>
      <c r="V490" s="975">
        <v>0</v>
      </c>
      <c r="W490" s="975">
        <v>0</v>
      </c>
      <c r="X490" s="975">
        <v>0</v>
      </c>
      <c r="Y490" s="975">
        <v>0</v>
      </c>
      <c r="Z490" s="975">
        <v>0</v>
      </c>
      <c r="AA490" s="975">
        <v>0</v>
      </c>
      <c r="AB490" s="975">
        <v>0</v>
      </c>
      <c r="AC490" s="975">
        <v>0</v>
      </c>
      <c r="AD490" s="975"/>
      <c r="AE490" s="975">
        <v>1</v>
      </c>
      <c r="AF490" s="975"/>
      <c r="AG490" s="975"/>
      <c r="AH490" s="975">
        <v>0</v>
      </c>
      <c r="AI490" s="975">
        <v>1</v>
      </c>
      <c r="AJ490" s="975">
        <v>0</v>
      </c>
      <c r="AK490" s="975">
        <v>1</v>
      </c>
      <c r="AL490" s="975">
        <v>1</v>
      </c>
      <c r="AM490" s="975">
        <v>0</v>
      </c>
      <c r="AN490" s="975">
        <v>0</v>
      </c>
      <c r="AO490" s="950"/>
      <c r="AP490" s="927">
        <v>10</v>
      </c>
      <c r="AQ490" s="927">
        <v>10</v>
      </c>
      <c r="AR490" s="917"/>
      <c r="AS490" s="975"/>
      <c r="AT490" s="975"/>
      <c r="AU490" s="975"/>
      <c r="AV490" s="975"/>
      <c r="AW490" s="918">
        <v>10</v>
      </c>
      <c r="AX490" s="918" t="s">
        <v>144</v>
      </c>
      <c r="AY490" s="918" t="s">
        <v>144</v>
      </c>
      <c r="AZ490" s="918">
        <v>0</v>
      </c>
      <c r="BA490" s="975"/>
      <c r="BB490" s="927">
        <v>0</v>
      </c>
      <c r="BC490" s="920"/>
      <c r="BD490" s="975"/>
      <c r="BE490" s="975"/>
      <c r="BF490" s="975"/>
      <c r="BG490" s="975"/>
      <c r="BH490" s="975"/>
      <c r="BI490" s="918">
        <v>1</v>
      </c>
      <c r="BJ490" s="918">
        <v>0</v>
      </c>
      <c r="BK490" s="918">
        <v>11</v>
      </c>
      <c r="BL490" s="918">
        <v>11</v>
      </c>
      <c r="BM490" s="918" t="s">
        <v>144</v>
      </c>
      <c r="BN490" s="918">
        <v>2</v>
      </c>
      <c r="BO490" s="917"/>
      <c r="BP490" s="920"/>
      <c r="BQ490" s="919">
        <f>IFERROR(WWWW[[#This Row],['#_Water sources treated]]/WWWW[[#This Row],['#_Water sources tested for contamination]],"no test")</f>
        <v>0</v>
      </c>
      <c r="BR490" s="917">
        <f>IFERROR(WWWW[[#This Row],['#_Household received remediation action due to contamination]]/WWWW[[#This Row],['#_Household water samples tested for contamination]],"no test")</f>
        <v>1</v>
      </c>
      <c r="BS490" s="918" t="str">
        <f>IF(AND(WWWW[[#This Row],[% of water sources treated]]="no test",WWWW[[#This Row],[% Household received corrective actions]]="no test"),"No Test","Tested")</f>
        <v>Tested</v>
      </c>
      <c r="BT490" s="918">
        <f>WWWW[[#This Row],['#_Constructed/existing protected hand dug well]]-WWWW[[#This Row],['#_Non-functional protected hand dug well]]</f>
        <v>0</v>
      </c>
      <c r="BU490" s="918">
        <f>(WWWW[[#This Row],['#_Constructed/Existing tube wells/boreholes/handpumps_WASH_agency]]+WWWW[[#This Row],['#_Non-Cluster partner water tube-wells/boreholes/handpumps]])-WWWW[[#This Row],['#_Non-functional tube wells/boreholes/handpumps]]</f>
        <v>0</v>
      </c>
      <c r="BV490" s="918">
        <f>WWWW[[#This Row],['#_Constructed/Existingwater storage tank with gravity fed reticulation system]]-WWWW[[#This Row],['#_Non-functional storage tank gravity fed reticulation system]]</f>
        <v>0</v>
      </c>
      <c r="BW490" s="918">
        <f>WWWW[[#This Row],['#_Water boating or water trucking]]</f>
        <v>0</v>
      </c>
      <c r="BX490" s="918">
        <f>WWWW[[#This Row],['#_Constructed/Existing water distribution system from river or natural spring]]</f>
        <v>0</v>
      </c>
      <c r="BY490" s="91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90" s="91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90" s="917">
        <f>IF(WWWW[[#This Row],[Location Type 1]]="Village",WWWW[[#This Row],[Access to safe drinking water for Village]],WWWW[[#This Row],[Access to safe drinking water for Camp]])</f>
        <v>0</v>
      </c>
      <c r="CB490" s="927">
        <f>WWWW[[#This Row],[%Equitable and continuous access to sufficient quantity of safe drinking water]]*WWWW[[#This Row],[Total PoP ]]</f>
        <v>0</v>
      </c>
      <c r="CC490" s="917">
        <f>IF((WWWW[[#This Row],['#_Constructed/Existing protected/fenced ponds]]*250)/WWWW[[#This Row],[Total PoP ]]&gt;1,1,(WWWW[[#This Row],['#_Constructed/Existing protected/fenced ponds]]*250)/WWWW[[#This Row],[Total PoP ]])</f>
        <v>1</v>
      </c>
      <c r="CD490" s="927">
        <f>WWWW[[#This Row],[% Access to unimproved water points]]*WWWW[[#This Row],[Total PoP ]]</f>
        <v>69</v>
      </c>
      <c r="CE490" s="91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490" s="92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69</v>
      </c>
      <c r="CG490" s="903">
        <f>WWWW[[#This Row],[HRP1]]/500</f>
        <v>0.13800000000000001</v>
      </c>
      <c r="CH490" s="916">
        <f>1-WWWW[[#This Row],[% Equitable and continuous access to sufficient quantity of domestic water]]</f>
        <v>0</v>
      </c>
      <c r="CI490" s="927">
        <f>WWWW[[#This Row],[%equitable and continuous access to sufficient quantity of safe drinking and domestic water''s GAP]]*WWWW[[#This Row],[Total PoP ]]</f>
        <v>0</v>
      </c>
      <c r="CJ490" s="918">
        <f>IF(WWWW[[#This Row],[Total required water points]]-WWWW[[#This Row],['#Water points coverage]]&lt;0,0,WWWW[[#This Row],[Total required water points]]-WWWW[[#This Row],['#Water points coverage]])</f>
        <v>0.86199999999999999</v>
      </c>
      <c r="CK490" s="918">
        <f>ROUND(IF(WWWW[[#This Row],[Total PoP ]]&lt;500,1,WWWW[[#This Row],[Total PoP ]]/500),0)</f>
        <v>1</v>
      </c>
      <c r="CL490" s="918">
        <f>(WWWW[[#This Row],['#_Constructed latrines_by_WASHAgencies]]+WWWW[[#This Row],['#_Non Cluster partner latrines]])-WWWW[[#This Row],['#_Non-functional latrines]]</f>
        <v>20</v>
      </c>
      <c r="CM490" s="919">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490" s="927">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69</v>
      </c>
      <c r="CO490" s="930"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490" s="918" t="str">
        <f>IF(WWWW[[#This Row],[Location Type 1]]="Village","NA",IF(WWWW[[#This Row],['#_Constructed/Existing latrines in TLS]]*50&gt;WWWW[[#This Row],['#_students at TLS_CFS]],WWWW[[#This Row],['#_students at TLS_CFS]],(WWWW[[#This Row],['#_Constructed/Existing latrines in TLS]]*50)))</f>
        <v>NA</v>
      </c>
      <c r="CQ490" s="918">
        <f>ROUND(IF(WWWW[[#This Row],[Location Type 1]]="camp",WWWW[[#This Row],[Total PoP ]]/20,IF(WWWW[[#This Row],[Location Type 1]]="Temporary Location",WWWW[[#This Row],[Total PoP ]]/50,(WWWW[[#This Row],[Total PoP ]]/6))),0)</f>
        <v>12</v>
      </c>
      <c r="CR490" s="918">
        <f>IF(WWWW[[#This Row],[Total required Latrines]]-(WWWW[[#This Row],['#_Constructed latrines_by_WASHAgencies]]+WWWW[[#This Row],['#_Non Cluster partner latrines]])&lt;0,0,WWWW[[#This Row],[Total required Latrines]]-(WWWW[[#This Row],['#_Constructed latrines_by_WASHAgencies]]+WWWW[[#This Row],['#_Non Cluster partner latrines]]))</f>
        <v>0</v>
      </c>
      <c r="CS490" s="924">
        <f>1-WWWW[[#This Row],[% people access to functioning Latrine]]</f>
        <v>0</v>
      </c>
      <c r="CT490" s="919">
        <f>IF(OR(WWWW[[#This Row],['#_Non-functional latrines]]="",WWWW[[#This Row],['#_Non-functional latrines]]=0),0,WWWW[[#This Row],['#_Non-functional latrines]]/(WWWW[[#This Row],['#_Constructed latrines_by_WASHAgencies]]+WWWW[[#This Row],['#_Non Cluster partner latrines]]))</f>
        <v>0</v>
      </c>
      <c r="CU490" s="927">
        <f>IF(500*(WWWW[[#This Row],['#_male hygiene promoters]]+WWWW[[#This Row],['#_female hygiene promoters]])&gt;WWWW[[#This Row],[Total PoP ]],WWWW[[#This Row],[Total PoP ]],500*(WWWW[[#This Row],['#_male hygiene promoters]]+WWWW[[#This Row],['#_female hygiene promoters]]))</f>
        <v>69</v>
      </c>
      <c r="CV490" s="918">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69</v>
      </c>
      <c r="CW490" s="918">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69</v>
      </c>
      <c r="CX490" s="918">
        <f>IF(WWWW[[#This Row],['# People with access to soap]]&gt;WWWW[[#This Row],['# People with access to Sanity Pads]],WWWW[[#This Row],['# People with access to soap]],WWWW[[#This Row],['# People with access to Sanity Pads]])</f>
        <v>69</v>
      </c>
      <c r="CY490" s="918">
        <f>IF(WWWW[[#This Row],['# people reached by regular dedicated hygiene promotion_5]]&gt;WWWW[[#This Row],['# People received regular supply of hygiene items_6]],WWWW[[#This Row],['# people reached by regular dedicated hygiene promotion_5]],WWWW[[#This Row],['# People received regular supply of hygiene items_6]])</f>
        <v>69</v>
      </c>
      <c r="CZ490" s="916">
        <f>IF(WWWW[[#This Row],[HRP3]]/WWWW[[#This Row],[Total PoP ]]&gt;100%,100%,WWWW[[#This Row],[HRP3]]/WWWW[[#This Row],[Total PoP ]])</f>
        <v>1</v>
      </c>
      <c r="DA490" s="919">
        <f>1-WWWW[[#This Row],[Hygiene Coverage%]]</f>
        <v>0</v>
      </c>
      <c r="DB490" s="904">
        <f>WWWW[[#This Row],['# people reached by regular dedicated hygiene promotion_5]]/WWWW[[#This Row],[Total PoP ]]</f>
        <v>1</v>
      </c>
      <c r="DC490" s="904">
        <f>IF(WWWW[[#This Row],['#_households that received standard amount of soap for this quarter]]/WWWW[[#This Row],[Total HH]]&gt;1,1,WWWW[[#This Row],['#_households that received standard amount of soap for this quarter]]/WWWW[[#This Row],[Total HH]])</f>
        <v>1</v>
      </c>
      <c r="DD490" s="904">
        <f>IF(WWWW[[#This Row],['#_households that received standard amount of sanitary pads for this quarter]]/WWWW[[#This Row],[Total HH]]&gt;1,1,WWWW[[#This Row],['#_households that received standard amount of sanitary pads for this quarter]]/WWWW[[#This Row],[Total HH]])</f>
        <v>1</v>
      </c>
      <c r="DE490" s="712">
        <f>WWWW[[#This Row],['#_Constructed/Existing hand washing stations]]-WWWW[[#This Row],['#_Non-Functional_hand_washing_stations]]</f>
        <v>0</v>
      </c>
      <c r="DF490" s="902" t="e">
        <f>WWWW[[#This Row],[Total HH]]*#REF!</f>
        <v>#REF!</v>
      </c>
      <c r="DG490" s="903">
        <f>IF(WWWW[[#This Row],[Is sufficient soap available for TLS? (Yes/No)]]="yes",WWWW[[#This Row],['#_Constructed/Existing hand washing stations at TLS]],0)</f>
        <v>0</v>
      </c>
      <c r="DH490" s="903">
        <f>IF(WWWW[[#This Row],['# Functional hand washing stations during reporting period]]*100&gt;WWWW[[#This Row],[Total PoP ]],WWWW[[#This Row],[Total PoP ]],WWWW[[#This Row],['# Functional hand washing stations during reporting period]]*100)</f>
        <v>0</v>
      </c>
      <c r="DI490" s="903" t="str">
        <f>IF(WWWW[[#This Row],['#_students at TLS_CFS]]="","No","Yes")</f>
        <v>No</v>
      </c>
      <c r="DJ490" s="920">
        <f>VLOOKUP(WWWW[[#This Row],[Site Name]],SiteDB6[[Site Name]:[CCCM Management]],6,FALSE)</f>
        <v>0</v>
      </c>
      <c r="DK490" s="920">
        <f>VLOOKUP(WWWW[[#This Row],[Site Name]],SiteDB6[[Site Name]:[CCCM Focal Agency]],7,FALSE)</f>
        <v>0</v>
      </c>
      <c r="DL490" s="920" t="str">
        <f>VLOOKUP(WWWW[[#This Row],[Site Name]],SiteDB6[[Site Name]:[Location Type 1]],9,FALSE)</f>
        <v>Village</v>
      </c>
      <c r="DM490" s="920" t="str">
        <f>VLOOKUP(WWWW[[#This Row],[Site Name]],SiteDB6[[Site Name]:[Type of Accommodation]],10,FALSE)</f>
        <v>Village</v>
      </c>
      <c r="DN490" s="920" t="str">
        <f>VLOOKUP(WWWW[[#This Row],[Site Name]],SiteDB6[[Site Name]:[Ethnic or GCA/NGCA]],11,FALSE)</f>
        <v>Muslim</v>
      </c>
      <c r="DO490" s="920">
        <f>VLOOKUP(WWWW[[#This Row],[Site Name]],SiteDB6[[Site Name]:[Lat]],12,FALSE)</f>
        <v>20.887029649999999</v>
      </c>
      <c r="DP490" s="920">
        <f>VLOOKUP(WWWW[[#This Row],[Site Name]],SiteDB6[[Site Name]:[Long]],13,FALSE)</f>
        <v>92.556823730000005</v>
      </c>
      <c r="DQ490" s="920">
        <f>VLOOKUP(WWWW[[#This Row],[Site Name]],SiteDB6[[Site Name]:[Pcode]],3,FALSE)</f>
        <v>217871</v>
      </c>
      <c r="DR490" s="950" t="str">
        <f t="shared" si="17"/>
        <v>Covered</v>
      </c>
      <c r="DS490" s="950"/>
      <c r="DT490" s="913"/>
      <c r="DU490" s="913"/>
      <c r="DV490" s="938"/>
      <c r="DW490" s="913"/>
      <c r="DX490" s="914"/>
      <c r="DY490" s="914"/>
      <c r="DZ490" s="915"/>
      <c r="EA490" s="915"/>
      <c r="EB490" s="915"/>
      <c r="EC490" s="915"/>
      <c r="ED490" s="915"/>
      <c r="EE490" s="915"/>
      <c r="EF490" s="915"/>
      <c r="EG490" s="915"/>
      <c r="EH490" s="915"/>
    </row>
    <row r="491" spans="1:138" s="911" customFormat="1">
      <c r="A491" s="637" t="s">
        <v>2525</v>
      </c>
      <c r="B491" s="912" t="s">
        <v>3272</v>
      </c>
      <c r="C491" s="912" t="s">
        <v>387</v>
      </c>
      <c r="D491" s="912" t="s">
        <v>252</v>
      </c>
      <c r="E491" s="912" t="s">
        <v>3013</v>
      </c>
      <c r="F491" s="912" t="s">
        <v>337</v>
      </c>
      <c r="G491" s="959" t="str">
        <f>VLOOKUP(WWWW[[#This Row],[Site Name]],SiteDB6[[Site Name]:[Location Type]],8,FALSE)</f>
        <v>Village</v>
      </c>
      <c r="H491" s="977" t="s">
        <v>3273</v>
      </c>
      <c r="I491" s="979">
        <v>250</v>
      </c>
      <c r="J491" s="927">
        <v>1012</v>
      </c>
      <c r="K491" s="923">
        <v>43251</v>
      </c>
      <c r="L491" s="923">
        <v>43677</v>
      </c>
      <c r="M491" s="975"/>
      <c r="N491" s="975"/>
      <c r="O491" s="975"/>
      <c r="P491" s="975"/>
      <c r="Q491" s="927"/>
      <c r="R491" s="975"/>
      <c r="S491" s="975"/>
      <c r="T491" s="975">
        <v>3</v>
      </c>
      <c r="U491" s="975">
        <v>0</v>
      </c>
      <c r="V491" s="975">
        <v>0</v>
      </c>
      <c r="W491" s="975">
        <v>3</v>
      </c>
      <c r="X491" s="975">
        <v>0</v>
      </c>
      <c r="Y491" s="975">
        <v>0</v>
      </c>
      <c r="Z491" s="975">
        <v>3</v>
      </c>
      <c r="AA491" s="975">
        <v>1</v>
      </c>
      <c r="AB491" s="975">
        <v>0</v>
      </c>
      <c r="AC491" s="975">
        <v>0</v>
      </c>
      <c r="AD491" s="975"/>
      <c r="AE491" s="975">
        <v>2</v>
      </c>
      <c r="AF491" s="975"/>
      <c r="AG491" s="975"/>
      <c r="AH491" s="975">
        <v>1</v>
      </c>
      <c r="AI491" s="975">
        <v>1</v>
      </c>
      <c r="AJ491" s="975">
        <v>0</v>
      </c>
      <c r="AK491" s="975">
        <v>1</v>
      </c>
      <c r="AL491" s="975">
        <v>1</v>
      </c>
      <c r="AM491" s="975">
        <v>0</v>
      </c>
      <c r="AN491" s="975">
        <v>1</v>
      </c>
      <c r="AO491" s="950"/>
      <c r="AP491" s="927">
        <v>0</v>
      </c>
      <c r="AQ491" s="912">
        <v>0</v>
      </c>
      <c r="AR491" s="917"/>
      <c r="AS491" s="975"/>
      <c r="AT491" s="975"/>
      <c r="AU491" s="975"/>
      <c r="AV491" s="975"/>
      <c r="AW491" s="918">
        <v>0</v>
      </c>
      <c r="AX491" s="918" t="s">
        <v>144</v>
      </c>
      <c r="AY491" s="918" t="s">
        <v>1200</v>
      </c>
      <c r="AZ491" s="918">
        <v>0</v>
      </c>
      <c r="BA491" s="975"/>
      <c r="BB491" s="927">
        <v>4</v>
      </c>
      <c r="BC491" s="920"/>
      <c r="BD491" s="975"/>
      <c r="BE491" s="975"/>
      <c r="BF491" s="975"/>
      <c r="BG491" s="975"/>
      <c r="BH491" s="975"/>
      <c r="BI491" s="918">
        <v>1</v>
      </c>
      <c r="BJ491" s="918">
        <v>1</v>
      </c>
      <c r="BK491" s="918">
        <v>0</v>
      </c>
      <c r="BL491" s="918">
        <v>0</v>
      </c>
      <c r="BM491" s="918" t="s">
        <v>144</v>
      </c>
      <c r="BN491" s="918">
        <v>0</v>
      </c>
      <c r="BO491" s="917"/>
      <c r="BP491" s="920"/>
      <c r="BQ491" s="919">
        <f>IFERROR(WWWW[[#This Row],['#_Water sources treated]]/WWWW[[#This Row],['#_Water sources tested for contamination]],"no test")</f>
        <v>0</v>
      </c>
      <c r="BR491" s="917">
        <f>IFERROR(WWWW[[#This Row],['#_Household received remediation action due to contamination]]/WWWW[[#This Row],['#_Household water samples tested for contamination]],"no test")</f>
        <v>1</v>
      </c>
      <c r="BS491" s="918" t="str">
        <f>IF(AND(WWWW[[#This Row],[% of water sources treated]]="no test",WWWW[[#This Row],[% Household received corrective actions]]="no test"),"No Test","Tested")</f>
        <v>Tested</v>
      </c>
      <c r="BT491" s="918">
        <f>WWWW[[#This Row],['#_Constructed/existing protected hand dug well]]-WWWW[[#This Row],['#_Non-functional protected hand dug well]]</f>
        <v>3</v>
      </c>
      <c r="BU491" s="918">
        <f>(WWWW[[#This Row],['#_Constructed/Existing tube wells/boreholes/handpumps_WASH_agency]]+WWWW[[#This Row],['#_Non-Cluster partner water tube-wells/boreholes/handpumps]])-WWWW[[#This Row],['#_Non-functional tube wells/boreholes/handpumps]]</f>
        <v>3</v>
      </c>
      <c r="BV491" s="918">
        <f>WWWW[[#This Row],['#_Constructed/Existingwater storage tank with gravity fed reticulation system]]-WWWW[[#This Row],['#_Non-functional storage tank gravity fed reticulation system]]</f>
        <v>1</v>
      </c>
      <c r="BW491" s="918">
        <f>WWWW[[#This Row],['#_Water boating or water trucking]]</f>
        <v>0</v>
      </c>
      <c r="BX491" s="918">
        <f>WWWW[[#This Row],['#_Constructed/Existing water distribution system from river or natural spring]]</f>
        <v>0</v>
      </c>
      <c r="BY491" s="91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491" s="91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491" s="917">
        <f>IF(WWWW[[#This Row],[Location Type 1]]="Village",WWWW[[#This Row],[Access to safe drinking water for Village]],WWWW[[#This Row],[Access to safe drinking water for Camp]])</f>
        <v>1</v>
      </c>
      <c r="CB491" s="927">
        <f>WWWW[[#This Row],[%Equitable and continuous access to sufficient quantity of safe drinking water]]*WWWW[[#This Row],[Total PoP ]]</f>
        <v>1012</v>
      </c>
      <c r="CC491" s="917">
        <f>IF((WWWW[[#This Row],['#_Constructed/Existing protected/fenced ponds]]*250)/WWWW[[#This Row],[Total PoP ]]&gt;1,1,(WWWW[[#This Row],['#_Constructed/Existing protected/fenced ponds]]*250)/WWWW[[#This Row],[Total PoP ]])</f>
        <v>0.49407114624505927</v>
      </c>
      <c r="CD491" s="927">
        <f>WWWW[[#This Row],[% Access to unimproved water points]]*WWWW[[#This Row],[Total PoP ]]</f>
        <v>500</v>
      </c>
      <c r="CE491" s="91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491" s="92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1012</v>
      </c>
      <c r="CG491" s="903">
        <f>WWWW[[#This Row],[HRP1]]/500</f>
        <v>2.024</v>
      </c>
      <c r="CH491" s="916">
        <f>1-WWWW[[#This Row],[% Equitable and continuous access to sufficient quantity of domestic water]]</f>
        <v>0</v>
      </c>
      <c r="CI491" s="927">
        <f>WWWW[[#This Row],[%equitable and continuous access to sufficient quantity of safe drinking and domestic water''s GAP]]*WWWW[[#This Row],[Total PoP ]]</f>
        <v>0</v>
      </c>
      <c r="CJ491" s="918">
        <f>IF(WWWW[[#This Row],[Total required water points]]-WWWW[[#This Row],['#Water points coverage]]&lt;0,0,WWWW[[#This Row],[Total required water points]]-WWWW[[#This Row],['#Water points coverage]])</f>
        <v>0</v>
      </c>
      <c r="CK491" s="918">
        <f>ROUND(IF(WWWW[[#This Row],[Total PoP ]]&lt;500,1,WWWW[[#This Row],[Total PoP ]]/500),0)</f>
        <v>2</v>
      </c>
      <c r="CL491" s="918">
        <f>(WWWW[[#This Row],['#_Constructed latrines_by_WASHAgencies]]+WWWW[[#This Row],['#_Non Cluster partner latrines]])-WWWW[[#This Row],['#_Non-functional latrines]]</f>
        <v>0</v>
      </c>
      <c r="CM491" s="919">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91" s="927">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91" s="930"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491" s="918" t="str">
        <f>IF(WWWW[[#This Row],[Location Type 1]]="Village","NA",IF(WWWW[[#This Row],['#_Constructed/Existing latrines in TLS]]*50&gt;WWWW[[#This Row],['#_students at TLS_CFS]],WWWW[[#This Row],['#_students at TLS_CFS]],(WWWW[[#This Row],['#_Constructed/Existing latrines in TLS]]*50)))</f>
        <v>NA</v>
      </c>
      <c r="CQ491" s="918">
        <f>ROUND(IF(WWWW[[#This Row],[Location Type 1]]="camp",WWWW[[#This Row],[Total PoP ]]/20,IF(WWWW[[#This Row],[Location Type 1]]="Temporary Location",WWWW[[#This Row],[Total PoP ]]/50,(WWWW[[#This Row],[Total PoP ]]/6))),0)</f>
        <v>169</v>
      </c>
      <c r="CR491" s="918">
        <f>IF(WWWW[[#This Row],[Total required Latrines]]-(WWWW[[#This Row],['#_Constructed latrines_by_WASHAgencies]]+WWWW[[#This Row],['#_Non Cluster partner latrines]])&lt;0,0,WWWW[[#This Row],[Total required Latrines]]-(WWWW[[#This Row],['#_Constructed latrines_by_WASHAgencies]]+WWWW[[#This Row],['#_Non Cluster partner latrines]]))</f>
        <v>169</v>
      </c>
      <c r="CS491" s="924">
        <f>1-WWWW[[#This Row],[% people access to functioning Latrine]]</f>
        <v>1</v>
      </c>
      <c r="CT491" s="919">
        <f>IF(OR(WWWW[[#This Row],['#_Non-functional latrines]]="",WWWW[[#This Row],['#_Non-functional latrines]]=0),0,WWWW[[#This Row],['#_Non-functional latrines]]/(WWWW[[#This Row],['#_Constructed latrines_by_WASHAgencies]]+WWWW[[#This Row],['#_Non Cluster partner latrines]]))</f>
        <v>0</v>
      </c>
      <c r="CU491" s="927">
        <f>IF(500*(WWWW[[#This Row],['#_male hygiene promoters]]+WWWW[[#This Row],['#_female hygiene promoters]])&gt;WWWW[[#This Row],[Total PoP ]],WWWW[[#This Row],[Total PoP ]],500*(WWWW[[#This Row],['#_male hygiene promoters]]+WWWW[[#This Row],['#_female hygiene promoters]]))</f>
        <v>1000</v>
      </c>
      <c r="CV491" s="918">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491" s="918">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91" s="918">
        <f>IF(WWWW[[#This Row],['# People with access to soap]]&gt;WWWW[[#This Row],['# People with access to Sanity Pads]],WWWW[[#This Row],['# People with access to soap]],WWWW[[#This Row],['# People with access to Sanity Pads]])</f>
        <v>0</v>
      </c>
      <c r="CY491" s="918">
        <f>IF(WWWW[[#This Row],['# people reached by regular dedicated hygiene promotion_5]]&gt;WWWW[[#This Row],['# People received regular supply of hygiene items_6]],WWWW[[#This Row],['# people reached by regular dedicated hygiene promotion_5]],WWWW[[#This Row],['# People received regular supply of hygiene items_6]])</f>
        <v>1000</v>
      </c>
      <c r="CZ491" s="916">
        <f>IF(WWWW[[#This Row],[HRP3]]/WWWW[[#This Row],[Total PoP ]]&gt;100%,100%,WWWW[[#This Row],[HRP3]]/WWWW[[#This Row],[Total PoP ]])</f>
        <v>0.98814229249011853</v>
      </c>
      <c r="DA491" s="919">
        <f>1-WWWW[[#This Row],[Hygiene Coverage%]]</f>
        <v>1.1857707509881465E-2</v>
      </c>
      <c r="DB491" s="904">
        <f>WWWW[[#This Row],['# people reached by regular dedicated hygiene promotion_5]]/WWWW[[#This Row],[Total PoP ]]</f>
        <v>0.98814229249011853</v>
      </c>
      <c r="DC491" s="904">
        <f>IF(WWWW[[#This Row],['#_households that received standard amount of soap for this quarter]]/WWWW[[#This Row],[Total HH]]&gt;1,1,WWWW[[#This Row],['#_households that received standard amount of soap for this quarter]]/WWWW[[#This Row],[Total HH]])</f>
        <v>0</v>
      </c>
      <c r="DD491" s="904">
        <f>IF(WWWW[[#This Row],['#_households that received standard amount of sanitary pads for this quarter]]/WWWW[[#This Row],[Total HH]]&gt;1,1,WWWW[[#This Row],['#_households that received standard amount of sanitary pads for this quarter]]/WWWW[[#This Row],[Total HH]])</f>
        <v>0</v>
      </c>
      <c r="DE491" s="712">
        <f>WWWW[[#This Row],['#_Constructed/Existing hand washing stations]]-WWWW[[#This Row],['#_Non-Functional_hand_washing_stations]]</f>
        <v>0</v>
      </c>
      <c r="DF491" s="902" t="e">
        <f>WWWW[[#This Row],[Total HH]]*#REF!</f>
        <v>#REF!</v>
      </c>
      <c r="DG491" s="903">
        <f>IF(WWWW[[#This Row],[Is sufficient soap available for TLS? (Yes/No)]]="yes",WWWW[[#This Row],['#_Constructed/Existing hand washing stations at TLS]],0)</f>
        <v>0</v>
      </c>
      <c r="DH491" s="903">
        <f>IF(WWWW[[#This Row],['# Functional hand washing stations during reporting period]]*100&gt;WWWW[[#This Row],[Total PoP ]],WWWW[[#This Row],[Total PoP ]],WWWW[[#This Row],['# Functional hand washing stations during reporting period]]*100)</f>
        <v>0</v>
      </c>
      <c r="DI491" s="903" t="str">
        <f>IF(WWWW[[#This Row],['#_students at TLS_CFS]]="","No","Yes")</f>
        <v>No</v>
      </c>
      <c r="DJ491" s="920">
        <f>VLOOKUP(WWWW[[#This Row],[Site Name]],SiteDB6[[Site Name]:[CCCM Management]],6,FALSE)</f>
        <v>0</v>
      </c>
      <c r="DK491" s="920">
        <f>VLOOKUP(WWWW[[#This Row],[Site Name]],SiteDB6[[Site Name]:[CCCM Focal Agency]],7,FALSE)</f>
        <v>0</v>
      </c>
      <c r="DL491" s="920" t="str">
        <f>VLOOKUP(WWWW[[#This Row],[Site Name]],SiteDB6[[Site Name]:[Location Type 1]],9,FALSE)</f>
        <v>Village</v>
      </c>
      <c r="DM491" s="920" t="str">
        <f>VLOOKUP(WWWW[[#This Row],[Site Name]],SiteDB6[[Site Name]:[Type of Accommodation]],10,FALSE)</f>
        <v>Village</v>
      </c>
      <c r="DN491" s="920">
        <f>VLOOKUP(WWWW[[#This Row],[Site Name]],SiteDB6[[Site Name]:[Ethnic or GCA/NGCA]],11,FALSE)</f>
        <v>0</v>
      </c>
      <c r="DO491" s="920">
        <f>VLOOKUP(WWWW[[#This Row],[Site Name]],SiteDB6[[Site Name]:[Lat]],12,FALSE)</f>
        <v>20.735639572143601</v>
      </c>
      <c r="DP491" s="920">
        <f>VLOOKUP(WWWW[[#This Row],[Site Name]],SiteDB6[[Site Name]:[Long]],13,FALSE)</f>
        <v>92.638076782226605</v>
      </c>
      <c r="DQ491" s="920">
        <f>VLOOKUP(WWWW[[#This Row],[Site Name]],SiteDB6[[Site Name]:[Pcode]],3,FALSE)</f>
        <v>198424</v>
      </c>
      <c r="DR491" s="950" t="str">
        <f t="shared" si="17"/>
        <v>Covered</v>
      </c>
      <c r="DS491" s="950"/>
      <c r="DT491" s="913"/>
      <c r="DU491" s="913"/>
      <c r="DV491" s="938"/>
      <c r="DW491" s="913"/>
      <c r="DX491" s="914"/>
      <c r="DY491" s="914"/>
      <c r="DZ491" s="915"/>
      <c r="EA491" s="915"/>
      <c r="EB491" s="915"/>
      <c r="EC491" s="915"/>
      <c r="ED491" s="915"/>
      <c r="EE491" s="915"/>
      <c r="EF491" s="915"/>
      <c r="EG491" s="915"/>
      <c r="EH491" s="915"/>
    </row>
    <row r="492" spans="1:138" s="911" customFormat="1">
      <c r="A492" s="637" t="s">
        <v>2525</v>
      </c>
      <c r="B492" s="912" t="s">
        <v>3272</v>
      </c>
      <c r="C492" s="912" t="s">
        <v>387</v>
      </c>
      <c r="D492" s="912" t="s">
        <v>252</v>
      </c>
      <c r="E492" s="912" t="s">
        <v>3013</v>
      </c>
      <c r="F492" s="912" t="s">
        <v>337</v>
      </c>
      <c r="G492" s="959" t="str">
        <f>VLOOKUP(WWWW[[#This Row],[Site Name]],SiteDB6[[Site Name]:[Location Type]],8,FALSE)</f>
        <v>Village</v>
      </c>
      <c r="H492" s="977" t="s">
        <v>3268</v>
      </c>
      <c r="I492" s="979">
        <v>260</v>
      </c>
      <c r="J492" s="927">
        <v>2652</v>
      </c>
      <c r="K492" s="923">
        <v>43251</v>
      </c>
      <c r="L492" s="923">
        <v>43677</v>
      </c>
      <c r="M492" s="975"/>
      <c r="N492" s="975"/>
      <c r="O492" s="975"/>
      <c r="P492" s="975"/>
      <c r="Q492" s="927"/>
      <c r="R492" s="975"/>
      <c r="S492" s="975"/>
      <c r="T492" s="975">
        <v>0</v>
      </c>
      <c r="U492" s="975">
        <v>0</v>
      </c>
      <c r="V492" s="975">
        <v>0</v>
      </c>
      <c r="W492" s="975">
        <v>9</v>
      </c>
      <c r="X492" s="975">
        <v>0</v>
      </c>
      <c r="Y492" s="975">
        <v>9</v>
      </c>
      <c r="Z492" s="975">
        <v>9</v>
      </c>
      <c r="AA492" s="975">
        <v>2</v>
      </c>
      <c r="AB492" s="975">
        <v>0</v>
      </c>
      <c r="AC492" s="975">
        <v>2</v>
      </c>
      <c r="AD492" s="975"/>
      <c r="AE492" s="975">
        <v>5</v>
      </c>
      <c r="AF492" s="975"/>
      <c r="AG492" s="975"/>
      <c r="AH492" s="975">
        <v>2</v>
      </c>
      <c r="AI492" s="975">
        <v>1</v>
      </c>
      <c r="AJ492" s="975">
        <v>0</v>
      </c>
      <c r="AK492" s="975">
        <v>1</v>
      </c>
      <c r="AL492" s="975">
        <v>1</v>
      </c>
      <c r="AM492" s="975">
        <v>0</v>
      </c>
      <c r="AN492" s="975">
        <v>1</v>
      </c>
      <c r="AO492" s="950"/>
      <c r="AP492" s="927">
        <v>0</v>
      </c>
      <c r="AQ492" s="912">
        <v>0</v>
      </c>
      <c r="AR492" s="917"/>
      <c r="AS492" s="975"/>
      <c r="AT492" s="975"/>
      <c r="AU492" s="975"/>
      <c r="AV492" s="975"/>
      <c r="AW492" s="918">
        <v>0</v>
      </c>
      <c r="AX492" s="918" t="s">
        <v>144</v>
      </c>
      <c r="AY492" s="918" t="s">
        <v>144</v>
      </c>
      <c r="AZ492" s="918">
        <v>0</v>
      </c>
      <c r="BA492" s="975"/>
      <c r="BB492" s="927">
        <v>4</v>
      </c>
      <c r="BC492" s="920"/>
      <c r="BD492" s="975"/>
      <c r="BE492" s="975"/>
      <c r="BF492" s="975"/>
      <c r="BG492" s="975"/>
      <c r="BH492" s="975"/>
      <c r="BI492" s="918">
        <v>0</v>
      </c>
      <c r="BJ492" s="918">
        <v>0</v>
      </c>
      <c r="BK492" s="918">
        <v>260</v>
      </c>
      <c r="BL492" s="918">
        <v>0</v>
      </c>
      <c r="BM492" s="918" t="s">
        <v>144</v>
      </c>
      <c r="BN492" s="918">
        <v>1</v>
      </c>
      <c r="BO492" s="917"/>
      <c r="BP492" s="920"/>
      <c r="BQ492" s="919">
        <f>IFERROR(WWWW[[#This Row],['#_Water sources treated]]/WWWW[[#This Row],['#_Water sources tested for contamination]],"no test")</f>
        <v>0</v>
      </c>
      <c r="BR492" s="917">
        <f>IFERROR(WWWW[[#This Row],['#_Household received remediation action due to contamination]]/WWWW[[#This Row],['#_Household water samples tested for contamination]],"no test")</f>
        <v>1</v>
      </c>
      <c r="BS492" s="918" t="str">
        <f>IF(AND(WWWW[[#This Row],[% of water sources treated]]="no test",WWWW[[#This Row],[% Household received corrective actions]]="no test"),"No Test","Tested")</f>
        <v>Tested</v>
      </c>
      <c r="BT492" s="918">
        <f>WWWW[[#This Row],['#_Constructed/existing protected hand dug well]]-WWWW[[#This Row],['#_Non-functional protected hand dug well]]</f>
        <v>0</v>
      </c>
      <c r="BU492" s="918">
        <f>(WWWW[[#This Row],['#_Constructed/Existing tube wells/boreholes/handpumps_WASH_agency]]+WWWW[[#This Row],['#_Non-Cluster partner water tube-wells/boreholes/handpumps]])-WWWW[[#This Row],['#_Non-functional tube wells/boreholes/handpumps]]</f>
        <v>0</v>
      </c>
      <c r="BV492" s="918">
        <f>WWWW[[#This Row],['#_Constructed/Existingwater storage tank with gravity fed reticulation system]]-WWWW[[#This Row],['#_Non-functional storage tank gravity fed reticulation system]]</f>
        <v>2</v>
      </c>
      <c r="BW492" s="918">
        <f>WWWW[[#This Row],['#_Water boating or water trucking]]</f>
        <v>0</v>
      </c>
      <c r="BX492" s="918">
        <f>WWWW[[#This Row],['#_Constructed/Existing water distribution system from river or natural spring]]</f>
        <v>0</v>
      </c>
      <c r="BY492" s="91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5.0276520864756161E-2</v>
      </c>
      <c r="BZ492" s="91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5.0276520864756161E-2</v>
      </c>
      <c r="CA492" s="917">
        <f>IF(WWWW[[#This Row],[Location Type 1]]="Village",WWWW[[#This Row],[Access to safe drinking water for Village]],WWWW[[#This Row],[Access to safe drinking water for Camp]])</f>
        <v>5.0276520864756161E-2</v>
      </c>
      <c r="CB492" s="927">
        <f>WWWW[[#This Row],[%Equitable and continuous access to sufficient quantity of safe drinking water]]*WWWW[[#This Row],[Total PoP ]]</f>
        <v>133.33333333333334</v>
      </c>
      <c r="CC492" s="917">
        <f>IF((WWWW[[#This Row],['#_Constructed/Existing protected/fenced ponds]]*250)/WWWW[[#This Row],[Total PoP ]]&gt;1,1,(WWWW[[#This Row],['#_Constructed/Existing protected/fenced ponds]]*250)/WWWW[[#This Row],[Total PoP ]])</f>
        <v>0.47134238310708898</v>
      </c>
      <c r="CD492" s="927">
        <f>WWWW[[#This Row],[% Access to unimproved water points]]*WWWW[[#This Row],[Total PoP ]]</f>
        <v>1250</v>
      </c>
      <c r="CE492" s="91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0.52161890397184518</v>
      </c>
      <c r="CF492" s="92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1383.3333333333333</v>
      </c>
      <c r="CG492" s="903">
        <f>WWWW[[#This Row],[HRP1]]/500</f>
        <v>2.7666666666666666</v>
      </c>
      <c r="CH492" s="916">
        <f>1-WWWW[[#This Row],[% Equitable and continuous access to sufficient quantity of domestic water]]</f>
        <v>0.47838109602815482</v>
      </c>
      <c r="CI492" s="927">
        <f>WWWW[[#This Row],[%equitable and continuous access to sufficient quantity of safe drinking and domestic water''s GAP]]*WWWW[[#This Row],[Total PoP ]]</f>
        <v>1268.6666666666665</v>
      </c>
      <c r="CJ492" s="918">
        <f>IF(WWWW[[#This Row],[Total required water points]]-WWWW[[#This Row],['#Water points coverage]]&lt;0,0,WWWW[[#This Row],[Total required water points]]-WWWW[[#This Row],['#Water points coverage]])</f>
        <v>2.2333333333333334</v>
      </c>
      <c r="CK492" s="918">
        <f>ROUND(IF(WWWW[[#This Row],[Total PoP ]]&lt;500,1,WWWW[[#This Row],[Total PoP ]]/500),0)</f>
        <v>5</v>
      </c>
      <c r="CL492" s="918">
        <f>(WWWW[[#This Row],['#_Constructed latrines_by_WASHAgencies]]+WWWW[[#This Row],['#_Non Cluster partner latrines]])-WWWW[[#This Row],['#_Non-functional latrines]]</f>
        <v>0</v>
      </c>
      <c r="CM492" s="919">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92" s="927">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92" s="930"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492" s="918" t="str">
        <f>IF(WWWW[[#This Row],[Location Type 1]]="Village","NA",IF(WWWW[[#This Row],['#_Constructed/Existing latrines in TLS]]*50&gt;WWWW[[#This Row],['#_students at TLS_CFS]],WWWW[[#This Row],['#_students at TLS_CFS]],(WWWW[[#This Row],['#_Constructed/Existing latrines in TLS]]*50)))</f>
        <v>NA</v>
      </c>
      <c r="CQ492" s="918">
        <f>ROUND(IF(WWWW[[#This Row],[Location Type 1]]="camp",WWWW[[#This Row],[Total PoP ]]/20,IF(WWWW[[#This Row],[Location Type 1]]="Temporary Location",WWWW[[#This Row],[Total PoP ]]/50,(WWWW[[#This Row],[Total PoP ]]/6))),0)</f>
        <v>442</v>
      </c>
      <c r="CR492" s="918">
        <f>IF(WWWW[[#This Row],[Total required Latrines]]-(WWWW[[#This Row],['#_Constructed latrines_by_WASHAgencies]]+WWWW[[#This Row],['#_Non Cluster partner latrines]])&lt;0,0,WWWW[[#This Row],[Total required Latrines]]-(WWWW[[#This Row],['#_Constructed latrines_by_WASHAgencies]]+WWWW[[#This Row],['#_Non Cluster partner latrines]]))</f>
        <v>442</v>
      </c>
      <c r="CS492" s="924">
        <f>1-WWWW[[#This Row],[% people access to functioning Latrine]]</f>
        <v>1</v>
      </c>
      <c r="CT492" s="919">
        <f>IF(OR(WWWW[[#This Row],['#_Non-functional latrines]]="",WWWW[[#This Row],['#_Non-functional latrines]]=0),0,WWWW[[#This Row],['#_Non-functional latrines]]/(WWWW[[#This Row],['#_Constructed latrines_by_WASHAgencies]]+WWWW[[#This Row],['#_Non Cluster partner latrines]]))</f>
        <v>0</v>
      </c>
      <c r="CU492" s="927">
        <f>IF(500*(WWWW[[#This Row],['#_male hygiene promoters]]+WWWW[[#This Row],['#_female hygiene promoters]])&gt;WWWW[[#This Row],[Total PoP ]],WWWW[[#This Row],[Total PoP ]],500*(WWWW[[#This Row],['#_male hygiene promoters]]+WWWW[[#This Row],['#_female hygiene promoters]]))</f>
        <v>0</v>
      </c>
      <c r="CV492" s="918">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2652</v>
      </c>
      <c r="CW492" s="918">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92" s="918">
        <f>IF(WWWW[[#This Row],['# People with access to soap]]&gt;WWWW[[#This Row],['# People with access to Sanity Pads]],WWWW[[#This Row],['# People with access to soap]],WWWW[[#This Row],['# People with access to Sanity Pads]])</f>
        <v>2652</v>
      </c>
      <c r="CY492" s="918">
        <f>IF(WWWW[[#This Row],['# people reached by regular dedicated hygiene promotion_5]]&gt;WWWW[[#This Row],['# People received regular supply of hygiene items_6]],WWWW[[#This Row],['# people reached by regular dedicated hygiene promotion_5]],WWWW[[#This Row],['# People received regular supply of hygiene items_6]])</f>
        <v>2652</v>
      </c>
      <c r="CZ492" s="916">
        <f>IF(WWWW[[#This Row],[HRP3]]/WWWW[[#This Row],[Total PoP ]]&gt;100%,100%,WWWW[[#This Row],[HRP3]]/WWWW[[#This Row],[Total PoP ]])</f>
        <v>1</v>
      </c>
      <c r="DA492" s="919">
        <f>1-WWWW[[#This Row],[Hygiene Coverage%]]</f>
        <v>0</v>
      </c>
      <c r="DB492" s="904">
        <f>WWWW[[#This Row],['# people reached by regular dedicated hygiene promotion_5]]/WWWW[[#This Row],[Total PoP ]]</f>
        <v>0</v>
      </c>
      <c r="DC492" s="904">
        <f>IF(WWWW[[#This Row],['#_households that received standard amount of soap for this quarter]]/WWWW[[#This Row],[Total HH]]&gt;1,1,WWWW[[#This Row],['#_households that received standard amount of soap for this quarter]]/WWWW[[#This Row],[Total HH]])</f>
        <v>1</v>
      </c>
      <c r="DD492" s="904">
        <f>IF(WWWW[[#This Row],['#_households that received standard amount of sanitary pads for this quarter]]/WWWW[[#This Row],[Total HH]]&gt;1,1,WWWW[[#This Row],['#_households that received standard amount of sanitary pads for this quarter]]/WWWW[[#This Row],[Total HH]])</f>
        <v>0</v>
      </c>
      <c r="DE492" s="712">
        <f>WWWW[[#This Row],['#_Constructed/Existing hand washing stations]]-WWWW[[#This Row],['#_Non-Functional_hand_washing_stations]]</f>
        <v>0</v>
      </c>
      <c r="DF492" s="902" t="e">
        <f>WWWW[[#This Row],[Total HH]]*#REF!</f>
        <v>#REF!</v>
      </c>
      <c r="DG492" s="903">
        <f>IF(WWWW[[#This Row],[Is sufficient soap available for TLS? (Yes/No)]]="yes",WWWW[[#This Row],['#_Constructed/Existing hand washing stations at TLS]],0)</f>
        <v>0</v>
      </c>
      <c r="DH492" s="903">
        <f>IF(WWWW[[#This Row],['# Functional hand washing stations during reporting period]]*100&gt;WWWW[[#This Row],[Total PoP ]],WWWW[[#This Row],[Total PoP ]],WWWW[[#This Row],['# Functional hand washing stations during reporting period]]*100)</f>
        <v>0</v>
      </c>
      <c r="DI492" s="903" t="str">
        <f>IF(WWWW[[#This Row],['#_students at TLS_CFS]]="","No","Yes")</f>
        <v>No</v>
      </c>
      <c r="DJ492" s="920">
        <f>VLOOKUP(WWWW[[#This Row],[Site Name]],SiteDB6[[Site Name]:[CCCM Management]],6,FALSE)</f>
        <v>0</v>
      </c>
      <c r="DK492" s="920">
        <f>VLOOKUP(WWWW[[#This Row],[Site Name]],SiteDB6[[Site Name]:[CCCM Focal Agency]],7,FALSE)</f>
        <v>0</v>
      </c>
      <c r="DL492" s="920" t="str">
        <f>VLOOKUP(WWWW[[#This Row],[Site Name]],SiteDB6[[Site Name]:[Location Type 1]],9,FALSE)</f>
        <v>Village</v>
      </c>
      <c r="DM492" s="920" t="str">
        <f>VLOOKUP(WWWW[[#This Row],[Site Name]],SiteDB6[[Site Name]:[Type of Accommodation]],10,FALSE)</f>
        <v>Village</v>
      </c>
      <c r="DN492" s="920" t="str">
        <f>VLOOKUP(WWWW[[#This Row],[Site Name]],SiteDB6[[Site Name]:[Ethnic or GCA/NGCA]],11,FALSE)</f>
        <v>Muslim</v>
      </c>
      <c r="DO492" s="920">
        <f>VLOOKUP(WWWW[[#This Row],[Site Name]],SiteDB6[[Site Name]:[Lat]],12,FALSE)</f>
        <v>20.775840759277301</v>
      </c>
      <c r="DP492" s="920">
        <f>VLOOKUP(WWWW[[#This Row],[Site Name]],SiteDB6[[Site Name]:[Long]],13,FALSE)</f>
        <v>92.613082885742202</v>
      </c>
      <c r="DQ492" s="920">
        <f>VLOOKUP(WWWW[[#This Row],[Site Name]],SiteDB6[[Site Name]:[Pcode]],3,FALSE)</f>
        <v>198407</v>
      </c>
      <c r="DR492" s="950" t="str">
        <f t="shared" si="17"/>
        <v>Covered</v>
      </c>
      <c r="DS492" s="950"/>
      <c r="DT492" s="913"/>
      <c r="DU492" s="913"/>
      <c r="DV492" s="938"/>
      <c r="DW492" s="913"/>
      <c r="DX492" s="914"/>
      <c r="DY492" s="914"/>
      <c r="DZ492" s="915"/>
      <c r="EA492" s="915"/>
      <c r="EB492" s="915"/>
      <c r="EC492" s="915"/>
      <c r="ED492" s="915"/>
      <c r="EE492" s="915"/>
      <c r="EF492" s="915"/>
      <c r="EG492" s="915"/>
      <c r="EH492" s="915"/>
    </row>
    <row r="493" spans="1:138" s="911" customFormat="1">
      <c r="A493" s="637" t="s">
        <v>2525</v>
      </c>
      <c r="B493" s="912" t="s">
        <v>3272</v>
      </c>
      <c r="C493" s="912" t="s">
        <v>387</v>
      </c>
      <c r="D493" s="912" t="s">
        <v>252</v>
      </c>
      <c r="E493" s="912" t="s">
        <v>3013</v>
      </c>
      <c r="F493" s="912" t="s">
        <v>337</v>
      </c>
      <c r="G493" s="959" t="str">
        <f>VLOOKUP(WWWW[[#This Row],[Site Name]],SiteDB6[[Site Name]:[Location Type]],8,FALSE)</f>
        <v>Village</v>
      </c>
      <c r="H493" s="977" t="s">
        <v>602</v>
      </c>
      <c r="I493" s="979">
        <v>55</v>
      </c>
      <c r="J493" s="927">
        <v>233</v>
      </c>
      <c r="K493" s="923">
        <v>43251</v>
      </c>
      <c r="L493" s="923">
        <v>43677</v>
      </c>
      <c r="M493" s="975"/>
      <c r="N493" s="975"/>
      <c r="O493" s="975"/>
      <c r="P493" s="975"/>
      <c r="Q493" s="927"/>
      <c r="R493" s="975"/>
      <c r="S493" s="975"/>
      <c r="T493" s="975">
        <v>0</v>
      </c>
      <c r="U493" s="975">
        <v>0</v>
      </c>
      <c r="V493" s="975">
        <v>0</v>
      </c>
      <c r="W493" s="975">
        <v>2</v>
      </c>
      <c r="X493" s="975">
        <v>0</v>
      </c>
      <c r="Y493" s="975">
        <v>0</v>
      </c>
      <c r="Z493" s="975">
        <v>2</v>
      </c>
      <c r="AA493" s="975">
        <v>0</v>
      </c>
      <c r="AB493" s="975">
        <v>0</v>
      </c>
      <c r="AC493" s="975">
        <v>0</v>
      </c>
      <c r="AD493" s="975"/>
      <c r="AE493" s="975">
        <v>1</v>
      </c>
      <c r="AF493" s="975"/>
      <c r="AG493" s="975"/>
      <c r="AH493" s="975">
        <v>2</v>
      </c>
      <c r="AI493" s="975">
        <v>1</v>
      </c>
      <c r="AJ493" s="975">
        <v>0</v>
      </c>
      <c r="AK493" s="975">
        <v>1</v>
      </c>
      <c r="AL493" s="975">
        <v>1</v>
      </c>
      <c r="AM493" s="975">
        <v>0</v>
      </c>
      <c r="AN493" s="975">
        <v>0</v>
      </c>
      <c r="AO493" s="950"/>
      <c r="AP493" s="927">
        <v>45</v>
      </c>
      <c r="AQ493" s="927">
        <v>45</v>
      </c>
      <c r="AR493" s="917"/>
      <c r="AS493" s="975"/>
      <c r="AT493" s="975"/>
      <c r="AU493" s="975"/>
      <c r="AV493" s="975"/>
      <c r="AW493" s="918">
        <v>0</v>
      </c>
      <c r="AX493" s="918" t="s">
        <v>144</v>
      </c>
      <c r="AY493" s="918" t="s">
        <v>144</v>
      </c>
      <c r="AZ493" s="918">
        <v>0</v>
      </c>
      <c r="BA493" s="975"/>
      <c r="BB493" s="927">
        <v>0</v>
      </c>
      <c r="BC493" s="920"/>
      <c r="BD493" s="975"/>
      <c r="BE493" s="975"/>
      <c r="BF493" s="975"/>
      <c r="BG493" s="975"/>
      <c r="BH493" s="975"/>
      <c r="BI493" s="918">
        <v>0</v>
      </c>
      <c r="BJ493" s="918">
        <v>0</v>
      </c>
      <c r="BK493" s="918">
        <v>55</v>
      </c>
      <c r="BL493" s="918">
        <v>0</v>
      </c>
      <c r="BM493" s="918" t="s">
        <v>144</v>
      </c>
      <c r="BN493" s="918">
        <v>2</v>
      </c>
      <c r="BO493" s="917"/>
      <c r="BP493" s="920"/>
      <c r="BQ493" s="919">
        <f>IFERROR(WWWW[[#This Row],['#_Water sources treated]]/WWWW[[#This Row],['#_Water sources tested for contamination]],"no test")</f>
        <v>0</v>
      </c>
      <c r="BR493" s="917">
        <f>IFERROR(WWWW[[#This Row],['#_Household received remediation action due to contamination]]/WWWW[[#This Row],['#_Household water samples tested for contamination]],"no test")</f>
        <v>1</v>
      </c>
      <c r="BS493" s="918" t="str">
        <f>IF(AND(WWWW[[#This Row],[% of water sources treated]]="no test",WWWW[[#This Row],[% Household received corrective actions]]="no test"),"No Test","Tested")</f>
        <v>Tested</v>
      </c>
      <c r="BT493" s="918">
        <f>WWWW[[#This Row],['#_Constructed/existing protected hand dug well]]-WWWW[[#This Row],['#_Non-functional protected hand dug well]]</f>
        <v>0</v>
      </c>
      <c r="BU493" s="918">
        <f>(WWWW[[#This Row],['#_Constructed/Existing tube wells/boreholes/handpumps_WASH_agency]]+WWWW[[#This Row],['#_Non-Cluster partner water tube-wells/boreholes/handpumps]])-WWWW[[#This Row],['#_Non-functional tube wells/boreholes/handpumps]]</f>
        <v>2</v>
      </c>
      <c r="BV493" s="918">
        <f>WWWW[[#This Row],['#_Constructed/Existingwater storage tank with gravity fed reticulation system]]-WWWW[[#This Row],['#_Non-functional storage tank gravity fed reticulation system]]</f>
        <v>0</v>
      </c>
      <c r="BW493" s="918">
        <f>WWWW[[#This Row],['#_Water boating or water trucking]]</f>
        <v>0</v>
      </c>
      <c r="BX493" s="918">
        <f>WWWW[[#This Row],['#_Constructed/Existing water distribution system from river or natural spring]]</f>
        <v>0</v>
      </c>
      <c r="BY493" s="91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493" s="91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493" s="917">
        <f>IF(WWWW[[#This Row],[Location Type 1]]="Village",WWWW[[#This Row],[Access to safe drinking water for Village]],WWWW[[#This Row],[Access to safe drinking water for Camp]])</f>
        <v>1</v>
      </c>
      <c r="CB493" s="927">
        <f>WWWW[[#This Row],[%Equitable and continuous access to sufficient quantity of safe drinking water]]*WWWW[[#This Row],[Total PoP ]]</f>
        <v>233</v>
      </c>
      <c r="CC493" s="917">
        <f>IF((WWWW[[#This Row],['#_Constructed/Existing protected/fenced ponds]]*250)/WWWW[[#This Row],[Total PoP ]]&gt;1,1,(WWWW[[#This Row],['#_Constructed/Existing protected/fenced ponds]]*250)/WWWW[[#This Row],[Total PoP ]])</f>
        <v>1</v>
      </c>
      <c r="CD493" s="927">
        <f>WWWW[[#This Row],[% Access to unimproved water points]]*WWWW[[#This Row],[Total PoP ]]</f>
        <v>233</v>
      </c>
      <c r="CE493" s="91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493" s="92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233</v>
      </c>
      <c r="CG493" s="903">
        <f>WWWW[[#This Row],[HRP1]]/500</f>
        <v>0.46600000000000003</v>
      </c>
      <c r="CH493" s="916">
        <f>1-WWWW[[#This Row],[% Equitable and continuous access to sufficient quantity of domestic water]]</f>
        <v>0</v>
      </c>
      <c r="CI493" s="927">
        <f>WWWW[[#This Row],[%equitable and continuous access to sufficient quantity of safe drinking and domestic water''s GAP]]*WWWW[[#This Row],[Total PoP ]]</f>
        <v>0</v>
      </c>
      <c r="CJ493" s="918">
        <f>IF(WWWW[[#This Row],[Total required water points]]-WWWW[[#This Row],['#Water points coverage]]&lt;0,0,WWWW[[#This Row],[Total required water points]]-WWWW[[#This Row],['#Water points coverage]])</f>
        <v>0.53400000000000003</v>
      </c>
      <c r="CK493" s="918">
        <f>ROUND(IF(WWWW[[#This Row],[Total PoP ]]&lt;500,1,WWWW[[#This Row],[Total PoP ]]/500),0)</f>
        <v>1</v>
      </c>
      <c r="CL493" s="918">
        <f>(WWWW[[#This Row],['#_Constructed latrines_by_WASHAgencies]]+WWWW[[#This Row],['#_Non Cluster partner latrines]])-WWWW[[#This Row],['#_Non-functional latrines]]</f>
        <v>90</v>
      </c>
      <c r="CM493" s="919">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493" s="927">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233</v>
      </c>
      <c r="CO493" s="930"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493" s="918" t="str">
        <f>IF(WWWW[[#This Row],[Location Type 1]]="Village","NA",IF(WWWW[[#This Row],['#_Constructed/Existing latrines in TLS]]*50&gt;WWWW[[#This Row],['#_students at TLS_CFS]],WWWW[[#This Row],['#_students at TLS_CFS]],(WWWW[[#This Row],['#_Constructed/Existing latrines in TLS]]*50)))</f>
        <v>NA</v>
      </c>
      <c r="CQ493" s="918">
        <f>ROUND(IF(WWWW[[#This Row],[Location Type 1]]="camp",WWWW[[#This Row],[Total PoP ]]/20,IF(WWWW[[#This Row],[Location Type 1]]="Temporary Location",WWWW[[#This Row],[Total PoP ]]/50,(WWWW[[#This Row],[Total PoP ]]/6))),0)</f>
        <v>39</v>
      </c>
      <c r="CR493" s="918">
        <f>IF(WWWW[[#This Row],[Total required Latrines]]-(WWWW[[#This Row],['#_Constructed latrines_by_WASHAgencies]]+WWWW[[#This Row],['#_Non Cluster partner latrines]])&lt;0,0,WWWW[[#This Row],[Total required Latrines]]-(WWWW[[#This Row],['#_Constructed latrines_by_WASHAgencies]]+WWWW[[#This Row],['#_Non Cluster partner latrines]]))</f>
        <v>0</v>
      </c>
      <c r="CS493" s="924">
        <f>1-WWWW[[#This Row],[% people access to functioning Latrine]]</f>
        <v>0</v>
      </c>
      <c r="CT493" s="919">
        <f>IF(OR(WWWW[[#This Row],['#_Non-functional latrines]]="",WWWW[[#This Row],['#_Non-functional latrines]]=0),0,WWWW[[#This Row],['#_Non-functional latrines]]/(WWWW[[#This Row],['#_Constructed latrines_by_WASHAgencies]]+WWWW[[#This Row],['#_Non Cluster partner latrines]]))</f>
        <v>0</v>
      </c>
      <c r="CU493" s="927">
        <f>IF(500*(WWWW[[#This Row],['#_male hygiene promoters]]+WWWW[[#This Row],['#_female hygiene promoters]])&gt;WWWW[[#This Row],[Total PoP ]],WWWW[[#This Row],[Total PoP ]],500*(WWWW[[#This Row],['#_male hygiene promoters]]+WWWW[[#This Row],['#_female hygiene promoters]]))</f>
        <v>0</v>
      </c>
      <c r="CV493" s="918">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233</v>
      </c>
      <c r="CW493" s="918">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493" s="918">
        <f>IF(WWWW[[#This Row],['# People with access to soap]]&gt;WWWW[[#This Row],['# People with access to Sanity Pads]],WWWW[[#This Row],['# People with access to soap]],WWWW[[#This Row],['# People with access to Sanity Pads]])</f>
        <v>233</v>
      </c>
      <c r="CY493" s="918">
        <f>IF(WWWW[[#This Row],['# people reached by regular dedicated hygiene promotion_5]]&gt;WWWW[[#This Row],['# People received regular supply of hygiene items_6]],WWWW[[#This Row],['# people reached by regular dedicated hygiene promotion_5]],WWWW[[#This Row],['# People received regular supply of hygiene items_6]])</f>
        <v>233</v>
      </c>
      <c r="CZ493" s="916">
        <f>IF(WWWW[[#This Row],[HRP3]]/WWWW[[#This Row],[Total PoP ]]&gt;100%,100%,WWWW[[#This Row],[HRP3]]/WWWW[[#This Row],[Total PoP ]])</f>
        <v>1</v>
      </c>
      <c r="DA493" s="919">
        <f>1-WWWW[[#This Row],[Hygiene Coverage%]]</f>
        <v>0</v>
      </c>
      <c r="DB493" s="904">
        <f>WWWW[[#This Row],['# people reached by regular dedicated hygiene promotion_5]]/WWWW[[#This Row],[Total PoP ]]</f>
        <v>0</v>
      </c>
      <c r="DC493" s="904">
        <f>IF(WWWW[[#This Row],['#_households that received standard amount of soap for this quarter]]/WWWW[[#This Row],[Total HH]]&gt;1,1,WWWW[[#This Row],['#_households that received standard amount of soap for this quarter]]/WWWW[[#This Row],[Total HH]])</f>
        <v>1</v>
      </c>
      <c r="DD493" s="904">
        <f>IF(WWWW[[#This Row],['#_households that received standard amount of sanitary pads for this quarter]]/WWWW[[#This Row],[Total HH]]&gt;1,1,WWWW[[#This Row],['#_households that received standard amount of sanitary pads for this quarter]]/WWWW[[#This Row],[Total HH]])</f>
        <v>0</v>
      </c>
      <c r="DE493" s="712">
        <f>WWWW[[#This Row],['#_Constructed/Existing hand washing stations]]-WWWW[[#This Row],['#_Non-Functional_hand_washing_stations]]</f>
        <v>0</v>
      </c>
      <c r="DF493" s="902" t="e">
        <f>WWWW[[#This Row],[Total HH]]*#REF!</f>
        <v>#REF!</v>
      </c>
      <c r="DG493" s="903">
        <f>IF(WWWW[[#This Row],[Is sufficient soap available for TLS? (Yes/No)]]="yes",WWWW[[#This Row],['#_Constructed/Existing hand washing stations at TLS]],0)</f>
        <v>0</v>
      </c>
      <c r="DH493" s="903">
        <f>IF(WWWW[[#This Row],['# Functional hand washing stations during reporting period]]*100&gt;WWWW[[#This Row],[Total PoP ]],WWWW[[#This Row],[Total PoP ]],WWWW[[#This Row],['# Functional hand washing stations during reporting period]]*100)</f>
        <v>0</v>
      </c>
      <c r="DI493" s="903" t="str">
        <f>IF(WWWW[[#This Row],['#_students at TLS_CFS]]="","No","Yes")</f>
        <v>No</v>
      </c>
      <c r="DJ493" s="920">
        <f>VLOOKUP(WWWW[[#This Row],[Site Name]],SiteDB6[[Site Name]:[CCCM Management]],6,FALSE)</f>
        <v>0</v>
      </c>
      <c r="DK493" s="920">
        <f>VLOOKUP(WWWW[[#This Row],[Site Name]],SiteDB6[[Site Name]:[CCCM Focal Agency]],7,FALSE)</f>
        <v>0</v>
      </c>
      <c r="DL493" s="920" t="str">
        <f>VLOOKUP(WWWW[[#This Row],[Site Name]],SiteDB6[[Site Name]:[Location Type 1]],9,FALSE)</f>
        <v>Village</v>
      </c>
      <c r="DM493" s="920" t="str">
        <f>VLOOKUP(WWWW[[#This Row],[Site Name]],SiteDB6[[Site Name]:[Type of Accommodation]],10,FALSE)</f>
        <v>Village</v>
      </c>
      <c r="DN493" s="920" t="str">
        <f>VLOOKUP(WWWW[[#This Row],[Site Name]],SiteDB6[[Site Name]:[Ethnic or GCA/NGCA]],11,FALSE)</f>
        <v>Rakhine</v>
      </c>
      <c r="DO493" s="920">
        <f>VLOOKUP(WWWW[[#This Row],[Site Name]],SiteDB6[[Site Name]:[Lat]],12,FALSE)</f>
        <v>20.76407051</v>
      </c>
      <c r="DP493" s="920">
        <f>VLOOKUP(WWWW[[#This Row],[Site Name]],SiteDB6[[Site Name]:[Long]],13,FALSE)</f>
        <v>92.631126399999999</v>
      </c>
      <c r="DQ493" s="920">
        <f>VLOOKUP(WWWW[[#This Row],[Site Name]],SiteDB6[[Site Name]:[Pcode]],3,FALSE)</f>
        <v>198408</v>
      </c>
      <c r="DR493" s="950" t="str">
        <f t="shared" si="17"/>
        <v>Covered</v>
      </c>
      <c r="DS493" s="950"/>
      <c r="DT493" s="913"/>
      <c r="DU493" s="913"/>
      <c r="DV493" s="938"/>
      <c r="DW493" s="913"/>
      <c r="DX493" s="914"/>
      <c r="DY493" s="914"/>
      <c r="DZ493" s="915"/>
      <c r="EA493" s="915"/>
      <c r="EB493" s="915"/>
      <c r="EC493" s="915"/>
      <c r="ED493" s="915"/>
      <c r="EE493" s="915"/>
      <c r="EF493" s="915"/>
      <c r="EG493" s="915"/>
      <c r="EH493" s="915"/>
    </row>
    <row r="494" spans="1:138" s="911" customFormat="1">
      <c r="A494" s="637" t="s">
        <v>2525</v>
      </c>
      <c r="B494" s="912" t="s">
        <v>3272</v>
      </c>
      <c r="C494" s="912" t="s">
        <v>387</v>
      </c>
      <c r="D494" s="912" t="s">
        <v>252</v>
      </c>
      <c r="E494" s="912" t="s">
        <v>3013</v>
      </c>
      <c r="F494" s="912" t="s">
        <v>337</v>
      </c>
      <c r="G494" s="959" t="str">
        <f>VLOOKUP(WWWW[[#This Row],[Site Name]],SiteDB6[[Site Name]:[Location Type]],8,FALSE)</f>
        <v>Village</v>
      </c>
      <c r="H494" s="977" t="s">
        <v>600</v>
      </c>
      <c r="I494" s="979">
        <v>166</v>
      </c>
      <c r="J494" s="927">
        <v>854</v>
      </c>
      <c r="K494" s="923">
        <v>43251</v>
      </c>
      <c r="L494" s="923">
        <v>43677</v>
      </c>
      <c r="M494" s="975"/>
      <c r="N494" s="975"/>
      <c r="O494" s="975"/>
      <c r="P494" s="975"/>
      <c r="Q494" s="927"/>
      <c r="R494" s="975"/>
      <c r="S494" s="975"/>
      <c r="T494" s="975">
        <v>1</v>
      </c>
      <c r="U494" s="975">
        <v>0</v>
      </c>
      <c r="V494" s="975">
        <v>0</v>
      </c>
      <c r="W494" s="975">
        <v>3</v>
      </c>
      <c r="X494" s="975">
        <v>1</v>
      </c>
      <c r="Y494" s="975">
        <v>3</v>
      </c>
      <c r="Z494" s="975">
        <v>3</v>
      </c>
      <c r="AA494" s="975">
        <v>2</v>
      </c>
      <c r="AB494" s="975">
        <v>0</v>
      </c>
      <c r="AC494" s="975">
        <v>0</v>
      </c>
      <c r="AD494" s="975"/>
      <c r="AE494" s="975">
        <v>2</v>
      </c>
      <c r="AF494" s="975"/>
      <c r="AG494" s="975"/>
      <c r="AH494" s="975">
        <v>0</v>
      </c>
      <c r="AI494" s="975">
        <v>1</v>
      </c>
      <c r="AJ494" s="975">
        <v>0</v>
      </c>
      <c r="AK494" s="975">
        <v>1</v>
      </c>
      <c r="AL494" s="975">
        <v>1</v>
      </c>
      <c r="AM494" s="975">
        <v>1</v>
      </c>
      <c r="AN494" s="975">
        <v>1</v>
      </c>
      <c r="AO494" s="950"/>
      <c r="AP494" s="927">
        <v>0</v>
      </c>
      <c r="AQ494" s="912">
        <v>0</v>
      </c>
      <c r="AR494" s="917"/>
      <c r="AS494" s="975"/>
      <c r="AT494" s="975"/>
      <c r="AU494" s="975"/>
      <c r="AV494" s="975"/>
      <c r="AW494" s="918">
        <v>0</v>
      </c>
      <c r="AX494" s="918" t="s">
        <v>144</v>
      </c>
      <c r="AY494" s="918" t="s">
        <v>144</v>
      </c>
      <c r="AZ494" s="918">
        <v>6</v>
      </c>
      <c r="BA494" s="975"/>
      <c r="BB494" s="927">
        <v>6</v>
      </c>
      <c r="BC494" s="920"/>
      <c r="BD494" s="975"/>
      <c r="BE494" s="975"/>
      <c r="BF494" s="975"/>
      <c r="BG494" s="975"/>
      <c r="BH494" s="975"/>
      <c r="BI494" s="918">
        <v>2</v>
      </c>
      <c r="BJ494" s="918">
        <v>2</v>
      </c>
      <c r="BK494" s="918">
        <v>166</v>
      </c>
      <c r="BL494" s="918">
        <v>166</v>
      </c>
      <c r="BM494" s="918" t="s">
        <v>144</v>
      </c>
      <c r="BN494" s="918">
        <v>1</v>
      </c>
      <c r="BO494" s="917"/>
      <c r="BP494" s="920"/>
      <c r="BQ494" s="919">
        <f>IFERROR(WWWW[[#This Row],['#_Water sources treated]]/WWWW[[#This Row],['#_Water sources tested for contamination]],"no test")</f>
        <v>0</v>
      </c>
      <c r="BR494" s="917">
        <f>IFERROR(WWWW[[#This Row],['#_Household received remediation action due to contamination]]/WWWW[[#This Row],['#_Household water samples tested for contamination]],"no test")</f>
        <v>1</v>
      </c>
      <c r="BS494" s="918" t="str">
        <f>IF(AND(WWWW[[#This Row],[% of water sources treated]]="no test",WWWW[[#This Row],[% Household received corrective actions]]="no test"),"No Test","Tested")</f>
        <v>Tested</v>
      </c>
      <c r="BT494" s="918">
        <f>WWWW[[#This Row],['#_Constructed/existing protected hand dug well]]-WWWW[[#This Row],['#_Non-functional protected hand dug well]]</f>
        <v>1</v>
      </c>
      <c r="BU494" s="918">
        <f>(WWWW[[#This Row],['#_Constructed/Existing tube wells/boreholes/handpumps_WASH_agency]]+WWWW[[#This Row],['#_Non-Cluster partner water tube-wells/boreholes/handpumps]])-WWWW[[#This Row],['#_Non-functional tube wells/boreholes/handpumps]]</f>
        <v>1</v>
      </c>
      <c r="BV494" s="918">
        <f>WWWW[[#This Row],['#_Constructed/Existingwater storage tank with gravity fed reticulation system]]-WWWW[[#This Row],['#_Non-functional storage tank gravity fed reticulation system]]</f>
        <v>2</v>
      </c>
      <c r="BW494" s="918">
        <f>WWWW[[#This Row],['#_Water boating or water trucking]]</f>
        <v>0</v>
      </c>
      <c r="BX494" s="918">
        <f>WWWW[[#This Row],['#_Constructed/Existing water distribution system from river or natural spring]]</f>
        <v>0</v>
      </c>
      <c r="BY494" s="91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494" s="91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0.74160811865729903</v>
      </c>
      <c r="CA494" s="917">
        <f>IF(WWWW[[#This Row],[Location Type 1]]="Village",WWWW[[#This Row],[Access to safe drinking water for Village]],WWWW[[#This Row],[Access to safe drinking water for Camp]])</f>
        <v>0.74160811865729903</v>
      </c>
      <c r="CB494" s="927">
        <f>WWWW[[#This Row],[%Equitable and continuous access to sufficient quantity of safe drinking water]]*WWWW[[#This Row],[Total PoP ]]</f>
        <v>633.33333333333337</v>
      </c>
      <c r="CC494" s="917">
        <f>IF((WWWW[[#This Row],['#_Constructed/Existing protected/fenced ponds]]*250)/WWWW[[#This Row],[Total PoP ]]&gt;1,1,(WWWW[[#This Row],['#_Constructed/Existing protected/fenced ponds]]*250)/WWWW[[#This Row],[Total PoP ]])</f>
        <v>0.58548009367681497</v>
      </c>
      <c r="CD494" s="927">
        <f>WWWW[[#This Row],[% Access to unimproved water points]]*WWWW[[#This Row],[Total PoP ]]</f>
        <v>500</v>
      </c>
      <c r="CE494" s="91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494" s="92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854</v>
      </c>
      <c r="CG494" s="903">
        <f>WWWW[[#This Row],[HRP1]]/500</f>
        <v>1.708</v>
      </c>
      <c r="CH494" s="916">
        <f>1-WWWW[[#This Row],[% Equitable and continuous access to sufficient quantity of domestic water]]</f>
        <v>0</v>
      </c>
      <c r="CI494" s="927">
        <f>WWWW[[#This Row],[%equitable and continuous access to sufficient quantity of safe drinking and domestic water''s GAP]]*WWWW[[#This Row],[Total PoP ]]</f>
        <v>0</v>
      </c>
      <c r="CJ494" s="918">
        <f>IF(WWWW[[#This Row],[Total required water points]]-WWWW[[#This Row],['#Water points coverage]]&lt;0,0,WWWW[[#This Row],[Total required water points]]-WWWW[[#This Row],['#Water points coverage]])</f>
        <v>0.29200000000000004</v>
      </c>
      <c r="CK494" s="918">
        <f>ROUND(IF(WWWW[[#This Row],[Total PoP ]]&lt;500,1,WWWW[[#This Row],[Total PoP ]]/500),0)</f>
        <v>2</v>
      </c>
      <c r="CL494" s="918">
        <f>(WWWW[[#This Row],['#_Constructed latrines_by_WASHAgencies]]+WWWW[[#This Row],['#_Non Cluster partner latrines]])-WWWW[[#This Row],['#_Non-functional latrines]]</f>
        <v>0</v>
      </c>
      <c r="CM494" s="919">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494" s="927">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494" s="930"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494" s="918" t="str">
        <f>IF(WWWW[[#This Row],[Location Type 1]]="Village","NA",IF(WWWW[[#This Row],['#_Constructed/Existing latrines in TLS]]*50&gt;WWWW[[#This Row],['#_students at TLS_CFS]],WWWW[[#This Row],['#_students at TLS_CFS]],(WWWW[[#This Row],['#_Constructed/Existing latrines in TLS]]*50)))</f>
        <v>NA</v>
      </c>
      <c r="CQ494" s="918">
        <f>ROUND(IF(WWWW[[#This Row],[Location Type 1]]="camp",WWWW[[#This Row],[Total PoP ]]/20,IF(WWWW[[#This Row],[Location Type 1]]="Temporary Location",WWWW[[#This Row],[Total PoP ]]/50,(WWWW[[#This Row],[Total PoP ]]/6))),0)</f>
        <v>142</v>
      </c>
      <c r="CR494" s="918">
        <f>IF(WWWW[[#This Row],[Total required Latrines]]-(WWWW[[#This Row],['#_Constructed latrines_by_WASHAgencies]]+WWWW[[#This Row],['#_Non Cluster partner latrines]])&lt;0,0,WWWW[[#This Row],[Total required Latrines]]-(WWWW[[#This Row],['#_Constructed latrines_by_WASHAgencies]]+WWWW[[#This Row],['#_Non Cluster partner latrines]]))</f>
        <v>142</v>
      </c>
      <c r="CS494" s="924">
        <f>1-WWWW[[#This Row],[% people access to functioning Latrine]]</f>
        <v>1</v>
      </c>
      <c r="CT494" s="919">
        <f>IF(OR(WWWW[[#This Row],['#_Non-functional latrines]]="",WWWW[[#This Row],['#_Non-functional latrines]]=0),0,WWWW[[#This Row],['#_Non-functional latrines]]/(WWWW[[#This Row],['#_Constructed latrines_by_WASHAgencies]]+WWWW[[#This Row],['#_Non Cluster partner latrines]]))</f>
        <v>0</v>
      </c>
      <c r="CU494" s="927">
        <f>IF(500*(WWWW[[#This Row],['#_male hygiene promoters]]+WWWW[[#This Row],['#_female hygiene promoters]])&gt;WWWW[[#This Row],[Total PoP ]],WWWW[[#This Row],[Total PoP ]],500*(WWWW[[#This Row],['#_male hygiene promoters]]+WWWW[[#This Row],['#_female hygiene promoters]]))</f>
        <v>854</v>
      </c>
      <c r="CV494" s="918">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854</v>
      </c>
      <c r="CW494" s="918">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854</v>
      </c>
      <c r="CX494" s="918">
        <f>IF(WWWW[[#This Row],['# People with access to soap]]&gt;WWWW[[#This Row],['# People with access to Sanity Pads]],WWWW[[#This Row],['# People with access to soap]],WWWW[[#This Row],['# People with access to Sanity Pads]])</f>
        <v>854</v>
      </c>
      <c r="CY494" s="918">
        <f>IF(WWWW[[#This Row],['# people reached by regular dedicated hygiene promotion_5]]&gt;WWWW[[#This Row],['# People received regular supply of hygiene items_6]],WWWW[[#This Row],['# people reached by regular dedicated hygiene promotion_5]],WWWW[[#This Row],['# People received regular supply of hygiene items_6]])</f>
        <v>854</v>
      </c>
      <c r="CZ494" s="916">
        <f>IF(WWWW[[#This Row],[HRP3]]/WWWW[[#This Row],[Total PoP ]]&gt;100%,100%,WWWW[[#This Row],[HRP3]]/WWWW[[#This Row],[Total PoP ]])</f>
        <v>1</v>
      </c>
      <c r="DA494" s="919">
        <f>1-WWWW[[#This Row],[Hygiene Coverage%]]</f>
        <v>0</v>
      </c>
      <c r="DB494" s="904">
        <f>WWWW[[#This Row],['# people reached by regular dedicated hygiene promotion_5]]/WWWW[[#This Row],[Total PoP ]]</f>
        <v>1</v>
      </c>
      <c r="DC494" s="904">
        <f>IF(WWWW[[#This Row],['#_households that received standard amount of soap for this quarter]]/WWWW[[#This Row],[Total HH]]&gt;1,1,WWWW[[#This Row],['#_households that received standard amount of soap for this quarter]]/WWWW[[#This Row],[Total HH]])</f>
        <v>1</v>
      </c>
      <c r="DD494" s="904">
        <f>IF(WWWW[[#This Row],['#_households that received standard amount of sanitary pads for this quarter]]/WWWW[[#This Row],[Total HH]]&gt;1,1,WWWW[[#This Row],['#_households that received standard amount of sanitary pads for this quarter]]/WWWW[[#This Row],[Total HH]])</f>
        <v>1</v>
      </c>
      <c r="DE494" s="712">
        <f>WWWW[[#This Row],['#_Constructed/Existing hand washing stations]]-WWWW[[#This Row],['#_Non-Functional_hand_washing_stations]]</f>
        <v>0</v>
      </c>
      <c r="DF494" s="902" t="e">
        <f>WWWW[[#This Row],[Total HH]]*#REF!</f>
        <v>#REF!</v>
      </c>
      <c r="DG494" s="903">
        <f>IF(WWWW[[#This Row],[Is sufficient soap available for TLS? (Yes/No)]]="yes",WWWW[[#This Row],['#_Constructed/Existing hand washing stations at TLS]],0)</f>
        <v>0</v>
      </c>
      <c r="DH494" s="903">
        <f>IF(WWWW[[#This Row],['# Functional hand washing stations during reporting period]]*100&gt;WWWW[[#This Row],[Total PoP ]],WWWW[[#This Row],[Total PoP ]],WWWW[[#This Row],['# Functional hand washing stations during reporting period]]*100)</f>
        <v>0</v>
      </c>
      <c r="DI494" s="903" t="str">
        <f>IF(WWWW[[#This Row],['#_students at TLS_CFS]]="","No","Yes")</f>
        <v>No</v>
      </c>
      <c r="DJ494" s="920">
        <f>VLOOKUP(WWWW[[#This Row],[Site Name]],SiteDB6[[Site Name]:[CCCM Management]],6,FALSE)</f>
        <v>0</v>
      </c>
      <c r="DK494" s="920">
        <f>VLOOKUP(WWWW[[#This Row],[Site Name]],SiteDB6[[Site Name]:[CCCM Focal Agency]],7,FALSE)</f>
        <v>0</v>
      </c>
      <c r="DL494" s="920" t="str">
        <f>VLOOKUP(WWWW[[#This Row],[Site Name]],SiteDB6[[Site Name]:[Location Type 1]],9,FALSE)</f>
        <v>Village</v>
      </c>
      <c r="DM494" s="920" t="str">
        <f>VLOOKUP(WWWW[[#This Row],[Site Name]],SiteDB6[[Site Name]:[Type of Accommodation]],10,FALSE)</f>
        <v>Village</v>
      </c>
      <c r="DN494" s="920" t="str">
        <f>VLOOKUP(WWWW[[#This Row],[Site Name]],SiteDB6[[Site Name]:[Ethnic or GCA/NGCA]],11,FALSE)</f>
        <v>Rakhine</v>
      </c>
      <c r="DO494" s="920">
        <f>VLOOKUP(WWWW[[#This Row],[Site Name]],SiteDB6[[Site Name]:[Lat]],12,FALSE)</f>
        <v>20.756410599999999</v>
      </c>
      <c r="DP494" s="920">
        <f>VLOOKUP(WWWW[[#This Row],[Site Name]],SiteDB6[[Site Name]:[Long]],13,FALSE)</f>
        <v>92.63580322</v>
      </c>
      <c r="DQ494" s="920">
        <f>VLOOKUP(WWWW[[#This Row],[Site Name]],SiteDB6[[Site Name]:[Pcode]],3,FALSE)</f>
        <v>198413</v>
      </c>
      <c r="DR494" s="950" t="str">
        <f t="shared" si="17"/>
        <v>Covered</v>
      </c>
      <c r="DS494" s="950"/>
      <c r="DT494" s="913"/>
      <c r="DU494" s="913"/>
      <c r="DV494" s="938"/>
      <c r="DW494" s="913"/>
      <c r="DX494" s="914"/>
      <c r="DY494" s="914"/>
      <c r="DZ494" s="915"/>
      <c r="EA494" s="915"/>
      <c r="EB494" s="915"/>
      <c r="EC494" s="915"/>
      <c r="ED494" s="915"/>
      <c r="EE494" s="915"/>
      <c r="EF494" s="915"/>
      <c r="EG494" s="915"/>
      <c r="EH494" s="915"/>
    </row>
    <row r="495" spans="1:138" s="911" customFormat="1">
      <c r="A495" s="637" t="s">
        <v>2525</v>
      </c>
      <c r="B495" s="912" t="s">
        <v>3272</v>
      </c>
      <c r="C495" s="912" t="s">
        <v>387</v>
      </c>
      <c r="D495" s="912" t="s">
        <v>252</v>
      </c>
      <c r="E495" s="912" t="s">
        <v>3013</v>
      </c>
      <c r="F495" s="912" t="s">
        <v>337</v>
      </c>
      <c r="G495" s="959" t="str">
        <f>VLOOKUP(WWWW[[#This Row],[Site Name]],SiteDB6[[Site Name]:[Location Type]],8,FALSE)</f>
        <v>village</v>
      </c>
      <c r="H495" s="980" t="s">
        <v>3072</v>
      </c>
      <c r="I495" s="979">
        <v>192</v>
      </c>
      <c r="J495" s="927">
        <v>1690</v>
      </c>
      <c r="K495" s="923">
        <v>43251</v>
      </c>
      <c r="L495" s="923">
        <v>43677</v>
      </c>
      <c r="M495" s="975"/>
      <c r="N495" s="975"/>
      <c r="O495" s="975"/>
      <c r="P495" s="975"/>
      <c r="Q495" s="927"/>
      <c r="R495" s="975"/>
      <c r="S495" s="975"/>
      <c r="T495" s="975">
        <v>0</v>
      </c>
      <c r="U495" s="975">
        <v>0</v>
      </c>
      <c r="V495" s="975">
        <v>0</v>
      </c>
      <c r="W495" s="975">
        <v>3</v>
      </c>
      <c r="X495" s="975">
        <v>3</v>
      </c>
      <c r="Y495" s="975">
        <v>0</v>
      </c>
      <c r="Z495" s="975">
        <v>3</v>
      </c>
      <c r="AA495" s="975">
        <v>0</v>
      </c>
      <c r="AB495" s="975">
        <v>0</v>
      </c>
      <c r="AC495" s="975">
        <v>0</v>
      </c>
      <c r="AD495" s="975"/>
      <c r="AE495" s="975">
        <v>2</v>
      </c>
      <c r="AF495" s="975"/>
      <c r="AG495" s="975"/>
      <c r="AH495" s="975">
        <v>2</v>
      </c>
      <c r="AI495" s="975">
        <v>1</v>
      </c>
      <c r="AJ495" s="975">
        <v>0</v>
      </c>
      <c r="AK495" s="975">
        <v>1</v>
      </c>
      <c r="AL495" s="975">
        <v>1</v>
      </c>
      <c r="AM495" s="975">
        <v>0</v>
      </c>
      <c r="AN495" s="975">
        <v>0</v>
      </c>
      <c r="AO495" s="950"/>
      <c r="AP495" s="927">
        <v>94</v>
      </c>
      <c r="AQ495" s="920">
        <v>94</v>
      </c>
      <c r="AR495" s="917"/>
      <c r="AS495" s="975"/>
      <c r="AT495" s="975"/>
      <c r="AU495" s="975"/>
      <c r="AV495" s="975"/>
      <c r="AW495" s="918">
        <v>94</v>
      </c>
      <c r="AX495" s="918" t="s">
        <v>144</v>
      </c>
      <c r="AY495" s="918" t="s">
        <v>144</v>
      </c>
      <c r="AZ495" s="918">
        <v>0</v>
      </c>
      <c r="BA495" s="975"/>
      <c r="BB495" s="927">
        <v>0</v>
      </c>
      <c r="BC495" s="920"/>
      <c r="BD495" s="975"/>
      <c r="BE495" s="975"/>
      <c r="BF495" s="975"/>
      <c r="BG495" s="975"/>
      <c r="BH495" s="975"/>
      <c r="BI495" s="918">
        <v>2</v>
      </c>
      <c r="BJ495" s="918">
        <v>1</v>
      </c>
      <c r="BK495" s="918">
        <v>282</v>
      </c>
      <c r="BL495" s="918">
        <v>282</v>
      </c>
      <c r="BM495" s="918" t="s">
        <v>144</v>
      </c>
      <c r="BN495" s="918">
        <v>2</v>
      </c>
      <c r="BO495" s="917"/>
      <c r="BP495" s="920"/>
      <c r="BQ495" s="919">
        <f>IFERROR(WWWW[[#This Row],['#_Water sources treated]]/WWWW[[#This Row],['#_Water sources tested for contamination]],"no test")</f>
        <v>0</v>
      </c>
      <c r="BR495" s="917">
        <f>IFERROR(WWWW[[#This Row],['#_Household received remediation action due to contamination]]/WWWW[[#This Row],['#_Household water samples tested for contamination]],"no test")</f>
        <v>1</v>
      </c>
      <c r="BS495" s="918" t="str">
        <f>IF(AND(WWWW[[#This Row],[% of water sources treated]]="no test",WWWW[[#This Row],[% Household received corrective actions]]="no test"),"No Test","Tested")</f>
        <v>Tested</v>
      </c>
      <c r="BT495" s="918">
        <f>WWWW[[#This Row],['#_Constructed/existing protected hand dug well]]-WWWW[[#This Row],['#_Non-functional protected hand dug well]]</f>
        <v>0</v>
      </c>
      <c r="BU495" s="918">
        <f>(WWWW[[#This Row],['#_Constructed/Existing tube wells/boreholes/handpumps_WASH_agency]]+WWWW[[#This Row],['#_Non-Cluster partner water tube-wells/boreholes/handpumps]])-WWWW[[#This Row],['#_Non-functional tube wells/boreholes/handpumps]]</f>
        <v>6</v>
      </c>
      <c r="BV495" s="918">
        <f>WWWW[[#This Row],['#_Constructed/Existingwater storage tank with gravity fed reticulation system]]-WWWW[[#This Row],['#_Non-functional storage tank gravity fed reticulation system]]</f>
        <v>0</v>
      </c>
      <c r="BW495" s="918">
        <f>WWWW[[#This Row],['#_Water boating or water trucking]]</f>
        <v>0</v>
      </c>
      <c r="BX495" s="918">
        <f>WWWW[[#This Row],['#_Constructed/Existing water distribution system from river or natural spring]]</f>
        <v>0</v>
      </c>
      <c r="BY495" s="91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495" s="91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0.8875739644970414</v>
      </c>
      <c r="CA495" s="917">
        <f>IF(WWWW[[#This Row],[Location Type 1]]="Village",WWWW[[#This Row],[Access to safe drinking water for Village]],WWWW[[#This Row],[Access to safe drinking water for Camp]])</f>
        <v>0.8875739644970414</v>
      </c>
      <c r="CB495" s="927">
        <f>WWWW[[#This Row],[%Equitable and continuous access to sufficient quantity of safe drinking water]]*WWWW[[#This Row],[Total PoP ]]</f>
        <v>1500</v>
      </c>
      <c r="CC495" s="917">
        <f>IF((WWWW[[#This Row],['#_Constructed/Existing protected/fenced ponds]]*250)/WWWW[[#This Row],[Total PoP ]]&gt;1,1,(WWWW[[#This Row],['#_Constructed/Existing protected/fenced ponds]]*250)/WWWW[[#This Row],[Total PoP ]])</f>
        <v>0.29585798816568049</v>
      </c>
      <c r="CD495" s="927">
        <f>WWWW[[#This Row],[% Access to unimproved water points]]*WWWW[[#This Row],[Total PoP ]]</f>
        <v>500</v>
      </c>
      <c r="CE495" s="91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495" s="92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1690</v>
      </c>
      <c r="CG495" s="903">
        <f>WWWW[[#This Row],[HRP1]]/500</f>
        <v>3.38</v>
      </c>
      <c r="CH495" s="916">
        <f>1-WWWW[[#This Row],[% Equitable and continuous access to sufficient quantity of domestic water]]</f>
        <v>0</v>
      </c>
      <c r="CI495" s="927">
        <f>WWWW[[#This Row],[%equitable and continuous access to sufficient quantity of safe drinking and domestic water''s GAP]]*WWWW[[#This Row],[Total PoP ]]</f>
        <v>0</v>
      </c>
      <c r="CJ495" s="918">
        <f>IF(WWWW[[#This Row],[Total required water points]]-WWWW[[#This Row],['#Water points coverage]]&lt;0,0,WWWW[[#This Row],[Total required water points]]-WWWW[[#This Row],['#Water points coverage]])</f>
        <v>0</v>
      </c>
      <c r="CK495" s="918">
        <f>ROUND(IF(WWWW[[#This Row],[Total PoP ]]&lt;500,1,WWWW[[#This Row],[Total PoP ]]/500),0)</f>
        <v>3</v>
      </c>
      <c r="CL495" s="918">
        <f>(WWWW[[#This Row],['#_Constructed latrines_by_WASHAgencies]]+WWWW[[#This Row],['#_Non Cluster partner latrines]])-WWWW[[#This Row],['#_Non-functional latrines]]</f>
        <v>188</v>
      </c>
      <c r="CM495" s="919">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0.66745562130177516</v>
      </c>
      <c r="CN495" s="927">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1128</v>
      </c>
      <c r="CO495" s="930"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495" s="918" t="str">
        <f>IF(WWWW[[#This Row],[Location Type 1]]="Village","NA",IF(WWWW[[#This Row],['#_Constructed/Existing latrines in TLS]]*50&gt;WWWW[[#This Row],['#_students at TLS_CFS]],WWWW[[#This Row],['#_students at TLS_CFS]],(WWWW[[#This Row],['#_Constructed/Existing latrines in TLS]]*50)))</f>
        <v>NA</v>
      </c>
      <c r="CQ495" s="918">
        <f>ROUND(IF(WWWW[[#This Row],[Location Type 1]]="camp",WWWW[[#This Row],[Total PoP ]]/20,IF(WWWW[[#This Row],[Location Type 1]]="Temporary Location",WWWW[[#This Row],[Total PoP ]]/50,(WWWW[[#This Row],[Total PoP ]]/6))),0)</f>
        <v>282</v>
      </c>
      <c r="CR495" s="918">
        <f>IF(WWWW[[#This Row],[Total required Latrines]]-(WWWW[[#This Row],['#_Constructed latrines_by_WASHAgencies]]+WWWW[[#This Row],['#_Non Cluster partner latrines]])&lt;0,0,WWWW[[#This Row],[Total required Latrines]]-(WWWW[[#This Row],['#_Constructed latrines_by_WASHAgencies]]+WWWW[[#This Row],['#_Non Cluster partner latrines]]))</f>
        <v>94</v>
      </c>
      <c r="CS495" s="924">
        <f>1-WWWW[[#This Row],[% people access to functioning Latrine]]</f>
        <v>0.33254437869822484</v>
      </c>
      <c r="CT495" s="919">
        <f>IF(OR(WWWW[[#This Row],['#_Non-functional latrines]]="",WWWW[[#This Row],['#_Non-functional latrines]]=0),0,WWWW[[#This Row],['#_Non-functional latrines]]/(WWWW[[#This Row],['#_Constructed latrines_by_WASHAgencies]]+WWWW[[#This Row],['#_Non Cluster partner latrines]]))</f>
        <v>0</v>
      </c>
      <c r="CU495" s="927">
        <f>IF(500*(WWWW[[#This Row],['#_male hygiene promoters]]+WWWW[[#This Row],['#_female hygiene promoters]])&gt;WWWW[[#This Row],[Total PoP ]],WWWW[[#This Row],[Total PoP ]],500*(WWWW[[#This Row],['#_male hygiene promoters]]+WWWW[[#This Row],['#_female hygiene promoters]]))</f>
        <v>1500</v>
      </c>
      <c r="CV495" s="918">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1410</v>
      </c>
      <c r="CW495" s="918">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1410</v>
      </c>
      <c r="CX495" s="918">
        <f>IF(WWWW[[#This Row],['# People with access to soap]]&gt;WWWW[[#This Row],['# People with access to Sanity Pads]],WWWW[[#This Row],['# People with access to soap]],WWWW[[#This Row],['# People with access to Sanity Pads]])</f>
        <v>1410</v>
      </c>
      <c r="CY495" s="918">
        <f>IF(WWWW[[#This Row],['# people reached by regular dedicated hygiene promotion_5]]&gt;WWWW[[#This Row],['# People received regular supply of hygiene items_6]],WWWW[[#This Row],['# people reached by regular dedicated hygiene promotion_5]],WWWW[[#This Row],['# People received regular supply of hygiene items_6]])</f>
        <v>1500</v>
      </c>
      <c r="CZ495" s="916">
        <f>IF(WWWW[[#This Row],[HRP3]]/WWWW[[#This Row],[Total PoP ]]&gt;100%,100%,WWWW[[#This Row],[HRP3]]/WWWW[[#This Row],[Total PoP ]])</f>
        <v>0.8875739644970414</v>
      </c>
      <c r="DA495" s="919">
        <f>1-WWWW[[#This Row],[Hygiene Coverage%]]</f>
        <v>0.1124260355029586</v>
      </c>
      <c r="DB495" s="904">
        <f>WWWW[[#This Row],['# people reached by regular dedicated hygiene promotion_5]]/WWWW[[#This Row],[Total PoP ]]</f>
        <v>0.8875739644970414</v>
      </c>
      <c r="DC495" s="904">
        <f>IF(WWWW[[#This Row],['#_households that received standard amount of soap for this quarter]]/WWWW[[#This Row],[Total HH]]&gt;1,1,WWWW[[#This Row],['#_households that received standard amount of soap for this quarter]]/WWWW[[#This Row],[Total HH]])</f>
        <v>1</v>
      </c>
      <c r="DD495" s="904">
        <f>IF(WWWW[[#This Row],['#_households that received standard amount of sanitary pads for this quarter]]/WWWW[[#This Row],[Total HH]]&gt;1,1,WWWW[[#This Row],['#_households that received standard amount of sanitary pads for this quarter]]/WWWW[[#This Row],[Total HH]])</f>
        <v>1</v>
      </c>
      <c r="DE495" s="712">
        <f>WWWW[[#This Row],['#_Constructed/Existing hand washing stations]]-WWWW[[#This Row],['#_Non-Functional_hand_washing_stations]]</f>
        <v>0</v>
      </c>
      <c r="DF495" s="902" t="e">
        <f>WWWW[[#This Row],[Total HH]]*#REF!</f>
        <v>#REF!</v>
      </c>
      <c r="DG495" s="903">
        <f>IF(WWWW[[#This Row],[Is sufficient soap available for TLS? (Yes/No)]]="yes",WWWW[[#This Row],['#_Constructed/Existing hand washing stations at TLS]],0)</f>
        <v>0</v>
      </c>
      <c r="DH495" s="903">
        <f>IF(WWWW[[#This Row],['# Functional hand washing stations during reporting period]]*100&gt;WWWW[[#This Row],[Total PoP ]],WWWW[[#This Row],[Total PoP ]],WWWW[[#This Row],['# Functional hand washing stations during reporting period]]*100)</f>
        <v>0</v>
      </c>
      <c r="DI495" s="903" t="str">
        <f>IF(WWWW[[#This Row],['#_students at TLS_CFS]]="","No","Yes")</f>
        <v>No</v>
      </c>
      <c r="DJ495" s="920">
        <f>VLOOKUP(WWWW[[#This Row],[Site Name]],SiteDB6[[Site Name]:[CCCM Management]],6,FALSE)</f>
        <v>0</v>
      </c>
      <c r="DK495" s="920">
        <f>VLOOKUP(WWWW[[#This Row],[Site Name]],SiteDB6[[Site Name]:[CCCM Focal Agency]],7,FALSE)</f>
        <v>0</v>
      </c>
      <c r="DL495" s="920" t="str">
        <f>VLOOKUP(WWWW[[#This Row],[Site Name]],SiteDB6[[Site Name]:[Location Type 1]],9,FALSE)</f>
        <v>village</v>
      </c>
      <c r="DM495" s="920" t="str">
        <f>VLOOKUP(WWWW[[#This Row],[Site Name]],SiteDB6[[Site Name]:[Type of Accommodation]],10,FALSE)</f>
        <v>village</v>
      </c>
      <c r="DN495" s="920" t="str">
        <f>VLOOKUP(WWWW[[#This Row],[Site Name]],SiteDB6[[Site Name]:[Ethnic or GCA/NGCA]],11,FALSE)</f>
        <v>Muslim</v>
      </c>
      <c r="DO495" s="920">
        <f>VLOOKUP(WWWW[[#This Row],[Site Name]],SiteDB6[[Site Name]:[Lat]],12,FALSE)</f>
        <v>20.741249079999999</v>
      </c>
      <c r="DP495" s="920">
        <f>VLOOKUP(WWWW[[#This Row],[Site Name]],SiteDB6[[Site Name]:[Long]],13,FALSE)</f>
        <v>92.610519409999995</v>
      </c>
      <c r="DQ495" s="920">
        <f>VLOOKUP(WWWW[[#This Row],[Site Name]],SiteDB6[[Site Name]:[Pcode]],3,FALSE)</f>
        <v>198398</v>
      </c>
      <c r="DR495" s="950" t="str">
        <f t="shared" si="17"/>
        <v>Covered</v>
      </c>
      <c r="DS495" s="950"/>
      <c r="DT495" s="913"/>
      <c r="DU495" s="913"/>
      <c r="DV495" s="938"/>
      <c r="DW495" s="913"/>
      <c r="DX495" s="914"/>
      <c r="DY495" s="914"/>
      <c r="DZ495" s="915"/>
      <c r="EA495" s="915"/>
      <c r="EB495" s="915"/>
      <c r="EC495" s="915"/>
      <c r="ED495" s="915"/>
      <c r="EE495" s="915"/>
      <c r="EF495" s="915"/>
      <c r="EG495" s="915"/>
      <c r="EH495" s="915"/>
    </row>
    <row r="496" spans="1:138" s="911" customFormat="1">
      <c r="A496" s="637" t="s">
        <v>2525</v>
      </c>
      <c r="B496" s="912" t="s">
        <v>3272</v>
      </c>
      <c r="C496" s="912" t="s">
        <v>387</v>
      </c>
      <c r="D496" s="912" t="s">
        <v>252</v>
      </c>
      <c r="E496" s="912" t="s">
        <v>3013</v>
      </c>
      <c r="F496" s="912" t="s">
        <v>337</v>
      </c>
      <c r="G496" s="959" t="str">
        <f>VLOOKUP(WWWW[[#This Row],[Site Name]],SiteDB6[[Site Name]:[Location Type]],8,FALSE)</f>
        <v>Village</v>
      </c>
      <c r="H496" s="980" t="s">
        <v>594</v>
      </c>
      <c r="I496" s="979">
        <v>80</v>
      </c>
      <c r="J496" s="927">
        <v>300</v>
      </c>
      <c r="K496" s="923">
        <v>43251</v>
      </c>
      <c r="L496" s="923">
        <v>43677</v>
      </c>
      <c r="M496" s="975"/>
      <c r="N496" s="975"/>
      <c r="O496" s="975"/>
      <c r="P496" s="975"/>
      <c r="Q496" s="927"/>
      <c r="R496" s="975"/>
      <c r="S496" s="975"/>
      <c r="T496" s="975">
        <v>0</v>
      </c>
      <c r="U496" s="975">
        <v>0</v>
      </c>
      <c r="V496" s="975">
        <v>0</v>
      </c>
      <c r="W496" s="975">
        <v>0</v>
      </c>
      <c r="X496" s="975">
        <v>0</v>
      </c>
      <c r="Y496" s="975">
        <v>0</v>
      </c>
      <c r="Z496" s="975">
        <v>0</v>
      </c>
      <c r="AA496" s="975">
        <v>0</v>
      </c>
      <c r="AB496" s="975">
        <v>0</v>
      </c>
      <c r="AC496" s="975">
        <v>0</v>
      </c>
      <c r="AD496" s="975"/>
      <c r="AE496" s="975">
        <v>3</v>
      </c>
      <c r="AF496" s="975"/>
      <c r="AG496" s="975"/>
      <c r="AH496" s="975">
        <v>3</v>
      </c>
      <c r="AI496" s="975">
        <v>1</v>
      </c>
      <c r="AJ496" s="975">
        <v>0</v>
      </c>
      <c r="AK496" s="975">
        <v>1</v>
      </c>
      <c r="AL496" s="975">
        <v>1</v>
      </c>
      <c r="AM496" s="975">
        <v>0</v>
      </c>
      <c r="AN496" s="975">
        <v>0</v>
      </c>
      <c r="AO496" s="950"/>
      <c r="AP496" s="927">
        <v>41</v>
      </c>
      <c r="AQ496" s="920">
        <v>41</v>
      </c>
      <c r="AR496" s="917"/>
      <c r="AS496" s="975"/>
      <c r="AT496" s="975"/>
      <c r="AU496" s="975"/>
      <c r="AV496" s="975"/>
      <c r="AW496" s="918">
        <v>41</v>
      </c>
      <c r="AX496" s="918" t="s">
        <v>144</v>
      </c>
      <c r="AY496" s="918" t="s">
        <v>144</v>
      </c>
      <c r="AZ496" s="918">
        <v>4</v>
      </c>
      <c r="BA496" s="975"/>
      <c r="BB496" s="927">
        <v>4</v>
      </c>
      <c r="BC496" s="920"/>
      <c r="BD496" s="975"/>
      <c r="BE496" s="975"/>
      <c r="BF496" s="975"/>
      <c r="BG496" s="975"/>
      <c r="BH496" s="975"/>
      <c r="BI496" s="918">
        <v>1</v>
      </c>
      <c r="BJ496" s="918">
        <v>1</v>
      </c>
      <c r="BK496" s="918">
        <v>80</v>
      </c>
      <c r="BL496" s="918">
        <v>80</v>
      </c>
      <c r="BM496" s="918" t="s">
        <v>144</v>
      </c>
      <c r="BN496" s="918">
        <v>2</v>
      </c>
      <c r="BO496" s="917"/>
      <c r="BP496" s="920"/>
      <c r="BQ496" s="919">
        <f>IFERROR(WWWW[[#This Row],['#_Water sources treated]]/WWWW[[#This Row],['#_Water sources tested for contamination]],"no test")</f>
        <v>0</v>
      </c>
      <c r="BR496" s="917">
        <f>IFERROR(WWWW[[#This Row],['#_Household received remediation action due to contamination]]/WWWW[[#This Row],['#_Household water samples tested for contamination]],"no test")</f>
        <v>1</v>
      </c>
      <c r="BS496" s="918" t="str">
        <f>IF(AND(WWWW[[#This Row],[% of water sources treated]]="no test",WWWW[[#This Row],[% Household received corrective actions]]="no test"),"No Test","Tested")</f>
        <v>Tested</v>
      </c>
      <c r="BT496" s="918">
        <f>WWWW[[#This Row],['#_Constructed/existing protected hand dug well]]-WWWW[[#This Row],['#_Non-functional protected hand dug well]]</f>
        <v>0</v>
      </c>
      <c r="BU496" s="918">
        <f>(WWWW[[#This Row],['#_Constructed/Existing tube wells/boreholes/handpumps_WASH_agency]]+WWWW[[#This Row],['#_Non-Cluster partner water tube-wells/boreholes/handpumps]])-WWWW[[#This Row],['#_Non-functional tube wells/boreholes/handpumps]]</f>
        <v>0</v>
      </c>
      <c r="BV496" s="918">
        <f>WWWW[[#This Row],['#_Constructed/Existingwater storage tank with gravity fed reticulation system]]-WWWW[[#This Row],['#_Non-functional storage tank gravity fed reticulation system]]</f>
        <v>0</v>
      </c>
      <c r="BW496" s="918">
        <f>WWWW[[#This Row],['#_Water boating or water trucking]]</f>
        <v>0</v>
      </c>
      <c r="BX496" s="918">
        <f>WWWW[[#This Row],['#_Constructed/Existing water distribution system from river or natural spring]]</f>
        <v>0</v>
      </c>
      <c r="BY496" s="91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96" s="91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96" s="917">
        <f>IF(WWWW[[#This Row],[Location Type 1]]="Village",WWWW[[#This Row],[Access to safe drinking water for Village]],WWWW[[#This Row],[Access to safe drinking water for Camp]])</f>
        <v>0</v>
      </c>
      <c r="CB496" s="927">
        <f>WWWW[[#This Row],[%Equitable and continuous access to sufficient quantity of safe drinking water]]*WWWW[[#This Row],[Total PoP ]]</f>
        <v>0</v>
      </c>
      <c r="CC496" s="917">
        <f>IF((WWWW[[#This Row],['#_Constructed/Existing protected/fenced ponds]]*250)/WWWW[[#This Row],[Total PoP ]]&gt;1,1,(WWWW[[#This Row],['#_Constructed/Existing protected/fenced ponds]]*250)/WWWW[[#This Row],[Total PoP ]])</f>
        <v>1</v>
      </c>
      <c r="CD496" s="927">
        <f>WWWW[[#This Row],[% Access to unimproved water points]]*WWWW[[#This Row],[Total PoP ]]</f>
        <v>300</v>
      </c>
      <c r="CE496" s="91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496" s="92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300</v>
      </c>
      <c r="CG496" s="903">
        <f>WWWW[[#This Row],[HRP1]]/500</f>
        <v>0.6</v>
      </c>
      <c r="CH496" s="916">
        <f>1-WWWW[[#This Row],[% Equitable and continuous access to sufficient quantity of domestic water]]</f>
        <v>0</v>
      </c>
      <c r="CI496" s="927">
        <f>WWWW[[#This Row],[%equitable and continuous access to sufficient quantity of safe drinking and domestic water''s GAP]]*WWWW[[#This Row],[Total PoP ]]</f>
        <v>0</v>
      </c>
      <c r="CJ496" s="918">
        <f>IF(WWWW[[#This Row],[Total required water points]]-WWWW[[#This Row],['#Water points coverage]]&lt;0,0,WWWW[[#This Row],[Total required water points]]-WWWW[[#This Row],['#Water points coverage]])</f>
        <v>0.4</v>
      </c>
      <c r="CK496" s="918">
        <f>ROUND(IF(WWWW[[#This Row],[Total PoP ]]&lt;500,1,WWWW[[#This Row],[Total PoP ]]/500),0)</f>
        <v>1</v>
      </c>
      <c r="CL496" s="918">
        <f>(WWWW[[#This Row],['#_Constructed latrines_by_WASHAgencies]]+WWWW[[#This Row],['#_Non Cluster partner latrines]])-WWWW[[#This Row],['#_Non-functional latrines]]</f>
        <v>82</v>
      </c>
      <c r="CM496" s="919">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496" s="927">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300</v>
      </c>
      <c r="CO496" s="930"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496" s="918" t="str">
        <f>IF(WWWW[[#This Row],[Location Type 1]]="Village","NA",IF(WWWW[[#This Row],['#_Constructed/Existing latrines in TLS]]*50&gt;WWWW[[#This Row],['#_students at TLS_CFS]],WWWW[[#This Row],['#_students at TLS_CFS]],(WWWW[[#This Row],['#_Constructed/Existing latrines in TLS]]*50)))</f>
        <v>NA</v>
      </c>
      <c r="CQ496" s="918">
        <f>ROUND(IF(WWWW[[#This Row],[Location Type 1]]="camp",WWWW[[#This Row],[Total PoP ]]/20,IF(WWWW[[#This Row],[Location Type 1]]="Temporary Location",WWWW[[#This Row],[Total PoP ]]/50,(WWWW[[#This Row],[Total PoP ]]/6))),0)</f>
        <v>50</v>
      </c>
      <c r="CR496" s="918">
        <f>IF(WWWW[[#This Row],[Total required Latrines]]-(WWWW[[#This Row],['#_Constructed latrines_by_WASHAgencies]]+WWWW[[#This Row],['#_Non Cluster partner latrines]])&lt;0,0,WWWW[[#This Row],[Total required Latrines]]-(WWWW[[#This Row],['#_Constructed latrines_by_WASHAgencies]]+WWWW[[#This Row],['#_Non Cluster partner latrines]]))</f>
        <v>0</v>
      </c>
      <c r="CS496" s="924">
        <f>1-WWWW[[#This Row],[% people access to functioning Latrine]]</f>
        <v>0</v>
      </c>
      <c r="CT496" s="919">
        <f>IF(OR(WWWW[[#This Row],['#_Non-functional latrines]]="",WWWW[[#This Row],['#_Non-functional latrines]]=0),0,WWWW[[#This Row],['#_Non-functional latrines]]/(WWWW[[#This Row],['#_Constructed latrines_by_WASHAgencies]]+WWWW[[#This Row],['#_Non Cluster partner latrines]]))</f>
        <v>0</v>
      </c>
      <c r="CU496" s="927">
        <f>IF(500*(WWWW[[#This Row],['#_male hygiene promoters]]+WWWW[[#This Row],['#_female hygiene promoters]])&gt;WWWW[[#This Row],[Total PoP ]],WWWW[[#This Row],[Total PoP ]],500*(WWWW[[#This Row],['#_male hygiene promoters]]+WWWW[[#This Row],['#_female hygiene promoters]]))</f>
        <v>300</v>
      </c>
      <c r="CV496" s="918">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300</v>
      </c>
      <c r="CW496" s="918">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300</v>
      </c>
      <c r="CX496" s="918">
        <f>IF(WWWW[[#This Row],['# People with access to soap]]&gt;WWWW[[#This Row],['# People with access to Sanity Pads]],WWWW[[#This Row],['# People with access to soap]],WWWW[[#This Row],['# People with access to Sanity Pads]])</f>
        <v>300</v>
      </c>
      <c r="CY496" s="918">
        <f>IF(WWWW[[#This Row],['# people reached by regular dedicated hygiene promotion_5]]&gt;WWWW[[#This Row],['# People received regular supply of hygiene items_6]],WWWW[[#This Row],['# people reached by regular dedicated hygiene promotion_5]],WWWW[[#This Row],['# People received regular supply of hygiene items_6]])</f>
        <v>300</v>
      </c>
      <c r="CZ496" s="916">
        <f>IF(WWWW[[#This Row],[HRP3]]/WWWW[[#This Row],[Total PoP ]]&gt;100%,100%,WWWW[[#This Row],[HRP3]]/WWWW[[#This Row],[Total PoP ]])</f>
        <v>1</v>
      </c>
      <c r="DA496" s="919">
        <f>1-WWWW[[#This Row],[Hygiene Coverage%]]</f>
        <v>0</v>
      </c>
      <c r="DB496" s="904">
        <f>WWWW[[#This Row],['# people reached by regular dedicated hygiene promotion_5]]/WWWW[[#This Row],[Total PoP ]]</f>
        <v>1</v>
      </c>
      <c r="DC496" s="904">
        <f>IF(WWWW[[#This Row],['#_households that received standard amount of soap for this quarter]]/WWWW[[#This Row],[Total HH]]&gt;1,1,WWWW[[#This Row],['#_households that received standard amount of soap for this quarter]]/WWWW[[#This Row],[Total HH]])</f>
        <v>1</v>
      </c>
      <c r="DD496" s="904">
        <f>IF(WWWW[[#This Row],['#_households that received standard amount of sanitary pads for this quarter]]/WWWW[[#This Row],[Total HH]]&gt;1,1,WWWW[[#This Row],['#_households that received standard amount of sanitary pads for this quarter]]/WWWW[[#This Row],[Total HH]])</f>
        <v>1</v>
      </c>
      <c r="DE496" s="712">
        <f>WWWW[[#This Row],['#_Constructed/Existing hand washing stations]]-WWWW[[#This Row],['#_Non-Functional_hand_washing_stations]]</f>
        <v>0</v>
      </c>
      <c r="DF496" s="902" t="e">
        <f>WWWW[[#This Row],[Total HH]]*#REF!</f>
        <v>#REF!</v>
      </c>
      <c r="DG496" s="903">
        <f>IF(WWWW[[#This Row],[Is sufficient soap available for TLS? (Yes/No)]]="yes",WWWW[[#This Row],['#_Constructed/Existing hand washing stations at TLS]],0)</f>
        <v>0</v>
      </c>
      <c r="DH496" s="903">
        <f>IF(WWWW[[#This Row],['# Functional hand washing stations during reporting period]]*100&gt;WWWW[[#This Row],[Total PoP ]],WWWW[[#This Row],[Total PoP ]],WWWW[[#This Row],['# Functional hand washing stations during reporting period]]*100)</f>
        <v>0</v>
      </c>
      <c r="DI496" s="903" t="str">
        <f>IF(WWWW[[#This Row],['#_students at TLS_CFS]]="","No","Yes")</f>
        <v>No</v>
      </c>
      <c r="DJ496" s="920">
        <f>VLOOKUP(WWWW[[#This Row],[Site Name]],SiteDB6[[Site Name]:[CCCM Management]],6,FALSE)</f>
        <v>0</v>
      </c>
      <c r="DK496" s="920">
        <f>VLOOKUP(WWWW[[#This Row],[Site Name]],SiteDB6[[Site Name]:[CCCM Focal Agency]],7,FALSE)</f>
        <v>0</v>
      </c>
      <c r="DL496" s="920" t="str">
        <f>VLOOKUP(WWWW[[#This Row],[Site Name]],SiteDB6[[Site Name]:[Location Type 1]],9,FALSE)</f>
        <v>Village</v>
      </c>
      <c r="DM496" s="920" t="str">
        <f>VLOOKUP(WWWW[[#This Row],[Site Name]],SiteDB6[[Site Name]:[Type of Accommodation]],10,FALSE)</f>
        <v>Village</v>
      </c>
      <c r="DN496" s="920" t="str">
        <f>VLOOKUP(WWWW[[#This Row],[Site Name]],SiteDB6[[Site Name]:[Ethnic or GCA/NGCA]],11,FALSE)</f>
        <v>Rakhine</v>
      </c>
      <c r="DO496" s="920">
        <f>VLOOKUP(WWWW[[#This Row],[Site Name]],SiteDB6[[Site Name]:[Lat]],12,FALSE)</f>
        <v>20.739839549999999</v>
      </c>
      <c r="DP496" s="920">
        <f>VLOOKUP(WWWW[[#This Row],[Site Name]],SiteDB6[[Site Name]:[Long]],13,FALSE)</f>
        <v>92.613456729999996</v>
      </c>
      <c r="DQ496" s="920">
        <f>VLOOKUP(WWWW[[#This Row],[Site Name]],SiteDB6[[Site Name]:[Pcode]],3,FALSE)</f>
        <v>198399</v>
      </c>
      <c r="DR496" s="950" t="str">
        <f t="shared" si="17"/>
        <v>Covered</v>
      </c>
      <c r="DS496" s="950"/>
      <c r="DT496" s="913"/>
      <c r="DU496" s="913"/>
      <c r="DV496" s="938"/>
      <c r="DW496" s="913"/>
      <c r="DX496" s="914"/>
      <c r="DY496" s="914"/>
      <c r="DZ496" s="915"/>
      <c r="EA496" s="915"/>
      <c r="EB496" s="915"/>
      <c r="EC496" s="915"/>
      <c r="ED496" s="915"/>
      <c r="EE496" s="915"/>
      <c r="EF496" s="915"/>
      <c r="EG496" s="915"/>
      <c r="EH496" s="915"/>
    </row>
    <row r="497" spans="1:138" s="911" customFormat="1">
      <c r="A497" s="637" t="s">
        <v>2525</v>
      </c>
      <c r="B497" s="912" t="s">
        <v>3272</v>
      </c>
      <c r="C497" s="912" t="s">
        <v>387</v>
      </c>
      <c r="D497" s="912" t="s">
        <v>252</v>
      </c>
      <c r="E497" s="912" t="s">
        <v>3013</v>
      </c>
      <c r="F497" s="912" t="s">
        <v>323</v>
      </c>
      <c r="G497" s="959" t="str">
        <f>VLOOKUP(WWWW[[#This Row],[Site Name]],SiteDB6[[Site Name]:[Location Type]],8,FALSE)</f>
        <v>Village</v>
      </c>
      <c r="H497" s="980" t="s">
        <v>2138</v>
      </c>
      <c r="I497" s="979">
        <v>60</v>
      </c>
      <c r="J497" s="927">
        <v>266</v>
      </c>
      <c r="K497" s="923">
        <v>43251</v>
      </c>
      <c r="L497" s="923">
        <v>43677</v>
      </c>
      <c r="M497" s="975"/>
      <c r="N497" s="975"/>
      <c r="O497" s="975"/>
      <c r="P497" s="975"/>
      <c r="Q497" s="927"/>
      <c r="R497" s="975"/>
      <c r="S497" s="975"/>
      <c r="T497" s="975">
        <v>1</v>
      </c>
      <c r="U497" s="975">
        <v>1</v>
      </c>
      <c r="V497" s="975">
        <v>1</v>
      </c>
      <c r="W497" s="975">
        <v>0</v>
      </c>
      <c r="X497" s="975">
        <v>0</v>
      </c>
      <c r="Y497" s="975">
        <v>0</v>
      </c>
      <c r="Z497" s="975">
        <v>0</v>
      </c>
      <c r="AA497" s="975">
        <v>0</v>
      </c>
      <c r="AB497" s="975">
        <v>0</v>
      </c>
      <c r="AC497" s="975">
        <v>0</v>
      </c>
      <c r="AD497" s="975"/>
      <c r="AE497" s="975">
        <v>2</v>
      </c>
      <c r="AF497" s="975"/>
      <c r="AG497" s="975"/>
      <c r="AH497" s="975">
        <v>2</v>
      </c>
      <c r="AI497" s="975">
        <v>0</v>
      </c>
      <c r="AJ497" s="975">
        <v>0</v>
      </c>
      <c r="AK497" s="975">
        <v>0</v>
      </c>
      <c r="AL497" s="975">
        <v>0</v>
      </c>
      <c r="AM497" s="975">
        <v>0</v>
      </c>
      <c r="AN497" s="975">
        <v>0</v>
      </c>
      <c r="AO497" s="950"/>
      <c r="AP497" s="927">
        <v>41</v>
      </c>
      <c r="AQ497" s="920">
        <v>41</v>
      </c>
      <c r="AR497" s="917"/>
      <c r="AS497" s="975"/>
      <c r="AT497" s="975"/>
      <c r="AU497" s="975"/>
      <c r="AV497" s="975"/>
      <c r="AW497" s="918">
        <v>41</v>
      </c>
      <c r="AX497" s="918" t="s">
        <v>144</v>
      </c>
      <c r="AY497" s="918" t="s">
        <v>144</v>
      </c>
      <c r="AZ497" s="918">
        <v>0</v>
      </c>
      <c r="BA497" s="975"/>
      <c r="BB497" s="927">
        <v>0</v>
      </c>
      <c r="BC497" s="920"/>
      <c r="BD497" s="975"/>
      <c r="BE497" s="975"/>
      <c r="BF497" s="975"/>
      <c r="BG497" s="975"/>
      <c r="BH497" s="975"/>
      <c r="BI497" s="918">
        <v>1</v>
      </c>
      <c r="BJ497" s="918">
        <v>0</v>
      </c>
      <c r="BK497" s="918">
        <v>60</v>
      </c>
      <c r="BL497" s="918">
        <v>60</v>
      </c>
      <c r="BM497" s="918" t="s">
        <v>144</v>
      </c>
      <c r="BN497" s="918">
        <v>2</v>
      </c>
      <c r="BO497" s="917"/>
      <c r="BP497" s="920"/>
      <c r="BQ497" s="919" t="str">
        <f>IFERROR(WWWW[[#This Row],['#_Water sources treated]]/WWWW[[#This Row],['#_Water sources tested for contamination]],"no test")</f>
        <v>no test</v>
      </c>
      <c r="BR497" s="917" t="str">
        <f>IFERROR(WWWW[[#This Row],['#_Household received remediation action due to contamination]]/WWWW[[#This Row],['#_Household water samples tested for contamination]],"no test")</f>
        <v>no test</v>
      </c>
      <c r="BS497" s="918" t="str">
        <f>IF(AND(WWWW[[#This Row],[% of water sources treated]]="no test",WWWW[[#This Row],[% Household received corrective actions]]="no test"),"No Test","Tested")</f>
        <v>No Test</v>
      </c>
      <c r="BT497" s="918">
        <f>WWWW[[#This Row],['#_Constructed/existing protected hand dug well]]-WWWW[[#This Row],['#_Non-functional protected hand dug well]]</f>
        <v>0</v>
      </c>
      <c r="BU497" s="918">
        <f>(WWWW[[#This Row],['#_Constructed/Existing tube wells/boreholes/handpumps_WASH_agency]]+WWWW[[#This Row],['#_Non-Cluster partner water tube-wells/boreholes/handpumps]])-WWWW[[#This Row],['#_Non-functional tube wells/boreholes/handpumps]]</f>
        <v>0</v>
      </c>
      <c r="BV497" s="918">
        <f>WWWW[[#This Row],['#_Constructed/Existingwater storage tank with gravity fed reticulation system]]-WWWW[[#This Row],['#_Non-functional storage tank gravity fed reticulation system]]</f>
        <v>0</v>
      </c>
      <c r="BW497" s="918">
        <f>WWWW[[#This Row],['#_Water boating or water trucking]]</f>
        <v>0</v>
      </c>
      <c r="BX497" s="918">
        <f>WWWW[[#This Row],['#_Constructed/Existing water distribution system from river or natural spring]]</f>
        <v>0</v>
      </c>
      <c r="BY497" s="91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497" s="91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497" s="917">
        <f>IF(WWWW[[#This Row],[Location Type 1]]="Village",WWWW[[#This Row],[Access to safe drinking water for Village]],WWWW[[#This Row],[Access to safe drinking water for Camp]])</f>
        <v>0</v>
      </c>
      <c r="CB497" s="927">
        <f>WWWW[[#This Row],[%Equitable and continuous access to sufficient quantity of safe drinking water]]*WWWW[[#This Row],[Total PoP ]]</f>
        <v>0</v>
      </c>
      <c r="CC497" s="917">
        <f>IF((WWWW[[#This Row],['#_Constructed/Existing protected/fenced ponds]]*250)/WWWW[[#This Row],[Total PoP ]]&gt;1,1,(WWWW[[#This Row],['#_Constructed/Existing protected/fenced ponds]]*250)/WWWW[[#This Row],[Total PoP ]])</f>
        <v>1</v>
      </c>
      <c r="CD497" s="927">
        <f>WWWW[[#This Row],[% Access to unimproved water points]]*WWWW[[#This Row],[Total PoP ]]</f>
        <v>266</v>
      </c>
      <c r="CE497" s="91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497" s="92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266</v>
      </c>
      <c r="CG497" s="903">
        <f>WWWW[[#This Row],[HRP1]]/500</f>
        <v>0.53200000000000003</v>
      </c>
      <c r="CH497" s="916">
        <f>1-WWWW[[#This Row],[% Equitable and continuous access to sufficient quantity of domestic water]]</f>
        <v>0</v>
      </c>
      <c r="CI497" s="927">
        <f>WWWW[[#This Row],[%equitable and continuous access to sufficient quantity of safe drinking and domestic water''s GAP]]*WWWW[[#This Row],[Total PoP ]]</f>
        <v>0</v>
      </c>
      <c r="CJ497" s="918">
        <f>IF(WWWW[[#This Row],[Total required water points]]-WWWW[[#This Row],['#Water points coverage]]&lt;0,0,WWWW[[#This Row],[Total required water points]]-WWWW[[#This Row],['#Water points coverage]])</f>
        <v>0.46799999999999997</v>
      </c>
      <c r="CK497" s="918">
        <f>ROUND(IF(WWWW[[#This Row],[Total PoP ]]&lt;500,1,WWWW[[#This Row],[Total PoP ]]/500),0)</f>
        <v>1</v>
      </c>
      <c r="CL497" s="918">
        <f>(WWWW[[#This Row],['#_Constructed latrines_by_WASHAgencies]]+WWWW[[#This Row],['#_Non Cluster partner latrines]])-WWWW[[#This Row],['#_Non-functional latrines]]</f>
        <v>82</v>
      </c>
      <c r="CM497" s="919">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497" s="927">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266</v>
      </c>
      <c r="CO497" s="930"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497" s="918" t="str">
        <f>IF(WWWW[[#This Row],[Location Type 1]]="Village","NA",IF(WWWW[[#This Row],['#_Constructed/Existing latrines in TLS]]*50&gt;WWWW[[#This Row],['#_students at TLS_CFS]],WWWW[[#This Row],['#_students at TLS_CFS]],(WWWW[[#This Row],['#_Constructed/Existing latrines in TLS]]*50)))</f>
        <v>NA</v>
      </c>
      <c r="CQ497" s="918">
        <f>ROUND(IF(WWWW[[#This Row],[Location Type 1]]="camp",WWWW[[#This Row],[Total PoP ]]/20,IF(WWWW[[#This Row],[Location Type 1]]="Temporary Location",WWWW[[#This Row],[Total PoP ]]/50,(WWWW[[#This Row],[Total PoP ]]/6))),0)</f>
        <v>44</v>
      </c>
      <c r="CR497" s="918">
        <f>IF(WWWW[[#This Row],[Total required Latrines]]-(WWWW[[#This Row],['#_Constructed latrines_by_WASHAgencies]]+WWWW[[#This Row],['#_Non Cluster partner latrines]])&lt;0,0,WWWW[[#This Row],[Total required Latrines]]-(WWWW[[#This Row],['#_Constructed latrines_by_WASHAgencies]]+WWWW[[#This Row],['#_Non Cluster partner latrines]]))</f>
        <v>0</v>
      </c>
      <c r="CS497" s="924">
        <f>1-WWWW[[#This Row],[% people access to functioning Latrine]]</f>
        <v>0</v>
      </c>
      <c r="CT497" s="919">
        <f>IF(OR(WWWW[[#This Row],['#_Non-functional latrines]]="",WWWW[[#This Row],['#_Non-functional latrines]]=0),0,WWWW[[#This Row],['#_Non-functional latrines]]/(WWWW[[#This Row],['#_Constructed latrines_by_WASHAgencies]]+WWWW[[#This Row],['#_Non Cluster partner latrines]]))</f>
        <v>0</v>
      </c>
      <c r="CU497" s="927">
        <f>IF(500*(WWWW[[#This Row],['#_male hygiene promoters]]+WWWW[[#This Row],['#_female hygiene promoters]])&gt;WWWW[[#This Row],[Total PoP ]],WWWW[[#This Row],[Total PoP ]],500*(WWWW[[#This Row],['#_male hygiene promoters]]+WWWW[[#This Row],['#_female hygiene promoters]]))</f>
        <v>266</v>
      </c>
      <c r="CV497" s="918">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266</v>
      </c>
      <c r="CW497" s="918">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266</v>
      </c>
      <c r="CX497" s="918">
        <f>IF(WWWW[[#This Row],['# People with access to soap]]&gt;WWWW[[#This Row],['# People with access to Sanity Pads]],WWWW[[#This Row],['# People with access to soap]],WWWW[[#This Row],['# People with access to Sanity Pads]])</f>
        <v>266</v>
      </c>
      <c r="CY497" s="918">
        <f>IF(WWWW[[#This Row],['# people reached by regular dedicated hygiene promotion_5]]&gt;WWWW[[#This Row],['# People received regular supply of hygiene items_6]],WWWW[[#This Row],['# people reached by regular dedicated hygiene promotion_5]],WWWW[[#This Row],['# People received regular supply of hygiene items_6]])</f>
        <v>266</v>
      </c>
      <c r="CZ497" s="916">
        <f>IF(WWWW[[#This Row],[HRP3]]/WWWW[[#This Row],[Total PoP ]]&gt;100%,100%,WWWW[[#This Row],[HRP3]]/WWWW[[#This Row],[Total PoP ]])</f>
        <v>1</v>
      </c>
      <c r="DA497" s="919">
        <f>1-WWWW[[#This Row],[Hygiene Coverage%]]</f>
        <v>0</v>
      </c>
      <c r="DB497" s="904">
        <f>WWWW[[#This Row],['# people reached by regular dedicated hygiene promotion_5]]/WWWW[[#This Row],[Total PoP ]]</f>
        <v>1</v>
      </c>
      <c r="DC497" s="904">
        <f>IF(WWWW[[#This Row],['#_households that received standard amount of soap for this quarter]]/WWWW[[#This Row],[Total HH]]&gt;1,1,WWWW[[#This Row],['#_households that received standard amount of soap for this quarter]]/WWWW[[#This Row],[Total HH]])</f>
        <v>1</v>
      </c>
      <c r="DD497" s="904">
        <f>IF(WWWW[[#This Row],['#_households that received standard amount of sanitary pads for this quarter]]/WWWW[[#This Row],[Total HH]]&gt;1,1,WWWW[[#This Row],['#_households that received standard amount of sanitary pads for this quarter]]/WWWW[[#This Row],[Total HH]])</f>
        <v>1</v>
      </c>
      <c r="DE497" s="712">
        <f>WWWW[[#This Row],['#_Constructed/Existing hand washing stations]]-WWWW[[#This Row],['#_Non-Functional_hand_washing_stations]]</f>
        <v>0</v>
      </c>
      <c r="DF497" s="902" t="e">
        <f>WWWW[[#This Row],[Total HH]]*#REF!</f>
        <v>#REF!</v>
      </c>
      <c r="DG497" s="903">
        <f>IF(WWWW[[#This Row],[Is sufficient soap available for TLS? (Yes/No)]]="yes",WWWW[[#This Row],['#_Constructed/Existing hand washing stations at TLS]],0)</f>
        <v>0</v>
      </c>
      <c r="DH497" s="903">
        <f>IF(WWWW[[#This Row],['# Functional hand washing stations during reporting period]]*100&gt;WWWW[[#This Row],[Total PoP ]],WWWW[[#This Row],[Total PoP ]],WWWW[[#This Row],['# Functional hand washing stations during reporting period]]*100)</f>
        <v>0</v>
      </c>
      <c r="DI497" s="903" t="str">
        <f>IF(WWWW[[#This Row],['#_students at TLS_CFS]]="","No","Yes")</f>
        <v>No</v>
      </c>
      <c r="DJ497" s="920">
        <f>VLOOKUP(WWWW[[#This Row],[Site Name]],SiteDB6[[Site Name]:[CCCM Management]],6,FALSE)</f>
        <v>0</v>
      </c>
      <c r="DK497" s="920">
        <f>VLOOKUP(WWWW[[#This Row],[Site Name]],SiteDB6[[Site Name]:[CCCM Focal Agency]],7,FALSE)</f>
        <v>0</v>
      </c>
      <c r="DL497" s="920" t="str">
        <f>VLOOKUP(WWWW[[#This Row],[Site Name]],SiteDB6[[Site Name]:[Location Type 1]],9,FALSE)</f>
        <v>Village</v>
      </c>
      <c r="DM497" s="920" t="str">
        <f>VLOOKUP(WWWW[[#This Row],[Site Name]],SiteDB6[[Site Name]:[Type of Accommodation]],10,FALSE)</f>
        <v>Village</v>
      </c>
      <c r="DN497" s="920" t="str">
        <f>VLOOKUP(WWWW[[#This Row],[Site Name]],SiteDB6[[Site Name]:[Ethnic or GCA/NGCA]],11,FALSE)</f>
        <v>Rakhine</v>
      </c>
      <c r="DO497" s="920">
        <f>VLOOKUP(WWWW[[#This Row],[Site Name]],SiteDB6[[Site Name]:[Lat]],12,FALSE)</f>
        <v>20.991559980000002</v>
      </c>
      <c r="DP497" s="920">
        <f>VLOOKUP(WWWW[[#This Row],[Site Name]],SiteDB6[[Site Name]:[Long]],13,FALSE)</f>
        <v>92.290878300000003</v>
      </c>
      <c r="DQ497" s="920">
        <f>VLOOKUP(WWWW[[#This Row],[Site Name]],SiteDB6[[Site Name]:[Pcode]],3,FALSE)</f>
        <v>197896</v>
      </c>
      <c r="DR497" s="950" t="str">
        <f t="shared" si="17"/>
        <v>Covered</v>
      </c>
      <c r="DS497" s="950"/>
      <c r="DT497" s="913"/>
      <c r="DU497" s="913"/>
      <c r="DV497" s="938"/>
      <c r="DW497" s="913"/>
      <c r="DX497" s="914"/>
      <c r="DY497" s="914"/>
      <c r="DZ497" s="915"/>
      <c r="EA497" s="915"/>
      <c r="EB497" s="915"/>
      <c r="EC497" s="915"/>
      <c r="ED497" s="915"/>
      <c r="EE497" s="915"/>
      <c r="EF497" s="915"/>
      <c r="EG497" s="915"/>
      <c r="EH497" s="915"/>
    </row>
    <row r="498" spans="1:138" s="911" customFormat="1">
      <c r="A498" s="637" t="s">
        <v>2525</v>
      </c>
      <c r="B498" s="912" t="s">
        <v>3272</v>
      </c>
      <c r="C498" s="912" t="s">
        <v>387</v>
      </c>
      <c r="D498" s="912" t="s">
        <v>252</v>
      </c>
      <c r="E498" s="912" t="s">
        <v>3013</v>
      </c>
      <c r="F498" s="912" t="s">
        <v>323</v>
      </c>
      <c r="G498" s="959" t="str">
        <f>VLOOKUP(WWWW[[#This Row],[Site Name]],SiteDB6[[Site Name]:[Location Type]],8,FALSE)</f>
        <v>Village</v>
      </c>
      <c r="H498" s="980" t="s">
        <v>2139</v>
      </c>
      <c r="I498" s="979">
        <v>24</v>
      </c>
      <c r="J498" s="927">
        <v>93</v>
      </c>
      <c r="K498" s="923">
        <v>43251</v>
      </c>
      <c r="L498" s="923">
        <v>43677</v>
      </c>
      <c r="M498" s="975"/>
      <c r="N498" s="975"/>
      <c r="O498" s="975"/>
      <c r="P498" s="975"/>
      <c r="Q498" s="927"/>
      <c r="R498" s="975"/>
      <c r="S498" s="975"/>
      <c r="T498" s="975">
        <v>0</v>
      </c>
      <c r="U498" s="975">
        <v>0</v>
      </c>
      <c r="V498" s="975">
        <v>0</v>
      </c>
      <c r="W498" s="975">
        <v>4</v>
      </c>
      <c r="X498" s="975">
        <v>2</v>
      </c>
      <c r="Y498" s="975">
        <v>2</v>
      </c>
      <c r="Z498" s="975">
        <v>4</v>
      </c>
      <c r="AA498" s="975">
        <v>0</v>
      </c>
      <c r="AB498" s="975">
        <v>0</v>
      </c>
      <c r="AC498" s="975">
        <v>0</v>
      </c>
      <c r="AD498" s="975"/>
      <c r="AE498" s="975">
        <v>2</v>
      </c>
      <c r="AF498" s="975"/>
      <c r="AG498" s="975"/>
      <c r="AH498" s="975">
        <v>2</v>
      </c>
      <c r="AI498" s="975">
        <v>0</v>
      </c>
      <c r="AJ498" s="975">
        <v>0</v>
      </c>
      <c r="AK498" s="975">
        <v>0</v>
      </c>
      <c r="AL498" s="975">
        <v>0</v>
      </c>
      <c r="AM498" s="975">
        <v>0</v>
      </c>
      <c r="AN498" s="975">
        <v>0</v>
      </c>
      <c r="AO498" s="950"/>
      <c r="AP498" s="927">
        <v>10</v>
      </c>
      <c r="AQ498" s="920">
        <v>10</v>
      </c>
      <c r="AR498" s="917"/>
      <c r="AS498" s="975"/>
      <c r="AT498" s="975"/>
      <c r="AU498" s="975"/>
      <c r="AV498" s="975"/>
      <c r="AW498" s="918">
        <v>10</v>
      </c>
      <c r="AX498" s="918" t="s">
        <v>144</v>
      </c>
      <c r="AY498" s="918" t="s">
        <v>144</v>
      </c>
      <c r="AZ498" s="918">
        <v>2</v>
      </c>
      <c r="BA498" s="975"/>
      <c r="BB498" s="927">
        <v>2</v>
      </c>
      <c r="BC498" s="920"/>
      <c r="BD498" s="975"/>
      <c r="BE498" s="975"/>
      <c r="BF498" s="975"/>
      <c r="BG498" s="975"/>
      <c r="BH498" s="975"/>
      <c r="BI498" s="918">
        <v>0</v>
      </c>
      <c r="BJ498" s="918">
        <v>0</v>
      </c>
      <c r="BK498" s="918">
        <v>42</v>
      </c>
      <c r="BL498" s="918">
        <v>42</v>
      </c>
      <c r="BM498" s="918" t="s">
        <v>144</v>
      </c>
      <c r="BN498" s="918">
        <v>2</v>
      </c>
      <c r="BO498" s="917"/>
      <c r="BP498" s="920"/>
      <c r="BQ498" s="919" t="str">
        <f>IFERROR(WWWW[[#This Row],['#_Water sources treated]]/WWWW[[#This Row],['#_Water sources tested for contamination]],"no test")</f>
        <v>no test</v>
      </c>
      <c r="BR498" s="917" t="str">
        <f>IFERROR(WWWW[[#This Row],['#_Household received remediation action due to contamination]]/WWWW[[#This Row],['#_Household water samples tested for contamination]],"no test")</f>
        <v>no test</v>
      </c>
      <c r="BS498" s="918" t="str">
        <f>IF(AND(WWWW[[#This Row],[% of water sources treated]]="no test",WWWW[[#This Row],[% Household received corrective actions]]="no test"),"No Test","Tested")</f>
        <v>No Test</v>
      </c>
      <c r="BT498" s="918">
        <f>WWWW[[#This Row],['#_Constructed/existing protected hand dug well]]-WWWW[[#This Row],['#_Non-functional protected hand dug well]]</f>
        <v>0</v>
      </c>
      <c r="BU498" s="918">
        <f>(WWWW[[#This Row],['#_Constructed/Existing tube wells/boreholes/handpumps_WASH_agency]]+WWWW[[#This Row],['#_Non-Cluster partner water tube-wells/boreholes/handpumps]])-WWWW[[#This Row],['#_Non-functional tube wells/boreholes/handpumps]]</f>
        <v>4</v>
      </c>
      <c r="BV498" s="918">
        <f>WWWW[[#This Row],['#_Constructed/Existingwater storage tank with gravity fed reticulation system]]-WWWW[[#This Row],['#_Non-functional storage tank gravity fed reticulation system]]</f>
        <v>0</v>
      </c>
      <c r="BW498" s="918">
        <f>WWWW[[#This Row],['#_Water boating or water trucking]]</f>
        <v>0</v>
      </c>
      <c r="BX498" s="918">
        <f>WWWW[[#This Row],['#_Constructed/Existing water distribution system from river or natural spring]]</f>
        <v>0</v>
      </c>
      <c r="BY498" s="91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498" s="91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498" s="917">
        <f>IF(WWWW[[#This Row],[Location Type 1]]="Village",WWWW[[#This Row],[Access to safe drinking water for Village]],WWWW[[#This Row],[Access to safe drinking water for Camp]])</f>
        <v>1</v>
      </c>
      <c r="CB498" s="927">
        <f>WWWW[[#This Row],[%Equitable and continuous access to sufficient quantity of safe drinking water]]*WWWW[[#This Row],[Total PoP ]]</f>
        <v>93</v>
      </c>
      <c r="CC498" s="917">
        <f>IF((WWWW[[#This Row],['#_Constructed/Existing protected/fenced ponds]]*250)/WWWW[[#This Row],[Total PoP ]]&gt;1,1,(WWWW[[#This Row],['#_Constructed/Existing protected/fenced ponds]]*250)/WWWW[[#This Row],[Total PoP ]])</f>
        <v>1</v>
      </c>
      <c r="CD498" s="927">
        <f>WWWW[[#This Row],[% Access to unimproved water points]]*WWWW[[#This Row],[Total PoP ]]</f>
        <v>93</v>
      </c>
      <c r="CE498" s="91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498" s="92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93</v>
      </c>
      <c r="CG498" s="903">
        <f>WWWW[[#This Row],[HRP1]]/500</f>
        <v>0.186</v>
      </c>
      <c r="CH498" s="916">
        <f>1-WWWW[[#This Row],[% Equitable and continuous access to sufficient quantity of domestic water]]</f>
        <v>0</v>
      </c>
      <c r="CI498" s="927">
        <f>WWWW[[#This Row],[%equitable and continuous access to sufficient quantity of safe drinking and domestic water''s GAP]]*WWWW[[#This Row],[Total PoP ]]</f>
        <v>0</v>
      </c>
      <c r="CJ498" s="918">
        <f>IF(WWWW[[#This Row],[Total required water points]]-WWWW[[#This Row],['#Water points coverage]]&lt;0,0,WWWW[[#This Row],[Total required water points]]-WWWW[[#This Row],['#Water points coverage]])</f>
        <v>0.81400000000000006</v>
      </c>
      <c r="CK498" s="918">
        <f>ROUND(IF(WWWW[[#This Row],[Total PoP ]]&lt;500,1,WWWW[[#This Row],[Total PoP ]]/500),0)</f>
        <v>1</v>
      </c>
      <c r="CL498" s="918">
        <f>(WWWW[[#This Row],['#_Constructed latrines_by_WASHAgencies]]+WWWW[[#This Row],['#_Non Cluster partner latrines]])-WWWW[[#This Row],['#_Non-functional latrines]]</f>
        <v>20</v>
      </c>
      <c r="CM498" s="919">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498" s="927">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93</v>
      </c>
      <c r="CO498" s="930"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498" s="918" t="str">
        <f>IF(WWWW[[#This Row],[Location Type 1]]="Village","NA",IF(WWWW[[#This Row],['#_Constructed/Existing latrines in TLS]]*50&gt;WWWW[[#This Row],['#_students at TLS_CFS]],WWWW[[#This Row],['#_students at TLS_CFS]],(WWWW[[#This Row],['#_Constructed/Existing latrines in TLS]]*50)))</f>
        <v>NA</v>
      </c>
      <c r="CQ498" s="918">
        <f>ROUND(IF(WWWW[[#This Row],[Location Type 1]]="camp",WWWW[[#This Row],[Total PoP ]]/20,IF(WWWW[[#This Row],[Location Type 1]]="Temporary Location",WWWW[[#This Row],[Total PoP ]]/50,(WWWW[[#This Row],[Total PoP ]]/6))),0)</f>
        <v>16</v>
      </c>
      <c r="CR498" s="918">
        <f>IF(WWWW[[#This Row],[Total required Latrines]]-(WWWW[[#This Row],['#_Constructed latrines_by_WASHAgencies]]+WWWW[[#This Row],['#_Non Cluster partner latrines]])&lt;0,0,WWWW[[#This Row],[Total required Latrines]]-(WWWW[[#This Row],['#_Constructed latrines_by_WASHAgencies]]+WWWW[[#This Row],['#_Non Cluster partner latrines]]))</f>
        <v>0</v>
      </c>
      <c r="CS498" s="924">
        <f>1-WWWW[[#This Row],[% people access to functioning Latrine]]</f>
        <v>0</v>
      </c>
      <c r="CT498" s="919">
        <f>IF(OR(WWWW[[#This Row],['#_Non-functional latrines]]="",WWWW[[#This Row],['#_Non-functional latrines]]=0),0,WWWW[[#This Row],['#_Non-functional latrines]]/(WWWW[[#This Row],['#_Constructed latrines_by_WASHAgencies]]+WWWW[[#This Row],['#_Non Cluster partner latrines]]))</f>
        <v>0</v>
      </c>
      <c r="CU498" s="927">
        <f>IF(500*(WWWW[[#This Row],['#_male hygiene promoters]]+WWWW[[#This Row],['#_female hygiene promoters]])&gt;WWWW[[#This Row],[Total PoP ]],WWWW[[#This Row],[Total PoP ]],500*(WWWW[[#This Row],['#_male hygiene promoters]]+WWWW[[#This Row],['#_female hygiene promoters]]))</f>
        <v>0</v>
      </c>
      <c r="CV498" s="918">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93</v>
      </c>
      <c r="CW498" s="918">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93</v>
      </c>
      <c r="CX498" s="918">
        <f>IF(WWWW[[#This Row],['# People with access to soap]]&gt;WWWW[[#This Row],['# People with access to Sanity Pads]],WWWW[[#This Row],['# People with access to soap]],WWWW[[#This Row],['# People with access to Sanity Pads]])</f>
        <v>93</v>
      </c>
      <c r="CY498" s="918">
        <f>IF(WWWW[[#This Row],['# people reached by regular dedicated hygiene promotion_5]]&gt;WWWW[[#This Row],['# People received regular supply of hygiene items_6]],WWWW[[#This Row],['# people reached by regular dedicated hygiene promotion_5]],WWWW[[#This Row],['# People received regular supply of hygiene items_6]])</f>
        <v>93</v>
      </c>
      <c r="CZ498" s="916">
        <f>IF(WWWW[[#This Row],[HRP3]]/WWWW[[#This Row],[Total PoP ]]&gt;100%,100%,WWWW[[#This Row],[HRP3]]/WWWW[[#This Row],[Total PoP ]])</f>
        <v>1</v>
      </c>
      <c r="DA498" s="919">
        <f>1-WWWW[[#This Row],[Hygiene Coverage%]]</f>
        <v>0</v>
      </c>
      <c r="DB498" s="904">
        <f>WWWW[[#This Row],['# people reached by regular dedicated hygiene promotion_5]]/WWWW[[#This Row],[Total PoP ]]</f>
        <v>0</v>
      </c>
      <c r="DC498" s="904">
        <f>IF(WWWW[[#This Row],['#_households that received standard amount of soap for this quarter]]/WWWW[[#This Row],[Total HH]]&gt;1,1,WWWW[[#This Row],['#_households that received standard amount of soap for this quarter]]/WWWW[[#This Row],[Total HH]])</f>
        <v>1</v>
      </c>
      <c r="DD498" s="904">
        <f>IF(WWWW[[#This Row],['#_households that received standard amount of sanitary pads for this quarter]]/WWWW[[#This Row],[Total HH]]&gt;1,1,WWWW[[#This Row],['#_households that received standard amount of sanitary pads for this quarter]]/WWWW[[#This Row],[Total HH]])</f>
        <v>1</v>
      </c>
      <c r="DE498" s="712">
        <f>WWWW[[#This Row],['#_Constructed/Existing hand washing stations]]-WWWW[[#This Row],['#_Non-Functional_hand_washing_stations]]</f>
        <v>0</v>
      </c>
      <c r="DF498" s="902" t="e">
        <f>WWWW[[#This Row],[Total HH]]*#REF!</f>
        <v>#REF!</v>
      </c>
      <c r="DG498" s="903">
        <f>IF(WWWW[[#This Row],[Is sufficient soap available for TLS? (Yes/No)]]="yes",WWWW[[#This Row],['#_Constructed/Existing hand washing stations at TLS]],0)</f>
        <v>0</v>
      </c>
      <c r="DH498" s="903">
        <f>IF(WWWW[[#This Row],['# Functional hand washing stations during reporting period]]*100&gt;WWWW[[#This Row],[Total PoP ]],WWWW[[#This Row],[Total PoP ]],WWWW[[#This Row],['# Functional hand washing stations during reporting period]]*100)</f>
        <v>0</v>
      </c>
      <c r="DI498" s="903" t="str">
        <f>IF(WWWW[[#This Row],['#_students at TLS_CFS]]="","No","Yes")</f>
        <v>No</v>
      </c>
      <c r="DJ498" s="920">
        <f>VLOOKUP(WWWW[[#This Row],[Site Name]],SiteDB6[[Site Name]:[CCCM Management]],6,FALSE)</f>
        <v>0</v>
      </c>
      <c r="DK498" s="920">
        <f>VLOOKUP(WWWW[[#This Row],[Site Name]],SiteDB6[[Site Name]:[CCCM Focal Agency]],7,FALSE)</f>
        <v>0</v>
      </c>
      <c r="DL498" s="920" t="str">
        <f>VLOOKUP(WWWW[[#This Row],[Site Name]],SiteDB6[[Site Name]:[Location Type 1]],9,FALSE)</f>
        <v>Village</v>
      </c>
      <c r="DM498" s="920" t="str">
        <f>VLOOKUP(WWWW[[#This Row],[Site Name]],SiteDB6[[Site Name]:[Type of Accommodation]],10,FALSE)</f>
        <v>Village</v>
      </c>
      <c r="DN498" s="920" t="str">
        <f>VLOOKUP(WWWW[[#This Row],[Site Name]],SiteDB6[[Site Name]:[Ethnic or GCA/NGCA]],11,FALSE)</f>
        <v>Rakhine</v>
      </c>
      <c r="DO498" s="920">
        <f>VLOOKUP(WWWW[[#This Row],[Site Name]],SiteDB6[[Site Name]:[Lat]],12,FALSE)</f>
        <v>21.004550930000001</v>
      </c>
      <c r="DP498" s="920">
        <f>VLOOKUP(WWWW[[#This Row],[Site Name]],SiteDB6[[Site Name]:[Long]],13,FALSE)</f>
        <v>92.294601439999994</v>
      </c>
      <c r="DQ498" s="920">
        <f>VLOOKUP(WWWW[[#This Row],[Site Name]],SiteDB6[[Site Name]:[Pcode]],3,FALSE)</f>
        <v>197897</v>
      </c>
      <c r="DR498" s="950" t="str">
        <f t="shared" si="17"/>
        <v>Covered</v>
      </c>
      <c r="DS498" s="950"/>
      <c r="DT498" s="913"/>
      <c r="DU498" s="913"/>
      <c r="DV498" s="938"/>
      <c r="DW498" s="913"/>
      <c r="DX498" s="914"/>
      <c r="DY498" s="914"/>
      <c r="DZ498" s="915"/>
      <c r="EA498" s="915"/>
      <c r="EB498" s="915"/>
      <c r="EC498" s="915"/>
      <c r="ED498" s="915"/>
      <c r="EE498" s="915"/>
      <c r="EF498" s="915"/>
      <c r="EG498" s="915"/>
      <c r="EH498" s="915"/>
    </row>
    <row r="499" spans="1:138" s="911" customFormat="1">
      <c r="A499" s="637" t="s">
        <v>2525</v>
      </c>
      <c r="B499" s="912" t="s">
        <v>3272</v>
      </c>
      <c r="C499" s="912" t="s">
        <v>387</v>
      </c>
      <c r="D499" s="912" t="s">
        <v>252</v>
      </c>
      <c r="E499" s="912" t="s">
        <v>3013</v>
      </c>
      <c r="F499" s="912" t="s">
        <v>323</v>
      </c>
      <c r="G499" s="959" t="str">
        <f>VLOOKUP(WWWW[[#This Row],[Site Name]],SiteDB6[[Site Name]:[Location Type]],8,FALSE)</f>
        <v>Village</v>
      </c>
      <c r="H499" s="980" t="s">
        <v>2118</v>
      </c>
      <c r="I499" s="981">
        <v>170</v>
      </c>
      <c r="J499" s="927">
        <v>989</v>
      </c>
      <c r="K499" s="923">
        <v>43251</v>
      </c>
      <c r="L499" s="923">
        <v>43677</v>
      </c>
      <c r="M499" s="975"/>
      <c r="N499" s="975"/>
      <c r="O499" s="975"/>
      <c r="P499" s="975"/>
      <c r="Q499" s="927"/>
      <c r="R499" s="975"/>
      <c r="S499" s="975"/>
      <c r="T499" s="975">
        <v>6</v>
      </c>
      <c r="U499" s="975">
        <v>4</v>
      </c>
      <c r="V499" s="975">
        <v>2</v>
      </c>
      <c r="W499" s="975">
        <v>5</v>
      </c>
      <c r="X499" s="975">
        <v>2</v>
      </c>
      <c r="Y499" s="975">
        <v>0</v>
      </c>
      <c r="Z499" s="975">
        <v>3</v>
      </c>
      <c r="AA499" s="975">
        <v>0</v>
      </c>
      <c r="AB499" s="975">
        <v>0</v>
      </c>
      <c r="AC499" s="975">
        <v>0</v>
      </c>
      <c r="AD499" s="975"/>
      <c r="AE499" s="975">
        <v>4</v>
      </c>
      <c r="AF499" s="975"/>
      <c r="AG499" s="975"/>
      <c r="AH499" s="975">
        <v>3</v>
      </c>
      <c r="AI499" s="975">
        <v>0</v>
      </c>
      <c r="AJ499" s="975">
        <v>0</v>
      </c>
      <c r="AK499" s="975">
        <v>0</v>
      </c>
      <c r="AL499" s="975">
        <v>0</v>
      </c>
      <c r="AM499" s="975">
        <v>1</v>
      </c>
      <c r="AN499" s="975">
        <v>1</v>
      </c>
      <c r="AO499" s="950"/>
      <c r="AP499" s="927">
        <v>102</v>
      </c>
      <c r="AQ499" s="920">
        <v>102</v>
      </c>
      <c r="AR499" s="917"/>
      <c r="AS499" s="975"/>
      <c r="AT499" s="975"/>
      <c r="AU499" s="975"/>
      <c r="AV499" s="975"/>
      <c r="AW499" s="918">
        <v>102</v>
      </c>
      <c r="AX499" s="918" t="s">
        <v>144</v>
      </c>
      <c r="AY499" s="918" t="s">
        <v>144</v>
      </c>
      <c r="AZ499" s="918">
        <v>0</v>
      </c>
      <c r="BA499" s="975"/>
      <c r="BB499" s="927">
        <v>6</v>
      </c>
      <c r="BC499" s="920"/>
      <c r="BD499" s="975"/>
      <c r="BE499" s="975"/>
      <c r="BF499" s="975"/>
      <c r="BG499" s="975"/>
      <c r="BH499" s="975"/>
      <c r="BI499" s="918">
        <v>4</v>
      </c>
      <c r="BJ499" s="918">
        <v>0</v>
      </c>
      <c r="BK499" s="918">
        <v>170</v>
      </c>
      <c r="BL499" s="918">
        <v>170</v>
      </c>
      <c r="BM499" s="918" t="s">
        <v>144</v>
      </c>
      <c r="BN499" s="918">
        <v>2</v>
      </c>
      <c r="BO499" s="917"/>
      <c r="BP499" s="920"/>
      <c r="BQ499" s="919" t="str">
        <f>IFERROR(WWWW[[#This Row],['#_Water sources treated]]/WWWW[[#This Row],['#_Water sources tested for contamination]],"no test")</f>
        <v>no test</v>
      </c>
      <c r="BR499" s="917" t="str">
        <f>IFERROR(WWWW[[#This Row],['#_Household received remediation action due to contamination]]/WWWW[[#This Row],['#_Household water samples tested for contamination]],"no test")</f>
        <v>no test</v>
      </c>
      <c r="BS499" s="918" t="str">
        <f>IF(AND(WWWW[[#This Row],[% of water sources treated]]="no test",WWWW[[#This Row],[% Household received corrective actions]]="no test"),"No Test","Tested")</f>
        <v>No Test</v>
      </c>
      <c r="BT499" s="918">
        <f>WWWW[[#This Row],['#_Constructed/existing protected hand dug well]]-WWWW[[#This Row],['#_Non-functional protected hand dug well]]</f>
        <v>2</v>
      </c>
      <c r="BU499" s="918">
        <f>(WWWW[[#This Row],['#_Constructed/Existing tube wells/boreholes/handpumps_WASH_agency]]+WWWW[[#This Row],['#_Non-Cluster partner water tube-wells/boreholes/handpumps]])-WWWW[[#This Row],['#_Non-functional tube wells/boreholes/handpumps]]</f>
        <v>7</v>
      </c>
      <c r="BV499" s="918">
        <f>WWWW[[#This Row],['#_Constructed/Existingwater storage tank with gravity fed reticulation system]]-WWWW[[#This Row],['#_Non-functional storage tank gravity fed reticulation system]]</f>
        <v>0</v>
      </c>
      <c r="BW499" s="918">
        <f>WWWW[[#This Row],['#_Water boating or water trucking]]</f>
        <v>0</v>
      </c>
      <c r="BX499" s="918">
        <f>WWWW[[#This Row],['#_Constructed/Existing water distribution system from river or natural spring]]</f>
        <v>0</v>
      </c>
      <c r="BY499" s="91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499" s="91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499" s="917">
        <f>IF(WWWW[[#This Row],[Location Type 1]]="Village",WWWW[[#This Row],[Access to safe drinking water for Village]],WWWW[[#This Row],[Access to safe drinking water for Camp]])</f>
        <v>1</v>
      </c>
      <c r="CB499" s="927">
        <f>WWWW[[#This Row],[%Equitable and continuous access to sufficient quantity of safe drinking water]]*WWWW[[#This Row],[Total PoP ]]</f>
        <v>989</v>
      </c>
      <c r="CC499" s="917">
        <f>IF((WWWW[[#This Row],['#_Constructed/Existing protected/fenced ponds]]*250)/WWWW[[#This Row],[Total PoP ]]&gt;1,1,(WWWW[[#This Row],['#_Constructed/Existing protected/fenced ponds]]*250)/WWWW[[#This Row],[Total PoP ]])</f>
        <v>1</v>
      </c>
      <c r="CD499" s="927">
        <f>WWWW[[#This Row],[% Access to unimproved water points]]*WWWW[[#This Row],[Total PoP ]]</f>
        <v>989</v>
      </c>
      <c r="CE499" s="91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499" s="92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989</v>
      </c>
      <c r="CG499" s="903">
        <f>WWWW[[#This Row],[HRP1]]/500</f>
        <v>1.978</v>
      </c>
      <c r="CH499" s="916">
        <f>1-WWWW[[#This Row],[% Equitable and continuous access to sufficient quantity of domestic water]]</f>
        <v>0</v>
      </c>
      <c r="CI499" s="927">
        <f>WWWW[[#This Row],[%equitable and continuous access to sufficient quantity of safe drinking and domestic water''s GAP]]*WWWW[[#This Row],[Total PoP ]]</f>
        <v>0</v>
      </c>
      <c r="CJ499" s="918">
        <f>IF(WWWW[[#This Row],[Total required water points]]-WWWW[[#This Row],['#Water points coverage]]&lt;0,0,WWWW[[#This Row],[Total required water points]]-WWWW[[#This Row],['#Water points coverage]])</f>
        <v>2.200000000000002E-2</v>
      </c>
      <c r="CK499" s="918">
        <f>ROUND(IF(WWWW[[#This Row],[Total PoP ]]&lt;500,1,WWWW[[#This Row],[Total PoP ]]/500),0)</f>
        <v>2</v>
      </c>
      <c r="CL499" s="918">
        <f>(WWWW[[#This Row],['#_Constructed latrines_by_WASHAgencies]]+WWWW[[#This Row],['#_Non Cluster partner latrines]])-WWWW[[#This Row],['#_Non-functional latrines]]</f>
        <v>204</v>
      </c>
      <c r="CM499" s="919">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499" s="927">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989</v>
      </c>
      <c r="CO499" s="930"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499" s="918" t="str">
        <f>IF(WWWW[[#This Row],[Location Type 1]]="Village","NA",IF(WWWW[[#This Row],['#_Constructed/Existing latrines in TLS]]*50&gt;WWWW[[#This Row],['#_students at TLS_CFS]],WWWW[[#This Row],['#_students at TLS_CFS]],(WWWW[[#This Row],['#_Constructed/Existing latrines in TLS]]*50)))</f>
        <v>NA</v>
      </c>
      <c r="CQ499" s="918">
        <f>ROUND(IF(WWWW[[#This Row],[Location Type 1]]="camp",WWWW[[#This Row],[Total PoP ]]/20,IF(WWWW[[#This Row],[Location Type 1]]="Temporary Location",WWWW[[#This Row],[Total PoP ]]/50,(WWWW[[#This Row],[Total PoP ]]/6))),0)</f>
        <v>165</v>
      </c>
      <c r="CR499" s="918">
        <f>IF(WWWW[[#This Row],[Total required Latrines]]-(WWWW[[#This Row],['#_Constructed latrines_by_WASHAgencies]]+WWWW[[#This Row],['#_Non Cluster partner latrines]])&lt;0,0,WWWW[[#This Row],[Total required Latrines]]-(WWWW[[#This Row],['#_Constructed latrines_by_WASHAgencies]]+WWWW[[#This Row],['#_Non Cluster partner latrines]]))</f>
        <v>0</v>
      </c>
      <c r="CS499" s="924">
        <f>1-WWWW[[#This Row],[% people access to functioning Latrine]]</f>
        <v>0</v>
      </c>
      <c r="CT499" s="919">
        <f>IF(OR(WWWW[[#This Row],['#_Non-functional latrines]]="",WWWW[[#This Row],['#_Non-functional latrines]]=0),0,WWWW[[#This Row],['#_Non-functional latrines]]/(WWWW[[#This Row],['#_Constructed latrines_by_WASHAgencies]]+WWWW[[#This Row],['#_Non Cluster partner latrines]]))</f>
        <v>0</v>
      </c>
      <c r="CU499" s="927">
        <f>IF(500*(WWWW[[#This Row],['#_male hygiene promoters]]+WWWW[[#This Row],['#_female hygiene promoters]])&gt;WWWW[[#This Row],[Total PoP ]],WWWW[[#This Row],[Total PoP ]],500*(WWWW[[#This Row],['#_male hygiene promoters]]+WWWW[[#This Row],['#_female hygiene promoters]]))</f>
        <v>989</v>
      </c>
      <c r="CV499" s="918">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989</v>
      </c>
      <c r="CW499" s="918">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989</v>
      </c>
      <c r="CX499" s="918">
        <f>IF(WWWW[[#This Row],['# People with access to soap]]&gt;WWWW[[#This Row],['# People with access to Sanity Pads]],WWWW[[#This Row],['# People with access to soap]],WWWW[[#This Row],['# People with access to Sanity Pads]])</f>
        <v>989</v>
      </c>
      <c r="CY499" s="918">
        <f>IF(WWWW[[#This Row],['# people reached by regular dedicated hygiene promotion_5]]&gt;WWWW[[#This Row],['# People received regular supply of hygiene items_6]],WWWW[[#This Row],['# people reached by regular dedicated hygiene promotion_5]],WWWW[[#This Row],['# People received regular supply of hygiene items_6]])</f>
        <v>989</v>
      </c>
      <c r="CZ499" s="916">
        <f>IF(WWWW[[#This Row],[HRP3]]/WWWW[[#This Row],[Total PoP ]]&gt;100%,100%,WWWW[[#This Row],[HRP3]]/WWWW[[#This Row],[Total PoP ]])</f>
        <v>1</v>
      </c>
      <c r="DA499" s="919">
        <f>1-WWWW[[#This Row],[Hygiene Coverage%]]</f>
        <v>0</v>
      </c>
      <c r="DB499" s="904">
        <f>WWWW[[#This Row],['# people reached by regular dedicated hygiene promotion_5]]/WWWW[[#This Row],[Total PoP ]]</f>
        <v>1</v>
      </c>
      <c r="DC499" s="904">
        <f>IF(WWWW[[#This Row],['#_households that received standard amount of soap for this quarter]]/WWWW[[#This Row],[Total HH]]&gt;1,1,WWWW[[#This Row],['#_households that received standard amount of soap for this quarter]]/WWWW[[#This Row],[Total HH]])</f>
        <v>1</v>
      </c>
      <c r="DD499" s="904">
        <f>IF(WWWW[[#This Row],['#_households that received standard amount of sanitary pads for this quarter]]/WWWW[[#This Row],[Total HH]]&gt;1,1,WWWW[[#This Row],['#_households that received standard amount of sanitary pads for this quarter]]/WWWW[[#This Row],[Total HH]])</f>
        <v>1</v>
      </c>
      <c r="DE499" s="712">
        <f>WWWW[[#This Row],['#_Constructed/Existing hand washing stations]]-WWWW[[#This Row],['#_Non-Functional_hand_washing_stations]]</f>
        <v>0</v>
      </c>
      <c r="DF499" s="902" t="e">
        <f>WWWW[[#This Row],[Total HH]]*#REF!</f>
        <v>#REF!</v>
      </c>
      <c r="DG499" s="903">
        <f>IF(WWWW[[#This Row],[Is sufficient soap available for TLS? (Yes/No)]]="yes",WWWW[[#This Row],['#_Constructed/Existing hand washing stations at TLS]],0)</f>
        <v>0</v>
      </c>
      <c r="DH499" s="903">
        <f>IF(WWWW[[#This Row],['# Functional hand washing stations during reporting period]]*100&gt;WWWW[[#This Row],[Total PoP ]],WWWW[[#This Row],[Total PoP ]],WWWW[[#This Row],['# Functional hand washing stations during reporting period]]*100)</f>
        <v>0</v>
      </c>
      <c r="DI499" s="903" t="str">
        <f>IF(WWWW[[#This Row],['#_students at TLS_CFS]]="","No","Yes")</f>
        <v>No</v>
      </c>
      <c r="DJ499" s="920">
        <f>VLOOKUP(WWWW[[#This Row],[Site Name]],SiteDB6[[Site Name]:[CCCM Management]],6,FALSE)</f>
        <v>0</v>
      </c>
      <c r="DK499" s="920">
        <f>VLOOKUP(WWWW[[#This Row],[Site Name]],SiteDB6[[Site Name]:[CCCM Focal Agency]],7,FALSE)</f>
        <v>0</v>
      </c>
      <c r="DL499" s="920" t="str">
        <f>VLOOKUP(WWWW[[#This Row],[Site Name]],SiteDB6[[Site Name]:[Location Type 1]],9,FALSE)</f>
        <v>Village</v>
      </c>
      <c r="DM499" s="920" t="str">
        <f>VLOOKUP(WWWW[[#This Row],[Site Name]],SiteDB6[[Site Name]:[Type of Accommodation]],10,FALSE)</f>
        <v>Village</v>
      </c>
      <c r="DN499" s="920" t="str">
        <f>VLOOKUP(WWWW[[#This Row],[Site Name]],SiteDB6[[Site Name]:[Ethnic or GCA/NGCA]],11,FALSE)</f>
        <v>Muslim</v>
      </c>
      <c r="DO499" s="920">
        <f>VLOOKUP(WWWW[[#This Row],[Site Name]],SiteDB6[[Site Name]:[Lat]],12,FALSE)</f>
        <v>20.914119719999999</v>
      </c>
      <c r="DP499" s="920">
        <f>VLOOKUP(WWWW[[#This Row],[Site Name]],SiteDB6[[Site Name]:[Long]],13,FALSE)</f>
        <v>92.3506012</v>
      </c>
      <c r="DQ499" s="920">
        <f>VLOOKUP(WWWW[[#This Row],[Site Name]],SiteDB6[[Site Name]:[Pcode]],3,FALSE)</f>
        <v>197950</v>
      </c>
      <c r="DR499" s="950" t="str">
        <f t="shared" si="17"/>
        <v>Covered</v>
      </c>
      <c r="DS499" s="950"/>
      <c r="DT499" s="913"/>
      <c r="DU499" s="913"/>
      <c r="DV499" s="938"/>
      <c r="DW499" s="913"/>
      <c r="DX499" s="914"/>
      <c r="DY499" s="914"/>
      <c r="DZ499" s="915"/>
      <c r="EA499" s="915"/>
      <c r="EB499" s="915"/>
      <c r="EC499" s="915"/>
      <c r="ED499" s="915"/>
      <c r="EE499" s="915"/>
      <c r="EF499" s="915"/>
      <c r="EG499" s="915"/>
      <c r="EH499" s="915"/>
    </row>
    <row r="500" spans="1:138" s="911" customFormat="1">
      <c r="A500" s="637" t="s">
        <v>2525</v>
      </c>
      <c r="B500" s="912" t="s">
        <v>3272</v>
      </c>
      <c r="C500" s="912" t="s">
        <v>387</v>
      </c>
      <c r="D500" s="912" t="s">
        <v>252</v>
      </c>
      <c r="E500" s="912" t="s">
        <v>3013</v>
      </c>
      <c r="F500" s="912" t="s">
        <v>323</v>
      </c>
      <c r="G500" s="959" t="str">
        <f>VLOOKUP(WWWW[[#This Row],[Site Name]],SiteDB6[[Site Name]:[Location Type]],8,FALSE)</f>
        <v>Village</v>
      </c>
      <c r="H500" s="980" t="s">
        <v>2117</v>
      </c>
      <c r="I500" s="981">
        <v>150</v>
      </c>
      <c r="J500" s="927">
        <v>626</v>
      </c>
      <c r="K500" s="923">
        <v>43251</v>
      </c>
      <c r="L500" s="923">
        <v>43677</v>
      </c>
      <c r="M500" s="975"/>
      <c r="N500" s="975"/>
      <c r="O500" s="975"/>
      <c r="P500" s="975"/>
      <c r="Q500" s="927"/>
      <c r="R500" s="975"/>
      <c r="S500" s="975"/>
      <c r="T500" s="975">
        <v>1</v>
      </c>
      <c r="U500" s="975">
        <v>1</v>
      </c>
      <c r="V500" s="975">
        <v>0</v>
      </c>
      <c r="W500" s="975">
        <v>16</v>
      </c>
      <c r="X500" s="975">
        <v>9</v>
      </c>
      <c r="Y500" s="975">
        <v>7</v>
      </c>
      <c r="Z500" s="975">
        <v>9</v>
      </c>
      <c r="AA500" s="975">
        <v>0</v>
      </c>
      <c r="AB500" s="975">
        <v>0</v>
      </c>
      <c r="AC500" s="975">
        <v>0</v>
      </c>
      <c r="AD500" s="975"/>
      <c r="AE500" s="975">
        <v>3</v>
      </c>
      <c r="AF500" s="975"/>
      <c r="AG500" s="975"/>
      <c r="AH500" s="975">
        <v>2</v>
      </c>
      <c r="AI500" s="975">
        <v>0</v>
      </c>
      <c r="AJ500" s="975">
        <v>0</v>
      </c>
      <c r="AK500" s="975">
        <v>0</v>
      </c>
      <c r="AL500" s="975">
        <v>0</v>
      </c>
      <c r="AM500" s="975">
        <v>0</v>
      </c>
      <c r="AN500" s="975">
        <v>0</v>
      </c>
      <c r="AO500" s="950"/>
      <c r="AP500" s="927">
        <v>82</v>
      </c>
      <c r="AQ500" s="920">
        <v>82</v>
      </c>
      <c r="AR500" s="917"/>
      <c r="AS500" s="975"/>
      <c r="AT500" s="975"/>
      <c r="AU500" s="975"/>
      <c r="AV500" s="975"/>
      <c r="AW500" s="918">
        <v>82</v>
      </c>
      <c r="AX500" s="918" t="s">
        <v>144</v>
      </c>
      <c r="AY500" s="918" t="s">
        <v>144</v>
      </c>
      <c r="AZ500" s="918">
        <v>0</v>
      </c>
      <c r="BA500" s="975"/>
      <c r="BB500" s="927">
        <v>0</v>
      </c>
      <c r="BC500" s="920"/>
      <c r="BD500" s="975"/>
      <c r="BE500" s="975"/>
      <c r="BF500" s="975"/>
      <c r="BG500" s="975"/>
      <c r="BH500" s="975"/>
      <c r="BI500" s="918">
        <v>1</v>
      </c>
      <c r="BJ500" s="918">
        <v>0</v>
      </c>
      <c r="BK500" s="918">
        <v>150</v>
      </c>
      <c r="BL500" s="918">
        <v>150</v>
      </c>
      <c r="BM500" s="918" t="s">
        <v>144</v>
      </c>
      <c r="BN500" s="918">
        <v>2</v>
      </c>
      <c r="BO500" s="917"/>
      <c r="BP500" s="920"/>
      <c r="BQ500" s="919" t="str">
        <f>IFERROR(WWWW[[#This Row],['#_Water sources treated]]/WWWW[[#This Row],['#_Water sources tested for contamination]],"no test")</f>
        <v>no test</v>
      </c>
      <c r="BR500" s="917" t="str">
        <f>IFERROR(WWWW[[#This Row],['#_Household received remediation action due to contamination]]/WWWW[[#This Row],['#_Household water samples tested for contamination]],"no test")</f>
        <v>no test</v>
      </c>
      <c r="BS500" s="918" t="str">
        <f>IF(AND(WWWW[[#This Row],[% of water sources treated]]="no test",WWWW[[#This Row],[% Household received corrective actions]]="no test"),"No Test","Tested")</f>
        <v>No Test</v>
      </c>
      <c r="BT500" s="918">
        <f>WWWW[[#This Row],['#_Constructed/existing protected hand dug well]]-WWWW[[#This Row],['#_Non-functional protected hand dug well]]</f>
        <v>0</v>
      </c>
      <c r="BU500" s="918">
        <f>(WWWW[[#This Row],['#_Constructed/Existing tube wells/boreholes/handpumps_WASH_agency]]+WWWW[[#This Row],['#_Non-Cluster partner water tube-wells/boreholes/handpumps]])-WWWW[[#This Row],['#_Non-functional tube wells/boreholes/handpumps]]</f>
        <v>18</v>
      </c>
      <c r="BV500" s="918">
        <f>WWWW[[#This Row],['#_Constructed/Existingwater storage tank with gravity fed reticulation system]]-WWWW[[#This Row],['#_Non-functional storage tank gravity fed reticulation system]]</f>
        <v>0</v>
      </c>
      <c r="BW500" s="918">
        <f>WWWW[[#This Row],['#_Water boating or water trucking]]</f>
        <v>0</v>
      </c>
      <c r="BX500" s="918">
        <f>WWWW[[#This Row],['#_Constructed/Existing water distribution system from river or natural spring]]</f>
        <v>0</v>
      </c>
      <c r="BY500" s="91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500" s="91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500" s="917">
        <f>IF(WWWW[[#This Row],[Location Type 1]]="Village",WWWW[[#This Row],[Access to safe drinking water for Village]],WWWW[[#This Row],[Access to safe drinking water for Camp]])</f>
        <v>1</v>
      </c>
      <c r="CB500" s="927">
        <f>WWWW[[#This Row],[%Equitable and continuous access to sufficient quantity of safe drinking water]]*WWWW[[#This Row],[Total PoP ]]</f>
        <v>626</v>
      </c>
      <c r="CC500" s="917">
        <f>IF((WWWW[[#This Row],['#_Constructed/Existing protected/fenced ponds]]*250)/WWWW[[#This Row],[Total PoP ]]&gt;1,1,(WWWW[[#This Row],['#_Constructed/Existing protected/fenced ponds]]*250)/WWWW[[#This Row],[Total PoP ]])</f>
        <v>1</v>
      </c>
      <c r="CD500" s="927">
        <f>WWWW[[#This Row],[% Access to unimproved water points]]*WWWW[[#This Row],[Total PoP ]]</f>
        <v>626</v>
      </c>
      <c r="CE500" s="91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00" s="92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626</v>
      </c>
      <c r="CG500" s="903">
        <f>WWWW[[#This Row],[HRP1]]/500</f>
        <v>1.252</v>
      </c>
      <c r="CH500" s="916">
        <f>1-WWWW[[#This Row],[% Equitable and continuous access to sufficient quantity of domestic water]]</f>
        <v>0</v>
      </c>
      <c r="CI500" s="927">
        <f>WWWW[[#This Row],[%equitable and continuous access to sufficient quantity of safe drinking and domestic water''s GAP]]*WWWW[[#This Row],[Total PoP ]]</f>
        <v>0</v>
      </c>
      <c r="CJ500" s="918">
        <f>IF(WWWW[[#This Row],[Total required water points]]-WWWW[[#This Row],['#Water points coverage]]&lt;0,0,WWWW[[#This Row],[Total required water points]]-WWWW[[#This Row],['#Water points coverage]])</f>
        <v>0</v>
      </c>
      <c r="CK500" s="918">
        <f>ROUND(IF(WWWW[[#This Row],[Total PoP ]]&lt;500,1,WWWW[[#This Row],[Total PoP ]]/500),0)</f>
        <v>1</v>
      </c>
      <c r="CL500" s="918">
        <f>(WWWW[[#This Row],['#_Constructed latrines_by_WASHAgencies]]+WWWW[[#This Row],['#_Non Cluster partner latrines]])-WWWW[[#This Row],['#_Non-functional latrines]]</f>
        <v>164</v>
      </c>
      <c r="CM500" s="919">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500" s="927">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626</v>
      </c>
      <c r="CO500" s="930"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500" s="918" t="str">
        <f>IF(WWWW[[#This Row],[Location Type 1]]="Village","NA",IF(WWWW[[#This Row],['#_Constructed/Existing latrines in TLS]]*50&gt;WWWW[[#This Row],['#_students at TLS_CFS]],WWWW[[#This Row],['#_students at TLS_CFS]],(WWWW[[#This Row],['#_Constructed/Existing latrines in TLS]]*50)))</f>
        <v>NA</v>
      </c>
      <c r="CQ500" s="918">
        <f>ROUND(IF(WWWW[[#This Row],[Location Type 1]]="camp",WWWW[[#This Row],[Total PoP ]]/20,IF(WWWW[[#This Row],[Location Type 1]]="Temporary Location",WWWW[[#This Row],[Total PoP ]]/50,(WWWW[[#This Row],[Total PoP ]]/6))),0)</f>
        <v>104</v>
      </c>
      <c r="CR500" s="918">
        <f>IF(WWWW[[#This Row],[Total required Latrines]]-(WWWW[[#This Row],['#_Constructed latrines_by_WASHAgencies]]+WWWW[[#This Row],['#_Non Cluster partner latrines]])&lt;0,0,WWWW[[#This Row],[Total required Latrines]]-(WWWW[[#This Row],['#_Constructed latrines_by_WASHAgencies]]+WWWW[[#This Row],['#_Non Cluster partner latrines]]))</f>
        <v>0</v>
      </c>
      <c r="CS500" s="924">
        <f>1-WWWW[[#This Row],[% people access to functioning Latrine]]</f>
        <v>0</v>
      </c>
      <c r="CT500" s="919">
        <f>IF(OR(WWWW[[#This Row],['#_Non-functional latrines]]="",WWWW[[#This Row],['#_Non-functional latrines]]=0),0,WWWW[[#This Row],['#_Non-functional latrines]]/(WWWW[[#This Row],['#_Constructed latrines_by_WASHAgencies]]+WWWW[[#This Row],['#_Non Cluster partner latrines]]))</f>
        <v>0</v>
      </c>
      <c r="CU500" s="927">
        <f>IF(500*(WWWW[[#This Row],['#_male hygiene promoters]]+WWWW[[#This Row],['#_female hygiene promoters]])&gt;WWWW[[#This Row],[Total PoP ]],WWWW[[#This Row],[Total PoP ]],500*(WWWW[[#This Row],['#_male hygiene promoters]]+WWWW[[#This Row],['#_female hygiene promoters]]))</f>
        <v>500</v>
      </c>
      <c r="CV500" s="918">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626</v>
      </c>
      <c r="CW500" s="918">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626</v>
      </c>
      <c r="CX500" s="918">
        <f>IF(WWWW[[#This Row],['# People with access to soap]]&gt;WWWW[[#This Row],['# People with access to Sanity Pads]],WWWW[[#This Row],['# People with access to soap]],WWWW[[#This Row],['# People with access to Sanity Pads]])</f>
        <v>626</v>
      </c>
      <c r="CY500" s="918">
        <f>IF(WWWW[[#This Row],['# people reached by regular dedicated hygiene promotion_5]]&gt;WWWW[[#This Row],['# People received regular supply of hygiene items_6]],WWWW[[#This Row],['# people reached by regular dedicated hygiene promotion_5]],WWWW[[#This Row],['# People received regular supply of hygiene items_6]])</f>
        <v>626</v>
      </c>
      <c r="CZ500" s="916">
        <f>IF(WWWW[[#This Row],[HRP3]]/WWWW[[#This Row],[Total PoP ]]&gt;100%,100%,WWWW[[#This Row],[HRP3]]/WWWW[[#This Row],[Total PoP ]])</f>
        <v>1</v>
      </c>
      <c r="DA500" s="919">
        <f>1-WWWW[[#This Row],[Hygiene Coverage%]]</f>
        <v>0</v>
      </c>
      <c r="DB500" s="904">
        <f>WWWW[[#This Row],['# people reached by regular dedicated hygiene promotion_5]]/WWWW[[#This Row],[Total PoP ]]</f>
        <v>0.79872204472843455</v>
      </c>
      <c r="DC500" s="904">
        <f>IF(WWWW[[#This Row],['#_households that received standard amount of soap for this quarter]]/WWWW[[#This Row],[Total HH]]&gt;1,1,WWWW[[#This Row],['#_households that received standard amount of soap for this quarter]]/WWWW[[#This Row],[Total HH]])</f>
        <v>1</v>
      </c>
      <c r="DD500" s="904">
        <f>IF(WWWW[[#This Row],['#_households that received standard amount of sanitary pads for this quarter]]/WWWW[[#This Row],[Total HH]]&gt;1,1,WWWW[[#This Row],['#_households that received standard amount of sanitary pads for this quarter]]/WWWW[[#This Row],[Total HH]])</f>
        <v>1</v>
      </c>
      <c r="DE500" s="712">
        <f>WWWW[[#This Row],['#_Constructed/Existing hand washing stations]]-WWWW[[#This Row],['#_Non-Functional_hand_washing_stations]]</f>
        <v>0</v>
      </c>
      <c r="DF500" s="902" t="e">
        <f>WWWW[[#This Row],[Total HH]]*#REF!</f>
        <v>#REF!</v>
      </c>
      <c r="DG500" s="903">
        <f>IF(WWWW[[#This Row],[Is sufficient soap available for TLS? (Yes/No)]]="yes",WWWW[[#This Row],['#_Constructed/Existing hand washing stations at TLS]],0)</f>
        <v>0</v>
      </c>
      <c r="DH500" s="903">
        <f>IF(WWWW[[#This Row],['# Functional hand washing stations during reporting period]]*100&gt;WWWW[[#This Row],[Total PoP ]],WWWW[[#This Row],[Total PoP ]],WWWW[[#This Row],['# Functional hand washing stations during reporting period]]*100)</f>
        <v>0</v>
      </c>
      <c r="DI500" s="903" t="str">
        <f>IF(WWWW[[#This Row],['#_students at TLS_CFS]]="","No","Yes")</f>
        <v>No</v>
      </c>
      <c r="DJ500" s="920">
        <f>VLOOKUP(WWWW[[#This Row],[Site Name]],SiteDB6[[Site Name]:[CCCM Management]],6,FALSE)</f>
        <v>0</v>
      </c>
      <c r="DK500" s="920">
        <f>VLOOKUP(WWWW[[#This Row],[Site Name]],SiteDB6[[Site Name]:[CCCM Focal Agency]],7,FALSE)</f>
        <v>0</v>
      </c>
      <c r="DL500" s="920" t="str">
        <f>VLOOKUP(WWWW[[#This Row],[Site Name]],SiteDB6[[Site Name]:[Location Type 1]],9,FALSE)</f>
        <v>Village</v>
      </c>
      <c r="DM500" s="920" t="str">
        <f>VLOOKUP(WWWW[[#This Row],[Site Name]],SiteDB6[[Site Name]:[Type of Accommodation]],10,FALSE)</f>
        <v>Village</v>
      </c>
      <c r="DN500" s="920" t="str">
        <f>VLOOKUP(WWWW[[#This Row],[Site Name]],SiteDB6[[Site Name]:[Ethnic or GCA/NGCA]],11,FALSE)</f>
        <v>Muslim</v>
      </c>
      <c r="DO500" s="920">
        <f>VLOOKUP(WWWW[[#This Row],[Site Name]],SiteDB6[[Site Name]:[Lat]],12,FALSE)</f>
        <v>20.900329589999998</v>
      </c>
      <c r="DP500" s="920">
        <f>VLOOKUP(WWWW[[#This Row],[Site Name]],SiteDB6[[Site Name]:[Long]],13,FALSE)</f>
        <v>92.362213130000001</v>
      </c>
      <c r="DQ500" s="920">
        <f>VLOOKUP(WWWW[[#This Row],[Site Name]],SiteDB6[[Site Name]:[Pcode]],3,FALSE)</f>
        <v>197957</v>
      </c>
      <c r="DR500" s="950" t="str">
        <f t="shared" si="17"/>
        <v>Covered</v>
      </c>
      <c r="DS500" s="950"/>
      <c r="DT500" s="913"/>
      <c r="DU500" s="913"/>
      <c r="DV500" s="938"/>
      <c r="DW500" s="913"/>
      <c r="DX500" s="914"/>
      <c r="DY500" s="914"/>
      <c r="DZ500" s="915"/>
      <c r="EA500" s="915"/>
      <c r="EB500" s="915"/>
      <c r="EC500" s="915"/>
      <c r="ED500" s="915"/>
      <c r="EE500" s="915"/>
      <c r="EF500" s="915"/>
      <c r="EG500" s="915"/>
      <c r="EH500" s="915"/>
    </row>
    <row r="501" spans="1:138" s="911" customFormat="1">
      <c r="A501" s="637" t="s">
        <v>2525</v>
      </c>
      <c r="B501" s="912" t="s">
        <v>3272</v>
      </c>
      <c r="C501" s="912" t="s">
        <v>387</v>
      </c>
      <c r="D501" s="912" t="s">
        <v>252</v>
      </c>
      <c r="E501" s="912" t="s">
        <v>3013</v>
      </c>
      <c r="F501" s="912" t="s">
        <v>323</v>
      </c>
      <c r="G501" s="959" t="str">
        <f>VLOOKUP(WWWW[[#This Row],[Site Name]],SiteDB6[[Site Name]:[Location Type]],8,FALSE)</f>
        <v>Village</v>
      </c>
      <c r="H501" s="977" t="s">
        <v>535</v>
      </c>
      <c r="I501" s="981">
        <v>87</v>
      </c>
      <c r="J501" s="927">
        <v>361</v>
      </c>
      <c r="K501" s="923">
        <v>43251</v>
      </c>
      <c r="L501" s="923">
        <v>43677</v>
      </c>
      <c r="M501" s="975"/>
      <c r="N501" s="975"/>
      <c r="O501" s="975"/>
      <c r="P501" s="975"/>
      <c r="Q501" s="927"/>
      <c r="R501" s="975"/>
      <c r="S501" s="975"/>
      <c r="T501" s="975">
        <v>3</v>
      </c>
      <c r="U501" s="975">
        <v>1</v>
      </c>
      <c r="V501" s="975">
        <v>2</v>
      </c>
      <c r="W501" s="975">
        <v>0</v>
      </c>
      <c r="X501" s="975">
        <v>0</v>
      </c>
      <c r="Y501" s="975">
        <v>0</v>
      </c>
      <c r="Z501" s="975">
        <v>0</v>
      </c>
      <c r="AA501" s="975">
        <v>0</v>
      </c>
      <c r="AB501" s="975">
        <v>0</v>
      </c>
      <c r="AC501" s="975">
        <v>0</v>
      </c>
      <c r="AD501" s="975"/>
      <c r="AE501" s="975">
        <v>5</v>
      </c>
      <c r="AF501" s="975"/>
      <c r="AG501" s="975"/>
      <c r="AH501" s="975">
        <v>1</v>
      </c>
      <c r="AI501" s="975">
        <v>0</v>
      </c>
      <c r="AJ501" s="975">
        <v>0</v>
      </c>
      <c r="AK501" s="975">
        <v>0</v>
      </c>
      <c r="AL501" s="975">
        <v>0</v>
      </c>
      <c r="AM501" s="975">
        <v>0</v>
      </c>
      <c r="AN501" s="975">
        <v>0</v>
      </c>
      <c r="AO501" s="950"/>
      <c r="AP501" s="927">
        <v>0</v>
      </c>
      <c r="AQ501" s="920">
        <v>0</v>
      </c>
      <c r="AR501" s="917"/>
      <c r="AS501" s="975"/>
      <c r="AT501" s="975"/>
      <c r="AU501" s="975"/>
      <c r="AV501" s="975"/>
      <c r="AW501" s="918">
        <v>0</v>
      </c>
      <c r="AX501" s="918" t="s">
        <v>144</v>
      </c>
      <c r="AY501" s="918" t="s">
        <v>144</v>
      </c>
      <c r="AZ501" s="918">
        <v>4</v>
      </c>
      <c r="BA501" s="975"/>
      <c r="BB501" s="927">
        <v>4</v>
      </c>
      <c r="BC501" s="920"/>
      <c r="BD501" s="975"/>
      <c r="BE501" s="975"/>
      <c r="BF501" s="975"/>
      <c r="BG501" s="975"/>
      <c r="BH501" s="975"/>
      <c r="BI501" s="918">
        <v>1</v>
      </c>
      <c r="BJ501" s="918">
        <v>0</v>
      </c>
      <c r="BK501" s="918">
        <v>87</v>
      </c>
      <c r="BL501" s="918">
        <v>0</v>
      </c>
      <c r="BM501" s="918" t="s">
        <v>144</v>
      </c>
      <c r="BN501" s="918">
        <v>1</v>
      </c>
      <c r="BO501" s="917"/>
      <c r="BP501" s="920"/>
      <c r="BQ501" s="919" t="str">
        <f>IFERROR(WWWW[[#This Row],['#_Water sources treated]]/WWWW[[#This Row],['#_Water sources tested for contamination]],"no test")</f>
        <v>no test</v>
      </c>
      <c r="BR501" s="917" t="str">
        <f>IFERROR(WWWW[[#This Row],['#_Household received remediation action due to contamination]]/WWWW[[#This Row],['#_Household water samples tested for contamination]],"no test")</f>
        <v>no test</v>
      </c>
      <c r="BS501" s="918" t="str">
        <f>IF(AND(WWWW[[#This Row],[% of water sources treated]]="no test",WWWW[[#This Row],[% Household received corrective actions]]="no test"),"No Test","Tested")</f>
        <v>No Test</v>
      </c>
      <c r="BT501" s="918">
        <f>WWWW[[#This Row],['#_Constructed/existing protected hand dug well]]-WWWW[[#This Row],['#_Non-functional protected hand dug well]]</f>
        <v>2</v>
      </c>
      <c r="BU501" s="918">
        <f>(WWWW[[#This Row],['#_Constructed/Existing tube wells/boreholes/handpumps_WASH_agency]]+WWWW[[#This Row],['#_Non-Cluster partner water tube-wells/boreholes/handpumps]])-WWWW[[#This Row],['#_Non-functional tube wells/boreholes/handpumps]]</f>
        <v>0</v>
      </c>
      <c r="BV501" s="918">
        <f>WWWW[[#This Row],['#_Constructed/Existingwater storage tank with gravity fed reticulation system]]-WWWW[[#This Row],['#_Non-functional storage tank gravity fed reticulation system]]</f>
        <v>0</v>
      </c>
      <c r="BW501" s="918">
        <f>WWWW[[#This Row],['#_Water boating or water trucking]]</f>
        <v>0</v>
      </c>
      <c r="BX501" s="918">
        <f>WWWW[[#This Row],['#_Constructed/Existing water distribution system from river or natural spring]]</f>
        <v>0</v>
      </c>
      <c r="BY501" s="91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501" s="91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501" s="917">
        <f>IF(WWWW[[#This Row],[Location Type 1]]="Village",WWWW[[#This Row],[Access to safe drinking water for Village]],WWWW[[#This Row],[Access to safe drinking water for Camp]])</f>
        <v>1</v>
      </c>
      <c r="CB501" s="927">
        <f>WWWW[[#This Row],[%Equitable and continuous access to sufficient quantity of safe drinking water]]*WWWW[[#This Row],[Total PoP ]]</f>
        <v>361</v>
      </c>
      <c r="CC501" s="917">
        <f>IF((WWWW[[#This Row],['#_Constructed/Existing protected/fenced ponds]]*250)/WWWW[[#This Row],[Total PoP ]]&gt;1,1,(WWWW[[#This Row],['#_Constructed/Existing protected/fenced ponds]]*250)/WWWW[[#This Row],[Total PoP ]])</f>
        <v>1</v>
      </c>
      <c r="CD501" s="927">
        <f>WWWW[[#This Row],[% Access to unimproved water points]]*WWWW[[#This Row],[Total PoP ]]</f>
        <v>361</v>
      </c>
      <c r="CE501" s="91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01" s="92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361</v>
      </c>
      <c r="CG501" s="903">
        <f>WWWW[[#This Row],[HRP1]]/500</f>
        <v>0.72199999999999998</v>
      </c>
      <c r="CH501" s="916">
        <f>1-WWWW[[#This Row],[% Equitable and continuous access to sufficient quantity of domestic water]]</f>
        <v>0</v>
      </c>
      <c r="CI501" s="927">
        <f>WWWW[[#This Row],[%equitable and continuous access to sufficient quantity of safe drinking and domestic water''s GAP]]*WWWW[[#This Row],[Total PoP ]]</f>
        <v>0</v>
      </c>
      <c r="CJ501" s="918">
        <f>IF(WWWW[[#This Row],[Total required water points]]-WWWW[[#This Row],['#Water points coverage]]&lt;0,0,WWWW[[#This Row],[Total required water points]]-WWWW[[#This Row],['#Water points coverage]])</f>
        <v>0.27800000000000002</v>
      </c>
      <c r="CK501" s="918">
        <f>ROUND(IF(WWWW[[#This Row],[Total PoP ]]&lt;500,1,WWWW[[#This Row],[Total PoP ]]/500),0)</f>
        <v>1</v>
      </c>
      <c r="CL501" s="918">
        <f>(WWWW[[#This Row],['#_Constructed latrines_by_WASHAgencies]]+WWWW[[#This Row],['#_Non Cluster partner latrines]])-WWWW[[#This Row],['#_Non-functional latrines]]</f>
        <v>0</v>
      </c>
      <c r="CM501" s="919">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501" s="927">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501" s="930"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501" s="918" t="str">
        <f>IF(WWWW[[#This Row],[Location Type 1]]="Village","NA",IF(WWWW[[#This Row],['#_Constructed/Existing latrines in TLS]]*50&gt;WWWW[[#This Row],['#_students at TLS_CFS]],WWWW[[#This Row],['#_students at TLS_CFS]],(WWWW[[#This Row],['#_Constructed/Existing latrines in TLS]]*50)))</f>
        <v>NA</v>
      </c>
      <c r="CQ501" s="918">
        <f>ROUND(IF(WWWW[[#This Row],[Location Type 1]]="camp",WWWW[[#This Row],[Total PoP ]]/20,IF(WWWW[[#This Row],[Location Type 1]]="Temporary Location",WWWW[[#This Row],[Total PoP ]]/50,(WWWW[[#This Row],[Total PoP ]]/6))),0)</f>
        <v>60</v>
      </c>
      <c r="CR501" s="918">
        <f>IF(WWWW[[#This Row],[Total required Latrines]]-(WWWW[[#This Row],['#_Constructed latrines_by_WASHAgencies]]+WWWW[[#This Row],['#_Non Cluster partner latrines]])&lt;0,0,WWWW[[#This Row],[Total required Latrines]]-(WWWW[[#This Row],['#_Constructed latrines_by_WASHAgencies]]+WWWW[[#This Row],['#_Non Cluster partner latrines]]))</f>
        <v>60</v>
      </c>
      <c r="CS501" s="924">
        <f>1-WWWW[[#This Row],[% people access to functioning Latrine]]</f>
        <v>1</v>
      </c>
      <c r="CT501" s="919">
        <f>IF(OR(WWWW[[#This Row],['#_Non-functional latrines]]="",WWWW[[#This Row],['#_Non-functional latrines]]=0),0,WWWW[[#This Row],['#_Non-functional latrines]]/(WWWW[[#This Row],['#_Constructed latrines_by_WASHAgencies]]+WWWW[[#This Row],['#_Non Cluster partner latrines]]))</f>
        <v>0</v>
      </c>
      <c r="CU501" s="927">
        <f>IF(500*(WWWW[[#This Row],['#_male hygiene promoters]]+WWWW[[#This Row],['#_female hygiene promoters]])&gt;WWWW[[#This Row],[Total PoP ]],WWWW[[#This Row],[Total PoP ]],500*(WWWW[[#This Row],['#_male hygiene promoters]]+WWWW[[#This Row],['#_female hygiene promoters]]))</f>
        <v>361</v>
      </c>
      <c r="CV501" s="918">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361</v>
      </c>
      <c r="CW501" s="918">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01" s="918">
        <f>IF(WWWW[[#This Row],['# People with access to soap]]&gt;WWWW[[#This Row],['# People with access to Sanity Pads]],WWWW[[#This Row],['# People with access to soap]],WWWW[[#This Row],['# People with access to Sanity Pads]])</f>
        <v>361</v>
      </c>
      <c r="CY501" s="918">
        <f>IF(WWWW[[#This Row],['# people reached by regular dedicated hygiene promotion_5]]&gt;WWWW[[#This Row],['# People received regular supply of hygiene items_6]],WWWW[[#This Row],['# people reached by regular dedicated hygiene promotion_5]],WWWW[[#This Row],['# People received regular supply of hygiene items_6]])</f>
        <v>361</v>
      </c>
      <c r="CZ501" s="916">
        <f>IF(WWWW[[#This Row],[HRP3]]/WWWW[[#This Row],[Total PoP ]]&gt;100%,100%,WWWW[[#This Row],[HRP3]]/WWWW[[#This Row],[Total PoP ]])</f>
        <v>1</v>
      </c>
      <c r="DA501" s="919">
        <f>1-WWWW[[#This Row],[Hygiene Coverage%]]</f>
        <v>0</v>
      </c>
      <c r="DB501" s="904">
        <f>WWWW[[#This Row],['# people reached by regular dedicated hygiene promotion_5]]/WWWW[[#This Row],[Total PoP ]]</f>
        <v>1</v>
      </c>
      <c r="DC501" s="904">
        <f>IF(WWWW[[#This Row],['#_households that received standard amount of soap for this quarter]]/WWWW[[#This Row],[Total HH]]&gt;1,1,WWWW[[#This Row],['#_households that received standard amount of soap for this quarter]]/WWWW[[#This Row],[Total HH]])</f>
        <v>1</v>
      </c>
      <c r="DD501" s="904">
        <f>IF(WWWW[[#This Row],['#_households that received standard amount of sanitary pads for this quarter]]/WWWW[[#This Row],[Total HH]]&gt;1,1,WWWW[[#This Row],['#_households that received standard amount of sanitary pads for this quarter]]/WWWW[[#This Row],[Total HH]])</f>
        <v>0</v>
      </c>
      <c r="DE501" s="712">
        <f>WWWW[[#This Row],['#_Constructed/Existing hand washing stations]]-WWWW[[#This Row],['#_Non-Functional_hand_washing_stations]]</f>
        <v>0</v>
      </c>
      <c r="DF501" s="902" t="e">
        <f>WWWW[[#This Row],[Total HH]]*#REF!</f>
        <v>#REF!</v>
      </c>
      <c r="DG501" s="903">
        <f>IF(WWWW[[#This Row],[Is sufficient soap available for TLS? (Yes/No)]]="yes",WWWW[[#This Row],['#_Constructed/Existing hand washing stations at TLS]],0)</f>
        <v>0</v>
      </c>
      <c r="DH501" s="903">
        <f>IF(WWWW[[#This Row],['# Functional hand washing stations during reporting period]]*100&gt;WWWW[[#This Row],[Total PoP ]],WWWW[[#This Row],[Total PoP ]],WWWW[[#This Row],['# Functional hand washing stations during reporting period]]*100)</f>
        <v>0</v>
      </c>
      <c r="DI501" s="903" t="str">
        <f>IF(WWWW[[#This Row],['#_students at TLS_CFS]]="","No","Yes")</f>
        <v>No</v>
      </c>
      <c r="DJ501" s="920">
        <f>VLOOKUP(WWWW[[#This Row],[Site Name]],SiteDB6[[Site Name]:[CCCM Management]],6,FALSE)</f>
        <v>0</v>
      </c>
      <c r="DK501" s="920">
        <f>VLOOKUP(WWWW[[#This Row],[Site Name]],SiteDB6[[Site Name]:[CCCM Focal Agency]],7,FALSE)</f>
        <v>0</v>
      </c>
      <c r="DL501" s="920" t="str">
        <f>VLOOKUP(WWWW[[#This Row],[Site Name]],SiteDB6[[Site Name]:[Location Type 1]],9,FALSE)</f>
        <v>Village</v>
      </c>
      <c r="DM501" s="920" t="str">
        <f>VLOOKUP(WWWW[[#This Row],[Site Name]],SiteDB6[[Site Name]:[Type of Accommodation]],10,FALSE)</f>
        <v>Village</v>
      </c>
      <c r="DN501" s="920" t="str">
        <f>VLOOKUP(WWWW[[#This Row],[Site Name]],SiteDB6[[Site Name]:[Ethnic or GCA/NGCA]],11,FALSE)</f>
        <v>Rakhine</v>
      </c>
      <c r="DO501" s="920">
        <f>VLOOKUP(WWWW[[#This Row],[Site Name]],SiteDB6[[Site Name]:[Lat]],12,FALSE)</f>
        <v>20.651159289999999</v>
      </c>
      <c r="DP501" s="920">
        <f>VLOOKUP(WWWW[[#This Row],[Site Name]],SiteDB6[[Site Name]:[Long]],13,FALSE)</f>
        <v>92.605712890000007</v>
      </c>
      <c r="DQ501" s="920">
        <f>VLOOKUP(WWWW[[#This Row],[Site Name]],SiteDB6[[Site Name]:[Pcode]],3,FALSE)</f>
        <v>0</v>
      </c>
      <c r="DR501" s="950" t="str">
        <f t="shared" si="17"/>
        <v>Covered</v>
      </c>
      <c r="DS501" s="950"/>
      <c r="DT501" s="913"/>
      <c r="DU501" s="913"/>
      <c r="DV501" s="938"/>
      <c r="DW501" s="913"/>
      <c r="DX501" s="914"/>
      <c r="DY501" s="914"/>
      <c r="DZ501" s="915"/>
      <c r="EA501" s="915"/>
      <c r="EB501" s="915"/>
      <c r="EC501" s="915"/>
      <c r="ED501" s="915"/>
      <c r="EE501" s="915"/>
      <c r="EF501" s="915"/>
      <c r="EG501" s="915"/>
      <c r="EH501" s="915"/>
    </row>
    <row r="502" spans="1:138" s="911" customFormat="1">
      <c r="A502" s="637" t="s">
        <v>2525</v>
      </c>
      <c r="B502" s="912" t="s">
        <v>3272</v>
      </c>
      <c r="C502" s="912" t="s">
        <v>387</v>
      </c>
      <c r="D502" s="912" t="s">
        <v>252</v>
      </c>
      <c r="E502" s="912" t="s">
        <v>3013</v>
      </c>
      <c r="F502" s="912" t="s">
        <v>323</v>
      </c>
      <c r="G502" s="959" t="str">
        <f>VLOOKUP(WWWW[[#This Row],[Site Name]],SiteDB6[[Site Name]:[Location Type]],8,FALSE)</f>
        <v>Village</v>
      </c>
      <c r="H502" s="980" t="s">
        <v>3269</v>
      </c>
      <c r="I502" s="981">
        <v>55</v>
      </c>
      <c r="J502" s="927">
        <v>241</v>
      </c>
      <c r="K502" s="923">
        <v>43251</v>
      </c>
      <c r="L502" s="923">
        <v>43677</v>
      </c>
      <c r="M502" s="975"/>
      <c r="N502" s="975"/>
      <c r="O502" s="975"/>
      <c r="P502" s="975"/>
      <c r="Q502" s="927"/>
      <c r="R502" s="975"/>
      <c r="S502" s="975"/>
      <c r="T502" s="975">
        <v>3</v>
      </c>
      <c r="U502" s="975">
        <v>0</v>
      </c>
      <c r="V502" s="975">
        <v>0</v>
      </c>
      <c r="W502" s="975">
        <v>3</v>
      </c>
      <c r="X502" s="975">
        <v>0</v>
      </c>
      <c r="Y502" s="975">
        <v>0</v>
      </c>
      <c r="Z502" s="975">
        <v>1</v>
      </c>
      <c r="AA502" s="975">
        <v>0</v>
      </c>
      <c r="AB502" s="975">
        <v>0</v>
      </c>
      <c r="AC502" s="975">
        <v>0</v>
      </c>
      <c r="AD502" s="975"/>
      <c r="AE502" s="975">
        <v>1</v>
      </c>
      <c r="AF502" s="975"/>
      <c r="AG502" s="975"/>
      <c r="AH502" s="975">
        <v>1</v>
      </c>
      <c r="AI502" s="975">
        <v>0</v>
      </c>
      <c r="AJ502" s="975">
        <v>0</v>
      </c>
      <c r="AK502" s="975">
        <v>0</v>
      </c>
      <c r="AL502" s="975">
        <v>0</v>
      </c>
      <c r="AM502" s="975">
        <v>0</v>
      </c>
      <c r="AN502" s="975">
        <v>0</v>
      </c>
      <c r="AO502" s="950"/>
      <c r="AP502" s="927">
        <v>0</v>
      </c>
      <c r="AQ502" s="920">
        <v>0</v>
      </c>
      <c r="AR502" s="917"/>
      <c r="AS502" s="975"/>
      <c r="AT502" s="975"/>
      <c r="AU502" s="975"/>
      <c r="AV502" s="975"/>
      <c r="AW502" s="918">
        <v>0</v>
      </c>
      <c r="AX502" s="918" t="s">
        <v>144</v>
      </c>
      <c r="AY502" s="918" t="s">
        <v>144</v>
      </c>
      <c r="AZ502" s="918">
        <v>4</v>
      </c>
      <c r="BA502" s="975"/>
      <c r="BB502" s="927">
        <v>4</v>
      </c>
      <c r="BC502" s="920"/>
      <c r="BD502" s="975"/>
      <c r="BE502" s="975"/>
      <c r="BF502" s="975"/>
      <c r="BG502" s="975"/>
      <c r="BH502" s="975"/>
      <c r="BI502" s="918">
        <v>0</v>
      </c>
      <c r="BJ502" s="918">
        <v>1</v>
      </c>
      <c r="BK502" s="918">
        <v>55</v>
      </c>
      <c r="BL502" s="918">
        <v>0</v>
      </c>
      <c r="BM502" s="918" t="s">
        <v>144</v>
      </c>
      <c r="BN502" s="918">
        <v>2</v>
      </c>
      <c r="BO502" s="917"/>
      <c r="BP502" s="920"/>
      <c r="BQ502" s="919" t="str">
        <f>IFERROR(WWWW[[#This Row],['#_Water sources treated]]/WWWW[[#This Row],['#_Water sources tested for contamination]],"no test")</f>
        <v>no test</v>
      </c>
      <c r="BR502" s="917" t="str">
        <f>IFERROR(WWWW[[#This Row],['#_Household received remediation action due to contamination]]/WWWW[[#This Row],['#_Household water samples tested for contamination]],"no test")</f>
        <v>no test</v>
      </c>
      <c r="BS502" s="918" t="str">
        <f>IF(AND(WWWW[[#This Row],[% of water sources treated]]="no test",WWWW[[#This Row],[% Household received corrective actions]]="no test"),"No Test","Tested")</f>
        <v>No Test</v>
      </c>
      <c r="BT502" s="918">
        <f>WWWW[[#This Row],['#_Constructed/existing protected hand dug well]]-WWWW[[#This Row],['#_Non-functional protected hand dug well]]</f>
        <v>3</v>
      </c>
      <c r="BU502" s="918">
        <f>(WWWW[[#This Row],['#_Constructed/Existing tube wells/boreholes/handpumps_WASH_agency]]+WWWW[[#This Row],['#_Non-Cluster partner water tube-wells/boreholes/handpumps]])-WWWW[[#This Row],['#_Non-functional tube wells/boreholes/handpumps]]</f>
        <v>3</v>
      </c>
      <c r="BV502" s="918">
        <f>WWWW[[#This Row],['#_Constructed/Existingwater storage tank with gravity fed reticulation system]]-WWWW[[#This Row],['#_Non-functional storage tank gravity fed reticulation system]]</f>
        <v>0</v>
      </c>
      <c r="BW502" s="918">
        <f>WWWW[[#This Row],['#_Water boating or water trucking]]</f>
        <v>0</v>
      </c>
      <c r="BX502" s="918">
        <f>WWWW[[#This Row],['#_Constructed/Existing water distribution system from river or natural spring]]</f>
        <v>0</v>
      </c>
      <c r="BY502" s="91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502" s="91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502" s="917">
        <f>IF(WWWW[[#This Row],[Location Type 1]]="Village",WWWW[[#This Row],[Access to safe drinking water for Village]],WWWW[[#This Row],[Access to safe drinking water for Camp]])</f>
        <v>1</v>
      </c>
      <c r="CB502" s="927">
        <f>WWWW[[#This Row],[%Equitable and continuous access to sufficient quantity of safe drinking water]]*WWWW[[#This Row],[Total PoP ]]</f>
        <v>241</v>
      </c>
      <c r="CC502" s="917">
        <f>IF((WWWW[[#This Row],['#_Constructed/Existing protected/fenced ponds]]*250)/WWWW[[#This Row],[Total PoP ]]&gt;1,1,(WWWW[[#This Row],['#_Constructed/Existing protected/fenced ponds]]*250)/WWWW[[#This Row],[Total PoP ]])</f>
        <v>1</v>
      </c>
      <c r="CD502" s="927">
        <f>WWWW[[#This Row],[% Access to unimproved water points]]*WWWW[[#This Row],[Total PoP ]]</f>
        <v>241</v>
      </c>
      <c r="CE502" s="91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02" s="92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241</v>
      </c>
      <c r="CG502" s="903">
        <f>WWWW[[#This Row],[HRP1]]/500</f>
        <v>0.48199999999999998</v>
      </c>
      <c r="CH502" s="916">
        <f>1-WWWW[[#This Row],[% Equitable and continuous access to sufficient quantity of domestic water]]</f>
        <v>0</v>
      </c>
      <c r="CI502" s="927">
        <f>WWWW[[#This Row],[%equitable and continuous access to sufficient quantity of safe drinking and domestic water''s GAP]]*WWWW[[#This Row],[Total PoP ]]</f>
        <v>0</v>
      </c>
      <c r="CJ502" s="918">
        <f>IF(WWWW[[#This Row],[Total required water points]]-WWWW[[#This Row],['#Water points coverage]]&lt;0,0,WWWW[[#This Row],[Total required water points]]-WWWW[[#This Row],['#Water points coverage]])</f>
        <v>0.51800000000000002</v>
      </c>
      <c r="CK502" s="918">
        <f>ROUND(IF(WWWW[[#This Row],[Total PoP ]]&lt;500,1,WWWW[[#This Row],[Total PoP ]]/500),0)</f>
        <v>1</v>
      </c>
      <c r="CL502" s="918">
        <f>(WWWW[[#This Row],['#_Constructed latrines_by_WASHAgencies]]+WWWW[[#This Row],['#_Non Cluster partner latrines]])-WWWW[[#This Row],['#_Non-functional latrines]]</f>
        <v>0</v>
      </c>
      <c r="CM502" s="919">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502" s="927">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502" s="930"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502" s="918" t="str">
        <f>IF(WWWW[[#This Row],[Location Type 1]]="Village","NA",IF(WWWW[[#This Row],['#_Constructed/Existing latrines in TLS]]*50&gt;WWWW[[#This Row],['#_students at TLS_CFS]],WWWW[[#This Row],['#_students at TLS_CFS]],(WWWW[[#This Row],['#_Constructed/Existing latrines in TLS]]*50)))</f>
        <v>NA</v>
      </c>
      <c r="CQ502" s="918">
        <f>ROUND(IF(WWWW[[#This Row],[Location Type 1]]="camp",WWWW[[#This Row],[Total PoP ]]/20,IF(WWWW[[#This Row],[Location Type 1]]="Temporary Location",WWWW[[#This Row],[Total PoP ]]/50,(WWWW[[#This Row],[Total PoP ]]/6))),0)</f>
        <v>40</v>
      </c>
      <c r="CR502" s="918">
        <f>IF(WWWW[[#This Row],[Total required Latrines]]-(WWWW[[#This Row],['#_Constructed latrines_by_WASHAgencies]]+WWWW[[#This Row],['#_Non Cluster partner latrines]])&lt;0,0,WWWW[[#This Row],[Total required Latrines]]-(WWWW[[#This Row],['#_Constructed latrines_by_WASHAgencies]]+WWWW[[#This Row],['#_Non Cluster partner latrines]]))</f>
        <v>40</v>
      </c>
      <c r="CS502" s="924">
        <f>1-WWWW[[#This Row],[% people access to functioning Latrine]]</f>
        <v>1</v>
      </c>
      <c r="CT502" s="919">
        <f>IF(OR(WWWW[[#This Row],['#_Non-functional latrines]]="",WWWW[[#This Row],['#_Non-functional latrines]]=0),0,WWWW[[#This Row],['#_Non-functional latrines]]/(WWWW[[#This Row],['#_Constructed latrines_by_WASHAgencies]]+WWWW[[#This Row],['#_Non Cluster partner latrines]]))</f>
        <v>0</v>
      </c>
      <c r="CU502" s="927">
        <f>IF(500*(WWWW[[#This Row],['#_male hygiene promoters]]+WWWW[[#This Row],['#_female hygiene promoters]])&gt;WWWW[[#This Row],[Total PoP ]],WWWW[[#This Row],[Total PoP ]],500*(WWWW[[#This Row],['#_male hygiene promoters]]+WWWW[[#This Row],['#_female hygiene promoters]]))</f>
        <v>241</v>
      </c>
      <c r="CV502" s="918">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241</v>
      </c>
      <c r="CW502" s="918">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02" s="918">
        <f>IF(WWWW[[#This Row],['# People with access to soap]]&gt;WWWW[[#This Row],['# People with access to Sanity Pads]],WWWW[[#This Row],['# People with access to soap]],WWWW[[#This Row],['# People with access to Sanity Pads]])</f>
        <v>241</v>
      </c>
      <c r="CY502" s="918">
        <f>IF(WWWW[[#This Row],['# people reached by regular dedicated hygiene promotion_5]]&gt;WWWW[[#This Row],['# People received regular supply of hygiene items_6]],WWWW[[#This Row],['# people reached by regular dedicated hygiene promotion_5]],WWWW[[#This Row],['# People received regular supply of hygiene items_6]])</f>
        <v>241</v>
      </c>
      <c r="CZ502" s="916">
        <f>IF(WWWW[[#This Row],[HRP3]]/WWWW[[#This Row],[Total PoP ]]&gt;100%,100%,WWWW[[#This Row],[HRP3]]/WWWW[[#This Row],[Total PoP ]])</f>
        <v>1</v>
      </c>
      <c r="DA502" s="919">
        <f>1-WWWW[[#This Row],[Hygiene Coverage%]]</f>
        <v>0</v>
      </c>
      <c r="DB502" s="904">
        <f>WWWW[[#This Row],['# people reached by regular dedicated hygiene promotion_5]]/WWWW[[#This Row],[Total PoP ]]</f>
        <v>1</v>
      </c>
      <c r="DC502" s="904">
        <f>IF(WWWW[[#This Row],['#_households that received standard amount of soap for this quarter]]/WWWW[[#This Row],[Total HH]]&gt;1,1,WWWW[[#This Row],['#_households that received standard amount of soap for this quarter]]/WWWW[[#This Row],[Total HH]])</f>
        <v>1</v>
      </c>
      <c r="DD502" s="904">
        <f>IF(WWWW[[#This Row],['#_households that received standard amount of sanitary pads for this quarter]]/WWWW[[#This Row],[Total HH]]&gt;1,1,WWWW[[#This Row],['#_households that received standard amount of sanitary pads for this quarter]]/WWWW[[#This Row],[Total HH]])</f>
        <v>0</v>
      </c>
      <c r="DE502" s="712">
        <f>WWWW[[#This Row],['#_Constructed/Existing hand washing stations]]-WWWW[[#This Row],['#_Non-Functional_hand_washing_stations]]</f>
        <v>0</v>
      </c>
      <c r="DF502" s="902" t="e">
        <f>WWWW[[#This Row],[Total HH]]*#REF!</f>
        <v>#REF!</v>
      </c>
      <c r="DG502" s="903">
        <f>IF(WWWW[[#This Row],[Is sufficient soap available for TLS? (Yes/No)]]="yes",WWWW[[#This Row],['#_Constructed/Existing hand washing stations at TLS]],0)</f>
        <v>0</v>
      </c>
      <c r="DH502" s="903">
        <f>IF(WWWW[[#This Row],['# Functional hand washing stations during reporting period]]*100&gt;WWWW[[#This Row],[Total PoP ]],WWWW[[#This Row],[Total PoP ]],WWWW[[#This Row],['# Functional hand washing stations during reporting period]]*100)</f>
        <v>0</v>
      </c>
      <c r="DI502" s="903" t="str">
        <f>IF(WWWW[[#This Row],['#_students at TLS_CFS]]="","No","Yes")</f>
        <v>No</v>
      </c>
      <c r="DJ502" s="920">
        <f>VLOOKUP(WWWW[[#This Row],[Site Name]],SiteDB6[[Site Name]:[CCCM Management]],6,FALSE)</f>
        <v>0</v>
      </c>
      <c r="DK502" s="920">
        <f>VLOOKUP(WWWW[[#This Row],[Site Name]],SiteDB6[[Site Name]:[CCCM Focal Agency]],7,FALSE)</f>
        <v>0</v>
      </c>
      <c r="DL502" s="920" t="str">
        <f>VLOOKUP(WWWW[[#This Row],[Site Name]],SiteDB6[[Site Name]:[Location Type 1]],9,FALSE)</f>
        <v>Village</v>
      </c>
      <c r="DM502" s="920" t="str">
        <f>VLOOKUP(WWWW[[#This Row],[Site Name]],SiteDB6[[Site Name]:[Type of Accommodation]],10,FALSE)</f>
        <v>Village</v>
      </c>
      <c r="DN502" s="920" t="str">
        <f>VLOOKUP(WWWW[[#This Row],[Site Name]],SiteDB6[[Site Name]:[Ethnic or GCA/NGCA]],11,FALSE)</f>
        <v>Rakhine</v>
      </c>
      <c r="DO502" s="920">
        <f>VLOOKUP(WWWW[[#This Row],[Site Name]],SiteDB6[[Site Name]:[Lat]],12,FALSE)</f>
        <v>20.8013000488281</v>
      </c>
      <c r="DP502" s="920">
        <f>VLOOKUP(WWWW[[#This Row],[Site Name]],SiteDB6[[Site Name]:[Long]],13,FALSE)</f>
        <v>92.423202514648395</v>
      </c>
      <c r="DQ502" s="920">
        <f>VLOOKUP(WWWW[[#This Row],[Site Name]],SiteDB6[[Site Name]:[Pcode]],3,FALSE)</f>
        <v>217895</v>
      </c>
      <c r="DR502" s="950" t="str">
        <f t="shared" si="17"/>
        <v>Covered</v>
      </c>
      <c r="DS502" s="950"/>
      <c r="DT502" s="913"/>
      <c r="DU502" s="913"/>
      <c r="DV502" s="938"/>
      <c r="DW502" s="913"/>
      <c r="DX502" s="914"/>
      <c r="DY502" s="914"/>
      <c r="DZ502" s="915"/>
      <c r="EA502" s="915"/>
      <c r="EB502" s="915"/>
      <c r="EC502" s="915"/>
      <c r="ED502" s="915"/>
      <c r="EE502" s="915"/>
      <c r="EF502" s="915"/>
      <c r="EG502" s="915"/>
      <c r="EH502" s="915"/>
    </row>
    <row r="503" spans="1:138" s="911" customFormat="1">
      <c r="A503" s="637" t="s">
        <v>2525</v>
      </c>
      <c r="B503" s="912" t="s">
        <v>3272</v>
      </c>
      <c r="C503" s="912" t="s">
        <v>387</v>
      </c>
      <c r="D503" s="912" t="s">
        <v>252</v>
      </c>
      <c r="E503" s="912" t="s">
        <v>3013</v>
      </c>
      <c r="F503" s="912" t="s">
        <v>323</v>
      </c>
      <c r="G503" s="959" t="str">
        <f>VLOOKUP(WWWW[[#This Row],[Site Name]],SiteDB6[[Site Name]:[Location Type]],8,FALSE)</f>
        <v>Village</v>
      </c>
      <c r="H503" s="982" t="s">
        <v>3270</v>
      </c>
      <c r="I503" s="981">
        <v>54</v>
      </c>
      <c r="J503" s="927">
        <v>249</v>
      </c>
      <c r="K503" s="923">
        <v>43251</v>
      </c>
      <c r="L503" s="923">
        <v>43677</v>
      </c>
      <c r="M503" s="975"/>
      <c r="N503" s="975"/>
      <c r="O503" s="975"/>
      <c r="P503" s="975"/>
      <c r="Q503" s="927"/>
      <c r="R503" s="975"/>
      <c r="S503" s="975"/>
      <c r="T503" s="975">
        <v>3</v>
      </c>
      <c r="U503" s="975">
        <v>0</v>
      </c>
      <c r="V503" s="975">
        <v>2</v>
      </c>
      <c r="W503" s="975">
        <v>3</v>
      </c>
      <c r="X503" s="975">
        <v>1</v>
      </c>
      <c r="Y503" s="975">
        <v>2</v>
      </c>
      <c r="Z503" s="975">
        <v>3</v>
      </c>
      <c r="AA503" s="975">
        <v>0</v>
      </c>
      <c r="AB503" s="975">
        <v>0</v>
      </c>
      <c r="AC503" s="975">
        <v>0</v>
      </c>
      <c r="AD503" s="975"/>
      <c r="AE503" s="975">
        <v>2</v>
      </c>
      <c r="AF503" s="975"/>
      <c r="AG503" s="975"/>
      <c r="AH503" s="975">
        <v>2</v>
      </c>
      <c r="AI503" s="975">
        <v>0</v>
      </c>
      <c r="AJ503" s="975">
        <v>0</v>
      </c>
      <c r="AK503" s="975">
        <v>0</v>
      </c>
      <c r="AL503" s="975">
        <v>0</v>
      </c>
      <c r="AM503" s="975">
        <v>1</v>
      </c>
      <c r="AN503" s="975">
        <v>1</v>
      </c>
      <c r="AO503" s="950"/>
      <c r="AP503" s="927">
        <v>0</v>
      </c>
      <c r="AQ503" s="920">
        <v>2</v>
      </c>
      <c r="AR503" s="917"/>
      <c r="AS503" s="975"/>
      <c r="AT503" s="975"/>
      <c r="AU503" s="975"/>
      <c r="AV503" s="975"/>
      <c r="AW503" s="918">
        <v>0</v>
      </c>
      <c r="AX503" s="918" t="s">
        <v>144</v>
      </c>
      <c r="AY503" s="918" t="s">
        <v>144</v>
      </c>
      <c r="AZ503" s="918">
        <v>2</v>
      </c>
      <c r="BA503" s="975"/>
      <c r="BB503" s="927">
        <v>2</v>
      </c>
      <c r="BC503" s="920"/>
      <c r="BD503" s="975"/>
      <c r="BE503" s="975"/>
      <c r="BF503" s="975"/>
      <c r="BG503" s="975"/>
      <c r="BH503" s="975"/>
      <c r="BI503" s="918">
        <v>1</v>
      </c>
      <c r="BJ503" s="918">
        <v>1</v>
      </c>
      <c r="BK503" s="918">
        <v>54</v>
      </c>
      <c r="BL503" s="918">
        <v>0</v>
      </c>
      <c r="BM503" s="918" t="s">
        <v>144</v>
      </c>
      <c r="BN503" s="918">
        <v>2</v>
      </c>
      <c r="BO503" s="917"/>
      <c r="BP503" s="920"/>
      <c r="BQ503" s="919" t="str">
        <f>IFERROR(WWWW[[#This Row],['#_Water sources treated]]/WWWW[[#This Row],['#_Water sources tested for contamination]],"no test")</f>
        <v>no test</v>
      </c>
      <c r="BR503" s="917" t="str">
        <f>IFERROR(WWWW[[#This Row],['#_Household received remediation action due to contamination]]/WWWW[[#This Row],['#_Household water samples tested for contamination]],"no test")</f>
        <v>no test</v>
      </c>
      <c r="BS503" s="918" t="str">
        <f>IF(AND(WWWW[[#This Row],[% of water sources treated]]="no test",WWWW[[#This Row],[% Household received corrective actions]]="no test"),"No Test","Tested")</f>
        <v>No Test</v>
      </c>
      <c r="BT503" s="918">
        <f>WWWW[[#This Row],['#_Constructed/existing protected hand dug well]]-WWWW[[#This Row],['#_Non-functional protected hand dug well]]</f>
        <v>3</v>
      </c>
      <c r="BU503" s="918">
        <f>(WWWW[[#This Row],['#_Constructed/Existing tube wells/boreholes/handpumps_WASH_agency]]+WWWW[[#This Row],['#_Non-Cluster partner water tube-wells/boreholes/handpumps]])-WWWW[[#This Row],['#_Non-functional tube wells/boreholes/handpumps]]</f>
        <v>2</v>
      </c>
      <c r="BV503" s="918">
        <f>WWWW[[#This Row],['#_Constructed/Existingwater storage tank with gravity fed reticulation system]]-WWWW[[#This Row],['#_Non-functional storage tank gravity fed reticulation system]]</f>
        <v>0</v>
      </c>
      <c r="BW503" s="918">
        <f>WWWW[[#This Row],['#_Water boating or water trucking]]</f>
        <v>0</v>
      </c>
      <c r="BX503" s="918">
        <f>WWWW[[#This Row],['#_Constructed/Existing water distribution system from river or natural spring]]</f>
        <v>0</v>
      </c>
      <c r="BY503" s="91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503" s="91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503" s="917">
        <f>IF(WWWW[[#This Row],[Location Type 1]]="Village",WWWW[[#This Row],[Access to safe drinking water for Village]],WWWW[[#This Row],[Access to safe drinking water for Camp]])</f>
        <v>1</v>
      </c>
      <c r="CB503" s="927">
        <f>WWWW[[#This Row],[%Equitable and continuous access to sufficient quantity of safe drinking water]]*WWWW[[#This Row],[Total PoP ]]</f>
        <v>249</v>
      </c>
      <c r="CC503" s="917">
        <f>IF((WWWW[[#This Row],['#_Constructed/Existing protected/fenced ponds]]*250)/WWWW[[#This Row],[Total PoP ]]&gt;1,1,(WWWW[[#This Row],['#_Constructed/Existing protected/fenced ponds]]*250)/WWWW[[#This Row],[Total PoP ]])</f>
        <v>1</v>
      </c>
      <c r="CD503" s="927">
        <f>WWWW[[#This Row],[% Access to unimproved water points]]*WWWW[[#This Row],[Total PoP ]]</f>
        <v>249</v>
      </c>
      <c r="CE503" s="91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03" s="92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249</v>
      </c>
      <c r="CG503" s="903">
        <f>WWWW[[#This Row],[HRP1]]/500</f>
        <v>0.498</v>
      </c>
      <c r="CH503" s="916">
        <f>1-WWWW[[#This Row],[% Equitable and continuous access to sufficient quantity of domestic water]]</f>
        <v>0</v>
      </c>
      <c r="CI503" s="927">
        <f>WWWW[[#This Row],[%equitable and continuous access to sufficient quantity of safe drinking and domestic water''s GAP]]*WWWW[[#This Row],[Total PoP ]]</f>
        <v>0</v>
      </c>
      <c r="CJ503" s="918">
        <f>IF(WWWW[[#This Row],[Total required water points]]-WWWW[[#This Row],['#Water points coverage]]&lt;0,0,WWWW[[#This Row],[Total required water points]]-WWWW[[#This Row],['#Water points coverage]])</f>
        <v>0.502</v>
      </c>
      <c r="CK503" s="918">
        <f>ROUND(IF(WWWW[[#This Row],[Total PoP ]]&lt;500,1,WWWW[[#This Row],[Total PoP ]]/500),0)</f>
        <v>1</v>
      </c>
      <c r="CL503" s="918">
        <f>(WWWW[[#This Row],['#_Constructed latrines_by_WASHAgencies]]+WWWW[[#This Row],['#_Non Cluster partner latrines]])-WWWW[[#This Row],['#_Non-functional latrines]]</f>
        <v>2</v>
      </c>
      <c r="CM503" s="919">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4.8192771084337352E-2</v>
      </c>
      <c r="CN503" s="927">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12</v>
      </c>
      <c r="CO503" s="930"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503" s="918" t="str">
        <f>IF(WWWW[[#This Row],[Location Type 1]]="Village","NA",IF(WWWW[[#This Row],['#_Constructed/Existing latrines in TLS]]*50&gt;WWWW[[#This Row],['#_students at TLS_CFS]],WWWW[[#This Row],['#_students at TLS_CFS]],(WWWW[[#This Row],['#_Constructed/Existing latrines in TLS]]*50)))</f>
        <v>NA</v>
      </c>
      <c r="CQ503" s="918">
        <f>ROUND(IF(WWWW[[#This Row],[Location Type 1]]="camp",WWWW[[#This Row],[Total PoP ]]/20,IF(WWWW[[#This Row],[Location Type 1]]="Temporary Location",WWWW[[#This Row],[Total PoP ]]/50,(WWWW[[#This Row],[Total PoP ]]/6))),0)</f>
        <v>42</v>
      </c>
      <c r="CR503" s="918">
        <f>IF(WWWW[[#This Row],[Total required Latrines]]-(WWWW[[#This Row],['#_Constructed latrines_by_WASHAgencies]]+WWWW[[#This Row],['#_Non Cluster partner latrines]])&lt;0,0,WWWW[[#This Row],[Total required Latrines]]-(WWWW[[#This Row],['#_Constructed latrines_by_WASHAgencies]]+WWWW[[#This Row],['#_Non Cluster partner latrines]]))</f>
        <v>40</v>
      </c>
      <c r="CS503" s="924">
        <f>1-WWWW[[#This Row],[% people access to functioning Latrine]]</f>
        <v>0.95180722891566261</v>
      </c>
      <c r="CT503" s="919">
        <f>IF(OR(WWWW[[#This Row],['#_Non-functional latrines]]="",WWWW[[#This Row],['#_Non-functional latrines]]=0),0,WWWW[[#This Row],['#_Non-functional latrines]]/(WWWW[[#This Row],['#_Constructed latrines_by_WASHAgencies]]+WWWW[[#This Row],['#_Non Cluster partner latrines]]))</f>
        <v>0</v>
      </c>
      <c r="CU503" s="927">
        <f>IF(500*(WWWW[[#This Row],['#_male hygiene promoters]]+WWWW[[#This Row],['#_female hygiene promoters]])&gt;WWWW[[#This Row],[Total PoP ]],WWWW[[#This Row],[Total PoP ]],500*(WWWW[[#This Row],['#_male hygiene promoters]]+WWWW[[#This Row],['#_female hygiene promoters]]))</f>
        <v>249</v>
      </c>
      <c r="CV503" s="918">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249</v>
      </c>
      <c r="CW503" s="918">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03" s="918">
        <f>IF(WWWW[[#This Row],['# People with access to soap]]&gt;WWWW[[#This Row],['# People with access to Sanity Pads]],WWWW[[#This Row],['# People with access to soap]],WWWW[[#This Row],['# People with access to Sanity Pads]])</f>
        <v>249</v>
      </c>
      <c r="CY503" s="918">
        <f>IF(WWWW[[#This Row],['# people reached by regular dedicated hygiene promotion_5]]&gt;WWWW[[#This Row],['# People received regular supply of hygiene items_6]],WWWW[[#This Row],['# people reached by regular dedicated hygiene promotion_5]],WWWW[[#This Row],['# People received regular supply of hygiene items_6]])</f>
        <v>249</v>
      </c>
      <c r="CZ503" s="916">
        <f>IF(WWWW[[#This Row],[HRP3]]/WWWW[[#This Row],[Total PoP ]]&gt;100%,100%,WWWW[[#This Row],[HRP3]]/WWWW[[#This Row],[Total PoP ]])</f>
        <v>1</v>
      </c>
      <c r="DA503" s="919">
        <f>1-WWWW[[#This Row],[Hygiene Coverage%]]</f>
        <v>0</v>
      </c>
      <c r="DB503" s="904">
        <f>WWWW[[#This Row],['# people reached by regular dedicated hygiene promotion_5]]/WWWW[[#This Row],[Total PoP ]]</f>
        <v>1</v>
      </c>
      <c r="DC503" s="904">
        <f>IF(WWWW[[#This Row],['#_households that received standard amount of soap for this quarter]]/WWWW[[#This Row],[Total HH]]&gt;1,1,WWWW[[#This Row],['#_households that received standard amount of soap for this quarter]]/WWWW[[#This Row],[Total HH]])</f>
        <v>1</v>
      </c>
      <c r="DD503" s="904">
        <f>IF(WWWW[[#This Row],['#_households that received standard amount of sanitary pads for this quarter]]/WWWW[[#This Row],[Total HH]]&gt;1,1,WWWW[[#This Row],['#_households that received standard amount of sanitary pads for this quarter]]/WWWW[[#This Row],[Total HH]])</f>
        <v>0</v>
      </c>
      <c r="DE503" s="712">
        <f>WWWW[[#This Row],['#_Constructed/Existing hand washing stations]]-WWWW[[#This Row],['#_Non-Functional_hand_washing_stations]]</f>
        <v>0</v>
      </c>
      <c r="DF503" s="902" t="e">
        <f>WWWW[[#This Row],[Total HH]]*#REF!</f>
        <v>#REF!</v>
      </c>
      <c r="DG503" s="903">
        <f>IF(WWWW[[#This Row],[Is sufficient soap available for TLS? (Yes/No)]]="yes",WWWW[[#This Row],['#_Constructed/Existing hand washing stations at TLS]],0)</f>
        <v>0</v>
      </c>
      <c r="DH503" s="903">
        <f>IF(WWWW[[#This Row],['# Functional hand washing stations during reporting period]]*100&gt;WWWW[[#This Row],[Total PoP ]],WWWW[[#This Row],[Total PoP ]],WWWW[[#This Row],['# Functional hand washing stations during reporting period]]*100)</f>
        <v>0</v>
      </c>
      <c r="DI503" s="903" t="str">
        <f>IF(WWWW[[#This Row],['#_students at TLS_CFS]]="","No","Yes")</f>
        <v>No</v>
      </c>
      <c r="DJ503" s="920">
        <f>VLOOKUP(WWWW[[#This Row],[Site Name]],SiteDB6[[Site Name]:[CCCM Management]],6,FALSE)</f>
        <v>0</v>
      </c>
      <c r="DK503" s="920">
        <f>VLOOKUP(WWWW[[#This Row],[Site Name]],SiteDB6[[Site Name]:[CCCM Focal Agency]],7,FALSE)</f>
        <v>0</v>
      </c>
      <c r="DL503" s="920" t="str">
        <f>VLOOKUP(WWWW[[#This Row],[Site Name]],SiteDB6[[Site Name]:[Location Type 1]],9,FALSE)</f>
        <v>Village</v>
      </c>
      <c r="DM503" s="920" t="str">
        <f>VLOOKUP(WWWW[[#This Row],[Site Name]],SiteDB6[[Site Name]:[Type of Accommodation]],10,FALSE)</f>
        <v>Village</v>
      </c>
      <c r="DN503" s="920">
        <f>VLOOKUP(WWWW[[#This Row],[Site Name]],SiteDB6[[Site Name]:[Ethnic or GCA/NGCA]],11,FALSE)</f>
        <v>0</v>
      </c>
      <c r="DO503" s="920">
        <f>VLOOKUP(WWWW[[#This Row],[Site Name]],SiteDB6[[Site Name]:[Lat]],12,FALSE)</f>
        <v>0</v>
      </c>
      <c r="DP503" s="920">
        <f>VLOOKUP(WWWW[[#This Row],[Site Name]],SiteDB6[[Site Name]:[Long]],13,FALSE)</f>
        <v>0</v>
      </c>
      <c r="DQ503" s="920">
        <f>VLOOKUP(WWWW[[#This Row],[Site Name]],SiteDB6[[Site Name]:[Pcode]],3,FALSE)</f>
        <v>0</v>
      </c>
      <c r="DR503" s="950" t="str">
        <f t="shared" si="17"/>
        <v>Covered</v>
      </c>
      <c r="DS503" s="950"/>
      <c r="DT503" s="913"/>
      <c r="DU503" s="913"/>
      <c r="DV503" s="938"/>
      <c r="DW503" s="913"/>
      <c r="DX503" s="914"/>
      <c r="DY503" s="914"/>
      <c r="DZ503" s="915"/>
      <c r="EA503" s="915"/>
      <c r="EB503" s="915"/>
      <c r="EC503" s="915"/>
      <c r="ED503" s="915"/>
      <c r="EE503" s="915"/>
      <c r="EF503" s="915"/>
      <c r="EG503" s="915"/>
      <c r="EH503" s="915"/>
    </row>
    <row r="504" spans="1:138" s="911" customFormat="1">
      <c r="A504" s="637" t="s">
        <v>2525</v>
      </c>
      <c r="B504" s="912" t="s">
        <v>3272</v>
      </c>
      <c r="C504" s="912" t="s">
        <v>387</v>
      </c>
      <c r="D504" s="912" t="s">
        <v>252</v>
      </c>
      <c r="E504" s="912" t="s">
        <v>3013</v>
      </c>
      <c r="F504" s="912" t="s">
        <v>323</v>
      </c>
      <c r="G504" s="959" t="str">
        <f>VLOOKUP(WWWW[[#This Row],[Site Name]],SiteDB6[[Site Name]:[Location Type]],8,FALSE)</f>
        <v>Village</v>
      </c>
      <c r="H504" s="983" t="s">
        <v>3271</v>
      </c>
      <c r="I504" s="981">
        <v>62</v>
      </c>
      <c r="J504" s="927">
        <v>332</v>
      </c>
      <c r="K504" s="923">
        <v>43251</v>
      </c>
      <c r="L504" s="923">
        <v>43677</v>
      </c>
      <c r="M504" s="975"/>
      <c r="N504" s="975"/>
      <c r="O504" s="975"/>
      <c r="P504" s="975"/>
      <c r="Q504" s="927"/>
      <c r="R504" s="975"/>
      <c r="S504" s="975"/>
      <c r="T504" s="975">
        <v>0</v>
      </c>
      <c r="U504" s="975">
        <v>0</v>
      </c>
      <c r="V504" s="975">
        <v>0</v>
      </c>
      <c r="W504" s="975">
        <v>2</v>
      </c>
      <c r="X504" s="975">
        <v>1</v>
      </c>
      <c r="Y504" s="975">
        <v>1</v>
      </c>
      <c r="Z504" s="975">
        <v>2</v>
      </c>
      <c r="AA504" s="975">
        <v>0</v>
      </c>
      <c r="AB504" s="975">
        <v>0</v>
      </c>
      <c r="AC504" s="975">
        <v>0</v>
      </c>
      <c r="AD504" s="975"/>
      <c r="AE504" s="975">
        <v>2</v>
      </c>
      <c r="AF504" s="975"/>
      <c r="AG504" s="975"/>
      <c r="AH504" s="975">
        <v>2</v>
      </c>
      <c r="AI504" s="975">
        <v>0</v>
      </c>
      <c r="AJ504" s="975">
        <v>0</v>
      </c>
      <c r="AK504" s="975">
        <v>0</v>
      </c>
      <c r="AL504" s="975">
        <v>0</v>
      </c>
      <c r="AM504" s="975">
        <v>0</v>
      </c>
      <c r="AN504" s="975">
        <v>0</v>
      </c>
      <c r="AO504" s="950"/>
      <c r="AP504" s="927">
        <v>0</v>
      </c>
      <c r="AQ504" s="920">
        <v>0</v>
      </c>
      <c r="AR504" s="917"/>
      <c r="AS504" s="975"/>
      <c r="AT504" s="975"/>
      <c r="AU504" s="975"/>
      <c r="AV504" s="975"/>
      <c r="AW504" s="918">
        <v>0</v>
      </c>
      <c r="AX504" s="918" t="s">
        <v>144</v>
      </c>
      <c r="AY504" s="918" t="s">
        <v>144</v>
      </c>
      <c r="AZ504" s="918">
        <v>0</v>
      </c>
      <c r="BA504" s="975"/>
      <c r="BB504" s="927">
        <v>0</v>
      </c>
      <c r="BC504" s="920"/>
      <c r="BD504" s="975"/>
      <c r="BE504" s="975"/>
      <c r="BF504" s="975"/>
      <c r="BG504" s="975"/>
      <c r="BH504" s="975"/>
      <c r="BI504" s="918">
        <v>0</v>
      </c>
      <c r="BJ504" s="918">
        <v>0</v>
      </c>
      <c r="BK504" s="918">
        <v>62</v>
      </c>
      <c r="BL504" s="918">
        <v>0</v>
      </c>
      <c r="BM504" s="918" t="s">
        <v>144</v>
      </c>
      <c r="BN504" s="918">
        <v>0</v>
      </c>
      <c r="BO504" s="917"/>
      <c r="BP504" s="920"/>
      <c r="BQ504" s="919" t="str">
        <f>IFERROR(WWWW[[#This Row],['#_Water sources treated]]/WWWW[[#This Row],['#_Water sources tested for contamination]],"no test")</f>
        <v>no test</v>
      </c>
      <c r="BR504" s="917" t="str">
        <f>IFERROR(WWWW[[#This Row],['#_Household received remediation action due to contamination]]/WWWW[[#This Row],['#_Household water samples tested for contamination]],"no test")</f>
        <v>no test</v>
      </c>
      <c r="BS504" s="918" t="str">
        <f>IF(AND(WWWW[[#This Row],[% of water sources treated]]="no test",WWWW[[#This Row],[% Household received corrective actions]]="no test"),"No Test","Tested")</f>
        <v>No Test</v>
      </c>
      <c r="BT504" s="918">
        <f>WWWW[[#This Row],['#_Constructed/existing protected hand dug well]]-WWWW[[#This Row],['#_Non-functional protected hand dug well]]</f>
        <v>0</v>
      </c>
      <c r="BU504" s="918">
        <f>(WWWW[[#This Row],['#_Constructed/Existing tube wells/boreholes/handpumps_WASH_agency]]+WWWW[[#This Row],['#_Non-Cluster partner water tube-wells/boreholes/handpumps]])-WWWW[[#This Row],['#_Non-functional tube wells/boreholes/handpumps]]</f>
        <v>2</v>
      </c>
      <c r="BV504" s="918">
        <f>WWWW[[#This Row],['#_Constructed/Existingwater storage tank with gravity fed reticulation system]]-WWWW[[#This Row],['#_Non-functional storage tank gravity fed reticulation system]]</f>
        <v>0</v>
      </c>
      <c r="BW504" s="918">
        <f>WWWW[[#This Row],['#_Water boating or water trucking]]</f>
        <v>0</v>
      </c>
      <c r="BX504" s="918">
        <f>WWWW[[#This Row],['#_Constructed/Existing water distribution system from river or natural spring]]</f>
        <v>0</v>
      </c>
      <c r="BY504" s="91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504" s="91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504" s="917">
        <f>IF(WWWW[[#This Row],[Location Type 1]]="Village",WWWW[[#This Row],[Access to safe drinking water for Village]],WWWW[[#This Row],[Access to safe drinking water for Camp]])</f>
        <v>1</v>
      </c>
      <c r="CB504" s="927">
        <f>WWWW[[#This Row],[%Equitable and continuous access to sufficient quantity of safe drinking water]]*WWWW[[#This Row],[Total PoP ]]</f>
        <v>332</v>
      </c>
      <c r="CC504" s="917">
        <f>IF((WWWW[[#This Row],['#_Constructed/Existing protected/fenced ponds]]*250)/WWWW[[#This Row],[Total PoP ]]&gt;1,1,(WWWW[[#This Row],['#_Constructed/Existing protected/fenced ponds]]*250)/WWWW[[#This Row],[Total PoP ]])</f>
        <v>1</v>
      </c>
      <c r="CD504" s="927">
        <f>WWWW[[#This Row],[% Access to unimproved water points]]*WWWW[[#This Row],[Total PoP ]]</f>
        <v>332</v>
      </c>
      <c r="CE504" s="917">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04" s="92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332</v>
      </c>
      <c r="CG504" s="903">
        <f>WWWW[[#This Row],[HRP1]]/500</f>
        <v>0.66400000000000003</v>
      </c>
      <c r="CH504" s="916">
        <f>1-WWWW[[#This Row],[% Equitable and continuous access to sufficient quantity of domestic water]]</f>
        <v>0</v>
      </c>
      <c r="CI504" s="927">
        <f>WWWW[[#This Row],[%equitable and continuous access to sufficient quantity of safe drinking and domestic water''s GAP]]*WWWW[[#This Row],[Total PoP ]]</f>
        <v>0</v>
      </c>
      <c r="CJ504" s="918">
        <f>IF(WWWW[[#This Row],[Total required water points]]-WWWW[[#This Row],['#Water points coverage]]&lt;0,0,WWWW[[#This Row],[Total required water points]]-WWWW[[#This Row],['#Water points coverage]])</f>
        <v>0.33599999999999997</v>
      </c>
      <c r="CK504" s="918">
        <f>ROUND(IF(WWWW[[#This Row],[Total PoP ]]&lt;500,1,WWWW[[#This Row],[Total PoP ]]/500),0)</f>
        <v>1</v>
      </c>
      <c r="CL504" s="918">
        <f>(WWWW[[#This Row],['#_Constructed latrines_by_WASHAgencies]]+WWWW[[#This Row],['#_Non Cluster partner latrines]])-WWWW[[#This Row],['#_Non-functional latrines]]</f>
        <v>0</v>
      </c>
      <c r="CM504" s="919">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504" s="927">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504" s="930" t="str">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N/A</v>
      </c>
      <c r="CP504" s="918" t="str">
        <f>IF(WWWW[[#This Row],[Location Type 1]]="Village","NA",IF(WWWW[[#This Row],['#_Constructed/Existing latrines in TLS]]*50&gt;WWWW[[#This Row],['#_students at TLS_CFS]],WWWW[[#This Row],['#_students at TLS_CFS]],(WWWW[[#This Row],['#_Constructed/Existing latrines in TLS]]*50)))</f>
        <v>NA</v>
      </c>
      <c r="CQ504" s="918">
        <f>ROUND(IF(WWWW[[#This Row],[Location Type 1]]="camp",WWWW[[#This Row],[Total PoP ]]/20,IF(WWWW[[#This Row],[Location Type 1]]="Temporary Location",WWWW[[#This Row],[Total PoP ]]/50,(WWWW[[#This Row],[Total PoP ]]/6))),0)</f>
        <v>55</v>
      </c>
      <c r="CR504" s="918">
        <f>IF(WWWW[[#This Row],[Total required Latrines]]-(WWWW[[#This Row],['#_Constructed latrines_by_WASHAgencies]]+WWWW[[#This Row],['#_Non Cluster partner latrines]])&lt;0,0,WWWW[[#This Row],[Total required Latrines]]-(WWWW[[#This Row],['#_Constructed latrines_by_WASHAgencies]]+WWWW[[#This Row],['#_Non Cluster partner latrines]]))</f>
        <v>55</v>
      </c>
      <c r="CS504" s="924">
        <f>1-WWWW[[#This Row],[% people access to functioning Latrine]]</f>
        <v>1</v>
      </c>
      <c r="CT504" s="919">
        <f>IF(OR(WWWW[[#This Row],['#_Non-functional latrines]]="",WWWW[[#This Row],['#_Non-functional latrines]]=0),0,WWWW[[#This Row],['#_Non-functional latrines]]/(WWWW[[#This Row],['#_Constructed latrines_by_WASHAgencies]]+WWWW[[#This Row],['#_Non Cluster partner latrines]]))</f>
        <v>0</v>
      </c>
      <c r="CU504" s="927">
        <f>IF(500*(WWWW[[#This Row],['#_male hygiene promoters]]+WWWW[[#This Row],['#_female hygiene promoters]])&gt;WWWW[[#This Row],[Total PoP ]],WWWW[[#This Row],[Total PoP ]],500*(WWWW[[#This Row],['#_male hygiene promoters]]+WWWW[[#This Row],['#_female hygiene promoters]]))</f>
        <v>0</v>
      </c>
      <c r="CV504" s="918">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332</v>
      </c>
      <c r="CW504" s="918">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04" s="918">
        <f>IF(WWWW[[#This Row],['# People with access to soap]]&gt;WWWW[[#This Row],['# People with access to Sanity Pads]],WWWW[[#This Row],['# People with access to soap]],WWWW[[#This Row],['# People with access to Sanity Pads]])</f>
        <v>332</v>
      </c>
      <c r="CY504" s="918">
        <f>IF(WWWW[[#This Row],['# people reached by regular dedicated hygiene promotion_5]]&gt;WWWW[[#This Row],['# People received regular supply of hygiene items_6]],WWWW[[#This Row],['# people reached by regular dedicated hygiene promotion_5]],WWWW[[#This Row],['# People received regular supply of hygiene items_6]])</f>
        <v>332</v>
      </c>
      <c r="CZ504" s="916">
        <f>IF(WWWW[[#This Row],[HRP3]]/WWWW[[#This Row],[Total PoP ]]&gt;100%,100%,WWWW[[#This Row],[HRP3]]/WWWW[[#This Row],[Total PoP ]])</f>
        <v>1</v>
      </c>
      <c r="DA504" s="919">
        <f>1-WWWW[[#This Row],[Hygiene Coverage%]]</f>
        <v>0</v>
      </c>
      <c r="DB504" s="904">
        <f>WWWW[[#This Row],['# people reached by regular dedicated hygiene promotion_5]]/WWWW[[#This Row],[Total PoP ]]</f>
        <v>0</v>
      </c>
      <c r="DC504" s="904">
        <f>IF(WWWW[[#This Row],['#_households that received standard amount of soap for this quarter]]/WWWW[[#This Row],[Total HH]]&gt;1,1,WWWW[[#This Row],['#_households that received standard amount of soap for this quarter]]/WWWW[[#This Row],[Total HH]])</f>
        <v>1</v>
      </c>
      <c r="DD504" s="904">
        <f>IF(WWWW[[#This Row],['#_households that received standard amount of sanitary pads for this quarter]]/WWWW[[#This Row],[Total HH]]&gt;1,1,WWWW[[#This Row],['#_households that received standard amount of sanitary pads for this quarter]]/WWWW[[#This Row],[Total HH]])</f>
        <v>0</v>
      </c>
      <c r="DE504" s="712">
        <f>WWWW[[#This Row],['#_Constructed/Existing hand washing stations]]-WWWW[[#This Row],['#_Non-Functional_hand_washing_stations]]</f>
        <v>0</v>
      </c>
      <c r="DF504" s="902" t="e">
        <f>WWWW[[#This Row],[Total HH]]*#REF!</f>
        <v>#REF!</v>
      </c>
      <c r="DG504" s="903">
        <f>IF(WWWW[[#This Row],[Is sufficient soap available for TLS? (Yes/No)]]="yes",WWWW[[#This Row],['#_Constructed/Existing hand washing stations at TLS]],0)</f>
        <v>0</v>
      </c>
      <c r="DH504" s="903">
        <f>IF(WWWW[[#This Row],['# Functional hand washing stations during reporting period]]*100&gt;WWWW[[#This Row],[Total PoP ]],WWWW[[#This Row],[Total PoP ]],WWWW[[#This Row],['# Functional hand washing stations during reporting period]]*100)</f>
        <v>0</v>
      </c>
      <c r="DI504" s="903" t="str">
        <f>IF(WWWW[[#This Row],['#_students at TLS_CFS]]="","No","Yes")</f>
        <v>No</v>
      </c>
      <c r="DJ504" s="920">
        <f>VLOOKUP(WWWW[[#This Row],[Site Name]],SiteDB6[[Site Name]:[CCCM Management]],6,FALSE)</f>
        <v>0</v>
      </c>
      <c r="DK504" s="920">
        <f>VLOOKUP(WWWW[[#This Row],[Site Name]],SiteDB6[[Site Name]:[CCCM Focal Agency]],7,FALSE)</f>
        <v>0</v>
      </c>
      <c r="DL504" s="920" t="str">
        <f>VLOOKUP(WWWW[[#This Row],[Site Name]],SiteDB6[[Site Name]:[Location Type 1]],9,FALSE)</f>
        <v>Village</v>
      </c>
      <c r="DM504" s="920" t="str">
        <f>VLOOKUP(WWWW[[#This Row],[Site Name]],SiteDB6[[Site Name]:[Type of Accommodation]],10,FALSE)</f>
        <v>Village</v>
      </c>
      <c r="DN504" s="920" t="str">
        <f>VLOOKUP(WWWW[[#This Row],[Site Name]],SiteDB6[[Site Name]:[Ethnic or GCA/NGCA]],11,FALSE)</f>
        <v>Muslim</v>
      </c>
      <c r="DO504" s="920">
        <f>VLOOKUP(WWWW[[#This Row],[Site Name]],SiteDB6[[Site Name]:[Lat]],12,FALSE)</f>
        <v>20.7818698883057</v>
      </c>
      <c r="DP504" s="920">
        <f>VLOOKUP(WWWW[[#This Row],[Site Name]],SiteDB6[[Site Name]:[Long]],13,FALSE)</f>
        <v>92.393142700195298</v>
      </c>
      <c r="DQ504" s="920">
        <f>VLOOKUP(WWWW[[#This Row],[Site Name]],SiteDB6[[Site Name]:[Pcode]],3,FALSE)</f>
        <v>198002</v>
      </c>
      <c r="DR504" s="950" t="str">
        <f t="shared" si="17"/>
        <v>Covered</v>
      </c>
      <c r="DS504" s="950"/>
      <c r="DT504" s="913"/>
      <c r="DU504" s="913"/>
      <c r="DV504" s="938"/>
      <c r="DW504" s="913"/>
      <c r="DX504" s="914"/>
      <c r="DY504" s="914"/>
      <c r="DZ504" s="915"/>
      <c r="EA504" s="915"/>
      <c r="EB504" s="915"/>
      <c r="EC504" s="915"/>
      <c r="ED504" s="915"/>
      <c r="EE504" s="915"/>
      <c r="EF504" s="915"/>
      <c r="EG504" s="915"/>
      <c r="EH504" s="915"/>
    </row>
    <row r="505" spans="1:138">
      <c r="A505" s="637" t="s">
        <v>2525</v>
      </c>
      <c r="B505" s="644" t="s">
        <v>317</v>
      </c>
      <c r="C505" s="644" t="s">
        <v>317</v>
      </c>
      <c r="D505" s="644"/>
      <c r="E505" s="644" t="s">
        <v>716</v>
      </c>
      <c r="F505" s="644" t="s">
        <v>720</v>
      </c>
      <c r="G505" s="643" t="s">
        <v>45</v>
      </c>
      <c r="H505" s="644" t="s">
        <v>2324</v>
      </c>
      <c r="I505" s="646">
        <v>86</v>
      </c>
      <c r="J505" s="646">
        <v>496</v>
      </c>
      <c r="K505" s="653"/>
      <c r="L505" s="654"/>
      <c r="M505" s="646"/>
      <c r="N505" s="646"/>
      <c r="O505" s="646"/>
      <c r="P505" s="646"/>
      <c r="Q505" s="645"/>
      <c r="R505" s="646"/>
      <c r="S505" s="646"/>
      <c r="T505" s="646"/>
      <c r="U505" s="646"/>
      <c r="V505" s="646"/>
      <c r="W505" s="646"/>
      <c r="X505" s="646"/>
      <c r="Y505" s="646"/>
      <c r="Z505" s="646"/>
      <c r="AA505" s="646"/>
      <c r="AB505" s="646"/>
      <c r="AC505" s="646"/>
      <c r="AD505" s="646"/>
      <c r="AE505" s="646"/>
      <c r="AF505" s="646"/>
      <c r="AG505" s="646"/>
      <c r="AH505" s="646"/>
      <c r="AI505" s="646"/>
      <c r="AJ505" s="646"/>
      <c r="AK505" s="646"/>
      <c r="AL505" s="646"/>
      <c r="AM505" s="646"/>
      <c r="AN505" s="646"/>
      <c r="AO505" s="652"/>
      <c r="AP505" s="646"/>
      <c r="AQ505" s="646"/>
      <c r="AR505" s="648"/>
      <c r="AS505" s="646"/>
      <c r="AT505" s="646"/>
      <c r="AU505" s="646"/>
      <c r="AV505" s="646"/>
      <c r="AW505" s="646"/>
      <c r="AX505" s="643"/>
      <c r="AY505" s="652"/>
      <c r="AZ505" s="646"/>
      <c r="BA505" s="646"/>
      <c r="BB505" s="646"/>
      <c r="BC505" s="643"/>
      <c r="BD505" s="646"/>
      <c r="BE505" s="646"/>
      <c r="BF505" s="646"/>
      <c r="BG505" s="646"/>
      <c r="BH505" s="646"/>
      <c r="BI505" s="646"/>
      <c r="BJ505" s="646"/>
      <c r="BK505" s="646"/>
      <c r="BL505" s="646"/>
      <c r="BM505" s="643"/>
      <c r="BN505" s="647"/>
      <c r="BO505" s="648"/>
      <c r="BP505" s="643"/>
      <c r="BQ505" s="649" t="str">
        <f>IFERROR(WWWW[[#This Row],['#_Water sources treated]]/WWWW[[#This Row],['#_Water sources tested for contamination]],"no test")</f>
        <v>no test</v>
      </c>
      <c r="BR505" s="648" t="str">
        <f>IFERROR(WWWW[[#This Row],['#_Household received remediation action due to contamination]]/WWWW[[#This Row],['#_Household water samples tested for contamination]],"no test")</f>
        <v>no test</v>
      </c>
      <c r="BS505" s="647" t="str">
        <f>IF(AND(WWWW[[#This Row],[% of water sources treated]]="no test",WWWW[[#This Row],[% Household received corrective actions]]="no test"),"No Test","Tested")</f>
        <v>No Test</v>
      </c>
      <c r="BT505" s="647">
        <f>WWWW[[#This Row],['#_Constructed/existing protected hand dug well]]-WWWW[[#This Row],['#_Non-functional protected hand dug well]]</f>
        <v>0</v>
      </c>
      <c r="BU505" s="647">
        <f>(WWWW[[#This Row],['#_Constructed/Existing tube wells/boreholes/handpumps_WASH_agency]]+WWWW[[#This Row],['#_Non-Cluster partner water tube-wells/boreholes/handpumps]])-WWWW[[#This Row],['#_Non-functional tube wells/boreholes/handpumps]]</f>
        <v>0</v>
      </c>
      <c r="BV505" s="647">
        <f>WWWW[[#This Row],['#_Constructed/Existingwater storage tank with gravity fed reticulation system]]-WWWW[[#This Row],['#_Non-functional storage tank gravity fed reticulation system]]</f>
        <v>0</v>
      </c>
      <c r="BW505" s="647">
        <f>WWWW[[#This Row],['#_Water boating or water trucking]]</f>
        <v>0</v>
      </c>
      <c r="BX505" s="647">
        <f>WWWW[[#This Row],['#_Constructed/Existing water distribution system from river or natural spring]]</f>
        <v>0</v>
      </c>
      <c r="BY505"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505"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505" s="648">
        <f>IF(WWWW[[#This Row],[Location Type 1]]="Village",WWWW[[#This Row],[Access to safe drinking water for Village]],WWWW[[#This Row],[Access to safe drinking water for Camp]])</f>
        <v>0</v>
      </c>
      <c r="CB505" s="645">
        <f>WWWW[[#This Row],[%Equitable and continuous access to sufficient quantity of safe drinking water]]*WWWW[[#This Row],[Total PoP ]]</f>
        <v>0</v>
      </c>
      <c r="CC505" s="648">
        <f>IF((WWWW[[#This Row],['#_Constructed/Existing protected/fenced ponds]]*250)/WWWW[[#This Row],[Total PoP ]]&gt;1,1,(WWWW[[#This Row],['#_Constructed/Existing protected/fenced ponds]]*250)/WWWW[[#This Row],[Total PoP ]])</f>
        <v>0</v>
      </c>
      <c r="CD505" s="645">
        <f>WWWW[[#This Row],[% Access to unimproved water points]]*WWWW[[#This Row],[Total PoP ]]</f>
        <v>0</v>
      </c>
      <c r="CE505"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505"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505" s="645">
        <f>WWWW[[#This Row],[HRP1]]/500</f>
        <v>0</v>
      </c>
      <c r="CH505" s="650">
        <f>1-WWWW[[#This Row],[% Equitable and continuous access to sufficient quantity of domestic water]]</f>
        <v>1</v>
      </c>
      <c r="CI505" s="645">
        <f>WWWW[[#This Row],[%equitable and continuous access to sufficient quantity of safe drinking and domestic water''s GAP]]*WWWW[[#This Row],[Total PoP ]]</f>
        <v>496</v>
      </c>
      <c r="CJ505" s="647">
        <f>IF(WWWW[[#This Row],[Total required water points]]-WWWW[[#This Row],['#Water points coverage]]&lt;0,0,WWWW[[#This Row],[Total required water points]]-WWWW[[#This Row],['#Water points coverage]])</f>
        <v>1</v>
      </c>
      <c r="CK505" s="647">
        <f>ROUND(IF(WWWW[[#This Row],[Total PoP ]]&lt;500,1,WWWW[[#This Row],[Total PoP ]]/500),0)</f>
        <v>1</v>
      </c>
      <c r="CL505" s="647">
        <f>(WWWW[[#This Row],['#_Constructed latrines_by_WASHAgencies]]+WWWW[[#This Row],['#_Non Cluster partner latrines]])-WWWW[[#This Row],['#_Non-functional latrines]]</f>
        <v>0</v>
      </c>
      <c r="CM505"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505"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505"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05" s="647">
        <f>IF(WWWW[[#This Row],[Location Type 1]]="Village","NA",IF(WWWW[[#This Row],['#_Constructed/Existing latrines in TLS]]*50&gt;WWWW[[#This Row],['#_students at TLS_CFS]],WWWW[[#This Row],['#_students at TLS_CFS]],(WWWW[[#This Row],['#_Constructed/Existing latrines in TLS]]*50)))</f>
        <v>0</v>
      </c>
      <c r="CQ505" s="647">
        <f>ROUND(IF(WWWW[[#This Row],[Location Type 1]]="camp",WWWW[[#This Row],[Total PoP ]]/20,IF(WWWW[[#This Row],[Location Type 1]]="Temporary Location",WWWW[[#This Row],[Total PoP ]]/50,(WWWW[[#This Row],[Total PoP ]]/6))),0)</f>
        <v>25</v>
      </c>
      <c r="CR505" s="647">
        <f>IF(WWWW[[#This Row],[Total required Latrines]]-(WWWW[[#This Row],['#_Constructed latrines_by_WASHAgencies]]+WWWW[[#This Row],['#_Non Cluster partner latrines]])&lt;0,0,WWWW[[#This Row],[Total required Latrines]]-(WWWW[[#This Row],['#_Constructed latrines_by_WASHAgencies]]+WWWW[[#This Row],['#_Non Cluster partner latrines]]))</f>
        <v>25</v>
      </c>
      <c r="CS505" s="79">
        <f>1-WWWW[[#This Row],[% people access to functioning Latrine]]</f>
        <v>1</v>
      </c>
      <c r="CT505" s="649">
        <f>IF(OR(WWWW[[#This Row],['#_Non-functional latrines]]="",WWWW[[#This Row],['#_Non-functional latrines]]=0),0,WWWW[[#This Row],['#_Non-functional latrines]]/(WWWW[[#This Row],['#_Constructed latrines_by_WASHAgencies]]+WWWW[[#This Row],['#_Non Cluster partner latrines]]))</f>
        <v>0</v>
      </c>
      <c r="CU505" s="645">
        <f>IF(500*(WWWW[[#This Row],['#_male hygiene promoters]]+WWWW[[#This Row],['#_female hygiene promoters]])&gt;WWWW[[#This Row],[Total PoP ]],WWWW[[#This Row],[Total PoP ]],500*(WWWW[[#This Row],['#_male hygiene promoters]]+WWWW[[#This Row],['#_female hygiene promoters]]))</f>
        <v>0</v>
      </c>
      <c r="CV505"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05"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05" s="647">
        <f>IF(WWWW[[#This Row],['# People with access to soap]]&gt;WWWW[[#This Row],['# People with access to Sanity Pads]],WWWW[[#This Row],['# People with access to soap]],WWWW[[#This Row],['# People with access to Sanity Pads]])</f>
        <v>0</v>
      </c>
      <c r="CY505"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505" s="650">
        <f>IF(WWWW[[#This Row],[HRP3]]/WWWW[[#This Row],[Total PoP ]]&gt;100%,100%,WWWW[[#This Row],[HRP3]]/WWWW[[#This Row],[Total PoP ]])</f>
        <v>0</v>
      </c>
      <c r="DA505" s="649">
        <f>1-WWWW[[#This Row],[Hygiene Coverage%]]</f>
        <v>1</v>
      </c>
      <c r="DB505" s="648">
        <f>WWWW[[#This Row],['# people reached by regular dedicated hygiene promotion_5]]/WWWW[[#This Row],[Total PoP ]]</f>
        <v>0</v>
      </c>
      <c r="DC505" s="648">
        <f>IF(WWWW[[#This Row],['#_households that received standard amount of soap for this quarter]]/WWWW[[#This Row],[Total HH]]&gt;1,1,WWWW[[#This Row],['#_households that received standard amount of soap for this quarter]]/WWWW[[#This Row],[Total HH]])</f>
        <v>0</v>
      </c>
      <c r="DD505" s="648">
        <f>IF(WWWW[[#This Row],['#_households that received standard amount of sanitary pads for this quarter]]/WWWW[[#This Row],[Total HH]]&gt;1,1,WWWW[[#This Row],['#_households that received standard amount of sanitary pads for this quarter]]/WWWW[[#This Row],[Total HH]])</f>
        <v>0</v>
      </c>
      <c r="DE505" s="647">
        <f>WWWW[[#This Row],['#_Constructed/Existing hand washing stations]]-WWWW[[#This Row],['#_Non-Functional_hand_washing_stations]]</f>
        <v>0</v>
      </c>
      <c r="DF505" s="667">
        <f>IF(WWWW[[#This Row],['# Functional hand washing stations during reporting period]]*20&gt;WWWW[[#This Row],[Total HH]],WWWW[[#This Row],[Total HH]],WWWW[[#This Row],['# Functional hand washing stations during reporting period]]*20)</f>
        <v>0</v>
      </c>
      <c r="DG505" s="645">
        <f>IF(WWWW[[#This Row],[Is sufficient soap available for TLS? (Yes/No)]]="yes",WWWW[[#This Row],['#_Constructed/Existing hand washing stations at TLS]],0)</f>
        <v>0</v>
      </c>
      <c r="DH505" s="645">
        <f>IF(WWWW[[#This Row],['# Functional hand washing stations during reporting period]]*100&gt;WWWW[[#This Row],[Total PoP ]],WWWW[[#This Row],[Total PoP ]],WWWW[[#This Row],['# Functional hand washing stations during reporting period]]*100)</f>
        <v>0</v>
      </c>
      <c r="DI505" s="645" t="str">
        <f>IF(WWWW[[#This Row],['#_students at TLS_CFS]]="","No","Yes")</f>
        <v>No</v>
      </c>
      <c r="DJ505" s="643">
        <f>VLOOKUP(WWWW[[#This Row],[Site Name]],SiteDB6[[Site Name]:[CCCM Management]],6,FALSE)</f>
        <v>0</v>
      </c>
      <c r="DK505" s="643" t="str">
        <f>VLOOKUP(WWWW[[#This Row],[Site Name]],SiteDB6[[Site Name]:[CCCM Focal Agency]],7,FALSE)</f>
        <v>uncovered</v>
      </c>
      <c r="DL505" s="643" t="str">
        <f>VLOOKUP(WWWW[[#This Row],[Site Name]],SiteDB6[[Site Name]:[Location Type 1]],9,FALSE)</f>
        <v>Camp</v>
      </c>
      <c r="DM505" s="643" t="str">
        <f>VLOOKUP(WWWW[[#This Row],[Site Name]],SiteDB6[[Site Name]:[Type of Accommodation]],10,FALSE)</f>
        <v>Camp like setting</v>
      </c>
      <c r="DN505" s="643" t="str">
        <f>VLOOKUP(WWWW[[#This Row],[Site Name]],SiteDB6[[Site Name]:[Ethnic or GCA/NGCA]],11,FALSE)</f>
        <v>GCA</v>
      </c>
      <c r="DO505" s="643">
        <f>VLOOKUP(WWWW[[#This Row],[Site Name]],SiteDB6[[Site Name]:[Lat]],12,FALSE)</f>
        <v>0</v>
      </c>
      <c r="DP505" s="643">
        <f>VLOOKUP(WWWW[[#This Row],[Site Name]],SiteDB6[[Site Name]:[Long]],13,FALSE)</f>
        <v>0</v>
      </c>
      <c r="DQ505" s="643" t="str">
        <f>VLOOKUP(WWWW[[#This Row],[Site Name]],SiteDB6[[Site Name]:[Pcode]],3,FALSE)</f>
        <v>MMR015CMP212</v>
      </c>
      <c r="DR505" s="652" t="str">
        <f t="shared" ref="DR505:DR541" si="18">IF(C505="none","Notcovered","Covered")</f>
        <v>Notcovered</v>
      </c>
      <c r="DS505" s="652"/>
    </row>
    <row r="506" spans="1:138">
      <c r="A506" s="637" t="s">
        <v>2525</v>
      </c>
      <c r="B506" s="644" t="s">
        <v>1957</v>
      </c>
      <c r="C506" s="644" t="s">
        <v>1957</v>
      </c>
      <c r="D506" s="701" t="s">
        <v>2977</v>
      </c>
      <c r="E506" s="663" t="s">
        <v>716</v>
      </c>
      <c r="F506" s="644" t="s">
        <v>726</v>
      </c>
      <c r="G506" s="663" t="str">
        <f>VLOOKUP(WWWW[[#This Row],[Site Name]],SiteDB6[[Site Name]:[Location Type]],8,FALSE)</f>
        <v>Camp</v>
      </c>
      <c r="H506" s="644" t="s">
        <v>756</v>
      </c>
      <c r="I506" s="646">
        <v>146</v>
      </c>
      <c r="J506" s="646">
        <v>494</v>
      </c>
      <c r="K506" s="710" t="s">
        <v>2978</v>
      </c>
      <c r="L506" s="58" t="s">
        <v>2979</v>
      </c>
      <c r="M506" s="646"/>
      <c r="N506" s="646"/>
      <c r="O506" s="646"/>
      <c r="P506" s="646"/>
      <c r="Q506" s="702" t="s">
        <v>43</v>
      </c>
      <c r="R506" s="379">
        <v>2</v>
      </c>
      <c r="S506" s="379">
        <v>7</v>
      </c>
      <c r="T506" s="379">
        <v>0</v>
      </c>
      <c r="U506" s="379">
        <v>0</v>
      </c>
      <c r="V506" s="379">
        <v>0</v>
      </c>
      <c r="W506" s="379">
        <v>0</v>
      </c>
      <c r="X506" s="379">
        <v>0</v>
      </c>
      <c r="Y506" s="379">
        <v>0</v>
      </c>
      <c r="Z506" s="379">
        <v>0</v>
      </c>
      <c r="AA506" s="379">
        <v>20</v>
      </c>
      <c r="AB506" s="379">
        <v>0</v>
      </c>
      <c r="AC506" s="379">
        <v>0</v>
      </c>
      <c r="AD506" s="379">
        <v>0</v>
      </c>
      <c r="AE506" s="379"/>
      <c r="AF506" s="379">
        <v>0</v>
      </c>
      <c r="AG506" s="379">
        <v>1</v>
      </c>
      <c r="AH506" s="379">
        <v>1</v>
      </c>
      <c r="AI506" s="379">
        <v>1</v>
      </c>
      <c r="AJ506" s="379">
        <v>0</v>
      </c>
      <c r="AK506" s="379">
        <v>15</v>
      </c>
      <c r="AL506" s="379">
        <v>0</v>
      </c>
      <c r="AM506" s="379"/>
      <c r="AN506" s="379"/>
      <c r="AO506" s="703"/>
      <c r="AP506" s="379">
        <v>40</v>
      </c>
      <c r="AQ506" s="379">
        <v>0</v>
      </c>
      <c r="AR506" s="711"/>
      <c r="AS506" s="379">
        <v>0</v>
      </c>
      <c r="AT506" s="379">
        <v>6</v>
      </c>
      <c r="AU506" s="379">
        <v>0</v>
      </c>
      <c r="AV506" s="379"/>
      <c r="AW506" s="379"/>
      <c r="AX506" s="709" t="s">
        <v>144</v>
      </c>
      <c r="AY506" s="703" t="s">
        <v>1200</v>
      </c>
      <c r="AZ506" s="379">
        <v>0</v>
      </c>
      <c r="BA506" s="379">
        <v>0</v>
      </c>
      <c r="BB506" s="379"/>
      <c r="BC506" s="709"/>
      <c r="BD506" s="379">
        <v>2</v>
      </c>
      <c r="BE506" s="379">
        <v>0</v>
      </c>
      <c r="BF506" s="379">
        <v>0</v>
      </c>
      <c r="BG506" s="379">
        <v>6</v>
      </c>
      <c r="BH506" s="379">
        <v>0</v>
      </c>
      <c r="BI506" s="379">
        <v>0</v>
      </c>
      <c r="BJ506" s="379">
        <v>2</v>
      </c>
      <c r="BK506" s="379">
        <v>153</v>
      </c>
      <c r="BL506" s="379"/>
      <c r="BM506" s="709"/>
      <c r="BN506" s="712"/>
      <c r="BO506" s="711">
        <v>0.5</v>
      </c>
      <c r="BP506" s="709"/>
      <c r="BQ506" s="649">
        <f>IFERROR(WWWW[[#This Row],['#_Water sources treated]]/WWWW[[#This Row],['#_Water sources tested for contamination]],"no test")</f>
        <v>0</v>
      </c>
      <c r="BR506" s="648">
        <f>IFERROR(WWWW[[#This Row],['#_Household received remediation action due to contamination]]/WWWW[[#This Row],['#_Household water samples tested for contamination]],"no test")</f>
        <v>0</v>
      </c>
      <c r="BS506" s="647" t="str">
        <f>IF(AND(WWWW[[#This Row],[% of water sources treated]]="no test",WWWW[[#This Row],[% Household received corrective actions]]="no test"),"No Test","Tested")</f>
        <v>Tested</v>
      </c>
      <c r="BT506" s="647">
        <f>WWWW[[#This Row],['#_Constructed/existing protected hand dug well]]-WWWW[[#This Row],['#_Non-functional protected hand dug well]]</f>
        <v>0</v>
      </c>
      <c r="BU506" s="647">
        <f>(WWWW[[#This Row],['#_Constructed/Existing tube wells/boreholes/handpumps_WASH_agency]]+WWWW[[#This Row],['#_Non-Cluster partner water tube-wells/boreholes/handpumps]])-WWWW[[#This Row],['#_Non-functional tube wells/boreholes/handpumps]]</f>
        <v>0</v>
      </c>
      <c r="BV506" s="647">
        <f>WWWW[[#This Row],['#_Constructed/Existingwater storage tank with gravity fed reticulation system]]-WWWW[[#This Row],['#_Non-functional storage tank gravity fed reticulation system]]</f>
        <v>20</v>
      </c>
      <c r="BW506" s="647">
        <f>WWWW[[#This Row],['#_Water boating or water trucking]]</f>
        <v>0</v>
      </c>
      <c r="BX506" s="647">
        <f>WWWW[[#This Row],['#_Constructed/Existing water distribution system from river or natural spring]]</f>
        <v>0</v>
      </c>
      <c r="BY506"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506"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506" s="648">
        <f>IF(WWWW[[#This Row],[Location Type 1]]="Village",WWWW[[#This Row],[Access to safe drinking water for Village]],WWWW[[#This Row],[Access to safe drinking water for Camp]])</f>
        <v>1</v>
      </c>
      <c r="CB506" s="645">
        <f>WWWW[[#This Row],[%Equitable and continuous access to sufficient quantity of safe drinking water]]*WWWW[[#This Row],[Total PoP ]]</f>
        <v>494</v>
      </c>
      <c r="CC506" s="648">
        <f>IF((WWWW[[#This Row],['#_Constructed/Existing protected/fenced ponds]]*250)/WWWW[[#This Row],[Total PoP ]]&gt;1,1,(WWWW[[#This Row],['#_Constructed/Existing protected/fenced ponds]]*250)/WWWW[[#This Row],[Total PoP ]])</f>
        <v>0</v>
      </c>
      <c r="CD506" s="645">
        <f>WWWW[[#This Row],[% Access to unimproved water points]]*WWWW[[#This Row],[Total PoP ]]</f>
        <v>0</v>
      </c>
      <c r="CE506"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06"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494</v>
      </c>
      <c r="CG506" s="645">
        <f>WWWW[[#This Row],[HRP1]]/500</f>
        <v>0.98799999999999999</v>
      </c>
      <c r="CH506" s="650">
        <f>1-WWWW[[#This Row],[% Equitable and continuous access to sufficient quantity of domestic water]]</f>
        <v>0</v>
      </c>
      <c r="CI506" s="645">
        <f>WWWW[[#This Row],[%equitable and continuous access to sufficient quantity of safe drinking and domestic water''s GAP]]*WWWW[[#This Row],[Total PoP ]]</f>
        <v>0</v>
      </c>
      <c r="CJ506" s="647">
        <f>IF(WWWW[[#This Row],[Total required water points]]-WWWW[[#This Row],['#Water points coverage]]&lt;0,0,WWWW[[#This Row],[Total required water points]]-WWWW[[#This Row],['#Water points coverage]])</f>
        <v>1.2000000000000011E-2</v>
      </c>
      <c r="CK506" s="647">
        <f>ROUND(IF(WWWW[[#This Row],[Total PoP ]]&lt;500,1,WWWW[[#This Row],[Total PoP ]]/500),0)</f>
        <v>1</v>
      </c>
      <c r="CL506" s="647">
        <f>(WWWW[[#This Row],['#_Constructed latrines_by_WASHAgencies]]+WWWW[[#This Row],['#_Non Cluster partner latrines]])-WWWW[[#This Row],['#_Non-functional latrines]]</f>
        <v>40</v>
      </c>
      <c r="CM506"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506"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494</v>
      </c>
      <c r="CO506"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06" s="647">
        <f>IF(WWWW[[#This Row],[Location Type 1]]="Village","NA",IF(WWWW[[#This Row],['#_Constructed/Existing latrines in TLS]]*50&gt;WWWW[[#This Row],['#_students at TLS_CFS]],WWWW[[#This Row],['#_students at TLS_CFS]],(WWWW[[#This Row],['#_Constructed/Existing latrines in TLS]]*50)))</f>
        <v>0</v>
      </c>
      <c r="CQ506" s="647">
        <f>ROUND(IF(WWWW[[#This Row],[Location Type 1]]="camp",WWWW[[#This Row],[Total PoP ]]/20,IF(WWWW[[#This Row],[Location Type 1]]="Temporary Location",WWWW[[#This Row],[Total PoP ]]/50,(WWWW[[#This Row],[Total PoP ]]/6))),0)</f>
        <v>25</v>
      </c>
      <c r="CR506" s="647">
        <f>IF(WWWW[[#This Row],[Total required Latrines]]-(WWWW[[#This Row],['#_Constructed latrines_by_WASHAgencies]]+WWWW[[#This Row],['#_Non Cluster partner latrines]])&lt;0,0,WWWW[[#This Row],[Total required Latrines]]-(WWWW[[#This Row],['#_Constructed latrines_by_WASHAgencies]]+WWWW[[#This Row],['#_Non Cluster partner latrines]]))</f>
        <v>0</v>
      </c>
      <c r="CS506" s="79">
        <f>1-WWWW[[#This Row],[% people access to functioning Latrine]]</f>
        <v>0</v>
      </c>
      <c r="CT506" s="649">
        <f>IF(OR(WWWW[[#This Row],['#_Non-functional latrines]]="",WWWW[[#This Row],['#_Non-functional latrines]]=0),0,WWWW[[#This Row],['#_Non-functional latrines]]/(WWWW[[#This Row],['#_Constructed latrines_by_WASHAgencies]]+WWWW[[#This Row],['#_Non Cluster partner latrines]]))</f>
        <v>0</v>
      </c>
      <c r="CU506" s="645">
        <f>IF(500*(WWWW[[#This Row],['#_male hygiene promoters]]+WWWW[[#This Row],['#_female hygiene promoters]])&gt;WWWW[[#This Row],[Total PoP ]],WWWW[[#This Row],[Total PoP ]],500*(WWWW[[#This Row],['#_male hygiene promoters]]+WWWW[[#This Row],['#_female hygiene promoters]]))</f>
        <v>494</v>
      </c>
      <c r="CV506"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494</v>
      </c>
      <c r="CW506"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06" s="647">
        <f>IF(WWWW[[#This Row],['# People with access to soap]]&gt;WWWW[[#This Row],['# People with access to Sanity Pads]],WWWW[[#This Row],['# People with access to soap]],WWWW[[#This Row],['# People with access to Sanity Pads]])</f>
        <v>494</v>
      </c>
      <c r="CY506" s="647">
        <f>IF(WWWW[[#This Row],['# people reached by regular dedicated hygiene promotion_5]]&gt;WWWW[[#This Row],['# People received regular supply of hygiene items_6]],WWWW[[#This Row],['# people reached by regular dedicated hygiene promotion_5]],WWWW[[#This Row],['# People received regular supply of hygiene items_6]])</f>
        <v>494</v>
      </c>
      <c r="CZ506" s="650">
        <f>IF(WWWW[[#This Row],[HRP3]]/WWWW[[#This Row],[Total PoP ]]&gt;100%,100%,WWWW[[#This Row],[HRP3]]/WWWW[[#This Row],[Total PoP ]])</f>
        <v>1</v>
      </c>
      <c r="DA506" s="649">
        <f>1-WWWW[[#This Row],[Hygiene Coverage%]]</f>
        <v>0</v>
      </c>
      <c r="DB506" s="648">
        <f>WWWW[[#This Row],['# people reached by regular dedicated hygiene promotion_5]]/WWWW[[#This Row],[Total PoP ]]</f>
        <v>1</v>
      </c>
      <c r="DC506" s="648">
        <f>IF(WWWW[[#This Row],['#_households that received standard amount of soap for this quarter]]/WWWW[[#This Row],[Total HH]]&gt;1,1,WWWW[[#This Row],['#_households that received standard amount of soap for this quarter]]/WWWW[[#This Row],[Total HH]])</f>
        <v>1</v>
      </c>
      <c r="DD506" s="648">
        <f>IF(WWWW[[#This Row],['#_households that received standard amount of sanitary pads for this quarter]]/WWWW[[#This Row],[Total HH]]&gt;1,1,WWWW[[#This Row],['#_households that received standard amount of sanitary pads for this quarter]]/WWWW[[#This Row],[Total HH]])</f>
        <v>0</v>
      </c>
      <c r="DE506" s="647">
        <f>WWWW[[#This Row],['#_Constructed/Existing hand washing stations]]-WWWW[[#This Row],['#_Non-Functional_hand_washing_stations]]</f>
        <v>2</v>
      </c>
      <c r="DF506" s="667">
        <f>IF(WWWW[[#This Row],['# Functional hand washing stations during reporting period]]*20&gt;WWWW[[#This Row],[Total HH]],WWWW[[#This Row],[Total HH]],WWWW[[#This Row],['# Functional hand washing stations during reporting period]]*20)</f>
        <v>40</v>
      </c>
      <c r="DG506" s="645">
        <f>IF(WWWW[[#This Row],[Is sufficient soap available for TLS? (Yes/No)]]="yes",WWWW[[#This Row],['#_Constructed/Existing hand washing stations at TLS]],0)</f>
        <v>0</v>
      </c>
      <c r="DH506" s="645">
        <f>IF(WWWW[[#This Row],['# Functional hand washing stations during reporting period]]*100&gt;WWWW[[#This Row],[Total PoP ]],WWWW[[#This Row],[Total PoP ]],WWWW[[#This Row],['# Functional hand washing stations during reporting period]]*100)</f>
        <v>200</v>
      </c>
      <c r="DI506" s="645" t="str">
        <f>IF(WWWW[[#This Row],['#_students at TLS_CFS]]="","No","Yes")</f>
        <v>No</v>
      </c>
      <c r="DJ506" s="643" t="str">
        <f>VLOOKUP(WWWW[[#This Row],[Site Name]],SiteDB6[[Site Name]:[CCCM Management]],6,FALSE)</f>
        <v>Yes</v>
      </c>
      <c r="DK506" s="643" t="str">
        <f>VLOOKUP(WWWW[[#This Row],[Site Name]],SiteDB6[[Site Name]:[CCCM Focal Agency]],7,FALSE)</f>
        <v>KBC-NSS</v>
      </c>
      <c r="DL506" s="643" t="str">
        <f>VLOOKUP(WWWW[[#This Row],[Site Name]],SiteDB6[[Site Name]:[Location Type 1]],9,FALSE)</f>
        <v>Camp</v>
      </c>
      <c r="DM506" s="643" t="str">
        <f>VLOOKUP(WWWW[[#This Row],[Site Name]],SiteDB6[[Site Name]:[Type of Accommodation]],10,FALSE)</f>
        <v>Camp</v>
      </c>
      <c r="DN506" s="643" t="str">
        <f>VLOOKUP(WWWW[[#This Row],[Site Name]],SiteDB6[[Site Name]:[Ethnic or GCA/NGCA]],11,FALSE)</f>
        <v>GCA</v>
      </c>
      <c r="DO506" s="643">
        <f>VLOOKUP(WWWW[[#This Row],[Site Name]],SiteDB6[[Site Name]:[Lat]],12,FALSE)</f>
        <v>24.08738</v>
      </c>
      <c r="DP506" s="643">
        <f>VLOOKUP(WWWW[[#This Row],[Site Name]],SiteDB6[[Site Name]:[Long]],13,FALSE)</f>
        <v>98.115809999999996</v>
      </c>
      <c r="DQ506" s="643" t="str">
        <f>VLOOKUP(WWWW[[#This Row],[Site Name]],SiteDB6[[Site Name]:[Pcode]],3,FALSE)</f>
        <v>MMR015CMP247</v>
      </c>
      <c r="DR506" s="652" t="str">
        <f t="shared" si="18"/>
        <v>Covered</v>
      </c>
      <c r="DS506" s="652"/>
    </row>
    <row r="507" spans="1:138">
      <c r="A507" s="637" t="s">
        <v>2525</v>
      </c>
      <c r="B507" s="644" t="s">
        <v>200</v>
      </c>
      <c r="C507" s="644" t="s">
        <v>200</v>
      </c>
      <c r="D507" s="644" t="s">
        <v>2970</v>
      </c>
      <c r="E507" s="663" t="s">
        <v>716</v>
      </c>
      <c r="F507" s="644" t="s">
        <v>726</v>
      </c>
      <c r="G507" s="663" t="str">
        <f>VLOOKUP(WWWW[[#This Row],[Site Name]],SiteDB6[[Site Name]:[Location Type]],8,FALSE)</f>
        <v>Camp</v>
      </c>
      <c r="H507" s="701" t="s">
        <v>760</v>
      </c>
      <c r="I507" s="646">
        <v>154</v>
      </c>
      <c r="J507" s="646">
        <v>779</v>
      </c>
      <c r="K507" s="653" t="s">
        <v>2971</v>
      </c>
      <c r="L507" s="654" t="s">
        <v>2972</v>
      </c>
      <c r="M507" s="646">
        <v>189</v>
      </c>
      <c r="N507" s="646"/>
      <c r="O507" s="646"/>
      <c r="P507" s="646"/>
      <c r="Q507" s="645" t="s">
        <v>43</v>
      </c>
      <c r="R507" s="646"/>
      <c r="S507" s="646"/>
      <c r="T507" s="646"/>
      <c r="U507" s="646"/>
      <c r="V507" s="646"/>
      <c r="W507" s="646"/>
      <c r="X507" s="646"/>
      <c r="Y507" s="646"/>
      <c r="Z507" s="646"/>
      <c r="AA507" s="646"/>
      <c r="AB507" s="646"/>
      <c r="AC507" s="646"/>
      <c r="AD507" s="646"/>
      <c r="AE507" s="646"/>
      <c r="AF507" s="646"/>
      <c r="AG507" s="646"/>
      <c r="AH507" s="646"/>
      <c r="AI507" s="646"/>
      <c r="AJ507" s="646"/>
      <c r="AK507" s="646"/>
      <c r="AL507" s="646"/>
      <c r="AM507" s="646"/>
      <c r="AN507" s="646"/>
      <c r="AO507" s="652"/>
      <c r="AP507" s="646">
        <v>60</v>
      </c>
      <c r="AQ507" s="646"/>
      <c r="AR507" s="648"/>
      <c r="AS507" s="646"/>
      <c r="AT507" s="646"/>
      <c r="AU507" s="646"/>
      <c r="AV507" s="646"/>
      <c r="AW507" s="646"/>
      <c r="AX507" s="643" t="s">
        <v>43</v>
      </c>
      <c r="AY507" s="652" t="s">
        <v>145</v>
      </c>
      <c r="AZ507" s="646"/>
      <c r="BA507" s="646"/>
      <c r="BB507" s="646"/>
      <c r="BC507" s="643"/>
      <c r="BD507" s="646"/>
      <c r="BE507" s="646"/>
      <c r="BF507" s="646"/>
      <c r="BG507" s="646">
        <v>11</v>
      </c>
      <c r="BH507" s="646"/>
      <c r="BI507" s="646"/>
      <c r="BJ507" s="646"/>
      <c r="BK507" s="646">
        <v>0</v>
      </c>
      <c r="BL507" s="646">
        <v>0</v>
      </c>
      <c r="BM507" s="643"/>
      <c r="BN507" s="647"/>
      <c r="BO507" s="648"/>
      <c r="BP507" s="643"/>
      <c r="BQ507" s="649" t="str">
        <f>IFERROR(WWWW[[#This Row],['#_Water sources treated]]/WWWW[[#This Row],['#_Water sources tested for contamination]],"no test")</f>
        <v>no test</v>
      </c>
      <c r="BR507" s="648" t="str">
        <f>IFERROR(WWWW[[#This Row],['#_Household received remediation action due to contamination]]/WWWW[[#This Row],['#_Household water samples tested for contamination]],"no test")</f>
        <v>no test</v>
      </c>
      <c r="BS507" s="647" t="str">
        <f>IF(AND(WWWW[[#This Row],[% of water sources treated]]="no test",WWWW[[#This Row],[% Household received corrective actions]]="no test"),"No Test","Tested")</f>
        <v>No Test</v>
      </c>
      <c r="BT507" s="647">
        <f>WWWW[[#This Row],['#_Constructed/existing protected hand dug well]]-WWWW[[#This Row],['#_Non-functional protected hand dug well]]</f>
        <v>0</v>
      </c>
      <c r="BU507" s="647">
        <f>(WWWW[[#This Row],['#_Constructed/Existing tube wells/boreholes/handpumps_WASH_agency]]+WWWW[[#This Row],['#_Non-Cluster partner water tube-wells/boreholes/handpumps]])-WWWW[[#This Row],['#_Non-functional tube wells/boreholes/handpumps]]</f>
        <v>0</v>
      </c>
      <c r="BV507" s="647">
        <f>WWWW[[#This Row],['#_Constructed/Existingwater storage tank with gravity fed reticulation system]]-WWWW[[#This Row],['#_Non-functional storage tank gravity fed reticulation system]]</f>
        <v>0</v>
      </c>
      <c r="BW507" s="647">
        <f>WWWW[[#This Row],['#_Water boating or water trucking]]</f>
        <v>0</v>
      </c>
      <c r="BX507" s="647">
        <f>WWWW[[#This Row],['#_Constructed/Existing water distribution system from river or natural spring]]</f>
        <v>0</v>
      </c>
      <c r="BY507"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507"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507" s="648">
        <f>IF(WWWW[[#This Row],[Location Type 1]]="Village",WWWW[[#This Row],[Access to safe drinking water for Village]],WWWW[[#This Row],[Access to safe drinking water for Camp]])</f>
        <v>0</v>
      </c>
      <c r="CB507" s="645">
        <f>WWWW[[#This Row],[%Equitable and continuous access to sufficient quantity of safe drinking water]]*WWWW[[#This Row],[Total PoP ]]</f>
        <v>0</v>
      </c>
      <c r="CC507" s="648">
        <f>IF((WWWW[[#This Row],['#_Constructed/Existing protected/fenced ponds]]*250)/WWWW[[#This Row],[Total PoP ]]&gt;1,1,(WWWW[[#This Row],['#_Constructed/Existing protected/fenced ponds]]*250)/WWWW[[#This Row],[Total PoP ]])</f>
        <v>0</v>
      </c>
      <c r="CD507" s="645">
        <f>WWWW[[#This Row],[% Access to unimproved water points]]*WWWW[[#This Row],[Total PoP ]]</f>
        <v>0</v>
      </c>
      <c r="CE507"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507"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507" s="645">
        <f>WWWW[[#This Row],[HRP1]]/500</f>
        <v>0</v>
      </c>
      <c r="CH507" s="650">
        <f>1-WWWW[[#This Row],[% Equitable and continuous access to sufficient quantity of domestic water]]</f>
        <v>1</v>
      </c>
      <c r="CI507" s="645">
        <f>WWWW[[#This Row],[%equitable and continuous access to sufficient quantity of safe drinking and domestic water''s GAP]]*WWWW[[#This Row],[Total PoP ]]</f>
        <v>779</v>
      </c>
      <c r="CJ507" s="647">
        <f>IF(WWWW[[#This Row],[Total required water points]]-WWWW[[#This Row],['#Water points coverage]]&lt;0,0,WWWW[[#This Row],[Total required water points]]-WWWW[[#This Row],['#Water points coverage]])</f>
        <v>2</v>
      </c>
      <c r="CK507" s="647">
        <f>ROUND(IF(WWWW[[#This Row],[Total PoP ]]&lt;500,1,WWWW[[#This Row],[Total PoP ]]/500),0)</f>
        <v>2</v>
      </c>
      <c r="CL507" s="647">
        <f>(WWWW[[#This Row],['#_Constructed latrines_by_WASHAgencies]]+WWWW[[#This Row],['#_Non Cluster partner latrines]])-WWWW[[#This Row],['#_Non-functional latrines]]</f>
        <v>60</v>
      </c>
      <c r="CM507"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507"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779</v>
      </c>
      <c r="CO507"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07" s="647">
        <f>IF(WWWW[[#This Row],[Location Type 1]]="Village","NA",IF(WWWW[[#This Row],['#_Constructed/Existing latrines in TLS]]*50&gt;WWWW[[#This Row],['#_students at TLS_CFS]],WWWW[[#This Row],['#_students at TLS_CFS]],(WWWW[[#This Row],['#_Constructed/Existing latrines in TLS]]*50)))</f>
        <v>0</v>
      </c>
      <c r="CQ507" s="647">
        <f>ROUND(IF(WWWW[[#This Row],[Location Type 1]]="camp",WWWW[[#This Row],[Total PoP ]]/20,IF(WWWW[[#This Row],[Location Type 1]]="Temporary Location",WWWW[[#This Row],[Total PoP ]]/50,(WWWW[[#This Row],[Total PoP ]]/6))),0)</f>
        <v>39</v>
      </c>
      <c r="CR507" s="647">
        <f>IF(WWWW[[#This Row],[Total required Latrines]]-(WWWW[[#This Row],['#_Constructed latrines_by_WASHAgencies]]+WWWW[[#This Row],['#_Non Cluster partner latrines]])&lt;0,0,WWWW[[#This Row],[Total required Latrines]]-(WWWW[[#This Row],['#_Constructed latrines_by_WASHAgencies]]+WWWW[[#This Row],['#_Non Cluster partner latrines]]))</f>
        <v>0</v>
      </c>
      <c r="CS507" s="79">
        <f>1-WWWW[[#This Row],[% people access to functioning Latrine]]</f>
        <v>0</v>
      </c>
      <c r="CT507" s="649">
        <f>IF(OR(WWWW[[#This Row],['#_Non-functional latrines]]="",WWWW[[#This Row],['#_Non-functional latrines]]=0),0,WWWW[[#This Row],['#_Non-functional latrines]]/(WWWW[[#This Row],['#_Constructed latrines_by_WASHAgencies]]+WWWW[[#This Row],['#_Non Cluster partner latrines]]))</f>
        <v>0</v>
      </c>
      <c r="CU507" s="645">
        <f>IF(500*(WWWW[[#This Row],['#_male hygiene promoters]]+WWWW[[#This Row],['#_female hygiene promoters]])&gt;WWWW[[#This Row],[Total PoP ]],WWWW[[#This Row],[Total PoP ]],500*(WWWW[[#This Row],['#_male hygiene promoters]]+WWWW[[#This Row],['#_female hygiene promoters]]))</f>
        <v>0</v>
      </c>
      <c r="CV507"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07"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07" s="647">
        <f>IF(WWWW[[#This Row],['# People with access to soap]]&gt;WWWW[[#This Row],['# People with access to Sanity Pads]],WWWW[[#This Row],['# People with access to soap]],WWWW[[#This Row],['# People with access to Sanity Pads]])</f>
        <v>0</v>
      </c>
      <c r="CY507"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507" s="650">
        <f>IF(WWWW[[#This Row],[HRP3]]/WWWW[[#This Row],[Total PoP ]]&gt;100%,100%,WWWW[[#This Row],[HRP3]]/WWWW[[#This Row],[Total PoP ]])</f>
        <v>0</v>
      </c>
      <c r="DA507" s="649">
        <f>1-WWWW[[#This Row],[Hygiene Coverage%]]</f>
        <v>1</v>
      </c>
      <c r="DB507" s="648">
        <f>WWWW[[#This Row],['# people reached by regular dedicated hygiene promotion_5]]/WWWW[[#This Row],[Total PoP ]]</f>
        <v>0</v>
      </c>
      <c r="DC507" s="648">
        <f>IF(WWWW[[#This Row],['#_households that received standard amount of soap for this quarter]]/WWWW[[#This Row],[Total HH]]&gt;1,1,WWWW[[#This Row],['#_households that received standard amount of soap for this quarter]]/WWWW[[#This Row],[Total HH]])</f>
        <v>0</v>
      </c>
      <c r="DD507" s="648">
        <f>IF(WWWW[[#This Row],['#_households that received standard amount of sanitary pads for this quarter]]/WWWW[[#This Row],[Total HH]]&gt;1,1,WWWW[[#This Row],['#_households that received standard amount of sanitary pads for this quarter]]/WWWW[[#This Row],[Total HH]])</f>
        <v>0</v>
      </c>
      <c r="DE507" s="647">
        <f>WWWW[[#This Row],['#_Constructed/Existing hand washing stations]]-WWWW[[#This Row],['#_Non-Functional_hand_washing_stations]]</f>
        <v>0</v>
      </c>
      <c r="DF507" s="667">
        <f>IF(WWWW[[#This Row],['# Functional hand washing stations during reporting period]]*20&gt;WWWW[[#This Row],[Total HH]],WWWW[[#This Row],[Total HH]],WWWW[[#This Row],['# Functional hand washing stations during reporting period]]*20)</f>
        <v>0</v>
      </c>
      <c r="DG507" s="645">
        <f>IF(WWWW[[#This Row],[Is sufficient soap available for TLS? (Yes/No)]]="yes",WWWW[[#This Row],['#_Constructed/Existing hand washing stations at TLS]],0)</f>
        <v>0</v>
      </c>
      <c r="DH507" s="645">
        <f>IF(WWWW[[#This Row],['# Functional hand washing stations during reporting period]]*100&gt;WWWW[[#This Row],[Total PoP ]],WWWW[[#This Row],[Total PoP ]],WWWW[[#This Row],['# Functional hand washing stations during reporting period]]*100)</f>
        <v>0</v>
      </c>
      <c r="DI507" s="645" t="str">
        <f>IF(WWWW[[#This Row],['#_students at TLS_CFS]]="","No","Yes")</f>
        <v>Yes</v>
      </c>
      <c r="DJ507" s="643">
        <f>VLOOKUP(WWWW[[#This Row],[Site Name]],SiteDB6[[Site Name]:[CCCM Management]],6,FALSE)</f>
        <v>0</v>
      </c>
      <c r="DK507" s="643">
        <f>VLOOKUP(WWWW[[#This Row],[Site Name]],SiteDB6[[Site Name]:[CCCM Focal Agency]],7,FALSE)</f>
        <v>0</v>
      </c>
      <c r="DL507" s="643" t="str">
        <f>VLOOKUP(WWWW[[#This Row],[Site Name]],SiteDB6[[Site Name]:[Location Type 1]],9,FALSE)</f>
        <v>Camp</v>
      </c>
      <c r="DM507" s="643" t="str">
        <f>VLOOKUP(WWWW[[#This Row],[Site Name]],SiteDB6[[Site Name]:[Type of Accommodation]],10,FALSE)</f>
        <v>Closed Camp</v>
      </c>
      <c r="DN507" s="643" t="str">
        <f>VLOOKUP(WWWW[[#This Row],[Site Name]],SiteDB6[[Site Name]:[Ethnic or GCA/NGCA]],11,FALSE)</f>
        <v>GCA</v>
      </c>
      <c r="DO507" s="643">
        <f>VLOOKUP(WWWW[[#This Row],[Site Name]],SiteDB6[[Site Name]:[Lat]],12,FALSE)</f>
        <v>24.08738</v>
      </c>
      <c r="DP507" s="643">
        <f>VLOOKUP(WWWW[[#This Row],[Site Name]],SiteDB6[[Site Name]:[Long]],13,FALSE)</f>
        <v>98.115809999999996</v>
      </c>
      <c r="DQ507" s="643" t="str">
        <f>VLOOKUP(WWWW[[#This Row],[Site Name]],SiteDB6[[Site Name]:[Pcode]],3,FALSE)</f>
        <v>MMR015CMP022</v>
      </c>
      <c r="DR507" s="652" t="str">
        <f t="shared" si="18"/>
        <v>Covered</v>
      </c>
      <c r="DS507" s="652"/>
    </row>
    <row r="508" spans="1:138">
      <c r="A508" s="637" t="s">
        <v>2525</v>
      </c>
      <c r="B508" s="701" t="s">
        <v>305</v>
      </c>
      <c r="C508" s="701" t="s">
        <v>305</v>
      </c>
      <c r="D508" s="701" t="s">
        <v>2974</v>
      </c>
      <c r="E508" s="663" t="s">
        <v>716</v>
      </c>
      <c r="F508" s="701" t="s">
        <v>720</v>
      </c>
      <c r="G508" s="709" t="str">
        <f>VLOOKUP(WWWW[[#This Row],[Site Name]],SiteDB6[[Site Name]:[Location Type]],8,FALSE)</f>
        <v>Camp</v>
      </c>
      <c r="H508" s="701" t="s">
        <v>2330</v>
      </c>
      <c r="I508" s="379">
        <v>32</v>
      </c>
      <c r="J508" s="379">
        <v>154</v>
      </c>
      <c r="K508" s="710">
        <v>43070</v>
      </c>
      <c r="L508" s="58">
        <v>43799</v>
      </c>
      <c r="M508" s="379"/>
      <c r="N508" s="379"/>
      <c r="O508" s="379"/>
      <c r="P508" s="379"/>
      <c r="Q508" s="702" t="s">
        <v>43</v>
      </c>
      <c r="R508" s="379">
        <v>4</v>
      </c>
      <c r="S508" s="379">
        <v>5</v>
      </c>
      <c r="T508" s="379">
        <v>0</v>
      </c>
      <c r="U508" s="379">
        <v>0</v>
      </c>
      <c r="V508" s="379">
        <v>0</v>
      </c>
      <c r="W508" s="379">
        <v>0</v>
      </c>
      <c r="X508" s="379">
        <v>0</v>
      </c>
      <c r="Y508" s="379">
        <v>0</v>
      </c>
      <c r="Z508" s="379">
        <v>0</v>
      </c>
      <c r="AA508" s="379">
        <v>54</v>
      </c>
      <c r="AB508" s="379">
        <v>0</v>
      </c>
      <c r="AC508" s="379">
        <v>0</v>
      </c>
      <c r="AD508" s="379">
        <v>0</v>
      </c>
      <c r="AE508" s="379"/>
      <c r="AF508" s="379">
        <v>0</v>
      </c>
      <c r="AG508" s="379">
        <v>1</v>
      </c>
      <c r="AH508" s="379"/>
      <c r="AI508" s="379">
        <v>1</v>
      </c>
      <c r="AJ508" s="379">
        <v>0</v>
      </c>
      <c r="AK508" s="379">
        <v>15</v>
      </c>
      <c r="AL508" s="379">
        <v>0</v>
      </c>
      <c r="AM508" s="379"/>
      <c r="AN508" s="379"/>
      <c r="AO508" s="703"/>
      <c r="AP508" s="379">
        <v>32</v>
      </c>
      <c r="AQ508" s="379">
        <v>0</v>
      </c>
      <c r="AR508" s="711"/>
      <c r="AS508" s="379">
        <v>0</v>
      </c>
      <c r="AT508" s="379">
        <v>0</v>
      </c>
      <c r="AU508" s="379">
        <v>0</v>
      </c>
      <c r="AV508" s="379"/>
      <c r="AW508" s="379"/>
      <c r="AX508" s="709" t="s">
        <v>144</v>
      </c>
      <c r="AY508" s="703" t="s">
        <v>145</v>
      </c>
      <c r="AZ508" s="379">
        <v>0</v>
      </c>
      <c r="BA508" s="379">
        <v>0</v>
      </c>
      <c r="BB508" s="379"/>
      <c r="BC508" s="709"/>
      <c r="BD508" s="379">
        <v>0</v>
      </c>
      <c r="BE508" s="379">
        <v>0</v>
      </c>
      <c r="BF508" s="379">
        <v>0</v>
      </c>
      <c r="BG508" s="379">
        <v>0</v>
      </c>
      <c r="BH508" s="379">
        <v>0</v>
      </c>
      <c r="BI508" s="379">
        <v>0</v>
      </c>
      <c r="BJ508" s="379">
        <v>1</v>
      </c>
      <c r="BK508" s="379">
        <v>32</v>
      </c>
      <c r="BL508" s="379"/>
      <c r="BM508" s="709"/>
      <c r="BN508" s="712"/>
      <c r="BO508" s="711">
        <v>0.5</v>
      </c>
      <c r="BP508" s="709"/>
      <c r="BQ508" s="713">
        <f>IFERROR(WWWW[[#This Row],['#_Water sources treated]]/WWWW[[#This Row],['#_Water sources tested for contamination]],"no test")</f>
        <v>0</v>
      </c>
      <c r="BR508" s="711">
        <f>IFERROR(WWWW[[#This Row],['#_Household received remediation action due to contamination]]/WWWW[[#This Row],['#_Household water samples tested for contamination]],"no test")</f>
        <v>0</v>
      </c>
      <c r="BS508" s="712" t="str">
        <f>IF(AND(WWWW[[#This Row],[% of water sources treated]]="no test",WWWW[[#This Row],[% Household received corrective actions]]="no test"),"No Test","Tested")</f>
        <v>Tested</v>
      </c>
      <c r="BT508" s="712">
        <f>WWWW[[#This Row],['#_Constructed/existing protected hand dug well]]-WWWW[[#This Row],['#_Non-functional protected hand dug well]]</f>
        <v>0</v>
      </c>
      <c r="BU508" s="712">
        <f>(WWWW[[#This Row],['#_Constructed/Existing tube wells/boreholes/handpumps_WASH_agency]]+WWWW[[#This Row],['#_Non-Cluster partner water tube-wells/boreholes/handpumps]])-WWWW[[#This Row],['#_Non-functional tube wells/boreholes/handpumps]]</f>
        <v>0</v>
      </c>
      <c r="BV508" s="712">
        <f>WWWW[[#This Row],['#_Constructed/Existingwater storage tank with gravity fed reticulation system]]-WWWW[[#This Row],['#_Non-functional storage tank gravity fed reticulation system]]</f>
        <v>54</v>
      </c>
      <c r="BW508" s="712">
        <f>WWWW[[#This Row],['#_Water boating or water trucking]]</f>
        <v>0</v>
      </c>
      <c r="BX508" s="712">
        <f>WWWW[[#This Row],['#_Constructed/Existing water distribution system from river or natural spring]]</f>
        <v>0</v>
      </c>
      <c r="BY508" s="713">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508" s="713">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508" s="711">
        <f>IF(WWWW[[#This Row],[Location Type 1]]="Village",WWWW[[#This Row],[Access to safe drinking water for Village]],WWWW[[#This Row],[Access to safe drinking water for Camp]])</f>
        <v>1</v>
      </c>
      <c r="CB508" s="702">
        <f>WWWW[[#This Row],[%Equitable and continuous access to sufficient quantity of safe drinking water]]*WWWW[[#This Row],[Total PoP ]]</f>
        <v>154</v>
      </c>
      <c r="CC508" s="711">
        <f>IF((WWWW[[#This Row],['#_Constructed/Existing protected/fenced ponds]]*250)/WWWW[[#This Row],[Total PoP ]]&gt;1,1,(WWWW[[#This Row],['#_Constructed/Existing protected/fenced ponds]]*250)/WWWW[[#This Row],[Total PoP ]])</f>
        <v>0</v>
      </c>
      <c r="CD508" s="702">
        <f>WWWW[[#This Row],[% Access to unimproved water points]]*WWWW[[#This Row],[Total PoP ]]</f>
        <v>0</v>
      </c>
      <c r="CE508" s="711">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08" s="70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154</v>
      </c>
      <c r="CG508" s="702">
        <f>WWWW[[#This Row],[HRP1]]/500</f>
        <v>0.308</v>
      </c>
      <c r="CH508" s="714">
        <f>1-WWWW[[#This Row],[% Equitable and continuous access to sufficient quantity of domestic water]]</f>
        <v>0</v>
      </c>
      <c r="CI508" s="702">
        <f>WWWW[[#This Row],[%equitable and continuous access to sufficient quantity of safe drinking and domestic water''s GAP]]*WWWW[[#This Row],[Total PoP ]]</f>
        <v>0</v>
      </c>
      <c r="CJ508" s="712">
        <f>IF(WWWW[[#This Row],[Total required water points]]-WWWW[[#This Row],['#Water points coverage]]&lt;0,0,WWWW[[#This Row],[Total required water points]]-WWWW[[#This Row],['#Water points coverage]])</f>
        <v>0.69199999999999995</v>
      </c>
      <c r="CK508" s="712">
        <f>ROUND(IF(WWWW[[#This Row],[Total PoP ]]&lt;500,1,WWWW[[#This Row],[Total PoP ]]/500),0)</f>
        <v>1</v>
      </c>
      <c r="CL508" s="712">
        <f>(WWWW[[#This Row],['#_Constructed latrines_by_WASHAgencies]]+WWWW[[#This Row],['#_Non Cluster partner latrines]])-WWWW[[#This Row],['#_Non-functional latrines]]</f>
        <v>32</v>
      </c>
      <c r="CM508" s="711">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508" s="702">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154</v>
      </c>
      <c r="CO508" s="71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08" s="712">
        <f>IF(WWWW[[#This Row],[Location Type 1]]="Village","NA",IF(WWWW[[#This Row],['#_Constructed/Existing latrines in TLS]]*50&gt;WWWW[[#This Row],['#_students at TLS_CFS]],WWWW[[#This Row],['#_students at TLS_CFS]],(WWWW[[#This Row],['#_Constructed/Existing latrines in TLS]]*50)))</f>
        <v>0</v>
      </c>
      <c r="CQ508" s="712">
        <f>ROUND(IF(WWWW[[#This Row],[Location Type 1]]="camp",WWWW[[#This Row],[Total PoP ]]/20,IF(WWWW[[#This Row],[Location Type 1]]="Temporary Location",WWWW[[#This Row],[Total PoP ]]/50,(WWWW[[#This Row],[Total PoP ]]/6))),0)</f>
        <v>8</v>
      </c>
      <c r="CR508" s="712">
        <f>IF(WWWW[[#This Row],[Total required Latrines]]-(WWWW[[#This Row],['#_Constructed latrines_by_WASHAgencies]]+WWWW[[#This Row],['#_Non Cluster partner latrines]])&lt;0,0,WWWW[[#This Row],[Total required Latrines]]-(WWWW[[#This Row],['#_Constructed latrines_by_WASHAgencies]]+WWWW[[#This Row],['#_Non Cluster partner latrines]]))</f>
        <v>0</v>
      </c>
      <c r="CS508" s="79">
        <f>1-WWWW[[#This Row],[% people access to functioning Latrine]]</f>
        <v>0</v>
      </c>
      <c r="CT508" s="713">
        <f>IF(OR(WWWW[[#This Row],['#_Non-functional latrines]]="",WWWW[[#This Row],['#_Non-functional latrines]]=0),0,WWWW[[#This Row],['#_Non-functional latrines]]/(WWWW[[#This Row],['#_Constructed latrines_by_WASHAgencies]]+WWWW[[#This Row],['#_Non Cluster partner latrines]]))</f>
        <v>0</v>
      </c>
      <c r="CU508" s="702">
        <f>IF(500*(WWWW[[#This Row],['#_male hygiene promoters]]+WWWW[[#This Row],['#_female hygiene promoters]])&gt;WWWW[[#This Row],[Total PoP ]],WWWW[[#This Row],[Total PoP ]],500*(WWWW[[#This Row],['#_male hygiene promoters]]+WWWW[[#This Row],['#_female hygiene promoters]]))</f>
        <v>154</v>
      </c>
      <c r="CV508" s="712">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154</v>
      </c>
      <c r="CW508" s="712">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08" s="712">
        <f>IF(WWWW[[#This Row],['# People with access to soap]]&gt;WWWW[[#This Row],['# People with access to Sanity Pads]],WWWW[[#This Row],['# People with access to soap]],WWWW[[#This Row],['# People with access to Sanity Pads]])</f>
        <v>154</v>
      </c>
      <c r="CY508" s="712">
        <f>IF(WWWW[[#This Row],['# people reached by regular dedicated hygiene promotion_5]]&gt;WWWW[[#This Row],['# People received regular supply of hygiene items_6]],WWWW[[#This Row],['# people reached by regular dedicated hygiene promotion_5]],WWWW[[#This Row],['# People received regular supply of hygiene items_6]])</f>
        <v>154</v>
      </c>
      <c r="CZ508" s="714">
        <f>IF(WWWW[[#This Row],[HRP3]]/WWWW[[#This Row],[Total PoP ]]&gt;100%,100%,WWWW[[#This Row],[HRP3]]/WWWW[[#This Row],[Total PoP ]])</f>
        <v>1</v>
      </c>
      <c r="DA508" s="713">
        <f>1-WWWW[[#This Row],[Hygiene Coverage%]]</f>
        <v>0</v>
      </c>
      <c r="DB508" s="711">
        <f>WWWW[[#This Row],['# people reached by regular dedicated hygiene promotion_5]]/WWWW[[#This Row],[Total PoP ]]</f>
        <v>1</v>
      </c>
      <c r="DC508" s="711">
        <f>IF(WWWW[[#This Row],['#_households that received standard amount of soap for this quarter]]/WWWW[[#This Row],[Total HH]]&gt;1,1,WWWW[[#This Row],['#_households that received standard amount of soap for this quarter]]/WWWW[[#This Row],[Total HH]])</f>
        <v>1</v>
      </c>
      <c r="DD508" s="711">
        <f>IF(WWWW[[#This Row],['#_households that received standard amount of sanitary pads for this quarter]]/WWWW[[#This Row],[Total HH]]&gt;1,1,WWWW[[#This Row],['#_households that received standard amount of sanitary pads for this quarter]]/WWWW[[#This Row],[Total HH]])</f>
        <v>0</v>
      </c>
      <c r="DE508" s="712">
        <f>WWWW[[#This Row],['#_Constructed/Existing hand washing stations]]-WWWW[[#This Row],['#_Non-Functional_hand_washing_stations]]</f>
        <v>0</v>
      </c>
      <c r="DF508" s="667">
        <f>IF(WWWW[[#This Row],['# Functional hand washing stations during reporting period]]*20&gt;WWWW[[#This Row],[Total HH]],WWWW[[#This Row],[Total HH]],WWWW[[#This Row],['# Functional hand washing stations during reporting period]]*20)</f>
        <v>0</v>
      </c>
      <c r="DG508" s="702">
        <f>IF(WWWW[[#This Row],[Is sufficient soap available for TLS? (Yes/No)]]="yes",WWWW[[#This Row],['#_Constructed/Existing hand washing stations at TLS]],0)</f>
        <v>0</v>
      </c>
      <c r="DH508" s="702">
        <f>IF(WWWW[[#This Row],['# Functional hand washing stations during reporting period]]*100&gt;WWWW[[#This Row],[Total PoP ]],WWWW[[#This Row],[Total PoP ]],WWWW[[#This Row],['# Functional hand washing stations during reporting period]]*100)</f>
        <v>0</v>
      </c>
      <c r="DI508" s="702" t="str">
        <f>IF(WWWW[[#This Row],['#_students at TLS_CFS]]="","No","Yes")</f>
        <v>No</v>
      </c>
      <c r="DJ508" s="709" t="str">
        <f>VLOOKUP(WWWW[[#This Row],[Site Name]],SiteDB6[[Site Name]:[CCCM Management]],6,FALSE)</f>
        <v>Yes</v>
      </c>
      <c r="DK508" s="709" t="str">
        <f>VLOOKUP(WWWW[[#This Row],[Site Name]],SiteDB6[[Site Name]:[CCCM Focal Agency]],7,FALSE)</f>
        <v>KMSS-LSO</v>
      </c>
      <c r="DL508" s="709" t="str">
        <f>VLOOKUP(WWWW[[#This Row],[Site Name]],SiteDB6[[Site Name]:[Location Type 1]],9,FALSE)</f>
        <v>Camp</v>
      </c>
      <c r="DM508" s="709" t="str">
        <f>VLOOKUP(WWWW[[#This Row],[Site Name]],SiteDB6[[Site Name]:[Type of Accommodation]],10,FALSE)</f>
        <v>Camp</v>
      </c>
      <c r="DN508" s="709" t="str">
        <f>VLOOKUP(WWWW[[#This Row],[Site Name]],SiteDB6[[Site Name]:[Ethnic or GCA/NGCA]],11,FALSE)</f>
        <v>GCA</v>
      </c>
      <c r="DO508" s="709">
        <f>VLOOKUP(WWWW[[#This Row],[Site Name]],SiteDB6[[Site Name]:[Lat]],12,FALSE)</f>
        <v>0</v>
      </c>
      <c r="DP508" s="709">
        <f>VLOOKUP(WWWW[[#This Row],[Site Name]],SiteDB6[[Site Name]:[Long]],13,FALSE)</f>
        <v>0</v>
      </c>
      <c r="DQ508" s="709" t="str">
        <f>VLOOKUP(WWWW[[#This Row],[Site Name]],SiteDB6[[Site Name]:[Pcode]],3,FALSE)</f>
        <v>MMR015CMP250</v>
      </c>
      <c r="DR508" s="703" t="str">
        <f t="shared" si="18"/>
        <v>Covered</v>
      </c>
      <c r="DS508" s="703"/>
      <c r="DV508" s="677"/>
    </row>
    <row r="509" spans="1:138">
      <c r="A509" s="637" t="s">
        <v>2525</v>
      </c>
      <c r="B509" s="701" t="s">
        <v>305</v>
      </c>
      <c r="C509" s="701" t="s">
        <v>305</v>
      </c>
      <c r="D509" s="701" t="s">
        <v>2974</v>
      </c>
      <c r="E509" s="663" t="s">
        <v>716</v>
      </c>
      <c r="F509" s="701" t="s">
        <v>720</v>
      </c>
      <c r="G509" s="709" t="str">
        <f>VLOOKUP(WWWW[[#This Row],[Site Name]],SiteDB6[[Site Name]:[Location Type]],8,FALSE)</f>
        <v>Camp</v>
      </c>
      <c r="H509" s="701" t="s">
        <v>741</v>
      </c>
      <c r="I509" s="379">
        <v>86</v>
      </c>
      <c r="J509" s="379">
        <v>442</v>
      </c>
      <c r="K509" s="710">
        <v>43070</v>
      </c>
      <c r="L509" s="58">
        <v>43799</v>
      </c>
      <c r="M509" s="379"/>
      <c r="N509" s="379"/>
      <c r="O509" s="379"/>
      <c r="P509" s="379"/>
      <c r="Q509" s="702" t="s">
        <v>43</v>
      </c>
      <c r="R509" s="379">
        <v>8</v>
      </c>
      <c r="S509" s="379">
        <v>1</v>
      </c>
      <c r="T509" s="379">
        <v>0</v>
      </c>
      <c r="U509" s="379">
        <v>0</v>
      </c>
      <c r="V509" s="379">
        <v>0</v>
      </c>
      <c r="W509" s="379">
        <v>0</v>
      </c>
      <c r="X509" s="379">
        <v>0</v>
      </c>
      <c r="Y509" s="379">
        <v>0</v>
      </c>
      <c r="Z509" s="379">
        <v>0</v>
      </c>
      <c r="AA509" s="379">
        <v>21</v>
      </c>
      <c r="AB509" s="379">
        <v>0</v>
      </c>
      <c r="AC509" s="379">
        <v>0</v>
      </c>
      <c r="AD509" s="379">
        <v>0</v>
      </c>
      <c r="AE509" s="379"/>
      <c r="AF509" s="379">
        <v>0</v>
      </c>
      <c r="AG509" s="379">
        <v>1</v>
      </c>
      <c r="AH509" s="379"/>
      <c r="AI509" s="379">
        <v>1</v>
      </c>
      <c r="AJ509" s="379">
        <v>0</v>
      </c>
      <c r="AK509" s="379">
        <v>15</v>
      </c>
      <c r="AL509" s="379">
        <v>0</v>
      </c>
      <c r="AM509" s="379"/>
      <c r="AN509" s="379"/>
      <c r="AO509" s="703"/>
      <c r="AP509" s="379">
        <v>86</v>
      </c>
      <c r="AQ509" s="379">
        <v>0</v>
      </c>
      <c r="AR509" s="711"/>
      <c r="AS509" s="379">
        <v>0</v>
      </c>
      <c r="AT509" s="379">
        <v>0</v>
      </c>
      <c r="AU509" s="379">
        <v>0</v>
      </c>
      <c r="AV509" s="379"/>
      <c r="AW509" s="379"/>
      <c r="AX509" s="709" t="s">
        <v>144</v>
      </c>
      <c r="AY509" s="703" t="s">
        <v>144</v>
      </c>
      <c r="AZ509" s="379">
        <v>0</v>
      </c>
      <c r="BA509" s="379">
        <v>0</v>
      </c>
      <c r="BB509" s="379"/>
      <c r="BC509" s="709"/>
      <c r="BD509" s="379">
        <v>0</v>
      </c>
      <c r="BE509" s="379">
        <v>0</v>
      </c>
      <c r="BF509" s="379">
        <v>0</v>
      </c>
      <c r="BG509" s="379">
        <v>0</v>
      </c>
      <c r="BH509" s="379">
        <v>0</v>
      </c>
      <c r="BI509" s="379">
        <v>0</v>
      </c>
      <c r="BJ509" s="379">
        <v>1</v>
      </c>
      <c r="BK509" s="379">
        <v>86</v>
      </c>
      <c r="BL509" s="379"/>
      <c r="BM509" s="709"/>
      <c r="BN509" s="712"/>
      <c r="BO509" s="711">
        <v>0.5</v>
      </c>
      <c r="BP509" s="709"/>
      <c r="BQ509" s="713">
        <f>IFERROR(WWWW[[#This Row],['#_Water sources treated]]/WWWW[[#This Row],['#_Water sources tested for contamination]],"no test")</f>
        <v>0</v>
      </c>
      <c r="BR509" s="711">
        <f>IFERROR(WWWW[[#This Row],['#_Household received remediation action due to contamination]]/WWWW[[#This Row],['#_Household water samples tested for contamination]],"no test")</f>
        <v>0</v>
      </c>
      <c r="BS509" s="712" t="str">
        <f>IF(AND(WWWW[[#This Row],[% of water sources treated]]="no test",WWWW[[#This Row],[% Household received corrective actions]]="no test"),"No Test","Tested")</f>
        <v>Tested</v>
      </c>
      <c r="BT509" s="712">
        <f>WWWW[[#This Row],['#_Constructed/existing protected hand dug well]]-WWWW[[#This Row],['#_Non-functional protected hand dug well]]</f>
        <v>0</v>
      </c>
      <c r="BU509" s="712">
        <f>(WWWW[[#This Row],['#_Constructed/Existing tube wells/boreholes/handpumps_WASH_agency]]+WWWW[[#This Row],['#_Non-Cluster partner water tube-wells/boreholes/handpumps]])-WWWW[[#This Row],['#_Non-functional tube wells/boreholes/handpumps]]</f>
        <v>0</v>
      </c>
      <c r="BV509" s="712">
        <f>WWWW[[#This Row],['#_Constructed/Existingwater storage tank with gravity fed reticulation system]]-WWWW[[#This Row],['#_Non-functional storage tank gravity fed reticulation system]]</f>
        <v>21</v>
      </c>
      <c r="BW509" s="712">
        <f>WWWW[[#This Row],['#_Water boating or water trucking]]</f>
        <v>0</v>
      </c>
      <c r="BX509" s="712">
        <f>WWWW[[#This Row],['#_Constructed/Existing water distribution system from river or natural spring]]</f>
        <v>0</v>
      </c>
      <c r="BY509" s="713">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509" s="713">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509" s="711">
        <f>IF(WWWW[[#This Row],[Location Type 1]]="Village",WWWW[[#This Row],[Access to safe drinking water for Village]],WWWW[[#This Row],[Access to safe drinking water for Camp]])</f>
        <v>1</v>
      </c>
      <c r="CB509" s="702">
        <f>WWWW[[#This Row],[%Equitable and continuous access to sufficient quantity of safe drinking water]]*WWWW[[#This Row],[Total PoP ]]</f>
        <v>442</v>
      </c>
      <c r="CC509" s="711">
        <f>IF((WWWW[[#This Row],['#_Constructed/Existing protected/fenced ponds]]*250)/WWWW[[#This Row],[Total PoP ]]&gt;1,1,(WWWW[[#This Row],['#_Constructed/Existing protected/fenced ponds]]*250)/WWWW[[#This Row],[Total PoP ]])</f>
        <v>0</v>
      </c>
      <c r="CD509" s="702">
        <f>WWWW[[#This Row],[% Access to unimproved water points]]*WWWW[[#This Row],[Total PoP ]]</f>
        <v>0</v>
      </c>
      <c r="CE509" s="711">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09" s="70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442</v>
      </c>
      <c r="CG509" s="702">
        <f>WWWW[[#This Row],[HRP1]]/500</f>
        <v>0.88400000000000001</v>
      </c>
      <c r="CH509" s="714">
        <f>1-WWWW[[#This Row],[% Equitable and continuous access to sufficient quantity of domestic water]]</f>
        <v>0</v>
      </c>
      <c r="CI509" s="702">
        <f>WWWW[[#This Row],[%equitable and continuous access to sufficient quantity of safe drinking and domestic water''s GAP]]*WWWW[[#This Row],[Total PoP ]]</f>
        <v>0</v>
      </c>
      <c r="CJ509" s="712">
        <f>IF(WWWW[[#This Row],[Total required water points]]-WWWW[[#This Row],['#Water points coverage]]&lt;0,0,WWWW[[#This Row],[Total required water points]]-WWWW[[#This Row],['#Water points coverage]])</f>
        <v>0.11599999999999999</v>
      </c>
      <c r="CK509" s="712">
        <f>ROUND(IF(WWWW[[#This Row],[Total PoP ]]&lt;500,1,WWWW[[#This Row],[Total PoP ]]/500),0)</f>
        <v>1</v>
      </c>
      <c r="CL509" s="712">
        <f>(WWWW[[#This Row],['#_Constructed latrines_by_WASHAgencies]]+WWWW[[#This Row],['#_Non Cluster partner latrines]])-WWWW[[#This Row],['#_Non-functional latrines]]</f>
        <v>86</v>
      </c>
      <c r="CM509" s="711">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509" s="702">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442</v>
      </c>
      <c r="CO509" s="71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09" s="712">
        <f>IF(WWWW[[#This Row],[Location Type 1]]="Village","NA",IF(WWWW[[#This Row],['#_Constructed/Existing latrines in TLS]]*50&gt;WWWW[[#This Row],['#_students at TLS_CFS]],WWWW[[#This Row],['#_students at TLS_CFS]],(WWWW[[#This Row],['#_Constructed/Existing latrines in TLS]]*50)))</f>
        <v>0</v>
      </c>
      <c r="CQ509" s="712">
        <f>ROUND(IF(WWWW[[#This Row],[Location Type 1]]="camp",WWWW[[#This Row],[Total PoP ]]/20,IF(WWWW[[#This Row],[Location Type 1]]="Temporary Location",WWWW[[#This Row],[Total PoP ]]/50,(WWWW[[#This Row],[Total PoP ]]/6))),0)</f>
        <v>74</v>
      </c>
      <c r="CR509" s="712">
        <f>IF(WWWW[[#This Row],[Total required Latrines]]-(WWWW[[#This Row],['#_Constructed latrines_by_WASHAgencies]]+WWWW[[#This Row],['#_Non Cluster partner latrines]])&lt;0,0,WWWW[[#This Row],[Total required Latrines]]-(WWWW[[#This Row],['#_Constructed latrines_by_WASHAgencies]]+WWWW[[#This Row],['#_Non Cluster partner latrines]]))</f>
        <v>0</v>
      </c>
      <c r="CS509" s="79">
        <f>1-WWWW[[#This Row],[% people access to functioning Latrine]]</f>
        <v>0</v>
      </c>
      <c r="CT509" s="713">
        <f>IF(OR(WWWW[[#This Row],['#_Non-functional latrines]]="",WWWW[[#This Row],['#_Non-functional latrines]]=0),0,WWWW[[#This Row],['#_Non-functional latrines]]/(WWWW[[#This Row],['#_Constructed latrines_by_WASHAgencies]]+WWWW[[#This Row],['#_Non Cluster partner latrines]]))</f>
        <v>0</v>
      </c>
      <c r="CU509" s="702">
        <f>IF(500*(WWWW[[#This Row],['#_male hygiene promoters]]+WWWW[[#This Row],['#_female hygiene promoters]])&gt;WWWW[[#This Row],[Total PoP ]],WWWW[[#This Row],[Total PoP ]],500*(WWWW[[#This Row],['#_male hygiene promoters]]+WWWW[[#This Row],['#_female hygiene promoters]]))</f>
        <v>442</v>
      </c>
      <c r="CV509" s="712">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442</v>
      </c>
      <c r="CW509" s="712">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09" s="712">
        <f>IF(WWWW[[#This Row],['# People with access to soap]]&gt;WWWW[[#This Row],['# People with access to Sanity Pads]],WWWW[[#This Row],['# People with access to soap]],WWWW[[#This Row],['# People with access to Sanity Pads]])</f>
        <v>442</v>
      </c>
      <c r="CY509" s="712">
        <f>IF(WWWW[[#This Row],['# people reached by regular dedicated hygiene promotion_5]]&gt;WWWW[[#This Row],['# People received regular supply of hygiene items_6]],WWWW[[#This Row],['# people reached by regular dedicated hygiene promotion_5]],WWWW[[#This Row],['# People received regular supply of hygiene items_6]])</f>
        <v>442</v>
      </c>
      <c r="CZ509" s="714">
        <f>IF(WWWW[[#This Row],[HRP3]]/WWWW[[#This Row],[Total PoP ]]&gt;100%,100%,WWWW[[#This Row],[HRP3]]/WWWW[[#This Row],[Total PoP ]])</f>
        <v>1</v>
      </c>
      <c r="DA509" s="713">
        <f>1-WWWW[[#This Row],[Hygiene Coverage%]]</f>
        <v>0</v>
      </c>
      <c r="DB509" s="711">
        <f>WWWW[[#This Row],['# people reached by regular dedicated hygiene promotion_5]]/WWWW[[#This Row],[Total PoP ]]</f>
        <v>1</v>
      </c>
      <c r="DC509" s="711">
        <f>IF(WWWW[[#This Row],['#_households that received standard amount of soap for this quarter]]/WWWW[[#This Row],[Total HH]]&gt;1,1,WWWW[[#This Row],['#_households that received standard amount of soap for this quarter]]/WWWW[[#This Row],[Total HH]])</f>
        <v>1</v>
      </c>
      <c r="DD509" s="711">
        <f>IF(WWWW[[#This Row],['#_households that received standard amount of sanitary pads for this quarter]]/WWWW[[#This Row],[Total HH]]&gt;1,1,WWWW[[#This Row],['#_households that received standard amount of sanitary pads for this quarter]]/WWWW[[#This Row],[Total HH]])</f>
        <v>0</v>
      </c>
      <c r="DE509" s="712">
        <f>WWWW[[#This Row],['#_Constructed/Existing hand washing stations]]-WWWW[[#This Row],['#_Non-Functional_hand_washing_stations]]</f>
        <v>0</v>
      </c>
      <c r="DF509" s="667">
        <f>IF(WWWW[[#This Row],['# Functional hand washing stations during reporting period]]*20&gt;WWWW[[#This Row],[Total HH]],WWWW[[#This Row],[Total HH]],WWWW[[#This Row],['# Functional hand washing stations during reporting period]]*20)</f>
        <v>0</v>
      </c>
      <c r="DG509" s="702">
        <f>IF(WWWW[[#This Row],[Is sufficient soap available for TLS? (Yes/No)]]="yes",WWWW[[#This Row],['#_Constructed/Existing hand washing stations at TLS]],0)</f>
        <v>0</v>
      </c>
      <c r="DH509" s="702">
        <f>IF(WWWW[[#This Row],['# Functional hand washing stations during reporting period]]*100&gt;WWWW[[#This Row],[Total PoP ]],WWWW[[#This Row],[Total PoP ]],WWWW[[#This Row],['# Functional hand washing stations during reporting period]]*100)</f>
        <v>0</v>
      </c>
      <c r="DI509" s="702" t="str">
        <f>IF(WWWW[[#This Row],['#_students at TLS_CFS]]="","No","Yes")</f>
        <v>No</v>
      </c>
      <c r="DJ509" s="709" t="str">
        <f>VLOOKUP(WWWW[[#This Row],[Site Name]],SiteDB6[[Site Name]:[CCCM Management]],6,FALSE)</f>
        <v>Yes</v>
      </c>
      <c r="DK509" s="709" t="str">
        <f>VLOOKUP(WWWW[[#This Row],[Site Name]],SiteDB6[[Site Name]:[CCCM Focal Agency]],7,FALSE)</f>
        <v>KBC</v>
      </c>
      <c r="DL509" s="709" t="str">
        <f>VLOOKUP(WWWW[[#This Row],[Site Name]],SiteDB6[[Site Name]:[Location Type 1]],9,FALSE)</f>
        <v>Village Type Camp</v>
      </c>
      <c r="DM509" s="709" t="str">
        <f>VLOOKUP(WWWW[[#This Row],[Site Name]],SiteDB6[[Site Name]:[Type of Accommodation]],10,FALSE)</f>
        <v>Closed Camp</v>
      </c>
      <c r="DN509" s="709" t="str">
        <f>VLOOKUP(WWWW[[#This Row],[Site Name]],SiteDB6[[Site Name]:[Ethnic or GCA/NGCA]],11,FALSE)</f>
        <v>GCA</v>
      </c>
      <c r="DO509" s="709">
        <f>VLOOKUP(WWWW[[#This Row],[Site Name]],SiteDB6[[Site Name]:[Lat]],12,FALSE)</f>
        <v>23.4008</v>
      </c>
      <c r="DP509" s="709">
        <f>VLOOKUP(WWWW[[#This Row],[Site Name]],SiteDB6[[Site Name]:[Long]],13,FALSE)</f>
        <v>97.848529999999997</v>
      </c>
      <c r="DQ509" s="709" t="str">
        <f>VLOOKUP(WWWW[[#This Row],[Site Name]],SiteDB6[[Site Name]:[Pcode]],3,FALSE)</f>
        <v>MMR015CMP015</v>
      </c>
      <c r="DR509" s="703" t="str">
        <f t="shared" si="18"/>
        <v>Covered</v>
      </c>
      <c r="DS509" s="703"/>
    </row>
    <row r="510" spans="1:138">
      <c r="A510" s="637" t="s">
        <v>2525</v>
      </c>
      <c r="B510" s="644" t="s">
        <v>200</v>
      </c>
      <c r="C510" s="644" t="s">
        <v>200</v>
      </c>
      <c r="D510" s="644" t="s">
        <v>2970</v>
      </c>
      <c r="E510" s="663" t="s">
        <v>716</v>
      </c>
      <c r="F510" s="644" t="s">
        <v>720</v>
      </c>
      <c r="G510" s="663" t="str">
        <f>VLOOKUP(WWWW[[#This Row],[Site Name]],SiteDB6[[Site Name]:[Location Type]],8,FALSE)</f>
        <v>Camp</v>
      </c>
      <c r="H510" s="644" t="s">
        <v>742</v>
      </c>
      <c r="I510" s="646">
        <v>61</v>
      </c>
      <c r="J510" s="646">
        <v>292</v>
      </c>
      <c r="K510" s="653" t="s">
        <v>2971</v>
      </c>
      <c r="L510" s="654" t="s">
        <v>2972</v>
      </c>
      <c r="M510" s="646">
        <v>126</v>
      </c>
      <c r="N510" s="646"/>
      <c r="O510" s="646"/>
      <c r="P510" s="646"/>
      <c r="Q510" s="645" t="s">
        <v>43</v>
      </c>
      <c r="R510" s="646"/>
      <c r="S510" s="646"/>
      <c r="T510" s="646"/>
      <c r="U510" s="646"/>
      <c r="V510" s="646"/>
      <c r="W510" s="646">
        <v>1</v>
      </c>
      <c r="X510" s="646"/>
      <c r="Y510" s="646"/>
      <c r="Z510" s="646"/>
      <c r="AA510" s="646"/>
      <c r="AB510" s="646"/>
      <c r="AC510" s="646"/>
      <c r="AD510" s="646"/>
      <c r="AE510" s="646"/>
      <c r="AF510" s="646"/>
      <c r="AG510" s="646"/>
      <c r="AH510" s="646"/>
      <c r="AI510" s="646"/>
      <c r="AJ510" s="646"/>
      <c r="AK510" s="646"/>
      <c r="AL510" s="646"/>
      <c r="AM510" s="646"/>
      <c r="AN510" s="646"/>
      <c r="AO510" s="652"/>
      <c r="AP510" s="646">
        <v>12</v>
      </c>
      <c r="AQ510" s="646"/>
      <c r="AR510" s="648"/>
      <c r="AS510" s="646"/>
      <c r="AT510" s="646"/>
      <c r="AU510" s="646"/>
      <c r="AV510" s="646"/>
      <c r="AW510" s="646"/>
      <c r="AX510" s="643" t="s">
        <v>43</v>
      </c>
      <c r="AY510" s="652" t="s">
        <v>145</v>
      </c>
      <c r="AZ510" s="646"/>
      <c r="BA510" s="646"/>
      <c r="BB510" s="646"/>
      <c r="BC510" s="643"/>
      <c r="BD510" s="646"/>
      <c r="BE510" s="646"/>
      <c r="BF510" s="646"/>
      <c r="BG510" s="646">
        <v>1</v>
      </c>
      <c r="BH510" s="646"/>
      <c r="BI510" s="646"/>
      <c r="BJ510" s="646">
        <v>1</v>
      </c>
      <c r="BK510" s="646">
        <v>0</v>
      </c>
      <c r="BL510" s="646">
        <v>0</v>
      </c>
      <c r="BM510" s="643"/>
      <c r="BN510" s="647"/>
      <c r="BO510" s="648"/>
      <c r="BP510" s="643"/>
      <c r="BQ510" s="649" t="str">
        <f>IFERROR(WWWW[[#This Row],['#_Water sources treated]]/WWWW[[#This Row],['#_Water sources tested for contamination]],"no test")</f>
        <v>no test</v>
      </c>
      <c r="BR510" s="648" t="str">
        <f>IFERROR(WWWW[[#This Row],['#_Household received remediation action due to contamination]]/WWWW[[#This Row],['#_Household water samples tested for contamination]],"no test")</f>
        <v>no test</v>
      </c>
      <c r="BS510" s="647" t="str">
        <f>IF(AND(WWWW[[#This Row],[% of water sources treated]]="no test",WWWW[[#This Row],[% Household received corrective actions]]="no test"),"No Test","Tested")</f>
        <v>No Test</v>
      </c>
      <c r="BT510" s="647">
        <f>WWWW[[#This Row],['#_Constructed/existing protected hand dug well]]-WWWW[[#This Row],['#_Non-functional protected hand dug well]]</f>
        <v>0</v>
      </c>
      <c r="BU510" s="647">
        <f>(WWWW[[#This Row],['#_Constructed/Existing tube wells/boreholes/handpumps_WASH_agency]]+WWWW[[#This Row],['#_Non-Cluster partner water tube-wells/boreholes/handpumps]])-WWWW[[#This Row],['#_Non-functional tube wells/boreholes/handpumps]]</f>
        <v>1</v>
      </c>
      <c r="BV510" s="647">
        <f>WWWW[[#This Row],['#_Constructed/Existingwater storage tank with gravity fed reticulation system]]-WWWW[[#This Row],['#_Non-functional storage tank gravity fed reticulation system]]</f>
        <v>0</v>
      </c>
      <c r="BW510" s="647">
        <f>WWWW[[#This Row],['#_Water boating or water trucking]]</f>
        <v>0</v>
      </c>
      <c r="BX510" s="647">
        <f>WWWW[[#This Row],['#_Constructed/Existing water distribution system from river or natural spring]]</f>
        <v>0</v>
      </c>
      <c r="BY510"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510"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0.85616438356164382</v>
      </c>
      <c r="CA510" s="648">
        <f>IF(WWWW[[#This Row],[Location Type 1]]="Village",WWWW[[#This Row],[Access to safe drinking water for Village]],WWWW[[#This Row],[Access to safe drinking water for Camp]])</f>
        <v>1</v>
      </c>
      <c r="CB510" s="645">
        <f>WWWW[[#This Row],[%Equitable and continuous access to sufficient quantity of safe drinking water]]*WWWW[[#This Row],[Total PoP ]]</f>
        <v>292</v>
      </c>
      <c r="CC510" s="648">
        <f>IF((WWWW[[#This Row],['#_Constructed/Existing protected/fenced ponds]]*250)/WWWW[[#This Row],[Total PoP ]]&gt;1,1,(WWWW[[#This Row],['#_Constructed/Existing protected/fenced ponds]]*250)/WWWW[[#This Row],[Total PoP ]])</f>
        <v>0</v>
      </c>
      <c r="CD510" s="645">
        <f>WWWW[[#This Row],[% Access to unimproved water points]]*WWWW[[#This Row],[Total PoP ]]</f>
        <v>0</v>
      </c>
      <c r="CE510"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10"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292</v>
      </c>
      <c r="CG510" s="645">
        <f>WWWW[[#This Row],[HRP1]]/500</f>
        <v>0.58399999999999996</v>
      </c>
      <c r="CH510" s="650">
        <f>1-WWWW[[#This Row],[% Equitable and continuous access to sufficient quantity of domestic water]]</f>
        <v>0</v>
      </c>
      <c r="CI510" s="645">
        <f>WWWW[[#This Row],[%equitable and continuous access to sufficient quantity of safe drinking and domestic water''s GAP]]*WWWW[[#This Row],[Total PoP ]]</f>
        <v>0</v>
      </c>
      <c r="CJ510" s="647">
        <f>IF(WWWW[[#This Row],[Total required water points]]-WWWW[[#This Row],['#Water points coverage]]&lt;0,0,WWWW[[#This Row],[Total required water points]]-WWWW[[#This Row],['#Water points coverage]])</f>
        <v>0.41600000000000004</v>
      </c>
      <c r="CK510" s="647">
        <f>ROUND(IF(WWWW[[#This Row],[Total PoP ]]&lt;500,1,WWWW[[#This Row],[Total PoP ]]/500),0)</f>
        <v>1</v>
      </c>
      <c r="CL510" s="647">
        <f>(WWWW[[#This Row],['#_Constructed latrines_by_WASHAgencies]]+WWWW[[#This Row],['#_Non Cluster partner latrines]])-WWWW[[#This Row],['#_Non-functional latrines]]</f>
        <v>12</v>
      </c>
      <c r="CM510"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0.82191780821917804</v>
      </c>
      <c r="CN510"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240</v>
      </c>
      <c r="CO510"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10" s="647">
        <f>IF(WWWW[[#This Row],[Location Type 1]]="Village","NA",IF(WWWW[[#This Row],['#_Constructed/Existing latrines in TLS]]*50&gt;WWWW[[#This Row],['#_students at TLS_CFS]],WWWW[[#This Row],['#_students at TLS_CFS]],(WWWW[[#This Row],['#_Constructed/Existing latrines in TLS]]*50)))</f>
        <v>0</v>
      </c>
      <c r="CQ510" s="647">
        <f>ROUND(IF(WWWW[[#This Row],[Location Type 1]]="camp",WWWW[[#This Row],[Total PoP ]]/20,IF(WWWW[[#This Row],[Location Type 1]]="Temporary Location",WWWW[[#This Row],[Total PoP ]]/50,(WWWW[[#This Row],[Total PoP ]]/6))),0)</f>
        <v>15</v>
      </c>
      <c r="CR510" s="647">
        <f>IF(WWWW[[#This Row],[Total required Latrines]]-(WWWW[[#This Row],['#_Constructed latrines_by_WASHAgencies]]+WWWW[[#This Row],['#_Non Cluster partner latrines]])&lt;0,0,WWWW[[#This Row],[Total required Latrines]]-(WWWW[[#This Row],['#_Constructed latrines_by_WASHAgencies]]+WWWW[[#This Row],['#_Non Cluster partner latrines]]))</f>
        <v>3</v>
      </c>
      <c r="CS510" s="79">
        <f>1-WWWW[[#This Row],[% people access to functioning Latrine]]</f>
        <v>0.17808219178082196</v>
      </c>
      <c r="CT510" s="649">
        <f>IF(OR(WWWW[[#This Row],['#_Non-functional latrines]]="",WWWW[[#This Row],['#_Non-functional latrines]]=0),0,WWWW[[#This Row],['#_Non-functional latrines]]/(WWWW[[#This Row],['#_Constructed latrines_by_WASHAgencies]]+WWWW[[#This Row],['#_Non Cluster partner latrines]]))</f>
        <v>0</v>
      </c>
      <c r="CU510" s="645">
        <f>IF(500*(WWWW[[#This Row],['#_male hygiene promoters]]+WWWW[[#This Row],['#_female hygiene promoters]])&gt;WWWW[[#This Row],[Total PoP ]],WWWW[[#This Row],[Total PoP ]],500*(WWWW[[#This Row],['#_male hygiene promoters]]+WWWW[[#This Row],['#_female hygiene promoters]]))</f>
        <v>292</v>
      </c>
      <c r="CV510"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10"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10" s="647">
        <f>IF(WWWW[[#This Row],['# People with access to soap]]&gt;WWWW[[#This Row],['# People with access to Sanity Pads]],WWWW[[#This Row],['# People with access to soap]],WWWW[[#This Row],['# People with access to Sanity Pads]])</f>
        <v>0</v>
      </c>
      <c r="CY510" s="647">
        <f>IF(WWWW[[#This Row],['# people reached by regular dedicated hygiene promotion_5]]&gt;WWWW[[#This Row],['# People received regular supply of hygiene items_6]],WWWW[[#This Row],['# people reached by regular dedicated hygiene promotion_5]],WWWW[[#This Row],['# People received regular supply of hygiene items_6]])</f>
        <v>292</v>
      </c>
      <c r="CZ510" s="650">
        <f>IF(WWWW[[#This Row],[HRP3]]/WWWW[[#This Row],[Total PoP ]]&gt;100%,100%,WWWW[[#This Row],[HRP3]]/WWWW[[#This Row],[Total PoP ]])</f>
        <v>1</v>
      </c>
      <c r="DA510" s="649">
        <f>1-WWWW[[#This Row],[Hygiene Coverage%]]</f>
        <v>0</v>
      </c>
      <c r="DB510" s="648">
        <f>WWWW[[#This Row],['# people reached by regular dedicated hygiene promotion_5]]/WWWW[[#This Row],[Total PoP ]]</f>
        <v>1</v>
      </c>
      <c r="DC510" s="648">
        <f>IF(WWWW[[#This Row],['#_households that received standard amount of soap for this quarter]]/WWWW[[#This Row],[Total HH]]&gt;1,1,WWWW[[#This Row],['#_households that received standard amount of soap for this quarter]]/WWWW[[#This Row],[Total HH]])</f>
        <v>0</v>
      </c>
      <c r="DD510" s="648">
        <f>IF(WWWW[[#This Row],['#_households that received standard amount of sanitary pads for this quarter]]/WWWW[[#This Row],[Total HH]]&gt;1,1,WWWW[[#This Row],['#_households that received standard amount of sanitary pads for this quarter]]/WWWW[[#This Row],[Total HH]])</f>
        <v>0</v>
      </c>
      <c r="DE510" s="647">
        <f>WWWW[[#This Row],['#_Constructed/Existing hand washing stations]]-WWWW[[#This Row],['#_Non-Functional_hand_washing_stations]]</f>
        <v>0</v>
      </c>
      <c r="DF510" s="667">
        <f>IF(WWWW[[#This Row],['# Functional hand washing stations during reporting period]]*20&gt;WWWW[[#This Row],[Total HH]],WWWW[[#This Row],[Total HH]],WWWW[[#This Row],['# Functional hand washing stations during reporting period]]*20)</f>
        <v>0</v>
      </c>
      <c r="DG510" s="645">
        <f>IF(WWWW[[#This Row],[Is sufficient soap available for TLS? (Yes/No)]]="yes",WWWW[[#This Row],['#_Constructed/Existing hand washing stations at TLS]],0)</f>
        <v>0</v>
      </c>
      <c r="DH510" s="645">
        <f>IF(WWWW[[#This Row],['# Functional hand washing stations during reporting period]]*100&gt;WWWW[[#This Row],[Total PoP ]],WWWW[[#This Row],[Total PoP ]],WWWW[[#This Row],['# Functional hand washing stations during reporting period]]*100)</f>
        <v>0</v>
      </c>
      <c r="DI510" s="645" t="str">
        <f>IF(WWWW[[#This Row],['#_students at TLS_CFS]]="","No","Yes")</f>
        <v>Yes</v>
      </c>
      <c r="DJ510" s="643" t="str">
        <f>VLOOKUP(WWWW[[#This Row],[Site Name]],SiteDB6[[Site Name]:[CCCM Management]],6,FALSE)</f>
        <v>Yes</v>
      </c>
      <c r="DK510" s="643" t="str">
        <f>VLOOKUP(WWWW[[#This Row],[Site Name]],SiteDB6[[Site Name]:[CCCM Focal Agency]],7,FALSE)</f>
        <v>KBC-NSS</v>
      </c>
      <c r="DL510" s="643" t="str">
        <f>VLOOKUP(WWWW[[#This Row],[Site Name]],SiteDB6[[Site Name]:[Location Type 1]],9,FALSE)</f>
        <v>Camp</v>
      </c>
      <c r="DM510" s="643" t="str">
        <f>VLOOKUP(WWWW[[#This Row],[Site Name]],SiteDB6[[Site Name]:[Type of Accommodation]],10,FALSE)</f>
        <v>Camp</v>
      </c>
      <c r="DN510" s="643" t="str">
        <f>VLOOKUP(WWWW[[#This Row],[Site Name]],SiteDB6[[Site Name]:[Ethnic or GCA/NGCA]],11,FALSE)</f>
        <v>GCA</v>
      </c>
      <c r="DO510" s="643">
        <f>VLOOKUP(WWWW[[#This Row],[Site Name]],SiteDB6[[Site Name]:[Lat]],12,FALSE)</f>
        <v>23.450914000000001</v>
      </c>
      <c r="DP510" s="643">
        <f>VLOOKUP(WWWW[[#This Row],[Site Name]],SiteDB6[[Site Name]:[Long]],13,FALSE)</f>
        <v>97.926813999999993</v>
      </c>
      <c r="DQ510" s="643" t="str">
        <f>VLOOKUP(WWWW[[#This Row],[Site Name]],SiteDB6[[Site Name]:[Pcode]],3,FALSE)</f>
        <v>MMR015CMP016</v>
      </c>
      <c r="DR510" s="652" t="str">
        <f t="shared" si="18"/>
        <v>Covered</v>
      </c>
      <c r="DS510" s="652"/>
      <c r="DV510" s="677"/>
    </row>
    <row r="511" spans="1:138">
      <c r="A511" s="637" t="s">
        <v>2525</v>
      </c>
      <c r="B511" s="644" t="s">
        <v>1957</v>
      </c>
      <c r="C511" s="701" t="s">
        <v>1957</v>
      </c>
      <c r="D511" s="701" t="s">
        <v>2977</v>
      </c>
      <c r="E511" s="663" t="s">
        <v>716</v>
      </c>
      <c r="F511" s="644" t="s">
        <v>720</v>
      </c>
      <c r="G511" s="663" t="str">
        <f>VLOOKUP(WWWW[[#This Row],[Site Name]],SiteDB6[[Site Name]:[Location Type]],8,FALSE)</f>
        <v>Camp</v>
      </c>
      <c r="H511" s="644" t="s">
        <v>747</v>
      </c>
      <c r="I511" s="646">
        <v>46</v>
      </c>
      <c r="J511" s="646">
        <v>156</v>
      </c>
      <c r="K511" s="710" t="s">
        <v>2978</v>
      </c>
      <c r="L511" s="58" t="s">
        <v>2979</v>
      </c>
      <c r="M511" s="646">
        <v>64</v>
      </c>
      <c r="N511" s="646"/>
      <c r="O511" s="646"/>
      <c r="P511" s="646"/>
      <c r="Q511" s="645" t="s">
        <v>43</v>
      </c>
      <c r="R511" s="379">
        <v>3</v>
      </c>
      <c r="S511" s="379">
        <v>6</v>
      </c>
      <c r="T511" s="379">
        <v>1</v>
      </c>
      <c r="U511" s="646"/>
      <c r="V511" s="646"/>
      <c r="W511" s="646">
        <v>1</v>
      </c>
      <c r="X511" s="646"/>
      <c r="Y511" s="646"/>
      <c r="Z511" s="379">
        <v>1</v>
      </c>
      <c r="AA511" s="379">
        <v>7</v>
      </c>
      <c r="AB511" s="646"/>
      <c r="AC511" s="646"/>
      <c r="AD511" s="646"/>
      <c r="AE511" s="646"/>
      <c r="AF511" s="646"/>
      <c r="AG511" s="379">
        <v>1</v>
      </c>
      <c r="AH511" s="646"/>
      <c r="AI511" s="379">
        <v>1</v>
      </c>
      <c r="AJ511" s="646"/>
      <c r="AK511" s="379">
        <v>15</v>
      </c>
      <c r="AL511" s="646"/>
      <c r="AM511" s="646"/>
      <c r="AN511" s="646"/>
      <c r="AO511" s="652"/>
      <c r="AP511" s="646">
        <v>12</v>
      </c>
      <c r="AQ511" s="646"/>
      <c r="AR511" s="648"/>
      <c r="AS511" s="646"/>
      <c r="AT511" s="646"/>
      <c r="AU511" s="646"/>
      <c r="AV511" s="646"/>
      <c r="AW511" s="646"/>
      <c r="AX511" s="643" t="s">
        <v>43</v>
      </c>
      <c r="AY511" s="652" t="s">
        <v>145</v>
      </c>
      <c r="AZ511" s="646"/>
      <c r="BA511" s="646"/>
      <c r="BB511" s="646"/>
      <c r="BC511" s="643"/>
      <c r="BD511" s="379">
        <v>6</v>
      </c>
      <c r="BE511" s="646"/>
      <c r="BF511" s="646"/>
      <c r="BG511" s="646">
        <v>2</v>
      </c>
      <c r="BH511" s="646"/>
      <c r="BI511" s="646"/>
      <c r="BJ511" s="379">
        <v>1</v>
      </c>
      <c r="BK511" s="379">
        <v>46</v>
      </c>
      <c r="BL511" s="646">
        <v>0</v>
      </c>
      <c r="BM511" s="643"/>
      <c r="BN511" s="647"/>
      <c r="BO511" s="711">
        <v>0.5</v>
      </c>
      <c r="BP511" s="643"/>
      <c r="BQ511" s="649">
        <f>IFERROR(WWWW[[#This Row],['#_Water sources treated]]/WWWW[[#This Row],['#_Water sources tested for contamination]],"no test")</f>
        <v>0</v>
      </c>
      <c r="BR511" s="648">
        <f>IFERROR(WWWW[[#This Row],['#_Household received remediation action due to contamination]]/WWWW[[#This Row],['#_Household water samples tested for contamination]],"no test")</f>
        <v>0</v>
      </c>
      <c r="BS511" s="647" t="str">
        <f>IF(AND(WWWW[[#This Row],[% of water sources treated]]="no test",WWWW[[#This Row],[% Household received corrective actions]]="no test"),"No Test","Tested")</f>
        <v>Tested</v>
      </c>
      <c r="BT511" s="647">
        <f>WWWW[[#This Row],['#_Constructed/existing protected hand dug well]]-WWWW[[#This Row],['#_Non-functional protected hand dug well]]</f>
        <v>1</v>
      </c>
      <c r="BU511" s="647">
        <f>(WWWW[[#This Row],['#_Constructed/Existing tube wells/boreholes/handpumps_WASH_agency]]+WWWW[[#This Row],['#_Non-Cluster partner water tube-wells/boreholes/handpumps]])-WWWW[[#This Row],['#_Non-functional tube wells/boreholes/handpumps]]</f>
        <v>1</v>
      </c>
      <c r="BV511" s="647">
        <f>WWWW[[#This Row],['#_Constructed/Existingwater storage tank with gravity fed reticulation system]]-WWWW[[#This Row],['#_Non-functional storage tank gravity fed reticulation system]]</f>
        <v>7</v>
      </c>
      <c r="BW511" s="647">
        <f>WWWW[[#This Row],['#_Water boating or water trucking]]</f>
        <v>0</v>
      </c>
      <c r="BX511" s="647">
        <f>WWWW[[#This Row],['#_Constructed/Existing water distribution system from river or natural spring]]</f>
        <v>0</v>
      </c>
      <c r="BY511"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511"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511" s="648">
        <f>IF(WWWW[[#This Row],[Location Type 1]]="Village",WWWW[[#This Row],[Access to safe drinking water for Village]],WWWW[[#This Row],[Access to safe drinking water for Camp]])</f>
        <v>1</v>
      </c>
      <c r="CB511" s="645">
        <f>WWWW[[#This Row],[%Equitable and continuous access to sufficient quantity of safe drinking water]]*WWWW[[#This Row],[Total PoP ]]</f>
        <v>156</v>
      </c>
      <c r="CC511" s="648">
        <f>IF((WWWW[[#This Row],['#_Constructed/Existing protected/fenced ponds]]*250)/WWWW[[#This Row],[Total PoP ]]&gt;1,1,(WWWW[[#This Row],['#_Constructed/Existing protected/fenced ponds]]*250)/WWWW[[#This Row],[Total PoP ]])</f>
        <v>0</v>
      </c>
      <c r="CD511" s="645">
        <f>WWWW[[#This Row],[% Access to unimproved water points]]*WWWW[[#This Row],[Total PoP ]]</f>
        <v>0</v>
      </c>
      <c r="CE511"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11"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156</v>
      </c>
      <c r="CG511" s="645">
        <f>WWWW[[#This Row],[HRP1]]/500</f>
        <v>0.312</v>
      </c>
      <c r="CH511" s="650">
        <f>1-WWWW[[#This Row],[% Equitable and continuous access to sufficient quantity of domestic water]]</f>
        <v>0</v>
      </c>
      <c r="CI511" s="645">
        <f>WWWW[[#This Row],[%equitable and continuous access to sufficient quantity of safe drinking and domestic water''s GAP]]*WWWW[[#This Row],[Total PoP ]]</f>
        <v>0</v>
      </c>
      <c r="CJ511" s="647">
        <f>IF(WWWW[[#This Row],[Total required water points]]-WWWW[[#This Row],['#Water points coverage]]&lt;0,0,WWWW[[#This Row],[Total required water points]]-WWWW[[#This Row],['#Water points coverage]])</f>
        <v>0.68799999999999994</v>
      </c>
      <c r="CK511" s="647">
        <f>ROUND(IF(WWWW[[#This Row],[Total PoP ]]&lt;500,1,WWWW[[#This Row],[Total PoP ]]/500),0)</f>
        <v>1</v>
      </c>
      <c r="CL511" s="647">
        <f>(WWWW[[#This Row],['#_Constructed latrines_by_WASHAgencies]]+WWWW[[#This Row],['#_Non Cluster partner latrines]])-WWWW[[#This Row],['#_Non-functional latrines]]</f>
        <v>12</v>
      </c>
      <c r="CM511"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511"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156</v>
      </c>
      <c r="CO511"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11" s="647">
        <f>IF(WWWW[[#This Row],[Location Type 1]]="Village","NA",IF(WWWW[[#This Row],['#_Constructed/Existing latrines in TLS]]*50&gt;WWWW[[#This Row],['#_students at TLS_CFS]],WWWW[[#This Row],['#_students at TLS_CFS]],(WWWW[[#This Row],['#_Constructed/Existing latrines in TLS]]*50)))</f>
        <v>0</v>
      </c>
      <c r="CQ511" s="647">
        <f>ROUND(IF(WWWW[[#This Row],[Location Type 1]]="camp",WWWW[[#This Row],[Total PoP ]]/20,IF(WWWW[[#This Row],[Location Type 1]]="Temporary Location",WWWW[[#This Row],[Total PoP ]]/50,(WWWW[[#This Row],[Total PoP ]]/6))),0)</f>
        <v>8</v>
      </c>
      <c r="CR511" s="647">
        <f>IF(WWWW[[#This Row],[Total required Latrines]]-(WWWW[[#This Row],['#_Constructed latrines_by_WASHAgencies]]+WWWW[[#This Row],['#_Non Cluster partner latrines]])&lt;0,0,WWWW[[#This Row],[Total required Latrines]]-(WWWW[[#This Row],['#_Constructed latrines_by_WASHAgencies]]+WWWW[[#This Row],['#_Non Cluster partner latrines]]))</f>
        <v>0</v>
      </c>
      <c r="CS511" s="79">
        <f>1-WWWW[[#This Row],[% people access to functioning Latrine]]</f>
        <v>0</v>
      </c>
      <c r="CT511" s="649">
        <f>IF(OR(WWWW[[#This Row],['#_Non-functional latrines]]="",WWWW[[#This Row],['#_Non-functional latrines]]=0),0,WWWW[[#This Row],['#_Non-functional latrines]]/(WWWW[[#This Row],['#_Constructed latrines_by_WASHAgencies]]+WWWW[[#This Row],['#_Non Cluster partner latrines]]))</f>
        <v>0</v>
      </c>
      <c r="CU511" s="645">
        <f>IF(500*(WWWW[[#This Row],['#_male hygiene promoters]]+WWWW[[#This Row],['#_female hygiene promoters]])&gt;WWWW[[#This Row],[Total PoP ]],WWWW[[#This Row],[Total PoP ]],500*(WWWW[[#This Row],['#_male hygiene promoters]]+WWWW[[#This Row],['#_female hygiene promoters]]))</f>
        <v>156</v>
      </c>
      <c r="CV511"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156</v>
      </c>
      <c r="CW511"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11" s="647">
        <f>IF(WWWW[[#This Row],['# People with access to soap]]&gt;WWWW[[#This Row],['# People with access to Sanity Pads]],WWWW[[#This Row],['# People with access to soap]],WWWW[[#This Row],['# People with access to Sanity Pads]])</f>
        <v>156</v>
      </c>
      <c r="CY511" s="647">
        <f>IF(WWWW[[#This Row],['# people reached by regular dedicated hygiene promotion_5]]&gt;WWWW[[#This Row],['# People received regular supply of hygiene items_6]],WWWW[[#This Row],['# people reached by regular dedicated hygiene promotion_5]],WWWW[[#This Row],['# People received regular supply of hygiene items_6]])</f>
        <v>156</v>
      </c>
      <c r="CZ511" s="650">
        <f>IF(WWWW[[#This Row],[HRP3]]/WWWW[[#This Row],[Total PoP ]]&gt;100%,100%,WWWW[[#This Row],[HRP3]]/WWWW[[#This Row],[Total PoP ]])</f>
        <v>1</v>
      </c>
      <c r="DA511" s="649">
        <f>1-WWWW[[#This Row],[Hygiene Coverage%]]</f>
        <v>0</v>
      </c>
      <c r="DB511" s="648">
        <f>WWWW[[#This Row],['# people reached by regular dedicated hygiene promotion_5]]/WWWW[[#This Row],[Total PoP ]]</f>
        <v>1</v>
      </c>
      <c r="DC511" s="648">
        <f>IF(WWWW[[#This Row],['#_households that received standard amount of soap for this quarter]]/WWWW[[#This Row],[Total HH]]&gt;1,1,WWWW[[#This Row],['#_households that received standard amount of soap for this quarter]]/WWWW[[#This Row],[Total HH]])</f>
        <v>1</v>
      </c>
      <c r="DD511" s="648">
        <f>IF(WWWW[[#This Row],['#_households that received standard amount of sanitary pads for this quarter]]/WWWW[[#This Row],[Total HH]]&gt;1,1,WWWW[[#This Row],['#_households that received standard amount of sanitary pads for this quarter]]/WWWW[[#This Row],[Total HH]])</f>
        <v>0</v>
      </c>
      <c r="DE511" s="647">
        <f>WWWW[[#This Row],['#_Constructed/Existing hand washing stations]]-WWWW[[#This Row],['#_Non-Functional_hand_washing_stations]]</f>
        <v>6</v>
      </c>
      <c r="DF511" s="667">
        <f>IF(WWWW[[#This Row],['# Functional hand washing stations during reporting period]]*20&gt;WWWW[[#This Row],[Total HH]],WWWW[[#This Row],[Total HH]],WWWW[[#This Row],['# Functional hand washing stations during reporting period]]*20)</f>
        <v>46</v>
      </c>
      <c r="DG511" s="645">
        <f>IF(WWWW[[#This Row],[Is sufficient soap available for TLS? (Yes/No)]]="yes",WWWW[[#This Row],['#_Constructed/Existing hand washing stations at TLS]],0)</f>
        <v>0</v>
      </c>
      <c r="DH511" s="645">
        <f>IF(WWWW[[#This Row],['# Functional hand washing stations during reporting period]]*100&gt;WWWW[[#This Row],[Total PoP ]],WWWW[[#This Row],[Total PoP ]],WWWW[[#This Row],['# Functional hand washing stations during reporting period]]*100)</f>
        <v>156</v>
      </c>
      <c r="DI511" s="645" t="str">
        <f>IF(WWWW[[#This Row],['#_students at TLS_CFS]]="","No","Yes")</f>
        <v>Yes</v>
      </c>
      <c r="DJ511" s="643" t="str">
        <f>VLOOKUP(WWWW[[#This Row],[Site Name]],SiteDB6[[Site Name]:[CCCM Management]],6,FALSE)</f>
        <v>Yes</v>
      </c>
      <c r="DK511" s="643" t="str">
        <f>VLOOKUP(WWWW[[#This Row],[Site Name]],SiteDB6[[Site Name]:[CCCM Focal Agency]],7,FALSE)</f>
        <v>KBC-NSS</v>
      </c>
      <c r="DL511" s="643" t="str">
        <f>VLOOKUP(WWWW[[#This Row],[Site Name]],SiteDB6[[Site Name]:[Location Type 1]],9,FALSE)</f>
        <v>Camp</v>
      </c>
      <c r="DM511" s="643" t="str">
        <f>VLOOKUP(WWWW[[#This Row],[Site Name]],SiteDB6[[Site Name]:[Type of Accommodation]],10,FALSE)</f>
        <v>Camp</v>
      </c>
      <c r="DN511" s="643" t="str">
        <f>VLOOKUP(WWWW[[#This Row],[Site Name]],SiteDB6[[Site Name]:[Ethnic or GCA/NGCA]],11,FALSE)</f>
        <v>GCA</v>
      </c>
      <c r="DO511" s="643">
        <f>VLOOKUP(WWWW[[#This Row],[Site Name]],SiteDB6[[Site Name]:[Lat]],12,FALSE)</f>
        <v>23.460349999999998</v>
      </c>
      <c r="DP511" s="643">
        <f>VLOOKUP(WWWW[[#This Row],[Site Name]],SiteDB6[[Site Name]:[Long]],13,FALSE)</f>
        <v>97.947360000000003</v>
      </c>
      <c r="DQ511" s="643" t="str">
        <f>VLOOKUP(WWWW[[#This Row],[Site Name]],SiteDB6[[Site Name]:[Pcode]],3,FALSE)</f>
        <v>MMR015CMP245</v>
      </c>
      <c r="DR511" s="652" t="str">
        <f t="shared" si="18"/>
        <v>Covered</v>
      </c>
      <c r="DS511" s="652"/>
      <c r="DV511" s="677"/>
    </row>
    <row r="512" spans="1:138">
      <c r="A512" s="637" t="s">
        <v>2525</v>
      </c>
      <c r="B512" s="644" t="s">
        <v>200</v>
      </c>
      <c r="C512" s="644" t="s">
        <v>200</v>
      </c>
      <c r="D512" s="644" t="s">
        <v>2970</v>
      </c>
      <c r="E512" s="663" t="s">
        <v>716</v>
      </c>
      <c r="F512" s="644" t="s">
        <v>720</v>
      </c>
      <c r="G512" s="663" t="str">
        <f>VLOOKUP(WWWW[[#This Row],[Site Name]],SiteDB6[[Site Name]:[Location Type]],8,FALSE)</f>
        <v>Camp</v>
      </c>
      <c r="H512" s="644" t="s">
        <v>721</v>
      </c>
      <c r="I512" s="646">
        <v>30</v>
      </c>
      <c r="J512" s="646">
        <v>138</v>
      </c>
      <c r="K512" s="653" t="s">
        <v>2971</v>
      </c>
      <c r="L512" s="654" t="s">
        <v>2972</v>
      </c>
      <c r="M512" s="646">
        <v>59</v>
      </c>
      <c r="N512" s="646"/>
      <c r="O512" s="646"/>
      <c r="P512" s="646"/>
      <c r="Q512" s="645" t="s">
        <v>43</v>
      </c>
      <c r="R512" s="646"/>
      <c r="S512" s="646"/>
      <c r="T512" s="646"/>
      <c r="U512" s="646"/>
      <c r="V512" s="646"/>
      <c r="W512" s="646"/>
      <c r="X512" s="646"/>
      <c r="Y512" s="646"/>
      <c r="Z512" s="646"/>
      <c r="AA512" s="646"/>
      <c r="AB512" s="646"/>
      <c r="AC512" s="646"/>
      <c r="AD512" s="646"/>
      <c r="AE512" s="646"/>
      <c r="AF512" s="646"/>
      <c r="AG512" s="646"/>
      <c r="AH512" s="646"/>
      <c r="AI512" s="646"/>
      <c r="AJ512" s="646"/>
      <c r="AK512" s="646"/>
      <c r="AL512" s="646"/>
      <c r="AM512" s="646"/>
      <c r="AN512" s="646"/>
      <c r="AO512" s="652"/>
      <c r="AP512" s="646"/>
      <c r="AQ512" s="646"/>
      <c r="AR512" s="648"/>
      <c r="AS512" s="646"/>
      <c r="AT512" s="646"/>
      <c r="AU512" s="646"/>
      <c r="AV512" s="646"/>
      <c r="AW512" s="646"/>
      <c r="AX512" s="643" t="s">
        <v>43</v>
      </c>
      <c r="AY512" s="652" t="s">
        <v>145</v>
      </c>
      <c r="AZ512" s="646"/>
      <c r="BA512" s="646"/>
      <c r="BB512" s="646"/>
      <c r="BC512" s="643"/>
      <c r="BD512" s="646"/>
      <c r="BE512" s="646"/>
      <c r="BF512" s="646"/>
      <c r="BG512" s="646"/>
      <c r="BH512" s="646"/>
      <c r="BI512" s="646"/>
      <c r="BJ512" s="646"/>
      <c r="BK512" s="646">
        <v>0</v>
      </c>
      <c r="BL512" s="646">
        <v>0</v>
      </c>
      <c r="BM512" s="643"/>
      <c r="BN512" s="647"/>
      <c r="BO512" s="648"/>
      <c r="BP512" s="643"/>
      <c r="BQ512" s="649" t="str">
        <f>IFERROR(WWWW[[#This Row],['#_Water sources treated]]/WWWW[[#This Row],['#_Water sources tested for contamination]],"no test")</f>
        <v>no test</v>
      </c>
      <c r="BR512" s="648" t="str">
        <f>IFERROR(WWWW[[#This Row],['#_Household received remediation action due to contamination]]/WWWW[[#This Row],['#_Household water samples tested for contamination]],"no test")</f>
        <v>no test</v>
      </c>
      <c r="BS512" s="647" t="str">
        <f>IF(AND(WWWW[[#This Row],[% of water sources treated]]="no test",WWWW[[#This Row],[% Household received corrective actions]]="no test"),"No Test","Tested")</f>
        <v>No Test</v>
      </c>
      <c r="BT512" s="647">
        <f>WWWW[[#This Row],['#_Constructed/existing protected hand dug well]]-WWWW[[#This Row],['#_Non-functional protected hand dug well]]</f>
        <v>0</v>
      </c>
      <c r="BU512" s="647">
        <f>(WWWW[[#This Row],['#_Constructed/Existing tube wells/boreholes/handpumps_WASH_agency]]+WWWW[[#This Row],['#_Non-Cluster partner water tube-wells/boreholes/handpumps]])-WWWW[[#This Row],['#_Non-functional tube wells/boreholes/handpumps]]</f>
        <v>0</v>
      </c>
      <c r="BV512" s="647">
        <f>WWWW[[#This Row],['#_Constructed/Existingwater storage tank with gravity fed reticulation system]]-WWWW[[#This Row],['#_Non-functional storage tank gravity fed reticulation system]]</f>
        <v>0</v>
      </c>
      <c r="BW512" s="647">
        <f>WWWW[[#This Row],['#_Water boating or water trucking]]</f>
        <v>0</v>
      </c>
      <c r="BX512" s="647">
        <f>WWWW[[#This Row],['#_Constructed/Existing water distribution system from river or natural spring]]</f>
        <v>0</v>
      </c>
      <c r="BY512"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512"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512" s="648">
        <f>IF(WWWW[[#This Row],[Location Type 1]]="Village",WWWW[[#This Row],[Access to safe drinking water for Village]],WWWW[[#This Row],[Access to safe drinking water for Camp]])</f>
        <v>0</v>
      </c>
      <c r="CB512" s="645">
        <f>WWWW[[#This Row],[%Equitable and continuous access to sufficient quantity of safe drinking water]]*WWWW[[#This Row],[Total PoP ]]</f>
        <v>0</v>
      </c>
      <c r="CC512" s="648">
        <f>IF((WWWW[[#This Row],['#_Constructed/Existing protected/fenced ponds]]*250)/WWWW[[#This Row],[Total PoP ]]&gt;1,1,(WWWW[[#This Row],['#_Constructed/Existing protected/fenced ponds]]*250)/WWWW[[#This Row],[Total PoP ]])</f>
        <v>0</v>
      </c>
      <c r="CD512" s="645">
        <f>WWWW[[#This Row],[% Access to unimproved water points]]*WWWW[[#This Row],[Total PoP ]]</f>
        <v>0</v>
      </c>
      <c r="CE512"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512"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512" s="645">
        <f>WWWW[[#This Row],[HRP1]]/500</f>
        <v>0</v>
      </c>
      <c r="CH512" s="650">
        <f>1-WWWW[[#This Row],[% Equitable and continuous access to sufficient quantity of domestic water]]</f>
        <v>1</v>
      </c>
      <c r="CI512" s="645">
        <f>WWWW[[#This Row],[%equitable and continuous access to sufficient quantity of safe drinking and domestic water''s GAP]]*WWWW[[#This Row],[Total PoP ]]</f>
        <v>138</v>
      </c>
      <c r="CJ512" s="647">
        <f>IF(WWWW[[#This Row],[Total required water points]]-WWWW[[#This Row],['#Water points coverage]]&lt;0,0,WWWW[[#This Row],[Total required water points]]-WWWW[[#This Row],['#Water points coverage]])</f>
        <v>1</v>
      </c>
      <c r="CK512" s="647">
        <f>ROUND(IF(WWWW[[#This Row],[Total PoP ]]&lt;500,1,WWWW[[#This Row],[Total PoP ]]/500),0)</f>
        <v>1</v>
      </c>
      <c r="CL512" s="647">
        <f>(WWWW[[#This Row],['#_Constructed latrines_by_WASHAgencies]]+WWWW[[#This Row],['#_Non Cluster partner latrines]])-WWWW[[#This Row],['#_Non-functional latrines]]</f>
        <v>0</v>
      </c>
      <c r="CM512"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512"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512"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12" s="647">
        <f>IF(WWWW[[#This Row],[Location Type 1]]="Village","NA",IF(WWWW[[#This Row],['#_Constructed/Existing latrines in TLS]]*50&gt;WWWW[[#This Row],['#_students at TLS_CFS]],WWWW[[#This Row],['#_students at TLS_CFS]],(WWWW[[#This Row],['#_Constructed/Existing latrines in TLS]]*50)))</f>
        <v>0</v>
      </c>
      <c r="CQ512" s="647">
        <f>ROUND(IF(WWWW[[#This Row],[Location Type 1]]="camp",WWWW[[#This Row],[Total PoP ]]/20,IF(WWWW[[#This Row],[Location Type 1]]="Temporary Location",WWWW[[#This Row],[Total PoP ]]/50,(WWWW[[#This Row],[Total PoP ]]/6))),0)</f>
        <v>7</v>
      </c>
      <c r="CR512" s="647">
        <f>IF(WWWW[[#This Row],[Total required Latrines]]-(WWWW[[#This Row],['#_Constructed latrines_by_WASHAgencies]]+WWWW[[#This Row],['#_Non Cluster partner latrines]])&lt;0,0,WWWW[[#This Row],[Total required Latrines]]-(WWWW[[#This Row],['#_Constructed latrines_by_WASHAgencies]]+WWWW[[#This Row],['#_Non Cluster partner latrines]]))</f>
        <v>7</v>
      </c>
      <c r="CS512" s="79">
        <f>1-WWWW[[#This Row],[% people access to functioning Latrine]]</f>
        <v>1</v>
      </c>
      <c r="CT512" s="649">
        <f>IF(OR(WWWW[[#This Row],['#_Non-functional latrines]]="",WWWW[[#This Row],['#_Non-functional latrines]]=0),0,WWWW[[#This Row],['#_Non-functional latrines]]/(WWWW[[#This Row],['#_Constructed latrines_by_WASHAgencies]]+WWWW[[#This Row],['#_Non Cluster partner latrines]]))</f>
        <v>0</v>
      </c>
      <c r="CU512" s="645">
        <f>IF(500*(WWWW[[#This Row],['#_male hygiene promoters]]+WWWW[[#This Row],['#_female hygiene promoters]])&gt;WWWW[[#This Row],[Total PoP ]],WWWW[[#This Row],[Total PoP ]],500*(WWWW[[#This Row],['#_male hygiene promoters]]+WWWW[[#This Row],['#_female hygiene promoters]]))</f>
        <v>0</v>
      </c>
      <c r="CV512"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12"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12" s="647">
        <f>IF(WWWW[[#This Row],['# People with access to soap]]&gt;WWWW[[#This Row],['# People with access to Sanity Pads]],WWWW[[#This Row],['# People with access to soap]],WWWW[[#This Row],['# People with access to Sanity Pads]])</f>
        <v>0</v>
      </c>
      <c r="CY512"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512" s="650">
        <f>IF(WWWW[[#This Row],[HRP3]]/WWWW[[#This Row],[Total PoP ]]&gt;100%,100%,WWWW[[#This Row],[HRP3]]/WWWW[[#This Row],[Total PoP ]])</f>
        <v>0</v>
      </c>
      <c r="DA512" s="649">
        <f>1-WWWW[[#This Row],[Hygiene Coverage%]]</f>
        <v>1</v>
      </c>
      <c r="DB512" s="648">
        <f>WWWW[[#This Row],['# people reached by regular dedicated hygiene promotion_5]]/WWWW[[#This Row],[Total PoP ]]</f>
        <v>0</v>
      </c>
      <c r="DC512" s="648">
        <f>IF(WWWW[[#This Row],['#_households that received standard amount of soap for this quarter]]/WWWW[[#This Row],[Total HH]]&gt;1,1,WWWW[[#This Row],['#_households that received standard amount of soap for this quarter]]/WWWW[[#This Row],[Total HH]])</f>
        <v>0</v>
      </c>
      <c r="DD512" s="648">
        <f>IF(WWWW[[#This Row],['#_households that received standard amount of sanitary pads for this quarter]]/WWWW[[#This Row],[Total HH]]&gt;1,1,WWWW[[#This Row],['#_households that received standard amount of sanitary pads for this quarter]]/WWWW[[#This Row],[Total HH]])</f>
        <v>0</v>
      </c>
      <c r="DE512" s="647">
        <f>WWWW[[#This Row],['#_Constructed/Existing hand washing stations]]-WWWW[[#This Row],['#_Non-Functional_hand_washing_stations]]</f>
        <v>0</v>
      </c>
      <c r="DF512" s="667">
        <f>IF(WWWW[[#This Row],['# Functional hand washing stations during reporting period]]*20&gt;WWWW[[#This Row],[Total HH]],WWWW[[#This Row],[Total HH]],WWWW[[#This Row],['# Functional hand washing stations during reporting period]]*20)</f>
        <v>0</v>
      </c>
      <c r="DG512" s="645">
        <f>IF(WWWW[[#This Row],[Is sufficient soap available for TLS? (Yes/No)]]="yes",WWWW[[#This Row],['#_Constructed/Existing hand washing stations at TLS]],0)</f>
        <v>0</v>
      </c>
      <c r="DH512" s="645">
        <f>IF(WWWW[[#This Row],['# Functional hand washing stations during reporting period]]*100&gt;WWWW[[#This Row],[Total PoP ]],WWWW[[#This Row],[Total PoP ]],WWWW[[#This Row],['# Functional hand washing stations during reporting period]]*100)</f>
        <v>0</v>
      </c>
      <c r="DI512" s="645" t="str">
        <f>IF(WWWW[[#This Row],['#_students at TLS_CFS]]="","No","Yes")</f>
        <v>Yes</v>
      </c>
      <c r="DJ512" s="643" t="str">
        <f>VLOOKUP(WWWW[[#This Row],[Site Name]],SiteDB6[[Site Name]:[CCCM Management]],6,FALSE)</f>
        <v>Yes</v>
      </c>
      <c r="DK512" s="643" t="str">
        <f>VLOOKUP(WWWW[[#This Row],[Site Name]],SiteDB6[[Site Name]:[CCCM Focal Agency]],7,FALSE)</f>
        <v>KMSS-LSO</v>
      </c>
      <c r="DL512" s="643" t="str">
        <f>VLOOKUP(WWWW[[#This Row],[Site Name]],SiteDB6[[Site Name]:[Location Type 1]],9,FALSE)</f>
        <v>Camp</v>
      </c>
      <c r="DM512" s="643" t="str">
        <f>VLOOKUP(WWWW[[#This Row],[Site Name]],SiteDB6[[Site Name]:[Type of Accommodation]],10,FALSE)</f>
        <v>Camp</v>
      </c>
      <c r="DN512" s="643" t="str">
        <f>VLOOKUP(WWWW[[#This Row],[Site Name]],SiteDB6[[Site Name]:[Ethnic or GCA/NGCA]],11,FALSE)</f>
        <v>GCA</v>
      </c>
      <c r="DO512" s="643">
        <f>VLOOKUP(WWWW[[#This Row],[Site Name]],SiteDB6[[Site Name]:[Lat]],12,FALSE)</f>
        <v>23.460349999999998</v>
      </c>
      <c r="DP512" s="643">
        <f>VLOOKUP(WWWW[[#This Row],[Site Name]],SiteDB6[[Site Name]:[Long]],13,FALSE)</f>
        <v>97.947360000000003</v>
      </c>
      <c r="DQ512" s="643" t="str">
        <f>VLOOKUP(WWWW[[#This Row],[Site Name]],SiteDB6[[Site Name]:[Pcode]],3,FALSE)</f>
        <v>MMR015CMP017</v>
      </c>
      <c r="DR512" s="652" t="str">
        <f t="shared" si="18"/>
        <v>Covered</v>
      </c>
      <c r="DS512" s="652"/>
      <c r="DV512" s="677"/>
    </row>
    <row r="513" spans="1:126">
      <c r="A513" s="637" t="s">
        <v>2525</v>
      </c>
      <c r="B513" s="644" t="s">
        <v>317</v>
      </c>
      <c r="C513" s="644" t="s">
        <v>317</v>
      </c>
      <c r="D513" s="644"/>
      <c r="E513" s="644" t="s">
        <v>716</v>
      </c>
      <c r="F513" s="644" t="s">
        <v>737</v>
      </c>
      <c r="G513" s="643" t="s">
        <v>45</v>
      </c>
      <c r="H513" s="644" t="s">
        <v>744</v>
      </c>
      <c r="I513" s="646">
        <v>63</v>
      </c>
      <c r="J513" s="646">
        <v>290</v>
      </c>
      <c r="K513" s="653"/>
      <c r="L513" s="654"/>
      <c r="M513" s="646"/>
      <c r="N513" s="646"/>
      <c r="O513" s="646"/>
      <c r="P513" s="646"/>
      <c r="Q513" s="645"/>
      <c r="R513" s="646"/>
      <c r="S513" s="646"/>
      <c r="T513" s="646"/>
      <c r="U513" s="646"/>
      <c r="V513" s="646"/>
      <c r="W513" s="646"/>
      <c r="X513" s="646"/>
      <c r="Y513" s="646"/>
      <c r="Z513" s="646"/>
      <c r="AA513" s="646"/>
      <c r="AB513" s="646"/>
      <c r="AC513" s="646"/>
      <c r="AD513" s="646"/>
      <c r="AE513" s="646"/>
      <c r="AF513" s="646"/>
      <c r="AG513" s="646"/>
      <c r="AH513" s="646"/>
      <c r="AI513" s="646"/>
      <c r="AJ513" s="646"/>
      <c r="AK513" s="646"/>
      <c r="AL513" s="646"/>
      <c r="AM513" s="646"/>
      <c r="AN513" s="646"/>
      <c r="AO513" s="652"/>
      <c r="AP513" s="646"/>
      <c r="AQ513" s="646"/>
      <c r="AR513" s="648"/>
      <c r="AS513" s="646"/>
      <c r="AT513" s="646"/>
      <c r="AU513" s="646"/>
      <c r="AV513" s="646"/>
      <c r="AW513" s="646"/>
      <c r="AX513" s="643"/>
      <c r="AY513" s="652"/>
      <c r="AZ513" s="646"/>
      <c r="BA513" s="646"/>
      <c r="BB513" s="646"/>
      <c r="BC513" s="643"/>
      <c r="BD513" s="646"/>
      <c r="BE513" s="646"/>
      <c r="BF513" s="646"/>
      <c r="BG513" s="646"/>
      <c r="BH513" s="646"/>
      <c r="BI513" s="646"/>
      <c r="BJ513" s="646"/>
      <c r="BK513" s="646"/>
      <c r="BL513" s="646"/>
      <c r="BM513" s="643"/>
      <c r="BN513" s="647"/>
      <c r="BO513" s="648"/>
      <c r="BP513" s="643"/>
      <c r="BQ513" s="649" t="str">
        <f>IFERROR(WWWW[[#This Row],['#_Water sources treated]]/WWWW[[#This Row],['#_Water sources tested for contamination]],"no test")</f>
        <v>no test</v>
      </c>
      <c r="BR513" s="648" t="str">
        <f>IFERROR(WWWW[[#This Row],['#_Household received remediation action due to contamination]]/WWWW[[#This Row],['#_Household water samples tested for contamination]],"no test")</f>
        <v>no test</v>
      </c>
      <c r="BS513" s="647" t="str">
        <f>IF(AND(WWWW[[#This Row],[% of water sources treated]]="no test",WWWW[[#This Row],[% Household received corrective actions]]="no test"),"No Test","Tested")</f>
        <v>No Test</v>
      </c>
      <c r="BT513" s="647">
        <f>WWWW[[#This Row],['#_Constructed/existing protected hand dug well]]-WWWW[[#This Row],['#_Non-functional protected hand dug well]]</f>
        <v>0</v>
      </c>
      <c r="BU513" s="647">
        <f>(WWWW[[#This Row],['#_Constructed/Existing tube wells/boreholes/handpumps_WASH_agency]]+WWWW[[#This Row],['#_Non-Cluster partner water tube-wells/boreholes/handpumps]])-WWWW[[#This Row],['#_Non-functional tube wells/boreholes/handpumps]]</f>
        <v>0</v>
      </c>
      <c r="BV513" s="647">
        <f>WWWW[[#This Row],['#_Constructed/Existingwater storage tank with gravity fed reticulation system]]-WWWW[[#This Row],['#_Non-functional storage tank gravity fed reticulation system]]</f>
        <v>0</v>
      </c>
      <c r="BW513" s="647">
        <f>WWWW[[#This Row],['#_Water boating or water trucking]]</f>
        <v>0</v>
      </c>
      <c r="BX513" s="647">
        <f>WWWW[[#This Row],['#_Constructed/Existing water distribution system from river or natural spring]]</f>
        <v>0</v>
      </c>
      <c r="BY513"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513"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513" s="648">
        <f>IF(WWWW[[#This Row],[Location Type 1]]="Village",WWWW[[#This Row],[Access to safe drinking water for Village]],WWWW[[#This Row],[Access to safe drinking water for Camp]])</f>
        <v>0</v>
      </c>
      <c r="CB513" s="645">
        <f>WWWW[[#This Row],[%Equitable and continuous access to sufficient quantity of safe drinking water]]*WWWW[[#This Row],[Total PoP ]]</f>
        <v>0</v>
      </c>
      <c r="CC513" s="648">
        <f>IF((WWWW[[#This Row],['#_Constructed/Existing protected/fenced ponds]]*250)/WWWW[[#This Row],[Total PoP ]]&gt;1,1,(WWWW[[#This Row],['#_Constructed/Existing protected/fenced ponds]]*250)/WWWW[[#This Row],[Total PoP ]])</f>
        <v>0</v>
      </c>
      <c r="CD513" s="645">
        <f>WWWW[[#This Row],[% Access to unimproved water points]]*WWWW[[#This Row],[Total PoP ]]</f>
        <v>0</v>
      </c>
      <c r="CE513"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513"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513" s="645">
        <f>WWWW[[#This Row],[HRP1]]/500</f>
        <v>0</v>
      </c>
      <c r="CH513" s="650">
        <f>1-WWWW[[#This Row],[% Equitable and continuous access to sufficient quantity of domestic water]]</f>
        <v>1</v>
      </c>
      <c r="CI513" s="645">
        <f>WWWW[[#This Row],[%equitable and continuous access to sufficient quantity of safe drinking and domestic water''s GAP]]*WWWW[[#This Row],[Total PoP ]]</f>
        <v>290</v>
      </c>
      <c r="CJ513" s="647">
        <f>IF(WWWW[[#This Row],[Total required water points]]-WWWW[[#This Row],['#Water points coverage]]&lt;0,0,WWWW[[#This Row],[Total required water points]]-WWWW[[#This Row],['#Water points coverage]])</f>
        <v>1</v>
      </c>
      <c r="CK513" s="647">
        <f>ROUND(IF(WWWW[[#This Row],[Total PoP ]]&lt;500,1,WWWW[[#This Row],[Total PoP ]]/500),0)</f>
        <v>1</v>
      </c>
      <c r="CL513" s="647">
        <f>(WWWW[[#This Row],['#_Constructed latrines_by_WASHAgencies]]+WWWW[[#This Row],['#_Non Cluster partner latrines]])-WWWW[[#This Row],['#_Non-functional latrines]]</f>
        <v>0</v>
      </c>
      <c r="CM513"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513"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513"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13" s="647">
        <f>IF(WWWW[[#This Row],[Location Type 1]]="Village","NA",IF(WWWW[[#This Row],['#_Constructed/Existing latrines in TLS]]*50&gt;WWWW[[#This Row],['#_students at TLS_CFS]],WWWW[[#This Row],['#_students at TLS_CFS]],(WWWW[[#This Row],['#_Constructed/Existing latrines in TLS]]*50)))</f>
        <v>0</v>
      </c>
      <c r="CQ513" s="647">
        <f>ROUND(IF(WWWW[[#This Row],[Location Type 1]]="camp",WWWW[[#This Row],[Total PoP ]]/20,IF(WWWW[[#This Row],[Location Type 1]]="Temporary Location",WWWW[[#This Row],[Total PoP ]]/50,(WWWW[[#This Row],[Total PoP ]]/6))),0)</f>
        <v>15</v>
      </c>
      <c r="CR513" s="647">
        <f>IF(WWWW[[#This Row],[Total required Latrines]]-(WWWW[[#This Row],['#_Constructed latrines_by_WASHAgencies]]+WWWW[[#This Row],['#_Non Cluster partner latrines]])&lt;0,0,WWWW[[#This Row],[Total required Latrines]]-(WWWW[[#This Row],['#_Constructed latrines_by_WASHAgencies]]+WWWW[[#This Row],['#_Non Cluster partner latrines]]))</f>
        <v>15</v>
      </c>
      <c r="CS513" s="79">
        <f>1-WWWW[[#This Row],[% people access to functioning Latrine]]</f>
        <v>1</v>
      </c>
      <c r="CT513" s="649">
        <f>IF(OR(WWWW[[#This Row],['#_Non-functional latrines]]="",WWWW[[#This Row],['#_Non-functional latrines]]=0),0,WWWW[[#This Row],['#_Non-functional latrines]]/(WWWW[[#This Row],['#_Constructed latrines_by_WASHAgencies]]+WWWW[[#This Row],['#_Non Cluster partner latrines]]))</f>
        <v>0</v>
      </c>
      <c r="CU513" s="645">
        <f>IF(500*(WWWW[[#This Row],['#_male hygiene promoters]]+WWWW[[#This Row],['#_female hygiene promoters]])&gt;WWWW[[#This Row],[Total PoP ]],WWWW[[#This Row],[Total PoP ]],500*(WWWW[[#This Row],['#_male hygiene promoters]]+WWWW[[#This Row],['#_female hygiene promoters]]))</f>
        <v>0</v>
      </c>
      <c r="CV513"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13"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13" s="647">
        <f>IF(WWWW[[#This Row],['# People with access to soap]]&gt;WWWW[[#This Row],['# People with access to Sanity Pads]],WWWW[[#This Row],['# People with access to soap]],WWWW[[#This Row],['# People with access to Sanity Pads]])</f>
        <v>0</v>
      </c>
      <c r="CY513"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513" s="650">
        <f>IF(WWWW[[#This Row],[HRP3]]/WWWW[[#This Row],[Total PoP ]]&gt;100%,100%,WWWW[[#This Row],[HRP3]]/WWWW[[#This Row],[Total PoP ]])</f>
        <v>0</v>
      </c>
      <c r="DA513" s="649">
        <f>1-WWWW[[#This Row],[Hygiene Coverage%]]</f>
        <v>1</v>
      </c>
      <c r="DB513" s="648">
        <f>WWWW[[#This Row],['# people reached by regular dedicated hygiene promotion_5]]/WWWW[[#This Row],[Total PoP ]]</f>
        <v>0</v>
      </c>
      <c r="DC513" s="648">
        <f>IF(WWWW[[#This Row],['#_households that received standard amount of soap for this quarter]]/WWWW[[#This Row],[Total HH]]&gt;1,1,WWWW[[#This Row],['#_households that received standard amount of soap for this quarter]]/WWWW[[#This Row],[Total HH]])</f>
        <v>0</v>
      </c>
      <c r="DD513" s="648">
        <f>IF(WWWW[[#This Row],['#_households that received standard amount of sanitary pads for this quarter]]/WWWW[[#This Row],[Total HH]]&gt;1,1,WWWW[[#This Row],['#_households that received standard amount of sanitary pads for this quarter]]/WWWW[[#This Row],[Total HH]])</f>
        <v>0</v>
      </c>
      <c r="DE513" s="647">
        <f>WWWW[[#This Row],['#_Constructed/Existing hand washing stations]]-WWWW[[#This Row],['#_Non-Functional_hand_washing_stations]]</f>
        <v>0</v>
      </c>
      <c r="DF513" s="667">
        <f>IF(WWWW[[#This Row],['# Functional hand washing stations during reporting period]]*20&gt;WWWW[[#This Row],[Total HH]],WWWW[[#This Row],[Total HH]],WWWW[[#This Row],['# Functional hand washing stations during reporting period]]*20)</f>
        <v>0</v>
      </c>
      <c r="DG513" s="645">
        <f>IF(WWWW[[#This Row],[Is sufficient soap available for TLS? (Yes/No)]]="yes",WWWW[[#This Row],['#_Constructed/Existing hand washing stations at TLS]],0)</f>
        <v>0</v>
      </c>
      <c r="DH513" s="645">
        <f>IF(WWWW[[#This Row],['# Functional hand washing stations during reporting period]]*100&gt;WWWW[[#This Row],[Total PoP ]],WWWW[[#This Row],[Total PoP ]],WWWW[[#This Row],['# Functional hand washing stations during reporting period]]*100)</f>
        <v>0</v>
      </c>
      <c r="DI513" s="645" t="str">
        <f>IF(WWWW[[#This Row],['#_students at TLS_CFS]]="","No","Yes")</f>
        <v>No</v>
      </c>
      <c r="DJ513" s="643" t="str">
        <f>VLOOKUP(WWWW[[#This Row],[Site Name]],SiteDB6[[Site Name]:[CCCM Management]],6,FALSE)</f>
        <v>Yes</v>
      </c>
      <c r="DK513" s="643" t="str">
        <f>VLOOKUP(WWWW[[#This Row],[Site Name]],SiteDB6[[Site Name]:[CCCM Focal Agency]],7,FALSE)</f>
        <v>KMSS-LSO</v>
      </c>
      <c r="DL513" s="643" t="str">
        <f>VLOOKUP(WWWW[[#This Row],[Site Name]],SiteDB6[[Site Name]:[Location Type 1]],9,FALSE)</f>
        <v>Camp</v>
      </c>
      <c r="DM513" s="643" t="str">
        <f>VLOOKUP(WWWW[[#This Row],[Site Name]],SiteDB6[[Site Name]:[Type of Accommodation]],10,FALSE)</f>
        <v>Camp</v>
      </c>
      <c r="DN513" s="643" t="str">
        <f>VLOOKUP(WWWW[[#This Row],[Site Name]],SiteDB6[[Site Name]:[Ethnic or GCA/NGCA]],11,FALSE)</f>
        <v>GCA</v>
      </c>
      <c r="DO513" s="643">
        <f>VLOOKUP(WWWW[[#This Row],[Site Name]],SiteDB6[[Site Name]:[Lat]],12,FALSE)</f>
        <v>23.099304</v>
      </c>
      <c r="DP513" s="643">
        <f>VLOOKUP(WWWW[[#This Row],[Site Name]],SiteDB6[[Site Name]:[Long]],13,FALSE)</f>
        <v>97.400671000000003</v>
      </c>
      <c r="DQ513" s="643" t="str">
        <f>VLOOKUP(WWWW[[#This Row],[Site Name]],SiteDB6[[Site Name]:[Pcode]],3,FALSE)</f>
        <v>MMR015CMP248</v>
      </c>
      <c r="DR513" s="652" t="str">
        <f t="shared" si="18"/>
        <v>Notcovered</v>
      </c>
      <c r="DS513" s="652"/>
      <c r="DV513" s="677"/>
    </row>
    <row r="514" spans="1:126">
      <c r="A514" s="637" t="s">
        <v>2525</v>
      </c>
      <c r="B514" s="644" t="s">
        <v>317</v>
      </c>
      <c r="C514" s="644" t="s">
        <v>317</v>
      </c>
      <c r="D514" s="644"/>
      <c r="E514" s="644" t="s">
        <v>716</v>
      </c>
      <c r="F514" s="644" t="s">
        <v>737</v>
      </c>
      <c r="G514" s="643" t="s">
        <v>1481</v>
      </c>
      <c r="H514" s="644" t="s">
        <v>1120</v>
      </c>
      <c r="I514" s="646">
        <v>58</v>
      </c>
      <c r="J514" s="646">
        <v>257</v>
      </c>
      <c r="K514" s="653"/>
      <c r="L514" s="654"/>
      <c r="M514" s="646"/>
      <c r="N514" s="646"/>
      <c r="O514" s="646"/>
      <c r="P514" s="646"/>
      <c r="Q514" s="645"/>
      <c r="R514" s="646"/>
      <c r="S514" s="646"/>
      <c r="T514" s="646"/>
      <c r="U514" s="646"/>
      <c r="V514" s="646"/>
      <c r="W514" s="646"/>
      <c r="X514" s="646"/>
      <c r="Y514" s="646"/>
      <c r="Z514" s="646"/>
      <c r="AA514" s="646"/>
      <c r="AB514" s="646"/>
      <c r="AC514" s="646"/>
      <c r="AD514" s="646"/>
      <c r="AE514" s="646"/>
      <c r="AF514" s="646"/>
      <c r="AG514" s="646"/>
      <c r="AH514" s="646"/>
      <c r="AI514" s="646"/>
      <c r="AJ514" s="646"/>
      <c r="AK514" s="646"/>
      <c r="AL514" s="646"/>
      <c r="AM514" s="646"/>
      <c r="AN514" s="646"/>
      <c r="AO514" s="652"/>
      <c r="AP514" s="646"/>
      <c r="AQ514" s="646"/>
      <c r="AR514" s="648"/>
      <c r="AS514" s="646"/>
      <c r="AT514" s="646"/>
      <c r="AU514" s="646"/>
      <c r="AV514" s="646"/>
      <c r="AW514" s="646"/>
      <c r="AX514" s="643"/>
      <c r="AY514" s="652"/>
      <c r="AZ514" s="646"/>
      <c r="BA514" s="646"/>
      <c r="BB514" s="646"/>
      <c r="BC514" s="643"/>
      <c r="BD514" s="646"/>
      <c r="BE514" s="646"/>
      <c r="BF514" s="646"/>
      <c r="BG514" s="646"/>
      <c r="BH514" s="646"/>
      <c r="BI514" s="646"/>
      <c r="BJ514" s="646"/>
      <c r="BK514" s="646"/>
      <c r="BL514" s="646"/>
      <c r="BM514" s="643"/>
      <c r="BN514" s="647"/>
      <c r="BO514" s="648"/>
      <c r="BP514" s="643"/>
      <c r="BQ514" s="649" t="str">
        <f>IFERROR(WWWW[[#This Row],['#_Water sources treated]]/WWWW[[#This Row],['#_Water sources tested for contamination]],"no test")</f>
        <v>no test</v>
      </c>
      <c r="BR514" s="648" t="str">
        <f>IFERROR(WWWW[[#This Row],['#_Household received remediation action due to contamination]]/WWWW[[#This Row],['#_Household water samples tested for contamination]],"no test")</f>
        <v>no test</v>
      </c>
      <c r="BS514" s="647" t="str">
        <f>IF(AND(WWWW[[#This Row],[% of water sources treated]]="no test",WWWW[[#This Row],[% Household received corrective actions]]="no test"),"No Test","Tested")</f>
        <v>No Test</v>
      </c>
      <c r="BT514" s="647">
        <f>WWWW[[#This Row],['#_Constructed/existing protected hand dug well]]-WWWW[[#This Row],['#_Non-functional protected hand dug well]]</f>
        <v>0</v>
      </c>
      <c r="BU514" s="647">
        <f>(WWWW[[#This Row],['#_Constructed/Existing tube wells/boreholes/handpumps_WASH_agency]]+WWWW[[#This Row],['#_Non-Cluster partner water tube-wells/boreholes/handpumps]])-WWWW[[#This Row],['#_Non-functional tube wells/boreholes/handpumps]]</f>
        <v>0</v>
      </c>
      <c r="BV514" s="647">
        <f>WWWW[[#This Row],['#_Constructed/Existingwater storage tank with gravity fed reticulation system]]-WWWW[[#This Row],['#_Non-functional storage tank gravity fed reticulation system]]</f>
        <v>0</v>
      </c>
      <c r="BW514" s="647">
        <f>WWWW[[#This Row],['#_Water boating or water trucking]]</f>
        <v>0</v>
      </c>
      <c r="BX514" s="647">
        <f>WWWW[[#This Row],['#_Constructed/Existing water distribution system from river or natural spring]]</f>
        <v>0</v>
      </c>
      <c r="BY514"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514"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514" s="648">
        <f>IF(WWWW[[#This Row],[Location Type 1]]="Village",WWWW[[#This Row],[Access to safe drinking water for Village]],WWWW[[#This Row],[Access to safe drinking water for Camp]])</f>
        <v>0</v>
      </c>
      <c r="CB514" s="645">
        <f>WWWW[[#This Row],[%Equitable and continuous access to sufficient quantity of safe drinking water]]*WWWW[[#This Row],[Total PoP ]]</f>
        <v>0</v>
      </c>
      <c r="CC514" s="648">
        <f>IF((WWWW[[#This Row],['#_Constructed/Existing protected/fenced ponds]]*250)/WWWW[[#This Row],[Total PoP ]]&gt;1,1,(WWWW[[#This Row],['#_Constructed/Existing protected/fenced ponds]]*250)/WWWW[[#This Row],[Total PoP ]])</f>
        <v>0</v>
      </c>
      <c r="CD514" s="645">
        <f>WWWW[[#This Row],[% Access to unimproved water points]]*WWWW[[#This Row],[Total PoP ]]</f>
        <v>0</v>
      </c>
      <c r="CE514"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514"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514" s="645">
        <f>WWWW[[#This Row],[HRP1]]/500</f>
        <v>0</v>
      </c>
      <c r="CH514" s="650">
        <f>1-WWWW[[#This Row],[% Equitable and continuous access to sufficient quantity of domestic water]]</f>
        <v>1</v>
      </c>
      <c r="CI514" s="645">
        <f>WWWW[[#This Row],[%equitable and continuous access to sufficient quantity of safe drinking and domestic water''s GAP]]*WWWW[[#This Row],[Total PoP ]]</f>
        <v>257</v>
      </c>
      <c r="CJ514" s="647">
        <f>IF(WWWW[[#This Row],[Total required water points]]-WWWW[[#This Row],['#Water points coverage]]&lt;0,0,WWWW[[#This Row],[Total required water points]]-WWWW[[#This Row],['#Water points coverage]])</f>
        <v>1</v>
      </c>
      <c r="CK514" s="647">
        <f>ROUND(IF(WWWW[[#This Row],[Total PoP ]]&lt;500,1,WWWW[[#This Row],[Total PoP ]]/500),0)</f>
        <v>1</v>
      </c>
      <c r="CL514" s="647">
        <f>(WWWW[[#This Row],['#_Constructed latrines_by_WASHAgencies]]+WWWW[[#This Row],['#_Non Cluster partner latrines]])-WWWW[[#This Row],['#_Non-functional latrines]]</f>
        <v>0</v>
      </c>
      <c r="CM514"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514"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514"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14" s="647">
        <f>IF(WWWW[[#This Row],[Location Type 1]]="Village","NA",IF(WWWW[[#This Row],['#_Constructed/Existing latrines in TLS]]*50&gt;WWWW[[#This Row],['#_students at TLS_CFS]],WWWW[[#This Row],['#_students at TLS_CFS]],(WWWW[[#This Row],['#_Constructed/Existing latrines in TLS]]*50)))</f>
        <v>0</v>
      </c>
      <c r="CQ514" s="647">
        <f>ROUND(IF(WWWW[[#This Row],[Location Type 1]]="camp",WWWW[[#This Row],[Total PoP ]]/20,IF(WWWW[[#This Row],[Location Type 1]]="Temporary Location",WWWW[[#This Row],[Total PoP ]]/50,(WWWW[[#This Row],[Total PoP ]]/6))),0)</f>
        <v>13</v>
      </c>
      <c r="CR514" s="647">
        <f>IF(WWWW[[#This Row],[Total required Latrines]]-(WWWW[[#This Row],['#_Constructed latrines_by_WASHAgencies]]+WWWW[[#This Row],['#_Non Cluster partner latrines]])&lt;0,0,WWWW[[#This Row],[Total required Latrines]]-(WWWW[[#This Row],['#_Constructed latrines_by_WASHAgencies]]+WWWW[[#This Row],['#_Non Cluster partner latrines]]))</f>
        <v>13</v>
      </c>
      <c r="CS514" s="79">
        <f>1-WWWW[[#This Row],[% people access to functioning Latrine]]</f>
        <v>1</v>
      </c>
      <c r="CT514" s="649">
        <f>IF(OR(WWWW[[#This Row],['#_Non-functional latrines]]="",WWWW[[#This Row],['#_Non-functional latrines]]=0),0,WWWW[[#This Row],['#_Non-functional latrines]]/(WWWW[[#This Row],['#_Constructed latrines_by_WASHAgencies]]+WWWW[[#This Row],['#_Non Cluster partner latrines]]))</f>
        <v>0</v>
      </c>
      <c r="CU514" s="645">
        <f>IF(500*(WWWW[[#This Row],['#_male hygiene promoters]]+WWWW[[#This Row],['#_female hygiene promoters]])&gt;WWWW[[#This Row],[Total PoP ]],WWWW[[#This Row],[Total PoP ]],500*(WWWW[[#This Row],['#_male hygiene promoters]]+WWWW[[#This Row],['#_female hygiene promoters]]))</f>
        <v>0</v>
      </c>
      <c r="CV514"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14"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14" s="647">
        <f>IF(WWWW[[#This Row],['# People with access to soap]]&gt;WWWW[[#This Row],['# People with access to Sanity Pads]],WWWW[[#This Row],['# People with access to soap]],WWWW[[#This Row],['# People with access to Sanity Pads]])</f>
        <v>0</v>
      </c>
      <c r="CY514"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514" s="650">
        <f>IF(WWWW[[#This Row],[HRP3]]/WWWW[[#This Row],[Total PoP ]]&gt;100%,100%,WWWW[[#This Row],[HRP3]]/WWWW[[#This Row],[Total PoP ]])</f>
        <v>0</v>
      </c>
      <c r="DA514" s="649">
        <f>1-WWWW[[#This Row],[Hygiene Coverage%]]</f>
        <v>1</v>
      </c>
      <c r="DB514" s="648">
        <f>WWWW[[#This Row],['# people reached by regular dedicated hygiene promotion_5]]/WWWW[[#This Row],[Total PoP ]]</f>
        <v>0</v>
      </c>
      <c r="DC514" s="648">
        <f>IF(WWWW[[#This Row],['#_households that received standard amount of soap for this quarter]]/WWWW[[#This Row],[Total HH]]&gt;1,1,WWWW[[#This Row],['#_households that received standard amount of soap for this quarter]]/WWWW[[#This Row],[Total HH]])</f>
        <v>0</v>
      </c>
      <c r="DD514" s="648">
        <f>IF(WWWW[[#This Row],['#_households that received standard amount of sanitary pads for this quarter]]/WWWW[[#This Row],[Total HH]]&gt;1,1,WWWW[[#This Row],['#_households that received standard amount of sanitary pads for this quarter]]/WWWW[[#This Row],[Total HH]])</f>
        <v>0</v>
      </c>
      <c r="DE514" s="647">
        <f>WWWW[[#This Row],['#_Constructed/Existing hand washing stations]]-WWWW[[#This Row],['#_Non-Functional_hand_washing_stations]]</f>
        <v>0</v>
      </c>
      <c r="DF514" s="667">
        <f>IF(WWWW[[#This Row],['# Functional hand washing stations during reporting period]]*20&gt;WWWW[[#This Row],[Total HH]],WWWW[[#This Row],[Total HH]],WWWW[[#This Row],['# Functional hand washing stations during reporting period]]*20)</f>
        <v>0</v>
      </c>
      <c r="DG514" s="645">
        <f>IF(WWWW[[#This Row],[Is sufficient soap available for TLS? (Yes/No)]]="yes",WWWW[[#This Row],['#_Constructed/Existing hand washing stations at TLS]],0)</f>
        <v>0</v>
      </c>
      <c r="DH514" s="645">
        <f>IF(WWWW[[#This Row],['# Functional hand washing stations during reporting period]]*100&gt;WWWW[[#This Row],[Total PoP ]],WWWW[[#This Row],[Total PoP ]],WWWW[[#This Row],['# Functional hand washing stations during reporting period]]*100)</f>
        <v>0</v>
      </c>
      <c r="DI514" s="645" t="str">
        <f>IF(WWWW[[#This Row],['#_students at TLS_CFS]]="","No","Yes")</f>
        <v>No</v>
      </c>
      <c r="DJ514" s="643">
        <f>VLOOKUP(WWWW[[#This Row],[Site Name]],SiteDB6[[Site Name]:[CCCM Management]],6,FALSE)</f>
        <v>0</v>
      </c>
      <c r="DK514" s="643">
        <f>VLOOKUP(WWWW[[#This Row],[Site Name]],SiteDB6[[Site Name]:[CCCM Focal Agency]],7,FALSE)</f>
        <v>0</v>
      </c>
      <c r="DL514" s="643" t="str">
        <f>VLOOKUP(WWWW[[#This Row],[Site Name]],SiteDB6[[Site Name]:[Location Type 1]],9,FALSE)</f>
        <v>Camp</v>
      </c>
      <c r="DM514" s="643" t="str">
        <f>VLOOKUP(WWWW[[#This Row],[Site Name]],SiteDB6[[Site Name]:[Type of Accommodation]],10,FALSE)</f>
        <v>Camp</v>
      </c>
      <c r="DN514" s="643" t="str">
        <f>VLOOKUP(WWWW[[#This Row],[Site Name]],SiteDB6[[Site Name]:[Ethnic or GCA/NGCA]],11,FALSE)</f>
        <v>GCA</v>
      </c>
      <c r="DO514" s="643">
        <f>VLOOKUP(WWWW[[#This Row],[Site Name]],SiteDB6[[Site Name]:[Lat]],12,FALSE)</f>
        <v>0</v>
      </c>
      <c r="DP514" s="643">
        <f>VLOOKUP(WWWW[[#This Row],[Site Name]],SiteDB6[[Site Name]:[Long]],13,FALSE)</f>
        <v>0</v>
      </c>
      <c r="DQ514" s="643">
        <f>VLOOKUP(WWWW[[#This Row],[Site Name]],SiteDB6[[Site Name]:[Pcode]],3,FALSE)</f>
        <v>0</v>
      </c>
      <c r="DR514" s="652" t="str">
        <f t="shared" si="18"/>
        <v>Notcovered</v>
      </c>
      <c r="DS514" s="652"/>
      <c r="DV514" s="677"/>
    </row>
    <row r="515" spans="1:126">
      <c r="A515" s="637" t="s">
        <v>2525</v>
      </c>
      <c r="B515" s="644" t="s">
        <v>200</v>
      </c>
      <c r="C515" s="644" t="s">
        <v>200</v>
      </c>
      <c r="D515" s="644" t="s">
        <v>2970</v>
      </c>
      <c r="E515" s="663" t="s">
        <v>716</v>
      </c>
      <c r="F515" s="644" t="s">
        <v>737</v>
      </c>
      <c r="G515" s="663" t="str">
        <f>VLOOKUP(WWWW[[#This Row],[Site Name]],SiteDB6[[Site Name]:[Location Type]],8,FALSE)</f>
        <v>Camp</v>
      </c>
      <c r="H515" s="644" t="s">
        <v>745</v>
      </c>
      <c r="I515" s="646">
        <v>34</v>
      </c>
      <c r="J515" s="646">
        <v>182</v>
      </c>
      <c r="K515" s="653" t="s">
        <v>2971</v>
      </c>
      <c r="L515" s="654" t="s">
        <v>2972</v>
      </c>
      <c r="M515" s="646">
        <v>36</v>
      </c>
      <c r="N515" s="646"/>
      <c r="O515" s="646"/>
      <c r="P515" s="646"/>
      <c r="Q515" s="645" t="s">
        <v>144</v>
      </c>
      <c r="R515" s="646"/>
      <c r="S515" s="646"/>
      <c r="T515" s="646"/>
      <c r="U515" s="646"/>
      <c r="V515" s="646"/>
      <c r="W515" s="646"/>
      <c r="X515" s="646"/>
      <c r="Y515" s="646"/>
      <c r="Z515" s="646"/>
      <c r="AA515" s="646"/>
      <c r="AB515" s="646"/>
      <c r="AC515" s="646"/>
      <c r="AD515" s="646"/>
      <c r="AE515" s="646"/>
      <c r="AF515" s="646">
        <v>1</v>
      </c>
      <c r="AG515" s="646"/>
      <c r="AH515" s="646"/>
      <c r="AI515" s="646"/>
      <c r="AJ515" s="646"/>
      <c r="AK515" s="646"/>
      <c r="AL515" s="646"/>
      <c r="AM515" s="646"/>
      <c r="AN515" s="646"/>
      <c r="AO515" s="652"/>
      <c r="AP515" s="646">
        <v>12</v>
      </c>
      <c r="AQ515" s="646"/>
      <c r="AR515" s="648"/>
      <c r="AS515" s="646">
        <v>4</v>
      </c>
      <c r="AT515" s="646"/>
      <c r="AU515" s="646"/>
      <c r="AV515" s="646"/>
      <c r="AW515" s="646"/>
      <c r="AX515" s="643" t="s">
        <v>43</v>
      </c>
      <c r="AY515" s="652" t="s">
        <v>145</v>
      </c>
      <c r="AZ515" s="646"/>
      <c r="BA515" s="646"/>
      <c r="BB515" s="646"/>
      <c r="BC515" s="643"/>
      <c r="BD515" s="646"/>
      <c r="BE515" s="646"/>
      <c r="BF515" s="646"/>
      <c r="BG515" s="646">
        <v>2</v>
      </c>
      <c r="BH515" s="646"/>
      <c r="BI515" s="646"/>
      <c r="BJ515" s="646">
        <v>1</v>
      </c>
      <c r="BK515" s="646">
        <v>0</v>
      </c>
      <c r="BL515" s="646">
        <v>0</v>
      </c>
      <c r="BM515" s="643"/>
      <c r="BN515" s="647"/>
      <c r="BO515" s="648"/>
      <c r="BP515" s="643"/>
      <c r="BQ515" s="649" t="str">
        <f>IFERROR(WWWW[[#This Row],['#_Water sources treated]]/WWWW[[#This Row],['#_Water sources tested for contamination]],"no test")</f>
        <v>no test</v>
      </c>
      <c r="BR515" s="648" t="str">
        <f>IFERROR(WWWW[[#This Row],['#_Household received remediation action due to contamination]]/WWWW[[#This Row],['#_Household water samples tested for contamination]],"no test")</f>
        <v>no test</v>
      </c>
      <c r="BS515" s="647" t="str">
        <f>IF(AND(WWWW[[#This Row],[% of water sources treated]]="no test",WWWW[[#This Row],[% Household received corrective actions]]="no test"),"No Test","Tested")</f>
        <v>No Test</v>
      </c>
      <c r="BT515" s="647">
        <f>WWWW[[#This Row],['#_Constructed/existing protected hand dug well]]-WWWW[[#This Row],['#_Non-functional protected hand dug well]]</f>
        <v>0</v>
      </c>
      <c r="BU515" s="647">
        <f>(WWWW[[#This Row],['#_Constructed/Existing tube wells/boreholes/handpumps_WASH_agency]]+WWWW[[#This Row],['#_Non-Cluster partner water tube-wells/boreholes/handpumps]])-WWWW[[#This Row],['#_Non-functional tube wells/boreholes/handpumps]]</f>
        <v>0</v>
      </c>
      <c r="BV515" s="647">
        <f>WWWW[[#This Row],['#_Constructed/Existingwater storage tank with gravity fed reticulation system]]-WWWW[[#This Row],['#_Non-functional storage tank gravity fed reticulation system]]</f>
        <v>0</v>
      </c>
      <c r="BW515" s="647">
        <f>WWWW[[#This Row],['#_Water boating or water trucking]]</f>
        <v>0</v>
      </c>
      <c r="BX515" s="647">
        <f>WWWW[[#This Row],['#_Constructed/Existing water distribution system from river or natural spring]]</f>
        <v>1</v>
      </c>
      <c r="BY515"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3.663003663003663E-4</v>
      </c>
      <c r="BZ515"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3.663003663003663E-4</v>
      </c>
      <c r="CA515" s="648">
        <f>IF(WWWW[[#This Row],[Location Type 1]]="Village",WWWW[[#This Row],[Access to safe drinking water for Village]],WWWW[[#This Row],[Access to safe drinking water for Camp]])</f>
        <v>3.663003663003663E-4</v>
      </c>
      <c r="CB515" s="645">
        <f>WWWW[[#This Row],[%Equitable and continuous access to sufficient quantity of safe drinking water]]*WWWW[[#This Row],[Total PoP ]]</f>
        <v>6.6666666666666666E-2</v>
      </c>
      <c r="CC515" s="648">
        <f>IF((WWWW[[#This Row],['#_Constructed/Existing protected/fenced ponds]]*250)/WWWW[[#This Row],[Total PoP ]]&gt;1,1,(WWWW[[#This Row],['#_Constructed/Existing protected/fenced ponds]]*250)/WWWW[[#This Row],[Total PoP ]])</f>
        <v>0</v>
      </c>
      <c r="CD515" s="645">
        <f>WWWW[[#This Row],[% Access to unimproved water points]]*WWWW[[#This Row],[Total PoP ]]</f>
        <v>0</v>
      </c>
      <c r="CE515"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3.663003663003663E-4</v>
      </c>
      <c r="CF515"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6.6666666666666666E-2</v>
      </c>
      <c r="CG515" s="645">
        <f>WWWW[[#This Row],[HRP1]]/500</f>
        <v>1.3333333333333334E-4</v>
      </c>
      <c r="CH515" s="650">
        <f>1-WWWW[[#This Row],[% Equitable and continuous access to sufficient quantity of domestic water]]</f>
        <v>0.99963369963369964</v>
      </c>
      <c r="CI515" s="645">
        <f>WWWW[[#This Row],[%equitable and continuous access to sufficient quantity of safe drinking and domestic water''s GAP]]*WWWW[[#This Row],[Total PoP ]]</f>
        <v>181.93333333333334</v>
      </c>
      <c r="CJ515" s="647">
        <f>IF(WWWW[[#This Row],[Total required water points]]-WWWW[[#This Row],['#Water points coverage]]&lt;0,0,WWWW[[#This Row],[Total required water points]]-WWWW[[#This Row],['#Water points coverage]])</f>
        <v>0.99986666666666668</v>
      </c>
      <c r="CK515" s="647">
        <f>ROUND(IF(WWWW[[#This Row],[Total PoP ]]&lt;500,1,WWWW[[#This Row],[Total PoP ]]/500),0)</f>
        <v>1</v>
      </c>
      <c r="CL515" s="647">
        <f>(WWWW[[#This Row],['#_Constructed latrines_by_WASHAgencies]]+WWWW[[#This Row],['#_Non Cluster partner latrines]])-WWWW[[#This Row],['#_Non-functional latrines]]</f>
        <v>8</v>
      </c>
      <c r="CM515"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0.87912087912087911</v>
      </c>
      <c r="CN515"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160</v>
      </c>
      <c r="CO515"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15" s="647">
        <f>IF(WWWW[[#This Row],[Location Type 1]]="Village","NA",IF(WWWW[[#This Row],['#_Constructed/Existing latrines in TLS]]*50&gt;WWWW[[#This Row],['#_students at TLS_CFS]],WWWW[[#This Row],['#_students at TLS_CFS]],(WWWW[[#This Row],['#_Constructed/Existing latrines in TLS]]*50)))</f>
        <v>0</v>
      </c>
      <c r="CQ515" s="647">
        <f>ROUND(IF(WWWW[[#This Row],[Location Type 1]]="camp",WWWW[[#This Row],[Total PoP ]]/20,IF(WWWW[[#This Row],[Location Type 1]]="Temporary Location",WWWW[[#This Row],[Total PoP ]]/50,(WWWW[[#This Row],[Total PoP ]]/6))),0)</f>
        <v>9</v>
      </c>
      <c r="CR515" s="647">
        <f>IF(WWWW[[#This Row],[Total required Latrines]]-(WWWW[[#This Row],['#_Constructed latrines_by_WASHAgencies]]+WWWW[[#This Row],['#_Non Cluster partner latrines]])&lt;0,0,WWWW[[#This Row],[Total required Latrines]]-(WWWW[[#This Row],['#_Constructed latrines_by_WASHAgencies]]+WWWW[[#This Row],['#_Non Cluster partner latrines]]))</f>
        <v>0</v>
      </c>
      <c r="CS515" s="79">
        <f>1-WWWW[[#This Row],[% people access to functioning Latrine]]</f>
        <v>0.12087912087912089</v>
      </c>
      <c r="CT515" s="649">
        <f>IF(OR(WWWW[[#This Row],['#_Non-functional latrines]]="",WWWW[[#This Row],['#_Non-functional latrines]]=0),0,WWWW[[#This Row],['#_Non-functional latrines]]/(WWWW[[#This Row],['#_Constructed latrines_by_WASHAgencies]]+WWWW[[#This Row],['#_Non Cluster partner latrines]]))</f>
        <v>0.33333333333333331</v>
      </c>
      <c r="CU515" s="645">
        <f>IF(500*(WWWW[[#This Row],['#_male hygiene promoters]]+WWWW[[#This Row],['#_female hygiene promoters]])&gt;WWWW[[#This Row],[Total PoP ]],WWWW[[#This Row],[Total PoP ]],500*(WWWW[[#This Row],['#_male hygiene promoters]]+WWWW[[#This Row],['#_female hygiene promoters]]))</f>
        <v>182</v>
      </c>
      <c r="CV515"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15"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15" s="647">
        <f>IF(WWWW[[#This Row],['# People with access to soap]]&gt;WWWW[[#This Row],['# People with access to Sanity Pads]],WWWW[[#This Row],['# People with access to soap]],WWWW[[#This Row],['# People with access to Sanity Pads]])</f>
        <v>0</v>
      </c>
      <c r="CY515" s="647">
        <f>IF(WWWW[[#This Row],['# people reached by regular dedicated hygiene promotion_5]]&gt;WWWW[[#This Row],['# People received regular supply of hygiene items_6]],WWWW[[#This Row],['# people reached by regular dedicated hygiene promotion_5]],WWWW[[#This Row],['# People received regular supply of hygiene items_6]])</f>
        <v>182</v>
      </c>
      <c r="CZ515" s="650">
        <f>IF(WWWW[[#This Row],[HRP3]]/WWWW[[#This Row],[Total PoP ]]&gt;100%,100%,WWWW[[#This Row],[HRP3]]/WWWW[[#This Row],[Total PoP ]])</f>
        <v>1</v>
      </c>
      <c r="DA515" s="649">
        <f>1-WWWW[[#This Row],[Hygiene Coverage%]]</f>
        <v>0</v>
      </c>
      <c r="DB515" s="648">
        <f>WWWW[[#This Row],['# people reached by regular dedicated hygiene promotion_5]]/WWWW[[#This Row],[Total PoP ]]</f>
        <v>1</v>
      </c>
      <c r="DC515" s="648">
        <f>IF(WWWW[[#This Row],['#_households that received standard amount of soap for this quarter]]/WWWW[[#This Row],[Total HH]]&gt;1,1,WWWW[[#This Row],['#_households that received standard amount of soap for this quarter]]/WWWW[[#This Row],[Total HH]])</f>
        <v>0</v>
      </c>
      <c r="DD515" s="648">
        <f>IF(WWWW[[#This Row],['#_households that received standard amount of sanitary pads for this quarter]]/WWWW[[#This Row],[Total HH]]&gt;1,1,WWWW[[#This Row],['#_households that received standard amount of sanitary pads for this quarter]]/WWWW[[#This Row],[Total HH]])</f>
        <v>0</v>
      </c>
      <c r="DE515" s="647">
        <f>WWWW[[#This Row],['#_Constructed/Existing hand washing stations]]-WWWW[[#This Row],['#_Non-Functional_hand_washing_stations]]</f>
        <v>0</v>
      </c>
      <c r="DF515" s="667">
        <f>IF(WWWW[[#This Row],['# Functional hand washing stations during reporting period]]*20&gt;WWWW[[#This Row],[Total HH]],WWWW[[#This Row],[Total HH]],WWWW[[#This Row],['# Functional hand washing stations during reporting period]]*20)</f>
        <v>0</v>
      </c>
      <c r="DG515" s="645">
        <f>IF(WWWW[[#This Row],[Is sufficient soap available for TLS? (Yes/No)]]="yes",WWWW[[#This Row],['#_Constructed/Existing hand washing stations at TLS]],0)</f>
        <v>0</v>
      </c>
      <c r="DH515" s="645">
        <f>IF(WWWW[[#This Row],['# Functional hand washing stations during reporting period]]*100&gt;WWWW[[#This Row],[Total PoP ]],WWWW[[#This Row],[Total PoP ]],WWWW[[#This Row],['# Functional hand washing stations during reporting period]]*100)</f>
        <v>0</v>
      </c>
      <c r="DI515" s="645" t="str">
        <f>IF(WWWW[[#This Row],['#_students at TLS_CFS]]="","No","Yes")</f>
        <v>Yes</v>
      </c>
      <c r="DJ515" s="643" t="str">
        <f>VLOOKUP(WWWW[[#This Row],[Site Name]],SiteDB6[[Site Name]:[CCCM Management]],6,FALSE)</f>
        <v>Yes</v>
      </c>
      <c r="DK515" s="643" t="str">
        <f>VLOOKUP(WWWW[[#This Row],[Site Name]],SiteDB6[[Site Name]:[CCCM Focal Agency]],7,FALSE)</f>
        <v>KMSS-LSO</v>
      </c>
      <c r="DL515" s="643" t="str">
        <f>VLOOKUP(WWWW[[#This Row],[Site Name]],SiteDB6[[Site Name]:[Location Type 1]],9,FALSE)</f>
        <v>Camp</v>
      </c>
      <c r="DM515" s="643" t="str">
        <f>VLOOKUP(WWWW[[#This Row],[Site Name]],SiteDB6[[Site Name]:[Type of Accommodation]],10,FALSE)</f>
        <v>Camp</v>
      </c>
      <c r="DN515" s="643" t="str">
        <f>VLOOKUP(WWWW[[#This Row],[Site Name]],SiteDB6[[Site Name]:[Ethnic or GCA/NGCA]],11,FALSE)</f>
        <v>GCA</v>
      </c>
      <c r="DO515" s="643">
        <f>VLOOKUP(WWWW[[#This Row],[Site Name]],SiteDB6[[Site Name]:[Lat]],12,FALSE)</f>
        <v>0</v>
      </c>
      <c r="DP515" s="643">
        <f>VLOOKUP(WWWW[[#This Row],[Site Name]],SiteDB6[[Site Name]:[Long]],13,FALSE)</f>
        <v>0</v>
      </c>
      <c r="DQ515" s="643" t="str">
        <f>VLOOKUP(WWWW[[#This Row],[Site Name]],SiteDB6[[Site Name]:[Pcode]],3,FALSE)</f>
        <v>MMR015CMP232</v>
      </c>
      <c r="DR515" s="652" t="str">
        <f t="shared" si="18"/>
        <v>Covered</v>
      </c>
      <c r="DS515" s="652"/>
      <c r="DV515" s="677"/>
    </row>
    <row r="516" spans="1:126">
      <c r="A516" s="637" t="s">
        <v>2525</v>
      </c>
      <c r="B516" s="644" t="s">
        <v>1957</v>
      </c>
      <c r="C516" s="644" t="s">
        <v>1957</v>
      </c>
      <c r="D516" s="701" t="s">
        <v>2977</v>
      </c>
      <c r="E516" s="663" t="s">
        <v>716</v>
      </c>
      <c r="F516" s="644" t="s">
        <v>720</v>
      </c>
      <c r="G516" s="663" t="str">
        <f>VLOOKUP(WWWW[[#This Row],[Site Name]],SiteDB6[[Site Name]:[Location Type]],8,FALSE)</f>
        <v>Camp</v>
      </c>
      <c r="H516" s="644" t="s">
        <v>2202</v>
      </c>
      <c r="I516" s="646">
        <v>82</v>
      </c>
      <c r="J516" s="646">
        <v>426</v>
      </c>
      <c r="K516" s="710" t="s">
        <v>2978</v>
      </c>
      <c r="L516" s="58" t="s">
        <v>2979</v>
      </c>
      <c r="M516" s="646">
        <v>102</v>
      </c>
      <c r="N516" s="646"/>
      <c r="O516" s="646"/>
      <c r="P516" s="646"/>
      <c r="Q516" s="702" t="s">
        <v>43</v>
      </c>
      <c r="R516" s="379">
        <v>6</v>
      </c>
      <c r="S516" s="379">
        <v>3</v>
      </c>
      <c r="T516" s="646"/>
      <c r="U516" s="646"/>
      <c r="V516" s="646"/>
      <c r="W516" s="646"/>
      <c r="X516" s="646"/>
      <c r="Y516" s="646"/>
      <c r="Z516" s="646"/>
      <c r="AA516" s="379">
        <v>54</v>
      </c>
      <c r="AB516" s="646"/>
      <c r="AC516" s="646"/>
      <c r="AD516" s="646"/>
      <c r="AE516" s="646"/>
      <c r="AF516" s="646"/>
      <c r="AG516" s="379">
        <v>1</v>
      </c>
      <c r="AH516" s="646"/>
      <c r="AI516" s="379">
        <v>1</v>
      </c>
      <c r="AJ516" s="646"/>
      <c r="AK516" s="379">
        <v>15</v>
      </c>
      <c r="AL516" s="646"/>
      <c r="AM516" s="646"/>
      <c r="AN516" s="646"/>
      <c r="AO516" s="652"/>
      <c r="AP516" s="379">
        <v>15</v>
      </c>
      <c r="AQ516" s="646"/>
      <c r="AR516" s="648"/>
      <c r="AS516" s="646"/>
      <c r="AT516" s="379">
        <v>2</v>
      </c>
      <c r="AU516" s="646"/>
      <c r="AV516" s="646"/>
      <c r="AW516" s="646"/>
      <c r="AX516" s="709" t="s">
        <v>43</v>
      </c>
      <c r="AY516" s="703" t="s">
        <v>1200</v>
      </c>
      <c r="AZ516" s="646"/>
      <c r="BA516" s="646"/>
      <c r="BB516" s="646"/>
      <c r="BC516" s="643"/>
      <c r="BD516" s="646"/>
      <c r="BE516" s="646"/>
      <c r="BF516" s="646"/>
      <c r="BG516" s="646"/>
      <c r="BH516" s="646"/>
      <c r="BI516" s="646"/>
      <c r="BJ516" s="379">
        <v>1</v>
      </c>
      <c r="BK516" s="379">
        <v>63</v>
      </c>
      <c r="BL516" s="646">
        <v>0</v>
      </c>
      <c r="BM516" s="643"/>
      <c r="BN516" s="647"/>
      <c r="BO516" s="711">
        <v>0.5</v>
      </c>
      <c r="BP516" s="643"/>
      <c r="BQ516" s="649">
        <f>IFERROR(WWWW[[#This Row],['#_Water sources treated]]/WWWW[[#This Row],['#_Water sources tested for contamination]],"no test")</f>
        <v>0</v>
      </c>
      <c r="BR516" s="648">
        <f>IFERROR(WWWW[[#This Row],['#_Household received remediation action due to contamination]]/WWWW[[#This Row],['#_Household water samples tested for contamination]],"no test")</f>
        <v>0</v>
      </c>
      <c r="BS516" s="647" t="str">
        <f>IF(AND(WWWW[[#This Row],[% of water sources treated]]="no test",WWWW[[#This Row],[% Household received corrective actions]]="no test"),"No Test","Tested")</f>
        <v>Tested</v>
      </c>
      <c r="BT516" s="647">
        <f>WWWW[[#This Row],['#_Constructed/existing protected hand dug well]]-WWWW[[#This Row],['#_Non-functional protected hand dug well]]</f>
        <v>0</v>
      </c>
      <c r="BU516" s="647">
        <f>(WWWW[[#This Row],['#_Constructed/Existing tube wells/boreholes/handpumps_WASH_agency]]+WWWW[[#This Row],['#_Non-Cluster partner water tube-wells/boreholes/handpumps]])-WWWW[[#This Row],['#_Non-functional tube wells/boreholes/handpumps]]</f>
        <v>0</v>
      </c>
      <c r="BV516" s="647">
        <f>WWWW[[#This Row],['#_Constructed/Existingwater storage tank with gravity fed reticulation system]]-WWWW[[#This Row],['#_Non-functional storage tank gravity fed reticulation system]]</f>
        <v>54</v>
      </c>
      <c r="BW516" s="647">
        <f>WWWW[[#This Row],['#_Water boating or water trucking]]</f>
        <v>0</v>
      </c>
      <c r="BX516" s="647">
        <f>WWWW[[#This Row],['#_Constructed/Existing water distribution system from river or natural spring]]</f>
        <v>0</v>
      </c>
      <c r="BY516"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516"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516" s="648">
        <f>IF(WWWW[[#This Row],[Location Type 1]]="Village",WWWW[[#This Row],[Access to safe drinking water for Village]],WWWW[[#This Row],[Access to safe drinking water for Camp]])</f>
        <v>1</v>
      </c>
      <c r="CB516" s="645">
        <f>WWWW[[#This Row],[%Equitable and continuous access to sufficient quantity of safe drinking water]]*WWWW[[#This Row],[Total PoP ]]</f>
        <v>426</v>
      </c>
      <c r="CC516" s="648">
        <f>IF((WWWW[[#This Row],['#_Constructed/Existing protected/fenced ponds]]*250)/WWWW[[#This Row],[Total PoP ]]&gt;1,1,(WWWW[[#This Row],['#_Constructed/Existing protected/fenced ponds]]*250)/WWWW[[#This Row],[Total PoP ]])</f>
        <v>0</v>
      </c>
      <c r="CD516" s="645">
        <f>WWWW[[#This Row],[% Access to unimproved water points]]*WWWW[[#This Row],[Total PoP ]]</f>
        <v>0</v>
      </c>
      <c r="CE516"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16"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426</v>
      </c>
      <c r="CG516" s="645">
        <f>WWWW[[#This Row],[HRP1]]/500</f>
        <v>0.85199999999999998</v>
      </c>
      <c r="CH516" s="650">
        <f>1-WWWW[[#This Row],[% Equitable and continuous access to sufficient quantity of domestic water]]</f>
        <v>0</v>
      </c>
      <c r="CI516" s="645">
        <f>WWWW[[#This Row],[%equitable and continuous access to sufficient quantity of safe drinking and domestic water''s GAP]]*WWWW[[#This Row],[Total PoP ]]</f>
        <v>0</v>
      </c>
      <c r="CJ516" s="647">
        <f>IF(WWWW[[#This Row],[Total required water points]]-WWWW[[#This Row],['#Water points coverage]]&lt;0,0,WWWW[[#This Row],[Total required water points]]-WWWW[[#This Row],['#Water points coverage]])</f>
        <v>0.14800000000000002</v>
      </c>
      <c r="CK516" s="647">
        <f>ROUND(IF(WWWW[[#This Row],[Total PoP ]]&lt;500,1,WWWW[[#This Row],[Total PoP ]]/500),0)</f>
        <v>1</v>
      </c>
      <c r="CL516" s="647">
        <f>(WWWW[[#This Row],['#_Constructed latrines_by_WASHAgencies]]+WWWW[[#This Row],['#_Non Cluster partner latrines]])-WWWW[[#This Row],['#_Non-functional latrines]]</f>
        <v>15</v>
      </c>
      <c r="CM516"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0.70422535211267601</v>
      </c>
      <c r="CN516"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300</v>
      </c>
      <c r="CO516"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16" s="647">
        <f>IF(WWWW[[#This Row],[Location Type 1]]="Village","NA",IF(WWWW[[#This Row],['#_Constructed/Existing latrines in TLS]]*50&gt;WWWW[[#This Row],['#_students at TLS_CFS]],WWWW[[#This Row],['#_students at TLS_CFS]],(WWWW[[#This Row],['#_Constructed/Existing latrines in TLS]]*50)))</f>
        <v>0</v>
      </c>
      <c r="CQ516" s="647">
        <f>ROUND(IF(WWWW[[#This Row],[Location Type 1]]="camp",WWWW[[#This Row],[Total PoP ]]/20,IF(WWWW[[#This Row],[Location Type 1]]="Temporary Location",WWWW[[#This Row],[Total PoP ]]/50,(WWWW[[#This Row],[Total PoP ]]/6))),0)</f>
        <v>21</v>
      </c>
      <c r="CR516" s="647">
        <f>IF(WWWW[[#This Row],[Total required Latrines]]-(WWWW[[#This Row],['#_Constructed latrines_by_WASHAgencies]]+WWWW[[#This Row],['#_Non Cluster partner latrines]])&lt;0,0,WWWW[[#This Row],[Total required Latrines]]-(WWWW[[#This Row],['#_Constructed latrines_by_WASHAgencies]]+WWWW[[#This Row],['#_Non Cluster partner latrines]]))</f>
        <v>6</v>
      </c>
      <c r="CS516" s="79">
        <f>1-WWWW[[#This Row],[% people access to functioning Latrine]]</f>
        <v>0.29577464788732399</v>
      </c>
      <c r="CT516" s="649">
        <f>IF(OR(WWWW[[#This Row],['#_Non-functional latrines]]="",WWWW[[#This Row],['#_Non-functional latrines]]=0),0,WWWW[[#This Row],['#_Non-functional latrines]]/(WWWW[[#This Row],['#_Constructed latrines_by_WASHAgencies]]+WWWW[[#This Row],['#_Non Cluster partner latrines]]))</f>
        <v>0</v>
      </c>
      <c r="CU516" s="645">
        <f>IF(500*(WWWW[[#This Row],['#_male hygiene promoters]]+WWWW[[#This Row],['#_female hygiene promoters]])&gt;WWWW[[#This Row],[Total PoP ]],WWWW[[#This Row],[Total PoP ]],500*(WWWW[[#This Row],['#_male hygiene promoters]]+WWWW[[#This Row],['#_female hygiene promoters]]))</f>
        <v>426</v>
      </c>
      <c r="CV516"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315</v>
      </c>
      <c r="CW516"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16" s="647">
        <f>IF(WWWW[[#This Row],['# People with access to soap]]&gt;WWWW[[#This Row],['# People with access to Sanity Pads]],WWWW[[#This Row],['# People with access to soap]],WWWW[[#This Row],['# People with access to Sanity Pads]])</f>
        <v>315</v>
      </c>
      <c r="CY516" s="647">
        <f>IF(WWWW[[#This Row],['# people reached by regular dedicated hygiene promotion_5]]&gt;WWWW[[#This Row],['# People received regular supply of hygiene items_6]],WWWW[[#This Row],['# people reached by regular dedicated hygiene promotion_5]],WWWW[[#This Row],['# People received regular supply of hygiene items_6]])</f>
        <v>426</v>
      </c>
      <c r="CZ516" s="650">
        <f>IF(WWWW[[#This Row],[HRP3]]/WWWW[[#This Row],[Total PoP ]]&gt;100%,100%,WWWW[[#This Row],[HRP3]]/WWWW[[#This Row],[Total PoP ]])</f>
        <v>1</v>
      </c>
      <c r="DA516" s="649">
        <f>1-WWWW[[#This Row],[Hygiene Coverage%]]</f>
        <v>0</v>
      </c>
      <c r="DB516" s="648">
        <f>WWWW[[#This Row],['# people reached by regular dedicated hygiene promotion_5]]/WWWW[[#This Row],[Total PoP ]]</f>
        <v>1</v>
      </c>
      <c r="DC516" s="648">
        <f>IF(WWWW[[#This Row],['#_households that received standard amount of soap for this quarter]]/WWWW[[#This Row],[Total HH]]&gt;1,1,WWWW[[#This Row],['#_households that received standard amount of soap for this quarter]]/WWWW[[#This Row],[Total HH]])</f>
        <v>0.76829268292682928</v>
      </c>
      <c r="DD516" s="648">
        <f>IF(WWWW[[#This Row],['#_households that received standard amount of sanitary pads for this quarter]]/WWWW[[#This Row],[Total HH]]&gt;1,1,WWWW[[#This Row],['#_households that received standard amount of sanitary pads for this quarter]]/WWWW[[#This Row],[Total HH]])</f>
        <v>0</v>
      </c>
      <c r="DE516" s="647">
        <f>WWWW[[#This Row],['#_Constructed/Existing hand washing stations]]-WWWW[[#This Row],['#_Non-Functional_hand_washing_stations]]</f>
        <v>0</v>
      </c>
      <c r="DF516" s="667">
        <f>IF(WWWW[[#This Row],['# Functional hand washing stations during reporting period]]*20&gt;WWWW[[#This Row],[Total HH]],WWWW[[#This Row],[Total HH]],WWWW[[#This Row],['# Functional hand washing stations during reporting period]]*20)</f>
        <v>0</v>
      </c>
      <c r="DG516" s="645">
        <f>IF(WWWW[[#This Row],[Is sufficient soap available for TLS? (Yes/No)]]="yes",WWWW[[#This Row],['#_Constructed/Existing hand washing stations at TLS]],0)</f>
        <v>0</v>
      </c>
      <c r="DH516" s="645">
        <f>IF(WWWW[[#This Row],['# Functional hand washing stations during reporting period]]*100&gt;WWWW[[#This Row],[Total PoP ]],WWWW[[#This Row],[Total PoP ]],WWWW[[#This Row],['# Functional hand washing stations during reporting period]]*100)</f>
        <v>0</v>
      </c>
      <c r="DI516" s="645" t="str">
        <f>IF(WWWW[[#This Row],['#_students at TLS_CFS]]="","No","Yes")</f>
        <v>Yes</v>
      </c>
      <c r="DJ516" s="643" t="str">
        <f>VLOOKUP(WWWW[[#This Row],[Site Name]],SiteDB6[[Site Name]:[CCCM Management]],6,FALSE)</f>
        <v>Yes</v>
      </c>
      <c r="DK516" s="643" t="str">
        <f>VLOOKUP(WWWW[[#This Row],[Site Name]],SiteDB6[[Site Name]:[CCCM Focal Agency]],7,FALSE)</f>
        <v>KMSS-LSO</v>
      </c>
      <c r="DL516" s="643" t="str">
        <f>VLOOKUP(WWWW[[#This Row],[Site Name]],SiteDB6[[Site Name]:[Location Type 1]],9,FALSE)</f>
        <v>Camp</v>
      </c>
      <c r="DM516" s="643" t="str">
        <f>VLOOKUP(WWWW[[#This Row],[Site Name]],SiteDB6[[Site Name]:[Type of Accommodation]],10,FALSE)</f>
        <v>Camp</v>
      </c>
      <c r="DN516" s="643" t="str">
        <f>VLOOKUP(WWWW[[#This Row],[Site Name]],SiteDB6[[Site Name]:[Ethnic or GCA/NGCA]],11,FALSE)</f>
        <v>GCA</v>
      </c>
      <c r="DO516" s="643">
        <f>VLOOKUP(WWWW[[#This Row],[Site Name]],SiteDB6[[Site Name]:[Lat]],12,FALSE)</f>
        <v>23.591999999999999</v>
      </c>
      <c r="DP516" s="643">
        <f>VLOOKUP(WWWW[[#This Row],[Site Name]],SiteDB6[[Site Name]:[Long]],13,FALSE)</f>
        <v>97.796999999999997</v>
      </c>
      <c r="DQ516" s="643" t="str">
        <f>VLOOKUP(WWWW[[#This Row],[Site Name]],SiteDB6[[Site Name]:[Pcode]],3,FALSE)</f>
        <v>MMR015CMP220</v>
      </c>
      <c r="DR516" s="652" t="str">
        <f t="shared" si="18"/>
        <v>Covered</v>
      </c>
      <c r="DS516" s="652"/>
      <c r="DV516" s="677"/>
    </row>
    <row r="517" spans="1:126">
      <c r="A517" s="637" t="s">
        <v>2525</v>
      </c>
      <c r="B517" s="644" t="s">
        <v>317</v>
      </c>
      <c r="C517" s="644" t="s">
        <v>317</v>
      </c>
      <c r="D517" s="644"/>
      <c r="E517" s="644" t="s">
        <v>716</v>
      </c>
      <c r="F517" s="644" t="s">
        <v>757</v>
      </c>
      <c r="G517" s="643" t="s">
        <v>45</v>
      </c>
      <c r="H517" s="644" t="s">
        <v>758</v>
      </c>
      <c r="I517" s="646">
        <v>37</v>
      </c>
      <c r="J517" s="646">
        <v>120</v>
      </c>
      <c r="K517" s="653"/>
      <c r="L517" s="654"/>
      <c r="M517" s="646"/>
      <c r="N517" s="646"/>
      <c r="O517" s="646"/>
      <c r="P517" s="646"/>
      <c r="Q517" s="645"/>
      <c r="R517" s="646"/>
      <c r="S517" s="646"/>
      <c r="T517" s="646"/>
      <c r="U517" s="646"/>
      <c r="V517" s="646"/>
      <c r="W517" s="646"/>
      <c r="X517" s="646"/>
      <c r="Y517" s="646"/>
      <c r="Z517" s="646"/>
      <c r="AA517" s="646"/>
      <c r="AB517" s="646"/>
      <c r="AC517" s="646"/>
      <c r="AD517" s="646"/>
      <c r="AE517" s="646"/>
      <c r="AF517" s="646"/>
      <c r="AG517" s="646"/>
      <c r="AH517" s="646"/>
      <c r="AI517" s="646"/>
      <c r="AJ517" s="646"/>
      <c r="AK517" s="646"/>
      <c r="AL517" s="646"/>
      <c r="AM517" s="646"/>
      <c r="AN517" s="646"/>
      <c r="AO517" s="652"/>
      <c r="AP517" s="646"/>
      <c r="AQ517" s="646"/>
      <c r="AR517" s="648"/>
      <c r="AS517" s="646"/>
      <c r="AT517" s="646"/>
      <c r="AU517" s="646"/>
      <c r="AV517" s="646"/>
      <c r="AW517" s="646"/>
      <c r="AX517" s="643"/>
      <c r="AY517" s="652"/>
      <c r="AZ517" s="646"/>
      <c r="BA517" s="646"/>
      <c r="BB517" s="646"/>
      <c r="BC517" s="643"/>
      <c r="BD517" s="646"/>
      <c r="BE517" s="646"/>
      <c r="BF517" s="646"/>
      <c r="BG517" s="646"/>
      <c r="BH517" s="646"/>
      <c r="BI517" s="646"/>
      <c r="BJ517" s="646"/>
      <c r="BK517" s="646"/>
      <c r="BL517" s="646"/>
      <c r="BM517" s="643"/>
      <c r="BN517" s="647"/>
      <c r="BO517" s="648"/>
      <c r="BP517" s="643"/>
      <c r="BQ517" s="649" t="str">
        <f>IFERROR(WWWW[[#This Row],['#_Water sources treated]]/WWWW[[#This Row],['#_Water sources tested for contamination]],"no test")</f>
        <v>no test</v>
      </c>
      <c r="BR517" s="648" t="str">
        <f>IFERROR(WWWW[[#This Row],['#_Household received remediation action due to contamination]]/WWWW[[#This Row],['#_Household water samples tested for contamination]],"no test")</f>
        <v>no test</v>
      </c>
      <c r="BS517" s="647" t="str">
        <f>IF(AND(WWWW[[#This Row],[% of water sources treated]]="no test",WWWW[[#This Row],[% Household received corrective actions]]="no test"),"No Test","Tested")</f>
        <v>No Test</v>
      </c>
      <c r="BT517" s="647">
        <f>WWWW[[#This Row],['#_Constructed/existing protected hand dug well]]-WWWW[[#This Row],['#_Non-functional protected hand dug well]]</f>
        <v>0</v>
      </c>
      <c r="BU517" s="647">
        <f>(WWWW[[#This Row],['#_Constructed/Existing tube wells/boreholes/handpumps_WASH_agency]]+WWWW[[#This Row],['#_Non-Cluster partner water tube-wells/boreholes/handpumps]])-WWWW[[#This Row],['#_Non-functional tube wells/boreholes/handpumps]]</f>
        <v>0</v>
      </c>
      <c r="BV517" s="647">
        <f>WWWW[[#This Row],['#_Constructed/Existingwater storage tank with gravity fed reticulation system]]-WWWW[[#This Row],['#_Non-functional storage tank gravity fed reticulation system]]</f>
        <v>0</v>
      </c>
      <c r="BW517" s="647">
        <f>WWWW[[#This Row],['#_Water boating or water trucking]]</f>
        <v>0</v>
      </c>
      <c r="BX517" s="647">
        <f>WWWW[[#This Row],['#_Constructed/Existing water distribution system from river or natural spring]]</f>
        <v>0</v>
      </c>
      <c r="BY517"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517"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517" s="648">
        <f>IF(WWWW[[#This Row],[Location Type 1]]="Village",WWWW[[#This Row],[Access to safe drinking water for Village]],WWWW[[#This Row],[Access to safe drinking water for Camp]])</f>
        <v>0</v>
      </c>
      <c r="CB517" s="645">
        <f>WWWW[[#This Row],[%Equitable and continuous access to sufficient quantity of safe drinking water]]*WWWW[[#This Row],[Total PoP ]]</f>
        <v>0</v>
      </c>
      <c r="CC517" s="648">
        <f>IF((WWWW[[#This Row],['#_Constructed/Existing protected/fenced ponds]]*250)/WWWW[[#This Row],[Total PoP ]]&gt;1,1,(WWWW[[#This Row],['#_Constructed/Existing protected/fenced ponds]]*250)/WWWW[[#This Row],[Total PoP ]])</f>
        <v>0</v>
      </c>
      <c r="CD517" s="645">
        <f>WWWW[[#This Row],[% Access to unimproved water points]]*WWWW[[#This Row],[Total PoP ]]</f>
        <v>0</v>
      </c>
      <c r="CE517"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517"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517" s="645">
        <f>WWWW[[#This Row],[HRP1]]/500</f>
        <v>0</v>
      </c>
      <c r="CH517" s="650">
        <f>1-WWWW[[#This Row],[% Equitable and continuous access to sufficient quantity of domestic water]]</f>
        <v>1</v>
      </c>
      <c r="CI517" s="645">
        <f>WWWW[[#This Row],[%equitable and continuous access to sufficient quantity of safe drinking and domestic water''s GAP]]*WWWW[[#This Row],[Total PoP ]]</f>
        <v>120</v>
      </c>
      <c r="CJ517" s="647">
        <f>IF(WWWW[[#This Row],[Total required water points]]-WWWW[[#This Row],['#Water points coverage]]&lt;0,0,WWWW[[#This Row],[Total required water points]]-WWWW[[#This Row],['#Water points coverage]])</f>
        <v>1</v>
      </c>
      <c r="CK517" s="647">
        <f>ROUND(IF(WWWW[[#This Row],[Total PoP ]]&lt;500,1,WWWW[[#This Row],[Total PoP ]]/500),0)</f>
        <v>1</v>
      </c>
      <c r="CL517" s="647">
        <f>(WWWW[[#This Row],['#_Constructed latrines_by_WASHAgencies]]+WWWW[[#This Row],['#_Non Cluster partner latrines]])-WWWW[[#This Row],['#_Non-functional latrines]]</f>
        <v>0</v>
      </c>
      <c r="CM517"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517"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517"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17" s="647">
        <f>IF(WWWW[[#This Row],[Location Type 1]]="Village","NA",IF(WWWW[[#This Row],['#_Constructed/Existing latrines in TLS]]*50&gt;WWWW[[#This Row],['#_students at TLS_CFS]],WWWW[[#This Row],['#_students at TLS_CFS]],(WWWW[[#This Row],['#_Constructed/Existing latrines in TLS]]*50)))</f>
        <v>0</v>
      </c>
      <c r="CQ517" s="647">
        <f>ROUND(IF(WWWW[[#This Row],[Location Type 1]]="camp",WWWW[[#This Row],[Total PoP ]]/20,IF(WWWW[[#This Row],[Location Type 1]]="Temporary Location",WWWW[[#This Row],[Total PoP ]]/50,(WWWW[[#This Row],[Total PoP ]]/6))),0)</f>
        <v>6</v>
      </c>
      <c r="CR517" s="647">
        <f>IF(WWWW[[#This Row],[Total required Latrines]]-(WWWW[[#This Row],['#_Constructed latrines_by_WASHAgencies]]+WWWW[[#This Row],['#_Non Cluster partner latrines]])&lt;0,0,WWWW[[#This Row],[Total required Latrines]]-(WWWW[[#This Row],['#_Constructed latrines_by_WASHAgencies]]+WWWW[[#This Row],['#_Non Cluster partner latrines]]))</f>
        <v>6</v>
      </c>
      <c r="CS517" s="79">
        <f>1-WWWW[[#This Row],[% people access to functioning Latrine]]</f>
        <v>1</v>
      </c>
      <c r="CT517" s="649">
        <f>IF(OR(WWWW[[#This Row],['#_Non-functional latrines]]="",WWWW[[#This Row],['#_Non-functional latrines]]=0),0,WWWW[[#This Row],['#_Non-functional latrines]]/(WWWW[[#This Row],['#_Constructed latrines_by_WASHAgencies]]+WWWW[[#This Row],['#_Non Cluster partner latrines]]))</f>
        <v>0</v>
      </c>
      <c r="CU517" s="645">
        <f>IF(500*(WWWW[[#This Row],['#_male hygiene promoters]]+WWWW[[#This Row],['#_female hygiene promoters]])&gt;WWWW[[#This Row],[Total PoP ]],WWWW[[#This Row],[Total PoP ]],500*(WWWW[[#This Row],['#_male hygiene promoters]]+WWWW[[#This Row],['#_female hygiene promoters]]))</f>
        <v>0</v>
      </c>
      <c r="CV517"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17"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17" s="647">
        <f>IF(WWWW[[#This Row],['# People with access to soap]]&gt;WWWW[[#This Row],['# People with access to Sanity Pads]],WWWW[[#This Row],['# People with access to soap]],WWWW[[#This Row],['# People with access to Sanity Pads]])</f>
        <v>0</v>
      </c>
      <c r="CY517"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517" s="650">
        <f>IF(WWWW[[#This Row],[HRP3]]/WWWW[[#This Row],[Total PoP ]]&gt;100%,100%,WWWW[[#This Row],[HRP3]]/WWWW[[#This Row],[Total PoP ]])</f>
        <v>0</v>
      </c>
      <c r="DA517" s="649">
        <f>1-WWWW[[#This Row],[Hygiene Coverage%]]</f>
        <v>1</v>
      </c>
      <c r="DB517" s="648">
        <f>WWWW[[#This Row],['# people reached by regular dedicated hygiene promotion_5]]/WWWW[[#This Row],[Total PoP ]]</f>
        <v>0</v>
      </c>
      <c r="DC517" s="648">
        <f>IF(WWWW[[#This Row],['#_households that received standard amount of soap for this quarter]]/WWWW[[#This Row],[Total HH]]&gt;1,1,WWWW[[#This Row],['#_households that received standard amount of soap for this quarter]]/WWWW[[#This Row],[Total HH]])</f>
        <v>0</v>
      </c>
      <c r="DD517" s="648">
        <f>IF(WWWW[[#This Row],['#_households that received standard amount of sanitary pads for this quarter]]/WWWW[[#This Row],[Total HH]]&gt;1,1,WWWW[[#This Row],['#_households that received standard amount of sanitary pads for this quarter]]/WWWW[[#This Row],[Total HH]])</f>
        <v>0</v>
      </c>
      <c r="DE517" s="647">
        <f>WWWW[[#This Row],['#_Constructed/Existing hand washing stations]]-WWWW[[#This Row],['#_Non-Functional_hand_washing_stations]]</f>
        <v>0</v>
      </c>
      <c r="DF517" s="667">
        <f>IF(WWWW[[#This Row],['# Functional hand washing stations during reporting period]]*20&gt;WWWW[[#This Row],[Total HH]],WWWW[[#This Row],[Total HH]],WWWW[[#This Row],['# Functional hand washing stations during reporting period]]*20)</f>
        <v>0</v>
      </c>
      <c r="DG517" s="645">
        <f>IF(WWWW[[#This Row],[Is sufficient soap available for TLS? (Yes/No)]]="yes",WWWW[[#This Row],['#_Constructed/Existing hand washing stations at TLS]],0)</f>
        <v>0</v>
      </c>
      <c r="DH517" s="645">
        <f>IF(WWWW[[#This Row],['# Functional hand washing stations during reporting period]]*100&gt;WWWW[[#This Row],[Total PoP ]],WWWW[[#This Row],[Total PoP ]],WWWW[[#This Row],['# Functional hand washing stations during reporting period]]*100)</f>
        <v>0</v>
      </c>
      <c r="DI517" s="645" t="str">
        <f>IF(WWWW[[#This Row],['#_students at TLS_CFS]]="","No","Yes")</f>
        <v>No</v>
      </c>
      <c r="DJ517" s="643">
        <f>VLOOKUP(WWWW[[#This Row],[Site Name]],SiteDB6[[Site Name]:[CCCM Management]],6,FALSE)</f>
        <v>0</v>
      </c>
      <c r="DK517" s="643" t="str">
        <f>VLOOKUP(WWWW[[#This Row],[Site Name]],SiteDB6[[Site Name]:[CCCM Focal Agency]],7,FALSE)</f>
        <v>uncovered</v>
      </c>
      <c r="DL517" s="643" t="str">
        <f>VLOOKUP(WWWW[[#This Row],[Site Name]],SiteDB6[[Site Name]:[Location Type 1]],9,FALSE)</f>
        <v>Camp</v>
      </c>
      <c r="DM517" s="643" t="str">
        <f>VLOOKUP(WWWW[[#This Row],[Site Name]],SiteDB6[[Site Name]:[Type of Accommodation]],10,FALSE)</f>
        <v>Camp like setting</v>
      </c>
      <c r="DN517" s="643" t="str">
        <f>VLOOKUP(WWWW[[#This Row],[Site Name]],SiteDB6[[Site Name]:[Ethnic or GCA/NGCA]],11,FALSE)</f>
        <v>GCA</v>
      </c>
      <c r="DO517" s="643">
        <f>VLOOKUP(WWWW[[#This Row],[Site Name]],SiteDB6[[Site Name]:[Lat]],12,FALSE)</f>
        <v>22.677008000000001</v>
      </c>
      <c r="DP517" s="643">
        <f>VLOOKUP(WWWW[[#This Row],[Site Name]],SiteDB6[[Site Name]:[Long]],13,FALSE)</f>
        <v>97.314762999999999</v>
      </c>
      <c r="DQ517" s="643" t="str">
        <f>VLOOKUP(WWWW[[#This Row],[Site Name]],SiteDB6[[Site Name]:[Pcode]],3,FALSE)</f>
        <v>MMR015CMP244</v>
      </c>
      <c r="DR517" s="652" t="str">
        <f t="shared" si="18"/>
        <v>Notcovered</v>
      </c>
      <c r="DS517" s="652"/>
      <c r="DV517" s="677"/>
    </row>
    <row r="518" spans="1:126">
      <c r="A518" s="637" t="s">
        <v>2525</v>
      </c>
      <c r="B518" s="644" t="s">
        <v>317</v>
      </c>
      <c r="C518" s="644" t="s">
        <v>317</v>
      </c>
      <c r="D518" s="644"/>
      <c r="E518" s="644" t="s">
        <v>716</v>
      </c>
      <c r="F518" s="644" t="s">
        <v>720</v>
      </c>
      <c r="G518" s="643" t="s">
        <v>45</v>
      </c>
      <c r="H518" s="644" t="s">
        <v>755</v>
      </c>
      <c r="I518" s="646">
        <v>24</v>
      </c>
      <c r="J518" s="646">
        <v>86</v>
      </c>
      <c r="K518" s="653"/>
      <c r="L518" s="654"/>
      <c r="M518" s="646"/>
      <c r="N518" s="646"/>
      <c r="O518" s="646"/>
      <c r="P518" s="646"/>
      <c r="Q518" s="645"/>
      <c r="R518" s="646"/>
      <c r="S518" s="646"/>
      <c r="T518" s="646"/>
      <c r="U518" s="646"/>
      <c r="V518" s="646"/>
      <c r="W518" s="646"/>
      <c r="X518" s="646"/>
      <c r="Y518" s="646"/>
      <c r="Z518" s="646"/>
      <c r="AA518" s="646"/>
      <c r="AB518" s="646"/>
      <c r="AC518" s="646"/>
      <c r="AD518" s="646"/>
      <c r="AE518" s="646"/>
      <c r="AF518" s="646"/>
      <c r="AG518" s="646"/>
      <c r="AH518" s="646"/>
      <c r="AI518" s="646"/>
      <c r="AJ518" s="646"/>
      <c r="AK518" s="646"/>
      <c r="AL518" s="646"/>
      <c r="AM518" s="646"/>
      <c r="AN518" s="646"/>
      <c r="AO518" s="652"/>
      <c r="AP518" s="646"/>
      <c r="AQ518" s="646"/>
      <c r="AR518" s="648"/>
      <c r="AS518" s="646"/>
      <c r="AT518" s="646"/>
      <c r="AU518" s="646"/>
      <c r="AV518" s="646"/>
      <c r="AW518" s="646"/>
      <c r="AX518" s="643"/>
      <c r="AY518" s="652"/>
      <c r="AZ518" s="646"/>
      <c r="BA518" s="646"/>
      <c r="BB518" s="646"/>
      <c r="BC518" s="643"/>
      <c r="BD518" s="646"/>
      <c r="BE518" s="646"/>
      <c r="BF518" s="646"/>
      <c r="BG518" s="646"/>
      <c r="BH518" s="646"/>
      <c r="BI518" s="646"/>
      <c r="BJ518" s="646"/>
      <c r="BK518" s="646"/>
      <c r="BL518" s="646"/>
      <c r="BM518" s="643"/>
      <c r="BN518" s="647"/>
      <c r="BO518" s="648"/>
      <c r="BP518" s="643"/>
      <c r="BQ518" s="649" t="str">
        <f>IFERROR(WWWW[[#This Row],['#_Water sources treated]]/WWWW[[#This Row],['#_Water sources tested for contamination]],"no test")</f>
        <v>no test</v>
      </c>
      <c r="BR518" s="648" t="str">
        <f>IFERROR(WWWW[[#This Row],['#_Household received remediation action due to contamination]]/WWWW[[#This Row],['#_Household water samples tested for contamination]],"no test")</f>
        <v>no test</v>
      </c>
      <c r="BS518" s="647" t="str">
        <f>IF(AND(WWWW[[#This Row],[% of water sources treated]]="no test",WWWW[[#This Row],[% Household received corrective actions]]="no test"),"No Test","Tested")</f>
        <v>No Test</v>
      </c>
      <c r="BT518" s="647">
        <f>WWWW[[#This Row],['#_Constructed/existing protected hand dug well]]-WWWW[[#This Row],['#_Non-functional protected hand dug well]]</f>
        <v>0</v>
      </c>
      <c r="BU518" s="647">
        <f>(WWWW[[#This Row],['#_Constructed/Existing tube wells/boreholes/handpumps_WASH_agency]]+WWWW[[#This Row],['#_Non-Cluster partner water tube-wells/boreholes/handpumps]])-WWWW[[#This Row],['#_Non-functional tube wells/boreholes/handpumps]]</f>
        <v>0</v>
      </c>
      <c r="BV518" s="647">
        <f>WWWW[[#This Row],['#_Constructed/Existingwater storage tank with gravity fed reticulation system]]-WWWW[[#This Row],['#_Non-functional storage tank gravity fed reticulation system]]</f>
        <v>0</v>
      </c>
      <c r="BW518" s="647">
        <f>WWWW[[#This Row],['#_Water boating or water trucking]]</f>
        <v>0</v>
      </c>
      <c r="BX518" s="647">
        <f>WWWW[[#This Row],['#_Constructed/Existing water distribution system from river or natural spring]]</f>
        <v>0</v>
      </c>
      <c r="BY518"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518"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518" s="648">
        <f>IF(WWWW[[#This Row],[Location Type 1]]="Village",WWWW[[#This Row],[Access to safe drinking water for Village]],WWWW[[#This Row],[Access to safe drinking water for Camp]])</f>
        <v>0</v>
      </c>
      <c r="CB518" s="645">
        <f>WWWW[[#This Row],[%Equitable and continuous access to sufficient quantity of safe drinking water]]*WWWW[[#This Row],[Total PoP ]]</f>
        <v>0</v>
      </c>
      <c r="CC518" s="648">
        <f>IF((WWWW[[#This Row],['#_Constructed/Existing protected/fenced ponds]]*250)/WWWW[[#This Row],[Total PoP ]]&gt;1,1,(WWWW[[#This Row],['#_Constructed/Existing protected/fenced ponds]]*250)/WWWW[[#This Row],[Total PoP ]])</f>
        <v>0</v>
      </c>
      <c r="CD518" s="645">
        <f>WWWW[[#This Row],[% Access to unimproved water points]]*WWWW[[#This Row],[Total PoP ]]</f>
        <v>0</v>
      </c>
      <c r="CE518"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518"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518" s="645">
        <f>WWWW[[#This Row],[HRP1]]/500</f>
        <v>0</v>
      </c>
      <c r="CH518" s="650">
        <f>1-WWWW[[#This Row],[% Equitable and continuous access to sufficient quantity of domestic water]]</f>
        <v>1</v>
      </c>
      <c r="CI518" s="645">
        <f>WWWW[[#This Row],[%equitable and continuous access to sufficient quantity of safe drinking and domestic water''s GAP]]*WWWW[[#This Row],[Total PoP ]]</f>
        <v>86</v>
      </c>
      <c r="CJ518" s="647">
        <f>IF(WWWW[[#This Row],[Total required water points]]-WWWW[[#This Row],['#Water points coverage]]&lt;0,0,WWWW[[#This Row],[Total required water points]]-WWWW[[#This Row],['#Water points coverage]])</f>
        <v>1</v>
      </c>
      <c r="CK518" s="647">
        <f>ROUND(IF(WWWW[[#This Row],[Total PoP ]]&lt;500,1,WWWW[[#This Row],[Total PoP ]]/500),0)</f>
        <v>1</v>
      </c>
      <c r="CL518" s="647">
        <f>(WWWW[[#This Row],['#_Constructed latrines_by_WASHAgencies]]+WWWW[[#This Row],['#_Non Cluster partner latrines]])-WWWW[[#This Row],['#_Non-functional latrines]]</f>
        <v>0</v>
      </c>
      <c r="CM518"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518"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518"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18" s="647">
        <f>IF(WWWW[[#This Row],[Location Type 1]]="Village","NA",IF(WWWW[[#This Row],['#_Constructed/Existing latrines in TLS]]*50&gt;WWWW[[#This Row],['#_students at TLS_CFS]],WWWW[[#This Row],['#_students at TLS_CFS]],(WWWW[[#This Row],['#_Constructed/Existing latrines in TLS]]*50)))</f>
        <v>0</v>
      </c>
      <c r="CQ518" s="647">
        <f>ROUND(IF(WWWW[[#This Row],[Location Type 1]]="camp",WWWW[[#This Row],[Total PoP ]]/20,IF(WWWW[[#This Row],[Location Type 1]]="Temporary Location",WWWW[[#This Row],[Total PoP ]]/50,(WWWW[[#This Row],[Total PoP ]]/6))),0)</f>
        <v>4</v>
      </c>
      <c r="CR518" s="647">
        <f>IF(WWWW[[#This Row],[Total required Latrines]]-(WWWW[[#This Row],['#_Constructed latrines_by_WASHAgencies]]+WWWW[[#This Row],['#_Non Cluster partner latrines]])&lt;0,0,WWWW[[#This Row],[Total required Latrines]]-(WWWW[[#This Row],['#_Constructed latrines_by_WASHAgencies]]+WWWW[[#This Row],['#_Non Cluster partner latrines]]))</f>
        <v>4</v>
      </c>
      <c r="CS518" s="79">
        <f>1-WWWW[[#This Row],[% people access to functioning Latrine]]</f>
        <v>1</v>
      </c>
      <c r="CT518" s="649">
        <f>IF(OR(WWWW[[#This Row],['#_Non-functional latrines]]="",WWWW[[#This Row],['#_Non-functional latrines]]=0),0,WWWW[[#This Row],['#_Non-functional latrines]]/(WWWW[[#This Row],['#_Constructed latrines_by_WASHAgencies]]+WWWW[[#This Row],['#_Non Cluster partner latrines]]))</f>
        <v>0</v>
      </c>
      <c r="CU518" s="645">
        <f>IF(500*(WWWW[[#This Row],['#_male hygiene promoters]]+WWWW[[#This Row],['#_female hygiene promoters]])&gt;WWWW[[#This Row],[Total PoP ]],WWWW[[#This Row],[Total PoP ]],500*(WWWW[[#This Row],['#_male hygiene promoters]]+WWWW[[#This Row],['#_female hygiene promoters]]))</f>
        <v>0</v>
      </c>
      <c r="CV518"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18"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18" s="647">
        <f>IF(WWWW[[#This Row],['# People with access to soap]]&gt;WWWW[[#This Row],['# People with access to Sanity Pads]],WWWW[[#This Row],['# People with access to soap]],WWWW[[#This Row],['# People with access to Sanity Pads]])</f>
        <v>0</v>
      </c>
      <c r="CY518"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518" s="650">
        <f>IF(WWWW[[#This Row],[HRP3]]/WWWW[[#This Row],[Total PoP ]]&gt;100%,100%,WWWW[[#This Row],[HRP3]]/WWWW[[#This Row],[Total PoP ]])</f>
        <v>0</v>
      </c>
      <c r="DA518" s="649">
        <f>1-WWWW[[#This Row],[Hygiene Coverage%]]</f>
        <v>1</v>
      </c>
      <c r="DB518" s="648">
        <f>WWWW[[#This Row],['# people reached by regular dedicated hygiene promotion_5]]/WWWW[[#This Row],[Total PoP ]]</f>
        <v>0</v>
      </c>
      <c r="DC518" s="648">
        <f>IF(WWWW[[#This Row],['#_households that received standard amount of soap for this quarter]]/WWWW[[#This Row],[Total HH]]&gt;1,1,WWWW[[#This Row],['#_households that received standard amount of soap for this quarter]]/WWWW[[#This Row],[Total HH]])</f>
        <v>0</v>
      </c>
      <c r="DD518" s="648">
        <f>IF(WWWW[[#This Row],['#_households that received standard amount of sanitary pads for this quarter]]/WWWW[[#This Row],[Total HH]]&gt;1,1,WWWW[[#This Row],['#_households that received standard amount of sanitary pads for this quarter]]/WWWW[[#This Row],[Total HH]])</f>
        <v>0</v>
      </c>
      <c r="DE518" s="647">
        <f>WWWW[[#This Row],['#_Constructed/Existing hand washing stations]]-WWWW[[#This Row],['#_Non-Functional_hand_washing_stations]]</f>
        <v>0</v>
      </c>
      <c r="DF518" s="667">
        <f>IF(WWWW[[#This Row],['# Functional hand washing stations during reporting period]]*20&gt;WWWW[[#This Row],[Total HH]],WWWW[[#This Row],[Total HH]],WWWW[[#This Row],['# Functional hand washing stations during reporting period]]*20)</f>
        <v>0</v>
      </c>
      <c r="DG518" s="645">
        <f>IF(WWWW[[#This Row],[Is sufficient soap available for TLS? (Yes/No)]]="yes",WWWW[[#This Row],['#_Constructed/Existing hand washing stations at TLS]],0)</f>
        <v>0</v>
      </c>
      <c r="DH518" s="645">
        <f>IF(WWWW[[#This Row],['# Functional hand washing stations during reporting period]]*100&gt;WWWW[[#This Row],[Total PoP ]],WWWW[[#This Row],[Total PoP ]],WWWW[[#This Row],['# Functional hand washing stations during reporting period]]*100)</f>
        <v>0</v>
      </c>
      <c r="DI518" s="645" t="str">
        <f>IF(WWWW[[#This Row],['#_students at TLS_CFS]]="","No","Yes")</f>
        <v>No</v>
      </c>
      <c r="DJ518" s="643">
        <f>VLOOKUP(WWWW[[#This Row],[Site Name]],SiteDB6[[Site Name]:[CCCM Management]],6,FALSE)</f>
        <v>0</v>
      </c>
      <c r="DK518" s="643" t="str">
        <f>VLOOKUP(WWWW[[#This Row],[Site Name]],SiteDB6[[Site Name]:[CCCM Focal Agency]],7,FALSE)</f>
        <v>uncovered</v>
      </c>
      <c r="DL518" s="643" t="str">
        <f>VLOOKUP(WWWW[[#This Row],[Site Name]],SiteDB6[[Site Name]:[Location Type 1]],9,FALSE)</f>
        <v>Camp</v>
      </c>
      <c r="DM518" s="643" t="str">
        <f>VLOOKUP(WWWW[[#This Row],[Site Name]],SiteDB6[[Site Name]:[Type of Accommodation]],10,FALSE)</f>
        <v>Camp like setting</v>
      </c>
      <c r="DN518" s="643" t="str">
        <f>VLOOKUP(WWWW[[#This Row],[Site Name]],SiteDB6[[Site Name]:[Ethnic or GCA/NGCA]],11,FALSE)</f>
        <v>GCA</v>
      </c>
      <c r="DO518" s="643">
        <f>VLOOKUP(WWWW[[#This Row],[Site Name]],SiteDB6[[Site Name]:[Lat]],12,FALSE)</f>
        <v>0</v>
      </c>
      <c r="DP518" s="643">
        <f>VLOOKUP(WWWW[[#This Row],[Site Name]],SiteDB6[[Site Name]:[Long]],13,FALSE)</f>
        <v>0</v>
      </c>
      <c r="DQ518" s="643" t="str">
        <f>VLOOKUP(WWWW[[#This Row],[Site Name]],SiteDB6[[Site Name]:[Pcode]],3,FALSE)</f>
        <v>MMR015CMP246</v>
      </c>
      <c r="DR518" s="652" t="str">
        <f t="shared" si="18"/>
        <v>Notcovered</v>
      </c>
      <c r="DS518" s="652"/>
      <c r="DV518" s="677"/>
    </row>
    <row r="519" spans="1:126">
      <c r="A519" s="637" t="s">
        <v>2525</v>
      </c>
      <c r="B519" s="644" t="s">
        <v>200</v>
      </c>
      <c r="C519" s="644" t="s">
        <v>200</v>
      </c>
      <c r="D519" s="644" t="s">
        <v>2970</v>
      </c>
      <c r="E519" s="644" t="s">
        <v>716</v>
      </c>
      <c r="F519" s="644" t="s">
        <v>723</v>
      </c>
      <c r="G519" s="663" t="str">
        <f>VLOOKUP(WWWW[[#This Row],[Site Name]],SiteDB6[[Site Name]:[Location Type]],8,FALSE)</f>
        <v>Camp</v>
      </c>
      <c r="H519" s="644" t="s">
        <v>749</v>
      </c>
      <c r="I519" s="646">
        <v>33</v>
      </c>
      <c r="J519" s="646">
        <v>147</v>
      </c>
      <c r="K519" s="653" t="s">
        <v>2971</v>
      </c>
      <c r="L519" s="654" t="s">
        <v>2972</v>
      </c>
      <c r="M519" s="646">
        <v>19</v>
      </c>
      <c r="N519" s="646"/>
      <c r="O519" s="646"/>
      <c r="P519" s="646"/>
      <c r="Q519" s="645" t="s">
        <v>43</v>
      </c>
      <c r="R519" s="646"/>
      <c r="S519" s="646"/>
      <c r="T519" s="646"/>
      <c r="U519" s="646"/>
      <c r="V519" s="646"/>
      <c r="W519" s="646">
        <v>1</v>
      </c>
      <c r="X519" s="646"/>
      <c r="Y519" s="646"/>
      <c r="Z519" s="646"/>
      <c r="AA519" s="646"/>
      <c r="AB519" s="646"/>
      <c r="AC519" s="646"/>
      <c r="AD519" s="646"/>
      <c r="AE519" s="646"/>
      <c r="AF519" s="646"/>
      <c r="AG519" s="646"/>
      <c r="AH519" s="646"/>
      <c r="AI519" s="646"/>
      <c r="AJ519" s="646"/>
      <c r="AK519" s="646"/>
      <c r="AL519" s="646"/>
      <c r="AM519" s="646"/>
      <c r="AN519" s="646"/>
      <c r="AO519" s="652"/>
      <c r="AP519" s="646">
        <v>18</v>
      </c>
      <c r="AQ519" s="646"/>
      <c r="AR519" s="648"/>
      <c r="AS519" s="646"/>
      <c r="AT519" s="646"/>
      <c r="AU519" s="646"/>
      <c r="AV519" s="646"/>
      <c r="AW519" s="646"/>
      <c r="AX519" s="643" t="s">
        <v>43</v>
      </c>
      <c r="AY519" s="652" t="s">
        <v>145</v>
      </c>
      <c r="AZ519" s="646"/>
      <c r="BA519" s="646"/>
      <c r="BB519" s="646"/>
      <c r="BC519" s="643"/>
      <c r="BD519" s="646"/>
      <c r="BE519" s="646"/>
      <c r="BF519" s="646"/>
      <c r="BG519" s="646">
        <v>5</v>
      </c>
      <c r="BH519" s="646"/>
      <c r="BI519" s="646"/>
      <c r="BJ519" s="646">
        <v>1</v>
      </c>
      <c r="BK519" s="646">
        <v>0</v>
      </c>
      <c r="BL519" s="646">
        <v>0</v>
      </c>
      <c r="BM519" s="643"/>
      <c r="BN519" s="647"/>
      <c r="BO519" s="648"/>
      <c r="BP519" s="643"/>
      <c r="BQ519" s="649" t="str">
        <f>IFERROR(WWWW[[#This Row],['#_Water sources treated]]/WWWW[[#This Row],['#_Water sources tested for contamination]],"no test")</f>
        <v>no test</v>
      </c>
      <c r="BR519" s="648" t="str">
        <f>IFERROR(WWWW[[#This Row],['#_Household received remediation action due to contamination]]/WWWW[[#This Row],['#_Household water samples tested for contamination]],"no test")</f>
        <v>no test</v>
      </c>
      <c r="BS519" s="647" t="str">
        <f>IF(AND(WWWW[[#This Row],[% of water sources treated]]="no test",WWWW[[#This Row],[% Household received corrective actions]]="no test"),"No Test","Tested")</f>
        <v>No Test</v>
      </c>
      <c r="BT519" s="647">
        <f>WWWW[[#This Row],['#_Constructed/existing protected hand dug well]]-WWWW[[#This Row],['#_Non-functional protected hand dug well]]</f>
        <v>0</v>
      </c>
      <c r="BU519" s="647">
        <f>(WWWW[[#This Row],['#_Constructed/Existing tube wells/boreholes/handpumps_WASH_agency]]+WWWW[[#This Row],['#_Non-Cluster partner water tube-wells/boreholes/handpumps]])-WWWW[[#This Row],['#_Non-functional tube wells/boreholes/handpumps]]</f>
        <v>1</v>
      </c>
      <c r="BV519" s="647">
        <f>WWWW[[#This Row],['#_Constructed/Existingwater storage tank with gravity fed reticulation system]]-WWWW[[#This Row],['#_Non-functional storage tank gravity fed reticulation system]]</f>
        <v>0</v>
      </c>
      <c r="BW519" s="647">
        <f>WWWW[[#This Row],['#_Water boating or water trucking]]</f>
        <v>0</v>
      </c>
      <c r="BX519" s="647">
        <f>WWWW[[#This Row],['#_Constructed/Existing water distribution system from river or natural spring]]</f>
        <v>0</v>
      </c>
      <c r="BY519"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519"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519" s="648">
        <f>IF(WWWW[[#This Row],[Location Type 1]]="Village",WWWW[[#This Row],[Access to safe drinking water for Village]],WWWW[[#This Row],[Access to safe drinking water for Camp]])</f>
        <v>1</v>
      </c>
      <c r="CB519" s="645">
        <f>WWWW[[#This Row],[%Equitable and continuous access to sufficient quantity of safe drinking water]]*WWWW[[#This Row],[Total PoP ]]</f>
        <v>147</v>
      </c>
      <c r="CC519" s="648">
        <f>IF((WWWW[[#This Row],['#_Constructed/Existing protected/fenced ponds]]*250)/WWWW[[#This Row],[Total PoP ]]&gt;1,1,(WWWW[[#This Row],['#_Constructed/Existing protected/fenced ponds]]*250)/WWWW[[#This Row],[Total PoP ]])</f>
        <v>0</v>
      </c>
      <c r="CD519" s="645">
        <f>WWWW[[#This Row],[% Access to unimproved water points]]*WWWW[[#This Row],[Total PoP ]]</f>
        <v>0</v>
      </c>
      <c r="CE519"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19"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147</v>
      </c>
      <c r="CG519" s="645">
        <f>WWWW[[#This Row],[HRP1]]/500</f>
        <v>0.29399999999999998</v>
      </c>
      <c r="CH519" s="650">
        <f>1-WWWW[[#This Row],[% Equitable and continuous access to sufficient quantity of domestic water]]</f>
        <v>0</v>
      </c>
      <c r="CI519" s="645">
        <f>WWWW[[#This Row],[%equitable and continuous access to sufficient quantity of safe drinking and domestic water''s GAP]]*WWWW[[#This Row],[Total PoP ]]</f>
        <v>0</v>
      </c>
      <c r="CJ519" s="647">
        <f>IF(WWWW[[#This Row],[Total required water points]]-WWWW[[#This Row],['#Water points coverage]]&lt;0,0,WWWW[[#This Row],[Total required water points]]-WWWW[[#This Row],['#Water points coverage]])</f>
        <v>0.70599999999999996</v>
      </c>
      <c r="CK519" s="647">
        <f>ROUND(IF(WWWW[[#This Row],[Total PoP ]]&lt;500,1,WWWW[[#This Row],[Total PoP ]]/500),0)</f>
        <v>1</v>
      </c>
      <c r="CL519" s="647">
        <f>(WWWW[[#This Row],['#_Constructed latrines_by_WASHAgencies]]+WWWW[[#This Row],['#_Non Cluster partner latrines]])-WWWW[[#This Row],['#_Non-functional latrines]]</f>
        <v>18</v>
      </c>
      <c r="CM519"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519"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147</v>
      </c>
      <c r="CO519"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19" s="647">
        <f>IF(WWWW[[#This Row],[Location Type 1]]="Village","NA",IF(WWWW[[#This Row],['#_Constructed/Existing latrines in TLS]]*50&gt;WWWW[[#This Row],['#_students at TLS_CFS]],WWWW[[#This Row],['#_students at TLS_CFS]],(WWWW[[#This Row],['#_Constructed/Existing latrines in TLS]]*50)))</f>
        <v>0</v>
      </c>
      <c r="CQ519" s="647">
        <f>ROUND(IF(WWWW[[#This Row],[Location Type 1]]="camp",WWWW[[#This Row],[Total PoP ]]/20,IF(WWWW[[#This Row],[Location Type 1]]="Temporary Location",WWWW[[#This Row],[Total PoP ]]/50,(WWWW[[#This Row],[Total PoP ]]/6))),0)</f>
        <v>7</v>
      </c>
      <c r="CR519" s="647">
        <f>IF(WWWW[[#This Row],[Total required Latrines]]-(WWWW[[#This Row],['#_Constructed latrines_by_WASHAgencies]]+WWWW[[#This Row],['#_Non Cluster partner latrines]])&lt;0,0,WWWW[[#This Row],[Total required Latrines]]-(WWWW[[#This Row],['#_Constructed latrines_by_WASHAgencies]]+WWWW[[#This Row],['#_Non Cluster partner latrines]]))</f>
        <v>0</v>
      </c>
      <c r="CS519" s="79">
        <f>1-WWWW[[#This Row],[% people access to functioning Latrine]]</f>
        <v>0</v>
      </c>
      <c r="CT519" s="649">
        <f>IF(OR(WWWW[[#This Row],['#_Non-functional latrines]]="",WWWW[[#This Row],['#_Non-functional latrines]]=0),0,WWWW[[#This Row],['#_Non-functional latrines]]/(WWWW[[#This Row],['#_Constructed latrines_by_WASHAgencies]]+WWWW[[#This Row],['#_Non Cluster partner latrines]]))</f>
        <v>0</v>
      </c>
      <c r="CU519" s="645">
        <f>IF(500*(WWWW[[#This Row],['#_male hygiene promoters]]+WWWW[[#This Row],['#_female hygiene promoters]])&gt;WWWW[[#This Row],[Total PoP ]],WWWW[[#This Row],[Total PoP ]],500*(WWWW[[#This Row],['#_male hygiene promoters]]+WWWW[[#This Row],['#_female hygiene promoters]]))</f>
        <v>147</v>
      </c>
      <c r="CV519"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19"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19" s="647">
        <f>IF(WWWW[[#This Row],['# People with access to soap]]&gt;WWWW[[#This Row],['# People with access to Sanity Pads]],WWWW[[#This Row],['# People with access to soap]],WWWW[[#This Row],['# People with access to Sanity Pads]])</f>
        <v>0</v>
      </c>
      <c r="CY519" s="647">
        <f>IF(WWWW[[#This Row],['# people reached by regular dedicated hygiene promotion_5]]&gt;WWWW[[#This Row],['# People received regular supply of hygiene items_6]],WWWW[[#This Row],['# people reached by regular dedicated hygiene promotion_5]],WWWW[[#This Row],['# People received regular supply of hygiene items_6]])</f>
        <v>147</v>
      </c>
      <c r="CZ519" s="650">
        <f>IF(WWWW[[#This Row],[HRP3]]/WWWW[[#This Row],[Total PoP ]]&gt;100%,100%,WWWW[[#This Row],[HRP3]]/WWWW[[#This Row],[Total PoP ]])</f>
        <v>1</v>
      </c>
      <c r="DA519" s="649">
        <f>1-WWWW[[#This Row],[Hygiene Coverage%]]</f>
        <v>0</v>
      </c>
      <c r="DB519" s="648">
        <f>WWWW[[#This Row],['# people reached by regular dedicated hygiene promotion_5]]/WWWW[[#This Row],[Total PoP ]]</f>
        <v>1</v>
      </c>
      <c r="DC519" s="648">
        <f>IF(WWWW[[#This Row],['#_households that received standard amount of soap for this quarter]]/WWWW[[#This Row],[Total HH]]&gt;1,1,WWWW[[#This Row],['#_households that received standard amount of soap for this quarter]]/WWWW[[#This Row],[Total HH]])</f>
        <v>0</v>
      </c>
      <c r="DD519" s="648">
        <f>IF(WWWW[[#This Row],['#_households that received standard amount of sanitary pads for this quarter]]/WWWW[[#This Row],[Total HH]]&gt;1,1,WWWW[[#This Row],['#_households that received standard amount of sanitary pads for this quarter]]/WWWW[[#This Row],[Total HH]])</f>
        <v>0</v>
      </c>
      <c r="DE519" s="647">
        <f>WWWW[[#This Row],['#_Constructed/Existing hand washing stations]]-WWWW[[#This Row],['#_Non-Functional_hand_washing_stations]]</f>
        <v>0</v>
      </c>
      <c r="DF519" s="667">
        <f>IF(WWWW[[#This Row],['# Functional hand washing stations during reporting period]]*20&gt;WWWW[[#This Row],[Total HH]],WWWW[[#This Row],[Total HH]],WWWW[[#This Row],['# Functional hand washing stations during reporting period]]*20)</f>
        <v>0</v>
      </c>
      <c r="DG519" s="645">
        <f>IF(WWWW[[#This Row],[Is sufficient soap available for TLS? (Yes/No)]]="yes",WWWW[[#This Row],['#_Constructed/Existing hand washing stations at TLS]],0)</f>
        <v>0</v>
      </c>
      <c r="DH519" s="645">
        <f>IF(WWWW[[#This Row],['# Functional hand washing stations during reporting period]]*100&gt;WWWW[[#This Row],[Total PoP ]],WWWW[[#This Row],[Total PoP ]],WWWW[[#This Row],['# Functional hand washing stations during reporting period]]*100)</f>
        <v>0</v>
      </c>
      <c r="DI519" s="645" t="str">
        <f>IF(WWWW[[#This Row],['#_students at TLS_CFS]]="","No","Yes")</f>
        <v>Yes</v>
      </c>
      <c r="DJ519" s="643" t="str">
        <f>VLOOKUP(WWWW[[#This Row],[Site Name]],SiteDB6[[Site Name]:[CCCM Management]],6,FALSE)</f>
        <v>Yes</v>
      </c>
      <c r="DK519" s="643" t="str">
        <f>VLOOKUP(WWWW[[#This Row],[Site Name]],SiteDB6[[Site Name]:[CCCM Focal Agency]],7,FALSE)</f>
        <v>KBC-NSS</v>
      </c>
      <c r="DL519" s="643" t="str">
        <f>VLOOKUP(WWWW[[#This Row],[Site Name]],SiteDB6[[Site Name]:[Location Type 1]],9,FALSE)</f>
        <v>Camp</v>
      </c>
      <c r="DM519" s="643" t="str">
        <f>VLOOKUP(WWWW[[#This Row],[Site Name]],SiteDB6[[Site Name]:[Type of Accommodation]],10,FALSE)</f>
        <v>Camp</v>
      </c>
      <c r="DN519" s="643" t="str">
        <f>VLOOKUP(WWWW[[#This Row],[Site Name]],SiteDB6[[Site Name]:[Ethnic or GCA/NGCA]],11,FALSE)</f>
        <v>GCA</v>
      </c>
      <c r="DO519" s="643">
        <f>VLOOKUP(WWWW[[#This Row],[Site Name]],SiteDB6[[Site Name]:[Lat]],12,FALSE)</f>
        <v>23.250678000000001</v>
      </c>
      <c r="DP519" s="643">
        <f>VLOOKUP(WWWW[[#This Row],[Site Name]],SiteDB6[[Site Name]:[Long]],13,FALSE)</f>
        <v>97.124403000000001</v>
      </c>
      <c r="DQ519" s="643" t="str">
        <f>VLOOKUP(WWWW[[#This Row],[Site Name]],SiteDB6[[Site Name]:[Pcode]],3,FALSE)</f>
        <v>MMR015CMP009</v>
      </c>
      <c r="DR519" s="652" t="str">
        <f t="shared" si="18"/>
        <v>Covered</v>
      </c>
      <c r="DS519" s="652"/>
    </row>
    <row r="520" spans="1:126">
      <c r="A520" s="637" t="s">
        <v>2525</v>
      </c>
      <c r="B520" s="644" t="s">
        <v>38</v>
      </c>
      <c r="C520" s="644" t="s">
        <v>38</v>
      </c>
      <c r="D520" s="644" t="s">
        <v>722</v>
      </c>
      <c r="E520" s="644" t="s">
        <v>716</v>
      </c>
      <c r="F520" s="644" t="s">
        <v>723</v>
      </c>
      <c r="G520" s="643" t="s">
        <v>45</v>
      </c>
      <c r="H520" s="644" t="s">
        <v>724</v>
      </c>
      <c r="I520" s="646">
        <v>30</v>
      </c>
      <c r="J520" s="646">
        <v>170</v>
      </c>
      <c r="K520" s="653"/>
      <c r="L520" s="654">
        <v>43465</v>
      </c>
      <c r="M520" s="646"/>
      <c r="N520" s="646"/>
      <c r="O520" s="646"/>
      <c r="P520" s="646"/>
      <c r="Q520" s="645"/>
      <c r="R520" s="646"/>
      <c r="S520" s="646"/>
      <c r="T520" s="646">
        <v>0</v>
      </c>
      <c r="U520" s="646"/>
      <c r="V520" s="646"/>
      <c r="W520" s="646">
        <v>1</v>
      </c>
      <c r="X520" s="646"/>
      <c r="Y520" s="646"/>
      <c r="Z520" s="646"/>
      <c r="AA520" s="646"/>
      <c r="AB520" s="646"/>
      <c r="AC520" s="646"/>
      <c r="AD520" s="646"/>
      <c r="AE520" s="646">
        <v>1</v>
      </c>
      <c r="AF520" s="646"/>
      <c r="AG520" s="646"/>
      <c r="AH520" s="646"/>
      <c r="AI520" s="646"/>
      <c r="AJ520" s="646"/>
      <c r="AK520" s="646"/>
      <c r="AL520" s="646"/>
      <c r="AM520" s="646"/>
      <c r="AN520" s="646"/>
      <c r="AO520" s="652"/>
      <c r="AP520" s="646">
        <v>8</v>
      </c>
      <c r="AQ520" s="646"/>
      <c r="AR520" s="648"/>
      <c r="AS520" s="646"/>
      <c r="AT520" s="646"/>
      <c r="AU520" s="646"/>
      <c r="AV520" s="646"/>
      <c r="AW520" s="646"/>
      <c r="AX520" s="643" t="s">
        <v>43</v>
      </c>
      <c r="AY520" s="652" t="s">
        <v>1200</v>
      </c>
      <c r="AZ520" s="646"/>
      <c r="BA520" s="646"/>
      <c r="BB520" s="646">
        <v>0</v>
      </c>
      <c r="BC520" s="643"/>
      <c r="BD520" s="646"/>
      <c r="BE520" s="646"/>
      <c r="BF520" s="646">
        <v>0</v>
      </c>
      <c r="BG520" s="646">
        <v>2</v>
      </c>
      <c r="BH520" s="646"/>
      <c r="BI520" s="646"/>
      <c r="BJ520" s="646">
        <v>2</v>
      </c>
      <c r="BK520" s="646"/>
      <c r="BL520" s="646"/>
      <c r="BM520" s="643"/>
      <c r="BN520" s="647"/>
      <c r="BO520" s="648"/>
      <c r="BP520" s="643"/>
      <c r="BQ520" s="649" t="str">
        <f>IFERROR(WWWW[[#This Row],['#_Water sources treated]]/WWWW[[#This Row],['#_Water sources tested for contamination]],"no test")</f>
        <v>no test</v>
      </c>
      <c r="BR520" s="648" t="str">
        <f>IFERROR(WWWW[[#This Row],['#_Household received remediation action due to contamination]]/WWWW[[#This Row],['#_Household water samples tested for contamination]],"no test")</f>
        <v>no test</v>
      </c>
      <c r="BS520" s="647" t="str">
        <f>IF(AND(WWWW[[#This Row],[% of water sources treated]]="no test",WWWW[[#This Row],[% Household received corrective actions]]="no test"),"No Test","Tested")</f>
        <v>No Test</v>
      </c>
      <c r="BT520" s="647">
        <f>WWWW[[#This Row],['#_Constructed/existing protected hand dug well]]-WWWW[[#This Row],['#_Non-functional protected hand dug well]]</f>
        <v>0</v>
      </c>
      <c r="BU520" s="647">
        <f>(WWWW[[#This Row],['#_Constructed/Existing tube wells/boreholes/handpumps_WASH_agency]]+WWWW[[#This Row],['#_Non-Cluster partner water tube-wells/boreholes/handpumps]])-WWWW[[#This Row],['#_Non-functional tube wells/boreholes/handpumps]]</f>
        <v>1</v>
      </c>
      <c r="BV520" s="647">
        <f>WWWW[[#This Row],['#_Constructed/Existingwater storage tank with gravity fed reticulation system]]-WWWW[[#This Row],['#_Non-functional storage tank gravity fed reticulation system]]</f>
        <v>0</v>
      </c>
      <c r="BW520" s="647">
        <f>WWWW[[#This Row],['#_Water boating or water trucking]]</f>
        <v>0</v>
      </c>
      <c r="BX520" s="647">
        <f>WWWW[[#This Row],['#_Constructed/Existing water distribution system from river or natural spring]]</f>
        <v>0</v>
      </c>
      <c r="BY520"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520"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520" s="648">
        <f>IF(WWWW[[#This Row],[Location Type 1]]="Village",WWWW[[#This Row],[Access to safe drinking water for Village]],WWWW[[#This Row],[Access to safe drinking water for Camp]])</f>
        <v>1</v>
      </c>
      <c r="CB520" s="645">
        <f>WWWW[[#This Row],[%Equitable and continuous access to sufficient quantity of safe drinking water]]*WWWW[[#This Row],[Total PoP ]]</f>
        <v>170</v>
      </c>
      <c r="CC520" s="648">
        <f>IF((WWWW[[#This Row],['#_Constructed/Existing protected/fenced ponds]]*250)/WWWW[[#This Row],[Total PoP ]]&gt;1,1,(WWWW[[#This Row],['#_Constructed/Existing protected/fenced ponds]]*250)/WWWW[[#This Row],[Total PoP ]])</f>
        <v>1</v>
      </c>
      <c r="CD520" s="645">
        <f>WWWW[[#This Row],[% Access to unimproved water points]]*WWWW[[#This Row],[Total PoP ]]</f>
        <v>170</v>
      </c>
      <c r="CE520"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20"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170</v>
      </c>
      <c r="CG520" s="645">
        <f>WWWW[[#This Row],[HRP1]]/500</f>
        <v>0.34</v>
      </c>
      <c r="CH520" s="650">
        <f>1-WWWW[[#This Row],[% Equitable and continuous access to sufficient quantity of domestic water]]</f>
        <v>0</v>
      </c>
      <c r="CI520" s="645">
        <f>WWWW[[#This Row],[%equitable and continuous access to sufficient quantity of safe drinking and domestic water''s GAP]]*WWWW[[#This Row],[Total PoP ]]</f>
        <v>0</v>
      </c>
      <c r="CJ520" s="647">
        <f>IF(WWWW[[#This Row],[Total required water points]]-WWWW[[#This Row],['#Water points coverage]]&lt;0,0,WWWW[[#This Row],[Total required water points]]-WWWW[[#This Row],['#Water points coverage]])</f>
        <v>0.65999999999999992</v>
      </c>
      <c r="CK520" s="647">
        <f>ROUND(IF(WWWW[[#This Row],[Total PoP ]]&lt;500,1,WWWW[[#This Row],[Total PoP ]]/500),0)</f>
        <v>1</v>
      </c>
      <c r="CL520" s="647">
        <f>(WWWW[[#This Row],['#_Constructed latrines_by_WASHAgencies]]+WWWW[[#This Row],['#_Non Cluster partner latrines]])-WWWW[[#This Row],['#_Non-functional latrines]]</f>
        <v>8</v>
      </c>
      <c r="CM520"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0.94117647058823528</v>
      </c>
      <c r="CN520"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160</v>
      </c>
      <c r="CO520"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20" s="647">
        <f>IF(WWWW[[#This Row],[Location Type 1]]="Village","NA",IF(WWWW[[#This Row],['#_Constructed/Existing latrines in TLS]]*50&gt;WWWW[[#This Row],['#_students at TLS_CFS]],WWWW[[#This Row],['#_students at TLS_CFS]],(WWWW[[#This Row],['#_Constructed/Existing latrines in TLS]]*50)))</f>
        <v>0</v>
      </c>
      <c r="CQ520" s="647">
        <f>ROUND(IF(WWWW[[#This Row],[Location Type 1]]="camp",WWWW[[#This Row],[Total PoP ]]/20,IF(WWWW[[#This Row],[Location Type 1]]="Temporary Location",WWWW[[#This Row],[Total PoP ]]/50,(WWWW[[#This Row],[Total PoP ]]/6))),0)</f>
        <v>9</v>
      </c>
      <c r="CR520" s="647">
        <f>IF(WWWW[[#This Row],[Total required Latrines]]-(WWWW[[#This Row],['#_Constructed latrines_by_WASHAgencies]]+WWWW[[#This Row],['#_Non Cluster partner latrines]])&lt;0,0,WWWW[[#This Row],[Total required Latrines]]-(WWWW[[#This Row],['#_Constructed latrines_by_WASHAgencies]]+WWWW[[#This Row],['#_Non Cluster partner latrines]]))</f>
        <v>1</v>
      </c>
      <c r="CS520" s="79">
        <f>1-WWWW[[#This Row],[% people access to functioning Latrine]]</f>
        <v>5.8823529411764719E-2</v>
      </c>
      <c r="CT520" s="649">
        <f>IF(OR(WWWW[[#This Row],['#_Non-functional latrines]]="",WWWW[[#This Row],['#_Non-functional latrines]]=0),0,WWWW[[#This Row],['#_Non-functional latrines]]/(WWWW[[#This Row],['#_Constructed latrines_by_WASHAgencies]]+WWWW[[#This Row],['#_Non Cluster partner latrines]]))</f>
        <v>0</v>
      </c>
      <c r="CU520" s="645">
        <f>IF(500*(WWWW[[#This Row],['#_male hygiene promoters]]+WWWW[[#This Row],['#_female hygiene promoters]])&gt;WWWW[[#This Row],[Total PoP ]],WWWW[[#This Row],[Total PoP ]],500*(WWWW[[#This Row],['#_male hygiene promoters]]+WWWW[[#This Row],['#_female hygiene promoters]]))</f>
        <v>170</v>
      </c>
      <c r="CV520"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20"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20" s="647">
        <f>IF(WWWW[[#This Row],['# People with access to soap]]&gt;WWWW[[#This Row],['# People with access to Sanity Pads]],WWWW[[#This Row],['# People with access to soap]],WWWW[[#This Row],['# People with access to Sanity Pads]])</f>
        <v>0</v>
      </c>
      <c r="CY520" s="647">
        <f>IF(WWWW[[#This Row],['# people reached by regular dedicated hygiene promotion_5]]&gt;WWWW[[#This Row],['# People received regular supply of hygiene items_6]],WWWW[[#This Row],['# people reached by regular dedicated hygiene promotion_5]],WWWW[[#This Row],['# People received regular supply of hygiene items_6]])</f>
        <v>170</v>
      </c>
      <c r="CZ520" s="650">
        <f>IF(WWWW[[#This Row],[HRP3]]/WWWW[[#This Row],[Total PoP ]]&gt;100%,100%,WWWW[[#This Row],[HRP3]]/WWWW[[#This Row],[Total PoP ]])</f>
        <v>1</v>
      </c>
      <c r="DA520" s="649">
        <f>1-WWWW[[#This Row],[Hygiene Coverage%]]</f>
        <v>0</v>
      </c>
      <c r="DB520" s="648">
        <f>WWWW[[#This Row],['# people reached by regular dedicated hygiene promotion_5]]/WWWW[[#This Row],[Total PoP ]]</f>
        <v>1</v>
      </c>
      <c r="DC520" s="648">
        <f>IF(WWWW[[#This Row],['#_households that received standard amount of soap for this quarter]]/WWWW[[#This Row],[Total HH]]&gt;1,1,WWWW[[#This Row],['#_households that received standard amount of soap for this quarter]]/WWWW[[#This Row],[Total HH]])</f>
        <v>0</v>
      </c>
      <c r="DD520" s="648">
        <f>IF(WWWW[[#This Row],['#_households that received standard amount of sanitary pads for this quarter]]/WWWW[[#This Row],[Total HH]]&gt;1,1,WWWW[[#This Row],['#_households that received standard amount of sanitary pads for this quarter]]/WWWW[[#This Row],[Total HH]])</f>
        <v>0</v>
      </c>
      <c r="DE520" s="647">
        <f>WWWW[[#This Row],['#_Constructed/Existing hand washing stations]]-WWWW[[#This Row],['#_Non-Functional_hand_washing_stations]]</f>
        <v>0</v>
      </c>
      <c r="DF520" s="667">
        <f>IF(WWWW[[#This Row],['# Functional hand washing stations during reporting period]]*20&gt;WWWW[[#This Row],[Total HH]],WWWW[[#This Row],[Total HH]],WWWW[[#This Row],['# Functional hand washing stations during reporting period]]*20)</f>
        <v>0</v>
      </c>
      <c r="DG520" s="645">
        <f>IF(WWWW[[#This Row],[Is sufficient soap available for TLS? (Yes/No)]]="yes",WWWW[[#This Row],['#_Constructed/Existing hand washing stations at TLS]],0)</f>
        <v>0</v>
      </c>
      <c r="DH520" s="645">
        <f>IF(WWWW[[#This Row],['# Functional hand washing stations during reporting period]]*100&gt;WWWW[[#This Row],[Total PoP ]],WWWW[[#This Row],[Total PoP ]],WWWW[[#This Row],['# Functional hand washing stations during reporting period]]*100)</f>
        <v>0</v>
      </c>
      <c r="DI520" s="645" t="str">
        <f>IF(WWWW[[#This Row],['#_students at TLS_CFS]]="","No","Yes")</f>
        <v>No</v>
      </c>
      <c r="DJ520" s="643" t="str">
        <f>VLOOKUP(WWWW[[#This Row],[Site Name]],SiteDB6[[Site Name]:[CCCM Management]],6,FALSE)</f>
        <v>Yes</v>
      </c>
      <c r="DK520" s="643" t="str">
        <f>VLOOKUP(WWWW[[#This Row],[Site Name]],SiteDB6[[Site Name]:[CCCM Focal Agency]],7,FALSE)</f>
        <v>KMSS-LSO</v>
      </c>
      <c r="DL520" s="643" t="str">
        <f>VLOOKUP(WWWW[[#This Row],[Site Name]],SiteDB6[[Site Name]:[Location Type 1]],9,FALSE)</f>
        <v>Camp</v>
      </c>
      <c r="DM520" s="643" t="str">
        <f>VLOOKUP(WWWW[[#This Row],[Site Name]],SiteDB6[[Site Name]:[Type of Accommodation]],10,FALSE)</f>
        <v>Camp</v>
      </c>
      <c r="DN520" s="643" t="str">
        <f>VLOOKUP(WWWW[[#This Row],[Site Name]],SiteDB6[[Site Name]:[Ethnic or GCA/NGCA]],11,FALSE)</f>
        <v>GCA</v>
      </c>
      <c r="DO520" s="643">
        <f>VLOOKUP(WWWW[[#This Row],[Site Name]],SiteDB6[[Site Name]:[Lat]],12,FALSE)</f>
        <v>23.24661</v>
      </c>
      <c r="DP520" s="643">
        <f>VLOOKUP(WWWW[[#This Row],[Site Name]],SiteDB6[[Site Name]:[Long]],13,FALSE)</f>
        <v>97.116680000000002</v>
      </c>
      <c r="DQ520" s="643" t="str">
        <f>VLOOKUP(WWWW[[#This Row],[Site Name]],SiteDB6[[Site Name]:[Pcode]],3,FALSE)</f>
        <v>MMR015CMP209</v>
      </c>
      <c r="DR520" s="652" t="str">
        <f t="shared" si="18"/>
        <v>Covered</v>
      </c>
      <c r="DS520" s="652"/>
    </row>
    <row r="521" spans="1:126">
      <c r="A521" s="637" t="s">
        <v>2525</v>
      </c>
      <c r="B521" s="644" t="s">
        <v>1957</v>
      </c>
      <c r="C521" s="644" t="s">
        <v>1957</v>
      </c>
      <c r="D521" s="701" t="s">
        <v>2977</v>
      </c>
      <c r="E521" s="663" t="s">
        <v>716</v>
      </c>
      <c r="F521" s="644" t="s">
        <v>720</v>
      </c>
      <c r="G521" s="663" t="str">
        <f>VLOOKUP(WWWW[[#This Row],[Site Name]],SiteDB6[[Site Name]:[Location Type]],8,FALSE)</f>
        <v>Camp</v>
      </c>
      <c r="H521" s="644" t="s">
        <v>2203</v>
      </c>
      <c r="I521" s="646">
        <v>76</v>
      </c>
      <c r="J521" s="379">
        <v>344</v>
      </c>
      <c r="K521" s="710" t="s">
        <v>2978</v>
      </c>
      <c r="L521" s="58" t="s">
        <v>2979</v>
      </c>
      <c r="M521" s="646">
        <v>79</v>
      </c>
      <c r="N521" s="646"/>
      <c r="O521" s="646"/>
      <c r="P521" s="646"/>
      <c r="Q521" s="645" t="s">
        <v>43</v>
      </c>
      <c r="R521" s="379">
        <v>4</v>
      </c>
      <c r="S521" s="379">
        <v>5</v>
      </c>
      <c r="T521" s="646"/>
      <c r="U521" s="646"/>
      <c r="V521" s="646"/>
      <c r="W521" s="646"/>
      <c r="X521" s="646"/>
      <c r="Y521" s="646"/>
      <c r="Z521" s="646"/>
      <c r="AA521" s="379">
        <v>436</v>
      </c>
      <c r="AB521" s="646"/>
      <c r="AC521" s="646"/>
      <c r="AD521" s="646"/>
      <c r="AE521" s="646"/>
      <c r="AF521" s="646"/>
      <c r="AG521" s="379">
        <v>1</v>
      </c>
      <c r="AH521" s="379">
        <v>1</v>
      </c>
      <c r="AI521" s="379">
        <v>1</v>
      </c>
      <c r="AJ521" s="646"/>
      <c r="AK521" s="379">
        <v>15</v>
      </c>
      <c r="AL521" s="646"/>
      <c r="AM521" s="646"/>
      <c r="AN521" s="646"/>
      <c r="AO521" s="652"/>
      <c r="AP521" s="379">
        <v>81</v>
      </c>
      <c r="AQ521" s="646"/>
      <c r="AR521" s="648"/>
      <c r="AS521" s="646"/>
      <c r="AT521" s="379">
        <v>15</v>
      </c>
      <c r="AU521" s="646"/>
      <c r="AV521" s="646"/>
      <c r="AW521" s="646"/>
      <c r="AX521" s="709" t="s">
        <v>144</v>
      </c>
      <c r="AY521" s="703" t="s">
        <v>1200</v>
      </c>
      <c r="AZ521" s="646"/>
      <c r="BA521" s="646"/>
      <c r="BB521" s="646"/>
      <c r="BC521" s="643"/>
      <c r="BD521" s="379">
        <v>2</v>
      </c>
      <c r="BE521" s="646"/>
      <c r="BF521" s="646"/>
      <c r="BG521" s="646">
        <v>3</v>
      </c>
      <c r="BH521" s="646"/>
      <c r="BI521" s="646">
        <v>1</v>
      </c>
      <c r="BJ521" s="646"/>
      <c r="BK521" s="646">
        <v>76</v>
      </c>
      <c r="BL521" s="646">
        <v>0</v>
      </c>
      <c r="BM521" s="643"/>
      <c r="BN521" s="647"/>
      <c r="BO521" s="648">
        <v>0.5</v>
      </c>
      <c r="BP521" s="643"/>
      <c r="BQ521" s="649">
        <f>IFERROR(WWWW[[#This Row],['#_Water sources treated]]/WWWW[[#This Row],['#_Water sources tested for contamination]],"no test")</f>
        <v>0</v>
      </c>
      <c r="BR521" s="648">
        <f>IFERROR(WWWW[[#This Row],['#_Household received remediation action due to contamination]]/WWWW[[#This Row],['#_Household water samples tested for contamination]],"no test")</f>
        <v>0</v>
      </c>
      <c r="BS521" s="647" t="str">
        <f>IF(AND(WWWW[[#This Row],[% of water sources treated]]="no test",WWWW[[#This Row],[% Household received corrective actions]]="no test"),"No Test","Tested")</f>
        <v>Tested</v>
      </c>
      <c r="BT521" s="647">
        <f>WWWW[[#This Row],['#_Constructed/existing protected hand dug well]]-WWWW[[#This Row],['#_Non-functional protected hand dug well]]</f>
        <v>0</v>
      </c>
      <c r="BU521" s="647">
        <f>(WWWW[[#This Row],['#_Constructed/Existing tube wells/boreholes/handpumps_WASH_agency]]+WWWW[[#This Row],['#_Non-Cluster partner water tube-wells/boreholes/handpumps]])-WWWW[[#This Row],['#_Non-functional tube wells/boreholes/handpumps]]</f>
        <v>0</v>
      </c>
      <c r="BV521" s="647">
        <f>WWWW[[#This Row],['#_Constructed/Existingwater storage tank with gravity fed reticulation system]]-WWWW[[#This Row],['#_Non-functional storage tank gravity fed reticulation system]]</f>
        <v>436</v>
      </c>
      <c r="BW521" s="647">
        <f>WWWW[[#This Row],['#_Water boating or water trucking]]</f>
        <v>0</v>
      </c>
      <c r="BX521" s="647">
        <f>WWWW[[#This Row],['#_Constructed/Existing water distribution system from river or natural spring]]</f>
        <v>0</v>
      </c>
      <c r="BY521"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521"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521" s="648">
        <f>IF(WWWW[[#This Row],[Location Type 1]]="Village",WWWW[[#This Row],[Access to safe drinking water for Village]],WWWW[[#This Row],[Access to safe drinking water for Camp]])</f>
        <v>1</v>
      </c>
      <c r="CB521" s="645">
        <f>WWWW[[#This Row],[%Equitable and continuous access to sufficient quantity of safe drinking water]]*WWWW[[#This Row],[Total PoP ]]</f>
        <v>344</v>
      </c>
      <c r="CC521" s="648">
        <f>IF((WWWW[[#This Row],['#_Constructed/Existing protected/fenced ponds]]*250)/WWWW[[#This Row],[Total PoP ]]&gt;1,1,(WWWW[[#This Row],['#_Constructed/Existing protected/fenced ponds]]*250)/WWWW[[#This Row],[Total PoP ]])</f>
        <v>0</v>
      </c>
      <c r="CD521" s="645">
        <f>WWWW[[#This Row],[% Access to unimproved water points]]*WWWW[[#This Row],[Total PoP ]]</f>
        <v>0</v>
      </c>
      <c r="CE521"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21"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344</v>
      </c>
      <c r="CG521" s="645">
        <f>WWWW[[#This Row],[HRP1]]/500</f>
        <v>0.68799999999999994</v>
      </c>
      <c r="CH521" s="650">
        <f>1-WWWW[[#This Row],[% Equitable and continuous access to sufficient quantity of domestic water]]</f>
        <v>0</v>
      </c>
      <c r="CI521" s="645">
        <f>WWWW[[#This Row],[%equitable and continuous access to sufficient quantity of safe drinking and domestic water''s GAP]]*WWWW[[#This Row],[Total PoP ]]</f>
        <v>0</v>
      </c>
      <c r="CJ521" s="647">
        <f>IF(WWWW[[#This Row],[Total required water points]]-WWWW[[#This Row],['#Water points coverage]]&lt;0,0,WWWW[[#This Row],[Total required water points]]-WWWW[[#This Row],['#Water points coverage]])</f>
        <v>0.31200000000000006</v>
      </c>
      <c r="CK521" s="647">
        <f>ROUND(IF(WWWW[[#This Row],[Total PoP ]]&lt;500,1,WWWW[[#This Row],[Total PoP ]]/500),0)</f>
        <v>1</v>
      </c>
      <c r="CL521" s="647">
        <f>(WWWW[[#This Row],['#_Constructed latrines_by_WASHAgencies]]+WWWW[[#This Row],['#_Non Cluster partner latrines]])-WWWW[[#This Row],['#_Non-functional latrines]]</f>
        <v>81</v>
      </c>
      <c r="CM521"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521"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344</v>
      </c>
      <c r="CO521"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21" s="647">
        <f>IF(WWWW[[#This Row],[Location Type 1]]="Village","NA",IF(WWWW[[#This Row],['#_Constructed/Existing latrines in TLS]]*50&gt;WWWW[[#This Row],['#_students at TLS_CFS]],WWWW[[#This Row],['#_students at TLS_CFS]],(WWWW[[#This Row],['#_Constructed/Existing latrines in TLS]]*50)))</f>
        <v>0</v>
      </c>
      <c r="CQ521" s="647">
        <f>ROUND(IF(WWWW[[#This Row],[Location Type 1]]="camp",WWWW[[#This Row],[Total PoP ]]/20,IF(WWWW[[#This Row],[Location Type 1]]="Temporary Location",WWWW[[#This Row],[Total PoP ]]/50,(WWWW[[#This Row],[Total PoP ]]/6))),0)</f>
        <v>57</v>
      </c>
      <c r="CR521" s="647">
        <f>IF(WWWW[[#This Row],[Total required Latrines]]-(WWWW[[#This Row],['#_Constructed latrines_by_WASHAgencies]]+WWWW[[#This Row],['#_Non Cluster partner latrines]])&lt;0,0,WWWW[[#This Row],[Total required Latrines]]-(WWWW[[#This Row],['#_Constructed latrines_by_WASHAgencies]]+WWWW[[#This Row],['#_Non Cluster partner latrines]]))</f>
        <v>0</v>
      </c>
      <c r="CS521" s="79">
        <f>1-WWWW[[#This Row],[% people access to functioning Latrine]]</f>
        <v>0</v>
      </c>
      <c r="CT521" s="649">
        <f>IF(OR(WWWW[[#This Row],['#_Non-functional latrines]]="",WWWW[[#This Row],['#_Non-functional latrines]]=0),0,WWWW[[#This Row],['#_Non-functional latrines]]/(WWWW[[#This Row],['#_Constructed latrines_by_WASHAgencies]]+WWWW[[#This Row],['#_Non Cluster partner latrines]]))</f>
        <v>0</v>
      </c>
      <c r="CU521" s="645">
        <f>IF(500*(WWWW[[#This Row],['#_male hygiene promoters]]+WWWW[[#This Row],['#_female hygiene promoters]])&gt;WWWW[[#This Row],[Total PoP ]],WWWW[[#This Row],[Total PoP ]],500*(WWWW[[#This Row],['#_male hygiene promoters]]+WWWW[[#This Row],['#_female hygiene promoters]]))</f>
        <v>344</v>
      </c>
      <c r="CV521"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344</v>
      </c>
      <c r="CW521"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21" s="647">
        <f>IF(WWWW[[#This Row],['# People with access to soap]]&gt;WWWW[[#This Row],['# People with access to Sanity Pads]],WWWW[[#This Row],['# People with access to soap]],WWWW[[#This Row],['# People with access to Sanity Pads]])</f>
        <v>344</v>
      </c>
      <c r="CY521" s="647">
        <f>IF(WWWW[[#This Row],['# people reached by regular dedicated hygiene promotion_5]]&gt;WWWW[[#This Row],['# People received regular supply of hygiene items_6]],WWWW[[#This Row],['# people reached by regular dedicated hygiene promotion_5]],WWWW[[#This Row],['# People received regular supply of hygiene items_6]])</f>
        <v>344</v>
      </c>
      <c r="CZ521" s="650">
        <f>IF(WWWW[[#This Row],[HRP3]]/WWWW[[#This Row],[Total PoP ]]&gt;100%,100%,WWWW[[#This Row],[HRP3]]/WWWW[[#This Row],[Total PoP ]])</f>
        <v>1</v>
      </c>
      <c r="DA521" s="649">
        <f>1-WWWW[[#This Row],[Hygiene Coverage%]]</f>
        <v>0</v>
      </c>
      <c r="DB521" s="648">
        <f>WWWW[[#This Row],['# people reached by regular dedicated hygiene promotion_5]]/WWWW[[#This Row],[Total PoP ]]</f>
        <v>1</v>
      </c>
      <c r="DC521" s="648">
        <f>IF(WWWW[[#This Row],['#_households that received standard amount of soap for this quarter]]/WWWW[[#This Row],[Total HH]]&gt;1,1,WWWW[[#This Row],['#_households that received standard amount of soap for this quarter]]/WWWW[[#This Row],[Total HH]])</f>
        <v>1</v>
      </c>
      <c r="DD521" s="648">
        <f>IF(WWWW[[#This Row],['#_households that received standard amount of sanitary pads for this quarter]]/WWWW[[#This Row],[Total HH]]&gt;1,1,WWWW[[#This Row],['#_households that received standard amount of sanitary pads for this quarter]]/WWWW[[#This Row],[Total HH]])</f>
        <v>0</v>
      </c>
      <c r="DE521" s="647">
        <f>WWWW[[#This Row],['#_Constructed/Existing hand washing stations]]-WWWW[[#This Row],['#_Non-Functional_hand_washing_stations]]</f>
        <v>2</v>
      </c>
      <c r="DF521" s="667">
        <f>IF(WWWW[[#This Row],['# Functional hand washing stations during reporting period]]*20&gt;WWWW[[#This Row],[Total HH]],WWWW[[#This Row],[Total HH]],WWWW[[#This Row],['# Functional hand washing stations during reporting period]]*20)</f>
        <v>40</v>
      </c>
      <c r="DG521" s="645">
        <f>IF(WWWW[[#This Row],[Is sufficient soap available for TLS? (Yes/No)]]="yes",WWWW[[#This Row],['#_Constructed/Existing hand washing stations at TLS]],0)</f>
        <v>0</v>
      </c>
      <c r="DH521" s="645">
        <f>IF(WWWW[[#This Row],['# Functional hand washing stations during reporting period]]*100&gt;WWWW[[#This Row],[Total PoP ]],WWWW[[#This Row],[Total PoP ]],WWWW[[#This Row],['# Functional hand washing stations during reporting period]]*100)</f>
        <v>200</v>
      </c>
      <c r="DI521" s="645" t="str">
        <f>IF(WWWW[[#This Row],['#_students at TLS_CFS]]="","No","Yes")</f>
        <v>Yes</v>
      </c>
      <c r="DJ521" s="643" t="str">
        <f>VLOOKUP(WWWW[[#This Row],[Site Name]],SiteDB6[[Site Name]:[CCCM Management]],6,FALSE)</f>
        <v>Yes</v>
      </c>
      <c r="DK521" s="643" t="str">
        <f>VLOOKUP(WWWW[[#This Row],[Site Name]],SiteDB6[[Site Name]:[CCCM Focal Agency]],7,FALSE)</f>
        <v>KMSS-LSO</v>
      </c>
      <c r="DL521" s="643" t="str">
        <f>VLOOKUP(WWWW[[#This Row],[Site Name]],SiteDB6[[Site Name]:[Location Type 1]],9,FALSE)</f>
        <v>Village Type Camp</v>
      </c>
      <c r="DM521" s="643" t="str">
        <f>VLOOKUP(WWWW[[#This Row],[Site Name]],SiteDB6[[Site Name]:[Type of Accommodation]],10,FALSE)</f>
        <v>Camp</v>
      </c>
      <c r="DN521" s="643" t="str">
        <f>VLOOKUP(WWWW[[#This Row],[Site Name]],SiteDB6[[Site Name]:[Ethnic or GCA/NGCA]],11,FALSE)</f>
        <v>GCA</v>
      </c>
      <c r="DO521" s="643">
        <f>VLOOKUP(WWWW[[#This Row],[Site Name]],SiteDB6[[Site Name]:[Lat]],12,FALSE)</f>
        <v>23.588920000000002</v>
      </c>
      <c r="DP521" s="643">
        <f>VLOOKUP(WWWW[[#This Row],[Site Name]],SiteDB6[[Site Name]:[Long]],13,FALSE)</f>
        <v>97.793019999999999</v>
      </c>
      <c r="DQ521" s="643" t="str">
        <f>VLOOKUP(WWWW[[#This Row],[Site Name]],SiteDB6[[Site Name]:[Pcode]],3,FALSE)</f>
        <v>MMR015CMP018</v>
      </c>
      <c r="DR521" s="652" t="str">
        <f t="shared" si="18"/>
        <v>Covered</v>
      </c>
      <c r="DS521" s="652"/>
    </row>
    <row r="522" spans="1:126">
      <c r="A522" s="637" t="s">
        <v>2525</v>
      </c>
      <c r="B522" s="701" t="s">
        <v>305</v>
      </c>
      <c r="C522" s="701" t="s">
        <v>305</v>
      </c>
      <c r="D522" s="701" t="s">
        <v>2974</v>
      </c>
      <c r="E522" s="663" t="s">
        <v>716</v>
      </c>
      <c r="F522" s="701" t="s">
        <v>717</v>
      </c>
      <c r="G522" s="709" t="str">
        <f>VLOOKUP(WWWW[[#This Row],[Site Name]],SiteDB6[[Site Name]:[Location Type]],8,FALSE)</f>
        <v>Camp</v>
      </c>
      <c r="H522" s="701" t="s">
        <v>762</v>
      </c>
      <c r="I522" s="379">
        <v>62</v>
      </c>
      <c r="J522" s="379">
        <v>276</v>
      </c>
      <c r="K522" s="710">
        <v>43070</v>
      </c>
      <c r="L522" s="58">
        <v>43799</v>
      </c>
      <c r="M522" s="379"/>
      <c r="N522" s="379"/>
      <c r="O522" s="379"/>
      <c r="P522" s="379"/>
      <c r="Q522" s="702" t="s">
        <v>43</v>
      </c>
      <c r="R522" s="379">
        <v>3</v>
      </c>
      <c r="S522" s="379">
        <v>6</v>
      </c>
      <c r="T522" s="379">
        <v>0</v>
      </c>
      <c r="U522" s="379">
        <v>0</v>
      </c>
      <c r="V522" s="379">
        <v>0</v>
      </c>
      <c r="W522" s="379">
        <v>0</v>
      </c>
      <c r="X522" s="379">
        <v>0</v>
      </c>
      <c r="Y522" s="379">
        <v>0</v>
      </c>
      <c r="Z522" s="379">
        <v>0</v>
      </c>
      <c r="AA522" s="379">
        <v>16</v>
      </c>
      <c r="AB522" s="379">
        <v>0</v>
      </c>
      <c r="AC522" s="379">
        <v>0</v>
      </c>
      <c r="AD522" s="379">
        <v>0</v>
      </c>
      <c r="AE522" s="379"/>
      <c r="AF522" s="379">
        <v>0</v>
      </c>
      <c r="AG522" s="379">
        <v>1</v>
      </c>
      <c r="AH522" s="379"/>
      <c r="AI522" s="379">
        <v>1</v>
      </c>
      <c r="AJ522" s="379">
        <v>0</v>
      </c>
      <c r="AK522" s="379">
        <v>15</v>
      </c>
      <c r="AL522" s="379">
        <v>0</v>
      </c>
      <c r="AM522" s="379"/>
      <c r="AN522" s="379"/>
      <c r="AO522" s="703"/>
      <c r="AP522" s="379">
        <v>10</v>
      </c>
      <c r="AQ522" s="379">
        <v>0</v>
      </c>
      <c r="AR522" s="711"/>
      <c r="AS522" s="379">
        <v>0</v>
      </c>
      <c r="AT522" s="379">
        <v>0</v>
      </c>
      <c r="AU522" s="379">
        <v>0</v>
      </c>
      <c r="AV522" s="379"/>
      <c r="AW522" s="379"/>
      <c r="AX522" s="709" t="s">
        <v>43</v>
      </c>
      <c r="AY522" s="703" t="s">
        <v>145</v>
      </c>
      <c r="AZ522" s="379">
        <v>0</v>
      </c>
      <c r="BA522" s="379">
        <v>0</v>
      </c>
      <c r="BB522" s="379"/>
      <c r="BC522" s="709"/>
      <c r="BD522" s="379">
        <v>0</v>
      </c>
      <c r="BE522" s="379">
        <v>0</v>
      </c>
      <c r="BF522" s="379">
        <v>0</v>
      </c>
      <c r="BG522" s="379">
        <v>2</v>
      </c>
      <c r="BH522" s="379">
        <v>0</v>
      </c>
      <c r="BI522" s="379">
        <v>0</v>
      </c>
      <c r="BJ522" s="379">
        <v>1</v>
      </c>
      <c r="BK522" s="379">
        <v>62</v>
      </c>
      <c r="BL522" s="379"/>
      <c r="BM522" s="709"/>
      <c r="BN522" s="712"/>
      <c r="BO522" s="711">
        <v>0.5</v>
      </c>
      <c r="BP522" s="709"/>
      <c r="BQ522" s="713">
        <f>IFERROR(WWWW[[#This Row],['#_Water sources treated]]/WWWW[[#This Row],['#_Water sources tested for contamination]],"no test")</f>
        <v>0</v>
      </c>
      <c r="BR522" s="711">
        <f>IFERROR(WWWW[[#This Row],['#_Household received remediation action due to contamination]]/WWWW[[#This Row],['#_Household water samples tested for contamination]],"no test")</f>
        <v>0</v>
      </c>
      <c r="BS522" s="712" t="str">
        <f>IF(AND(WWWW[[#This Row],[% of water sources treated]]="no test",WWWW[[#This Row],[% Household received corrective actions]]="no test"),"No Test","Tested")</f>
        <v>Tested</v>
      </c>
      <c r="BT522" s="712">
        <f>WWWW[[#This Row],['#_Constructed/existing protected hand dug well]]-WWWW[[#This Row],['#_Non-functional protected hand dug well]]</f>
        <v>0</v>
      </c>
      <c r="BU522" s="712">
        <f>(WWWW[[#This Row],['#_Constructed/Existing tube wells/boreholes/handpumps_WASH_agency]]+WWWW[[#This Row],['#_Non-Cluster partner water tube-wells/boreholes/handpumps]])-WWWW[[#This Row],['#_Non-functional tube wells/boreholes/handpumps]]</f>
        <v>0</v>
      </c>
      <c r="BV522" s="712">
        <f>WWWW[[#This Row],['#_Constructed/Existingwater storage tank with gravity fed reticulation system]]-WWWW[[#This Row],['#_Non-functional storage tank gravity fed reticulation system]]</f>
        <v>16</v>
      </c>
      <c r="BW522" s="712">
        <f>WWWW[[#This Row],['#_Water boating or water trucking]]</f>
        <v>0</v>
      </c>
      <c r="BX522" s="712">
        <f>WWWW[[#This Row],['#_Constructed/Existing water distribution system from river or natural spring]]</f>
        <v>0</v>
      </c>
      <c r="BY522" s="713">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522" s="713">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522" s="711">
        <f>IF(WWWW[[#This Row],[Location Type 1]]="Village",WWWW[[#This Row],[Access to safe drinking water for Village]],WWWW[[#This Row],[Access to safe drinking water for Camp]])</f>
        <v>1</v>
      </c>
      <c r="CB522" s="702">
        <f>WWWW[[#This Row],[%Equitable and continuous access to sufficient quantity of safe drinking water]]*WWWW[[#This Row],[Total PoP ]]</f>
        <v>276</v>
      </c>
      <c r="CC522" s="711">
        <f>IF((WWWW[[#This Row],['#_Constructed/Existing protected/fenced ponds]]*250)/WWWW[[#This Row],[Total PoP ]]&gt;1,1,(WWWW[[#This Row],['#_Constructed/Existing protected/fenced ponds]]*250)/WWWW[[#This Row],[Total PoP ]])</f>
        <v>0</v>
      </c>
      <c r="CD522" s="702">
        <f>WWWW[[#This Row],[% Access to unimproved water points]]*WWWW[[#This Row],[Total PoP ]]</f>
        <v>0</v>
      </c>
      <c r="CE522" s="711">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22" s="70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276</v>
      </c>
      <c r="CG522" s="702">
        <f>WWWW[[#This Row],[HRP1]]/500</f>
        <v>0.55200000000000005</v>
      </c>
      <c r="CH522" s="714">
        <f>1-WWWW[[#This Row],[% Equitable and continuous access to sufficient quantity of domestic water]]</f>
        <v>0</v>
      </c>
      <c r="CI522" s="702">
        <f>WWWW[[#This Row],[%equitable and continuous access to sufficient quantity of safe drinking and domestic water''s GAP]]*WWWW[[#This Row],[Total PoP ]]</f>
        <v>0</v>
      </c>
      <c r="CJ522" s="712">
        <f>IF(WWWW[[#This Row],[Total required water points]]-WWWW[[#This Row],['#Water points coverage]]&lt;0,0,WWWW[[#This Row],[Total required water points]]-WWWW[[#This Row],['#Water points coverage]])</f>
        <v>0.44799999999999995</v>
      </c>
      <c r="CK522" s="712">
        <f>ROUND(IF(WWWW[[#This Row],[Total PoP ]]&lt;500,1,WWWW[[#This Row],[Total PoP ]]/500),0)</f>
        <v>1</v>
      </c>
      <c r="CL522" s="712">
        <f>(WWWW[[#This Row],['#_Constructed latrines_by_WASHAgencies]]+WWWW[[#This Row],['#_Non Cluster partner latrines]])-WWWW[[#This Row],['#_Non-functional latrines]]</f>
        <v>10</v>
      </c>
      <c r="CM522" s="711">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0.72463768115942029</v>
      </c>
      <c r="CN522" s="702">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200</v>
      </c>
      <c r="CO522" s="71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22" s="712">
        <f>IF(WWWW[[#This Row],[Location Type 1]]="Village","NA",IF(WWWW[[#This Row],['#_Constructed/Existing latrines in TLS]]*50&gt;WWWW[[#This Row],['#_students at TLS_CFS]],WWWW[[#This Row],['#_students at TLS_CFS]],(WWWW[[#This Row],['#_Constructed/Existing latrines in TLS]]*50)))</f>
        <v>0</v>
      </c>
      <c r="CQ522" s="712">
        <f>ROUND(IF(WWWW[[#This Row],[Location Type 1]]="camp",WWWW[[#This Row],[Total PoP ]]/20,IF(WWWW[[#This Row],[Location Type 1]]="Temporary Location",WWWW[[#This Row],[Total PoP ]]/50,(WWWW[[#This Row],[Total PoP ]]/6))),0)</f>
        <v>14</v>
      </c>
      <c r="CR522" s="712">
        <f>IF(WWWW[[#This Row],[Total required Latrines]]-(WWWW[[#This Row],['#_Constructed latrines_by_WASHAgencies]]+WWWW[[#This Row],['#_Non Cluster partner latrines]])&lt;0,0,WWWW[[#This Row],[Total required Latrines]]-(WWWW[[#This Row],['#_Constructed latrines_by_WASHAgencies]]+WWWW[[#This Row],['#_Non Cluster partner latrines]]))</f>
        <v>4</v>
      </c>
      <c r="CS522" s="79">
        <f>1-WWWW[[#This Row],[% people access to functioning Latrine]]</f>
        <v>0.27536231884057971</v>
      </c>
      <c r="CT522" s="713">
        <f>IF(OR(WWWW[[#This Row],['#_Non-functional latrines]]="",WWWW[[#This Row],['#_Non-functional latrines]]=0),0,WWWW[[#This Row],['#_Non-functional latrines]]/(WWWW[[#This Row],['#_Constructed latrines_by_WASHAgencies]]+WWWW[[#This Row],['#_Non Cluster partner latrines]]))</f>
        <v>0</v>
      </c>
      <c r="CU522" s="702">
        <f>IF(500*(WWWW[[#This Row],['#_male hygiene promoters]]+WWWW[[#This Row],['#_female hygiene promoters]])&gt;WWWW[[#This Row],[Total PoP ]],WWWW[[#This Row],[Total PoP ]],500*(WWWW[[#This Row],['#_male hygiene promoters]]+WWWW[[#This Row],['#_female hygiene promoters]]))</f>
        <v>276</v>
      </c>
      <c r="CV522" s="712">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276</v>
      </c>
      <c r="CW522" s="712">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22" s="712">
        <f>IF(WWWW[[#This Row],['# People with access to soap]]&gt;WWWW[[#This Row],['# People with access to Sanity Pads]],WWWW[[#This Row],['# People with access to soap]],WWWW[[#This Row],['# People with access to Sanity Pads]])</f>
        <v>276</v>
      </c>
      <c r="CY522" s="712">
        <f>IF(WWWW[[#This Row],['# people reached by regular dedicated hygiene promotion_5]]&gt;WWWW[[#This Row],['# People received regular supply of hygiene items_6]],WWWW[[#This Row],['# people reached by regular dedicated hygiene promotion_5]],WWWW[[#This Row],['# People received regular supply of hygiene items_6]])</f>
        <v>276</v>
      </c>
      <c r="CZ522" s="714">
        <f>IF(WWWW[[#This Row],[HRP3]]/WWWW[[#This Row],[Total PoP ]]&gt;100%,100%,WWWW[[#This Row],[HRP3]]/WWWW[[#This Row],[Total PoP ]])</f>
        <v>1</v>
      </c>
      <c r="DA522" s="713">
        <f>1-WWWW[[#This Row],[Hygiene Coverage%]]</f>
        <v>0</v>
      </c>
      <c r="DB522" s="711">
        <f>WWWW[[#This Row],['# people reached by regular dedicated hygiene promotion_5]]/WWWW[[#This Row],[Total PoP ]]</f>
        <v>1</v>
      </c>
      <c r="DC522" s="711">
        <f>IF(WWWW[[#This Row],['#_households that received standard amount of soap for this quarter]]/WWWW[[#This Row],[Total HH]]&gt;1,1,WWWW[[#This Row],['#_households that received standard amount of soap for this quarter]]/WWWW[[#This Row],[Total HH]])</f>
        <v>1</v>
      </c>
      <c r="DD522" s="711">
        <f>IF(WWWW[[#This Row],['#_households that received standard amount of sanitary pads for this quarter]]/WWWW[[#This Row],[Total HH]]&gt;1,1,WWWW[[#This Row],['#_households that received standard amount of sanitary pads for this quarter]]/WWWW[[#This Row],[Total HH]])</f>
        <v>0</v>
      </c>
      <c r="DE522" s="712">
        <f>WWWW[[#This Row],['#_Constructed/Existing hand washing stations]]-WWWW[[#This Row],['#_Non-Functional_hand_washing_stations]]</f>
        <v>0</v>
      </c>
      <c r="DF522" s="667">
        <f>IF(WWWW[[#This Row],['# Functional hand washing stations during reporting period]]*20&gt;WWWW[[#This Row],[Total HH]],WWWW[[#This Row],[Total HH]],WWWW[[#This Row],['# Functional hand washing stations during reporting period]]*20)</f>
        <v>0</v>
      </c>
      <c r="DG522" s="702">
        <f>IF(WWWW[[#This Row],[Is sufficient soap available for TLS? (Yes/No)]]="yes",WWWW[[#This Row],['#_Constructed/Existing hand washing stations at TLS]],0)</f>
        <v>0</v>
      </c>
      <c r="DH522" s="702">
        <f>IF(WWWW[[#This Row],['# Functional hand washing stations during reporting period]]*100&gt;WWWW[[#This Row],[Total PoP ]],WWWW[[#This Row],[Total PoP ]],WWWW[[#This Row],['# Functional hand washing stations during reporting period]]*100)</f>
        <v>0</v>
      </c>
      <c r="DI522" s="702" t="str">
        <f>IF(WWWW[[#This Row],['#_students at TLS_CFS]]="","No","Yes")</f>
        <v>No</v>
      </c>
      <c r="DJ522" s="709">
        <f>VLOOKUP(WWWW[[#This Row],[Site Name]],SiteDB6[[Site Name]:[CCCM Management]],6,FALSE)</f>
        <v>0</v>
      </c>
      <c r="DK522" s="709" t="str">
        <f>VLOOKUP(WWWW[[#This Row],[Site Name]],SiteDB6[[Site Name]:[CCCM Focal Agency]],7,FALSE)</f>
        <v>uncovered</v>
      </c>
      <c r="DL522" s="709" t="str">
        <f>VLOOKUP(WWWW[[#This Row],[Site Name]],SiteDB6[[Site Name]:[Location Type 1]],9,FALSE)</f>
        <v>Camp</v>
      </c>
      <c r="DM522" s="709" t="str">
        <f>VLOOKUP(WWWW[[#This Row],[Site Name]],SiteDB6[[Site Name]:[Type of Accommodation]],10,FALSE)</f>
        <v>Camp like setting</v>
      </c>
      <c r="DN522" s="709" t="str">
        <f>VLOOKUP(WWWW[[#This Row],[Site Name]],SiteDB6[[Site Name]:[Ethnic or GCA/NGCA]],11,FALSE)</f>
        <v>GCA</v>
      </c>
      <c r="DO522" s="709">
        <f>VLOOKUP(WWWW[[#This Row],[Site Name]],SiteDB6[[Site Name]:[Lat]],12,FALSE)</f>
        <v>23.611999999999998</v>
      </c>
      <c r="DP522" s="709">
        <f>VLOOKUP(WWWW[[#This Row],[Site Name]],SiteDB6[[Site Name]:[Long]],13,FALSE)</f>
        <v>97.506</v>
      </c>
      <c r="DQ522" s="709" t="str">
        <f>VLOOKUP(WWWW[[#This Row],[Site Name]],SiteDB6[[Site Name]:[Pcode]],3,FALSE)</f>
        <v>MMR015CMP224</v>
      </c>
      <c r="DR522" s="703" t="str">
        <f t="shared" si="18"/>
        <v>Covered</v>
      </c>
      <c r="DS522" s="703"/>
    </row>
    <row r="523" spans="1:126">
      <c r="A523" s="637" t="s">
        <v>2525</v>
      </c>
      <c r="B523" s="701" t="s">
        <v>305</v>
      </c>
      <c r="C523" s="701" t="s">
        <v>305</v>
      </c>
      <c r="D523" s="701" t="s">
        <v>2974</v>
      </c>
      <c r="E523" s="663" t="s">
        <v>716</v>
      </c>
      <c r="F523" s="701" t="s">
        <v>720</v>
      </c>
      <c r="G523" s="709" t="str">
        <f>VLOOKUP(WWWW[[#This Row],[Site Name]],SiteDB6[[Site Name]:[Location Type]],8,FALSE)</f>
        <v>Camp</v>
      </c>
      <c r="H523" s="701" t="s">
        <v>746</v>
      </c>
      <c r="I523" s="379">
        <v>30</v>
      </c>
      <c r="J523" s="379">
        <v>180</v>
      </c>
      <c r="K523" s="710">
        <v>43070</v>
      </c>
      <c r="L523" s="58">
        <v>43799</v>
      </c>
      <c r="M523" s="379"/>
      <c r="N523" s="379"/>
      <c r="O523" s="379"/>
      <c r="P523" s="379"/>
      <c r="Q523" s="702" t="s">
        <v>43</v>
      </c>
      <c r="R523" s="379">
        <v>5</v>
      </c>
      <c r="S523" s="379">
        <v>4</v>
      </c>
      <c r="T523" s="379">
        <v>0</v>
      </c>
      <c r="U523" s="379">
        <v>0</v>
      </c>
      <c r="V523" s="379">
        <v>0</v>
      </c>
      <c r="W523" s="379">
        <v>0</v>
      </c>
      <c r="X523" s="379">
        <v>0</v>
      </c>
      <c r="Y523" s="379">
        <v>0</v>
      </c>
      <c r="Z523" s="379">
        <v>0</v>
      </c>
      <c r="AA523" s="379">
        <v>12</v>
      </c>
      <c r="AB523" s="379">
        <v>0</v>
      </c>
      <c r="AC523" s="379">
        <v>0</v>
      </c>
      <c r="AD523" s="379">
        <v>0</v>
      </c>
      <c r="AE523" s="379"/>
      <c r="AF523" s="379">
        <v>0</v>
      </c>
      <c r="AG523" s="379">
        <v>1</v>
      </c>
      <c r="AH523" s="379"/>
      <c r="AI523" s="379">
        <v>1</v>
      </c>
      <c r="AJ523" s="379">
        <v>0</v>
      </c>
      <c r="AK523" s="379">
        <v>15</v>
      </c>
      <c r="AL523" s="379">
        <v>0</v>
      </c>
      <c r="AM523" s="379"/>
      <c r="AN523" s="379"/>
      <c r="AO523" s="703"/>
      <c r="AP523" s="379">
        <v>30</v>
      </c>
      <c r="AQ523" s="379">
        <v>0</v>
      </c>
      <c r="AR523" s="711"/>
      <c r="AS523" s="379">
        <v>0</v>
      </c>
      <c r="AT523" s="379">
        <v>0</v>
      </c>
      <c r="AU523" s="379">
        <v>0</v>
      </c>
      <c r="AV523" s="379"/>
      <c r="AW523" s="379"/>
      <c r="AX523" s="709" t="s">
        <v>148</v>
      </c>
      <c r="AY523" s="703" t="s">
        <v>145</v>
      </c>
      <c r="AZ523" s="379">
        <v>0</v>
      </c>
      <c r="BA523" s="379">
        <v>0</v>
      </c>
      <c r="BB523" s="379"/>
      <c r="BC523" s="709"/>
      <c r="BD523" s="379">
        <v>2</v>
      </c>
      <c r="BE523" s="379">
        <v>0</v>
      </c>
      <c r="BF523" s="379">
        <v>0</v>
      </c>
      <c r="BG523" s="379">
        <v>2</v>
      </c>
      <c r="BH523" s="379">
        <v>0</v>
      </c>
      <c r="BI523" s="379">
        <v>0</v>
      </c>
      <c r="BJ523" s="379">
        <v>1</v>
      </c>
      <c r="BK523" s="379">
        <v>30</v>
      </c>
      <c r="BL523" s="379"/>
      <c r="BM523" s="709"/>
      <c r="BN523" s="712"/>
      <c r="BO523" s="711">
        <v>0.1</v>
      </c>
      <c r="BP523" s="709"/>
      <c r="BQ523" s="713">
        <f>IFERROR(WWWW[[#This Row],['#_Water sources treated]]/WWWW[[#This Row],['#_Water sources tested for contamination]],"no test")</f>
        <v>0</v>
      </c>
      <c r="BR523" s="711">
        <f>IFERROR(WWWW[[#This Row],['#_Household received remediation action due to contamination]]/WWWW[[#This Row],['#_Household water samples tested for contamination]],"no test")</f>
        <v>0</v>
      </c>
      <c r="BS523" s="712" t="str">
        <f>IF(AND(WWWW[[#This Row],[% of water sources treated]]="no test",WWWW[[#This Row],[% Household received corrective actions]]="no test"),"No Test","Tested")</f>
        <v>Tested</v>
      </c>
      <c r="BT523" s="712">
        <f>WWWW[[#This Row],['#_Constructed/existing protected hand dug well]]-WWWW[[#This Row],['#_Non-functional protected hand dug well]]</f>
        <v>0</v>
      </c>
      <c r="BU523" s="712">
        <f>(WWWW[[#This Row],['#_Constructed/Existing tube wells/boreholes/handpumps_WASH_agency]]+WWWW[[#This Row],['#_Non-Cluster partner water tube-wells/boreholes/handpumps]])-WWWW[[#This Row],['#_Non-functional tube wells/boreholes/handpumps]]</f>
        <v>0</v>
      </c>
      <c r="BV523" s="712">
        <f>WWWW[[#This Row],['#_Constructed/Existingwater storage tank with gravity fed reticulation system]]-WWWW[[#This Row],['#_Non-functional storage tank gravity fed reticulation system]]</f>
        <v>12</v>
      </c>
      <c r="BW523" s="712">
        <f>WWWW[[#This Row],['#_Water boating or water trucking]]</f>
        <v>0</v>
      </c>
      <c r="BX523" s="712">
        <f>WWWW[[#This Row],['#_Constructed/Existing water distribution system from river or natural spring]]</f>
        <v>0</v>
      </c>
      <c r="BY523" s="713">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523" s="713">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523" s="711">
        <f>IF(WWWW[[#This Row],[Location Type 1]]="Village",WWWW[[#This Row],[Access to safe drinking water for Village]],WWWW[[#This Row],[Access to safe drinking water for Camp]])</f>
        <v>1</v>
      </c>
      <c r="CB523" s="702">
        <f>WWWW[[#This Row],[%Equitable and continuous access to sufficient quantity of safe drinking water]]*WWWW[[#This Row],[Total PoP ]]</f>
        <v>180</v>
      </c>
      <c r="CC523" s="711">
        <f>IF((WWWW[[#This Row],['#_Constructed/Existing protected/fenced ponds]]*250)/WWWW[[#This Row],[Total PoP ]]&gt;1,1,(WWWW[[#This Row],['#_Constructed/Existing protected/fenced ponds]]*250)/WWWW[[#This Row],[Total PoP ]])</f>
        <v>0</v>
      </c>
      <c r="CD523" s="702">
        <f>WWWW[[#This Row],[% Access to unimproved water points]]*WWWW[[#This Row],[Total PoP ]]</f>
        <v>0</v>
      </c>
      <c r="CE523" s="711">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23" s="70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180</v>
      </c>
      <c r="CG523" s="702">
        <f>WWWW[[#This Row],[HRP1]]/500</f>
        <v>0.36</v>
      </c>
      <c r="CH523" s="714">
        <f>1-WWWW[[#This Row],[% Equitable and continuous access to sufficient quantity of domestic water]]</f>
        <v>0</v>
      </c>
      <c r="CI523" s="702">
        <f>WWWW[[#This Row],[%equitable and continuous access to sufficient quantity of safe drinking and domestic water''s GAP]]*WWWW[[#This Row],[Total PoP ]]</f>
        <v>0</v>
      </c>
      <c r="CJ523" s="712">
        <f>IF(WWWW[[#This Row],[Total required water points]]-WWWW[[#This Row],['#Water points coverage]]&lt;0,0,WWWW[[#This Row],[Total required water points]]-WWWW[[#This Row],['#Water points coverage]])</f>
        <v>0.64</v>
      </c>
      <c r="CK523" s="712">
        <f>ROUND(IF(WWWW[[#This Row],[Total PoP ]]&lt;500,1,WWWW[[#This Row],[Total PoP ]]/500),0)</f>
        <v>1</v>
      </c>
      <c r="CL523" s="712">
        <f>(WWWW[[#This Row],['#_Constructed latrines_by_WASHAgencies]]+WWWW[[#This Row],['#_Non Cluster partner latrines]])-WWWW[[#This Row],['#_Non-functional latrines]]</f>
        <v>30</v>
      </c>
      <c r="CM523" s="711">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523" s="702">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180</v>
      </c>
      <c r="CO523" s="71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23" s="712">
        <f>IF(WWWW[[#This Row],[Location Type 1]]="Village","NA",IF(WWWW[[#This Row],['#_Constructed/Existing latrines in TLS]]*50&gt;WWWW[[#This Row],['#_students at TLS_CFS]],WWWW[[#This Row],['#_students at TLS_CFS]],(WWWW[[#This Row],['#_Constructed/Existing latrines in TLS]]*50)))</f>
        <v>0</v>
      </c>
      <c r="CQ523" s="712">
        <f>ROUND(IF(WWWW[[#This Row],[Location Type 1]]="camp",WWWW[[#This Row],[Total PoP ]]/20,IF(WWWW[[#This Row],[Location Type 1]]="Temporary Location",WWWW[[#This Row],[Total PoP ]]/50,(WWWW[[#This Row],[Total PoP ]]/6))),0)</f>
        <v>9</v>
      </c>
      <c r="CR523" s="712">
        <f>IF(WWWW[[#This Row],[Total required Latrines]]-(WWWW[[#This Row],['#_Constructed latrines_by_WASHAgencies]]+WWWW[[#This Row],['#_Non Cluster partner latrines]])&lt;0,0,WWWW[[#This Row],[Total required Latrines]]-(WWWW[[#This Row],['#_Constructed latrines_by_WASHAgencies]]+WWWW[[#This Row],['#_Non Cluster partner latrines]]))</f>
        <v>0</v>
      </c>
      <c r="CS523" s="79">
        <f>1-WWWW[[#This Row],[% people access to functioning Latrine]]</f>
        <v>0</v>
      </c>
      <c r="CT523" s="713">
        <f>IF(OR(WWWW[[#This Row],['#_Non-functional latrines]]="",WWWW[[#This Row],['#_Non-functional latrines]]=0),0,WWWW[[#This Row],['#_Non-functional latrines]]/(WWWW[[#This Row],['#_Constructed latrines_by_WASHAgencies]]+WWWW[[#This Row],['#_Non Cluster partner latrines]]))</f>
        <v>0</v>
      </c>
      <c r="CU523" s="702">
        <f>IF(500*(WWWW[[#This Row],['#_male hygiene promoters]]+WWWW[[#This Row],['#_female hygiene promoters]])&gt;WWWW[[#This Row],[Total PoP ]],WWWW[[#This Row],[Total PoP ]],500*(WWWW[[#This Row],['#_male hygiene promoters]]+WWWW[[#This Row],['#_female hygiene promoters]]))</f>
        <v>180</v>
      </c>
      <c r="CV523" s="712">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180</v>
      </c>
      <c r="CW523" s="712">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23" s="712">
        <f>IF(WWWW[[#This Row],['# People with access to soap]]&gt;WWWW[[#This Row],['# People with access to Sanity Pads]],WWWW[[#This Row],['# People with access to soap]],WWWW[[#This Row],['# People with access to Sanity Pads]])</f>
        <v>180</v>
      </c>
      <c r="CY523" s="712">
        <f>IF(WWWW[[#This Row],['# people reached by regular dedicated hygiene promotion_5]]&gt;WWWW[[#This Row],['# People received regular supply of hygiene items_6]],WWWW[[#This Row],['# people reached by regular dedicated hygiene promotion_5]],WWWW[[#This Row],['# People received regular supply of hygiene items_6]])</f>
        <v>180</v>
      </c>
      <c r="CZ523" s="714">
        <f>IF(WWWW[[#This Row],[HRP3]]/WWWW[[#This Row],[Total PoP ]]&gt;100%,100%,WWWW[[#This Row],[HRP3]]/WWWW[[#This Row],[Total PoP ]])</f>
        <v>1</v>
      </c>
      <c r="DA523" s="713">
        <f>1-WWWW[[#This Row],[Hygiene Coverage%]]</f>
        <v>0</v>
      </c>
      <c r="DB523" s="711">
        <f>WWWW[[#This Row],['# people reached by regular dedicated hygiene promotion_5]]/WWWW[[#This Row],[Total PoP ]]</f>
        <v>1</v>
      </c>
      <c r="DC523" s="711">
        <f>IF(WWWW[[#This Row],['#_households that received standard amount of soap for this quarter]]/WWWW[[#This Row],[Total HH]]&gt;1,1,WWWW[[#This Row],['#_households that received standard amount of soap for this quarter]]/WWWW[[#This Row],[Total HH]])</f>
        <v>1</v>
      </c>
      <c r="DD523" s="711">
        <f>IF(WWWW[[#This Row],['#_households that received standard amount of sanitary pads for this quarter]]/WWWW[[#This Row],[Total HH]]&gt;1,1,WWWW[[#This Row],['#_households that received standard amount of sanitary pads for this quarter]]/WWWW[[#This Row],[Total HH]])</f>
        <v>0</v>
      </c>
      <c r="DE523" s="712">
        <f>WWWW[[#This Row],['#_Constructed/Existing hand washing stations]]-WWWW[[#This Row],['#_Non-Functional_hand_washing_stations]]</f>
        <v>2</v>
      </c>
      <c r="DF523" s="667">
        <f>IF(WWWW[[#This Row],['# Functional hand washing stations during reporting period]]*20&gt;WWWW[[#This Row],[Total HH]],WWWW[[#This Row],[Total HH]],WWWW[[#This Row],['# Functional hand washing stations during reporting period]]*20)</f>
        <v>30</v>
      </c>
      <c r="DG523" s="702">
        <f>IF(WWWW[[#This Row],[Is sufficient soap available for TLS? (Yes/No)]]="yes",WWWW[[#This Row],['#_Constructed/Existing hand washing stations at TLS]],0)</f>
        <v>0</v>
      </c>
      <c r="DH523" s="702">
        <f>IF(WWWW[[#This Row],['# Functional hand washing stations during reporting period]]*100&gt;WWWW[[#This Row],[Total PoP ]],WWWW[[#This Row],[Total PoP ]],WWWW[[#This Row],['# Functional hand washing stations during reporting period]]*100)</f>
        <v>180</v>
      </c>
      <c r="DI523" s="702" t="str">
        <f>IF(WWWW[[#This Row],['#_students at TLS_CFS]]="","No","Yes")</f>
        <v>No</v>
      </c>
      <c r="DJ523" s="709">
        <f>VLOOKUP(WWWW[[#This Row],[Site Name]],SiteDB6[[Site Name]:[CCCM Management]],6,FALSE)</f>
        <v>0</v>
      </c>
      <c r="DK523" s="709" t="str">
        <f>VLOOKUP(WWWW[[#This Row],[Site Name]],SiteDB6[[Site Name]:[CCCM Focal Agency]],7,FALSE)</f>
        <v>uncovered</v>
      </c>
      <c r="DL523" s="709" t="str">
        <f>VLOOKUP(WWWW[[#This Row],[Site Name]],SiteDB6[[Site Name]:[Location Type 1]],9,FALSE)</f>
        <v>Camp</v>
      </c>
      <c r="DM523" s="709" t="str">
        <f>VLOOKUP(WWWW[[#This Row],[Site Name]],SiteDB6[[Site Name]:[Type of Accommodation]],10,FALSE)</f>
        <v>Camp like setting</v>
      </c>
      <c r="DN523" s="709" t="str">
        <f>VLOOKUP(WWWW[[#This Row],[Site Name]],SiteDB6[[Site Name]:[Ethnic or GCA/NGCA]],11,FALSE)</f>
        <v>GCA</v>
      </c>
      <c r="DO523" s="709">
        <f>VLOOKUP(WWWW[[#This Row],[Site Name]],SiteDB6[[Site Name]:[Lat]],12,FALSE)</f>
        <v>23.850999999999999</v>
      </c>
      <c r="DP523" s="709">
        <f>VLOOKUP(WWWW[[#This Row],[Site Name]],SiteDB6[[Site Name]:[Long]],13,FALSE)</f>
        <v>98.337999999999994</v>
      </c>
      <c r="DQ523" s="709" t="str">
        <f>VLOOKUP(WWWW[[#This Row],[Site Name]],SiteDB6[[Site Name]:[Pcode]],3,FALSE)</f>
        <v>MMR015CMP227</v>
      </c>
      <c r="DR523" s="703" t="str">
        <f t="shared" si="18"/>
        <v>Covered</v>
      </c>
      <c r="DS523" s="703"/>
    </row>
    <row r="524" spans="1:126">
      <c r="A524" s="637" t="s">
        <v>2525</v>
      </c>
      <c r="B524" s="701" t="s">
        <v>317</v>
      </c>
      <c r="C524" s="701" t="s">
        <v>317</v>
      </c>
      <c r="D524" s="644"/>
      <c r="E524" s="644" t="s">
        <v>716</v>
      </c>
      <c r="F524" s="701" t="s">
        <v>720</v>
      </c>
      <c r="G524" s="643" t="s">
        <v>45</v>
      </c>
      <c r="H524" s="644" t="s">
        <v>729</v>
      </c>
      <c r="I524" s="646">
        <v>44</v>
      </c>
      <c r="J524" s="646">
        <v>265</v>
      </c>
      <c r="K524" s="653"/>
      <c r="L524" s="654"/>
      <c r="M524" s="646"/>
      <c r="N524" s="646"/>
      <c r="O524" s="646"/>
      <c r="P524" s="646"/>
      <c r="Q524" s="645"/>
      <c r="R524" s="646"/>
      <c r="S524" s="646"/>
      <c r="T524" s="646"/>
      <c r="U524" s="646"/>
      <c r="V524" s="646"/>
      <c r="W524" s="646"/>
      <c r="X524" s="646"/>
      <c r="Y524" s="646"/>
      <c r="Z524" s="646"/>
      <c r="AA524" s="646"/>
      <c r="AB524" s="646"/>
      <c r="AC524" s="646"/>
      <c r="AD524" s="646"/>
      <c r="AE524" s="646"/>
      <c r="AF524" s="646"/>
      <c r="AG524" s="646"/>
      <c r="AH524" s="646"/>
      <c r="AI524" s="646"/>
      <c r="AJ524" s="646"/>
      <c r="AK524" s="646"/>
      <c r="AL524" s="646"/>
      <c r="AM524" s="646"/>
      <c r="AN524" s="646"/>
      <c r="AO524" s="652"/>
      <c r="AP524" s="646"/>
      <c r="AQ524" s="646"/>
      <c r="AR524" s="648"/>
      <c r="AS524" s="646"/>
      <c r="AT524" s="646"/>
      <c r="AU524" s="646"/>
      <c r="AV524" s="646"/>
      <c r="AW524" s="646"/>
      <c r="AX524" s="643" t="s">
        <v>43</v>
      </c>
      <c r="AY524" s="652" t="s">
        <v>144</v>
      </c>
      <c r="AZ524" s="646"/>
      <c r="BA524" s="646"/>
      <c r="BB524" s="646"/>
      <c r="BC524" s="643"/>
      <c r="BD524" s="646"/>
      <c r="BE524" s="646"/>
      <c r="BF524" s="646"/>
      <c r="BG524" s="646"/>
      <c r="BH524" s="646"/>
      <c r="BI524" s="646"/>
      <c r="BJ524" s="646"/>
      <c r="BK524" s="646"/>
      <c r="BL524" s="646"/>
      <c r="BM524" s="643"/>
      <c r="BN524" s="647"/>
      <c r="BO524" s="648"/>
      <c r="BP524" s="643"/>
      <c r="BQ524" s="649" t="str">
        <f>IFERROR(WWWW[[#This Row],['#_Water sources treated]]/WWWW[[#This Row],['#_Water sources tested for contamination]],"no test")</f>
        <v>no test</v>
      </c>
      <c r="BR524" s="648" t="str">
        <f>IFERROR(WWWW[[#This Row],['#_Household received remediation action due to contamination]]/WWWW[[#This Row],['#_Household water samples tested for contamination]],"no test")</f>
        <v>no test</v>
      </c>
      <c r="BS524" s="647" t="str">
        <f>IF(AND(WWWW[[#This Row],[% of water sources treated]]="no test",WWWW[[#This Row],[% Household received corrective actions]]="no test"),"No Test","Tested")</f>
        <v>No Test</v>
      </c>
      <c r="BT524" s="647">
        <f>WWWW[[#This Row],['#_Constructed/existing protected hand dug well]]-WWWW[[#This Row],['#_Non-functional protected hand dug well]]</f>
        <v>0</v>
      </c>
      <c r="BU524" s="647">
        <f>(WWWW[[#This Row],['#_Constructed/Existing tube wells/boreholes/handpumps_WASH_agency]]+WWWW[[#This Row],['#_Non-Cluster partner water tube-wells/boreholes/handpumps]])-WWWW[[#This Row],['#_Non-functional tube wells/boreholes/handpumps]]</f>
        <v>0</v>
      </c>
      <c r="BV524" s="647">
        <f>WWWW[[#This Row],['#_Constructed/Existingwater storage tank with gravity fed reticulation system]]-WWWW[[#This Row],['#_Non-functional storage tank gravity fed reticulation system]]</f>
        <v>0</v>
      </c>
      <c r="BW524" s="647">
        <f>WWWW[[#This Row],['#_Water boating or water trucking]]</f>
        <v>0</v>
      </c>
      <c r="BX524" s="647">
        <f>WWWW[[#This Row],['#_Constructed/Existing water distribution system from river or natural spring]]</f>
        <v>0</v>
      </c>
      <c r="BY524"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524"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524" s="648">
        <f>IF(WWWW[[#This Row],[Location Type 1]]="Village",WWWW[[#This Row],[Access to safe drinking water for Village]],WWWW[[#This Row],[Access to safe drinking water for Camp]])</f>
        <v>0</v>
      </c>
      <c r="CB524" s="645">
        <f>WWWW[[#This Row],[%Equitable and continuous access to sufficient quantity of safe drinking water]]*WWWW[[#This Row],[Total PoP ]]</f>
        <v>0</v>
      </c>
      <c r="CC524" s="648">
        <f>IF((WWWW[[#This Row],['#_Constructed/Existing protected/fenced ponds]]*250)/WWWW[[#This Row],[Total PoP ]]&gt;1,1,(WWWW[[#This Row],['#_Constructed/Existing protected/fenced ponds]]*250)/WWWW[[#This Row],[Total PoP ]])</f>
        <v>0</v>
      </c>
      <c r="CD524" s="645">
        <f>WWWW[[#This Row],[% Access to unimproved water points]]*WWWW[[#This Row],[Total PoP ]]</f>
        <v>0</v>
      </c>
      <c r="CE524"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524"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524" s="645">
        <f>WWWW[[#This Row],[HRP1]]/500</f>
        <v>0</v>
      </c>
      <c r="CH524" s="650">
        <f>1-WWWW[[#This Row],[% Equitable and continuous access to sufficient quantity of domestic water]]</f>
        <v>1</v>
      </c>
      <c r="CI524" s="645">
        <f>WWWW[[#This Row],[%equitable and continuous access to sufficient quantity of safe drinking and domestic water''s GAP]]*WWWW[[#This Row],[Total PoP ]]</f>
        <v>265</v>
      </c>
      <c r="CJ524" s="647">
        <f>IF(WWWW[[#This Row],[Total required water points]]-WWWW[[#This Row],['#Water points coverage]]&lt;0,0,WWWW[[#This Row],[Total required water points]]-WWWW[[#This Row],['#Water points coverage]])</f>
        <v>1</v>
      </c>
      <c r="CK524" s="647">
        <f>ROUND(IF(WWWW[[#This Row],[Total PoP ]]&lt;500,1,WWWW[[#This Row],[Total PoP ]]/500),0)</f>
        <v>1</v>
      </c>
      <c r="CL524" s="647">
        <f>(WWWW[[#This Row],['#_Constructed latrines_by_WASHAgencies]]+WWWW[[#This Row],['#_Non Cluster partner latrines]])-WWWW[[#This Row],['#_Non-functional latrines]]</f>
        <v>0</v>
      </c>
      <c r="CM524"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524"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524"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24" s="647">
        <f>IF(WWWW[[#This Row],[Location Type 1]]="Village","NA",IF(WWWW[[#This Row],['#_Constructed/Existing latrines in TLS]]*50&gt;WWWW[[#This Row],['#_students at TLS_CFS]],WWWW[[#This Row],['#_students at TLS_CFS]],(WWWW[[#This Row],['#_Constructed/Existing latrines in TLS]]*50)))</f>
        <v>0</v>
      </c>
      <c r="CQ524" s="647">
        <f>ROUND(IF(WWWW[[#This Row],[Location Type 1]]="camp",WWWW[[#This Row],[Total PoP ]]/20,IF(WWWW[[#This Row],[Location Type 1]]="Temporary Location",WWWW[[#This Row],[Total PoP ]]/50,(WWWW[[#This Row],[Total PoP ]]/6))),0)</f>
        <v>44</v>
      </c>
      <c r="CR524" s="647">
        <f>IF(WWWW[[#This Row],[Total required Latrines]]-(WWWW[[#This Row],['#_Constructed latrines_by_WASHAgencies]]+WWWW[[#This Row],['#_Non Cluster partner latrines]])&lt;0,0,WWWW[[#This Row],[Total required Latrines]]-(WWWW[[#This Row],['#_Constructed latrines_by_WASHAgencies]]+WWWW[[#This Row],['#_Non Cluster partner latrines]]))</f>
        <v>44</v>
      </c>
      <c r="CS524" s="79">
        <f>1-WWWW[[#This Row],[% people access to functioning Latrine]]</f>
        <v>1</v>
      </c>
      <c r="CT524" s="649">
        <f>IF(OR(WWWW[[#This Row],['#_Non-functional latrines]]="",WWWW[[#This Row],['#_Non-functional latrines]]=0),0,WWWW[[#This Row],['#_Non-functional latrines]]/(WWWW[[#This Row],['#_Constructed latrines_by_WASHAgencies]]+WWWW[[#This Row],['#_Non Cluster partner latrines]]))</f>
        <v>0</v>
      </c>
      <c r="CU524" s="645">
        <f>IF(500*(WWWW[[#This Row],['#_male hygiene promoters]]+WWWW[[#This Row],['#_female hygiene promoters]])&gt;WWWW[[#This Row],[Total PoP ]],WWWW[[#This Row],[Total PoP ]],500*(WWWW[[#This Row],['#_male hygiene promoters]]+WWWW[[#This Row],['#_female hygiene promoters]]))</f>
        <v>0</v>
      </c>
      <c r="CV524"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24"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24" s="647">
        <f>IF(WWWW[[#This Row],['# People with access to soap]]&gt;WWWW[[#This Row],['# People with access to Sanity Pads]],WWWW[[#This Row],['# People with access to soap]],WWWW[[#This Row],['# People with access to Sanity Pads]])</f>
        <v>0</v>
      </c>
      <c r="CY524"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524" s="650">
        <f>IF(WWWW[[#This Row],[HRP3]]/WWWW[[#This Row],[Total PoP ]]&gt;100%,100%,WWWW[[#This Row],[HRP3]]/WWWW[[#This Row],[Total PoP ]])</f>
        <v>0</v>
      </c>
      <c r="DA524" s="649">
        <f>1-WWWW[[#This Row],[Hygiene Coverage%]]</f>
        <v>1</v>
      </c>
      <c r="DB524" s="648">
        <f>WWWW[[#This Row],['# people reached by regular dedicated hygiene promotion_5]]/WWWW[[#This Row],[Total PoP ]]</f>
        <v>0</v>
      </c>
      <c r="DC524" s="648">
        <f>IF(WWWW[[#This Row],['#_households that received standard amount of soap for this quarter]]/WWWW[[#This Row],[Total HH]]&gt;1,1,WWWW[[#This Row],['#_households that received standard amount of soap for this quarter]]/WWWW[[#This Row],[Total HH]])</f>
        <v>0</v>
      </c>
      <c r="DD524" s="648">
        <f>IF(WWWW[[#This Row],['#_households that received standard amount of sanitary pads for this quarter]]/WWWW[[#This Row],[Total HH]]&gt;1,1,WWWW[[#This Row],['#_households that received standard amount of sanitary pads for this quarter]]/WWWW[[#This Row],[Total HH]])</f>
        <v>0</v>
      </c>
      <c r="DE524" s="647">
        <f>WWWW[[#This Row],['#_Constructed/Existing hand washing stations]]-WWWW[[#This Row],['#_Non-Functional_hand_washing_stations]]</f>
        <v>0</v>
      </c>
      <c r="DF524" s="667">
        <f>IF(WWWW[[#This Row],['# Functional hand washing stations during reporting period]]*20&gt;WWWW[[#This Row],[Total HH]],WWWW[[#This Row],[Total HH]],WWWW[[#This Row],['# Functional hand washing stations during reporting period]]*20)</f>
        <v>0</v>
      </c>
      <c r="DG524" s="645">
        <f>IF(WWWW[[#This Row],[Is sufficient soap available for TLS? (Yes/No)]]="yes",WWWW[[#This Row],['#_Constructed/Existing hand washing stations at TLS]],0)</f>
        <v>0</v>
      </c>
      <c r="DH524" s="645">
        <f>IF(WWWW[[#This Row],['# Functional hand washing stations during reporting period]]*100&gt;WWWW[[#This Row],[Total PoP ]],WWWW[[#This Row],[Total PoP ]],WWWW[[#This Row],['# Functional hand washing stations during reporting period]]*100)</f>
        <v>0</v>
      </c>
      <c r="DI524" s="645" t="str">
        <f>IF(WWWW[[#This Row],['#_students at TLS_CFS]]="","No","Yes")</f>
        <v>No</v>
      </c>
      <c r="DJ524" s="643" t="str">
        <f>VLOOKUP(WWWW[[#This Row],[Site Name]],SiteDB6[[Site Name]:[CCCM Management]],6,FALSE)</f>
        <v>Yes</v>
      </c>
      <c r="DK524" s="643" t="str">
        <f>VLOOKUP(WWWW[[#This Row],[Site Name]],SiteDB6[[Site Name]:[CCCM Focal Agency]],7,FALSE)</f>
        <v>KBC-NSS</v>
      </c>
      <c r="DL524" s="643" t="str">
        <f>VLOOKUP(WWWW[[#This Row],[Site Name]],SiteDB6[[Site Name]:[Location Type 1]],9,FALSE)</f>
        <v>Village Type Camp</v>
      </c>
      <c r="DM524" s="643" t="str">
        <f>VLOOKUP(WWWW[[#This Row],[Site Name]],SiteDB6[[Site Name]:[Type of Accommodation]],10,FALSE)</f>
        <v>Camp</v>
      </c>
      <c r="DN524" s="643" t="str">
        <f>VLOOKUP(WWWW[[#This Row],[Site Name]],SiteDB6[[Site Name]:[Ethnic or GCA/NGCA]],11,FALSE)</f>
        <v>GCA</v>
      </c>
      <c r="DO524" s="643">
        <f>VLOOKUP(WWWW[[#This Row],[Site Name]],SiteDB6[[Site Name]:[Lat]],12,FALSE)</f>
        <v>23.400155999999999</v>
      </c>
      <c r="DP524" s="643">
        <f>VLOOKUP(WWWW[[#This Row],[Site Name]],SiteDB6[[Site Name]:[Long]],13,FALSE)</f>
        <v>98.220614999999995</v>
      </c>
      <c r="DQ524" s="643" t="str">
        <f>VLOOKUP(WWWW[[#This Row],[Site Name]],SiteDB6[[Site Name]:[Pcode]],3,FALSE)</f>
        <v>MMR015CMP006</v>
      </c>
      <c r="DR524" s="652" t="str">
        <f t="shared" si="18"/>
        <v>Notcovered</v>
      </c>
      <c r="DS524" s="652"/>
    </row>
    <row r="525" spans="1:126">
      <c r="A525" s="637" t="s">
        <v>2525</v>
      </c>
      <c r="B525" s="644" t="s">
        <v>38</v>
      </c>
      <c r="C525" s="644" t="s">
        <v>38</v>
      </c>
      <c r="D525" s="644" t="s">
        <v>722</v>
      </c>
      <c r="E525" s="644" t="s">
        <v>716</v>
      </c>
      <c r="F525" s="701" t="s">
        <v>720</v>
      </c>
      <c r="G525" s="643" t="s">
        <v>45</v>
      </c>
      <c r="H525" s="644" t="s">
        <v>725</v>
      </c>
      <c r="I525" s="646">
        <v>30</v>
      </c>
      <c r="J525" s="646">
        <v>138</v>
      </c>
      <c r="K525" s="653"/>
      <c r="L525" s="654">
        <v>43465</v>
      </c>
      <c r="M525" s="646"/>
      <c r="N525" s="646"/>
      <c r="O525" s="646"/>
      <c r="P525" s="646"/>
      <c r="Q525" s="645"/>
      <c r="R525" s="646"/>
      <c r="S525" s="646"/>
      <c r="T525" s="646">
        <v>0</v>
      </c>
      <c r="U525" s="646"/>
      <c r="V525" s="646"/>
      <c r="W525" s="646">
        <v>0</v>
      </c>
      <c r="X525" s="646"/>
      <c r="Y525" s="646"/>
      <c r="Z525" s="646"/>
      <c r="AA525" s="646"/>
      <c r="AB525" s="646"/>
      <c r="AC525" s="646"/>
      <c r="AD525" s="646"/>
      <c r="AE525" s="646">
        <v>1</v>
      </c>
      <c r="AF525" s="646"/>
      <c r="AG525" s="646"/>
      <c r="AH525" s="646"/>
      <c r="AI525" s="646"/>
      <c r="AJ525" s="646"/>
      <c r="AK525" s="646"/>
      <c r="AL525" s="646"/>
      <c r="AM525" s="646"/>
      <c r="AN525" s="646"/>
      <c r="AO525" s="652"/>
      <c r="AP525" s="646">
        <v>8</v>
      </c>
      <c r="AQ525" s="646"/>
      <c r="AR525" s="648"/>
      <c r="AS525" s="646"/>
      <c r="AT525" s="646"/>
      <c r="AU525" s="646"/>
      <c r="AV525" s="646"/>
      <c r="AW525" s="646"/>
      <c r="AX525" s="643" t="s">
        <v>43</v>
      </c>
      <c r="AY525" s="652" t="s">
        <v>145</v>
      </c>
      <c r="AZ525" s="646"/>
      <c r="BA525" s="646"/>
      <c r="BB525" s="646">
        <v>0</v>
      </c>
      <c r="BC525" s="643"/>
      <c r="BD525" s="646"/>
      <c r="BE525" s="646"/>
      <c r="BF525" s="646">
        <v>0</v>
      </c>
      <c r="BG525" s="646">
        <v>2</v>
      </c>
      <c r="BH525" s="646"/>
      <c r="BI525" s="646"/>
      <c r="BJ525" s="646">
        <v>0</v>
      </c>
      <c r="BK525" s="646"/>
      <c r="BL525" s="646"/>
      <c r="BM525" s="643"/>
      <c r="BN525" s="647"/>
      <c r="BO525" s="648"/>
      <c r="BP525" s="643"/>
      <c r="BQ525" s="649" t="str">
        <f>IFERROR(WWWW[[#This Row],['#_Water sources treated]]/WWWW[[#This Row],['#_Water sources tested for contamination]],"no test")</f>
        <v>no test</v>
      </c>
      <c r="BR525" s="648" t="str">
        <f>IFERROR(WWWW[[#This Row],['#_Household received remediation action due to contamination]]/WWWW[[#This Row],['#_Household water samples tested for contamination]],"no test")</f>
        <v>no test</v>
      </c>
      <c r="BS525" s="647" t="str">
        <f>IF(AND(WWWW[[#This Row],[% of water sources treated]]="no test",WWWW[[#This Row],[% Household received corrective actions]]="no test"),"No Test","Tested")</f>
        <v>No Test</v>
      </c>
      <c r="BT525" s="647">
        <f>WWWW[[#This Row],['#_Constructed/existing protected hand dug well]]-WWWW[[#This Row],['#_Non-functional protected hand dug well]]</f>
        <v>0</v>
      </c>
      <c r="BU525" s="647">
        <f>(WWWW[[#This Row],['#_Constructed/Existing tube wells/boreholes/handpumps_WASH_agency]]+WWWW[[#This Row],['#_Non-Cluster partner water tube-wells/boreholes/handpumps]])-WWWW[[#This Row],['#_Non-functional tube wells/boreholes/handpumps]]</f>
        <v>0</v>
      </c>
      <c r="BV525" s="647">
        <f>WWWW[[#This Row],['#_Constructed/Existingwater storage tank with gravity fed reticulation system]]-WWWW[[#This Row],['#_Non-functional storage tank gravity fed reticulation system]]</f>
        <v>0</v>
      </c>
      <c r="BW525" s="647">
        <f>WWWW[[#This Row],['#_Water boating or water trucking]]</f>
        <v>0</v>
      </c>
      <c r="BX525" s="647">
        <f>WWWW[[#This Row],['#_Constructed/Existing water distribution system from river or natural spring]]</f>
        <v>0</v>
      </c>
      <c r="BY525"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525"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525" s="648">
        <f>IF(WWWW[[#This Row],[Location Type 1]]="Village",WWWW[[#This Row],[Access to safe drinking water for Village]],WWWW[[#This Row],[Access to safe drinking water for Camp]])</f>
        <v>0</v>
      </c>
      <c r="CB525" s="645">
        <f>WWWW[[#This Row],[%Equitable and continuous access to sufficient quantity of safe drinking water]]*WWWW[[#This Row],[Total PoP ]]</f>
        <v>0</v>
      </c>
      <c r="CC525" s="648">
        <f>IF((WWWW[[#This Row],['#_Constructed/Existing protected/fenced ponds]]*250)/WWWW[[#This Row],[Total PoP ]]&gt;1,1,(WWWW[[#This Row],['#_Constructed/Existing protected/fenced ponds]]*250)/WWWW[[#This Row],[Total PoP ]])</f>
        <v>1</v>
      </c>
      <c r="CD525" s="645">
        <f>WWWW[[#This Row],[% Access to unimproved water points]]*WWWW[[#This Row],[Total PoP ]]</f>
        <v>138</v>
      </c>
      <c r="CE525"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25"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138</v>
      </c>
      <c r="CG525" s="645">
        <f>WWWW[[#This Row],[HRP1]]/500</f>
        <v>0.27600000000000002</v>
      </c>
      <c r="CH525" s="650">
        <f>1-WWWW[[#This Row],[% Equitable and continuous access to sufficient quantity of domestic water]]</f>
        <v>0</v>
      </c>
      <c r="CI525" s="645">
        <f>WWWW[[#This Row],[%equitable and continuous access to sufficient quantity of safe drinking and domestic water''s GAP]]*WWWW[[#This Row],[Total PoP ]]</f>
        <v>0</v>
      </c>
      <c r="CJ525" s="647">
        <f>IF(WWWW[[#This Row],[Total required water points]]-WWWW[[#This Row],['#Water points coverage]]&lt;0,0,WWWW[[#This Row],[Total required water points]]-WWWW[[#This Row],['#Water points coverage]])</f>
        <v>0.72399999999999998</v>
      </c>
      <c r="CK525" s="647">
        <f>ROUND(IF(WWWW[[#This Row],[Total PoP ]]&lt;500,1,WWWW[[#This Row],[Total PoP ]]/500),0)</f>
        <v>1</v>
      </c>
      <c r="CL525" s="647">
        <f>(WWWW[[#This Row],['#_Constructed latrines_by_WASHAgencies]]+WWWW[[#This Row],['#_Non Cluster partner latrines]])-WWWW[[#This Row],['#_Non-functional latrines]]</f>
        <v>8</v>
      </c>
      <c r="CM525"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525"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138</v>
      </c>
      <c r="CO525"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25" s="647">
        <f>IF(WWWW[[#This Row],[Location Type 1]]="Village","NA",IF(WWWW[[#This Row],['#_Constructed/Existing latrines in TLS]]*50&gt;WWWW[[#This Row],['#_students at TLS_CFS]],WWWW[[#This Row],['#_students at TLS_CFS]],(WWWW[[#This Row],['#_Constructed/Existing latrines in TLS]]*50)))</f>
        <v>0</v>
      </c>
      <c r="CQ525" s="647">
        <f>ROUND(IF(WWWW[[#This Row],[Location Type 1]]="camp",WWWW[[#This Row],[Total PoP ]]/20,IF(WWWW[[#This Row],[Location Type 1]]="Temporary Location",WWWW[[#This Row],[Total PoP ]]/50,(WWWW[[#This Row],[Total PoP ]]/6))),0)</f>
        <v>7</v>
      </c>
      <c r="CR525" s="647">
        <f>IF(WWWW[[#This Row],[Total required Latrines]]-(WWWW[[#This Row],['#_Constructed latrines_by_WASHAgencies]]+WWWW[[#This Row],['#_Non Cluster partner latrines]])&lt;0,0,WWWW[[#This Row],[Total required Latrines]]-(WWWW[[#This Row],['#_Constructed latrines_by_WASHAgencies]]+WWWW[[#This Row],['#_Non Cluster partner latrines]]))</f>
        <v>0</v>
      </c>
      <c r="CS525" s="79">
        <f>1-WWWW[[#This Row],[% people access to functioning Latrine]]</f>
        <v>0</v>
      </c>
      <c r="CT525" s="649">
        <f>IF(OR(WWWW[[#This Row],['#_Non-functional latrines]]="",WWWW[[#This Row],['#_Non-functional latrines]]=0),0,WWWW[[#This Row],['#_Non-functional latrines]]/(WWWW[[#This Row],['#_Constructed latrines_by_WASHAgencies]]+WWWW[[#This Row],['#_Non Cluster partner latrines]]))</f>
        <v>0</v>
      </c>
      <c r="CU525" s="645">
        <f>IF(500*(WWWW[[#This Row],['#_male hygiene promoters]]+WWWW[[#This Row],['#_female hygiene promoters]])&gt;WWWW[[#This Row],[Total PoP ]],WWWW[[#This Row],[Total PoP ]],500*(WWWW[[#This Row],['#_male hygiene promoters]]+WWWW[[#This Row],['#_female hygiene promoters]]))</f>
        <v>0</v>
      </c>
      <c r="CV525"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25"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25" s="647">
        <f>IF(WWWW[[#This Row],['# People with access to soap]]&gt;WWWW[[#This Row],['# People with access to Sanity Pads]],WWWW[[#This Row],['# People with access to soap]],WWWW[[#This Row],['# People with access to Sanity Pads]])</f>
        <v>0</v>
      </c>
      <c r="CY525"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525" s="650">
        <f>IF(WWWW[[#This Row],[HRP3]]/WWWW[[#This Row],[Total PoP ]]&gt;100%,100%,WWWW[[#This Row],[HRP3]]/WWWW[[#This Row],[Total PoP ]])</f>
        <v>0</v>
      </c>
      <c r="DA525" s="649">
        <f>1-WWWW[[#This Row],[Hygiene Coverage%]]</f>
        <v>1</v>
      </c>
      <c r="DB525" s="648">
        <f>WWWW[[#This Row],['# people reached by regular dedicated hygiene promotion_5]]/WWWW[[#This Row],[Total PoP ]]</f>
        <v>0</v>
      </c>
      <c r="DC525" s="648">
        <f>IF(WWWW[[#This Row],['#_households that received standard amount of soap for this quarter]]/WWWW[[#This Row],[Total HH]]&gt;1,1,WWWW[[#This Row],['#_households that received standard amount of soap for this quarter]]/WWWW[[#This Row],[Total HH]])</f>
        <v>0</v>
      </c>
      <c r="DD525" s="648">
        <f>IF(WWWW[[#This Row],['#_households that received standard amount of sanitary pads for this quarter]]/WWWW[[#This Row],[Total HH]]&gt;1,1,WWWW[[#This Row],['#_households that received standard amount of sanitary pads for this quarter]]/WWWW[[#This Row],[Total HH]])</f>
        <v>0</v>
      </c>
      <c r="DE525" s="647">
        <f>WWWW[[#This Row],['#_Constructed/Existing hand washing stations]]-WWWW[[#This Row],['#_Non-Functional_hand_washing_stations]]</f>
        <v>0</v>
      </c>
      <c r="DF525" s="667">
        <f>IF(WWWW[[#This Row],['# Functional hand washing stations during reporting period]]*20&gt;WWWW[[#This Row],[Total HH]],WWWW[[#This Row],[Total HH]],WWWW[[#This Row],['# Functional hand washing stations during reporting period]]*20)</f>
        <v>0</v>
      </c>
      <c r="DG525" s="645">
        <f>IF(WWWW[[#This Row],[Is sufficient soap available for TLS? (Yes/No)]]="yes",WWWW[[#This Row],['#_Constructed/Existing hand washing stations at TLS]],0)</f>
        <v>0</v>
      </c>
      <c r="DH525" s="645">
        <f>IF(WWWW[[#This Row],['# Functional hand washing stations during reporting period]]*100&gt;WWWW[[#This Row],[Total PoP ]],WWWW[[#This Row],[Total PoP ]],WWWW[[#This Row],['# Functional hand washing stations during reporting period]]*100)</f>
        <v>0</v>
      </c>
      <c r="DI525" s="645" t="str">
        <f>IF(WWWW[[#This Row],['#_students at TLS_CFS]]="","No","Yes")</f>
        <v>No</v>
      </c>
      <c r="DJ525" s="643" t="str">
        <f>VLOOKUP(WWWW[[#This Row],[Site Name]],SiteDB6[[Site Name]:[CCCM Management]],6,FALSE)</f>
        <v>Yes</v>
      </c>
      <c r="DK525" s="643" t="str">
        <f>VLOOKUP(WWWW[[#This Row],[Site Name]],SiteDB6[[Site Name]:[CCCM Focal Agency]],7,FALSE)</f>
        <v>KMSS-LSO</v>
      </c>
      <c r="DL525" s="643" t="str">
        <f>VLOOKUP(WWWW[[#This Row],[Site Name]],SiteDB6[[Site Name]:[Location Type 1]],9,FALSE)</f>
        <v>Camp</v>
      </c>
      <c r="DM525" s="643" t="str">
        <f>VLOOKUP(WWWW[[#This Row],[Site Name]],SiteDB6[[Site Name]:[Type of Accommodation]],10,FALSE)</f>
        <v>Camp</v>
      </c>
      <c r="DN525" s="643" t="str">
        <f>VLOOKUP(WWWW[[#This Row],[Site Name]],SiteDB6[[Site Name]:[Ethnic or GCA/NGCA]],11,FALSE)</f>
        <v>GCA</v>
      </c>
      <c r="DO525" s="643">
        <f>VLOOKUP(WWWW[[#This Row],[Site Name]],SiteDB6[[Site Name]:[Lat]],12,FALSE)</f>
        <v>23.463000000000001</v>
      </c>
      <c r="DP525" s="643">
        <f>VLOOKUP(WWWW[[#This Row],[Site Name]],SiteDB6[[Site Name]:[Long]],13,FALSE)</f>
        <v>98.248999999999995</v>
      </c>
      <c r="DQ525" s="643" t="str">
        <f>VLOOKUP(WWWW[[#This Row],[Site Name]],SiteDB6[[Site Name]:[Pcode]],3,FALSE)</f>
        <v>MMR015CMP217</v>
      </c>
      <c r="DR525" s="652" t="str">
        <f t="shared" si="18"/>
        <v>Covered</v>
      </c>
      <c r="DS525" s="652"/>
    </row>
    <row r="526" spans="1:126">
      <c r="A526" s="637" t="s">
        <v>2525</v>
      </c>
      <c r="B526" s="644" t="s">
        <v>200</v>
      </c>
      <c r="C526" s="644" t="s">
        <v>200</v>
      </c>
      <c r="D526" s="644" t="s">
        <v>2970</v>
      </c>
      <c r="E526" s="644" t="s">
        <v>716</v>
      </c>
      <c r="F526" s="644" t="s">
        <v>726</v>
      </c>
      <c r="G526" s="663" t="str">
        <f>VLOOKUP(WWWW[[#This Row],[Site Name]],SiteDB6[[Site Name]:[Location Type]],8,FALSE)</f>
        <v>Camp</v>
      </c>
      <c r="H526" s="644" t="s">
        <v>751</v>
      </c>
      <c r="I526" s="646">
        <v>51</v>
      </c>
      <c r="J526" s="646">
        <v>207</v>
      </c>
      <c r="K526" s="653" t="s">
        <v>2971</v>
      </c>
      <c r="L526" s="654" t="s">
        <v>2972</v>
      </c>
      <c r="M526" s="646"/>
      <c r="N526" s="646"/>
      <c r="O526" s="646"/>
      <c r="P526" s="646"/>
      <c r="Q526" s="645" t="s">
        <v>43</v>
      </c>
      <c r="R526" s="646"/>
      <c r="S526" s="646"/>
      <c r="T526" s="646"/>
      <c r="U526" s="646"/>
      <c r="V526" s="646"/>
      <c r="W526" s="646"/>
      <c r="X526" s="646"/>
      <c r="Y526" s="646"/>
      <c r="Z526" s="646"/>
      <c r="AA526" s="646"/>
      <c r="AB526" s="646"/>
      <c r="AC526" s="646"/>
      <c r="AD526" s="646"/>
      <c r="AE526" s="646"/>
      <c r="AF526" s="646"/>
      <c r="AG526" s="646"/>
      <c r="AH526" s="646"/>
      <c r="AI526" s="646"/>
      <c r="AJ526" s="646"/>
      <c r="AK526" s="646"/>
      <c r="AL526" s="646"/>
      <c r="AM526" s="646"/>
      <c r="AN526" s="646"/>
      <c r="AO526" s="652"/>
      <c r="AP526" s="646">
        <v>12</v>
      </c>
      <c r="AQ526" s="646"/>
      <c r="AR526" s="648"/>
      <c r="AS526" s="646"/>
      <c r="AT526" s="646"/>
      <c r="AU526" s="646"/>
      <c r="AV526" s="646"/>
      <c r="AW526" s="646"/>
      <c r="AX526" s="643" t="s">
        <v>43</v>
      </c>
      <c r="AY526" s="652" t="s">
        <v>145</v>
      </c>
      <c r="AZ526" s="646"/>
      <c r="BA526" s="646"/>
      <c r="BB526" s="646"/>
      <c r="BC526" s="643"/>
      <c r="BD526" s="646"/>
      <c r="BE526" s="646"/>
      <c r="BF526" s="646"/>
      <c r="BG526" s="646">
        <v>3</v>
      </c>
      <c r="BH526" s="646"/>
      <c r="BI526" s="646"/>
      <c r="BJ526" s="646"/>
      <c r="BK526" s="646">
        <v>0</v>
      </c>
      <c r="BL526" s="646">
        <v>0</v>
      </c>
      <c r="BM526" s="643"/>
      <c r="BN526" s="647"/>
      <c r="BO526" s="648"/>
      <c r="BP526" s="643"/>
      <c r="BQ526" s="649" t="str">
        <f>IFERROR(WWWW[[#This Row],['#_Water sources treated]]/WWWW[[#This Row],['#_Water sources tested for contamination]],"no test")</f>
        <v>no test</v>
      </c>
      <c r="BR526" s="648" t="str">
        <f>IFERROR(WWWW[[#This Row],['#_Household received remediation action due to contamination]]/WWWW[[#This Row],['#_Household water samples tested for contamination]],"no test")</f>
        <v>no test</v>
      </c>
      <c r="BS526" s="647" t="str">
        <f>IF(AND(WWWW[[#This Row],[% of water sources treated]]="no test",WWWW[[#This Row],[% Household received corrective actions]]="no test"),"No Test","Tested")</f>
        <v>No Test</v>
      </c>
      <c r="BT526" s="647">
        <f>WWWW[[#This Row],['#_Constructed/existing protected hand dug well]]-WWWW[[#This Row],['#_Non-functional protected hand dug well]]</f>
        <v>0</v>
      </c>
      <c r="BU526" s="647">
        <f>(WWWW[[#This Row],['#_Constructed/Existing tube wells/boreholes/handpumps_WASH_agency]]+WWWW[[#This Row],['#_Non-Cluster partner water tube-wells/boreholes/handpumps]])-WWWW[[#This Row],['#_Non-functional tube wells/boreholes/handpumps]]</f>
        <v>0</v>
      </c>
      <c r="BV526" s="647">
        <f>WWWW[[#This Row],['#_Constructed/Existingwater storage tank with gravity fed reticulation system]]-WWWW[[#This Row],['#_Non-functional storage tank gravity fed reticulation system]]</f>
        <v>0</v>
      </c>
      <c r="BW526" s="647">
        <f>WWWW[[#This Row],['#_Water boating or water trucking]]</f>
        <v>0</v>
      </c>
      <c r="BX526" s="647">
        <f>WWWW[[#This Row],['#_Constructed/Existing water distribution system from river or natural spring]]</f>
        <v>0</v>
      </c>
      <c r="BY526"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526"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526" s="648">
        <f>IF(WWWW[[#This Row],[Location Type 1]]="Village",WWWW[[#This Row],[Access to safe drinking water for Village]],WWWW[[#This Row],[Access to safe drinking water for Camp]])</f>
        <v>0</v>
      </c>
      <c r="CB526" s="645">
        <f>WWWW[[#This Row],[%Equitable and continuous access to sufficient quantity of safe drinking water]]*WWWW[[#This Row],[Total PoP ]]</f>
        <v>0</v>
      </c>
      <c r="CC526" s="648">
        <f>IF((WWWW[[#This Row],['#_Constructed/Existing protected/fenced ponds]]*250)/WWWW[[#This Row],[Total PoP ]]&gt;1,1,(WWWW[[#This Row],['#_Constructed/Existing protected/fenced ponds]]*250)/WWWW[[#This Row],[Total PoP ]])</f>
        <v>0</v>
      </c>
      <c r="CD526" s="645">
        <f>WWWW[[#This Row],[% Access to unimproved water points]]*WWWW[[#This Row],[Total PoP ]]</f>
        <v>0</v>
      </c>
      <c r="CE526"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526"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526" s="645">
        <f>WWWW[[#This Row],[HRP1]]/500</f>
        <v>0</v>
      </c>
      <c r="CH526" s="650">
        <f>1-WWWW[[#This Row],[% Equitable and continuous access to sufficient quantity of domestic water]]</f>
        <v>1</v>
      </c>
      <c r="CI526" s="645">
        <f>WWWW[[#This Row],[%equitable and continuous access to sufficient quantity of safe drinking and domestic water''s GAP]]*WWWW[[#This Row],[Total PoP ]]</f>
        <v>207</v>
      </c>
      <c r="CJ526" s="647">
        <f>IF(WWWW[[#This Row],[Total required water points]]-WWWW[[#This Row],['#Water points coverage]]&lt;0,0,WWWW[[#This Row],[Total required water points]]-WWWW[[#This Row],['#Water points coverage]])</f>
        <v>1</v>
      </c>
      <c r="CK526" s="647">
        <f>ROUND(IF(WWWW[[#This Row],[Total PoP ]]&lt;500,1,WWWW[[#This Row],[Total PoP ]]/500),0)</f>
        <v>1</v>
      </c>
      <c r="CL526" s="647">
        <f>(WWWW[[#This Row],['#_Constructed latrines_by_WASHAgencies]]+WWWW[[#This Row],['#_Non Cluster partner latrines]])-WWWW[[#This Row],['#_Non-functional latrines]]</f>
        <v>12</v>
      </c>
      <c r="CM526"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526"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207</v>
      </c>
      <c r="CO526"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26" s="647">
        <f>IF(WWWW[[#This Row],[Location Type 1]]="Village","NA",IF(WWWW[[#This Row],['#_Constructed/Existing latrines in TLS]]*50&gt;WWWW[[#This Row],['#_students at TLS_CFS]],WWWW[[#This Row],['#_students at TLS_CFS]],(WWWW[[#This Row],['#_Constructed/Existing latrines in TLS]]*50)))</f>
        <v>0</v>
      </c>
      <c r="CQ526" s="647">
        <f>ROUND(IF(WWWW[[#This Row],[Location Type 1]]="camp",WWWW[[#This Row],[Total PoP ]]/20,IF(WWWW[[#This Row],[Location Type 1]]="Temporary Location",WWWW[[#This Row],[Total PoP ]]/50,(WWWW[[#This Row],[Total PoP ]]/6))),0)</f>
        <v>10</v>
      </c>
      <c r="CR526" s="647">
        <f>IF(WWWW[[#This Row],[Total required Latrines]]-(WWWW[[#This Row],['#_Constructed latrines_by_WASHAgencies]]+WWWW[[#This Row],['#_Non Cluster partner latrines]])&lt;0,0,WWWW[[#This Row],[Total required Latrines]]-(WWWW[[#This Row],['#_Constructed latrines_by_WASHAgencies]]+WWWW[[#This Row],['#_Non Cluster partner latrines]]))</f>
        <v>0</v>
      </c>
      <c r="CS526" s="79">
        <f>1-WWWW[[#This Row],[% people access to functioning Latrine]]</f>
        <v>0</v>
      </c>
      <c r="CT526" s="649">
        <f>IF(OR(WWWW[[#This Row],['#_Non-functional latrines]]="",WWWW[[#This Row],['#_Non-functional latrines]]=0),0,WWWW[[#This Row],['#_Non-functional latrines]]/(WWWW[[#This Row],['#_Constructed latrines_by_WASHAgencies]]+WWWW[[#This Row],['#_Non Cluster partner latrines]]))</f>
        <v>0</v>
      </c>
      <c r="CU526" s="645">
        <f>IF(500*(WWWW[[#This Row],['#_male hygiene promoters]]+WWWW[[#This Row],['#_female hygiene promoters]])&gt;WWWW[[#This Row],[Total PoP ]],WWWW[[#This Row],[Total PoP ]],500*(WWWW[[#This Row],['#_male hygiene promoters]]+WWWW[[#This Row],['#_female hygiene promoters]]))</f>
        <v>0</v>
      </c>
      <c r="CV526"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26"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26" s="647">
        <f>IF(WWWW[[#This Row],['# People with access to soap]]&gt;WWWW[[#This Row],['# People with access to Sanity Pads]],WWWW[[#This Row],['# People with access to soap]],WWWW[[#This Row],['# People with access to Sanity Pads]])</f>
        <v>0</v>
      </c>
      <c r="CY526"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526" s="650">
        <f>IF(WWWW[[#This Row],[HRP3]]/WWWW[[#This Row],[Total PoP ]]&gt;100%,100%,WWWW[[#This Row],[HRP3]]/WWWW[[#This Row],[Total PoP ]])</f>
        <v>0</v>
      </c>
      <c r="DA526" s="649">
        <f>1-WWWW[[#This Row],[Hygiene Coverage%]]</f>
        <v>1</v>
      </c>
      <c r="DB526" s="648">
        <f>WWWW[[#This Row],['# people reached by regular dedicated hygiene promotion_5]]/WWWW[[#This Row],[Total PoP ]]</f>
        <v>0</v>
      </c>
      <c r="DC526" s="648">
        <f>IF(WWWW[[#This Row],['#_households that received standard amount of soap for this quarter]]/WWWW[[#This Row],[Total HH]]&gt;1,1,WWWW[[#This Row],['#_households that received standard amount of soap for this quarter]]/WWWW[[#This Row],[Total HH]])</f>
        <v>0</v>
      </c>
      <c r="DD526" s="648">
        <f>IF(WWWW[[#This Row],['#_households that received standard amount of sanitary pads for this quarter]]/WWWW[[#This Row],[Total HH]]&gt;1,1,WWWW[[#This Row],['#_households that received standard amount of sanitary pads for this quarter]]/WWWW[[#This Row],[Total HH]])</f>
        <v>0</v>
      </c>
      <c r="DE526" s="647">
        <f>WWWW[[#This Row],['#_Constructed/Existing hand washing stations]]-WWWW[[#This Row],['#_Non-Functional_hand_washing_stations]]</f>
        <v>0</v>
      </c>
      <c r="DF526" s="667">
        <f>IF(WWWW[[#This Row],['# Functional hand washing stations during reporting period]]*20&gt;WWWW[[#This Row],[Total HH]],WWWW[[#This Row],[Total HH]],WWWW[[#This Row],['# Functional hand washing stations during reporting period]]*20)</f>
        <v>0</v>
      </c>
      <c r="DG526" s="645">
        <f>IF(WWWW[[#This Row],[Is sufficient soap available for TLS? (Yes/No)]]="yes",WWWW[[#This Row],['#_Constructed/Existing hand washing stations at TLS]],0)</f>
        <v>0</v>
      </c>
      <c r="DH526" s="645">
        <f>IF(WWWW[[#This Row],['# Functional hand washing stations during reporting period]]*100&gt;WWWW[[#This Row],[Total PoP ]],WWWW[[#This Row],[Total PoP ]],WWWW[[#This Row],['# Functional hand washing stations during reporting period]]*100)</f>
        <v>0</v>
      </c>
      <c r="DI526" s="645" t="str">
        <f>IF(WWWW[[#This Row],['#_students at TLS_CFS]]="","No","Yes")</f>
        <v>No</v>
      </c>
      <c r="DJ526" s="643">
        <f>VLOOKUP(WWWW[[#This Row],[Site Name]],SiteDB6[[Site Name]:[CCCM Management]],6,FALSE)</f>
        <v>0</v>
      </c>
      <c r="DK526" s="643" t="str">
        <f>VLOOKUP(WWWW[[#This Row],[Site Name]],SiteDB6[[Site Name]:[CCCM Focal Agency]],7,FALSE)</f>
        <v>uncovered</v>
      </c>
      <c r="DL526" s="643" t="str">
        <f>VLOOKUP(WWWW[[#This Row],[Site Name]],SiteDB6[[Site Name]:[Location Type 1]],9,FALSE)</f>
        <v>Camp</v>
      </c>
      <c r="DM526" s="643" t="str">
        <f>VLOOKUP(WWWW[[#This Row],[Site Name]],SiteDB6[[Site Name]:[Type of Accommodation]],10,FALSE)</f>
        <v>Camp</v>
      </c>
      <c r="DN526" s="643" t="str">
        <f>VLOOKUP(WWWW[[#This Row],[Site Name]],SiteDB6[[Site Name]:[Ethnic or GCA/NGCA]],11,FALSE)</f>
        <v>GCA</v>
      </c>
      <c r="DO526" s="643">
        <f>VLOOKUP(WWWW[[#This Row],[Site Name]],SiteDB6[[Site Name]:[Lat]],12,FALSE)</f>
        <v>24.006319999999999</v>
      </c>
      <c r="DP526" s="643">
        <f>VLOOKUP(WWWW[[#This Row],[Site Name]],SiteDB6[[Site Name]:[Long]],13,FALSE)</f>
        <v>97.909400000000005</v>
      </c>
      <c r="DQ526" s="643" t="str">
        <f>VLOOKUP(WWWW[[#This Row],[Site Name]],SiteDB6[[Site Name]:[Pcode]],3,FALSE)</f>
        <v>MMR015CMP213</v>
      </c>
      <c r="DR526" s="652" t="str">
        <f t="shared" si="18"/>
        <v>Covered</v>
      </c>
      <c r="DS526" s="652"/>
    </row>
    <row r="527" spans="1:126">
      <c r="A527" s="637" t="s">
        <v>2525</v>
      </c>
      <c r="B527" s="644" t="s">
        <v>38</v>
      </c>
      <c r="C527" s="644" t="s">
        <v>38</v>
      </c>
      <c r="D527" s="644" t="s">
        <v>722</v>
      </c>
      <c r="E527" s="644" t="s">
        <v>716</v>
      </c>
      <c r="F527" s="644" t="s">
        <v>726</v>
      </c>
      <c r="G527" s="643" t="s">
        <v>45</v>
      </c>
      <c r="H527" s="644" t="s">
        <v>727</v>
      </c>
      <c r="I527" s="646">
        <v>24</v>
      </c>
      <c r="J527" s="646">
        <v>114</v>
      </c>
      <c r="K527" s="653"/>
      <c r="L527" s="654">
        <v>43465</v>
      </c>
      <c r="M527" s="646"/>
      <c r="N527" s="646"/>
      <c r="O527" s="646"/>
      <c r="P527" s="646"/>
      <c r="Q527" s="645"/>
      <c r="R527" s="646"/>
      <c r="S527" s="646"/>
      <c r="T527" s="646">
        <v>1</v>
      </c>
      <c r="U527" s="646"/>
      <c r="V527" s="646"/>
      <c r="W527" s="646">
        <v>1</v>
      </c>
      <c r="X527" s="646"/>
      <c r="Y527" s="646"/>
      <c r="Z527" s="646"/>
      <c r="AA527" s="646"/>
      <c r="AB527" s="646"/>
      <c r="AC527" s="646"/>
      <c r="AD527" s="646"/>
      <c r="AE527" s="646"/>
      <c r="AF527" s="646"/>
      <c r="AG527" s="646"/>
      <c r="AH527" s="646"/>
      <c r="AI527" s="646"/>
      <c r="AJ527" s="646"/>
      <c r="AK527" s="646"/>
      <c r="AL527" s="646"/>
      <c r="AM527" s="646"/>
      <c r="AN527" s="646"/>
      <c r="AO527" s="652"/>
      <c r="AP527" s="646">
        <v>8</v>
      </c>
      <c r="AQ527" s="646"/>
      <c r="AR527" s="648"/>
      <c r="AS527" s="646"/>
      <c r="AT527" s="646"/>
      <c r="AU527" s="646"/>
      <c r="AV527" s="646"/>
      <c r="AW527" s="646"/>
      <c r="AX527" s="643" t="s">
        <v>43</v>
      </c>
      <c r="AY527" s="652" t="s">
        <v>1200</v>
      </c>
      <c r="AZ527" s="646"/>
      <c r="BA527" s="646"/>
      <c r="BB527" s="646">
        <v>1</v>
      </c>
      <c r="BC527" s="643"/>
      <c r="BD527" s="646"/>
      <c r="BE527" s="646"/>
      <c r="BF527" s="646">
        <v>1</v>
      </c>
      <c r="BG527" s="646">
        <v>2</v>
      </c>
      <c r="BH527" s="646"/>
      <c r="BI527" s="646"/>
      <c r="BJ527" s="646">
        <v>2</v>
      </c>
      <c r="BK527" s="646"/>
      <c r="BL527" s="646"/>
      <c r="BM527" s="643"/>
      <c r="BN527" s="647"/>
      <c r="BO527" s="648"/>
      <c r="BP527" s="643"/>
      <c r="BQ527" s="649" t="str">
        <f>IFERROR(WWWW[[#This Row],['#_Water sources treated]]/WWWW[[#This Row],['#_Water sources tested for contamination]],"no test")</f>
        <v>no test</v>
      </c>
      <c r="BR527" s="648" t="str">
        <f>IFERROR(WWWW[[#This Row],['#_Household received remediation action due to contamination]]/WWWW[[#This Row],['#_Household water samples tested for contamination]],"no test")</f>
        <v>no test</v>
      </c>
      <c r="BS527" s="647" t="str">
        <f>IF(AND(WWWW[[#This Row],[% of water sources treated]]="no test",WWWW[[#This Row],[% Household received corrective actions]]="no test"),"No Test","Tested")</f>
        <v>No Test</v>
      </c>
      <c r="BT527" s="647">
        <f>WWWW[[#This Row],['#_Constructed/existing protected hand dug well]]-WWWW[[#This Row],['#_Non-functional protected hand dug well]]</f>
        <v>1</v>
      </c>
      <c r="BU527" s="647">
        <f>(WWWW[[#This Row],['#_Constructed/Existing tube wells/boreholes/handpumps_WASH_agency]]+WWWW[[#This Row],['#_Non-Cluster partner water tube-wells/boreholes/handpumps]])-WWWW[[#This Row],['#_Non-functional tube wells/boreholes/handpumps]]</f>
        <v>1</v>
      </c>
      <c r="BV527" s="647">
        <f>WWWW[[#This Row],['#_Constructed/Existingwater storage tank with gravity fed reticulation system]]-WWWW[[#This Row],['#_Non-functional storage tank gravity fed reticulation system]]</f>
        <v>0</v>
      </c>
      <c r="BW527" s="647">
        <f>WWWW[[#This Row],['#_Water boating or water trucking]]</f>
        <v>0</v>
      </c>
      <c r="BX527" s="647">
        <f>WWWW[[#This Row],['#_Constructed/Existing water distribution system from river or natural spring]]</f>
        <v>0</v>
      </c>
      <c r="BY527"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527"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527" s="648">
        <f>IF(WWWW[[#This Row],[Location Type 1]]="Village",WWWW[[#This Row],[Access to safe drinking water for Village]],WWWW[[#This Row],[Access to safe drinking water for Camp]])</f>
        <v>1</v>
      </c>
      <c r="CB527" s="645">
        <f>WWWW[[#This Row],[%Equitable and continuous access to sufficient quantity of safe drinking water]]*WWWW[[#This Row],[Total PoP ]]</f>
        <v>114</v>
      </c>
      <c r="CC527" s="648">
        <f>IF((WWWW[[#This Row],['#_Constructed/Existing protected/fenced ponds]]*250)/WWWW[[#This Row],[Total PoP ]]&gt;1,1,(WWWW[[#This Row],['#_Constructed/Existing protected/fenced ponds]]*250)/WWWW[[#This Row],[Total PoP ]])</f>
        <v>0</v>
      </c>
      <c r="CD527" s="645">
        <f>WWWW[[#This Row],[% Access to unimproved water points]]*WWWW[[#This Row],[Total PoP ]]</f>
        <v>0</v>
      </c>
      <c r="CE527"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27"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114</v>
      </c>
      <c r="CG527" s="645">
        <f>WWWW[[#This Row],[HRP1]]/500</f>
        <v>0.22800000000000001</v>
      </c>
      <c r="CH527" s="650">
        <f>1-WWWW[[#This Row],[% Equitable and continuous access to sufficient quantity of domestic water]]</f>
        <v>0</v>
      </c>
      <c r="CI527" s="645">
        <f>WWWW[[#This Row],[%equitable and continuous access to sufficient quantity of safe drinking and domestic water''s GAP]]*WWWW[[#This Row],[Total PoP ]]</f>
        <v>0</v>
      </c>
      <c r="CJ527" s="647">
        <f>IF(WWWW[[#This Row],[Total required water points]]-WWWW[[#This Row],['#Water points coverage]]&lt;0,0,WWWW[[#This Row],[Total required water points]]-WWWW[[#This Row],['#Water points coverage]])</f>
        <v>0.77200000000000002</v>
      </c>
      <c r="CK527" s="647">
        <f>ROUND(IF(WWWW[[#This Row],[Total PoP ]]&lt;500,1,WWWW[[#This Row],[Total PoP ]]/500),0)</f>
        <v>1</v>
      </c>
      <c r="CL527" s="647">
        <f>(WWWW[[#This Row],['#_Constructed latrines_by_WASHAgencies]]+WWWW[[#This Row],['#_Non Cluster partner latrines]])-WWWW[[#This Row],['#_Non-functional latrines]]</f>
        <v>8</v>
      </c>
      <c r="CM527"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527"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114</v>
      </c>
      <c r="CO527"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27" s="647">
        <f>IF(WWWW[[#This Row],[Location Type 1]]="Village","NA",IF(WWWW[[#This Row],['#_Constructed/Existing latrines in TLS]]*50&gt;WWWW[[#This Row],['#_students at TLS_CFS]],WWWW[[#This Row],['#_students at TLS_CFS]],(WWWW[[#This Row],['#_Constructed/Existing latrines in TLS]]*50)))</f>
        <v>0</v>
      </c>
      <c r="CQ527" s="647">
        <f>ROUND(IF(WWWW[[#This Row],[Location Type 1]]="camp",WWWW[[#This Row],[Total PoP ]]/20,IF(WWWW[[#This Row],[Location Type 1]]="Temporary Location",WWWW[[#This Row],[Total PoP ]]/50,(WWWW[[#This Row],[Total PoP ]]/6))),0)</f>
        <v>6</v>
      </c>
      <c r="CR527" s="647">
        <f>IF(WWWW[[#This Row],[Total required Latrines]]-(WWWW[[#This Row],['#_Constructed latrines_by_WASHAgencies]]+WWWW[[#This Row],['#_Non Cluster partner latrines]])&lt;0,0,WWWW[[#This Row],[Total required Latrines]]-(WWWW[[#This Row],['#_Constructed latrines_by_WASHAgencies]]+WWWW[[#This Row],['#_Non Cluster partner latrines]]))</f>
        <v>0</v>
      </c>
      <c r="CS527" s="79">
        <f>1-WWWW[[#This Row],[% people access to functioning Latrine]]</f>
        <v>0</v>
      </c>
      <c r="CT527" s="649">
        <f>IF(OR(WWWW[[#This Row],['#_Non-functional latrines]]="",WWWW[[#This Row],['#_Non-functional latrines]]=0),0,WWWW[[#This Row],['#_Non-functional latrines]]/(WWWW[[#This Row],['#_Constructed latrines_by_WASHAgencies]]+WWWW[[#This Row],['#_Non Cluster partner latrines]]))</f>
        <v>0</v>
      </c>
      <c r="CU527" s="645">
        <f>IF(500*(WWWW[[#This Row],['#_male hygiene promoters]]+WWWW[[#This Row],['#_female hygiene promoters]])&gt;WWWW[[#This Row],[Total PoP ]],WWWW[[#This Row],[Total PoP ]],500*(WWWW[[#This Row],['#_male hygiene promoters]]+WWWW[[#This Row],['#_female hygiene promoters]]))</f>
        <v>114</v>
      </c>
      <c r="CV527"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27"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27" s="647">
        <f>IF(WWWW[[#This Row],['# People with access to soap]]&gt;WWWW[[#This Row],['# People with access to Sanity Pads]],WWWW[[#This Row],['# People with access to soap]],WWWW[[#This Row],['# People with access to Sanity Pads]])</f>
        <v>0</v>
      </c>
      <c r="CY527" s="647">
        <f>IF(WWWW[[#This Row],['# people reached by regular dedicated hygiene promotion_5]]&gt;WWWW[[#This Row],['# People received regular supply of hygiene items_6]],WWWW[[#This Row],['# people reached by regular dedicated hygiene promotion_5]],WWWW[[#This Row],['# People received regular supply of hygiene items_6]])</f>
        <v>114</v>
      </c>
      <c r="CZ527" s="650">
        <f>IF(WWWW[[#This Row],[HRP3]]/WWWW[[#This Row],[Total PoP ]]&gt;100%,100%,WWWW[[#This Row],[HRP3]]/WWWW[[#This Row],[Total PoP ]])</f>
        <v>1</v>
      </c>
      <c r="DA527" s="649">
        <f>1-WWWW[[#This Row],[Hygiene Coverage%]]</f>
        <v>0</v>
      </c>
      <c r="DB527" s="648">
        <f>WWWW[[#This Row],['# people reached by regular dedicated hygiene promotion_5]]/WWWW[[#This Row],[Total PoP ]]</f>
        <v>1</v>
      </c>
      <c r="DC527" s="648">
        <f>IF(WWWW[[#This Row],['#_households that received standard amount of soap for this quarter]]/WWWW[[#This Row],[Total HH]]&gt;1,1,WWWW[[#This Row],['#_households that received standard amount of soap for this quarter]]/WWWW[[#This Row],[Total HH]])</f>
        <v>0</v>
      </c>
      <c r="DD527" s="648">
        <f>IF(WWWW[[#This Row],['#_households that received standard amount of sanitary pads for this quarter]]/WWWW[[#This Row],[Total HH]]&gt;1,1,WWWW[[#This Row],['#_households that received standard amount of sanitary pads for this quarter]]/WWWW[[#This Row],[Total HH]])</f>
        <v>0</v>
      </c>
      <c r="DE527" s="647">
        <f>WWWW[[#This Row],['#_Constructed/Existing hand washing stations]]-WWWW[[#This Row],['#_Non-Functional_hand_washing_stations]]</f>
        <v>0</v>
      </c>
      <c r="DF527" s="667">
        <f>IF(WWWW[[#This Row],['# Functional hand washing stations during reporting period]]*20&gt;WWWW[[#This Row],[Total HH]],WWWW[[#This Row],[Total HH]],WWWW[[#This Row],['# Functional hand washing stations during reporting period]]*20)</f>
        <v>0</v>
      </c>
      <c r="DG527" s="645">
        <f>IF(WWWW[[#This Row],[Is sufficient soap available for TLS? (Yes/No)]]="yes",WWWW[[#This Row],['#_Constructed/Existing hand washing stations at TLS]],0)</f>
        <v>0</v>
      </c>
      <c r="DH527" s="645">
        <f>IF(WWWW[[#This Row],['# Functional hand washing stations during reporting period]]*100&gt;WWWW[[#This Row],[Total PoP ]],WWWW[[#This Row],[Total PoP ]],WWWW[[#This Row],['# Functional hand washing stations during reporting period]]*100)</f>
        <v>0</v>
      </c>
      <c r="DI527" s="645" t="str">
        <f>IF(WWWW[[#This Row],['#_students at TLS_CFS]]="","No","Yes")</f>
        <v>No</v>
      </c>
      <c r="DJ527" s="643" t="str">
        <f>VLOOKUP(WWWW[[#This Row],[Site Name]],SiteDB6[[Site Name]:[CCCM Management]],6,FALSE)</f>
        <v>Yes</v>
      </c>
      <c r="DK527" s="643" t="str">
        <f>VLOOKUP(WWWW[[#This Row],[Site Name]],SiteDB6[[Site Name]:[CCCM Focal Agency]],7,FALSE)</f>
        <v>KMSS-LSO</v>
      </c>
      <c r="DL527" s="643" t="str">
        <f>VLOOKUP(WWWW[[#This Row],[Site Name]],SiteDB6[[Site Name]:[Location Type 1]],9,FALSE)</f>
        <v>Camp</v>
      </c>
      <c r="DM527" s="643" t="str">
        <f>VLOOKUP(WWWW[[#This Row],[Site Name]],SiteDB6[[Site Name]:[Type of Accommodation]],10,FALSE)</f>
        <v>Camp</v>
      </c>
      <c r="DN527" s="643" t="str">
        <f>VLOOKUP(WWWW[[#This Row],[Site Name]],SiteDB6[[Site Name]:[Ethnic or GCA/NGCA]],11,FALSE)</f>
        <v>GCA</v>
      </c>
      <c r="DO527" s="643">
        <f>VLOOKUP(WWWW[[#This Row],[Site Name]],SiteDB6[[Site Name]:[Lat]],12,FALSE)</f>
        <v>24.006789000000001</v>
      </c>
      <c r="DP527" s="643">
        <f>VLOOKUP(WWWW[[#This Row],[Site Name]],SiteDB6[[Site Name]:[Long]],13,FALSE)</f>
        <v>97.911647000000002</v>
      </c>
      <c r="DQ527" s="643" t="str">
        <f>VLOOKUP(WWWW[[#This Row],[Site Name]],SiteDB6[[Site Name]:[Pcode]],3,FALSE)</f>
        <v>MMR015CMP216</v>
      </c>
      <c r="DR527" s="652" t="str">
        <f t="shared" si="18"/>
        <v>Covered</v>
      </c>
      <c r="DS527" s="652"/>
    </row>
    <row r="528" spans="1:126">
      <c r="A528" s="637" t="s">
        <v>2525</v>
      </c>
      <c r="B528" s="644" t="s">
        <v>38</v>
      </c>
      <c r="C528" s="644" t="s">
        <v>38</v>
      </c>
      <c r="D528" s="644" t="s">
        <v>722</v>
      </c>
      <c r="E528" s="644" t="s">
        <v>716</v>
      </c>
      <c r="F528" s="644" t="s">
        <v>717</v>
      </c>
      <c r="G528" s="643" t="s">
        <v>45</v>
      </c>
      <c r="H528" s="644" t="s">
        <v>728</v>
      </c>
      <c r="I528" s="646">
        <v>120</v>
      </c>
      <c r="J528" s="646">
        <v>570</v>
      </c>
      <c r="K528" s="653"/>
      <c r="L528" s="654">
        <v>43465</v>
      </c>
      <c r="M528" s="646"/>
      <c r="N528" s="646"/>
      <c r="O528" s="646"/>
      <c r="P528" s="646"/>
      <c r="Q528" s="645"/>
      <c r="R528" s="646"/>
      <c r="S528" s="646"/>
      <c r="T528" s="646">
        <v>0</v>
      </c>
      <c r="U528" s="646"/>
      <c r="V528" s="646"/>
      <c r="W528" s="646">
        <v>1</v>
      </c>
      <c r="X528" s="646"/>
      <c r="Y528" s="646"/>
      <c r="Z528" s="646"/>
      <c r="AA528" s="646"/>
      <c r="AB528" s="646"/>
      <c r="AC528" s="646"/>
      <c r="AD528" s="646"/>
      <c r="AE528" s="646"/>
      <c r="AF528" s="646"/>
      <c r="AG528" s="646"/>
      <c r="AH528" s="646"/>
      <c r="AI528" s="646"/>
      <c r="AJ528" s="646"/>
      <c r="AK528" s="646"/>
      <c r="AL528" s="646"/>
      <c r="AM528" s="646"/>
      <c r="AN528" s="646"/>
      <c r="AO528" s="652"/>
      <c r="AP528" s="646">
        <v>17</v>
      </c>
      <c r="AQ528" s="646"/>
      <c r="AR528" s="648"/>
      <c r="AS528" s="646"/>
      <c r="AT528" s="646"/>
      <c r="AU528" s="646"/>
      <c r="AV528" s="646"/>
      <c r="AW528" s="646"/>
      <c r="AX528" s="643" t="s">
        <v>43</v>
      </c>
      <c r="AY528" s="652" t="s">
        <v>145</v>
      </c>
      <c r="AZ528" s="646"/>
      <c r="BA528" s="646"/>
      <c r="BB528" s="646"/>
      <c r="BC528" s="643"/>
      <c r="BD528" s="646"/>
      <c r="BE528" s="646"/>
      <c r="BF528" s="646">
        <v>0</v>
      </c>
      <c r="BG528" s="646">
        <v>2</v>
      </c>
      <c r="BH528" s="646"/>
      <c r="BI528" s="646"/>
      <c r="BJ528" s="646">
        <v>2</v>
      </c>
      <c r="BK528" s="646"/>
      <c r="BL528" s="646"/>
      <c r="BM528" s="643"/>
      <c r="BN528" s="647"/>
      <c r="BO528" s="648"/>
      <c r="BP528" s="643"/>
      <c r="BQ528" s="649" t="str">
        <f>IFERROR(WWWW[[#This Row],['#_Water sources treated]]/WWWW[[#This Row],['#_Water sources tested for contamination]],"no test")</f>
        <v>no test</v>
      </c>
      <c r="BR528" s="648" t="str">
        <f>IFERROR(WWWW[[#This Row],['#_Household received remediation action due to contamination]]/WWWW[[#This Row],['#_Household water samples tested for contamination]],"no test")</f>
        <v>no test</v>
      </c>
      <c r="BS528" s="647" t="str">
        <f>IF(AND(WWWW[[#This Row],[% of water sources treated]]="no test",WWWW[[#This Row],[% Household received corrective actions]]="no test"),"No Test","Tested")</f>
        <v>No Test</v>
      </c>
      <c r="BT528" s="647">
        <f>WWWW[[#This Row],['#_Constructed/existing protected hand dug well]]-WWWW[[#This Row],['#_Non-functional protected hand dug well]]</f>
        <v>0</v>
      </c>
      <c r="BU528" s="647">
        <f>(WWWW[[#This Row],['#_Constructed/Existing tube wells/boreholes/handpumps_WASH_agency]]+WWWW[[#This Row],['#_Non-Cluster partner water tube-wells/boreholes/handpumps]])-WWWW[[#This Row],['#_Non-functional tube wells/boreholes/handpumps]]</f>
        <v>1</v>
      </c>
      <c r="BV528" s="647">
        <f>WWWW[[#This Row],['#_Constructed/Existingwater storage tank with gravity fed reticulation system]]-WWWW[[#This Row],['#_Non-functional storage tank gravity fed reticulation system]]</f>
        <v>0</v>
      </c>
      <c r="BW528" s="647">
        <f>WWWW[[#This Row],['#_Water boating or water trucking]]</f>
        <v>0</v>
      </c>
      <c r="BX528" s="647">
        <f>WWWW[[#This Row],['#_Constructed/Existing water distribution system from river or natural spring]]</f>
        <v>0</v>
      </c>
      <c r="BY528"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0.8771929824561403</v>
      </c>
      <c r="BZ528"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0.43859649122807015</v>
      </c>
      <c r="CA528" s="648">
        <f>IF(WWWW[[#This Row],[Location Type 1]]="Village",WWWW[[#This Row],[Access to safe drinking water for Village]],WWWW[[#This Row],[Access to safe drinking water for Camp]])</f>
        <v>0.8771929824561403</v>
      </c>
      <c r="CB528" s="645">
        <f>WWWW[[#This Row],[%Equitable and continuous access to sufficient quantity of safe drinking water]]*WWWW[[#This Row],[Total PoP ]]</f>
        <v>500</v>
      </c>
      <c r="CC528" s="648">
        <f>IF((WWWW[[#This Row],['#_Constructed/Existing protected/fenced ponds]]*250)/WWWW[[#This Row],[Total PoP ]]&gt;1,1,(WWWW[[#This Row],['#_Constructed/Existing protected/fenced ponds]]*250)/WWWW[[#This Row],[Total PoP ]])</f>
        <v>0</v>
      </c>
      <c r="CD528" s="645">
        <f>WWWW[[#This Row],[% Access to unimproved water points]]*WWWW[[#This Row],[Total PoP ]]</f>
        <v>0</v>
      </c>
      <c r="CE528"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0.8771929824561403</v>
      </c>
      <c r="CF528"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500</v>
      </c>
      <c r="CG528" s="645">
        <f>WWWW[[#This Row],[HRP1]]/500</f>
        <v>1</v>
      </c>
      <c r="CH528" s="650">
        <f>1-WWWW[[#This Row],[% Equitable and continuous access to sufficient quantity of domestic water]]</f>
        <v>0.1228070175438597</v>
      </c>
      <c r="CI528" s="645">
        <f>WWWW[[#This Row],[%equitable and continuous access to sufficient quantity of safe drinking and domestic water''s GAP]]*WWWW[[#This Row],[Total PoP ]]</f>
        <v>70.000000000000028</v>
      </c>
      <c r="CJ528" s="647">
        <f>IF(WWWW[[#This Row],[Total required water points]]-WWWW[[#This Row],['#Water points coverage]]&lt;0,0,WWWW[[#This Row],[Total required water points]]-WWWW[[#This Row],['#Water points coverage]])</f>
        <v>0</v>
      </c>
      <c r="CK528" s="647">
        <f>ROUND(IF(WWWW[[#This Row],[Total PoP ]]&lt;500,1,WWWW[[#This Row],[Total PoP ]]/500),0)</f>
        <v>1</v>
      </c>
      <c r="CL528" s="647">
        <f>(WWWW[[#This Row],['#_Constructed latrines_by_WASHAgencies]]+WWWW[[#This Row],['#_Non Cluster partner latrines]])-WWWW[[#This Row],['#_Non-functional latrines]]</f>
        <v>17</v>
      </c>
      <c r="CM528"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0.59649122807017541</v>
      </c>
      <c r="CN528"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340</v>
      </c>
      <c r="CO528"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28" s="647">
        <f>IF(WWWW[[#This Row],[Location Type 1]]="Village","NA",IF(WWWW[[#This Row],['#_Constructed/Existing latrines in TLS]]*50&gt;WWWW[[#This Row],['#_students at TLS_CFS]],WWWW[[#This Row],['#_students at TLS_CFS]],(WWWW[[#This Row],['#_Constructed/Existing latrines in TLS]]*50)))</f>
        <v>0</v>
      </c>
      <c r="CQ528" s="647">
        <f>ROUND(IF(WWWW[[#This Row],[Location Type 1]]="camp",WWWW[[#This Row],[Total PoP ]]/20,IF(WWWW[[#This Row],[Location Type 1]]="Temporary Location",WWWW[[#This Row],[Total PoP ]]/50,(WWWW[[#This Row],[Total PoP ]]/6))),0)</f>
        <v>29</v>
      </c>
      <c r="CR528" s="647">
        <f>IF(WWWW[[#This Row],[Total required Latrines]]-(WWWW[[#This Row],['#_Constructed latrines_by_WASHAgencies]]+WWWW[[#This Row],['#_Non Cluster partner latrines]])&lt;0,0,WWWW[[#This Row],[Total required Latrines]]-(WWWW[[#This Row],['#_Constructed latrines_by_WASHAgencies]]+WWWW[[#This Row],['#_Non Cluster partner latrines]]))</f>
        <v>12</v>
      </c>
      <c r="CS528" s="79">
        <f>1-WWWW[[#This Row],[% people access to functioning Latrine]]</f>
        <v>0.40350877192982459</v>
      </c>
      <c r="CT528" s="649">
        <f>IF(OR(WWWW[[#This Row],['#_Non-functional latrines]]="",WWWW[[#This Row],['#_Non-functional latrines]]=0),0,WWWW[[#This Row],['#_Non-functional latrines]]/(WWWW[[#This Row],['#_Constructed latrines_by_WASHAgencies]]+WWWW[[#This Row],['#_Non Cluster partner latrines]]))</f>
        <v>0</v>
      </c>
      <c r="CU528" s="645">
        <f>IF(500*(WWWW[[#This Row],['#_male hygiene promoters]]+WWWW[[#This Row],['#_female hygiene promoters]])&gt;WWWW[[#This Row],[Total PoP ]],WWWW[[#This Row],[Total PoP ]],500*(WWWW[[#This Row],['#_male hygiene promoters]]+WWWW[[#This Row],['#_female hygiene promoters]]))</f>
        <v>570</v>
      </c>
      <c r="CV528"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28"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28" s="647">
        <f>IF(WWWW[[#This Row],['# People with access to soap]]&gt;WWWW[[#This Row],['# People with access to Sanity Pads]],WWWW[[#This Row],['# People with access to soap]],WWWW[[#This Row],['# People with access to Sanity Pads]])</f>
        <v>0</v>
      </c>
      <c r="CY528" s="647">
        <f>IF(WWWW[[#This Row],['# people reached by regular dedicated hygiene promotion_5]]&gt;WWWW[[#This Row],['# People received regular supply of hygiene items_6]],WWWW[[#This Row],['# people reached by regular dedicated hygiene promotion_5]],WWWW[[#This Row],['# People received regular supply of hygiene items_6]])</f>
        <v>570</v>
      </c>
      <c r="CZ528" s="650">
        <f>IF(WWWW[[#This Row],[HRP3]]/WWWW[[#This Row],[Total PoP ]]&gt;100%,100%,WWWW[[#This Row],[HRP3]]/WWWW[[#This Row],[Total PoP ]])</f>
        <v>1</v>
      </c>
      <c r="DA528" s="649">
        <f>1-WWWW[[#This Row],[Hygiene Coverage%]]</f>
        <v>0</v>
      </c>
      <c r="DB528" s="648">
        <f>WWWW[[#This Row],['# people reached by regular dedicated hygiene promotion_5]]/WWWW[[#This Row],[Total PoP ]]</f>
        <v>1</v>
      </c>
      <c r="DC528" s="648">
        <f>IF(WWWW[[#This Row],['#_households that received standard amount of soap for this quarter]]/WWWW[[#This Row],[Total HH]]&gt;1,1,WWWW[[#This Row],['#_households that received standard amount of soap for this quarter]]/WWWW[[#This Row],[Total HH]])</f>
        <v>0</v>
      </c>
      <c r="DD528" s="648">
        <f>IF(WWWW[[#This Row],['#_households that received standard amount of sanitary pads for this quarter]]/WWWW[[#This Row],[Total HH]]&gt;1,1,WWWW[[#This Row],['#_households that received standard amount of sanitary pads for this quarter]]/WWWW[[#This Row],[Total HH]])</f>
        <v>0</v>
      </c>
      <c r="DE528" s="647">
        <f>WWWW[[#This Row],['#_Constructed/Existing hand washing stations]]-WWWW[[#This Row],['#_Non-Functional_hand_washing_stations]]</f>
        <v>0</v>
      </c>
      <c r="DF528" s="667">
        <f>IF(WWWW[[#This Row],['# Functional hand washing stations during reporting period]]*20&gt;WWWW[[#This Row],[Total HH]],WWWW[[#This Row],[Total HH]],WWWW[[#This Row],['# Functional hand washing stations during reporting period]]*20)</f>
        <v>0</v>
      </c>
      <c r="DG528" s="645">
        <f>IF(WWWW[[#This Row],[Is sufficient soap available for TLS? (Yes/No)]]="yes",WWWW[[#This Row],['#_Constructed/Existing hand washing stations at TLS]],0)</f>
        <v>0</v>
      </c>
      <c r="DH528" s="645">
        <f>IF(WWWW[[#This Row],['# Functional hand washing stations during reporting period]]*100&gt;WWWW[[#This Row],[Total PoP ]],WWWW[[#This Row],[Total PoP ]],WWWW[[#This Row],['# Functional hand washing stations during reporting period]]*100)</f>
        <v>0</v>
      </c>
      <c r="DI528" s="645" t="str">
        <f>IF(WWWW[[#This Row],['#_students at TLS_CFS]]="","No","Yes")</f>
        <v>No</v>
      </c>
      <c r="DJ528" s="643" t="str">
        <f>VLOOKUP(WWWW[[#This Row],[Site Name]],SiteDB6[[Site Name]:[CCCM Management]],6,FALSE)</f>
        <v>Yes</v>
      </c>
      <c r="DK528" s="643" t="str">
        <f>VLOOKUP(WWWW[[#This Row],[Site Name]],SiteDB6[[Site Name]:[CCCM Focal Agency]],7,FALSE)</f>
        <v>KBC-NSS</v>
      </c>
      <c r="DL528" s="643" t="str">
        <f>VLOOKUP(WWWW[[#This Row],[Site Name]],SiteDB6[[Site Name]:[Location Type 1]],9,FALSE)</f>
        <v>Camp</v>
      </c>
      <c r="DM528" s="643" t="str">
        <f>VLOOKUP(WWWW[[#This Row],[Site Name]],SiteDB6[[Site Name]:[Type of Accommodation]],10,FALSE)</f>
        <v>Camp</v>
      </c>
      <c r="DN528" s="643" t="str">
        <f>VLOOKUP(WWWW[[#This Row],[Site Name]],SiteDB6[[Site Name]:[Ethnic or GCA/NGCA]],11,FALSE)</f>
        <v>GCA</v>
      </c>
      <c r="DO528" s="643">
        <f>VLOOKUP(WWWW[[#This Row],[Site Name]],SiteDB6[[Site Name]:[Lat]],12,FALSE)</f>
        <v>23.821380000000001</v>
      </c>
      <c r="DP528" s="643">
        <f>VLOOKUP(WWWW[[#This Row],[Site Name]],SiteDB6[[Site Name]:[Long]],13,FALSE)</f>
        <v>97.681970000000007</v>
      </c>
      <c r="DQ528" s="643" t="str">
        <f>VLOOKUP(WWWW[[#This Row],[Site Name]],SiteDB6[[Site Name]:[Pcode]],3,FALSE)</f>
        <v>MMR015CMP004</v>
      </c>
      <c r="DR528" s="652" t="str">
        <f t="shared" si="18"/>
        <v>Covered</v>
      </c>
      <c r="DS528" s="652"/>
    </row>
    <row r="529" spans="1:123">
      <c r="A529" s="637" t="s">
        <v>2525</v>
      </c>
      <c r="B529" s="644" t="s">
        <v>317</v>
      </c>
      <c r="C529" s="644" t="s">
        <v>317</v>
      </c>
      <c r="D529" s="644"/>
      <c r="E529" s="644" t="s">
        <v>716</v>
      </c>
      <c r="F529" s="644" t="s">
        <v>717</v>
      </c>
      <c r="G529" s="643" t="s">
        <v>45</v>
      </c>
      <c r="H529" s="644" t="s">
        <v>764</v>
      </c>
      <c r="I529" s="646">
        <v>68</v>
      </c>
      <c r="J529" s="646">
        <v>350</v>
      </c>
      <c r="K529" s="653"/>
      <c r="L529" s="654"/>
      <c r="M529" s="646"/>
      <c r="N529" s="646"/>
      <c r="O529" s="646"/>
      <c r="P529" s="646"/>
      <c r="Q529" s="645"/>
      <c r="R529" s="646"/>
      <c r="S529" s="646"/>
      <c r="T529" s="646"/>
      <c r="U529" s="646"/>
      <c r="V529" s="646"/>
      <c r="W529" s="646"/>
      <c r="X529" s="646"/>
      <c r="Y529" s="646"/>
      <c r="Z529" s="646"/>
      <c r="AA529" s="646"/>
      <c r="AB529" s="646"/>
      <c r="AC529" s="646"/>
      <c r="AD529" s="646"/>
      <c r="AE529" s="646"/>
      <c r="AF529" s="646"/>
      <c r="AG529" s="646"/>
      <c r="AH529" s="646"/>
      <c r="AI529" s="646"/>
      <c r="AJ529" s="646"/>
      <c r="AK529" s="646"/>
      <c r="AL529" s="646"/>
      <c r="AM529" s="646"/>
      <c r="AN529" s="646"/>
      <c r="AO529" s="652"/>
      <c r="AP529" s="646"/>
      <c r="AQ529" s="646"/>
      <c r="AR529" s="648"/>
      <c r="AS529" s="646"/>
      <c r="AT529" s="646"/>
      <c r="AU529" s="646"/>
      <c r="AV529" s="646"/>
      <c r="AW529" s="646"/>
      <c r="AX529" s="643"/>
      <c r="AY529" s="652"/>
      <c r="AZ529" s="646"/>
      <c r="BA529" s="646"/>
      <c r="BB529" s="646"/>
      <c r="BC529" s="643"/>
      <c r="BD529" s="646"/>
      <c r="BE529" s="646"/>
      <c r="BF529" s="646"/>
      <c r="BG529" s="646"/>
      <c r="BH529" s="646"/>
      <c r="BI529" s="646"/>
      <c r="BJ529" s="646"/>
      <c r="BK529" s="646"/>
      <c r="BL529" s="646"/>
      <c r="BM529" s="643"/>
      <c r="BN529" s="647"/>
      <c r="BO529" s="648"/>
      <c r="BP529" s="643"/>
      <c r="BQ529" s="649" t="str">
        <f>IFERROR(WWWW[[#This Row],['#_Water sources treated]]/WWWW[[#This Row],['#_Water sources tested for contamination]],"no test")</f>
        <v>no test</v>
      </c>
      <c r="BR529" s="648" t="str">
        <f>IFERROR(WWWW[[#This Row],['#_Household received remediation action due to contamination]]/WWWW[[#This Row],['#_Household water samples tested for contamination]],"no test")</f>
        <v>no test</v>
      </c>
      <c r="BS529" s="647" t="str">
        <f>IF(AND(WWWW[[#This Row],[% of water sources treated]]="no test",WWWW[[#This Row],[% Household received corrective actions]]="no test"),"No Test","Tested")</f>
        <v>No Test</v>
      </c>
      <c r="BT529" s="647">
        <f>WWWW[[#This Row],['#_Constructed/existing protected hand dug well]]-WWWW[[#This Row],['#_Non-functional protected hand dug well]]</f>
        <v>0</v>
      </c>
      <c r="BU529" s="647">
        <f>(WWWW[[#This Row],['#_Constructed/Existing tube wells/boreholes/handpumps_WASH_agency]]+WWWW[[#This Row],['#_Non-Cluster partner water tube-wells/boreholes/handpumps]])-WWWW[[#This Row],['#_Non-functional tube wells/boreholes/handpumps]]</f>
        <v>0</v>
      </c>
      <c r="BV529" s="647">
        <f>WWWW[[#This Row],['#_Constructed/Existingwater storage tank with gravity fed reticulation system]]-WWWW[[#This Row],['#_Non-functional storage tank gravity fed reticulation system]]</f>
        <v>0</v>
      </c>
      <c r="BW529" s="647">
        <f>WWWW[[#This Row],['#_Water boating or water trucking]]</f>
        <v>0</v>
      </c>
      <c r="BX529" s="647">
        <f>WWWW[[#This Row],['#_Constructed/Existing water distribution system from river or natural spring]]</f>
        <v>0</v>
      </c>
      <c r="BY529"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529"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529" s="648">
        <f>IF(WWWW[[#This Row],[Location Type 1]]="Village",WWWW[[#This Row],[Access to safe drinking water for Village]],WWWW[[#This Row],[Access to safe drinking water for Camp]])</f>
        <v>0</v>
      </c>
      <c r="CB529" s="645">
        <f>WWWW[[#This Row],[%Equitable and continuous access to sufficient quantity of safe drinking water]]*WWWW[[#This Row],[Total PoP ]]</f>
        <v>0</v>
      </c>
      <c r="CC529" s="648">
        <f>IF((WWWW[[#This Row],['#_Constructed/Existing protected/fenced ponds]]*250)/WWWW[[#This Row],[Total PoP ]]&gt;1,1,(WWWW[[#This Row],['#_Constructed/Existing protected/fenced ponds]]*250)/WWWW[[#This Row],[Total PoP ]])</f>
        <v>0</v>
      </c>
      <c r="CD529" s="645">
        <f>WWWW[[#This Row],[% Access to unimproved water points]]*WWWW[[#This Row],[Total PoP ]]</f>
        <v>0</v>
      </c>
      <c r="CE529"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529"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529" s="645">
        <f>WWWW[[#This Row],[HRP1]]/500</f>
        <v>0</v>
      </c>
      <c r="CH529" s="650">
        <f>1-WWWW[[#This Row],[% Equitable and continuous access to sufficient quantity of domestic water]]</f>
        <v>1</v>
      </c>
      <c r="CI529" s="645">
        <f>WWWW[[#This Row],[%equitable and continuous access to sufficient quantity of safe drinking and domestic water''s GAP]]*WWWW[[#This Row],[Total PoP ]]</f>
        <v>350</v>
      </c>
      <c r="CJ529" s="647">
        <f>IF(WWWW[[#This Row],[Total required water points]]-WWWW[[#This Row],['#Water points coverage]]&lt;0,0,WWWW[[#This Row],[Total required water points]]-WWWW[[#This Row],['#Water points coverage]])</f>
        <v>1</v>
      </c>
      <c r="CK529" s="647">
        <f>ROUND(IF(WWWW[[#This Row],[Total PoP ]]&lt;500,1,WWWW[[#This Row],[Total PoP ]]/500),0)</f>
        <v>1</v>
      </c>
      <c r="CL529" s="647">
        <f>(WWWW[[#This Row],['#_Constructed latrines_by_WASHAgencies]]+WWWW[[#This Row],['#_Non Cluster partner latrines]])-WWWW[[#This Row],['#_Non-functional latrines]]</f>
        <v>0</v>
      </c>
      <c r="CM529"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529"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529"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29" s="647">
        <f>IF(WWWW[[#This Row],[Location Type 1]]="Village","NA",IF(WWWW[[#This Row],['#_Constructed/Existing latrines in TLS]]*50&gt;WWWW[[#This Row],['#_students at TLS_CFS]],WWWW[[#This Row],['#_students at TLS_CFS]],(WWWW[[#This Row],['#_Constructed/Existing latrines in TLS]]*50)))</f>
        <v>0</v>
      </c>
      <c r="CQ529" s="647">
        <f>ROUND(IF(WWWW[[#This Row],[Location Type 1]]="camp",WWWW[[#This Row],[Total PoP ]]/20,IF(WWWW[[#This Row],[Location Type 1]]="Temporary Location",WWWW[[#This Row],[Total PoP ]]/50,(WWWW[[#This Row],[Total PoP ]]/6))),0)</f>
        <v>18</v>
      </c>
      <c r="CR529" s="647">
        <f>IF(WWWW[[#This Row],[Total required Latrines]]-(WWWW[[#This Row],['#_Constructed latrines_by_WASHAgencies]]+WWWW[[#This Row],['#_Non Cluster partner latrines]])&lt;0,0,WWWW[[#This Row],[Total required Latrines]]-(WWWW[[#This Row],['#_Constructed latrines_by_WASHAgencies]]+WWWW[[#This Row],['#_Non Cluster partner latrines]]))</f>
        <v>18</v>
      </c>
      <c r="CS529" s="79">
        <f>1-WWWW[[#This Row],[% people access to functioning Latrine]]</f>
        <v>1</v>
      </c>
      <c r="CT529" s="649">
        <f>IF(OR(WWWW[[#This Row],['#_Non-functional latrines]]="",WWWW[[#This Row],['#_Non-functional latrines]]=0),0,WWWW[[#This Row],['#_Non-functional latrines]]/(WWWW[[#This Row],['#_Constructed latrines_by_WASHAgencies]]+WWWW[[#This Row],['#_Non Cluster partner latrines]]))</f>
        <v>0</v>
      </c>
      <c r="CU529" s="645">
        <f>IF(500*(WWWW[[#This Row],['#_male hygiene promoters]]+WWWW[[#This Row],['#_female hygiene promoters]])&gt;WWWW[[#This Row],[Total PoP ]],WWWW[[#This Row],[Total PoP ]],500*(WWWW[[#This Row],['#_male hygiene promoters]]+WWWW[[#This Row],['#_female hygiene promoters]]))</f>
        <v>0</v>
      </c>
      <c r="CV529"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29"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29" s="647">
        <f>IF(WWWW[[#This Row],['# People with access to soap]]&gt;WWWW[[#This Row],['# People with access to Sanity Pads]],WWWW[[#This Row],['# People with access to soap]],WWWW[[#This Row],['# People with access to Sanity Pads]])</f>
        <v>0</v>
      </c>
      <c r="CY529"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529" s="650">
        <f>IF(WWWW[[#This Row],[HRP3]]/WWWW[[#This Row],[Total PoP ]]&gt;100%,100%,WWWW[[#This Row],[HRP3]]/WWWW[[#This Row],[Total PoP ]])</f>
        <v>0</v>
      </c>
      <c r="DA529" s="649">
        <f>1-WWWW[[#This Row],[Hygiene Coverage%]]</f>
        <v>1</v>
      </c>
      <c r="DB529" s="648">
        <f>WWWW[[#This Row],['# people reached by regular dedicated hygiene promotion_5]]/WWWW[[#This Row],[Total PoP ]]</f>
        <v>0</v>
      </c>
      <c r="DC529" s="648">
        <f>IF(WWWW[[#This Row],['#_households that received standard amount of soap for this quarter]]/WWWW[[#This Row],[Total HH]]&gt;1,1,WWWW[[#This Row],['#_households that received standard amount of soap for this quarter]]/WWWW[[#This Row],[Total HH]])</f>
        <v>0</v>
      </c>
      <c r="DD529" s="648">
        <f>IF(WWWW[[#This Row],['#_households that received standard amount of sanitary pads for this quarter]]/WWWW[[#This Row],[Total HH]]&gt;1,1,WWWW[[#This Row],['#_households that received standard amount of sanitary pads for this quarter]]/WWWW[[#This Row],[Total HH]])</f>
        <v>0</v>
      </c>
      <c r="DE529" s="647">
        <f>WWWW[[#This Row],['#_Constructed/Existing hand washing stations]]-WWWW[[#This Row],['#_Non-Functional_hand_washing_stations]]</f>
        <v>0</v>
      </c>
      <c r="DF529" s="667">
        <f>IF(WWWW[[#This Row],['# Functional hand washing stations during reporting period]]*20&gt;WWWW[[#This Row],[Total HH]],WWWW[[#This Row],[Total HH]],WWWW[[#This Row],['# Functional hand washing stations during reporting period]]*20)</f>
        <v>0</v>
      </c>
      <c r="DG529" s="645">
        <f>IF(WWWW[[#This Row],[Is sufficient soap available for TLS? (Yes/No)]]="yes",WWWW[[#This Row],['#_Constructed/Existing hand washing stations at TLS]],0)</f>
        <v>0</v>
      </c>
      <c r="DH529" s="645">
        <f>IF(WWWW[[#This Row],['# Functional hand washing stations during reporting period]]*100&gt;WWWW[[#This Row],[Total PoP ]],WWWW[[#This Row],[Total PoP ]],WWWW[[#This Row],['# Functional hand washing stations during reporting period]]*100)</f>
        <v>0</v>
      </c>
      <c r="DI529" s="645" t="str">
        <f>IF(WWWW[[#This Row],['#_students at TLS_CFS]]="","No","Yes")</f>
        <v>No</v>
      </c>
      <c r="DJ529" s="643" t="str">
        <f>VLOOKUP(WWWW[[#This Row],[Site Name]],SiteDB6[[Site Name]:[CCCM Management]],6,FALSE)</f>
        <v>Yes</v>
      </c>
      <c r="DK529" s="643" t="str">
        <f>VLOOKUP(WWWW[[#This Row],[Site Name]],SiteDB6[[Site Name]:[CCCM Focal Agency]],7,FALSE)</f>
        <v>KBC-NSS</v>
      </c>
      <c r="DL529" s="643" t="str">
        <f>VLOOKUP(WWWW[[#This Row],[Site Name]],SiteDB6[[Site Name]:[Location Type 1]],9,FALSE)</f>
        <v>Camp</v>
      </c>
      <c r="DM529" s="643" t="str">
        <f>VLOOKUP(WWWW[[#This Row],[Site Name]],SiteDB6[[Site Name]:[Type of Accommodation]],10,FALSE)</f>
        <v>Camp</v>
      </c>
      <c r="DN529" s="643" t="str">
        <f>VLOOKUP(WWWW[[#This Row],[Site Name]],SiteDB6[[Site Name]:[Ethnic or GCA/NGCA]],11,FALSE)</f>
        <v>GCA</v>
      </c>
      <c r="DO529" s="643">
        <f>VLOOKUP(WWWW[[#This Row],[Site Name]],SiteDB6[[Site Name]:[Lat]],12,FALSE)</f>
        <v>23.828520000000001</v>
      </c>
      <c r="DP529" s="643">
        <f>VLOOKUP(WWWW[[#This Row],[Site Name]],SiteDB6[[Site Name]:[Long]],13,FALSE)</f>
        <v>97.669557999999995</v>
      </c>
      <c r="DQ529" s="643" t="str">
        <f>VLOOKUP(WWWW[[#This Row],[Site Name]],SiteDB6[[Site Name]:[Pcode]],3,FALSE)</f>
        <v>MMR015CMP001</v>
      </c>
      <c r="DR529" s="652" t="str">
        <f t="shared" si="18"/>
        <v>Notcovered</v>
      </c>
      <c r="DS529" s="652"/>
    </row>
    <row r="530" spans="1:123">
      <c r="A530" s="637" t="s">
        <v>2525</v>
      </c>
      <c r="B530" s="644" t="s">
        <v>317</v>
      </c>
      <c r="C530" s="644" t="s">
        <v>317</v>
      </c>
      <c r="D530" s="644"/>
      <c r="E530" s="644" t="s">
        <v>716</v>
      </c>
      <c r="F530" s="644" t="s">
        <v>717</v>
      </c>
      <c r="G530" s="643" t="s">
        <v>45</v>
      </c>
      <c r="H530" s="644" t="s">
        <v>752</v>
      </c>
      <c r="I530" s="646">
        <v>34</v>
      </c>
      <c r="J530" s="646">
        <v>176</v>
      </c>
      <c r="K530" s="653"/>
      <c r="L530" s="654"/>
      <c r="M530" s="646"/>
      <c r="N530" s="646"/>
      <c r="O530" s="646"/>
      <c r="P530" s="646"/>
      <c r="Q530" s="645"/>
      <c r="R530" s="646"/>
      <c r="S530" s="646"/>
      <c r="T530" s="646"/>
      <c r="U530" s="646"/>
      <c r="V530" s="646"/>
      <c r="W530" s="646"/>
      <c r="X530" s="646"/>
      <c r="Y530" s="646"/>
      <c r="Z530" s="646"/>
      <c r="AA530" s="646"/>
      <c r="AB530" s="646"/>
      <c r="AC530" s="646"/>
      <c r="AD530" s="646"/>
      <c r="AE530" s="646"/>
      <c r="AF530" s="646"/>
      <c r="AG530" s="646"/>
      <c r="AH530" s="646"/>
      <c r="AI530" s="646"/>
      <c r="AJ530" s="646"/>
      <c r="AK530" s="646"/>
      <c r="AL530" s="646"/>
      <c r="AM530" s="646"/>
      <c r="AN530" s="646"/>
      <c r="AO530" s="652"/>
      <c r="AP530" s="646"/>
      <c r="AQ530" s="646"/>
      <c r="AR530" s="648"/>
      <c r="AS530" s="646"/>
      <c r="AT530" s="646"/>
      <c r="AU530" s="646"/>
      <c r="AV530" s="646"/>
      <c r="AW530" s="646"/>
      <c r="AX530" s="643"/>
      <c r="AY530" s="652"/>
      <c r="AZ530" s="646"/>
      <c r="BA530" s="646"/>
      <c r="BB530" s="646"/>
      <c r="BC530" s="643"/>
      <c r="BD530" s="646"/>
      <c r="BE530" s="646"/>
      <c r="BF530" s="646"/>
      <c r="BG530" s="646"/>
      <c r="BH530" s="646"/>
      <c r="BI530" s="646"/>
      <c r="BJ530" s="646"/>
      <c r="BK530" s="646"/>
      <c r="BL530" s="646"/>
      <c r="BM530" s="643"/>
      <c r="BN530" s="647"/>
      <c r="BO530" s="648"/>
      <c r="BP530" s="643"/>
      <c r="BQ530" s="649" t="str">
        <f>IFERROR(WWWW[[#This Row],['#_Water sources treated]]/WWWW[[#This Row],['#_Water sources tested for contamination]],"no test")</f>
        <v>no test</v>
      </c>
      <c r="BR530" s="648" t="str">
        <f>IFERROR(WWWW[[#This Row],['#_Household received remediation action due to contamination]]/WWWW[[#This Row],['#_Household water samples tested for contamination]],"no test")</f>
        <v>no test</v>
      </c>
      <c r="BS530" s="647" t="str">
        <f>IF(AND(WWWW[[#This Row],[% of water sources treated]]="no test",WWWW[[#This Row],[% Household received corrective actions]]="no test"),"No Test","Tested")</f>
        <v>No Test</v>
      </c>
      <c r="BT530" s="647">
        <f>WWWW[[#This Row],['#_Constructed/existing protected hand dug well]]-WWWW[[#This Row],['#_Non-functional protected hand dug well]]</f>
        <v>0</v>
      </c>
      <c r="BU530" s="647">
        <f>(WWWW[[#This Row],['#_Constructed/Existing tube wells/boreholes/handpumps_WASH_agency]]+WWWW[[#This Row],['#_Non-Cluster partner water tube-wells/boreholes/handpumps]])-WWWW[[#This Row],['#_Non-functional tube wells/boreholes/handpumps]]</f>
        <v>0</v>
      </c>
      <c r="BV530" s="647">
        <f>WWWW[[#This Row],['#_Constructed/Existingwater storage tank with gravity fed reticulation system]]-WWWW[[#This Row],['#_Non-functional storage tank gravity fed reticulation system]]</f>
        <v>0</v>
      </c>
      <c r="BW530" s="647">
        <f>WWWW[[#This Row],['#_Water boating or water trucking]]</f>
        <v>0</v>
      </c>
      <c r="BX530" s="647">
        <f>WWWW[[#This Row],['#_Constructed/Existing water distribution system from river or natural spring]]</f>
        <v>0</v>
      </c>
      <c r="BY530"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530"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530" s="648">
        <f>IF(WWWW[[#This Row],[Location Type 1]]="Village",WWWW[[#This Row],[Access to safe drinking water for Village]],WWWW[[#This Row],[Access to safe drinking water for Camp]])</f>
        <v>0</v>
      </c>
      <c r="CB530" s="645">
        <f>WWWW[[#This Row],[%Equitable and continuous access to sufficient quantity of safe drinking water]]*WWWW[[#This Row],[Total PoP ]]</f>
        <v>0</v>
      </c>
      <c r="CC530" s="648">
        <f>IF((WWWW[[#This Row],['#_Constructed/Existing protected/fenced ponds]]*250)/WWWW[[#This Row],[Total PoP ]]&gt;1,1,(WWWW[[#This Row],['#_Constructed/Existing protected/fenced ponds]]*250)/WWWW[[#This Row],[Total PoP ]])</f>
        <v>0</v>
      </c>
      <c r="CD530" s="645">
        <f>WWWW[[#This Row],[% Access to unimproved water points]]*WWWW[[#This Row],[Total PoP ]]</f>
        <v>0</v>
      </c>
      <c r="CE530"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530"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530" s="645">
        <f>WWWW[[#This Row],[HRP1]]/500</f>
        <v>0</v>
      </c>
      <c r="CH530" s="650">
        <f>1-WWWW[[#This Row],[% Equitable and continuous access to sufficient quantity of domestic water]]</f>
        <v>1</v>
      </c>
      <c r="CI530" s="645">
        <f>WWWW[[#This Row],[%equitable and continuous access to sufficient quantity of safe drinking and domestic water''s GAP]]*WWWW[[#This Row],[Total PoP ]]</f>
        <v>176</v>
      </c>
      <c r="CJ530" s="647">
        <f>IF(WWWW[[#This Row],[Total required water points]]-WWWW[[#This Row],['#Water points coverage]]&lt;0,0,WWWW[[#This Row],[Total required water points]]-WWWW[[#This Row],['#Water points coverage]])</f>
        <v>1</v>
      </c>
      <c r="CK530" s="647">
        <f>ROUND(IF(WWWW[[#This Row],[Total PoP ]]&lt;500,1,WWWW[[#This Row],[Total PoP ]]/500),0)</f>
        <v>1</v>
      </c>
      <c r="CL530" s="647">
        <f>(WWWW[[#This Row],['#_Constructed latrines_by_WASHAgencies]]+WWWW[[#This Row],['#_Non Cluster partner latrines]])-WWWW[[#This Row],['#_Non-functional latrines]]</f>
        <v>0</v>
      </c>
      <c r="CM530"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530"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530"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30" s="647">
        <f>IF(WWWW[[#This Row],[Location Type 1]]="Village","NA",IF(WWWW[[#This Row],['#_Constructed/Existing latrines in TLS]]*50&gt;WWWW[[#This Row],['#_students at TLS_CFS]],WWWW[[#This Row],['#_students at TLS_CFS]],(WWWW[[#This Row],['#_Constructed/Existing latrines in TLS]]*50)))</f>
        <v>0</v>
      </c>
      <c r="CQ530" s="647">
        <f>ROUND(IF(WWWW[[#This Row],[Location Type 1]]="camp",WWWW[[#This Row],[Total PoP ]]/20,IF(WWWW[[#This Row],[Location Type 1]]="Temporary Location",WWWW[[#This Row],[Total PoP ]]/50,(WWWW[[#This Row],[Total PoP ]]/6))),0)</f>
        <v>9</v>
      </c>
      <c r="CR530" s="647">
        <f>IF(WWWW[[#This Row],[Total required Latrines]]-(WWWW[[#This Row],['#_Constructed latrines_by_WASHAgencies]]+WWWW[[#This Row],['#_Non Cluster partner latrines]])&lt;0,0,WWWW[[#This Row],[Total required Latrines]]-(WWWW[[#This Row],['#_Constructed latrines_by_WASHAgencies]]+WWWW[[#This Row],['#_Non Cluster partner latrines]]))</f>
        <v>9</v>
      </c>
      <c r="CS530" s="79">
        <f>1-WWWW[[#This Row],[% people access to functioning Latrine]]</f>
        <v>1</v>
      </c>
      <c r="CT530" s="649">
        <f>IF(OR(WWWW[[#This Row],['#_Non-functional latrines]]="",WWWW[[#This Row],['#_Non-functional latrines]]=0),0,WWWW[[#This Row],['#_Non-functional latrines]]/(WWWW[[#This Row],['#_Constructed latrines_by_WASHAgencies]]+WWWW[[#This Row],['#_Non Cluster partner latrines]]))</f>
        <v>0</v>
      </c>
      <c r="CU530" s="645">
        <f>IF(500*(WWWW[[#This Row],['#_male hygiene promoters]]+WWWW[[#This Row],['#_female hygiene promoters]])&gt;WWWW[[#This Row],[Total PoP ]],WWWW[[#This Row],[Total PoP ]],500*(WWWW[[#This Row],['#_male hygiene promoters]]+WWWW[[#This Row],['#_female hygiene promoters]]))</f>
        <v>0</v>
      </c>
      <c r="CV530"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30"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30" s="647">
        <f>IF(WWWW[[#This Row],['# People with access to soap]]&gt;WWWW[[#This Row],['# People with access to Sanity Pads]],WWWW[[#This Row],['# People with access to soap]],WWWW[[#This Row],['# People with access to Sanity Pads]])</f>
        <v>0</v>
      </c>
      <c r="CY530"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530" s="650">
        <f>IF(WWWW[[#This Row],[HRP3]]/WWWW[[#This Row],[Total PoP ]]&gt;100%,100%,WWWW[[#This Row],[HRP3]]/WWWW[[#This Row],[Total PoP ]])</f>
        <v>0</v>
      </c>
      <c r="DA530" s="649">
        <f>1-WWWW[[#This Row],[Hygiene Coverage%]]</f>
        <v>1</v>
      </c>
      <c r="DB530" s="648">
        <f>WWWW[[#This Row],['# people reached by regular dedicated hygiene promotion_5]]/WWWW[[#This Row],[Total PoP ]]</f>
        <v>0</v>
      </c>
      <c r="DC530" s="648">
        <f>IF(WWWW[[#This Row],['#_households that received standard amount of soap for this quarter]]/WWWW[[#This Row],[Total HH]]&gt;1,1,WWWW[[#This Row],['#_households that received standard amount of soap for this quarter]]/WWWW[[#This Row],[Total HH]])</f>
        <v>0</v>
      </c>
      <c r="DD530" s="648">
        <f>IF(WWWW[[#This Row],['#_households that received standard amount of sanitary pads for this quarter]]/WWWW[[#This Row],[Total HH]]&gt;1,1,WWWW[[#This Row],['#_households that received standard amount of sanitary pads for this quarter]]/WWWW[[#This Row],[Total HH]])</f>
        <v>0</v>
      </c>
      <c r="DE530" s="647">
        <f>WWWW[[#This Row],['#_Constructed/Existing hand washing stations]]-WWWW[[#This Row],['#_Non-Functional_hand_washing_stations]]</f>
        <v>0</v>
      </c>
      <c r="DF530" s="667">
        <f>IF(WWWW[[#This Row],['# Functional hand washing stations during reporting period]]*20&gt;WWWW[[#This Row],[Total HH]],WWWW[[#This Row],[Total HH]],WWWW[[#This Row],['# Functional hand washing stations during reporting period]]*20)</f>
        <v>0</v>
      </c>
      <c r="DG530" s="645">
        <f>IF(WWWW[[#This Row],[Is sufficient soap available for TLS? (Yes/No)]]="yes",WWWW[[#This Row],['#_Constructed/Existing hand washing stations at TLS]],0)</f>
        <v>0</v>
      </c>
      <c r="DH530" s="645">
        <f>IF(WWWW[[#This Row],['# Functional hand washing stations during reporting period]]*100&gt;WWWW[[#This Row],[Total PoP ]],WWWW[[#This Row],[Total PoP ]],WWWW[[#This Row],['# Functional hand washing stations during reporting period]]*100)</f>
        <v>0</v>
      </c>
      <c r="DI530" s="645" t="str">
        <f>IF(WWWW[[#This Row],['#_students at TLS_CFS]]="","No","Yes")</f>
        <v>No</v>
      </c>
      <c r="DJ530" s="643" t="str">
        <f>VLOOKUP(WWWW[[#This Row],[Site Name]],SiteDB6[[Site Name]:[CCCM Management]],6,FALSE)</f>
        <v>Yes</v>
      </c>
      <c r="DK530" s="643" t="str">
        <f>VLOOKUP(WWWW[[#This Row],[Site Name]],SiteDB6[[Site Name]:[CCCM Focal Agency]],7,FALSE)</f>
        <v>KBC-NSS</v>
      </c>
      <c r="DL530" s="643" t="str">
        <f>VLOOKUP(WWWW[[#This Row],[Site Name]],SiteDB6[[Site Name]:[Location Type 1]],9,FALSE)</f>
        <v>Camp</v>
      </c>
      <c r="DM530" s="643" t="str">
        <f>VLOOKUP(WWWW[[#This Row],[Site Name]],SiteDB6[[Site Name]:[Type of Accommodation]],10,FALSE)</f>
        <v>Camp</v>
      </c>
      <c r="DN530" s="643" t="str">
        <f>VLOOKUP(WWWW[[#This Row],[Site Name]],SiteDB6[[Site Name]:[Ethnic or GCA/NGCA]],11,FALSE)</f>
        <v>GCA</v>
      </c>
      <c r="DO530" s="643">
        <f>VLOOKUP(WWWW[[#This Row],[Site Name]],SiteDB6[[Site Name]:[Lat]],12,FALSE)</f>
        <v>23.841646999999998</v>
      </c>
      <c r="DP530" s="643">
        <f>VLOOKUP(WWWW[[#This Row],[Site Name]],SiteDB6[[Site Name]:[Long]],13,FALSE)</f>
        <v>97.700940000000003</v>
      </c>
      <c r="DQ530" s="643" t="str">
        <f>VLOOKUP(WWWW[[#This Row],[Site Name]],SiteDB6[[Site Name]:[Pcode]],3,FALSE)</f>
        <v>MMR015CMP214</v>
      </c>
      <c r="DR530" s="652" t="str">
        <f t="shared" si="18"/>
        <v>Notcovered</v>
      </c>
      <c r="DS530" s="652"/>
    </row>
    <row r="531" spans="1:123">
      <c r="A531" s="637" t="s">
        <v>2525</v>
      </c>
      <c r="B531" s="644" t="s">
        <v>38</v>
      </c>
      <c r="C531" s="644" t="s">
        <v>38</v>
      </c>
      <c r="D531" s="644" t="s">
        <v>722</v>
      </c>
      <c r="E531" s="644" t="s">
        <v>716</v>
      </c>
      <c r="F531" s="644" t="s">
        <v>717</v>
      </c>
      <c r="G531" s="643" t="s">
        <v>45</v>
      </c>
      <c r="H531" s="644" t="s">
        <v>718</v>
      </c>
      <c r="I531" s="646">
        <v>44</v>
      </c>
      <c r="J531" s="646">
        <v>209</v>
      </c>
      <c r="K531" s="653"/>
      <c r="L531" s="654">
        <v>43465</v>
      </c>
      <c r="M531" s="646"/>
      <c r="N531" s="646"/>
      <c r="O531" s="646"/>
      <c r="P531" s="646"/>
      <c r="Q531" s="645"/>
      <c r="R531" s="646"/>
      <c r="S531" s="646"/>
      <c r="T531" s="646">
        <v>1</v>
      </c>
      <c r="U531" s="646"/>
      <c r="V531" s="646"/>
      <c r="W531" s="646">
        <v>1</v>
      </c>
      <c r="X531" s="646"/>
      <c r="Y531" s="646"/>
      <c r="Z531" s="646"/>
      <c r="AA531" s="646"/>
      <c r="AB531" s="646"/>
      <c r="AC531" s="646"/>
      <c r="AD531" s="646"/>
      <c r="AE531" s="646"/>
      <c r="AF531" s="646"/>
      <c r="AG531" s="646"/>
      <c r="AH531" s="646"/>
      <c r="AI531" s="646"/>
      <c r="AJ531" s="646"/>
      <c r="AK531" s="646"/>
      <c r="AL531" s="646"/>
      <c r="AM531" s="646"/>
      <c r="AN531" s="646"/>
      <c r="AO531" s="652"/>
      <c r="AP531" s="646">
        <v>15</v>
      </c>
      <c r="AQ531" s="646"/>
      <c r="AR531" s="648"/>
      <c r="AS531" s="646"/>
      <c r="AT531" s="646"/>
      <c r="AU531" s="646"/>
      <c r="AV531" s="646"/>
      <c r="AW531" s="646"/>
      <c r="AX531" s="643" t="s">
        <v>43</v>
      </c>
      <c r="AY531" s="652" t="s">
        <v>145</v>
      </c>
      <c r="AZ531" s="646"/>
      <c r="BA531" s="646"/>
      <c r="BB531" s="646"/>
      <c r="BC531" s="643"/>
      <c r="BD531" s="646"/>
      <c r="BE531" s="646"/>
      <c r="BF531" s="646">
        <v>0</v>
      </c>
      <c r="BG531" s="646">
        <v>2</v>
      </c>
      <c r="BH531" s="646"/>
      <c r="BI531" s="646"/>
      <c r="BJ531" s="646">
        <v>2</v>
      </c>
      <c r="BK531" s="646"/>
      <c r="BL531" s="646"/>
      <c r="BM531" s="643"/>
      <c r="BN531" s="647"/>
      <c r="BO531" s="648"/>
      <c r="BP531" s="643"/>
      <c r="BQ531" s="649" t="str">
        <f>IFERROR(WWWW[[#This Row],['#_Water sources treated]]/WWWW[[#This Row],['#_Water sources tested for contamination]],"no test")</f>
        <v>no test</v>
      </c>
      <c r="BR531" s="648" t="str">
        <f>IFERROR(WWWW[[#This Row],['#_Household received remediation action due to contamination]]/WWWW[[#This Row],['#_Household water samples tested for contamination]],"no test")</f>
        <v>no test</v>
      </c>
      <c r="BS531" s="647" t="str">
        <f>IF(AND(WWWW[[#This Row],[% of water sources treated]]="no test",WWWW[[#This Row],[% Household received corrective actions]]="no test"),"No Test","Tested")</f>
        <v>No Test</v>
      </c>
      <c r="BT531" s="647">
        <f>WWWW[[#This Row],['#_Constructed/existing protected hand dug well]]-WWWW[[#This Row],['#_Non-functional protected hand dug well]]</f>
        <v>1</v>
      </c>
      <c r="BU531" s="647">
        <f>(WWWW[[#This Row],['#_Constructed/Existing tube wells/boreholes/handpumps_WASH_agency]]+WWWW[[#This Row],['#_Non-Cluster partner water tube-wells/boreholes/handpumps]])-WWWW[[#This Row],['#_Non-functional tube wells/boreholes/handpumps]]</f>
        <v>1</v>
      </c>
      <c r="BV531" s="647">
        <f>WWWW[[#This Row],['#_Constructed/Existingwater storage tank with gravity fed reticulation system]]-WWWW[[#This Row],['#_Non-functional storage tank gravity fed reticulation system]]</f>
        <v>0</v>
      </c>
      <c r="BW531" s="647">
        <f>WWWW[[#This Row],['#_Water boating or water trucking]]</f>
        <v>0</v>
      </c>
      <c r="BX531" s="647">
        <f>WWWW[[#This Row],['#_Constructed/Existing water distribution system from river or natural spring]]</f>
        <v>0</v>
      </c>
      <c r="BY531"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531"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531" s="648">
        <f>IF(WWWW[[#This Row],[Location Type 1]]="Village",WWWW[[#This Row],[Access to safe drinking water for Village]],WWWW[[#This Row],[Access to safe drinking water for Camp]])</f>
        <v>1</v>
      </c>
      <c r="CB531" s="645">
        <f>WWWW[[#This Row],[%Equitable and continuous access to sufficient quantity of safe drinking water]]*WWWW[[#This Row],[Total PoP ]]</f>
        <v>209</v>
      </c>
      <c r="CC531" s="648">
        <f>IF((WWWW[[#This Row],['#_Constructed/Existing protected/fenced ponds]]*250)/WWWW[[#This Row],[Total PoP ]]&gt;1,1,(WWWW[[#This Row],['#_Constructed/Existing protected/fenced ponds]]*250)/WWWW[[#This Row],[Total PoP ]])</f>
        <v>0</v>
      </c>
      <c r="CD531" s="645">
        <f>WWWW[[#This Row],[% Access to unimproved water points]]*WWWW[[#This Row],[Total PoP ]]</f>
        <v>0</v>
      </c>
      <c r="CE531"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31"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209</v>
      </c>
      <c r="CG531" s="645">
        <f>WWWW[[#This Row],[HRP1]]/500</f>
        <v>0.41799999999999998</v>
      </c>
      <c r="CH531" s="650">
        <f>1-WWWW[[#This Row],[% Equitable and continuous access to sufficient quantity of domestic water]]</f>
        <v>0</v>
      </c>
      <c r="CI531" s="645">
        <f>WWWW[[#This Row],[%equitable and continuous access to sufficient quantity of safe drinking and domestic water''s GAP]]*WWWW[[#This Row],[Total PoP ]]</f>
        <v>0</v>
      </c>
      <c r="CJ531" s="647">
        <f>IF(WWWW[[#This Row],[Total required water points]]-WWWW[[#This Row],['#Water points coverage]]&lt;0,0,WWWW[[#This Row],[Total required water points]]-WWWW[[#This Row],['#Water points coverage]])</f>
        <v>0.58200000000000007</v>
      </c>
      <c r="CK531" s="647">
        <f>ROUND(IF(WWWW[[#This Row],[Total PoP ]]&lt;500,1,WWWW[[#This Row],[Total PoP ]]/500),0)</f>
        <v>1</v>
      </c>
      <c r="CL531" s="647">
        <f>(WWWW[[#This Row],['#_Constructed latrines_by_WASHAgencies]]+WWWW[[#This Row],['#_Non Cluster partner latrines]])-WWWW[[#This Row],['#_Non-functional latrines]]</f>
        <v>15</v>
      </c>
      <c r="CM531"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531"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209</v>
      </c>
      <c r="CO531"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31" s="647">
        <f>IF(WWWW[[#This Row],[Location Type 1]]="Village","NA",IF(WWWW[[#This Row],['#_Constructed/Existing latrines in TLS]]*50&gt;WWWW[[#This Row],['#_students at TLS_CFS]],WWWW[[#This Row],['#_students at TLS_CFS]],(WWWW[[#This Row],['#_Constructed/Existing latrines in TLS]]*50)))</f>
        <v>0</v>
      </c>
      <c r="CQ531" s="647">
        <f>ROUND(IF(WWWW[[#This Row],[Location Type 1]]="camp",WWWW[[#This Row],[Total PoP ]]/20,IF(WWWW[[#This Row],[Location Type 1]]="Temporary Location",WWWW[[#This Row],[Total PoP ]]/50,(WWWW[[#This Row],[Total PoP ]]/6))),0)</f>
        <v>10</v>
      </c>
      <c r="CR531" s="647">
        <f>IF(WWWW[[#This Row],[Total required Latrines]]-(WWWW[[#This Row],['#_Constructed latrines_by_WASHAgencies]]+WWWW[[#This Row],['#_Non Cluster partner latrines]])&lt;0,0,WWWW[[#This Row],[Total required Latrines]]-(WWWW[[#This Row],['#_Constructed latrines_by_WASHAgencies]]+WWWW[[#This Row],['#_Non Cluster partner latrines]]))</f>
        <v>0</v>
      </c>
      <c r="CS531" s="79">
        <f>1-WWWW[[#This Row],[% people access to functioning Latrine]]</f>
        <v>0</v>
      </c>
      <c r="CT531" s="649">
        <f>IF(OR(WWWW[[#This Row],['#_Non-functional latrines]]="",WWWW[[#This Row],['#_Non-functional latrines]]=0),0,WWWW[[#This Row],['#_Non-functional latrines]]/(WWWW[[#This Row],['#_Constructed latrines_by_WASHAgencies]]+WWWW[[#This Row],['#_Non Cluster partner latrines]]))</f>
        <v>0</v>
      </c>
      <c r="CU531" s="645">
        <f>IF(500*(WWWW[[#This Row],['#_male hygiene promoters]]+WWWW[[#This Row],['#_female hygiene promoters]])&gt;WWWW[[#This Row],[Total PoP ]],WWWW[[#This Row],[Total PoP ]],500*(WWWW[[#This Row],['#_male hygiene promoters]]+WWWW[[#This Row],['#_female hygiene promoters]]))</f>
        <v>209</v>
      </c>
      <c r="CV531"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31"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31" s="647">
        <f>IF(WWWW[[#This Row],['# People with access to soap]]&gt;WWWW[[#This Row],['# People with access to Sanity Pads]],WWWW[[#This Row],['# People with access to soap]],WWWW[[#This Row],['# People with access to Sanity Pads]])</f>
        <v>0</v>
      </c>
      <c r="CY531" s="647">
        <f>IF(WWWW[[#This Row],['# people reached by regular dedicated hygiene promotion_5]]&gt;WWWW[[#This Row],['# People received regular supply of hygiene items_6]],WWWW[[#This Row],['# people reached by regular dedicated hygiene promotion_5]],WWWW[[#This Row],['# People received regular supply of hygiene items_6]])</f>
        <v>209</v>
      </c>
      <c r="CZ531" s="650">
        <f>IF(WWWW[[#This Row],[HRP3]]/WWWW[[#This Row],[Total PoP ]]&gt;100%,100%,WWWW[[#This Row],[HRP3]]/WWWW[[#This Row],[Total PoP ]])</f>
        <v>1</v>
      </c>
      <c r="DA531" s="649">
        <f>1-WWWW[[#This Row],[Hygiene Coverage%]]</f>
        <v>0</v>
      </c>
      <c r="DB531" s="648">
        <f>WWWW[[#This Row],['# people reached by regular dedicated hygiene promotion_5]]/WWWW[[#This Row],[Total PoP ]]</f>
        <v>1</v>
      </c>
      <c r="DC531" s="648">
        <f>IF(WWWW[[#This Row],['#_households that received standard amount of soap for this quarter]]/WWWW[[#This Row],[Total HH]]&gt;1,1,WWWW[[#This Row],['#_households that received standard amount of soap for this quarter]]/WWWW[[#This Row],[Total HH]])</f>
        <v>0</v>
      </c>
      <c r="DD531" s="648">
        <f>IF(WWWW[[#This Row],['#_households that received standard amount of sanitary pads for this quarter]]/WWWW[[#This Row],[Total HH]]&gt;1,1,WWWW[[#This Row],['#_households that received standard amount of sanitary pads for this quarter]]/WWWW[[#This Row],[Total HH]])</f>
        <v>0</v>
      </c>
      <c r="DE531" s="647">
        <f>WWWW[[#This Row],['#_Constructed/Existing hand washing stations]]-WWWW[[#This Row],['#_Non-Functional_hand_washing_stations]]</f>
        <v>0</v>
      </c>
      <c r="DF531" s="667">
        <f>IF(WWWW[[#This Row],['# Functional hand washing stations during reporting period]]*20&gt;WWWW[[#This Row],[Total HH]],WWWW[[#This Row],[Total HH]],WWWW[[#This Row],['# Functional hand washing stations during reporting period]]*20)</f>
        <v>0</v>
      </c>
      <c r="DG531" s="645">
        <f>IF(WWWW[[#This Row],[Is sufficient soap available for TLS? (Yes/No)]]="yes",WWWW[[#This Row],['#_Constructed/Existing hand washing stations at TLS]],0)</f>
        <v>0</v>
      </c>
      <c r="DH531" s="645">
        <f>IF(WWWW[[#This Row],['# Functional hand washing stations during reporting period]]*100&gt;WWWW[[#This Row],[Total PoP ]],WWWW[[#This Row],[Total PoP ]],WWWW[[#This Row],['# Functional hand washing stations during reporting period]]*100)</f>
        <v>0</v>
      </c>
      <c r="DI531" s="645" t="str">
        <f>IF(WWWW[[#This Row],['#_students at TLS_CFS]]="","No","Yes")</f>
        <v>No</v>
      </c>
      <c r="DJ531" s="643" t="str">
        <f>VLOOKUP(WWWW[[#This Row],[Site Name]],SiteDB6[[Site Name]:[CCCM Management]],6,FALSE)</f>
        <v>Yes</v>
      </c>
      <c r="DK531" s="643" t="str">
        <f>VLOOKUP(WWWW[[#This Row],[Site Name]],SiteDB6[[Site Name]:[CCCM Focal Agency]],7,FALSE)</f>
        <v>KMSS-LSO</v>
      </c>
      <c r="DL531" s="643" t="str">
        <f>VLOOKUP(WWWW[[#This Row],[Site Name]],SiteDB6[[Site Name]:[Location Type 1]],9,FALSE)</f>
        <v>Camp</v>
      </c>
      <c r="DM531" s="643" t="str">
        <f>VLOOKUP(WWWW[[#This Row],[Site Name]],SiteDB6[[Site Name]:[Type of Accommodation]],10,FALSE)</f>
        <v>Camp</v>
      </c>
      <c r="DN531" s="643" t="str">
        <f>VLOOKUP(WWWW[[#This Row],[Site Name]],SiteDB6[[Site Name]:[Ethnic or GCA/NGCA]],11,FALSE)</f>
        <v>GCA</v>
      </c>
      <c r="DO531" s="643">
        <f>VLOOKUP(WWWW[[#This Row],[Site Name]],SiteDB6[[Site Name]:[Lat]],12,FALSE)</f>
        <v>23.828150000000001</v>
      </c>
      <c r="DP531" s="643">
        <f>VLOOKUP(WWWW[[#This Row],[Site Name]],SiteDB6[[Site Name]:[Long]],13,FALSE)</f>
        <v>97.670360000000002</v>
      </c>
      <c r="DQ531" s="643" t="str">
        <f>VLOOKUP(WWWW[[#This Row],[Site Name]],SiteDB6[[Site Name]:[Pcode]],3,FALSE)</f>
        <v>MMR015CMP003</v>
      </c>
      <c r="DR531" s="652" t="str">
        <f t="shared" si="18"/>
        <v>Covered</v>
      </c>
      <c r="DS531" s="652"/>
    </row>
    <row r="532" spans="1:123">
      <c r="A532" s="637" t="s">
        <v>2525</v>
      </c>
      <c r="B532" s="644" t="s">
        <v>1957</v>
      </c>
      <c r="C532" s="644" t="s">
        <v>1957</v>
      </c>
      <c r="D532" s="701" t="s">
        <v>2977</v>
      </c>
      <c r="E532" s="663" t="s">
        <v>716</v>
      </c>
      <c r="F532" s="644" t="s">
        <v>720</v>
      </c>
      <c r="G532" s="663" t="str">
        <f>VLOOKUP(WWWW[[#This Row],[Site Name]],SiteDB6[[Site Name]:[Location Type]],8,FALSE)</f>
        <v>Camp</v>
      </c>
      <c r="H532" s="644" t="s">
        <v>732</v>
      </c>
      <c r="I532" s="646">
        <v>57</v>
      </c>
      <c r="J532" s="646">
        <v>266</v>
      </c>
      <c r="K532" s="710" t="s">
        <v>2978</v>
      </c>
      <c r="L532" s="58" t="s">
        <v>2979</v>
      </c>
      <c r="M532" s="646">
        <v>139</v>
      </c>
      <c r="N532" s="646"/>
      <c r="O532" s="646"/>
      <c r="P532" s="646"/>
      <c r="Q532" s="645" t="s">
        <v>43</v>
      </c>
      <c r="R532" s="646">
        <v>5</v>
      </c>
      <c r="S532" s="646">
        <v>4</v>
      </c>
      <c r="T532" s="646"/>
      <c r="U532" s="646"/>
      <c r="V532" s="646"/>
      <c r="W532" s="646"/>
      <c r="X532" s="646"/>
      <c r="Y532" s="646"/>
      <c r="Z532" s="646"/>
      <c r="AA532" s="646">
        <v>16</v>
      </c>
      <c r="AB532" s="646"/>
      <c r="AC532" s="646"/>
      <c r="AD532" s="646"/>
      <c r="AE532" s="646"/>
      <c r="AF532" s="646"/>
      <c r="AG532" s="646">
        <v>1</v>
      </c>
      <c r="AH532" s="646"/>
      <c r="AI532" s="646">
        <v>1</v>
      </c>
      <c r="AJ532" s="646"/>
      <c r="AK532" s="646">
        <v>15</v>
      </c>
      <c r="AL532" s="646"/>
      <c r="AM532" s="646"/>
      <c r="AN532" s="646"/>
      <c r="AO532" s="652"/>
      <c r="AP532" s="646">
        <v>15</v>
      </c>
      <c r="AQ532" s="646"/>
      <c r="AR532" s="648"/>
      <c r="AS532" s="646">
        <v>4</v>
      </c>
      <c r="AT532" s="646">
        <v>4</v>
      </c>
      <c r="AU532" s="646">
        <v>6</v>
      </c>
      <c r="AV532" s="646"/>
      <c r="AW532" s="646"/>
      <c r="AX532" s="643" t="s">
        <v>43</v>
      </c>
      <c r="AY532" s="652" t="s">
        <v>145</v>
      </c>
      <c r="AZ532" s="646"/>
      <c r="BA532" s="646"/>
      <c r="BB532" s="646"/>
      <c r="BC532" s="643"/>
      <c r="BD532" s="646">
        <v>4</v>
      </c>
      <c r="BE532" s="646">
        <v>3</v>
      </c>
      <c r="BF532" s="646"/>
      <c r="BG532" s="646">
        <v>1</v>
      </c>
      <c r="BH532" s="646"/>
      <c r="BI532" s="646"/>
      <c r="BJ532" s="646">
        <v>1</v>
      </c>
      <c r="BK532" s="646">
        <v>57</v>
      </c>
      <c r="BL532" s="646">
        <v>0</v>
      </c>
      <c r="BM532" s="643"/>
      <c r="BN532" s="647"/>
      <c r="BO532" s="648">
        <v>0.5</v>
      </c>
      <c r="BP532" s="643"/>
      <c r="BQ532" s="649">
        <f>IFERROR(WWWW[[#This Row],['#_Water sources treated]]/WWWW[[#This Row],['#_Water sources tested for contamination]],"no test")</f>
        <v>0</v>
      </c>
      <c r="BR532" s="648">
        <f>IFERROR(WWWW[[#This Row],['#_Household received remediation action due to contamination]]/WWWW[[#This Row],['#_Household water samples tested for contamination]],"no test")</f>
        <v>0</v>
      </c>
      <c r="BS532" s="647" t="str">
        <f>IF(AND(WWWW[[#This Row],[% of water sources treated]]="no test",WWWW[[#This Row],[% Household received corrective actions]]="no test"),"No Test","Tested")</f>
        <v>Tested</v>
      </c>
      <c r="BT532" s="647">
        <f>WWWW[[#This Row],['#_Constructed/existing protected hand dug well]]-WWWW[[#This Row],['#_Non-functional protected hand dug well]]</f>
        <v>0</v>
      </c>
      <c r="BU532" s="647">
        <f>(WWWW[[#This Row],['#_Constructed/Existing tube wells/boreholes/handpumps_WASH_agency]]+WWWW[[#This Row],['#_Non-Cluster partner water tube-wells/boreholes/handpumps]])-WWWW[[#This Row],['#_Non-functional tube wells/boreholes/handpumps]]</f>
        <v>0</v>
      </c>
      <c r="BV532" s="647">
        <f>WWWW[[#This Row],['#_Constructed/Existingwater storage tank with gravity fed reticulation system]]-WWWW[[#This Row],['#_Non-functional storage tank gravity fed reticulation system]]</f>
        <v>16</v>
      </c>
      <c r="BW532" s="647">
        <f>WWWW[[#This Row],['#_Water boating or water trucking]]</f>
        <v>0</v>
      </c>
      <c r="BX532" s="647">
        <f>WWWW[[#This Row],['#_Constructed/Existing water distribution system from river or natural spring]]</f>
        <v>0</v>
      </c>
      <c r="BY532"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532"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532" s="648">
        <f>IF(WWWW[[#This Row],[Location Type 1]]="Village",WWWW[[#This Row],[Access to safe drinking water for Village]],WWWW[[#This Row],[Access to safe drinking water for Camp]])</f>
        <v>1</v>
      </c>
      <c r="CB532" s="645">
        <f>WWWW[[#This Row],[%Equitable and continuous access to sufficient quantity of safe drinking water]]*WWWW[[#This Row],[Total PoP ]]</f>
        <v>266</v>
      </c>
      <c r="CC532" s="648">
        <f>IF((WWWW[[#This Row],['#_Constructed/Existing protected/fenced ponds]]*250)/WWWW[[#This Row],[Total PoP ]]&gt;1,1,(WWWW[[#This Row],['#_Constructed/Existing protected/fenced ponds]]*250)/WWWW[[#This Row],[Total PoP ]])</f>
        <v>0</v>
      </c>
      <c r="CD532" s="645">
        <f>WWWW[[#This Row],[% Access to unimproved water points]]*WWWW[[#This Row],[Total PoP ]]</f>
        <v>0</v>
      </c>
      <c r="CE532"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32"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266</v>
      </c>
      <c r="CG532" s="645">
        <f>WWWW[[#This Row],[HRP1]]/500</f>
        <v>0.53200000000000003</v>
      </c>
      <c r="CH532" s="650">
        <f>1-WWWW[[#This Row],[% Equitable and continuous access to sufficient quantity of domestic water]]</f>
        <v>0</v>
      </c>
      <c r="CI532" s="645">
        <f>WWWW[[#This Row],[%equitable and continuous access to sufficient quantity of safe drinking and domestic water''s GAP]]*WWWW[[#This Row],[Total PoP ]]</f>
        <v>0</v>
      </c>
      <c r="CJ532" s="647">
        <f>IF(WWWW[[#This Row],[Total required water points]]-WWWW[[#This Row],['#Water points coverage]]&lt;0,0,WWWW[[#This Row],[Total required water points]]-WWWW[[#This Row],['#Water points coverage]])</f>
        <v>0.46799999999999997</v>
      </c>
      <c r="CK532" s="647">
        <f>ROUND(IF(WWWW[[#This Row],[Total PoP ]]&lt;500,1,WWWW[[#This Row],[Total PoP ]]/500),0)</f>
        <v>1</v>
      </c>
      <c r="CL532" s="647">
        <f>(WWWW[[#This Row],['#_Constructed latrines_by_WASHAgencies]]+WWWW[[#This Row],['#_Non Cluster partner latrines]])-WWWW[[#This Row],['#_Non-functional latrines]]</f>
        <v>11</v>
      </c>
      <c r="CM532"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0.82706766917293228</v>
      </c>
      <c r="CN532"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220</v>
      </c>
      <c r="CO532"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120</v>
      </c>
      <c r="CP532" s="647">
        <f>IF(WWWW[[#This Row],[Location Type 1]]="Village","NA",IF(WWWW[[#This Row],['#_Constructed/Existing latrines in TLS]]*50&gt;WWWW[[#This Row],['#_students at TLS_CFS]],WWWW[[#This Row],['#_students at TLS_CFS]],(WWWW[[#This Row],['#_Constructed/Existing latrines in TLS]]*50)))</f>
        <v>0</v>
      </c>
      <c r="CQ532" s="647">
        <f>ROUND(IF(WWWW[[#This Row],[Location Type 1]]="camp",WWWW[[#This Row],[Total PoP ]]/20,IF(WWWW[[#This Row],[Location Type 1]]="Temporary Location",WWWW[[#This Row],[Total PoP ]]/50,(WWWW[[#This Row],[Total PoP ]]/6))),0)</f>
        <v>13</v>
      </c>
      <c r="CR532" s="647">
        <f>IF(WWWW[[#This Row],[Total required Latrines]]-(WWWW[[#This Row],['#_Constructed latrines_by_WASHAgencies]]+WWWW[[#This Row],['#_Non Cluster partner latrines]])&lt;0,0,WWWW[[#This Row],[Total required Latrines]]-(WWWW[[#This Row],['#_Constructed latrines_by_WASHAgencies]]+WWWW[[#This Row],['#_Non Cluster partner latrines]]))</f>
        <v>0</v>
      </c>
      <c r="CS532" s="79">
        <f>1-WWWW[[#This Row],[% people access to functioning Latrine]]</f>
        <v>0.17293233082706772</v>
      </c>
      <c r="CT532" s="649">
        <f>IF(OR(WWWW[[#This Row],['#_Non-functional latrines]]="",WWWW[[#This Row],['#_Non-functional latrines]]=0),0,WWWW[[#This Row],['#_Non-functional latrines]]/(WWWW[[#This Row],['#_Constructed latrines_by_WASHAgencies]]+WWWW[[#This Row],['#_Non Cluster partner latrines]]))</f>
        <v>0.26666666666666666</v>
      </c>
      <c r="CU532" s="645">
        <f>IF(500*(WWWW[[#This Row],['#_male hygiene promoters]]+WWWW[[#This Row],['#_female hygiene promoters]])&gt;WWWW[[#This Row],[Total PoP ]],WWWW[[#This Row],[Total PoP ]],500*(WWWW[[#This Row],['#_male hygiene promoters]]+WWWW[[#This Row],['#_female hygiene promoters]]))</f>
        <v>266</v>
      </c>
      <c r="CV532"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266</v>
      </c>
      <c r="CW532"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32" s="647">
        <f>IF(WWWW[[#This Row],['# People with access to soap]]&gt;WWWW[[#This Row],['# People with access to Sanity Pads]],WWWW[[#This Row],['# People with access to soap]],WWWW[[#This Row],['# People with access to Sanity Pads]])</f>
        <v>266</v>
      </c>
      <c r="CY532" s="647">
        <f>IF(WWWW[[#This Row],['# people reached by regular dedicated hygiene promotion_5]]&gt;WWWW[[#This Row],['# People received regular supply of hygiene items_6]],WWWW[[#This Row],['# people reached by regular dedicated hygiene promotion_5]],WWWW[[#This Row],['# People received regular supply of hygiene items_6]])</f>
        <v>266</v>
      </c>
      <c r="CZ532" s="650">
        <f>IF(WWWW[[#This Row],[HRP3]]/WWWW[[#This Row],[Total PoP ]]&gt;100%,100%,WWWW[[#This Row],[HRP3]]/WWWW[[#This Row],[Total PoP ]])</f>
        <v>1</v>
      </c>
      <c r="DA532" s="649">
        <f>1-WWWW[[#This Row],[Hygiene Coverage%]]</f>
        <v>0</v>
      </c>
      <c r="DB532" s="648">
        <f>WWWW[[#This Row],['# people reached by regular dedicated hygiene promotion_5]]/WWWW[[#This Row],[Total PoP ]]</f>
        <v>1</v>
      </c>
      <c r="DC532" s="648">
        <f>IF(WWWW[[#This Row],['#_households that received standard amount of soap for this quarter]]/WWWW[[#This Row],[Total HH]]&gt;1,1,WWWW[[#This Row],['#_households that received standard amount of soap for this quarter]]/WWWW[[#This Row],[Total HH]])</f>
        <v>1</v>
      </c>
      <c r="DD532" s="648">
        <f>IF(WWWW[[#This Row],['#_households that received standard amount of sanitary pads for this quarter]]/WWWW[[#This Row],[Total HH]]&gt;1,1,WWWW[[#This Row],['#_households that received standard amount of sanitary pads for this quarter]]/WWWW[[#This Row],[Total HH]])</f>
        <v>0</v>
      </c>
      <c r="DE532" s="647">
        <f>WWWW[[#This Row],['#_Constructed/Existing hand washing stations]]-WWWW[[#This Row],['#_Non-Functional_hand_washing_stations]]</f>
        <v>1</v>
      </c>
      <c r="DF532" s="667">
        <f>IF(WWWW[[#This Row],['# Functional hand washing stations during reporting period]]*20&gt;WWWW[[#This Row],[Total HH]],WWWW[[#This Row],[Total HH]],WWWW[[#This Row],['# Functional hand washing stations during reporting period]]*20)</f>
        <v>20</v>
      </c>
      <c r="DG532" s="645">
        <f>IF(WWWW[[#This Row],[Is sufficient soap available for TLS? (Yes/No)]]="yes",WWWW[[#This Row],['#_Constructed/Existing hand washing stations at TLS]],0)</f>
        <v>0</v>
      </c>
      <c r="DH532" s="645">
        <f>IF(WWWW[[#This Row],['# Functional hand washing stations during reporting period]]*100&gt;WWWW[[#This Row],[Total PoP ]],WWWW[[#This Row],[Total PoP ]],WWWW[[#This Row],['# Functional hand washing stations during reporting period]]*100)</f>
        <v>100</v>
      </c>
      <c r="DI532" s="645" t="str">
        <f>IF(WWWW[[#This Row],['#_students at TLS_CFS]]="","No","Yes")</f>
        <v>Yes</v>
      </c>
      <c r="DJ532" s="643" t="str">
        <f>VLOOKUP(WWWW[[#This Row],[Site Name]],SiteDB6[[Site Name]:[CCCM Management]],6,FALSE)</f>
        <v>Yes</v>
      </c>
      <c r="DK532" s="643" t="str">
        <f>VLOOKUP(WWWW[[#This Row],[Site Name]],SiteDB6[[Site Name]:[CCCM Focal Agency]],7,FALSE)</f>
        <v>KBC-NSS</v>
      </c>
      <c r="DL532" s="643" t="str">
        <f>VLOOKUP(WWWW[[#This Row],[Site Name]],SiteDB6[[Site Name]:[Location Type 1]],9,FALSE)</f>
        <v>Camp</v>
      </c>
      <c r="DM532" s="643" t="str">
        <f>VLOOKUP(WWWW[[#This Row],[Site Name]],SiteDB6[[Site Name]:[Type of Accommodation]],10,FALSE)</f>
        <v>Camp</v>
      </c>
      <c r="DN532" s="643" t="str">
        <f>VLOOKUP(WWWW[[#This Row],[Site Name]],SiteDB6[[Site Name]:[Ethnic or GCA/NGCA]],11,FALSE)</f>
        <v>GCA</v>
      </c>
      <c r="DO532" s="643">
        <f>VLOOKUP(WWWW[[#This Row],[Site Name]],SiteDB6[[Site Name]:[Lat]],12,FALSE)</f>
        <v>23.694130000000001</v>
      </c>
      <c r="DP532" s="643">
        <f>VLOOKUP(WWWW[[#This Row],[Site Name]],SiteDB6[[Site Name]:[Long]],13,FALSE)</f>
        <v>97.818979999999996</v>
      </c>
      <c r="DQ532" s="643" t="str">
        <f>VLOOKUP(WWWW[[#This Row],[Site Name]],SiteDB6[[Site Name]:[Pcode]],3,FALSE)</f>
        <v>MMR015CMP007</v>
      </c>
      <c r="DR532" s="652" t="str">
        <f t="shared" si="18"/>
        <v>Covered</v>
      </c>
      <c r="DS532" s="652"/>
    </row>
    <row r="533" spans="1:123">
      <c r="A533" s="637" t="s">
        <v>2525</v>
      </c>
      <c r="B533" s="644" t="s">
        <v>1957</v>
      </c>
      <c r="C533" s="644" t="s">
        <v>1957</v>
      </c>
      <c r="D533" s="701" t="s">
        <v>2977</v>
      </c>
      <c r="E533" s="663" t="s">
        <v>716</v>
      </c>
      <c r="F533" s="644" t="s">
        <v>720</v>
      </c>
      <c r="G533" s="663" t="str">
        <f>VLOOKUP(WWWW[[#This Row],[Site Name]],SiteDB6[[Site Name]:[Location Type]],8,FALSE)</f>
        <v>Camp</v>
      </c>
      <c r="H533" s="644" t="s">
        <v>2204</v>
      </c>
      <c r="I533" s="646">
        <v>36</v>
      </c>
      <c r="J533" s="646">
        <v>121</v>
      </c>
      <c r="K533" s="710" t="s">
        <v>2978</v>
      </c>
      <c r="L533" s="58" t="s">
        <v>2979</v>
      </c>
      <c r="M533" s="646">
        <v>37</v>
      </c>
      <c r="N533" s="646"/>
      <c r="O533" s="646"/>
      <c r="P533" s="646"/>
      <c r="Q533" s="645" t="s">
        <v>43</v>
      </c>
      <c r="R533" s="646">
        <v>5</v>
      </c>
      <c r="S533" s="646">
        <v>4</v>
      </c>
      <c r="T533" s="646"/>
      <c r="U533" s="646"/>
      <c r="V533" s="646"/>
      <c r="W533" s="646">
        <v>1</v>
      </c>
      <c r="X533" s="646">
        <v>1</v>
      </c>
      <c r="Y533" s="646"/>
      <c r="Z533" s="646"/>
      <c r="AA533" s="646"/>
      <c r="AB533" s="646"/>
      <c r="AC533" s="646"/>
      <c r="AD533" s="646"/>
      <c r="AE533" s="646"/>
      <c r="AF533" s="646"/>
      <c r="AG533" s="646">
        <v>1</v>
      </c>
      <c r="AH533" s="646"/>
      <c r="AI533" s="646">
        <v>1</v>
      </c>
      <c r="AJ533" s="646"/>
      <c r="AK533" s="646">
        <v>15</v>
      </c>
      <c r="AL533" s="646"/>
      <c r="AM533" s="646"/>
      <c r="AN533" s="646"/>
      <c r="AO533" s="652"/>
      <c r="AP533" s="646">
        <v>10</v>
      </c>
      <c r="AQ533" s="646"/>
      <c r="AR533" s="648"/>
      <c r="AS533" s="646">
        <v>4</v>
      </c>
      <c r="AT533" s="646">
        <v>4</v>
      </c>
      <c r="AU533" s="646">
        <v>4</v>
      </c>
      <c r="AV533" s="646"/>
      <c r="AW533" s="646"/>
      <c r="AX533" s="643" t="s">
        <v>43</v>
      </c>
      <c r="AY533" s="652" t="s">
        <v>144</v>
      </c>
      <c r="AZ533" s="646"/>
      <c r="BA533" s="646"/>
      <c r="BB533" s="646"/>
      <c r="BC533" s="643"/>
      <c r="BD533" s="646">
        <v>4</v>
      </c>
      <c r="BE533" s="646">
        <v>2</v>
      </c>
      <c r="BF533" s="646"/>
      <c r="BG533" s="646">
        <v>0</v>
      </c>
      <c r="BH533" s="646"/>
      <c r="BI533" s="646"/>
      <c r="BJ533" s="646">
        <v>1</v>
      </c>
      <c r="BK533" s="646">
        <v>36</v>
      </c>
      <c r="BL533" s="646">
        <v>0</v>
      </c>
      <c r="BM533" s="643"/>
      <c r="BN533" s="647"/>
      <c r="BO533" s="648">
        <v>0.5</v>
      </c>
      <c r="BP533" s="643"/>
      <c r="BQ533" s="649">
        <f>IFERROR(WWWW[[#This Row],['#_Water sources treated]]/WWWW[[#This Row],['#_Water sources tested for contamination]],"no test")</f>
        <v>0</v>
      </c>
      <c r="BR533" s="648">
        <f>IFERROR(WWWW[[#This Row],['#_Household received remediation action due to contamination]]/WWWW[[#This Row],['#_Household water samples tested for contamination]],"no test")</f>
        <v>0</v>
      </c>
      <c r="BS533" s="647" t="str">
        <f>IF(AND(WWWW[[#This Row],[% of water sources treated]]="no test",WWWW[[#This Row],[% Household received corrective actions]]="no test"),"No Test","Tested")</f>
        <v>Tested</v>
      </c>
      <c r="BT533" s="647">
        <f>WWWW[[#This Row],['#_Constructed/existing protected hand dug well]]-WWWW[[#This Row],['#_Non-functional protected hand dug well]]</f>
        <v>0</v>
      </c>
      <c r="BU533" s="647">
        <f>(WWWW[[#This Row],['#_Constructed/Existing tube wells/boreholes/handpumps_WASH_agency]]+WWWW[[#This Row],['#_Non-Cluster partner water tube-wells/boreholes/handpumps]])-WWWW[[#This Row],['#_Non-functional tube wells/boreholes/handpumps]]</f>
        <v>2</v>
      </c>
      <c r="BV533" s="647">
        <f>WWWW[[#This Row],['#_Constructed/Existingwater storage tank with gravity fed reticulation system]]-WWWW[[#This Row],['#_Non-functional storage tank gravity fed reticulation system]]</f>
        <v>0</v>
      </c>
      <c r="BW533" s="647">
        <f>WWWW[[#This Row],['#_Water boating or water trucking]]</f>
        <v>0</v>
      </c>
      <c r="BX533" s="647">
        <f>WWWW[[#This Row],['#_Constructed/Existing water distribution system from river or natural spring]]</f>
        <v>0</v>
      </c>
      <c r="BY533"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533"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533" s="648">
        <f>IF(WWWW[[#This Row],[Location Type 1]]="Village",WWWW[[#This Row],[Access to safe drinking water for Village]],WWWW[[#This Row],[Access to safe drinking water for Camp]])</f>
        <v>1</v>
      </c>
      <c r="CB533" s="645">
        <f>WWWW[[#This Row],[%Equitable and continuous access to sufficient quantity of safe drinking water]]*WWWW[[#This Row],[Total PoP ]]</f>
        <v>121</v>
      </c>
      <c r="CC533" s="648">
        <f>IF((WWWW[[#This Row],['#_Constructed/Existing protected/fenced ponds]]*250)/WWWW[[#This Row],[Total PoP ]]&gt;1,1,(WWWW[[#This Row],['#_Constructed/Existing protected/fenced ponds]]*250)/WWWW[[#This Row],[Total PoP ]])</f>
        <v>0</v>
      </c>
      <c r="CD533" s="645">
        <f>WWWW[[#This Row],[% Access to unimproved water points]]*WWWW[[#This Row],[Total PoP ]]</f>
        <v>0</v>
      </c>
      <c r="CE533"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33"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121</v>
      </c>
      <c r="CG533" s="645">
        <f>WWWW[[#This Row],[HRP1]]/500</f>
        <v>0.24199999999999999</v>
      </c>
      <c r="CH533" s="650">
        <f>1-WWWW[[#This Row],[% Equitable and continuous access to sufficient quantity of domestic water]]</f>
        <v>0</v>
      </c>
      <c r="CI533" s="645">
        <f>WWWW[[#This Row],[%equitable and continuous access to sufficient quantity of safe drinking and domestic water''s GAP]]*WWWW[[#This Row],[Total PoP ]]</f>
        <v>0</v>
      </c>
      <c r="CJ533" s="647">
        <f>IF(WWWW[[#This Row],[Total required water points]]-WWWW[[#This Row],['#Water points coverage]]&lt;0,0,WWWW[[#This Row],[Total required water points]]-WWWW[[#This Row],['#Water points coverage]])</f>
        <v>0.75800000000000001</v>
      </c>
      <c r="CK533" s="647">
        <f>ROUND(IF(WWWW[[#This Row],[Total PoP ]]&lt;500,1,WWWW[[#This Row],[Total PoP ]]/500),0)</f>
        <v>1</v>
      </c>
      <c r="CL533" s="647">
        <f>(WWWW[[#This Row],['#_Constructed latrines_by_WASHAgencies]]+WWWW[[#This Row],['#_Non Cluster partner latrines]])-WWWW[[#This Row],['#_Non-functional latrines]]</f>
        <v>6</v>
      </c>
      <c r="CM533"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0.99173553719008267</v>
      </c>
      <c r="CN533"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120</v>
      </c>
      <c r="CO533"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80</v>
      </c>
      <c r="CP533" s="647">
        <f>IF(WWWW[[#This Row],[Location Type 1]]="Village","NA",IF(WWWW[[#This Row],['#_Constructed/Existing latrines in TLS]]*50&gt;WWWW[[#This Row],['#_students at TLS_CFS]],WWWW[[#This Row],['#_students at TLS_CFS]],(WWWW[[#This Row],['#_Constructed/Existing latrines in TLS]]*50)))</f>
        <v>0</v>
      </c>
      <c r="CQ533" s="647">
        <f>ROUND(IF(WWWW[[#This Row],[Location Type 1]]="camp",WWWW[[#This Row],[Total PoP ]]/20,IF(WWWW[[#This Row],[Location Type 1]]="Temporary Location",WWWW[[#This Row],[Total PoP ]]/50,(WWWW[[#This Row],[Total PoP ]]/6))),0)</f>
        <v>6</v>
      </c>
      <c r="CR533" s="647">
        <f>IF(WWWW[[#This Row],[Total required Latrines]]-(WWWW[[#This Row],['#_Constructed latrines_by_WASHAgencies]]+WWWW[[#This Row],['#_Non Cluster partner latrines]])&lt;0,0,WWWW[[#This Row],[Total required Latrines]]-(WWWW[[#This Row],['#_Constructed latrines_by_WASHAgencies]]+WWWW[[#This Row],['#_Non Cluster partner latrines]]))</f>
        <v>0</v>
      </c>
      <c r="CS533" s="79">
        <f>1-WWWW[[#This Row],[% people access to functioning Latrine]]</f>
        <v>8.2644628099173278E-3</v>
      </c>
      <c r="CT533" s="649">
        <f>IF(OR(WWWW[[#This Row],['#_Non-functional latrines]]="",WWWW[[#This Row],['#_Non-functional latrines]]=0),0,WWWW[[#This Row],['#_Non-functional latrines]]/(WWWW[[#This Row],['#_Constructed latrines_by_WASHAgencies]]+WWWW[[#This Row],['#_Non Cluster partner latrines]]))</f>
        <v>0.4</v>
      </c>
      <c r="CU533" s="645">
        <f>IF(500*(WWWW[[#This Row],['#_male hygiene promoters]]+WWWW[[#This Row],['#_female hygiene promoters]])&gt;WWWW[[#This Row],[Total PoP ]],WWWW[[#This Row],[Total PoP ]],500*(WWWW[[#This Row],['#_male hygiene promoters]]+WWWW[[#This Row],['#_female hygiene promoters]]))</f>
        <v>121</v>
      </c>
      <c r="CV533"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121</v>
      </c>
      <c r="CW533"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33" s="647">
        <f>IF(WWWW[[#This Row],['# People with access to soap]]&gt;WWWW[[#This Row],['# People with access to Sanity Pads]],WWWW[[#This Row],['# People with access to soap]],WWWW[[#This Row],['# People with access to Sanity Pads]])</f>
        <v>121</v>
      </c>
      <c r="CY533" s="647">
        <f>IF(WWWW[[#This Row],['# people reached by regular dedicated hygiene promotion_5]]&gt;WWWW[[#This Row],['# People received regular supply of hygiene items_6]],WWWW[[#This Row],['# people reached by regular dedicated hygiene promotion_5]],WWWW[[#This Row],['# People received regular supply of hygiene items_6]])</f>
        <v>121</v>
      </c>
      <c r="CZ533" s="650">
        <f>IF(WWWW[[#This Row],[HRP3]]/WWWW[[#This Row],[Total PoP ]]&gt;100%,100%,WWWW[[#This Row],[HRP3]]/WWWW[[#This Row],[Total PoP ]])</f>
        <v>1</v>
      </c>
      <c r="DA533" s="649">
        <f>1-WWWW[[#This Row],[Hygiene Coverage%]]</f>
        <v>0</v>
      </c>
      <c r="DB533" s="648">
        <f>WWWW[[#This Row],['# people reached by regular dedicated hygiene promotion_5]]/WWWW[[#This Row],[Total PoP ]]</f>
        <v>1</v>
      </c>
      <c r="DC533" s="648">
        <f>IF(WWWW[[#This Row],['#_households that received standard amount of soap for this quarter]]/WWWW[[#This Row],[Total HH]]&gt;1,1,WWWW[[#This Row],['#_households that received standard amount of soap for this quarter]]/WWWW[[#This Row],[Total HH]])</f>
        <v>1</v>
      </c>
      <c r="DD533" s="648">
        <f>IF(WWWW[[#This Row],['#_households that received standard amount of sanitary pads for this quarter]]/WWWW[[#This Row],[Total HH]]&gt;1,1,WWWW[[#This Row],['#_households that received standard amount of sanitary pads for this quarter]]/WWWW[[#This Row],[Total HH]])</f>
        <v>0</v>
      </c>
      <c r="DE533" s="647">
        <f>WWWW[[#This Row],['#_Constructed/Existing hand washing stations]]-WWWW[[#This Row],['#_Non-Functional_hand_washing_stations]]</f>
        <v>2</v>
      </c>
      <c r="DF533" s="667">
        <f>IF(WWWW[[#This Row],['# Functional hand washing stations during reporting period]]*20&gt;WWWW[[#This Row],[Total HH]],WWWW[[#This Row],[Total HH]],WWWW[[#This Row],['# Functional hand washing stations during reporting period]]*20)</f>
        <v>36</v>
      </c>
      <c r="DG533" s="645">
        <f>IF(WWWW[[#This Row],[Is sufficient soap available for TLS? (Yes/No)]]="yes",WWWW[[#This Row],['#_Constructed/Existing hand washing stations at TLS]],0)</f>
        <v>0</v>
      </c>
      <c r="DH533" s="645">
        <f>IF(WWWW[[#This Row],['# Functional hand washing stations during reporting period]]*100&gt;WWWW[[#This Row],[Total PoP ]],WWWW[[#This Row],[Total PoP ]],WWWW[[#This Row],['# Functional hand washing stations during reporting period]]*100)</f>
        <v>121</v>
      </c>
      <c r="DI533" s="645" t="str">
        <f>IF(WWWW[[#This Row],['#_students at TLS_CFS]]="","No","Yes")</f>
        <v>Yes</v>
      </c>
      <c r="DJ533" s="643" t="str">
        <f>VLOOKUP(WWWW[[#This Row],[Site Name]],SiteDB6[[Site Name]:[CCCM Management]],6,FALSE)</f>
        <v>Yes</v>
      </c>
      <c r="DK533" s="643" t="str">
        <f>VLOOKUP(WWWW[[#This Row],[Site Name]],SiteDB6[[Site Name]:[CCCM Focal Agency]],7,FALSE)</f>
        <v>KMSS-LSO</v>
      </c>
      <c r="DL533" s="643" t="str">
        <f>VLOOKUP(WWWW[[#This Row],[Site Name]],SiteDB6[[Site Name]:[Location Type 1]],9,FALSE)</f>
        <v>Camp</v>
      </c>
      <c r="DM533" s="643" t="str">
        <f>VLOOKUP(WWWW[[#This Row],[Site Name]],SiteDB6[[Site Name]:[Type of Accommodation]],10,FALSE)</f>
        <v>Camp</v>
      </c>
      <c r="DN533" s="643" t="str">
        <f>VLOOKUP(WWWW[[#This Row],[Site Name]],SiteDB6[[Site Name]:[Ethnic or GCA/NGCA]],11,FALSE)</f>
        <v>GCA</v>
      </c>
      <c r="DO533" s="643">
        <f>VLOOKUP(WWWW[[#This Row],[Site Name]],SiteDB6[[Site Name]:[Lat]],12,FALSE)</f>
        <v>23.682887999999998</v>
      </c>
      <c r="DP533" s="643">
        <f>VLOOKUP(WWWW[[#This Row],[Site Name]],SiteDB6[[Site Name]:[Long]],13,FALSE)</f>
        <v>97.810101000000003</v>
      </c>
      <c r="DQ533" s="643" t="str">
        <f>VLOOKUP(WWWW[[#This Row],[Site Name]],SiteDB6[[Site Name]:[Pcode]],3,FALSE)</f>
        <v>MMR015CMP225</v>
      </c>
      <c r="DR533" s="652" t="str">
        <f t="shared" si="18"/>
        <v>Covered</v>
      </c>
      <c r="DS533" s="652"/>
    </row>
    <row r="534" spans="1:123">
      <c r="A534" s="637" t="s">
        <v>2525</v>
      </c>
      <c r="B534" s="644" t="s">
        <v>200</v>
      </c>
      <c r="C534" s="644" t="s">
        <v>200</v>
      </c>
      <c r="D534" s="644" t="s">
        <v>2970</v>
      </c>
      <c r="E534" s="644" t="s">
        <v>716</v>
      </c>
      <c r="F534" s="644" t="s">
        <v>735</v>
      </c>
      <c r="G534" s="663" t="str">
        <f>VLOOKUP(WWWW[[#This Row],[Site Name]],SiteDB6[[Site Name]:[Location Type]],8,FALSE)</f>
        <v>Camp</v>
      </c>
      <c r="H534" s="644" t="s">
        <v>736</v>
      </c>
      <c r="I534" s="646">
        <v>36</v>
      </c>
      <c r="J534" s="646">
        <v>166</v>
      </c>
      <c r="K534" s="653" t="s">
        <v>2971</v>
      </c>
      <c r="L534" s="654" t="s">
        <v>2972</v>
      </c>
      <c r="M534" s="646">
        <v>57</v>
      </c>
      <c r="N534" s="646"/>
      <c r="O534" s="646"/>
      <c r="P534" s="646"/>
      <c r="Q534" s="645" t="s">
        <v>43</v>
      </c>
      <c r="R534" s="646"/>
      <c r="S534" s="646"/>
      <c r="T534" s="646">
        <v>3</v>
      </c>
      <c r="U534" s="646">
        <v>1</v>
      </c>
      <c r="V534" s="646"/>
      <c r="W534" s="646">
        <v>1</v>
      </c>
      <c r="X534" s="646"/>
      <c r="Y534" s="646"/>
      <c r="Z534" s="646"/>
      <c r="AA534" s="646"/>
      <c r="AB534" s="646"/>
      <c r="AC534" s="646"/>
      <c r="AD534" s="646"/>
      <c r="AE534" s="646"/>
      <c r="AF534" s="646"/>
      <c r="AG534" s="646"/>
      <c r="AH534" s="646"/>
      <c r="AI534" s="646"/>
      <c r="AJ534" s="646"/>
      <c r="AK534" s="646"/>
      <c r="AL534" s="646"/>
      <c r="AM534" s="646"/>
      <c r="AN534" s="646"/>
      <c r="AO534" s="652"/>
      <c r="AP534" s="646">
        <v>20</v>
      </c>
      <c r="AQ534" s="646"/>
      <c r="AR534" s="648"/>
      <c r="AS534" s="646">
        <v>2</v>
      </c>
      <c r="AT534" s="646"/>
      <c r="AU534" s="646"/>
      <c r="AV534" s="646"/>
      <c r="AW534" s="646"/>
      <c r="AX534" s="643" t="s">
        <v>43</v>
      </c>
      <c r="AY534" s="652" t="s">
        <v>145</v>
      </c>
      <c r="AZ534" s="646"/>
      <c r="BA534" s="646"/>
      <c r="BB534" s="646"/>
      <c r="BC534" s="643"/>
      <c r="BD534" s="646"/>
      <c r="BE534" s="646"/>
      <c r="BF534" s="646"/>
      <c r="BG534" s="646">
        <v>2</v>
      </c>
      <c r="BH534" s="646"/>
      <c r="BI534" s="646"/>
      <c r="BJ534" s="646">
        <v>1</v>
      </c>
      <c r="BK534" s="646">
        <v>0</v>
      </c>
      <c r="BL534" s="646">
        <v>0</v>
      </c>
      <c r="BM534" s="643" t="s">
        <v>144</v>
      </c>
      <c r="BN534" s="647"/>
      <c r="BO534" s="648"/>
      <c r="BP534" s="643"/>
      <c r="BQ534" s="649" t="str">
        <f>IFERROR(WWWW[[#This Row],['#_Water sources treated]]/WWWW[[#This Row],['#_Water sources tested for contamination]],"no test")</f>
        <v>no test</v>
      </c>
      <c r="BR534" s="648" t="str">
        <f>IFERROR(WWWW[[#This Row],['#_Household received remediation action due to contamination]]/WWWW[[#This Row],['#_Household water samples tested for contamination]],"no test")</f>
        <v>no test</v>
      </c>
      <c r="BS534" s="647" t="str">
        <f>IF(AND(WWWW[[#This Row],[% of water sources treated]]="no test",WWWW[[#This Row],[% Household received corrective actions]]="no test"),"No Test","Tested")</f>
        <v>No Test</v>
      </c>
      <c r="BT534" s="647">
        <f>WWWW[[#This Row],['#_Constructed/existing protected hand dug well]]-WWWW[[#This Row],['#_Non-functional protected hand dug well]]</f>
        <v>2</v>
      </c>
      <c r="BU534" s="647">
        <f>(WWWW[[#This Row],['#_Constructed/Existing tube wells/boreholes/handpumps_WASH_agency]]+WWWW[[#This Row],['#_Non-Cluster partner water tube-wells/boreholes/handpumps]])-WWWW[[#This Row],['#_Non-functional tube wells/boreholes/handpumps]]</f>
        <v>1</v>
      </c>
      <c r="BV534" s="647">
        <f>WWWW[[#This Row],['#_Constructed/Existingwater storage tank with gravity fed reticulation system]]-WWWW[[#This Row],['#_Non-functional storage tank gravity fed reticulation system]]</f>
        <v>0</v>
      </c>
      <c r="BW534" s="647">
        <f>WWWW[[#This Row],['#_Water boating or water trucking]]</f>
        <v>0</v>
      </c>
      <c r="BX534" s="647">
        <f>WWWW[[#This Row],['#_Constructed/Existing water distribution system from river or natural spring]]</f>
        <v>0</v>
      </c>
      <c r="BY534"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534"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534" s="648">
        <f>IF(WWWW[[#This Row],[Location Type 1]]="Village",WWWW[[#This Row],[Access to safe drinking water for Village]],WWWW[[#This Row],[Access to safe drinking water for Camp]])</f>
        <v>1</v>
      </c>
      <c r="CB534" s="645">
        <f>WWWW[[#This Row],[%Equitable and continuous access to sufficient quantity of safe drinking water]]*WWWW[[#This Row],[Total PoP ]]</f>
        <v>166</v>
      </c>
      <c r="CC534" s="648">
        <f>IF((WWWW[[#This Row],['#_Constructed/Existing protected/fenced ponds]]*250)/WWWW[[#This Row],[Total PoP ]]&gt;1,1,(WWWW[[#This Row],['#_Constructed/Existing protected/fenced ponds]]*250)/WWWW[[#This Row],[Total PoP ]])</f>
        <v>0</v>
      </c>
      <c r="CD534" s="645">
        <f>WWWW[[#This Row],[% Access to unimproved water points]]*WWWW[[#This Row],[Total PoP ]]</f>
        <v>0</v>
      </c>
      <c r="CE534"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34"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166</v>
      </c>
      <c r="CG534" s="645">
        <f>WWWW[[#This Row],[HRP1]]/500</f>
        <v>0.33200000000000002</v>
      </c>
      <c r="CH534" s="650">
        <f>1-WWWW[[#This Row],[% Equitable and continuous access to sufficient quantity of domestic water]]</f>
        <v>0</v>
      </c>
      <c r="CI534" s="645">
        <f>WWWW[[#This Row],[%equitable and continuous access to sufficient quantity of safe drinking and domestic water''s GAP]]*WWWW[[#This Row],[Total PoP ]]</f>
        <v>0</v>
      </c>
      <c r="CJ534" s="647">
        <f>IF(WWWW[[#This Row],[Total required water points]]-WWWW[[#This Row],['#Water points coverage]]&lt;0,0,WWWW[[#This Row],[Total required water points]]-WWWW[[#This Row],['#Water points coverage]])</f>
        <v>0.66799999999999993</v>
      </c>
      <c r="CK534" s="647">
        <f>ROUND(IF(WWWW[[#This Row],[Total PoP ]]&lt;500,1,WWWW[[#This Row],[Total PoP ]]/500),0)</f>
        <v>1</v>
      </c>
      <c r="CL534" s="647">
        <f>(WWWW[[#This Row],['#_Constructed latrines_by_WASHAgencies]]+WWWW[[#This Row],['#_Non Cluster partner latrines]])-WWWW[[#This Row],['#_Non-functional latrines]]</f>
        <v>18</v>
      </c>
      <c r="CM534"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534"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166</v>
      </c>
      <c r="CO534"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34" s="647">
        <f>IF(WWWW[[#This Row],[Location Type 1]]="Village","NA",IF(WWWW[[#This Row],['#_Constructed/Existing latrines in TLS]]*50&gt;WWWW[[#This Row],['#_students at TLS_CFS]],WWWW[[#This Row],['#_students at TLS_CFS]],(WWWW[[#This Row],['#_Constructed/Existing latrines in TLS]]*50)))</f>
        <v>0</v>
      </c>
      <c r="CQ534" s="647">
        <f>ROUND(IF(WWWW[[#This Row],[Location Type 1]]="camp",WWWW[[#This Row],[Total PoP ]]/20,IF(WWWW[[#This Row],[Location Type 1]]="Temporary Location",WWWW[[#This Row],[Total PoP ]]/50,(WWWW[[#This Row],[Total PoP ]]/6))),0)</f>
        <v>8</v>
      </c>
      <c r="CR534" s="647">
        <f>IF(WWWW[[#This Row],[Total required Latrines]]-(WWWW[[#This Row],['#_Constructed latrines_by_WASHAgencies]]+WWWW[[#This Row],['#_Non Cluster partner latrines]])&lt;0,0,WWWW[[#This Row],[Total required Latrines]]-(WWWW[[#This Row],['#_Constructed latrines_by_WASHAgencies]]+WWWW[[#This Row],['#_Non Cluster partner latrines]]))</f>
        <v>0</v>
      </c>
      <c r="CS534" s="79">
        <f>1-WWWW[[#This Row],[% people access to functioning Latrine]]</f>
        <v>0</v>
      </c>
      <c r="CT534" s="649">
        <f>IF(OR(WWWW[[#This Row],['#_Non-functional latrines]]="",WWWW[[#This Row],['#_Non-functional latrines]]=0),0,WWWW[[#This Row],['#_Non-functional latrines]]/(WWWW[[#This Row],['#_Constructed latrines_by_WASHAgencies]]+WWWW[[#This Row],['#_Non Cluster partner latrines]]))</f>
        <v>0.1</v>
      </c>
      <c r="CU534" s="645">
        <f>IF(500*(WWWW[[#This Row],['#_male hygiene promoters]]+WWWW[[#This Row],['#_female hygiene promoters]])&gt;WWWW[[#This Row],[Total PoP ]],WWWW[[#This Row],[Total PoP ]],500*(WWWW[[#This Row],['#_male hygiene promoters]]+WWWW[[#This Row],['#_female hygiene promoters]]))</f>
        <v>166</v>
      </c>
      <c r="CV534"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34"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34" s="647">
        <f>IF(WWWW[[#This Row],['# People with access to soap]]&gt;WWWW[[#This Row],['# People with access to Sanity Pads]],WWWW[[#This Row],['# People with access to soap]],WWWW[[#This Row],['# People with access to Sanity Pads]])</f>
        <v>0</v>
      </c>
      <c r="CY534" s="647">
        <f>IF(WWWW[[#This Row],['# people reached by regular dedicated hygiene promotion_5]]&gt;WWWW[[#This Row],['# People received regular supply of hygiene items_6]],WWWW[[#This Row],['# people reached by regular dedicated hygiene promotion_5]],WWWW[[#This Row],['# People received regular supply of hygiene items_6]])</f>
        <v>166</v>
      </c>
      <c r="CZ534" s="650">
        <f>IF(WWWW[[#This Row],[HRP3]]/WWWW[[#This Row],[Total PoP ]]&gt;100%,100%,WWWW[[#This Row],[HRP3]]/WWWW[[#This Row],[Total PoP ]])</f>
        <v>1</v>
      </c>
      <c r="DA534" s="649">
        <f>1-WWWW[[#This Row],[Hygiene Coverage%]]</f>
        <v>0</v>
      </c>
      <c r="DB534" s="648">
        <f>WWWW[[#This Row],['# people reached by regular dedicated hygiene promotion_5]]/WWWW[[#This Row],[Total PoP ]]</f>
        <v>1</v>
      </c>
      <c r="DC534" s="648">
        <f>IF(WWWW[[#This Row],['#_households that received standard amount of soap for this quarter]]/WWWW[[#This Row],[Total HH]]&gt;1,1,WWWW[[#This Row],['#_households that received standard amount of soap for this quarter]]/WWWW[[#This Row],[Total HH]])</f>
        <v>0</v>
      </c>
      <c r="DD534" s="648">
        <f>IF(WWWW[[#This Row],['#_households that received standard amount of sanitary pads for this quarter]]/WWWW[[#This Row],[Total HH]]&gt;1,1,WWWW[[#This Row],['#_households that received standard amount of sanitary pads for this quarter]]/WWWW[[#This Row],[Total HH]])</f>
        <v>0</v>
      </c>
      <c r="DE534" s="647">
        <f>WWWW[[#This Row],['#_Constructed/Existing hand washing stations]]-WWWW[[#This Row],['#_Non-Functional_hand_washing_stations]]</f>
        <v>0</v>
      </c>
      <c r="DF534" s="667">
        <f>IF(WWWW[[#This Row],['# Functional hand washing stations during reporting period]]*20&gt;WWWW[[#This Row],[Total HH]],WWWW[[#This Row],[Total HH]],WWWW[[#This Row],['# Functional hand washing stations during reporting period]]*20)</f>
        <v>0</v>
      </c>
      <c r="DG534" s="645">
        <f>IF(WWWW[[#This Row],[Is sufficient soap available for TLS? (Yes/No)]]="yes",WWWW[[#This Row],['#_Constructed/Existing hand washing stations at TLS]],0)</f>
        <v>0</v>
      </c>
      <c r="DH534" s="645">
        <f>IF(WWWW[[#This Row],['# Functional hand washing stations during reporting period]]*100&gt;WWWW[[#This Row],[Total PoP ]],WWWW[[#This Row],[Total PoP ]],WWWW[[#This Row],['# Functional hand washing stations during reporting period]]*100)</f>
        <v>0</v>
      </c>
      <c r="DI534" s="645" t="str">
        <f>IF(WWWW[[#This Row],['#_students at TLS_CFS]]="","No","Yes")</f>
        <v>Yes</v>
      </c>
      <c r="DJ534" s="643" t="str">
        <f>VLOOKUP(WWWW[[#This Row],[Site Name]],SiteDB6[[Site Name]:[CCCM Management]],6,FALSE)</f>
        <v>Yes</v>
      </c>
      <c r="DK534" s="643" t="str">
        <f>VLOOKUP(WWWW[[#This Row],[Site Name]],SiteDB6[[Site Name]:[CCCM Focal Agency]],7,FALSE)</f>
        <v>KBC-NSS</v>
      </c>
      <c r="DL534" s="643" t="str">
        <f>VLOOKUP(WWWW[[#This Row],[Site Name]],SiteDB6[[Site Name]:[Location Type 1]],9,FALSE)</f>
        <v>Camp</v>
      </c>
      <c r="DM534" s="643" t="str">
        <f>VLOOKUP(WWWW[[#This Row],[Site Name]],SiteDB6[[Site Name]:[Type of Accommodation]],10,FALSE)</f>
        <v>Camp</v>
      </c>
      <c r="DN534" s="643" t="str">
        <f>VLOOKUP(WWWW[[#This Row],[Site Name]],SiteDB6[[Site Name]:[Ethnic or GCA/NGCA]],11,FALSE)</f>
        <v>GCA</v>
      </c>
      <c r="DO534" s="643">
        <f>VLOOKUP(WWWW[[#This Row],[Site Name]],SiteDB6[[Site Name]:[Lat]],12,FALSE)</f>
        <v>23.354268999999999</v>
      </c>
      <c r="DP534" s="643">
        <f>VLOOKUP(WWWW[[#This Row],[Site Name]],SiteDB6[[Site Name]:[Long]],13,FALSE)</f>
        <v>98.218626999999998</v>
      </c>
      <c r="DQ534" s="643" t="str">
        <f>VLOOKUP(WWWW[[#This Row],[Site Name]],SiteDB6[[Site Name]:[Pcode]],3,FALSE)</f>
        <v>MMR015CMP218</v>
      </c>
      <c r="DR534" s="652" t="str">
        <f t="shared" si="18"/>
        <v>Covered</v>
      </c>
      <c r="DS534" s="652"/>
    </row>
    <row r="535" spans="1:123" ht="20.25">
      <c r="A535" s="637" t="s">
        <v>2525</v>
      </c>
      <c r="B535" s="644" t="s">
        <v>200</v>
      </c>
      <c r="C535" s="644" t="s">
        <v>200</v>
      </c>
      <c r="D535" s="644" t="s">
        <v>2970</v>
      </c>
      <c r="E535" s="644" t="s">
        <v>716</v>
      </c>
      <c r="F535" s="644" t="s">
        <v>737</v>
      </c>
      <c r="G535" s="663" t="str">
        <f>VLOOKUP(WWWW[[#This Row],[Site Name]],SiteDB6[[Site Name]:[Location Type]],8,FALSE)</f>
        <v>Camp</v>
      </c>
      <c r="H535" s="644" t="s">
        <v>748</v>
      </c>
      <c r="I535" s="646">
        <v>57</v>
      </c>
      <c r="J535" s="646">
        <v>263</v>
      </c>
      <c r="K535" s="653" t="s">
        <v>2971</v>
      </c>
      <c r="L535" s="654" t="s">
        <v>2972</v>
      </c>
      <c r="M535" s="646">
        <v>65</v>
      </c>
      <c r="N535" s="646"/>
      <c r="O535" s="646"/>
      <c r="P535" s="646"/>
      <c r="Q535" s="645" t="s">
        <v>43</v>
      </c>
      <c r="R535" s="646"/>
      <c r="S535" s="646"/>
      <c r="T535" s="646"/>
      <c r="U535" s="646"/>
      <c r="V535" s="646"/>
      <c r="W535" s="646"/>
      <c r="X535" s="646"/>
      <c r="Y535" s="646"/>
      <c r="Z535" s="646"/>
      <c r="AA535" s="646"/>
      <c r="AB535" s="646"/>
      <c r="AC535" s="646"/>
      <c r="AD535" s="646"/>
      <c r="AE535" s="646"/>
      <c r="AF535" s="646">
        <v>1</v>
      </c>
      <c r="AG535" s="646"/>
      <c r="AH535" s="646"/>
      <c r="AI535" s="646"/>
      <c r="AJ535" s="646"/>
      <c r="AK535" s="646"/>
      <c r="AL535" s="646"/>
      <c r="AM535" s="646"/>
      <c r="AN535" s="646"/>
      <c r="AO535" s="652"/>
      <c r="AP535" s="646">
        <v>8</v>
      </c>
      <c r="AQ535" s="646"/>
      <c r="AR535" s="648"/>
      <c r="AS535" s="646"/>
      <c r="AT535" s="646"/>
      <c r="AU535" s="646"/>
      <c r="AV535" s="646"/>
      <c r="AW535" s="646"/>
      <c r="AX535" s="643" t="s">
        <v>43</v>
      </c>
      <c r="AY535" s="652" t="s">
        <v>144</v>
      </c>
      <c r="AZ535" s="646"/>
      <c r="BA535" s="646"/>
      <c r="BB535" s="646"/>
      <c r="BC535" s="708" t="s">
        <v>2973</v>
      </c>
      <c r="BD535" s="646">
        <v>4</v>
      </c>
      <c r="BE535" s="646"/>
      <c r="BF535" s="646"/>
      <c r="BG535" s="646">
        <v>3</v>
      </c>
      <c r="BH535" s="646"/>
      <c r="BI535" s="646"/>
      <c r="BJ535" s="646">
        <v>1</v>
      </c>
      <c r="BK535" s="646">
        <v>0</v>
      </c>
      <c r="BL535" s="646">
        <v>0</v>
      </c>
      <c r="BM535" s="643"/>
      <c r="BN535" s="647"/>
      <c r="BO535" s="648"/>
      <c r="BP535" s="643"/>
      <c r="BQ535" s="649" t="str">
        <f>IFERROR(WWWW[[#This Row],['#_Water sources treated]]/WWWW[[#This Row],['#_Water sources tested for contamination]],"no test")</f>
        <v>no test</v>
      </c>
      <c r="BR535" s="648" t="str">
        <f>IFERROR(WWWW[[#This Row],['#_Household received remediation action due to contamination]]/WWWW[[#This Row],['#_Household water samples tested for contamination]],"no test")</f>
        <v>no test</v>
      </c>
      <c r="BS535" s="647" t="str">
        <f>IF(AND(WWWW[[#This Row],[% of water sources treated]]="no test",WWWW[[#This Row],[% Household received corrective actions]]="no test"),"No Test","Tested")</f>
        <v>No Test</v>
      </c>
      <c r="BT535" s="647">
        <f>WWWW[[#This Row],['#_Constructed/existing protected hand dug well]]-WWWW[[#This Row],['#_Non-functional protected hand dug well]]</f>
        <v>0</v>
      </c>
      <c r="BU535" s="647">
        <f>(WWWW[[#This Row],['#_Constructed/Existing tube wells/boreholes/handpumps_WASH_agency]]+WWWW[[#This Row],['#_Non-Cluster partner water tube-wells/boreholes/handpumps]])-WWWW[[#This Row],['#_Non-functional tube wells/boreholes/handpumps]]</f>
        <v>0</v>
      </c>
      <c r="BV535" s="647">
        <f>WWWW[[#This Row],['#_Constructed/Existingwater storage tank with gravity fed reticulation system]]-WWWW[[#This Row],['#_Non-functional storage tank gravity fed reticulation system]]</f>
        <v>0</v>
      </c>
      <c r="BW535" s="647">
        <f>WWWW[[#This Row],['#_Water boating or water trucking]]</f>
        <v>0</v>
      </c>
      <c r="BX535" s="647">
        <f>WWWW[[#This Row],['#_Constructed/Existing water distribution system from river or natural spring]]</f>
        <v>1</v>
      </c>
      <c r="BY535"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2.5348542458808617E-4</v>
      </c>
      <c r="BZ535"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2.5348542458808617E-4</v>
      </c>
      <c r="CA535" s="648">
        <f>IF(WWWW[[#This Row],[Location Type 1]]="Village",WWWW[[#This Row],[Access to safe drinking water for Village]],WWWW[[#This Row],[Access to safe drinking water for Camp]])</f>
        <v>2.5348542458808617E-4</v>
      </c>
      <c r="CB535" s="645">
        <f>WWWW[[#This Row],[%Equitable and continuous access to sufficient quantity of safe drinking water]]*WWWW[[#This Row],[Total PoP ]]</f>
        <v>6.6666666666666666E-2</v>
      </c>
      <c r="CC535" s="648">
        <f>IF((WWWW[[#This Row],['#_Constructed/Existing protected/fenced ponds]]*250)/WWWW[[#This Row],[Total PoP ]]&gt;1,1,(WWWW[[#This Row],['#_Constructed/Existing protected/fenced ponds]]*250)/WWWW[[#This Row],[Total PoP ]])</f>
        <v>0</v>
      </c>
      <c r="CD535" s="645">
        <f>WWWW[[#This Row],[% Access to unimproved water points]]*WWWW[[#This Row],[Total PoP ]]</f>
        <v>0</v>
      </c>
      <c r="CE535"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2.5348542458808617E-4</v>
      </c>
      <c r="CF535"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6.6666666666666666E-2</v>
      </c>
      <c r="CG535" s="645">
        <f>WWWW[[#This Row],[HRP1]]/500</f>
        <v>1.3333333333333334E-4</v>
      </c>
      <c r="CH535" s="650">
        <f>1-WWWW[[#This Row],[% Equitable and continuous access to sufficient quantity of domestic water]]</f>
        <v>0.99974651457541186</v>
      </c>
      <c r="CI535" s="645">
        <f>WWWW[[#This Row],[%equitable and continuous access to sufficient quantity of safe drinking and domestic water''s GAP]]*WWWW[[#This Row],[Total PoP ]]</f>
        <v>262.93333333333334</v>
      </c>
      <c r="CJ535" s="647">
        <f>IF(WWWW[[#This Row],[Total required water points]]-WWWW[[#This Row],['#Water points coverage]]&lt;0,0,WWWW[[#This Row],[Total required water points]]-WWWW[[#This Row],['#Water points coverage]])</f>
        <v>0.99986666666666668</v>
      </c>
      <c r="CK535" s="647">
        <f>ROUND(IF(WWWW[[#This Row],[Total PoP ]]&lt;500,1,WWWW[[#This Row],[Total PoP ]]/500),0)</f>
        <v>1</v>
      </c>
      <c r="CL535" s="647">
        <f>(WWWW[[#This Row],['#_Constructed latrines_by_WASHAgencies]]+WWWW[[#This Row],['#_Non Cluster partner latrines]])-WWWW[[#This Row],['#_Non-functional latrines]]</f>
        <v>8</v>
      </c>
      <c r="CM535"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0.60836501901140683</v>
      </c>
      <c r="CN535"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160</v>
      </c>
      <c r="CO535"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35" s="647">
        <f>IF(WWWW[[#This Row],[Location Type 1]]="Village","NA",IF(WWWW[[#This Row],['#_Constructed/Existing latrines in TLS]]*50&gt;WWWW[[#This Row],['#_students at TLS_CFS]],WWWW[[#This Row],['#_students at TLS_CFS]],(WWWW[[#This Row],['#_Constructed/Existing latrines in TLS]]*50)))</f>
        <v>0</v>
      </c>
      <c r="CQ535" s="647">
        <f>ROUND(IF(WWWW[[#This Row],[Location Type 1]]="camp",WWWW[[#This Row],[Total PoP ]]/20,IF(WWWW[[#This Row],[Location Type 1]]="Temporary Location",WWWW[[#This Row],[Total PoP ]]/50,(WWWW[[#This Row],[Total PoP ]]/6))),0)</f>
        <v>13</v>
      </c>
      <c r="CR535" s="647">
        <f>IF(WWWW[[#This Row],[Total required Latrines]]-(WWWW[[#This Row],['#_Constructed latrines_by_WASHAgencies]]+WWWW[[#This Row],['#_Non Cluster partner latrines]])&lt;0,0,WWWW[[#This Row],[Total required Latrines]]-(WWWW[[#This Row],['#_Constructed latrines_by_WASHAgencies]]+WWWW[[#This Row],['#_Non Cluster partner latrines]]))</f>
        <v>5</v>
      </c>
      <c r="CS535" s="79">
        <f>1-WWWW[[#This Row],[% people access to functioning Latrine]]</f>
        <v>0.39163498098859317</v>
      </c>
      <c r="CT535" s="649">
        <f>IF(OR(WWWW[[#This Row],['#_Non-functional latrines]]="",WWWW[[#This Row],['#_Non-functional latrines]]=0),0,WWWW[[#This Row],['#_Non-functional latrines]]/(WWWW[[#This Row],['#_Constructed latrines_by_WASHAgencies]]+WWWW[[#This Row],['#_Non Cluster partner latrines]]))</f>
        <v>0</v>
      </c>
      <c r="CU535" s="645">
        <f>IF(500*(WWWW[[#This Row],['#_male hygiene promoters]]+WWWW[[#This Row],['#_female hygiene promoters]])&gt;WWWW[[#This Row],[Total PoP ]],WWWW[[#This Row],[Total PoP ]],500*(WWWW[[#This Row],['#_male hygiene promoters]]+WWWW[[#This Row],['#_female hygiene promoters]]))</f>
        <v>263</v>
      </c>
      <c r="CV535"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35"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35" s="647">
        <f>IF(WWWW[[#This Row],['# People with access to soap]]&gt;WWWW[[#This Row],['# People with access to Sanity Pads]],WWWW[[#This Row],['# People with access to soap]],WWWW[[#This Row],['# People with access to Sanity Pads]])</f>
        <v>0</v>
      </c>
      <c r="CY535" s="647">
        <f>IF(WWWW[[#This Row],['# people reached by regular dedicated hygiene promotion_5]]&gt;WWWW[[#This Row],['# People received regular supply of hygiene items_6]],WWWW[[#This Row],['# people reached by regular dedicated hygiene promotion_5]],WWWW[[#This Row],['# People received regular supply of hygiene items_6]])</f>
        <v>263</v>
      </c>
      <c r="CZ535" s="650">
        <f>IF(WWWW[[#This Row],[HRP3]]/WWWW[[#This Row],[Total PoP ]]&gt;100%,100%,WWWW[[#This Row],[HRP3]]/WWWW[[#This Row],[Total PoP ]])</f>
        <v>1</v>
      </c>
      <c r="DA535" s="649">
        <f>1-WWWW[[#This Row],[Hygiene Coverage%]]</f>
        <v>0</v>
      </c>
      <c r="DB535" s="648">
        <f>WWWW[[#This Row],['# people reached by regular dedicated hygiene promotion_5]]/WWWW[[#This Row],[Total PoP ]]</f>
        <v>1</v>
      </c>
      <c r="DC535" s="648">
        <f>IF(WWWW[[#This Row],['#_households that received standard amount of soap for this quarter]]/WWWW[[#This Row],[Total HH]]&gt;1,1,WWWW[[#This Row],['#_households that received standard amount of soap for this quarter]]/WWWW[[#This Row],[Total HH]])</f>
        <v>0</v>
      </c>
      <c r="DD535" s="648">
        <f>IF(WWWW[[#This Row],['#_households that received standard amount of sanitary pads for this quarter]]/WWWW[[#This Row],[Total HH]]&gt;1,1,WWWW[[#This Row],['#_households that received standard amount of sanitary pads for this quarter]]/WWWW[[#This Row],[Total HH]])</f>
        <v>0</v>
      </c>
      <c r="DE535" s="647">
        <f>WWWW[[#This Row],['#_Constructed/Existing hand washing stations]]-WWWW[[#This Row],['#_Non-Functional_hand_washing_stations]]</f>
        <v>4</v>
      </c>
      <c r="DF535" s="667">
        <f>IF(WWWW[[#This Row],['# Functional hand washing stations during reporting period]]*20&gt;WWWW[[#This Row],[Total HH]],WWWW[[#This Row],[Total HH]],WWWW[[#This Row],['# Functional hand washing stations during reporting period]]*20)</f>
        <v>57</v>
      </c>
      <c r="DG535" s="645">
        <f>IF(WWWW[[#This Row],[Is sufficient soap available for TLS? (Yes/No)]]="yes",WWWW[[#This Row],['#_Constructed/Existing hand washing stations at TLS]],0)</f>
        <v>0</v>
      </c>
      <c r="DH535" s="645">
        <f>IF(WWWW[[#This Row],['# Functional hand washing stations during reporting period]]*100&gt;WWWW[[#This Row],[Total PoP ]],WWWW[[#This Row],[Total PoP ]],WWWW[[#This Row],['# Functional hand washing stations during reporting period]]*100)</f>
        <v>263</v>
      </c>
      <c r="DI535" s="645" t="str">
        <f>IF(WWWW[[#This Row],['#_students at TLS_CFS]]="","No","Yes")</f>
        <v>Yes</v>
      </c>
      <c r="DJ535" s="643" t="str">
        <f>VLOOKUP(WWWW[[#This Row],[Site Name]],SiteDB6[[Site Name]:[CCCM Management]],6,FALSE)</f>
        <v>Yes</v>
      </c>
      <c r="DK535" s="643" t="str">
        <f>VLOOKUP(WWWW[[#This Row],[Site Name]],SiteDB6[[Site Name]:[CCCM Focal Agency]],7,FALSE)</f>
        <v>KBC-NSS</v>
      </c>
      <c r="DL535" s="643" t="str">
        <f>VLOOKUP(WWWW[[#This Row],[Site Name]],SiteDB6[[Site Name]:[Location Type 1]],9,FALSE)</f>
        <v>Camp</v>
      </c>
      <c r="DM535" s="643" t="str">
        <f>VLOOKUP(WWWW[[#This Row],[Site Name]],SiteDB6[[Site Name]:[Type of Accommodation]],10,FALSE)</f>
        <v>Camp</v>
      </c>
      <c r="DN535" s="643" t="str">
        <f>VLOOKUP(WWWW[[#This Row],[Site Name]],SiteDB6[[Site Name]:[Ethnic or GCA/NGCA]],11,FALSE)</f>
        <v>GCA</v>
      </c>
      <c r="DO535" s="643">
        <f>VLOOKUP(WWWW[[#This Row],[Site Name]],SiteDB6[[Site Name]:[Lat]],12,FALSE)</f>
        <v>23.094290000000001</v>
      </c>
      <c r="DP535" s="643">
        <f>VLOOKUP(WWWW[[#This Row],[Site Name]],SiteDB6[[Site Name]:[Long]],13,FALSE)</f>
        <v>97.404089999999997</v>
      </c>
      <c r="DQ535" s="643" t="str">
        <f>VLOOKUP(WWWW[[#This Row],[Site Name]],SiteDB6[[Site Name]:[Pcode]],3,FALSE)</f>
        <v>MMR015CMP014</v>
      </c>
      <c r="DR535" s="652" t="str">
        <f t="shared" si="18"/>
        <v>Covered</v>
      </c>
      <c r="DS535" s="652"/>
    </row>
    <row r="536" spans="1:123">
      <c r="A536" s="637" t="s">
        <v>2525</v>
      </c>
      <c r="B536" s="644" t="s">
        <v>317</v>
      </c>
      <c r="C536" s="644" t="s">
        <v>317</v>
      </c>
      <c r="D536" s="644"/>
      <c r="E536" s="644" t="s">
        <v>716</v>
      </c>
      <c r="F536" s="644" t="s">
        <v>717</v>
      </c>
      <c r="G536" s="643" t="s">
        <v>45</v>
      </c>
      <c r="H536" s="644" t="s">
        <v>754</v>
      </c>
      <c r="I536" s="646">
        <v>118</v>
      </c>
      <c r="J536" s="646">
        <v>568</v>
      </c>
      <c r="K536" s="653"/>
      <c r="L536" s="654"/>
      <c r="M536" s="646"/>
      <c r="N536" s="646"/>
      <c r="O536" s="646"/>
      <c r="P536" s="646"/>
      <c r="Q536" s="645"/>
      <c r="R536" s="646"/>
      <c r="S536" s="646"/>
      <c r="T536" s="646"/>
      <c r="U536" s="646"/>
      <c r="V536" s="646"/>
      <c r="W536" s="646"/>
      <c r="X536" s="646"/>
      <c r="Y536" s="646"/>
      <c r="Z536" s="646"/>
      <c r="AA536" s="646"/>
      <c r="AB536" s="646"/>
      <c r="AC536" s="646"/>
      <c r="AD536" s="646"/>
      <c r="AE536" s="646"/>
      <c r="AF536" s="646"/>
      <c r="AG536" s="646"/>
      <c r="AH536" s="646"/>
      <c r="AI536" s="646"/>
      <c r="AJ536" s="646"/>
      <c r="AK536" s="646"/>
      <c r="AL536" s="646"/>
      <c r="AM536" s="646"/>
      <c r="AN536" s="646"/>
      <c r="AO536" s="652"/>
      <c r="AP536" s="646"/>
      <c r="AQ536" s="646"/>
      <c r="AR536" s="648"/>
      <c r="AS536" s="646"/>
      <c r="AT536" s="646"/>
      <c r="AU536" s="646"/>
      <c r="AV536" s="646"/>
      <c r="AW536" s="646"/>
      <c r="AX536" s="643"/>
      <c r="AY536" s="652"/>
      <c r="AZ536" s="646"/>
      <c r="BA536" s="646"/>
      <c r="BB536" s="646"/>
      <c r="BC536" s="643"/>
      <c r="BD536" s="646"/>
      <c r="BE536" s="646"/>
      <c r="BF536" s="646"/>
      <c r="BG536" s="646"/>
      <c r="BH536" s="646"/>
      <c r="BI536" s="646"/>
      <c r="BJ536" s="646"/>
      <c r="BK536" s="646"/>
      <c r="BL536" s="646"/>
      <c r="BM536" s="643"/>
      <c r="BN536" s="647"/>
      <c r="BO536" s="648"/>
      <c r="BP536" s="643"/>
      <c r="BQ536" s="649" t="str">
        <f>IFERROR(WWWW[[#This Row],['#_Water sources treated]]/WWWW[[#This Row],['#_Water sources tested for contamination]],"no test")</f>
        <v>no test</v>
      </c>
      <c r="BR536" s="648" t="str">
        <f>IFERROR(WWWW[[#This Row],['#_Household received remediation action due to contamination]]/WWWW[[#This Row],['#_Household water samples tested for contamination]],"no test")</f>
        <v>no test</v>
      </c>
      <c r="BS536" s="647" t="str">
        <f>IF(AND(WWWW[[#This Row],[% of water sources treated]]="no test",WWWW[[#This Row],[% Household received corrective actions]]="no test"),"No Test","Tested")</f>
        <v>No Test</v>
      </c>
      <c r="BT536" s="647">
        <f>WWWW[[#This Row],['#_Constructed/existing protected hand dug well]]-WWWW[[#This Row],['#_Non-functional protected hand dug well]]</f>
        <v>0</v>
      </c>
      <c r="BU536" s="647">
        <f>(WWWW[[#This Row],['#_Constructed/Existing tube wells/boreholes/handpumps_WASH_agency]]+WWWW[[#This Row],['#_Non-Cluster partner water tube-wells/boreholes/handpumps]])-WWWW[[#This Row],['#_Non-functional tube wells/boreholes/handpumps]]</f>
        <v>0</v>
      </c>
      <c r="BV536" s="647">
        <f>WWWW[[#This Row],['#_Constructed/Existingwater storage tank with gravity fed reticulation system]]-WWWW[[#This Row],['#_Non-functional storage tank gravity fed reticulation system]]</f>
        <v>0</v>
      </c>
      <c r="BW536" s="647">
        <f>WWWW[[#This Row],['#_Water boating or water trucking]]</f>
        <v>0</v>
      </c>
      <c r="BX536" s="647">
        <f>WWWW[[#This Row],['#_Constructed/Existing water distribution system from river or natural spring]]</f>
        <v>0</v>
      </c>
      <c r="BY536"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536"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536" s="648">
        <f>IF(WWWW[[#This Row],[Location Type 1]]="Village",WWWW[[#This Row],[Access to safe drinking water for Village]],WWWW[[#This Row],[Access to safe drinking water for Camp]])</f>
        <v>0</v>
      </c>
      <c r="CB536" s="645">
        <f>WWWW[[#This Row],[%Equitable and continuous access to sufficient quantity of safe drinking water]]*WWWW[[#This Row],[Total PoP ]]</f>
        <v>0</v>
      </c>
      <c r="CC536" s="648">
        <f>IF((WWWW[[#This Row],['#_Constructed/Existing protected/fenced ponds]]*250)/WWWW[[#This Row],[Total PoP ]]&gt;1,1,(WWWW[[#This Row],['#_Constructed/Existing protected/fenced ponds]]*250)/WWWW[[#This Row],[Total PoP ]])</f>
        <v>0</v>
      </c>
      <c r="CD536" s="645">
        <f>WWWW[[#This Row],[% Access to unimproved water points]]*WWWW[[#This Row],[Total PoP ]]</f>
        <v>0</v>
      </c>
      <c r="CE536"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536"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536" s="645">
        <f>WWWW[[#This Row],[HRP1]]/500</f>
        <v>0</v>
      </c>
      <c r="CH536" s="650">
        <f>1-WWWW[[#This Row],[% Equitable and continuous access to sufficient quantity of domestic water]]</f>
        <v>1</v>
      </c>
      <c r="CI536" s="645">
        <f>WWWW[[#This Row],[%equitable and continuous access to sufficient quantity of safe drinking and domestic water''s GAP]]*WWWW[[#This Row],[Total PoP ]]</f>
        <v>568</v>
      </c>
      <c r="CJ536" s="647">
        <f>IF(WWWW[[#This Row],[Total required water points]]-WWWW[[#This Row],['#Water points coverage]]&lt;0,0,WWWW[[#This Row],[Total required water points]]-WWWW[[#This Row],['#Water points coverage]])</f>
        <v>1</v>
      </c>
      <c r="CK536" s="647">
        <f>ROUND(IF(WWWW[[#This Row],[Total PoP ]]&lt;500,1,WWWW[[#This Row],[Total PoP ]]/500),0)</f>
        <v>1</v>
      </c>
      <c r="CL536" s="647">
        <f>(WWWW[[#This Row],['#_Constructed latrines_by_WASHAgencies]]+WWWW[[#This Row],['#_Non Cluster partner latrines]])-WWWW[[#This Row],['#_Non-functional latrines]]</f>
        <v>0</v>
      </c>
      <c r="CM536"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536"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536"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36" s="647">
        <f>IF(WWWW[[#This Row],[Location Type 1]]="Village","NA",IF(WWWW[[#This Row],['#_Constructed/Existing latrines in TLS]]*50&gt;WWWW[[#This Row],['#_students at TLS_CFS]],WWWW[[#This Row],['#_students at TLS_CFS]],(WWWW[[#This Row],['#_Constructed/Existing latrines in TLS]]*50)))</f>
        <v>0</v>
      </c>
      <c r="CQ536" s="647">
        <f>ROUND(IF(WWWW[[#This Row],[Location Type 1]]="camp",WWWW[[#This Row],[Total PoP ]]/20,IF(WWWW[[#This Row],[Location Type 1]]="Temporary Location",WWWW[[#This Row],[Total PoP ]]/50,(WWWW[[#This Row],[Total PoP ]]/6))),0)</f>
        <v>28</v>
      </c>
      <c r="CR536" s="647">
        <f>IF(WWWW[[#This Row],[Total required Latrines]]-(WWWW[[#This Row],['#_Constructed latrines_by_WASHAgencies]]+WWWW[[#This Row],['#_Non Cluster partner latrines]])&lt;0,0,WWWW[[#This Row],[Total required Latrines]]-(WWWW[[#This Row],['#_Constructed latrines_by_WASHAgencies]]+WWWW[[#This Row],['#_Non Cluster partner latrines]]))</f>
        <v>28</v>
      </c>
      <c r="CS536" s="79">
        <f>1-WWWW[[#This Row],[% people access to functioning Latrine]]</f>
        <v>1</v>
      </c>
      <c r="CT536" s="649">
        <f>IF(OR(WWWW[[#This Row],['#_Non-functional latrines]]="",WWWW[[#This Row],['#_Non-functional latrines]]=0),0,WWWW[[#This Row],['#_Non-functional latrines]]/(WWWW[[#This Row],['#_Constructed latrines_by_WASHAgencies]]+WWWW[[#This Row],['#_Non Cluster partner latrines]]))</f>
        <v>0</v>
      </c>
      <c r="CU536" s="645">
        <f>IF(500*(WWWW[[#This Row],['#_male hygiene promoters]]+WWWW[[#This Row],['#_female hygiene promoters]])&gt;WWWW[[#This Row],[Total PoP ]],WWWW[[#This Row],[Total PoP ]],500*(WWWW[[#This Row],['#_male hygiene promoters]]+WWWW[[#This Row],['#_female hygiene promoters]]))</f>
        <v>0</v>
      </c>
      <c r="CV536"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36"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36" s="647">
        <f>IF(WWWW[[#This Row],['# People with access to soap]]&gt;WWWW[[#This Row],['# People with access to Sanity Pads]],WWWW[[#This Row],['# People with access to soap]],WWWW[[#This Row],['# People with access to Sanity Pads]])</f>
        <v>0</v>
      </c>
      <c r="CY536"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536" s="650">
        <f>IF(WWWW[[#This Row],[HRP3]]/WWWW[[#This Row],[Total PoP ]]&gt;100%,100%,WWWW[[#This Row],[HRP3]]/WWWW[[#This Row],[Total PoP ]])</f>
        <v>0</v>
      </c>
      <c r="DA536" s="649">
        <f>1-WWWW[[#This Row],[Hygiene Coverage%]]</f>
        <v>1</v>
      </c>
      <c r="DB536" s="648">
        <f>WWWW[[#This Row],['# people reached by regular dedicated hygiene promotion_5]]/WWWW[[#This Row],[Total PoP ]]</f>
        <v>0</v>
      </c>
      <c r="DC536" s="648">
        <f>IF(WWWW[[#This Row],['#_households that received standard amount of soap for this quarter]]/WWWW[[#This Row],[Total HH]]&gt;1,1,WWWW[[#This Row],['#_households that received standard amount of soap for this quarter]]/WWWW[[#This Row],[Total HH]])</f>
        <v>0</v>
      </c>
      <c r="DD536" s="648">
        <f>IF(WWWW[[#This Row],['#_households that received standard amount of sanitary pads for this quarter]]/WWWW[[#This Row],[Total HH]]&gt;1,1,WWWW[[#This Row],['#_households that received standard amount of sanitary pads for this quarter]]/WWWW[[#This Row],[Total HH]])</f>
        <v>0</v>
      </c>
      <c r="DE536" s="647">
        <f>WWWW[[#This Row],['#_Constructed/Existing hand washing stations]]-WWWW[[#This Row],['#_Non-Functional_hand_washing_stations]]</f>
        <v>0</v>
      </c>
      <c r="DF536" s="667">
        <f>IF(WWWW[[#This Row],['# Functional hand washing stations during reporting period]]*20&gt;WWWW[[#This Row],[Total HH]],WWWW[[#This Row],[Total HH]],WWWW[[#This Row],['# Functional hand washing stations during reporting period]]*20)</f>
        <v>0</v>
      </c>
      <c r="DG536" s="645">
        <f>IF(WWWW[[#This Row],[Is sufficient soap available for TLS? (Yes/No)]]="yes",WWWW[[#This Row],['#_Constructed/Existing hand washing stations at TLS]],0)</f>
        <v>0</v>
      </c>
      <c r="DH536" s="645">
        <f>IF(WWWW[[#This Row],['# Functional hand washing stations during reporting period]]*100&gt;WWWW[[#This Row],[Total PoP ]],WWWW[[#This Row],[Total PoP ]],WWWW[[#This Row],['# Functional hand washing stations during reporting period]]*100)</f>
        <v>0</v>
      </c>
      <c r="DI536" s="645" t="str">
        <f>IF(WWWW[[#This Row],['#_students at TLS_CFS]]="","No","Yes")</f>
        <v>No</v>
      </c>
      <c r="DJ536" s="643" t="str">
        <f>VLOOKUP(WWWW[[#This Row],[Site Name]],SiteDB6[[Site Name]:[CCCM Management]],6,FALSE)</f>
        <v>Yes</v>
      </c>
      <c r="DK536" s="643" t="str">
        <f>VLOOKUP(WWWW[[#This Row],[Site Name]],SiteDB6[[Site Name]:[CCCM Focal Agency]],7,FALSE)</f>
        <v>KBC-NSS</v>
      </c>
      <c r="DL536" s="643" t="str">
        <f>VLOOKUP(WWWW[[#This Row],[Site Name]],SiteDB6[[Site Name]:[Location Type 1]],9,FALSE)</f>
        <v>Camp</v>
      </c>
      <c r="DM536" s="643" t="str">
        <f>VLOOKUP(WWWW[[#This Row],[Site Name]],SiteDB6[[Site Name]:[Type of Accommodation]],10,FALSE)</f>
        <v>Camp</v>
      </c>
      <c r="DN536" s="643" t="str">
        <f>VLOOKUP(WWWW[[#This Row],[Site Name]],SiteDB6[[Site Name]:[Ethnic or GCA/NGCA]],11,FALSE)</f>
        <v>GCA</v>
      </c>
      <c r="DO536" s="643">
        <f>VLOOKUP(WWWW[[#This Row],[Site Name]],SiteDB6[[Site Name]:[Lat]],12,FALSE)</f>
        <v>23.838190000000001</v>
      </c>
      <c r="DP536" s="643">
        <f>VLOOKUP(WWWW[[#This Row],[Site Name]],SiteDB6[[Site Name]:[Long]],13,FALSE)</f>
        <v>97.709879999999998</v>
      </c>
      <c r="DQ536" s="643" t="str">
        <f>VLOOKUP(WWWW[[#This Row],[Site Name]],SiteDB6[[Site Name]:[Pcode]],3,FALSE)</f>
        <v>MMR015CMP215</v>
      </c>
      <c r="DR536" s="652" t="str">
        <f t="shared" si="18"/>
        <v>Notcovered</v>
      </c>
      <c r="DS536" s="652"/>
    </row>
    <row r="537" spans="1:123">
      <c r="A537" s="637" t="s">
        <v>2525</v>
      </c>
      <c r="B537" s="644" t="s">
        <v>1957</v>
      </c>
      <c r="C537" s="644" t="s">
        <v>1957</v>
      </c>
      <c r="D537" s="701" t="s">
        <v>2977</v>
      </c>
      <c r="E537" s="663" t="s">
        <v>716</v>
      </c>
      <c r="F537" s="644" t="s">
        <v>720</v>
      </c>
      <c r="G537" s="663" t="str">
        <f>VLOOKUP(WWWW[[#This Row],[Site Name]],SiteDB6[[Site Name]:[Location Type]],8,FALSE)</f>
        <v>Camp</v>
      </c>
      <c r="H537" s="644" t="s">
        <v>743</v>
      </c>
      <c r="I537" s="646">
        <v>103</v>
      </c>
      <c r="J537" s="646">
        <v>632</v>
      </c>
      <c r="K537" s="710" t="s">
        <v>2978</v>
      </c>
      <c r="L537" s="58" t="s">
        <v>2979</v>
      </c>
      <c r="M537" s="646"/>
      <c r="N537" s="646"/>
      <c r="O537" s="646"/>
      <c r="P537" s="646"/>
      <c r="Q537" s="645" t="s">
        <v>43</v>
      </c>
      <c r="R537" s="646">
        <v>4</v>
      </c>
      <c r="S537" s="646">
        <v>5</v>
      </c>
      <c r="T537" s="646"/>
      <c r="U537" s="646"/>
      <c r="V537" s="646"/>
      <c r="W537" s="646"/>
      <c r="X537" s="646"/>
      <c r="Y537" s="646"/>
      <c r="Z537" s="646"/>
      <c r="AA537" s="646">
        <v>11</v>
      </c>
      <c r="AB537" s="646"/>
      <c r="AC537" s="646"/>
      <c r="AD537" s="646"/>
      <c r="AE537" s="646"/>
      <c r="AF537" s="646"/>
      <c r="AG537" s="646">
        <v>1</v>
      </c>
      <c r="AH537" s="646"/>
      <c r="AI537" s="646">
        <v>1</v>
      </c>
      <c r="AJ537" s="646"/>
      <c r="AK537" s="646">
        <v>15</v>
      </c>
      <c r="AL537" s="646"/>
      <c r="AM537" s="646"/>
      <c r="AN537" s="646"/>
      <c r="AO537" s="652"/>
      <c r="AP537" s="646">
        <v>103</v>
      </c>
      <c r="AQ537" s="646"/>
      <c r="AR537" s="648"/>
      <c r="AS537" s="646"/>
      <c r="AT537" s="646"/>
      <c r="AU537" s="646"/>
      <c r="AV537" s="646"/>
      <c r="AW537" s="646"/>
      <c r="AX537" s="643" t="s">
        <v>148</v>
      </c>
      <c r="AY537" s="652" t="s">
        <v>145</v>
      </c>
      <c r="AZ537" s="646"/>
      <c r="BA537" s="646"/>
      <c r="BB537" s="646"/>
      <c r="BC537" s="643"/>
      <c r="BD537" s="646">
        <v>2</v>
      </c>
      <c r="BE537" s="646"/>
      <c r="BF537" s="646"/>
      <c r="BG537" s="646"/>
      <c r="BH537" s="646"/>
      <c r="BI537" s="646"/>
      <c r="BJ537" s="646">
        <v>1</v>
      </c>
      <c r="BK537" s="646">
        <v>103</v>
      </c>
      <c r="BL537" s="646">
        <v>0</v>
      </c>
      <c r="BM537" s="643"/>
      <c r="BN537" s="647"/>
      <c r="BO537" s="648">
        <v>0.5</v>
      </c>
      <c r="BP537" s="643"/>
      <c r="BQ537" s="649">
        <f>IFERROR(WWWW[[#This Row],['#_Water sources treated]]/WWWW[[#This Row],['#_Water sources tested for contamination]],"no test")</f>
        <v>0</v>
      </c>
      <c r="BR537" s="648">
        <f>IFERROR(WWWW[[#This Row],['#_Household received remediation action due to contamination]]/WWWW[[#This Row],['#_Household water samples tested for contamination]],"no test")</f>
        <v>0</v>
      </c>
      <c r="BS537" s="647" t="str">
        <f>IF(AND(WWWW[[#This Row],[% of water sources treated]]="no test",WWWW[[#This Row],[% Household received corrective actions]]="no test"),"No Test","Tested")</f>
        <v>Tested</v>
      </c>
      <c r="BT537" s="647">
        <f>WWWW[[#This Row],['#_Constructed/existing protected hand dug well]]-WWWW[[#This Row],['#_Non-functional protected hand dug well]]</f>
        <v>0</v>
      </c>
      <c r="BU537" s="647">
        <f>(WWWW[[#This Row],['#_Constructed/Existing tube wells/boreholes/handpumps_WASH_agency]]+WWWW[[#This Row],['#_Non-Cluster partner water tube-wells/boreholes/handpumps]])-WWWW[[#This Row],['#_Non-functional tube wells/boreholes/handpumps]]</f>
        <v>0</v>
      </c>
      <c r="BV537" s="647">
        <f>WWWW[[#This Row],['#_Constructed/Existingwater storage tank with gravity fed reticulation system]]-WWWW[[#This Row],['#_Non-functional storage tank gravity fed reticulation system]]</f>
        <v>11</v>
      </c>
      <c r="BW537" s="647">
        <f>WWWW[[#This Row],['#_Water boating or water trucking]]</f>
        <v>0</v>
      </c>
      <c r="BX537" s="647">
        <f>WWWW[[#This Row],['#_Constructed/Existing water distribution system from river or natural spring]]</f>
        <v>0</v>
      </c>
      <c r="BY537"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537"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537" s="648">
        <f>IF(WWWW[[#This Row],[Location Type 1]]="Village",WWWW[[#This Row],[Access to safe drinking water for Village]],WWWW[[#This Row],[Access to safe drinking water for Camp]])</f>
        <v>1</v>
      </c>
      <c r="CB537" s="645">
        <f>WWWW[[#This Row],[%Equitable and continuous access to sufficient quantity of safe drinking water]]*WWWW[[#This Row],[Total PoP ]]</f>
        <v>632</v>
      </c>
      <c r="CC537" s="648">
        <f>IF((WWWW[[#This Row],['#_Constructed/Existing protected/fenced ponds]]*250)/WWWW[[#This Row],[Total PoP ]]&gt;1,1,(WWWW[[#This Row],['#_Constructed/Existing protected/fenced ponds]]*250)/WWWW[[#This Row],[Total PoP ]])</f>
        <v>0</v>
      </c>
      <c r="CD537" s="645">
        <f>WWWW[[#This Row],[% Access to unimproved water points]]*WWWW[[#This Row],[Total PoP ]]</f>
        <v>0</v>
      </c>
      <c r="CE537"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37"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632</v>
      </c>
      <c r="CG537" s="645">
        <f>WWWW[[#This Row],[HRP1]]/500</f>
        <v>1.264</v>
      </c>
      <c r="CH537" s="650">
        <f>1-WWWW[[#This Row],[% Equitable and continuous access to sufficient quantity of domestic water]]</f>
        <v>0</v>
      </c>
      <c r="CI537" s="645">
        <f>WWWW[[#This Row],[%equitable and continuous access to sufficient quantity of safe drinking and domestic water''s GAP]]*WWWW[[#This Row],[Total PoP ]]</f>
        <v>0</v>
      </c>
      <c r="CJ537" s="647">
        <f>IF(WWWW[[#This Row],[Total required water points]]-WWWW[[#This Row],['#Water points coverage]]&lt;0,0,WWWW[[#This Row],[Total required water points]]-WWWW[[#This Row],['#Water points coverage]])</f>
        <v>0</v>
      </c>
      <c r="CK537" s="647">
        <f>ROUND(IF(WWWW[[#This Row],[Total PoP ]]&lt;500,1,WWWW[[#This Row],[Total PoP ]]/500),0)</f>
        <v>1</v>
      </c>
      <c r="CL537" s="647">
        <f>(WWWW[[#This Row],['#_Constructed latrines_by_WASHAgencies]]+WWWW[[#This Row],['#_Non Cluster partner latrines]])-WWWW[[#This Row],['#_Non-functional latrines]]</f>
        <v>103</v>
      </c>
      <c r="CM537"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0.97784810126582278</v>
      </c>
      <c r="CN537"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618</v>
      </c>
      <c r="CO537"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37" s="647">
        <f>IF(WWWW[[#This Row],[Location Type 1]]="Village","NA",IF(WWWW[[#This Row],['#_Constructed/Existing latrines in TLS]]*50&gt;WWWW[[#This Row],['#_students at TLS_CFS]],WWWW[[#This Row],['#_students at TLS_CFS]],(WWWW[[#This Row],['#_Constructed/Existing latrines in TLS]]*50)))</f>
        <v>0</v>
      </c>
      <c r="CQ537" s="647">
        <f>ROUND(IF(WWWW[[#This Row],[Location Type 1]]="camp",WWWW[[#This Row],[Total PoP ]]/20,IF(WWWW[[#This Row],[Location Type 1]]="Temporary Location",WWWW[[#This Row],[Total PoP ]]/50,(WWWW[[#This Row],[Total PoP ]]/6))),0)</f>
        <v>105</v>
      </c>
      <c r="CR537" s="647">
        <f>IF(WWWW[[#This Row],[Total required Latrines]]-(WWWW[[#This Row],['#_Constructed latrines_by_WASHAgencies]]+WWWW[[#This Row],['#_Non Cluster partner latrines]])&lt;0,0,WWWW[[#This Row],[Total required Latrines]]-(WWWW[[#This Row],['#_Constructed latrines_by_WASHAgencies]]+WWWW[[#This Row],['#_Non Cluster partner latrines]]))</f>
        <v>2</v>
      </c>
      <c r="CS537" s="79">
        <f>1-WWWW[[#This Row],[% people access to functioning Latrine]]</f>
        <v>2.2151898734177222E-2</v>
      </c>
      <c r="CT537" s="649">
        <f>IF(OR(WWWW[[#This Row],['#_Non-functional latrines]]="",WWWW[[#This Row],['#_Non-functional latrines]]=0),0,WWWW[[#This Row],['#_Non-functional latrines]]/(WWWW[[#This Row],['#_Constructed latrines_by_WASHAgencies]]+WWWW[[#This Row],['#_Non Cluster partner latrines]]))</f>
        <v>0</v>
      </c>
      <c r="CU537" s="645">
        <f>IF(500*(WWWW[[#This Row],['#_male hygiene promoters]]+WWWW[[#This Row],['#_female hygiene promoters]])&gt;WWWW[[#This Row],[Total PoP ]],WWWW[[#This Row],[Total PoP ]],500*(WWWW[[#This Row],['#_male hygiene promoters]]+WWWW[[#This Row],['#_female hygiene promoters]]))</f>
        <v>500</v>
      </c>
      <c r="CV537"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632</v>
      </c>
      <c r="CW537"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37" s="647">
        <f>IF(WWWW[[#This Row],['# People with access to soap]]&gt;WWWW[[#This Row],['# People with access to Sanity Pads]],WWWW[[#This Row],['# People with access to soap]],WWWW[[#This Row],['# People with access to Sanity Pads]])</f>
        <v>632</v>
      </c>
      <c r="CY537" s="647">
        <f>IF(WWWW[[#This Row],['# people reached by regular dedicated hygiene promotion_5]]&gt;WWWW[[#This Row],['# People received regular supply of hygiene items_6]],WWWW[[#This Row],['# people reached by regular dedicated hygiene promotion_5]],WWWW[[#This Row],['# People received regular supply of hygiene items_6]])</f>
        <v>632</v>
      </c>
      <c r="CZ537" s="650">
        <f>IF(WWWW[[#This Row],[HRP3]]/WWWW[[#This Row],[Total PoP ]]&gt;100%,100%,WWWW[[#This Row],[HRP3]]/WWWW[[#This Row],[Total PoP ]])</f>
        <v>1</v>
      </c>
      <c r="DA537" s="649">
        <f>1-WWWW[[#This Row],[Hygiene Coverage%]]</f>
        <v>0</v>
      </c>
      <c r="DB537" s="648">
        <f>WWWW[[#This Row],['# people reached by regular dedicated hygiene promotion_5]]/WWWW[[#This Row],[Total PoP ]]</f>
        <v>0.79113924050632911</v>
      </c>
      <c r="DC537" s="648">
        <f>IF(WWWW[[#This Row],['#_households that received standard amount of soap for this quarter]]/WWWW[[#This Row],[Total HH]]&gt;1,1,WWWW[[#This Row],['#_households that received standard amount of soap for this quarter]]/WWWW[[#This Row],[Total HH]])</f>
        <v>1</v>
      </c>
      <c r="DD537" s="648">
        <f>IF(WWWW[[#This Row],['#_households that received standard amount of sanitary pads for this quarter]]/WWWW[[#This Row],[Total HH]]&gt;1,1,WWWW[[#This Row],['#_households that received standard amount of sanitary pads for this quarter]]/WWWW[[#This Row],[Total HH]])</f>
        <v>0</v>
      </c>
      <c r="DE537" s="647">
        <f>WWWW[[#This Row],['#_Constructed/Existing hand washing stations]]-WWWW[[#This Row],['#_Non-Functional_hand_washing_stations]]</f>
        <v>2</v>
      </c>
      <c r="DF537" s="667">
        <f>IF(WWWW[[#This Row],['# Functional hand washing stations during reporting period]]*20&gt;WWWW[[#This Row],[Total HH]],WWWW[[#This Row],[Total HH]],WWWW[[#This Row],['# Functional hand washing stations during reporting period]]*20)</f>
        <v>40</v>
      </c>
      <c r="DG537" s="645">
        <f>IF(WWWW[[#This Row],[Is sufficient soap available for TLS? (Yes/No)]]="yes",WWWW[[#This Row],['#_Constructed/Existing hand washing stations at TLS]],0)</f>
        <v>0</v>
      </c>
      <c r="DH537" s="645">
        <f>IF(WWWW[[#This Row],['# Functional hand washing stations during reporting period]]*100&gt;WWWW[[#This Row],[Total PoP ]],WWWW[[#This Row],[Total PoP ]],WWWW[[#This Row],['# Functional hand washing stations during reporting period]]*100)</f>
        <v>200</v>
      </c>
      <c r="DI537" s="645" t="str">
        <f>IF(WWWW[[#This Row],['#_students at TLS_CFS]]="","No","Yes")</f>
        <v>No</v>
      </c>
      <c r="DJ537" s="643" t="str">
        <f>VLOOKUP(WWWW[[#This Row],[Site Name]],SiteDB6[[Site Name]:[CCCM Management]],6,FALSE)</f>
        <v>Yes</v>
      </c>
      <c r="DK537" s="643" t="str">
        <f>VLOOKUP(WWWW[[#This Row],[Site Name]],SiteDB6[[Site Name]:[CCCM Focal Agency]],7,FALSE)</f>
        <v>KMSS-LSO</v>
      </c>
      <c r="DL537" s="643" t="str">
        <f>VLOOKUP(WWWW[[#This Row],[Site Name]],SiteDB6[[Site Name]:[Location Type 1]],9,FALSE)</f>
        <v>Village Type Camp</v>
      </c>
      <c r="DM537" s="643" t="str">
        <f>VLOOKUP(WWWW[[#This Row],[Site Name]],SiteDB6[[Site Name]:[Type of Accommodation]],10,FALSE)</f>
        <v>Camp</v>
      </c>
      <c r="DN537" s="643" t="str">
        <f>VLOOKUP(WWWW[[#This Row],[Site Name]],SiteDB6[[Site Name]:[Ethnic or GCA/NGCA]],11,FALSE)</f>
        <v>GCA</v>
      </c>
      <c r="DO537" s="643">
        <f>VLOOKUP(WWWW[[#This Row],[Site Name]],SiteDB6[[Site Name]:[Lat]],12,FALSE)</f>
        <v>23.447111</v>
      </c>
      <c r="DP537" s="643">
        <f>VLOOKUP(WWWW[[#This Row],[Site Name]],SiteDB6[[Site Name]:[Long]],13,FALSE)</f>
        <v>97.868876999999998</v>
      </c>
      <c r="DQ537" s="643" t="str">
        <f>VLOOKUP(WWWW[[#This Row],[Site Name]],SiteDB6[[Site Name]:[Pcode]],3,FALSE)</f>
        <v>MMR015CMP219</v>
      </c>
      <c r="DR537" s="652" t="str">
        <f t="shared" si="18"/>
        <v>Covered</v>
      </c>
      <c r="DS537" s="652"/>
    </row>
    <row r="538" spans="1:123">
      <c r="A538" s="637" t="s">
        <v>2525</v>
      </c>
      <c r="B538" s="644" t="s">
        <v>1957</v>
      </c>
      <c r="C538" s="644" t="s">
        <v>1957</v>
      </c>
      <c r="D538" s="701" t="s">
        <v>2977</v>
      </c>
      <c r="E538" s="663" t="s">
        <v>716</v>
      </c>
      <c r="F538" s="644" t="s">
        <v>720</v>
      </c>
      <c r="G538" s="663" t="str">
        <f>VLOOKUP(WWWW[[#This Row],[Site Name]],SiteDB6[[Site Name]:[Location Type]],8,FALSE)</f>
        <v>Camp</v>
      </c>
      <c r="H538" s="644" t="s">
        <v>763</v>
      </c>
      <c r="I538" s="379">
        <v>36</v>
      </c>
      <c r="J538" s="379">
        <v>191</v>
      </c>
      <c r="K538" s="710" t="s">
        <v>2978</v>
      </c>
      <c r="L538" s="58" t="s">
        <v>2979</v>
      </c>
      <c r="M538" s="646">
        <v>44</v>
      </c>
      <c r="N538" s="646"/>
      <c r="O538" s="646"/>
      <c r="P538" s="646"/>
      <c r="Q538" s="645" t="s">
        <v>43</v>
      </c>
      <c r="R538" s="646">
        <v>5</v>
      </c>
      <c r="S538" s="646">
        <v>4</v>
      </c>
      <c r="T538" s="646"/>
      <c r="U538" s="646"/>
      <c r="V538" s="646"/>
      <c r="W538" s="646"/>
      <c r="X538" s="646"/>
      <c r="Y538" s="646"/>
      <c r="Z538" s="646"/>
      <c r="AA538" s="646">
        <v>16</v>
      </c>
      <c r="AB538" s="646"/>
      <c r="AC538" s="646"/>
      <c r="AD538" s="646"/>
      <c r="AE538" s="646"/>
      <c r="AF538" s="646"/>
      <c r="AG538" s="646">
        <v>1</v>
      </c>
      <c r="AH538" s="646">
        <v>1</v>
      </c>
      <c r="AI538" s="646">
        <v>1</v>
      </c>
      <c r="AJ538" s="646"/>
      <c r="AK538" s="646">
        <v>15</v>
      </c>
      <c r="AL538" s="646"/>
      <c r="AM538" s="646"/>
      <c r="AN538" s="646"/>
      <c r="AO538" s="652"/>
      <c r="AP538" s="646">
        <v>36</v>
      </c>
      <c r="AQ538" s="646"/>
      <c r="AR538" s="648"/>
      <c r="AS538" s="646"/>
      <c r="AT538" s="646"/>
      <c r="AU538" s="646"/>
      <c r="AV538" s="646"/>
      <c r="AW538" s="646"/>
      <c r="AX538" s="643" t="s">
        <v>148</v>
      </c>
      <c r="AY538" s="703" t="s">
        <v>1200</v>
      </c>
      <c r="AZ538" s="646"/>
      <c r="BA538" s="646"/>
      <c r="BB538" s="646"/>
      <c r="BC538" s="709"/>
      <c r="BD538" s="646"/>
      <c r="BE538" s="646"/>
      <c r="BF538" s="646"/>
      <c r="BG538" s="646"/>
      <c r="BH538" s="646"/>
      <c r="BI538" s="646"/>
      <c r="BJ538" s="646">
        <v>1</v>
      </c>
      <c r="BK538" s="646">
        <v>36</v>
      </c>
      <c r="BL538" s="646">
        <v>0</v>
      </c>
      <c r="BM538" s="643"/>
      <c r="BN538" s="647"/>
      <c r="BO538" s="648">
        <v>0.5</v>
      </c>
      <c r="BP538" s="643"/>
      <c r="BQ538" s="649">
        <f>IFERROR(WWWW[[#This Row],['#_Water sources treated]]/WWWW[[#This Row],['#_Water sources tested for contamination]],"no test")</f>
        <v>0</v>
      </c>
      <c r="BR538" s="648">
        <f>IFERROR(WWWW[[#This Row],['#_Household received remediation action due to contamination]]/WWWW[[#This Row],['#_Household water samples tested for contamination]],"no test")</f>
        <v>0</v>
      </c>
      <c r="BS538" s="647" t="str">
        <f>IF(AND(WWWW[[#This Row],[% of water sources treated]]="no test",WWWW[[#This Row],[% Household received corrective actions]]="no test"),"No Test","Tested")</f>
        <v>Tested</v>
      </c>
      <c r="BT538" s="647">
        <f>WWWW[[#This Row],['#_Constructed/existing protected hand dug well]]-WWWW[[#This Row],['#_Non-functional protected hand dug well]]</f>
        <v>0</v>
      </c>
      <c r="BU538" s="647">
        <f>(WWWW[[#This Row],['#_Constructed/Existing tube wells/boreholes/handpumps_WASH_agency]]+WWWW[[#This Row],['#_Non-Cluster partner water tube-wells/boreholes/handpumps]])-WWWW[[#This Row],['#_Non-functional tube wells/boreholes/handpumps]]</f>
        <v>0</v>
      </c>
      <c r="BV538" s="647">
        <f>WWWW[[#This Row],['#_Constructed/Existingwater storage tank with gravity fed reticulation system]]-WWWW[[#This Row],['#_Non-functional storage tank gravity fed reticulation system]]</f>
        <v>16</v>
      </c>
      <c r="BW538" s="647">
        <f>WWWW[[#This Row],['#_Water boating or water trucking]]</f>
        <v>0</v>
      </c>
      <c r="BX538" s="647">
        <f>WWWW[[#This Row],['#_Constructed/Existing water distribution system from river or natural spring]]</f>
        <v>0</v>
      </c>
      <c r="BY538"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538"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538" s="648">
        <f>IF(WWWW[[#This Row],[Location Type 1]]="Village",WWWW[[#This Row],[Access to safe drinking water for Village]],WWWW[[#This Row],[Access to safe drinking water for Camp]])</f>
        <v>1</v>
      </c>
      <c r="CB538" s="645">
        <f>WWWW[[#This Row],[%Equitable and continuous access to sufficient quantity of safe drinking water]]*WWWW[[#This Row],[Total PoP ]]</f>
        <v>191</v>
      </c>
      <c r="CC538" s="648">
        <f>IF((WWWW[[#This Row],['#_Constructed/Existing protected/fenced ponds]]*250)/WWWW[[#This Row],[Total PoP ]]&gt;1,1,(WWWW[[#This Row],['#_Constructed/Existing protected/fenced ponds]]*250)/WWWW[[#This Row],[Total PoP ]])</f>
        <v>0</v>
      </c>
      <c r="CD538" s="645">
        <f>WWWW[[#This Row],[% Access to unimproved water points]]*WWWW[[#This Row],[Total PoP ]]</f>
        <v>0</v>
      </c>
      <c r="CE538"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38"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191</v>
      </c>
      <c r="CG538" s="645">
        <f>WWWW[[#This Row],[HRP1]]/500</f>
        <v>0.38200000000000001</v>
      </c>
      <c r="CH538" s="650">
        <f>1-WWWW[[#This Row],[% Equitable and continuous access to sufficient quantity of domestic water]]</f>
        <v>0</v>
      </c>
      <c r="CI538" s="645">
        <f>WWWW[[#This Row],[%equitable and continuous access to sufficient quantity of safe drinking and domestic water''s GAP]]*WWWW[[#This Row],[Total PoP ]]</f>
        <v>0</v>
      </c>
      <c r="CJ538" s="647">
        <f>IF(WWWW[[#This Row],[Total required water points]]-WWWW[[#This Row],['#Water points coverage]]&lt;0,0,WWWW[[#This Row],[Total required water points]]-WWWW[[#This Row],['#Water points coverage]])</f>
        <v>0.61799999999999999</v>
      </c>
      <c r="CK538" s="647">
        <f>ROUND(IF(WWWW[[#This Row],[Total PoP ]]&lt;500,1,WWWW[[#This Row],[Total PoP ]]/500),0)</f>
        <v>1</v>
      </c>
      <c r="CL538" s="647">
        <f>(WWWW[[#This Row],['#_Constructed latrines_by_WASHAgencies]]+WWWW[[#This Row],['#_Non Cluster partner latrines]])-WWWW[[#This Row],['#_Non-functional latrines]]</f>
        <v>36</v>
      </c>
      <c r="CM538"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538"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191</v>
      </c>
      <c r="CO538"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38" s="647">
        <f>IF(WWWW[[#This Row],[Location Type 1]]="Village","NA",IF(WWWW[[#This Row],['#_Constructed/Existing latrines in TLS]]*50&gt;WWWW[[#This Row],['#_students at TLS_CFS]],WWWW[[#This Row],['#_students at TLS_CFS]],(WWWW[[#This Row],['#_Constructed/Existing latrines in TLS]]*50)))</f>
        <v>0</v>
      </c>
      <c r="CQ538" s="647">
        <f>ROUND(IF(WWWW[[#This Row],[Location Type 1]]="camp",WWWW[[#This Row],[Total PoP ]]/20,IF(WWWW[[#This Row],[Location Type 1]]="Temporary Location",WWWW[[#This Row],[Total PoP ]]/50,(WWWW[[#This Row],[Total PoP ]]/6))),0)</f>
        <v>10</v>
      </c>
      <c r="CR538" s="647">
        <f>IF(WWWW[[#This Row],[Total required Latrines]]-(WWWW[[#This Row],['#_Constructed latrines_by_WASHAgencies]]+WWWW[[#This Row],['#_Non Cluster partner latrines]])&lt;0,0,WWWW[[#This Row],[Total required Latrines]]-(WWWW[[#This Row],['#_Constructed latrines_by_WASHAgencies]]+WWWW[[#This Row],['#_Non Cluster partner latrines]]))</f>
        <v>0</v>
      </c>
      <c r="CS538" s="79">
        <f>1-WWWW[[#This Row],[% people access to functioning Latrine]]</f>
        <v>0</v>
      </c>
      <c r="CT538" s="649">
        <f>IF(OR(WWWW[[#This Row],['#_Non-functional latrines]]="",WWWW[[#This Row],['#_Non-functional latrines]]=0),0,WWWW[[#This Row],['#_Non-functional latrines]]/(WWWW[[#This Row],['#_Constructed latrines_by_WASHAgencies]]+WWWW[[#This Row],['#_Non Cluster partner latrines]]))</f>
        <v>0</v>
      </c>
      <c r="CU538" s="645">
        <f>IF(500*(WWWW[[#This Row],['#_male hygiene promoters]]+WWWW[[#This Row],['#_female hygiene promoters]])&gt;WWWW[[#This Row],[Total PoP ]],WWWW[[#This Row],[Total PoP ]],500*(WWWW[[#This Row],['#_male hygiene promoters]]+WWWW[[#This Row],['#_female hygiene promoters]]))</f>
        <v>191</v>
      </c>
      <c r="CV538"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191</v>
      </c>
      <c r="CW538"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38" s="647">
        <f>IF(WWWW[[#This Row],['# People with access to soap]]&gt;WWWW[[#This Row],['# People with access to Sanity Pads]],WWWW[[#This Row],['# People with access to soap]],WWWW[[#This Row],['# People with access to Sanity Pads]])</f>
        <v>191</v>
      </c>
      <c r="CY538" s="647">
        <f>IF(WWWW[[#This Row],['# people reached by regular dedicated hygiene promotion_5]]&gt;WWWW[[#This Row],['# People received regular supply of hygiene items_6]],WWWW[[#This Row],['# people reached by regular dedicated hygiene promotion_5]],WWWW[[#This Row],['# People received regular supply of hygiene items_6]])</f>
        <v>191</v>
      </c>
      <c r="CZ538" s="650">
        <f>IF(WWWW[[#This Row],[HRP3]]/WWWW[[#This Row],[Total PoP ]]&gt;100%,100%,WWWW[[#This Row],[HRP3]]/WWWW[[#This Row],[Total PoP ]])</f>
        <v>1</v>
      </c>
      <c r="DA538" s="649">
        <f>1-WWWW[[#This Row],[Hygiene Coverage%]]</f>
        <v>0</v>
      </c>
      <c r="DB538" s="648">
        <f>WWWW[[#This Row],['# people reached by regular dedicated hygiene promotion_5]]/WWWW[[#This Row],[Total PoP ]]</f>
        <v>1</v>
      </c>
      <c r="DC538" s="648">
        <f>IF(WWWW[[#This Row],['#_households that received standard amount of soap for this quarter]]/WWWW[[#This Row],[Total HH]]&gt;1,1,WWWW[[#This Row],['#_households that received standard amount of soap for this quarter]]/WWWW[[#This Row],[Total HH]])</f>
        <v>1</v>
      </c>
      <c r="DD538" s="648">
        <f>IF(WWWW[[#This Row],['#_households that received standard amount of sanitary pads for this quarter]]/WWWW[[#This Row],[Total HH]]&gt;1,1,WWWW[[#This Row],['#_households that received standard amount of sanitary pads for this quarter]]/WWWW[[#This Row],[Total HH]])</f>
        <v>0</v>
      </c>
      <c r="DE538" s="647">
        <f>WWWW[[#This Row],['#_Constructed/Existing hand washing stations]]-WWWW[[#This Row],['#_Non-Functional_hand_washing_stations]]</f>
        <v>0</v>
      </c>
      <c r="DF538" s="667">
        <f>IF(WWWW[[#This Row],['# Functional hand washing stations during reporting period]]*20&gt;WWWW[[#This Row],[Total HH]],WWWW[[#This Row],[Total HH]],WWWW[[#This Row],['# Functional hand washing stations during reporting period]]*20)</f>
        <v>0</v>
      </c>
      <c r="DG538" s="645">
        <f>IF(WWWW[[#This Row],[Is sufficient soap available for TLS? (Yes/No)]]="yes",WWWW[[#This Row],['#_Constructed/Existing hand washing stations at TLS]],0)</f>
        <v>0</v>
      </c>
      <c r="DH538" s="645">
        <f>IF(WWWW[[#This Row],['# Functional hand washing stations during reporting period]]*100&gt;WWWW[[#This Row],[Total PoP ]],WWWW[[#This Row],[Total PoP ]],WWWW[[#This Row],['# Functional hand washing stations during reporting period]]*100)</f>
        <v>0</v>
      </c>
      <c r="DI538" s="645" t="str">
        <f>IF(WWWW[[#This Row],['#_students at TLS_CFS]]="","No","Yes")</f>
        <v>Yes</v>
      </c>
      <c r="DJ538" s="643" t="str">
        <f>VLOOKUP(WWWW[[#This Row],[Site Name]],SiteDB6[[Site Name]:[CCCM Management]],6,FALSE)</f>
        <v>Yes</v>
      </c>
      <c r="DK538" s="643" t="str">
        <f>VLOOKUP(WWWW[[#This Row],[Site Name]],SiteDB6[[Site Name]:[CCCM Focal Agency]],7,FALSE)</f>
        <v>KMSS-LSO</v>
      </c>
      <c r="DL538" s="643" t="str">
        <f>VLOOKUP(WWWW[[#This Row],[Site Name]],SiteDB6[[Site Name]:[Location Type 1]],9,FALSE)</f>
        <v>Camp</v>
      </c>
      <c r="DM538" s="643" t="str">
        <f>VLOOKUP(WWWW[[#This Row],[Site Name]],SiteDB6[[Site Name]:[Type of Accommodation]],10,FALSE)</f>
        <v>Camp</v>
      </c>
      <c r="DN538" s="643" t="str">
        <f>VLOOKUP(WWWW[[#This Row],[Site Name]],SiteDB6[[Site Name]:[Ethnic or GCA/NGCA]],11,FALSE)</f>
        <v>GCA</v>
      </c>
      <c r="DO538" s="643">
        <f>VLOOKUP(WWWW[[#This Row],[Site Name]],SiteDB6[[Site Name]:[Lat]],12,FALSE)</f>
        <v>0</v>
      </c>
      <c r="DP538" s="643">
        <f>VLOOKUP(WWWW[[#This Row],[Site Name]],SiteDB6[[Site Name]:[Long]],13,FALSE)</f>
        <v>0</v>
      </c>
      <c r="DQ538" s="643" t="str">
        <f>VLOOKUP(WWWW[[#This Row],[Site Name]],SiteDB6[[Site Name]:[Pcode]],3,FALSE)</f>
        <v>MMR015CMP249</v>
      </c>
      <c r="DR538" s="652" t="str">
        <f t="shared" si="18"/>
        <v>Covered</v>
      </c>
      <c r="DS538" s="652"/>
    </row>
    <row r="539" spans="1:123">
      <c r="A539" s="637" t="s">
        <v>2525</v>
      </c>
      <c r="B539" s="644" t="s">
        <v>200</v>
      </c>
      <c r="C539" s="644" t="s">
        <v>200</v>
      </c>
      <c r="D539" s="644" t="s">
        <v>2970</v>
      </c>
      <c r="E539" s="644" t="s">
        <v>716</v>
      </c>
      <c r="F539" s="644" t="s">
        <v>737</v>
      </c>
      <c r="G539" s="663" t="str">
        <f>VLOOKUP(WWWW[[#This Row],[Site Name]],SiteDB6[[Site Name]:[Location Type]],8,FALSE)</f>
        <v>Camp</v>
      </c>
      <c r="H539" s="644" t="s">
        <v>738</v>
      </c>
      <c r="I539" s="646">
        <v>6</v>
      </c>
      <c r="J539" s="646">
        <v>27</v>
      </c>
      <c r="K539" s="653" t="s">
        <v>2971</v>
      </c>
      <c r="L539" s="654" t="s">
        <v>2972</v>
      </c>
      <c r="M539" s="646"/>
      <c r="N539" s="646"/>
      <c r="O539" s="646"/>
      <c r="P539" s="646"/>
      <c r="Q539" s="645"/>
      <c r="R539" s="646"/>
      <c r="S539" s="646"/>
      <c r="T539" s="646"/>
      <c r="U539" s="646"/>
      <c r="V539" s="646"/>
      <c r="W539" s="646"/>
      <c r="X539" s="646"/>
      <c r="Y539" s="646"/>
      <c r="Z539" s="646"/>
      <c r="AA539" s="646"/>
      <c r="AB539" s="646"/>
      <c r="AC539" s="646"/>
      <c r="AD539" s="646"/>
      <c r="AE539" s="646"/>
      <c r="AF539" s="646"/>
      <c r="AG539" s="646"/>
      <c r="AH539" s="646"/>
      <c r="AI539" s="646"/>
      <c r="AJ539" s="646"/>
      <c r="AK539" s="646"/>
      <c r="AL539" s="646"/>
      <c r="AM539" s="646"/>
      <c r="AN539" s="646"/>
      <c r="AO539" s="652"/>
      <c r="AP539" s="646"/>
      <c r="AQ539" s="646"/>
      <c r="AR539" s="648"/>
      <c r="AS539" s="646"/>
      <c r="AT539" s="646"/>
      <c r="AU539" s="646"/>
      <c r="AV539" s="646"/>
      <c r="AW539" s="646"/>
      <c r="AX539" s="643" t="s">
        <v>144</v>
      </c>
      <c r="AY539" s="652" t="s">
        <v>144</v>
      </c>
      <c r="AZ539" s="646"/>
      <c r="BA539" s="646"/>
      <c r="BB539" s="646"/>
      <c r="BC539" s="643"/>
      <c r="BD539" s="646"/>
      <c r="BE539" s="646"/>
      <c r="BF539" s="646"/>
      <c r="BG539" s="646"/>
      <c r="BH539" s="646"/>
      <c r="BI539" s="646"/>
      <c r="BJ539" s="646"/>
      <c r="BK539" s="646">
        <v>0</v>
      </c>
      <c r="BL539" s="646">
        <v>0</v>
      </c>
      <c r="BM539" s="643"/>
      <c r="BN539" s="647"/>
      <c r="BO539" s="648"/>
      <c r="BP539" s="643"/>
      <c r="BQ539" s="649" t="str">
        <f>IFERROR(WWWW[[#This Row],['#_Water sources treated]]/WWWW[[#This Row],['#_Water sources tested for contamination]],"no test")</f>
        <v>no test</v>
      </c>
      <c r="BR539" s="648" t="str">
        <f>IFERROR(WWWW[[#This Row],['#_Household received remediation action due to contamination]]/WWWW[[#This Row],['#_Household water samples tested for contamination]],"no test")</f>
        <v>no test</v>
      </c>
      <c r="BS539" s="647" t="str">
        <f>IF(AND(WWWW[[#This Row],[% of water sources treated]]="no test",WWWW[[#This Row],[% Household received corrective actions]]="no test"),"No Test","Tested")</f>
        <v>No Test</v>
      </c>
      <c r="BT539" s="647">
        <f>WWWW[[#This Row],['#_Constructed/existing protected hand dug well]]-WWWW[[#This Row],['#_Non-functional protected hand dug well]]</f>
        <v>0</v>
      </c>
      <c r="BU539" s="647">
        <f>(WWWW[[#This Row],['#_Constructed/Existing tube wells/boreholes/handpumps_WASH_agency]]+WWWW[[#This Row],['#_Non-Cluster partner water tube-wells/boreholes/handpumps]])-WWWW[[#This Row],['#_Non-functional tube wells/boreholes/handpumps]]</f>
        <v>0</v>
      </c>
      <c r="BV539" s="647">
        <f>WWWW[[#This Row],['#_Constructed/Existingwater storage tank with gravity fed reticulation system]]-WWWW[[#This Row],['#_Non-functional storage tank gravity fed reticulation system]]</f>
        <v>0</v>
      </c>
      <c r="BW539" s="647">
        <f>WWWW[[#This Row],['#_Water boating or water trucking]]</f>
        <v>0</v>
      </c>
      <c r="BX539" s="647">
        <f>WWWW[[#This Row],['#_Constructed/Existing water distribution system from river or natural spring]]</f>
        <v>0</v>
      </c>
      <c r="BY539"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539"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539" s="648">
        <f>IF(WWWW[[#This Row],[Location Type 1]]="Village",WWWW[[#This Row],[Access to safe drinking water for Village]],WWWW[[#This Row],[Access to safe drinking water for Camp]])</f>
        <v>0</v>
      </c>
      <c r="CB539" s="645">
        <f>WWWW[[#This Row],[%Equitable and continuous access to sufficient quantity of safe drinking water]]*WWWW[[#This Row],[Total PoP ]]</f>
        <v>0</v>
      </c>
      <c r="CC539" s="648">
        <f>IF((WWWW[[#This Row],['#_Constructed/Existing protected/fenced ponds]]*250)/WWWW[[#This Row],[Total PoP ]]&gt;1,1,(WWWW[[#This Row],['#_Constructed/Existing protected/fenced ponds]]*250)/WWWW[[#This Row],[Total PoP ]])</f>
        <v>0</v>
      </c>
      <c r="CD539" s="645">
        <f>WWWW[[#This Row],[% Access to unimproved water points]]*WWWW[[#This Row],[Total PoP ]]</f>
        <v>0</v>
      </c>
      <c r="CE539"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539"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539" s="645">
        <f>WWWW[[#This Row],[HRP1]]/500</f>
        <v>0</v>
      </c>
      <c r="CH539" s="650">
        <f>1-WWWW[[#This Row],[% Equitable and continuous access to sufficient quantity of domestic water]]</f>
        <v>1</v>
      </c>
      <c r="CI539" s="645">
        <f>WWWW[[#This Row],[%equitable and continuous access to sufficient quantity of safe drinking and domestic water''s GAP]]*WWWW[[#This Row],[Total PoP ]]</f>
        <v>27</v>
      </c>
      <c r="CJ539" s="647">
        <f>IF(WWWW[[#This Row],[Total required water points]]-WWWW[[#This Row],['#Water points coverage]]&lt;0,0,WWWW[[#This Row],[Total required water points]]-WWWW[[#This Row],['#Water points coverage]])</f>
        <v>1</v>
      </c>
      <c r="CK539" s="647">
        <f>ROUND(IF(WWWW[[#This Row],[Total PoP ]]&lt;500,1,WWWW[[#This Row],[Total PoP ]]/500),0)</f>
        <v>1</v>
      </c>
      <c r="CL539" s="647">
        <f>(WWWW[[#This Row],['#_Constructed latrines_by_WASHAgencies]]+WWWW[[#This Row],['#_Non Cluster partner latrines]])-WWWW[[#This Row],['#_Non-functional latrines]]</f>
        <v>0</v>
      </c>
      <c r="CM539"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539"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539"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39" s="647">
        <f>IF(WWWW[[#This Row],[Location Type 1]]="Village","NA",IF(WWWW[[#This Row],['#_Constructed/Existing latrines in TLS]]*50&gt;WWWW[[#This Row],['#_students at TLS_CFS]],WWWW[[#This Row],['#_students at TLS_CFS]],(WWWW[[#This Row],['#_Constructed/Existing latrines in TLS]]*50)))</f>
        <v>0</v>
      </c>
      <c r="CQ539" s="647">
        <f>ROUND(IF(WWWW[[#This Row],[Location Type 1]]="camp",WWWW[[#This Row],[Total PoP ]]/20,IF(WWWW[[#This Row],[Location Type 1]]="Temporary Location",WWWW[[#This Row],[Total PoP ]]/50,(WWWW[[#This Row],[Total PoP ]]/6))),0)</f>
        <v>1</v>
      </c>
      <c r="CR539" s="647">
        <f>IF(WWWW[[#This Row],[Total required Latrines]]-(WWWW[[#This Row],['#_Constructed latrines_by_WASHAgencies]]+WWWW[[#This Row],['#_Non Cluster partner latrines]])&lt;0,0,WWWW[[#This Row],[Total required Latrines]]-(WWWW[[#This Row],['#_Constructed latrines_by_WASHAgencies]]+WWWW[[#This Row],['#_Non Cluster partner latrines]]))</f>
        <v>1</v>
      </c>
      <c r="CS539" s="79">
        <f>1-WWWW[[#This Row],[% people access to functioning Latrine]]</f>
        <v>1</v>
      </c>
      <c r="CT539" s="649">
        <f>IF(OR(WWWW[[#This Row],['#_Non-functional latrines]]="",WWWW[[#This Row],['#_Non-functional latrines]]=0),0,WWWW[[#This Row],['#_Non-functional latrines]]/(WWWW[[#This Row],['#_Constructed latrines_by_WASHAgencies]]+WWWW[[#This Row],['#_Non Cluster partner latrines]]))</f>
        <v>0</v>
      </c>
      <c r="CU539" s="645">
        <f>IF(500*(WWWW[[#This Row],['#_male hygiene promoters]]+WWWW[[#This Row],['#_female hygiene promoters]])&gt;WWWW[[#This Row],[Total PoP ]],WWWW[[#This Row],[Total PoP ]],500*(WWWW[[#This Row],['#_male hygiene promoters]]+WWWW[[#This Row],['#_female hygiene promoters]]))</f>
        <v>0</v>
      </c>
      <c r="CV539"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39"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39" s="647">
        <f>IF(WWWW[[#This Row],['# People with access to soap]]&gt;WWWW[[#This Row],['# People with access to Sanity Pads]],WWWW[[#This Row],['# People with access to soap]],WWWW[[#This Row],['# People with access to Sanity Pads]])</f>
        <v>0</v>
      </c>
      <c r="CY539" s="647">
        <f>IF(WWWW[[#This Row],['# people reached by regular dedicated hygiene promotion_5]]&gt;WWWW[[#This Row],['# People received regular supply of hygiene items_6]],WWWW[[#This Row],['# people reached by regular dedicated hygiene promotion_5]],WWWW[[#This Row],['# People received regular supply of hygiene items_6]])</f>
        <v>0</v>
      </c>
      <c r="CZ539" s="650">
        <f>IF(WWWW[[#This Row],[HRP3]]/WWWW[[#This Row],[Total PoP ]]&gt;100%,100%,WWWW[[#This Row],[HRP3]]/WWWW[[#This Row],[Total PoP ]])</f>
        <v>0</v>
      </c>
      <c r="DA539" s="649">
        <f>1-WWWW[[#This Row],[Hygiene Coverage%]]</f>
        <v>1</v>
      </c>
      <c r="DB539" s="648">
        <f>WWWW[[#This Row],['# people reached by regular dedicated hygiene promotion_5]]/WWWW[[#This Row],[Total PoP ]]</f>
        <v>0</v>
      </c>
      <c r="DC539" s="648">
        <f>IF(WWWW[[#This Row],['#_households that received standard amount of soap for this quarter]]/WWWW[[#This Row],[Total HH]]&gt;1,1,WWWW[[#This Row],['#_households that received standard amount of soap for this quarter]]/WWWW[[#This Row],[Total HH]])</f>
        <v>0</v>
      </c>
      <c r="DD539" s="648">
        <f>IF(WWWW[[#This Row],['#_households that received standard amount of sanitary pads for this quarter]]/WWWW[[#This Row],[Total HH]]&gt;1,1,WWWW[[#This Row],['#_households that received standard amount of sanitary pads for this quarter]]/WWWW[[#This Row],[Total HH]])</f>
        <v>0</v>
      </c>
      <c r="DE539" s="647">
        <f>WWWW[[#This Row],['#_Constructed/Existing hand washing stations]]-WWWW[[#This Row],['#_Non-Functional_hand_washing_stations]]</f>
        <v>0</v>
      </c>
      <c r="DF539" s="667">
        <f>IF(WWWW[[#This Row],['# Functional hand washing stations during reporting period]]*20&gt;WWWW[[#This Row],[Total HH]],WWWW[[#This Row],[Total HH]],WWWW[[#This Row],['# Functional hand washing stations during reporting period]]*20)</f>
        <v>0</v>
      </c>
      <c r="DG539" s="645">
        <f>IF(WWWW[[#This Row],[Is sufficient soap available for TLS? (Yes/No)]]="yes",WWWW[[#This Row],['#_Constructed/Existing hand washing stations at TLS]],0)</f>
        <v>0</v>
      </c>
      <c r="DH539" s="645">
        <f>IF(WWWW[[#This Row],['# Functional hand washing stations during reporting period]]*100&gt;WWWW[[#This Row],[Total PoP ]],WWWW[[#This Row],[Total PoP ]],WWWW[[#This Row],['# Functional hand washing stations during reporting period]]*100)</f>
        <v>0</v>
      </c>
      <c r="DI539" s="645" t="str">
        <f>IF(WWWW[[#This Row],['#_students at TLS_CFS]]="","No","Yes")</f>
        <v>No</v>
      </c>
      <c r="DJ539" s="643">
        <f>VLOOKUP(WWWW[[#This Row],[Site Name]],SiteDB6[[Site Name]:[CCCM Management]],6,FALSE)</f>
        <v>0</v>
      </c>
      <c r="DK539" s="643" t="str">
        <f>VLOOKUP(WWWW[[#This Row],[Site Name]],SiteDB6[[Site Name]:[CCCM Focal Agency]],7,FALSE)</f>
        <v>uncovered</v>
      </c>
      <c r="DL539" s="643" t="str">
        <f>VLOOKUP(WWWW[[#This Row],[Site Name]],SiteDB6[[Site Name]:[Location Type 1]],9,FALSE)</f>
        <v>Camp</v>
      </c>
      <c r="DM539" s="643" t="str">
        <f>VLOOKUP(WWWW[[#This Row],[Site Name]],SiteDB6[[Site Name]:[Type of Accommodation]],10,FALSE)</f>
        <v>Camp like setting</v>
      </c>
      <c r="DN539" s="643" t="str">
        <f>VLOOKUP(WWWW[[#This Row],[Site Name]],SiteDB6[[Site Name]:[Ethnic or GCA/NGCA]],11,FALSE)</f>
        <v>GCA</v>
      </c>
      <c r="DO539" s="643">
        <f>VLOOKUP(WWWW[[#This Row],[Site Name]],SiteDB6[[Site Name]:[Lat]],12,FALSE)</f>
        <v>22.765999999999998</v>
      </c>
      <c r="DP539" s="643">
        <f>VLOOKUP(WWWW[[#This Row],[Site Name]],SiteDB6[[Site Name]:[Long]],13,FALSE)</f>
        <v>97.358999999999995</v>
      </c>
      <c r="DQ539" s="643" t="str">
        <f>VLOOKUP(WWWW[[#This Row],[Site Name]],SiteDB6[[Site Name]:[Pcode]],3,FALSE)</f>
        <v>MMR015CMP221</v>
      </c>
      <c r="DR539" s="652" t="str">
        <f t="shared" si="18"/>
        <v>Covered</v>
      </c>
      <c r="DS539" s="652"/>
    </row>
    <row r="540" spans="1:123" ht="20.25">
      <c r="A540" s="637" t="s">
        <v>2525</v>
      </c>
      <c r="B540" s="644" t="s">
        <v>1957</v>
      </c>
      <c r="C540" s="644" t="s">
        <v>1957</v>
      </c>
      <c r="D540" s="701" t="s">
        <v>2977</v>
      </c>
      <c r="E540" s="663" t="s">
        <v>716</v>
      </c>
      <c r="F540" s="644" t="s">
        <v>735</v>
      </c>
      <c r="G540" s="663" t="str">
        <f>VLOOKUP(WWWW[[#This Row],[Site Name]],SiteDB6[[Site Name]:[Location Type]],8,FALSE)</f>
        <v>Camp</v>
      </c>
      <c r="H540" s="701" t="s">
        <v>765</v>
      </c>
      <c r="I540" s="379">
        <v>36</v>
      </c>
      <c r="J540" s="379">
        <v>175</v>
      </c>
      <c r="K540" s="710" t="s">
        <v>2978</v>
      </c>
      <c r="L540" s="58" t="s">
        <v>2979</v>
      </c>
      <c r="M540" s="646">
        <v>63</v>
      </c>
      <c r="N540" s="646"/>
      <c r="O540" s="646"/>
      <c r="P540" s="646"/>
      <c r="Q540" s="645" t="s">
        <v>43</v>
      </c>
      <c r="R540" s="646">
        <v>4</v>
      </c>
      <c r="S540" s="646">
        <v>4</v>
      </c>
      <c r="T540" s="646">
        <v>1</v>
      </c>
      <c r="U540" s="646"/>
      <c r="V540" s="646"/>
      <c r="W540" s="646">
        <v>1</v>
      </c>
      <c r="X540" s="646"/>
      <c r="Y540" s="646"/>
      <c r="Z540" s="646"/>
      <c r="AA540" s="646">
        <v>13</v>
      </c>
      <c r="AB540" s="646">
        <v>13</v>
      </c>
      <c r="AC540" s="646"/>
      <c r="AD540" s="646"/>
      <c r="AE540" s="646"/>
      <c r="AF540" s="646"/>
      <c r="AG540" s="646">
        <v>1</v>
      </c>
      <c r="AH540" s="646"/>
      <c r="AI540" s="646">
        <v>1</v>
      </c>
      <c r="AJ540" s="646"/>
      <c r="AK540" s="646">
        <v>15</v>
      </c>
      <c r="AL540" s="646"/>
      <c r="AM540" s="646"/>
      <c r="AN540" s="646"/>
      <c r="AO540" s="652"/>
      <c r="AP540" s="646">
        <v>27</v>
      </c>
      <c r="AQ540" s="646">
        <v>9</v>
      </c>
      <c r="AR540" s="648"/>
      <c r="AS540" s="646"/>
      <c r="AT540" s="646"/>
      <c r="AU540" s="646"/>
      <c r="AV540" s="646"/>
      <c r="AW540" s="646"/>
      <c r="AX540" s="709" t="s">
        <v>144</v>
      </c>
      <c r="AY540" s="703" t="s">
        <v>144</v>
      </c>
      <c r="AZ540" s="646"/>
      <c r="BA540" s="646"/>
      <c r="BB540" s="646"/>
      <c r="BC540" s="708" t="s">
        <v>2976</v>
      </c>
      <c r="BD540" s="646"/>
      <c r="BE540" s="646"/>
      <c r="BF540" s="646"/>
      <c r="BG540" s="646">
        <v>2</v>
      </c>
      <c r="BH540" s="646"/>
      <c r="BI540" s="646"/>
      <c r="BJ540" s="646">
        <v>1</v>
      </c>
      <c r="BK540" s="646">
        <v>36</v>
      </c>
      <c r="BL540" s="646">
        <v>0</v>
      </c>
      <c r="BM540" s="643"/>
      <c r="BN540" s="647"/>
      <c r="BO540" s="648">
        <v>0.5</v>
      </c>
      <c r="BP540" s="643"/>
      <c r="BQ540" s="649">
        <f>IFERROR(WWWW[[#This Row],['#_Water sources treated]]/WWWW[[#This Row],['#_Water sources tested for contamination]],"no test")</f>
        <v>0</v>
      </c>
      <c r="BR540" s="648">
        <f>IFERROR(WWWW[[#This Row],['#_Household received remediation action due to contamination]]/WWWW[[#This Row],['#_Household water samples tested for contamination]],"no test")</f>
        <v>0</v>
      </c>
      <c r="BS540" s="647" t="str">
        <f>IF(AND(WWWW[[#This Row],[% of water sources treated]]="no test",WWWW[[#This Row],[% Household received corrective actions]]="no test"),"No Test","Tested")</f>
        <v>Tested</v>
      </c>
      <c r="BT540" s="647">
        <f>WWWW[[#This Row],['#_Constructed/existing protected hand dug well]]-WWWW[[#This Row],['#_Non-functional protected hand dug well]]</f>
        <v>1</v>
      </c>
      <c r="BU540" s="647">
        <f>(WWWW[[#This Row],['#_Constructed/Existing tube wells/boreholes/handpumps_WASH_agency]]+WWWW[[#This Row],['#_Non-Cluster partner water tube-wells/boreholes/handpumps]])-WWWW[[#This Row],['#_Non-functional tube wells/boreholes/handpumps]]</f>
        <v>1</v>
      </c>
      <c r="BV540" s="647">
        <f>WWWW[[#This Row],['#_Constructed/Existingwater storage tank with gravity fed reticulation system]]-WWWW[[#This Row],['#_Non-functional storage tank gravity fed reticulation system]]</f>
        <v>0</v>
      </c>
      <c r="BW540" s="647">
        <f>WWWW[[#This Row],['#_Water boating or water trucking]]</f>
        <v>0</v>
      </c>
      <c r="BX540" s="647">
        <f>WWWW[[#This Row],['#_Constructed/Existing water distribution system from river or natural spring]]</f>
        <v>0</v>
      </c>
      <c r="BY540"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540"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540" s="648">
        <f>IF(WWWW[[#This Row],[Location Type 1]]="Village",WWWW[[#This Row],[Access to safe drinking water for Village]],WWWW[[#This Row],[Access to safe drinking water for Camp]])</f>
        <v>1</v>
      </c>
      <c r="CB540" s="645">
        <f>WWWW[[#This Row],[%Equitable and continuous access to sufficient quantity of safe drinking water]]*WWWW[[#This Row],[Total PoP ]]</f>
        <v>175</v>
      </c>
      <c r="CC540" s="648">
        <f>IF((WWWW[[#This Row],['#_Constructed/Existing protected/fenced ponds]]*250)/WWWW[[#This Row],[Total PoP ]]&gt;1,1,(WWWW[[#This Row],['#_Constructed/Existing protected/fenced ponds]]*250)/WWWW[[#This Row],[Total PoP ]])</f>
        <v>0</v>
      </c>
      <c r="CD540" s="645">
        <f>WWWW[[#This Row],[% Access to unimproved water points]]*WWWW[[#This Row],[Total PoP ]]</f>
        <v>0</v>
      </c>
      <c r="CE540"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40"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175</v>
      </c>
      <c r="CG540" s="645">
        <f>WWWW[[#This Row],[HRP1]]/500</f>
        <v>0.35</v>
      </c>
      <c r="CH540" s="650">
        <f>1-WWWW[[#This Row],[% Equitable and continuous access to sufficient quantity of domestic water]]</f>
        <v>0</v>
      </c>
      <c r="CI540" s="645">
        <f>WWWW[[#This Row],[%equitable and continuous access to sufficient quantity of safe drinking and domestic water''s GAP]]*WWWW[[#This Row],[Total PoP ]]</f>
        <v>0</v>
      </c>
      <c r="CJ540" s="647">
        <f>IF(WWWW[[#This Row],[Total required water points]]-WWWW[[#This Row],['#Water points coverage]]&lt;0,0,WWWW[[#This Row],[Total required water points]]-WWWW[[#This Row],['#Water points coverage]])</f>
        <v>0.65</v>
      </c>
      <c r="CK540" s="647">
        <f>ROUND(IF(WWWW[[#This Row],[Total PoP ]]&lt;500,1,WWWW[[#This Row],[Total PoP ]]/500),0)</f>
        <v>1</v>
      </c>
      <c r="CL540" s="647">
        <f>(WWWW[[#This Row],['#_Constructed latrines_by_WASHAgencies]]+WWWW[[#This Row],['#_Non Cluster partner latrines]])-WWWW[[#This Row],['#_Non-functional latrines]]</f>
        <v>36</v>
      </c>
      <c r="CM540"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540"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175</v>
      </c>
      <c r="CO540"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40" s="647">
        <f>IF(WWWW[[#This Row],[Location Type 1]]="Village","NA",IF(WWWW[[#This Row],['#_Constructed/Existing latrines in TLS]]*50&gt;WWWW[[#This Row],['#_students at TLS_CFS]],WWWW[[#This Row],['#_students at TLS_CFS]],(WWWW[[#This Row],['#_Constructed/Existing latrines in TLS]]*50)))</f>
        <v>0</v>
      </c>
      <c r="CQ540" s="647">
        <f>ROUND(IF(WWWW[[#This Row],[Location Type 1]]="camp",WWWW[[#This Row],[Total PoP ]]/20,IF(WWWW[[#This Row],[Location Type 1]]="Temporary Location",WWWW[[#This Row],[Total PoP ]]/50,(WWWW[[#This Row],[Total PoP ]]/6))),0)</f>
        <v>9</v>
      </c>
      <c r="CR540" s="647">
        <f>IF(WWWW[[#This Row],[Total required Latrines]]-(WWWW[[#This Row],['#_Constructed latrines_by_WASHAgencies]]+WWWW[[#This Row],['#_Non Cluster partner latrines]])&lt;0,0,WWWW[[#This Row],[Total required Latrines]]-(WWWW[[#This Row],['#_Constructed latrines_by_WASHAgencies]]+WWWW[[#This Row],['#_Non Cluster partner latrines]]))</f>
        <v>0</v>
      </c>
      <c r="CS540" s="79">
        <f>1-WWWW[[#This Row],[% people access to functioning Latrine]]</f>
        <v>0</v>
      </c>
      <c r="CT540" s="649">
        <f>IF(OR(WWWW[[#This Row],['#_Non-functional latrines]]="",WWWW[[#This Row],['#_Non-functional latrines]]=0),0,WWWW[[#This Row],['#_Non-functional latrines]]/(WWWW[[#This Row],['#_Constructed latrines_by_WASHAgencies]]+WWWW[[#This Row],['#_Non Cluster partner latrines]]))</f>
        <v>0</v>
      </c>
      <c r="CU540" s="645">
        <f>IF(500*(WWWW[[#This Row],['#_male hygiene promoters]]+WWWW[[#This Row],['#_female hygiene promoters]])&gt;WWWW[[#This Row],[Total PoP ]],WWWW[[#This Row],[Total PoP ]],500*(WWWW[[#This Row],['#_male hygiene promoters]]+WWWW[[#This Row],['#_female hygiene promoters]]))</f>
        <v>175</v>
      </c>
      <c r="CV540"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175</v>
      </c>
      <c r="CW540"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40" s="647">
        <f>IF(WWWW[[#This Row],['# People with access to soap]]&gt;WWWW[[#This Row],['# People with access to Sanity Pads]],WWWW[[#This Row],['# People with access to soap]],WWWW[[#This Row],['# People with access to Sanity Pads]])</f>
        <v>175</v>
      </c>
      <c r="CY540" s="647">
        <f>IF(WWWW[[#This Row],['# people reached by regular dedicated hygiene promotion_5]]&gt;WWWW[[#This Row],['# People received regular supply of hygiene items_6]],WWWW[[#This Row],['# people reached by regular dedicated hygiene promotion_5]],WWWW[[#This Row],['# People received regular supply of hygiene items_6]])</f>
        <v>175</v>
      </c>
      <c r="CZ540" s="650">
        <f>IF(WWWW[[#This Row],[HRP3]]/WWWW[[#This Row],[Total PoP ]]&gt;100%,100%,WWWW[[#This Row],[HRP3]]/WWWW[[#This Row],[Total PoP ]])</f>
        <v>1</v>
      </c>
      <c r="DA540" s="649">
        <f>1-WWWW[[#This Row],[Hygiene Coverage%]]</f>
        <v>0</v>
      </c>
      <c r="DB540" s="648">
        <f>WWWW[[#This Row],['# people reached by regular dedicated hygiene promotion_5]]/WWWW[[#This Row],[Total PoP ]]</f>
        <v>1</v>
      </c>
      <c r="DC540" s="648">
        <f>IF(WWWW[[#This Row],['#_households that received standard amount of soap for this quarter]]/WWWW[[#This Row],[Total HH]]&gt;1,1,WWWW[[#This Row],['#_households that received standard amount of soap for this quarter]]/WWWW[[#This Row],[Total HH]])</f>
        <v>1</v>
      </c>
      <c r="DD540" s="648">
        <f>IF(WWWW[[#This Row],['#_households that received standard amount of sanitary pads for this quarter]]/WWWW[[#This Row],[Total HH]]&gt;1,1,WWWW[[#This Row],['#_households that received standard amount of sanitary pads for this quarter]]/WWWW[[#This Row],[Total HH]])</f>
        <v>0</v>
      </c>
      <c r="DE540" s="647">
        <f>WWWW[[#This Row],['#_Constructed/Existing hand washing stations]]-WWWW[[#This Row],['#_Non-Functional_hand_washing_stations]]</f>
        <v>0</v>
      </c>
      <c r="DF540" s="667">
        <f>IF(WWWW[[#This Row],['# Functional hand washing stations during reporting period]]*20&gt;WWWW[[#This Row],[Total HH]],WWWW[[#This Row],[Total HH]],WWWW[[#This Row],['# Functional hand washing stations during reporting period]]*20)</f>
        <v>0</v>
      </c>
      <c r="DG540" s="645">
        <f>IF(WWWW[[#This Row],[Is sufficient soap available for TLS? (Yes/No)]]="yes",WWWW[[#This Row],['#_Constructed/Existing hand washing stations at TLS]],0)</f>
        <v>0</v>
      </c>
      <c r="DH540" s="645">
        <f>IF(WWWW[[#This Row],['# Functional hand washing stations during reporting period]]*100&gt;WWWW[[#This Row],[Total PoP ]],WWWW[[#This Row],[Total PoP ]],WWWW[[#This Row],['# Functional hand washing stations during reporting period]]*100)</f>
        <v>0</v>
      </c>
      <c r="DI540" s="645" t="str">
        <f>IF(WWWW[[#This Row],['#_students at TLS_CFS]]="","No","Yes")</f>
        <v>Yes</v>
      </c>
      <c r="DJ540" s="643">
        <f>VLOOKUP(WWWW[[#This Row],[Site Name]],SiteDB6[[Site Name]:[CCCM Management]],6,FALSE)</f>
        <v>0</v>
      </c>
      <c r="DK540" s="643">
        <f>VLOOKUP(WWWW[[#This Row],[Site Name]],SiteDB6[[Site Name]:[CCCM Focal Agency]],7,FALSE)</f>
        <v>0</v>
      </c>
      <c r="DL540" s="643" t="str">
        <f>VLOOKUP(WWWW[[#This Row],[Site Name]],SiteDB6[[Site Name]:[Location Type 1]],9,FALSE)</f>
        <v>Camp</v>
      </c>
      <c r="DM540" s="643" t="str">
        <f>VLOOKUP(WWWW[[#This Row],[Site Name]],SiteDB6[[Site Name]:[Type of Accommodation]],10,FALSE)</f>
        <v>Closed Camp</v>
      </c>
      <c r="DN540" s="643" t="str">
        <f>VLOOKUP(WWWW[[#This Row],[Site Name]],SiteDB6[[Site Name]:[Ethnic or GCA/NGCA]],11,FALSE)</f>
        <v>GCA</v>
      </c>
      <c r="DO540" s="643">
        <f>VLOOKUP(WWWW[[#This Row],[Site Name]],SiteDB6[[Site Name]:[Lat]],12,FALSE)</f>
        <v>23.353999999999999</v>
      </c>
      <c r="DP540" s="643">
        <f>VLOOKUP(WWWW[[#This Row],[Site Name]],SiteDB6[[Site Name]:[Long]],13,FALSE)</f>
        <v>98.221000000000004</v>
      </c>
      <c r="DQ540" s="643" t="str">
        <f>VLOOKUP(WWWW[[#This Row],[Site Name]],SiteDB6[[Site Name]:[Pcode]],3,FALSE)</f>
        <v>MMR015CMP226</v>
      </c>
      <c r="DR540" s="652" t="str">
        <f t="shared" si="18"/>
        <v>Covered</v>
      </c>
      <c r="DS540" s="652"/>
    </row>
    <row r="541" spans="1:123">
      <c r="A541" s="637" t="s">
        <v>2525</v>
      </c>
      <c r="B541" s="644" t="s">
        <v>1957</v>
      </c>
      <c r="C541" s="644" t="s">
        <v>1957</v>
      </c>
      <c r="D541" s="701" t="s">
        <v>2977</v>
      </c>
      <c r="E541" s="663" t="s">
        <v>716</v>
      </c>
      <c r="F541" s="644" t="s">
        <v>720</v>
      </c>
      <c r="G541" s="663" t="str">
        <f>VLOOKUP(WWWW[[#This Row],[Site Name]],SiteDB6[[Site Name]:[Location Type]],8,FALSE)</f>
        <v>Camp</v>
      </c>
      <c r="H541" s="644" t="s">
        <v>739</v>
      </c>
      <c r="I541" s="379">
        <v>205</v>
      </c>
      <c r="J541" s="379">
        <v>1077</v>
      </c>
      <c r="K541" s="710" t="s">
        <v>2978</v>
      </c>
      <c r="L541" s="58" t="s">
        <v>2979</v>
      </c>
      <c r="M541" s="646">
        <v>269</v>
      </c>
      <c r="N541" s="646"/>
      <c r="O541" s="646"/>
      <c r="P541" s="646"/>
      <c r="Q541" s="645" t="s">
        <v>43</v>
      </c>
      <c r="R541" s="646">
        <v>5</v>
      </c>
      <c r="S541" s="646">
        <v>4</v>
      </c>
      <c r="T541" s="646"/>
      <c r="U541" s="646"/>
      <c r="V541" s="646"/>
      <c r="W541" s="646"/>
      <c r="X541" s="646"/>
      <c r="Y541" s="646"/>
      <c r="Z541" s="646"/>
      <c r="AA541" s="646">
        <v>99</v>
      </c>
      <c r="AB541" s="646"/>
      <c r="AC541" s="646"/>
      <c r="AD541" s="646"/>
      <c r="AE541" s="646"/>
      <c r="AF541" s="646"/>
      <c r="AG541" s="646">
        <v>1</v>
      </c>
      <c r="AH541" s="646"/>
      <c r="AI541" s="646">
        <v>1</v>
      </c>
      <c r="AJ541" s="646"/>
      <c r="AK541" s="646">
        <v>15</v>
      </c>
      <c r="AL541" s="646"/>
      <c r="AM541" s="646"/>
      <c r="AN541" s="646"/>
      <c r="AO541" s="652"/>
      <c r="AP541" s="379">
        <v>179</v>
      </c>
      <c r="AQ541" s="379">
        <v>26</v>
      </c>
      <c r="AR541" s="648"/>
      <c r="AS541" s="646"/>
      <c r="AT541" s="646">
        <v>26</v>
      </c>
      <c r="AU541" s="646"/>
      <c r="AV541" s="646"/>
      <c r="AW541" s="646"/>
      <c r="AX541" s="709" t="s">
        <v>144</v>
      </c>
      <c r="AY541" s="703" t="s">
        <v>144</v>
      </c>
      <c r="AZ541" s="646"/>
      <c r="BA541" s="646"/>
      <c r="BB541" s="646"/>
      <c r="BC541" s="709" t="s">
        <v>2975</v>
      </c>
      <c r="BD541" s="646">
        <v>2</v>
      </c>
      <c r="BE541" s="646"/>
      <c r="BF541" s="646"/>
      <c r="BG541" s="646">
        <v>2</v>
      </c>
      <c r="BH541" s="646"/>
      <c r="BI541" s="646"/>
      <c r="BJ541" s="646">
        <v>1</v>
      </c>
      <c r="BK541" s="646">
        <v>205</v>
      </c>
      <c r="BL541" s="646">
        <v>0</v>
      </c>
      <c r="BM541" s="643"/>
      <c r="BN541" s="647"/>
      <c r="BO541" s="648">
        <v>0.5</v>
      </c>
      <c r="BP541" s="643"/>
      <c r="BQ541" s="649">
        <f>IFERROR(WWWW[[#This Row],['#_Water sources treated]]/WWWW[[#This Row],['#_Water sources tested for contamination]],"no test")</f>
        <v>0</v>
      </c>
      <c r="BR541" s="648">
        <f>IFERROR(WWWW[[#This Row],['#_Household received remediation action due to contamination]]/WWWW[[#This Row],['#_Household water samples tested for contamination]],"no test")</f>
        <v>0</v>
      </c>
      <c r="BS541" s="647" t="str">
        <f>IF(AND(WWWW[[#This Row],[% of water sources treated]]="no test",WWWW[[#This Row],[% Household received corrective actions]]="no test"),"No Test","Tested")</f>
        <v>Tested</v>
      </c>
      <c r="BT541" s="647">
        <f>WWWW[[#This Row],['#_Constructed/existing protected hand dug well]]-WWWW[[#This Row],['#_Non-functional protected hand dug well]]</f>
        <v>0</v>
      </c>
      <c r="BU541" s="647">
        <f>(WWWW[[#This Row],['#_Constructed/Existing tube wells/boreholes/handpumps_WASH_agency]]+WWWW[[#This Row],['#_Non-Cluster partner water tube-wells/boreholes/handpumps]])-WWWW[[#This Row],['#_Non-functional tube wells/boreholes/handpumps]]</f>
        <v>0</v>
      </c>
      <c r="BV541" s="647">
        <f>WWWW[[#This Row],['#_Constructed/Existingwater storage tank with gravity fed reticulation system]]-WWWW[[#This Row],['#_Non-functional storage tank gravity fed reticulation system]]</f>
        <v>99</v>
      </c>
      <c r="BW541" s="647">
        <f>WWWW[[#This Row],['#_Water boating or water trucking]]</f>
        <v>0</v>
      </c>
      <c r="BX541" s="647">
        <f>WWWW[[#This Row],['#_Constructed/Existing water distribution system from river or natural spring]]</f>
        <v>0</v>
      </c>
      <c r="BY541" s="649">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1</v>
      </c>
      <c r="BZ541" s="649">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1</v>
      </c>
      <c r="CA541" s="648">
        <f>IF(WWWW[[#This Row],[Location Type 1]]="Village",WWWW[[#This Row],[Access to safe drinking water for Village]],WWWW[[#This Row],[Access to safe drinking water for Camp]])</f>
        <v>1</v>
      </c>
      <c r="CB541" s="645">
        <f>WWWW[[#This Row],[%Equitable and continuous access to sufficient quantity of safe drinking water]]*WWWW[[#This Row],[Total PoP ]]</f>
        <v>1077</v>
      </c>
      <c r="CC541" s="648">
        <f>IF((WWWW[[#This Row],['#_Constructed/Existing protected/fenced ponds]]*250)/WWWW[[#This Row],[Total PoP ]]&gt;1,1,(WWWW[[#This Row],['#_Constructed/Existing protected/fenced ponds]]*250)/WWWW[[#This Row],[Total PoP ]])</f>
        <v>0</v>
      </c>
      <c r="CD541" s="645">
        <f>WWWW[[#This Row],[% Access to unimproved water points]]*WWWW[[#This Row],[Total PoP ]]</f>
        <v>0</v>
      </c>
      <c r="CE541" s="648">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1</v>
      </c>
      <c r="CF541" s="6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1077</v>
      </c>
      <c r="CG541" s="645">
        <f>WWWW[[#This Row],[HRP1]]/500</f>
        <v>2.1539999999999999</v>
      </c>
      <c r="CH541" s="650">
        <f>1-WWWW[[#This Row],[% Equitable and continuous access to sufficient quantity of domestic water]]</f>
        <v>0</v>
      </c>
      <c r="CI541" s="645">
        <f>WWWW[[#This Row],[%equitable and continuous access to sufficient quantity of safe drinking and domestic water''s GAP]]*WWWW[[#This Row],[Total PoP ]]</f>
        <v>0</v>
      </c>
      <c r="CJ541" s="647">
        <f>IF(WWWW[[#This Row],[Total required water points]]-WWWW[[#This Row],['#Water points coverage]]&lt;0,0,WWWW[[#This Row],[Total required water points]]-WWWW[[#This Row],['#Water points coverage]])</f>
        <v>0</v>
      </c>
      <c r="CK541" s="647">
        <f>ROUND(IF(WWWW[[#This Row],[Total PoP ]]&lt;500,1,WWWW[[#This Row],[Total PoP ]]/500),0)</f>
        <v>2</v>
      </c>
      <c r="CL541" s="647">
        <f>(WWWW[[#This Row],['#_Constructed latrines_by_WASHAgencies]]+WWWW[[#This Row],['#_Non Cluster partner latrines]])-WWWW[[#This Row],['#_Non-functional latrines]]</f>
        <v>205</v>
      </c>
      <c r="CM541" s="648">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1</v>
      </c>
      <c r="CN541" s="645">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1077</v>
      </c>
      <c r="CO541" s="651">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41" s="647">
        <f>IF(WWWW[[#This Row],[Location Type 1]]="Village","NA",IF(WWWW[[#This Row],['#_Constructed/Existing latrines in TLS]]*50&gt;WWWW[[#This Row],['#_students at TLS_CFS]],WWWW[[#This Row],['#_students at TLS_CFS]],(WWWW[[#This Row],['#_Constructed/Existing latrines in TLS]]*50)))</f>
        <v>0</v>
      </c>
      <c r="CQ541" s="647">
        <f>ROUND(IF(WWWW[[#This Row],[Location Type 1]]="camp",WWWW[[#This Row],[Total PoP ]]/20,IF(WWWW[[#This Row],[Location Type 1]]="Temporary Location",WWWW[[#This Row],[Total PoP ]]/50,(WWWW[[#This Row],[Total PoP ]]/6))),0)</f>
        <v>180</v>
      </c>
      <c r="CR541" s="647">
        <f>IF(WWWW[[#This Row],[Total required Latrines]]-(WWWW[[#This Row],['#_Constructed latrines_by_WASHAgencies]]+WWWW[[#This Row],['#_Non Cluster partner latrines]])&lt;0,0,WWWW[[#This Row],[Total required Latrines]]-(WWWW[[#This Row],['#_Constructed latrines_by_WASHAgencies]]+WWWW[[#This Row],['#_Non Cluster partner latrines]]))</f>
        <v>0</v>
      </c>
      <c r="CS541" s="79">
        <f>1-WWWW[[#This Row],[% people access to functioning Latrine]]</f>
        <v>0</v>
      </c>
      <c r="CT541" s="649">
        <f>IF(OR(WWWW[[#This Row],['#_Non-functional latrines]]="",WWWW[[#This Row],['#_Non-functional latrines]]=0),0,WWWW[[#This Row],['#_Non-functional latrines]]/(WWWW[[#This Row],['#_Constructed latrines_by_WASHAgencies]]+WWWW[[#This Row],['#_Non Cluster partner latrines]]))</f>
        <v>0</v>
      </c>
      <c r="CU541" s="645">
        <f>IF(500*(WWWW[[#This Row],['#_male hygiene promoters]]+WWWW[[#This Row],['#_female hygiene promoters]])&gt;WWWW[[#This Row],[Total PoP ]],WWWW[[#This Row],[Total PoP ]],500*(WWWW[[#This Row],['#_male hygiene promoters]]+WWWW[[#This Row],['#_female hygiene promoters]]))</f>
        <v>500</v>
      </c>
      <c r="CV541" s="647">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1077</v>
      </c>
      <c r="CW541" s="647">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41" s="647">
        <f>IF(WWWW[[#This Row],['# People with access to soap]]&gt;WWWW[[#This Row],['# People with access to Sanity Pads]],WWWW[[#This Row],['# People with access to soap]],WWWW[[#This Row],['# People with access to Sanity Pads]])</f>
        <v>1077</v>
      </c>
      <c r="CY541" s="647">
        <f>IF(WWWW[[#This Row],['# people reached by regular dedicated hygiene promotion_5]]&gt;WWWW[[#This Row],['# People received regular supply of hygiene items_6]],WWWW[[#This Row],['# people reached by regular dedicated hygiene promotion_5]],WWWW[[#This Row],['# People received regular supply of hygiene items_6]])</f>
        <v>1077</v>
      </c>
      <c r="CZ541" s="650">
        <f>IF(WWWW[[#This Row],[HRP3]]/WWWW[[#This Row],[Total PoP ]]&gt;100%,100%,WWWW[[#This Row],[HRP3]]/WWWW[[#This Row],[Total PoP ]])</f>
        <v>1</v>
      </c>
      <c r="DA541" s="649">
        <f>1-WWWW[[#This Row],[Hygiene Coverage%]]</f>
        <v>0</v>
      </c>
      <c r="DB541" s="648">
        <f>WWWW[[#This Row],['# people reached by regular dedicated hygiene promotion_5]]/WWWW[[#This Row],[Total PoP ]]</f>
        <v>0.46425255338904364</v>
      </c>
      <c r="DC541" s="648">
        <f>IF(WWWW[[#This Row],['#_households that received standard amount of soap for this quarter]]/WWWW[[#This Row],[Total HH]]&gt;1,1,WWWW[[#This Row],['#_households that received standard amount of soap for this quarter]]/WWWW[[#This Row],[Total HH]])</f>
        <v>1</v>
      </c>
      <c r="DD541" s="648">
        <f>IF(WWWW[[#This Row],['#_households that received standard amount of sanitary pads for this quarter]]/WWWW[[#This Row],[Total HH]]&gt;1,1,WWWW[[#This Row],['#_households that received standard amount of sanitary pads for this quarter]]/WWWW[[#This Row],[Total HH]])</f>
        <v>0</v>
      </c>
      <c r="DE541" s="647">
        <f>WWWW[[#This Row],['#_Constructed/Existing hand washing stations]]-WWWW[[#This Row],['#_Non-Functional_hand_washing_stations]]</f>
        <v>2</v>
      </c>
      <c r="DF541" s="667">
        <f>IF(WWWW[[#This Row],['# Functional hand washing stations during reporting period]]*20&gt;WWWW[[#This Row],[Total HH]],WWWW[[#This Row],[Total HH]],WWWW[[#This Row],['# Functional hand washing stations during reporting period]]*20)</f>
        <v>40</v>
      </c>
      <c r="DG541" s="645">
        <f>IF(WWWW[[#This Row],[Is sufficient soap available for TLS? (Yes/No)]]="yes",WWWW[[#This Row],['#_Constructed/Existing hand washing stations at TLS]],0)</f>
        <v>0</v>
      </c>
      <c r="DH541" s="645">
        <f>IF(WWWW[[#This Row],['# Functional hand washing stations during reporting period]]*100&gt;WWWW[[#This Row],[Total PoP ]],WWWW[[#This Row],[Total PoP ]],WWWW[[#This Row],['# Functional hand washing stations during reporting period]]*100)</f>
        <v>200</v>
      </c>
      <c r="DI541" s="645" t="str">
        <f>IF(WWWW[[#This Row],['#_students at TLS_CFS]]="","No","Yes")</f>
        <v>Yes</v>
      </c>
      <c r="DJ541" s="643" t="str">
        <f>VLOOKUP(WWWW[[#This Row],[Site Name]],SiteDB6[[Site Name]:[CCCM Management]],6,FALSE)</f>
        <v>Yes</v>
      </c>
      <c r="DK541" s="643" t="str">
        <f>VLOOKUP(WWWW[[#This Row],[Site Name]],SiteDB6[[Site Name]:[CCCM Focal Agency]],7,FALSE)</f>
        <v>KBC-NSS</v>
      </c>
      <c r="DL541" s="643" t="str">
        <f>VLOOKUP(WWWW[[#This Row],[Site Name]],SiteDB6[[Site Name]:[Location Type 1]],9,FALSE)</f>
        <v>Village Type Camp</v>
      </c>
      <c r="DM541" s="643" t="str">
        <f>VLOOKUP(WWWW[[#This Row],[Site Name]],SiteDB6[[Site Name]:[Type of Accommodation]],10,FALSE)</f>
        <v>Camp</v>
      </c>
      <c r="DN541" s="643" t="str">
        <f>VLOOKUP(WWWW[[#This Row],[Site Name]],SiteDB6[[Site Name]:[Ethnic or GCA/NGCA]],11,FALSE)</f>
        <v>GCA</v>
      </c>
      <c r="DO541" s="643">
        <f>VLOOKUP(WWWW[[#This Row],[Site Name]],SiteDB6[[Site Name]:[Lat]],12,FALSE)</f>
        <v>23.38503</v>
      </c>
      <c r="DP541" s="643">
        <f>VLOOKUP(WWWW[[#This Row],[Site Name]],SiteDB6[[Site Name]:[Long]],13,FALSE)</f>
        <v>97.837040000000002</v>
      </c>
      <c r="DQ541" s="643" t="str">
        <f>VLOOKUP(WWWW[[#This Row],[Site Name]],SiteDB6[[Site Name]:[Pcode]],3,FALSE)</f>
        <v>MMR015CMP020</v>
      </c>
      <c r="DR541" s="652" t="str">
        <f t="shared" si="18"/>
        <v>Covered</v>
      </c>
      <c r="DS541" s="652"/>
    </row>
    <row r="542" spans="1:123">
      <c r="A542" s="637" t="s">
        <v>2525</v>
      </c>
      <c r="B542" s="716" t="s">
        <v>305</v>
      </c>
      <c r="C542" s="716" t="s">
        <v>305</v>
      </c>
      <c r="D542" s="701"/>
      <c r="E542" s="663" t="s">
        <v>716</v>
      </c>
      <c r="F542" s="644" t="s">
        <v>757</v>
      </c>
      <c r="G542" s="709" t="str">
        <f>VLOOKUP(WWWW[[#This Row],[Site Name]],SiteDB6[[Site Name]:[Location Type]],8,FALSE)</f>
        <v>New Temporary Site</v>
      </c>
      <c r="H542" s="644" t="s">
        <v>3002</v>
      </c>
      <c r="I542" s="379">
        <v>53</v>
      </c>
      <c r="J542" s="379">
        <v>194</v>
      </c>
      <c r="K542" s="710"/>
      <c r="L542" s="58"/>
      <c r="M542" s="379"/>
      <c r="N542" s="379"/>
      <c r="O542" s="379"/>
      <c r="P542" s="379"/>
      <c r="Q542" s="702"/>
      <c r="R542" s="379"/>
      <c r="S542" s="379"/>
      <c r="T542" s="379"/>
      <c r="U542" s="379"/>
      <c r="V542" s="379"/>
      <c r="W542" s="379"/>
      <c r="X542" s="379"/>
      <c r="Y542" s="379"/>
      <c r="Z542" s="379"/>
      <c r="AA542" s="379"/>
      <c r="AB542" s="379"/>
      <c r="AC542" s="379"/>
      <c r="AD542" s="379"/>
      <c r="AE542" s="379"/>
      <c r="AF542" s="379"/>
      <c r="AG542" s="379"/>
      <c r="AH542" s="379"/>
      <c r="AI542" s="379"/>
      <c r="AJ542" s="379"/>
      <c r="AK542" s="379"/>
      <c r="AL542" s="379"/>
      <c r="AM542" s="379"/>
      <c r="AN542" s="379"/>
      <c r="AO542" s="703"/>
      <c r="AP542" s="379"/>
      <c r="AQ542" s="379"/>
      <c r="AR542" s="711"/>
      <c r="AS542" s="379"/>
      <c r="AT542" s="379"/>
      <c r="AU542" s="379"/>
      <c r="AV542" s="379"/>
      <c r="AW542" s="379"/>
      <c r="AX542" s="709"/>
      <c r="AY542" s="703"/>
      <c r="AZ542" s="379"/>
      <c r="BA542" s="379"/>
      <c r="BB542" s="379"/>
      <c r="BC542" s="709"/>
      <c r="BD542" s="379"/>
      <c r="BE542" s="379"/>
      <c r="BF542" s="379"/>
      <c r="BG542" s="379"/>
      <c r="BH542" s="379"/>
      <c r="BI542" s="379"/>
      <c r="BJ542" s="379"/>
      <c r="BK542" s="379">
        <v>53</v>
      </c>
      <c r="BL542" s="379">
        <v>53</v>
      </c>
      <c r="BM542" s="709"/>
      <c r="BN542" s="712"/>
      <c r="BO542" s="711"/>
      <c r="BP542" s="709"/>
      <c r="BQ542" s="713" t="str">
        <f>IFERROR(WWWW[[#This Row],['#_Water sources treated]]/WWWW[[#This Row],['#_Water sources tested for contamination]],"no test")</f>
        <v>no test</v>
      </c>
      <c r="BR542" s="711" t="str">
        <f>IFERROR(WWWW[[#This Row],['#_Household received remediation action due to contamination]]/WWWW[[#This Row],['#_Household water samples tested for contamination]],"no test")</f>
        <v>no test</v>
      </c>
      <c r="BS542" s="712" t="str">
        <f>IF(AND(WWWW[[#This Row],[% of water sources treated]]="no test",WWWW[[#This Row],[% Household received corrective actions]]="no test"),"No Test","Tested")</f>
        <v>No Test</v>
      </c>
      <c r="BT542" s="712">
        <f>WWWW[[#This Row],['#_Constructed/existing protected hand dug well]]-WWWW[[#This Row],['#_Non-functional protected hand dug well]]</f>
        <v>0</v>
      </c>
      <c r="BU542" s="712">
        <f>(WWWW[[#This Row],['#_Constructed/Existing tube wells/boreholes/handpumps_WASH_agency]]+WWWW[[#This Row],['#_Non-Cluster partner water tube-wells/boreholes/handpumps]])-WWWW[[#This Row],['#_Non-functional tube wells/boreholes/handpumps]]</f>
        <v>0</v>
      </c>
      <c r="BV542" s="712">
        <f>WWWW[[#This Row],['#_Constructed/Existingwater storage tank with gravity fed reticulation system]]-WWWW[[#This Row],['#_Non-functional storage tank gravity fed reticulation system]]</f>
        <v>0</v>
      </c>
      <c r="BW542" s="712">
        <f>WWWW[[#This Row],['#_Water boating or water trucking]]</f>
        <v>0</v>
      </c>
      <c r="BX542" s="712">
        <f>WWWW[[#This Row],['#_Constructed/Existing water distribution system from river or natural spring]]</f>
        <v>0</v>
      </c>
      <c r="BY542" s="713">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542" s="713">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542" s="711">
        <f>IF(WWWW[[#This Row],[Location Type 1]]="Village",WWWW[[#This Row],[Access to safe drinking water for Village]],WWWW[[#This Row],[Access to safe drinking water for Camp]])</f>
        <v>0</v>
      </c>
      <c r="CB542" s="702">
        <f>WWWW[[#This Row],[%Equitable and continuous access to sufficient quantity of safe drinking water]]*WWWW[[#This Row],[Total PoP ]]</f>
        <v>0</v>
      </c>
      <c r="CC542" s="711">
        <f>IF((WWWW[[#This Row],['#_Constructed/Existing protected/fenced ponds]]*250)/WWWW[[#This Row],[Total PoP ]]&gt;1,1,(WWWW[[#This Row],['#_Constructed/Existing protected/fenced ponds]]*250)/WWWW[[#This Row],[Total PoP ]])</f>
        <v>0</v>
      </c>
      <c r="CD542" s="702">
        <f>WWWW[[#This Row],[% Access to unimproved water points]]*WWWW[[#This Row],[Total PoP ]]</f>
        <v>0</v>
      </c>
      <c r="CE542" s="711">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542" s="70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542" s="702">
        <f>WWWW[[#This Row],[HRP1]]/500</f>
        <v>0</v>
      </c>
      <c r="CH542" s="714">
        <f>1-WWWW[[#This Row],[% Equitable and continuous access to sufficient quantity of domestic water]]</f>
        <v>1</v>
      </c>
      <c r="CI542" s="702">
        <f>WWWW[[#This Row],[%equitable and continuous access to sufficient quantity of safe drinking and domestic water''s GAP]]*WWWW[[#This Row],[Total PoP ]]</f>
        <v>194</v>
      </c>
      <c r="CJ542" s="712">
        <f>IF(WWWW[[#This Row],[Total required water points]]-WWWW[[#This Row],['#Water points coverage]]&lt;0,0,WWWW[[#This Row],[Total required water points]]-WWWW[[#This Row],['#Water points coverage]])</f>
        <v>1</v>
      </c>
      <c r="CK542" s="712">
        <f>ROUND(IF(WWWW[[#This Row],[Total PoP ]]&lt;500,1,WWWW[[#This Row],[Total PoP ]]/500),0)</f>
        <v>1</v>
      </c>
      <c r="CL542" s="712">
        <f>(WWWW[[#This Row],['#_Constructed latrines_by_WASHAgencies]]+WWWW[[#This Row],['#_Non Cluster partner latrines]])-WWWW[[#This Row],['#_Non-functional latrines]]</f>
        <v>0</v>
      </c>
      <c r="CM542" s="711">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542" s="702">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542" s="71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42" s="712">
        <f>IF(WWWW[[#This Row],[Location Type 1]]="Village","NA",IF(WWWW[[#This Row],['#_Constructed/Existing latrines in TLS]]*50&gt;WWWW[[#This Row],['#_students at TLS_CFS]],WWWW[[#This Row],['#_students at TLS_CFS]],(WWWW[[#This Row],['#_Constructed/Existing latrines in TLS]]*50)))</f>
        <v>0</v>
      </c>
      <c r="CQ542" s="712">
        <f>ROUND(IF(WWWW[[#This Row],[Location Type 1]]="camp",WWWW[[#This Row],[Total PoP ]]/20,IF(WWWW[[#This Row],[Location Type 1]]="Temporary Location",WWWW[[#This Row],[Total PoP ]]/50,(WWWW[[#This Row],[Total PoP ]]/6))),0)</f>
        <v>4</v>
      </c>
      <c r="CR542" s="712">
        <f>IF(WWWW[[#This Row],[Total required Latrines]]-(WWWW[[#This Row],['#_Constructed latrines_by_WASHAgencies]]+WWWW[[#This Row],['#_Non Cluster partner latrines]])&lt;0,0,WWWW[[#This Row],[Total required Latrines]]-(WWWW[[#This Row],['#_Constructed latrines_by_WASHAgencies]]+WWWW[[#This Row],['#_Non Cluster partner latrines]]))</f>
        <v>4</v>
      </c>
      <c r="CS542" s="79">
        <f>1-WWWW[[#This Row],[% people access to functioning Latrine]]</f>
        <v>1</v>
      </c>
      <c r="CT542" s="713">
        <f>IF(OR(WWWW[[#This Row],['#_Non-functional latrines]]="",WWWW[[#This Row],['#_Non-functional latrines]]=0),0,WWWW[[#This Row],['#_Non-functional latrines]]/(WWWW[[#This Row],['#_Constructed latrines_by_WASHAgencies]]+WWWW[[#This Row],['#_Non Cluster partner latrines]]))</f>
        <v>0</v>
      </c>
      <c r="CU542" s="702">
        <f>IF(500*(WWWW[[#This Row],['#_male hygiene promoters]]+WWWW[[#This Row],['#_female hygiene promoters]])&gt;WWWW[[#This Row],[Total PoP ]],WWWW[[#This Row],[Total PoP ]],500*(WWWW[[#This Row],['#_male hygiene promoters]]+WWWW[[#This Row],['#_female hygiene promoters]]))</f>
        <v>0</v>
      </c>
      <c r="CV542" s="712">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194</v>
      </c>
      <c r="CW542" s="712">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194</v>
      </c>
      <c r="CX542" s="712">
        <f>IF(WWWW[[#This Row],['# People with access to soap]]&gt;WWWW[[#This Row],['# People with access to Sanity Pads]],WWWW[[#This Row],['# People with access to soap]],WWWW[[#This Row],['# People with access to Sanity Pads]])</f>
        <v>194</v>
      </c>
      <c r="CY542" s="712">
        <f>IF(WWWW[[#This Row],['# people reached by regular dedicated hygiene promotion_5]]&gt;WWWW[[#This Row],['# People received regular supply of hygiene items_6]],WWWW[[#This Row],['# people reached by regular dedicated hygiene promotion_5]],WWWW[[#This Row],['# People received regular supply of hygiene items_6]])</f>
        <v>194</v>
      </c>
      <c r="CZ542" s="714">
        <f>IF(WWWW[[#This Row],[HRP3]]/WWWW[[#This Row],[Total PoP ]]&gt;100%,100%,WWWW[[#This Row],[HRP3]]/WWWW[[#This Row],[Total PoP ]])</f>
        <v>1</v>
      </c>
      <c r="DA542" s="713">
        <f>1-WWWW[[#This Row],[Hygiene Coverage%]]</f>
        <v>0</v>
      </c>
      <c r="DB542" s="711">
        <f>WWWW[[#This Row],['# people reached by regular dedicated hygiene promotion_5]]/WWWW[[#This Row],[Total PoP ]]</f>
        <v>0</v>
      </c>
      <c r="DC542" s="711">
        <f>IF(WWWW[[#This Row],['#_households that received standard amount of soap for this quarter]]/WWWW[[#This Row],[Total HH]]&gt;1,1,WWWW[[#This Row],['#_households that received standard amount of soap for this quarter]]/WWWW[[#This Row],[Total HH]])</f>
        <v>1</v>
      </c>
      <c r="DD542" s="711">
        <f>IF(WWWW[[#This Row],['#_households that received standard amount of sanitary pads for this quarter]]/WWWW[[#This Row],[Total HH]]&gt;1,1,WWWW[[#This Row],['#_households that received standard amount of sanitary pads for this quarter]]/WWWW[[#This Row],[Total HH]])</f>
        <v>1</v>
      </c>
      <c r="DE542" s="712">
        <f>WWWW[[#This Row],['#_Constructed/Existing hand washing stations]]-WWWW[[#This Row],['#_Non-Functional_hand_washing_stations]]</f>
        <v>0</v>
      </c>
      <c r="DF542" s="667">
        <f>IF(WWWW[[#This Row],['# Functional hand washing stations during reporting period]]*20&gt;WWWW[[#This Row],[Total HH]],WWWW[[#This Row],[Total HH]],WWWW[[#This Row],['# Functional hand washing stations during reporting period]]*20)</f>
        <v>0</v>
      </c>
      <c r="DG542" s="702">
        <f>IF(WWWW[[#This Row],[Is sufficient soap available for TLS? (Yes/No)]]="yes",WWWW[[#This Row],['#_Constructed/Existing hand washing stations at TLS]],0)</f>
        <v>0</v>
      </c>
      <c r="DH542" s="702">
        <f>IF(WWWW[[#This Row],['# Functional hand washing stations during reporting period]]*100&gt;WWWW[[#This Row],[Total PoP ]],WWWW[[#This Row],[Total PoP ]],WWWW[[#This Row],['# Functional hand washing stations during reporting period]]*100)</f>
        <v>0</v>
      </c>
      <c r="DI542" s="702" t="str">
        <f>IF(WWWW[[#This Row],['#_students at TLS_CFS]]="","No","Yes")</f>
        <v>No</v>
      </c>
      <c r="DJ542" s="709">
        <f>VLOOKUP(WWWW[[#This Row],[Site Name]],SiteDB6[[Site Name]:[CCCM Management]],6,FALSE)</f>
        <v>0</v>
      </c>
      <c r="DK542" s="709">
        <f>VLOOKUP(WWWW[[#This Row],[Site Name]],SiteDB6[[Site Name]:[CCCM Focal Agency]],7,FALSE)</f>
        <v>0</v>
      </c>
      <c r="DL542" s="709" t="str">
        <f>VLOOKUP(WWWW[[#This Row],[Site Name]],SiteDB6[[Site Name]:[Location Type 1]],9,FALSE)</f>
        <v>Temporary location</v>
      </c>
      <c r="DM542" s="709" t="str">
        <f>VLOOKUP(WWWW[[#This Row],[Site Name]],SiteDB6[[Site Name]:[Type of Accommodation]],10,FALSE)</f>
        <v>Temporary location</v>
      </c>
      <c r="DN542" s="709" t="str">
        <f>VLOOKUP(WWWW[[#This Row],[Site Name]],SiteDB6[[Site Name]:[Ethnic or GCA/NGCA]],11,FALSE)</f>
        <v>GCA</v>
      </c>
      <c r="DO542" s="709">
        <f>VLOOKUP(WWWW[[#This Row],[Site Name]],SiteDB6[[Site Name]:[Lat]],12,FALSE)</f>
        <v>0</v>
      </c>
      <c r="DP542" s="709">
        <f>VLOOKUP(WWWW[[#This Row],[Site Name]],SiteDB6[[Site Name]:[Long]],13,FALSE)</f>
        <v>0</v>
      </c>
      <c r="DQ542" s="709">
        <f>VLOOKUP(WWWW[[#This Row],[Site Name]],SiteDB6[[Site Name]:[Pcode]],3,FALSE)</f>
        <v>0</v>
      </c>
      <c r="DR542" s="703" t="str">
        <f>IF(C542="none","Notcovered","Covered")</f>
        <v>Covered</v>
      </c>
      <c r="DS542" s="703"/>
    </row>
    <row r="543" spans="1:123">
      <c r="A543" s="637" t="s">
        <v>2525</v>
      </c>
      <c r="B543" s="716" t="s">
        <v>305</v>
      </c>
      <c r="C543" s="716" t="s">
        <v>305</v>
      </c>
      <c r="D543" s="701"/>
      <c r="E543" s="663" t="s">
        <v>716</v>
      </c>
      <c r="F543" s="644" t="s">
        <v>757</v>
      </c>
      <c r="G543" s="709" t="str">
        <f>VLOOKUP(WWWW[[#This Row],[Site Name]],SiteDB6[[Site Name]:[Location Type]],8,FALSE)</f>
        <v>New Temporary Site</v>
      </c>
      <c r="H543" s="644" t="s">
        <v>3000</v>
      </c>
      <c r="I543" s="379">
        <v>133</v>
      </c>
      <c r="J543" s="379">
        <v>373</v>
      </c>
      <c r="K543" s="710"/>
      <c r="L543" s="58"/>
      <c r="M543" s="379"/>
      <c r="N543" s="379"/>
      <c r="O543" s="379"/>
      <c r="P543" s="379"/>
      <c r="Q543" s="702"/>
      <c r="R543" s="379"/>
      <c r="S543" s="379"/>
      <c r="T543" s="379"/>
      <c r="U543" s="379"/>
      <c r="V543" s="379"/>
      <c r="W543" s="379"/>
      <c r="X543" s="379"/>
      <c r="Y543" s="379"/>
      <c r="Z543" s="379"/>
      <c r="AA543" s="379"/>
      <c r="AB543" s="379"/>
      <c r="AC543" s="379"/>
      <c r="AD543" s="379"/>
      <c r="AE543" s="379"/>
      <c r="AF543" s="379"/>
      <c r="AG543" s="379"/>
      <c r="AH543" s="379"/>
      <c r="AI543" s="379"/>
      <c r="AJ543" s="379"/>
      <c r="AK543" s="379"/>
      <c r="AL543" s="379"/>
      <c r="AM543" s="379"/>
      <c r="AN543" s="379"/>
      <c r="AO543" s="703"/>
      <c r="AP543" s="379"/>
      <c r="AQ543" s="379"/>
      <c r="AR543" s="711"/>
      <c r="AS543" s="379"/>
      <c r="AT543" s="379"/>
      <c r="AU543" s="379"/>
      <c r="AV543" s="379"/>
      <c r="AW543" s="379"/>
      <c r="AX543" s="709"/>
      <c r="AY543" s="703"/>
      <c r="AZ543" s="379"/>
      <c r="BA543" s="379"/>
      <c r="BB543" s="379"/>
      <c r="BC543" s="709"/>
      <c r="BD543" s="379"/>
      <c r="BE543" s="379"/>
      <c r="BF543" s="379"/>
      <c r="BG543" s="379">
        <v>1</v>
      </c>
      <c r="BH543" s="379"/>
      <c r="BI543" s="379"/>
      <c r="BJ543" s="379"/>
      <c r="BK543" s="379"/>
      <c r="BL543" s="379"/>
      <c r="BM543" s="709"/>
      <c r="BN543" s="712"/>
      <c r="BO543" s="711"/>
      <c r="BP543" s="709"/>
      <c r="BQ543" s="713" t="str">
        <f>IFERROR(WWWW[[#This Row],['#_Water sources treated]]/WWWW[[#This Row],['#_Water sources tested for contamination]],"no test")</f>
        <v>no test</v>
      </c>
      <c r="BR543" s="711" t="str">
        <f>IFERROR(WWWW[[#This Row],['#_Household received remediation action due to contamination]]/WWWW[[#This Row],['#_Household water samples tested for contamination]],"no test")</f>
        <v>no test</v>
      </c>
      <c r="BS543" s="712" t="str">
        <f>IF(AND(WWWW[[#This Row],[% of water sources treated]]="no test",WWWW[[#This Row],[% Household received corrective actions]]="no test"),"No Test","Tested")</f>
        <v>No Test</v>
      </c>
      <c r="BT543" s="712">
        <f>WWWW[[#This Row],['#_Constructed/existing protected hand dug well]]-WWWW[[#This Row],['#_Non-functional protected hand dug well]]</f>
        <v>0</v>
      </c>
      <c r="BU543" s="712">
        <f>(WWWW[[#This Row],['#_Constructed/Existing tube wells/boreholes/handpumps_WASH_agency]]+WWWW[[#This Row],['#_Non-Cluster partner water tube-wells/boreholes/handpumps]])-WWWW[[#This Row],['#_Non-functional tube wells/boreholes/handpumps]]</f>
        <v>0</v>
      </c>
      <c r="BV543" s="712">
        <f>WWWW[[#This Row],['#_Constructed/Existingwater storage tank with gravity fed reticulation system]]-WWWW[[#This Row],['#_Non-functional storage tank gravity fed reticulation system]]</f>
        <v>0</v>
      </c>
      <c r="BW543" s="712">
        <f>WWWW[[#This Row],['#_Water boating or water trucking]]</f>
        <v>0</v>
      </c>
      <c r="BX543" s="712">
        <f>WWWW[[#This Row],['#_Constructed/Existing water distribution system from river or natural spring]]</f>
        <v>0</v>
      </c>
      <c r="BY543" s="713">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543" s="713">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543" s="711">
        <f>IF(WWWW[[#This Row],[Location Type 1]]="Village",WWWW[[#This Row],[Access to safe drinking water for Village]],WWWW[[#This Row],[Access to safe drinking water for Camp]])</f>
        <v>0</v>
      </c>
      <c r="CB543" s="702">
        <f>WWWW[[#This Row],[%Equitable and continuous access to sufficient quantity of safe drinking water]]*WWWW[[#This Row],[Total PoP ]]</f>
        <v>0</v>
      </c>
      <c r="CC543" s="711">
        <f>IF((WWWW[[#This Row],['#_Constructed/Existing protected/fenced ponds]]*250)/WWWW[[#This Row],[Total PoP ]]&gt;1,1,(WWWW[[#This Row],['#_Constructed/Existing protected/fenced ponds]]*250)/WWWW[[#This Row],[Total PoP ]])</f>
        <v>0</v>
      </c>
      <c r="CD543" s="702">
        <f>WWWW[[#This Row],[% Access to unimproved water points]]*WWWW[[#This Row],[Total PoP ]]</f>
        <v>0</v>
      </c>
      <c r="CE543" s="711">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543" s="70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543" s="702">
        <f>WWWW[[#This Row],[HRP1]]/500</f>
        <v>0</v>
      </c>
      <c r="CH543" s="714">
        <f>1-WWWW[[#This Row],[% Equitable and continuous access to sufficient quantity of domestic water]]</f>
        <v>1</v>
      </c>
      <c r="CI543" s="702">
        <f>WWWW[[#This Row],[%equitable and continuous access to sufficient quantity of safe drinking and domestic water''s GAP]]*WWWW[[#This Row],[Total PoP ]]</f>
        <v>373</v>
      </c>
      <c r="CJ543" s="712">
        <f>IF(WWWW[[#This Row],[Total required water points]]-WWWW[[#This Row],['#Water points coverage]]&lt;0,0,WWWW[[#This Row],[Total required water points]]-WWWW[[#This Row],['#Water points coverage]])</f>
        <v>1</v>
      </c>
      <c r="CK543" s="712">
        <f>ROUND(IF(WWWW[[#This Row],[Total PoP ]]&lt;500,1,WWWW[[#This Row],[Total PoP ]]/500),0)</f>
        <v>1</v>
      </c>
      <c r="CL543" s="712">
        <f>(WWWW[[#This Row],['#_Constructed latrines_by_WASHAgencies]]+WWWW[[#This Row],['#_Non Cluster partner latrines]])-WWWW[[#This Row],['#_Non-functional latrines]]</f>
        <v>0</v>
      </c>
      <c r="CM543" s="711">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v>
      </c>
      <c r="CN543" s="702">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0</v>
      </c>
      <c r="CO543" s="71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43" s="712">
        <f>IF(WWWW[[#This Row],[Location Type 1]]="Village","NA",IF(WWWW[[#This Row],['#_Constructed/Existing latrines in TLS]]*50&gt;WWWW[[#This Row],['#_students at TLS_CFS]],WWWW[[#This Row],['#_students at TLS_CFS]],(WWWW[[#This Row],['#_Constructed/Existing latrines in TLS]]*50)))</f>
        <v>0</v>
      </c>
      <c r="CQ543" s="712">
        <f>ROUND(IF(WWWW[[#This Row],[Location Type 1]]="camp",WWWW[[#This Row],[Total PoP ]]/20,IF(WWWW[[#This Row],[Location Type 1]]="Temporary Location",WWWW[[#This Row],[Total PoP ]]/50,(WWWW[[#This Row],[Total PoP ]]/6))),0)</f>
        <v>7</v>
      </c>
      <c r="CR543" s="712">
        <f>IF(WWWW[[#This Row],[Total required Latrines]]-(WWWW[[#This Row],['#_Constructed latrines_by_WASHAgencies]]+WWWW[[#This Row],['#_Non Cluster partner latrines]])&lt;0,0,WWWW[[#This Row],[Total required Latrines]]-(WWWW[[#This Row],['#_Constructed latrines_by_WASHAgencies]]+WWWW[[#This Row],['#_Non Cluster partner latrines]]))</f>
        <v>7</v>
      </c>
      <c r="CS543" s="79">
        <f>1-WWWW[[#This Row],[% people access to functioning Latrine]]</f>
        <v>1</v>
      </c>
      <c r="CT543" s="713">
        <f>IF(OR(WWWW[[#This Row],['#_Non-functional latrines]]="",WWWW[[#This Row],['#_Non-functional latrines]]=0),0,WWWW[[#This Row],['#_Non-functional latrines]]/(WWWW[[#This Row],['#_Constructed latrines_by_WASHAgencies]]+WWWW[[#This Row],['#_Non Cluster partner latrines]]))</f>
        <v>0</v>
      </c>
      <c r="CU543" s="702">
        <f>IF(500*(WWWW[[#This Row],['#_male hygiene promoters]]+WWWW[[#This Row],['#_female hygiene promoters]])&gt;WWWW[[#This Row],[Total PoP ]],WWWW[[#This Row],[Total PoP ]],500*(WWWW[[#This Row],['#_male hygiene promoters]]+WWWW[[#This Row],['#_female hygiene promoters]]))</f>
        <v>0</v>
      </c>
      <c r="CV543" s="712">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0</v>
      </c>
      <c r="CW543" s="712">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0</v>
      </c>
      <c r="CX543" s="712">
        <f>IF(WWWW[[#This Row],['# People with access to soap]]&gt;WWWW[[#This Row],['# People with access to Sanity Pads]],WWWW[[#This Row],['# People with access to soap]],WWWW[[#This Row],['# People with access to Sanity Pads]])</f>
        <v>0</v>
      </c>
      <c r="CY543" s="712">
        <f>IF(WWWW[[#This Row],['# people reached by regular dedicated hygiene promotion_5]]&gt;WWWW[[#This Row],['# People received regular supply of hygiene items_6]],WWWW[[#This Row],['# people reached by regular dedicated hygiene promotion_5]],WWWW[[#This Row],['# People received regular supply of hygiene items_6]])</f>
        <v>0</v>
      </c>
      <c r="CZ543" s="714">
        <f>IF(WWWW[[#This Row],[HRP3]]/WWWW[[#This Row],[Total PoP ]]&gt;100%,100%,WWWW[[#This Row],[HRP3]]/WWWW[[#This Row],[Total PoP ]])</f>
        <v>0</v>
      </c>
      <c r="DA543" s="713">
        <f>1-WWWW[[#This Row],[Hygiene Coverage%]]</f>
        <v>1</v>
      </c>
      <c r="DB543" s="711">
        <f>WWWW[[#This Row],['# people reached by regular dedicated hygiene promotion_5]]/WWWW[[#This Row],[Total PoP ]]</f>
        <v>0</v>
      </c>
      <c r="DC543" s="711">
        <f>IF(WWWW[[#This Row],['#_households that received standard amount of soap for this quarter]]/WWWW[[#This Row],[Total HH]]&gt;1,1,WWWW[[#This Row],['#_households that received standard amount of soap for this quarter]]/WWWW[[#This Row],[Total HH]])</f>
        <v>0</v>
      </c>
      <c r="DD543" s="711">
        <f>IF(WWWW[[#This Row],['#_households that received standard amount of sanitary pads for this quarter]]/WWWW[[#This Row],[Total HH]]&gt;1,1,WWWW[[#This Row],['#_households that received standard amount of sanitary pads for this quarter]]/WWWW[[#This Row],[Total HH]])</f>
        <v>0</v>
      </c>
      <c r="DE543" s="712">
        <f>WWWW[[#This Row],['#_Constructed/Existing hand washing stations]]-WWWW[[#This Row],['#_Non-Functional_hand_washing_stations]]</f>
        <v>0</v>
      </c>
      <c r="DF543" s="667">
        <f>IF(WWWW[[#This Row],['# Functional hand washing stations during reporting period]]*20&gt;WWWW[[#This Row],[Total HH]],WWWW[[#This Row],[Total HH]],WWWW[[#This Row],['# Functional hand washing stations during reporting period]]*20)</f>
        <v>0</v>
      </c>
      <c r="DG543" s="702">
        <f>IF(WWWW[[#This Row],[Is sufficient soap available for TLS? (Yes/No)]]="yes",WWWW[[#This Row],['#_Constructed/Existing hand washing stations at TLS]],0)</f>
        <v>0</v>
      </c>
      <c r="DH543" s="702">
        <f>IF(WWWW[[#This Row],['# Functional hand washing stations during reporting period]]*100&gt;WWWW[[#This Row],[Total PoP ]],WWWW[[#This Row],[Total PoP ]],WWWW[[#This Row],['# Functional hand washing stations during reporting period]]*100)</f>
        <v>0</v>
      </c>
      <c r="DI543" s="702" t="str">
        <f>IF(WWWW[[#This Row],['#_students at TLS_CFS]]="","No","Yes")</f>
        <v>No</v>
      </c>
      <c r="DJ543" s="709">
        <f>VLOOKUP(WWWW[[#This Row],[Site Name]],SiteDB6[[Site Name]:[CCCM Management]],6,FALSE)</f>
        <v>0</v>
      </c>
      <c r="DK543" s="709">
        <f>VLOOKUP(WWWW[[#This Row],[Site Name]],SiteDB6[[Site Name]:[CCCM Focal Agency]],7,FALSE)</f>
        <v>0</v>
      </c>
      <c r="DL543" s="709" t="str">
        <f>VLOOKUP(WWWW[[#This Row],[Site Name]],SiteDB6[[Site Name]:[Location Type 1]],9,FALSE)</f>
        <v>Temporary location</v>
      </c>
      <c r="DM543" s="709" t="str">
        <f>VLOOKUP(WWWW[[#This Row],[Site Name]],SiteDB6[[Site Name]:[Type of Accommodation]],10,FALSE)</f>
        <v>Temporary location</v>
      </c>
      <c r="DN543" s="709" t="str">
        <f>VLOOKUP(WWWW[[#This Row],[Site Name]],SiteDB6[[Site Name]:[Ethnic or GCA/NGCA]],11,FALSE)</f>
        <v>GCA</v>
      </c>
      <c r="DO543" s="709">
        <f>VLOOKUP(WWWW[[#This Row],[Site Name]],SiteDB6[[Site Name]:[Lat]],12,FALSE)</f>
        <v>0</v>
      </c>
      <c r="DP543" s="709">
        <f>VLOOKUP(WWWW[[#This Row],[Site Name]],SiteDB6[[Site Name]:[Long]],13,FALSE)</f>
        <v>0</v>
      </c>
      <c r="DQ543" s="709">
        <f>VLOOKUP(WWWW[[#This Row],[Site Name]],SiteDB6[[Site Name]:[Pcode]],3,FALSE)</f>
        <v>0</v>
      </c>
      <c r="DR543" s="703" t="str">
        <f>IF(C543="none","Notcovered","Covered")</f>
        <v>Covered</v>
      </c>
      <c r="DS543" s="703"/>
    </row>
    <row r="544" spans="1:123">
      <c r="A544" s="637" t="s">
        <v>2525</v>
      </c>
      <c r="B544" s="716" t="s">
        <v>305</v>
      </c>
      <c r="C544" s="716" t="s">
        <v>305</v>
      </c>
      <c r="D544" s="701"/>
      <c r="E544" s="663" t="s">
        <v>716</v>
      </c>
      <c r="F544" s="644" t="s">
        <v>757</v>
      </c>
      <c r="G544" s="709" t="str">
        <f>VLOOKUP(WWWW[[#This Row],[Site Name]],SiteDB6[[Site Name]:[Location Type]],8,FALSE)</f>
        <v>New Temporary Site</v>
      </c>
      <c r="H544" s="644" t="s">
        <v>3001</v>
      </c>
      <c r="I544" s="379">
        <v>125</v>
      </c>
      <c r="J544" s="379">
        <v>1360</v>
      </c>
      <c r="K544" s="710"/>
      <c r="L544" s="58"/>
      <c r="M544" s="379"/>
      <c r="N544" s="379"/>
      <c r="O544" s="379"/>
      <c r="P544" s="379"/>
      <c r="Q544" s="702"/>
      <c r="R544" s="379"/>
      <c r="S544" s="379"/>
      <c r="T544" s="379"/>
      <c r="U544" s="379"/>
      <c r="V544" s="379"/>
      <c r="W544" s="379"/>
      <c r="X544" s="379"/>
      <c r="Y544" s="379"/>
      <c r="Z544" s="379"/>
      <c r="AA544" s="379"/>
      <c r="AB544" s="379"/>
      <c r="AC544" s="379"/>
      <c r="AD544" s="379"/>
      <c r="AE544" s="379"/>
      <c r="AF544" s="379"/>
      <c r="AG544" s="379"/>
      <c r="AH544" s="379"/>
      <c r="AI544" s="379"/>
      <c r="AJ544" s="379"/>
      <c r="AK544" s="379"/>
      <c r="AL544" s="379"/>
      <c r="AM544" s="379"/>
      <c r="AN544" s="379"/>
      <c r="AO544" s="703"/>
      <c r="AP544" s="379">
        <v>20</v>
      </c>
      <c r="AQ544" s="379"/>
      <c r="AR544" s="711"/>
      <c r="AS544" s="379"/>
      <c r="AT544" s="379"/>
      <c r="AU544" s="379"/>
      <c r="AV544" s="379"/>
      <c r="AW544" s="379"/>
      <c r="AX544" s="709"/>
      <c r="AY544" s="703"/>
      <c r="AZ544" s="379"/>
      <c r="BA544" s="379"/>
      <c r="BB544" s="379"/>
      <c r="BC544" s="709"/>
      <c r="BD544" s="379">
        <v>4</v>
      </c>
      <c r="BE544" s="379"/>
      <c r="BF544" s="379"/>
      <c r="BG544" s="379"/>
      <c r="BH544" s="379"/>
      <c r="BI544" s="379"/>
      <c r="BJ544" s="379"/>
      <c r="BK544" s="379">
        <v>134</v>
      </c>
      <c r="BL544" s="379">
        <v>134</v>
      </c>
      <c r="BM544" s="709"/>
      <c r="BN544" s="712"/>
      <c r="BO544" s="711"/>
      <c r="BP544" s="709"/>
      <c r="BQ544" s="713" t="str">
        <f>IFERROR(WWWW[[#This Row],['#_Water sources treated]]/WWWW[[#This Row],['#_Water sources tested for contamination]],"no test")</f>
        <v>no test</v>
      </c>
      <c r="BR544" s="711" t="str">
        <f>IFERROR(WWWW[[#This Row],['#_Household received remediation action due to contamination]]/WWWW[[#This Row],['#_Household water samples tested for contamination]],"no test")</f>
        <v>no test</v>
      </c>
      <c r="BS544" s="712" t="str">
        <f>IF(AND(WWWW[[#This Row],[% of water sources treated]]="no test",WWWW[[#This Row],[% Household received corrective actions]]="no test"),"No Test","Tested")</f>
        <v>No Test</v>
      </c>
      <c r="BT544" s="712">
        <f>WWWW[[#This Row],['#_Constructed/existing protected hand dug well]]-WWWW[[#This Row],['#_Non-functional protected hand dug well]]</f>
        <v>0</v>
      </c>
      <c r="BU544" s="712">
        <f>(WWWW[[#This Row],['#_Constructed/Existing tube wells/boreholes/handpumps_WASH_agency]]+WWWW[[#This Row],['#_Non-Cluster partner water tube-wells/boreholes/handpumps]])-WWWW[[#This Row],['#_Non-functional tube wells/boreholes/handpumps]]</f>
        <v>0</v>
      </c>
      <c r="BV544" s="712">
        <f>WWWW[[#This Row],['#_Constructed/Existingwater storage tank with gravity fed reticulation system]]-WWWW[[#This Row],['#_Non-functional storage tank gravity fed reticulation system]]</f>
        <v>0</v>
      </c>
      <c r="BW544" s="712">
        <f>WWWW[[#This Row],['#_Water boating or water trucking]]</f>
        <v>0</v>
      </c>
      <c r="BX544" s="712">
        <f>WWWW[[#This Row],['#_Constructed/Existing water distribution system from river or natural spring]]</f>
        <v>0</v>
      </c>
      <c r="BY544" s="713">
        <f>IF(WWWW[[#This Row],[Total PoP ]]="","",IF(((WWWW[[#This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]]&gt;1,1,((WWWW[[#This Row],[Functional protected hand dug well]]*400)+(WWWW[[#This Row],[Functional tube wells/boreholes/handpumps (including non-cluster partners)]]*500)+((WWWW[[#This Row],[Functional storage tank with gravity fed reticulation system]]*1000)/15)+(WWWW[[#This Row],[Water boating or water trucking]]/15)+(WWWW[[#This Row],[Constructed water distribution system from river]]/15))/WWWW[[#This Row],[Total PoP ]]))</f>
        <v>0</v>
      </c>
      <c r="BZ544" s="713">
        <f>IF(WWWW[[#This Row],[Total PoP ]]="","",IF(((WWWW[[#This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]]&gt;1,1,((WWWW[[#This Row],[Functional protected hand dug well]]*250)+(WWWW[[#This Row],[Functional tube wells/boreholes/handpumps (including non-cluster partners)]]*250)+((WWWW[[#This Row],[Functional storage tank with gravity fed reticulation system]]*1000)/15)+(WWWW[[#This Row],[Water boating or water trucking]]/15)+(WWWW[[#This Row],[Constructed water distribution system from river]]/15))/WWWW[[#This Row],[Total PoP ]]))</f>
        <v>0</v>
      </c>
      <c r="CA544" s="711">
        <f>IF(WWWW[[#This Row],[Location Type 1]]="Village",WWWW[[#This Row],[Access to safe drinking water for Village]],WWWW[[#This Row],[Access to safe drinking water for Camp]])</f>
        <v>0</v>
      </c>
      <c r="CB544" s="702">
        <f>WWWW[[#This Row],[%Equitable and continuous access to sufficient quantity of safe drinking water]]*WWWW[[#This Row],[Total PoP ]]</f>
        <v>0</v>
      </c>
      <c r="CC544" s="711">
        <f>IF((WWWW[[#This Row],['#_Constructed/Existing protected/fenced ponds]]*250)/WWWW[[#This Row],[Total PoP ]]&gt;1,1,(WWWW[[#This Row],['#_Constructed/Existing protected/fenced ponds]]*250)/WWWW[[#This Row],[Total PoP ]])</f>
        <v>0</v>
      </c>
      <c r="CD544" s="702">
        <f>WWWW[[#This Row],[% Access to unimproved water points]]*WWWW[[#This Row],[Total PoP ]]</f>
        <v>0</v>
      </c>
      <c r="CE544" s="711">
        <f>IF(WWWW[[#This Row],[% Access to unimproved water points]]+WWWW[[#This Row],[%Equitable and continuous access to sufficient quantity of safe drinking water]]&gt;1,1,WWWW[[#This Row],[% Access to unimproved water points]]+WWWW[[#This Row],[%Equitable and continuous access to sufficient quantity of safe drinking water]])</f>
        <v>0</v>
      </c>
      <c r="CF544" s="70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G544" s="702">
        <f>WWWW[[#This Row],[HRP1]]/500</f>
        <v>0</v>
      </c>
      <c r="CH544" s="714">
        <f>1-WWWW[[#This Row],[% Equitable and continuous access to sufficient quantity of domestic water]]</f>
        <v>1</v>
      </c>
      <c r="CI544" s="702">
        <f>WWWW[[#This Row],[%equitable and continuous access to sufficient quantity of safe drinking and domestic water''s GAP]]*WWWW[[#This Row],[Total PoP ]]</f>
        <v>1360</v>
      </c>
      <c r="CJ544" s="712">
        <f>IF(WWWW[[#This Row],[Total required water points]]-WWWW[[#This Row],['#Water points coverage]]&lt;0,0,WWWW[[#This Row],[Total required water points]]-WWWW[[#This Row],['#Water points coverage]])</f>
        <v>3</v>
      </c>
      <c r="CK544" s="712">
        <f>ROUND(IF(WWWW[[#This Row],[Total PoP ]]&lt;500,1,WWWW[[#This Row],[Total PoP ]]/500),0)</f>
        <v>3</v>
      </c>
      <c r="CL544" s="712">
        <f>(WWWW[[#This Row],['#_Constructed latrines_by_WASHAgencies]]+WWWW[[#This Row],['#_Non Cluster partner latrines]])-WWWW[[#This Row],['#_Non-functional latrines]]</f>
        <v>20</v>
      </c>
      <c r="CM544" s="711">
        <f>IF(WWWW[[#This Row],[Total PoP ]]="",0,IF(WWWW[[#This Row],[Location Type 1]]="camp",IF((WWWW[[#This Row],['# of Functioning latrine]]*20)/WWWW[[#This Row],[Total PoP ]]&gt;1,1,(WWWW[[#This Row],['# of Functioning latrine]]*20)/WWWW[[#This Row],[Total PoP ]]),IF(WWWW[[#This Row],[Location Type 1]]="Temporary Location",IF((WWWW[[#This Row],['# of Functioning latrine]]*50)/WWWW[[#This Row],[Total PoP ]]&gt;1,1,(WWWW[[#This Row],['# of Functioning latrine]]*50)/WWWW[[#This Row],[Total PoP ]]),IF((WWWW[[#This Row],['# of Functioning latrine]]*6)/WWWW[[#This Row],[Total PoP ]]&gt;1,1,(WWWW[[#This Row],['# of Functioning latrine]]*6)/WWWW[[#This Row],[Total PoP ]]))))</f>
        <v>0.73529411764705888</v>
      </c>
      <c r="CN544" s="702">
        <f>IF(WWWW[[#This Row],[Total PoP ]]="",0,IF(WWWW[[#This Row],[Location Type 1]]="camp",IF((WWWW[[#This Row],['# of Functioning latrine]]*20)&gt;WWWW[[#This Row],[Total PoP ]],WWWW[[#This Row],[Total PoP ]],WWWW[[#This Row],['# of Functioning latrine]]*20),IF(WWWW[[#This Row],[Location Type 1]]="Temporary location", IF((WWWW[[#This Row],['# of Functioning latrine]]*50)&gt;WWWW[[#This Row],[Total PoP ]],WWWW[[#This Row],[Total PoP ]],WWWW[[#This Row],['# of Functioning latrine]]*50), IF((WWWW[[#This Row],['# of Functioning latrine]]*6)&gt;WWWW[[#This Row],[Total PoP ]],WWWW[[#This Row],[Total PoP ]],WWWW[[#This Row],['# of Functioning latrine]]*6))))</f>
        <v>1000</v>
      </c>
      <c r="CO544" s="715">
        <f>IF(WWWW[[#This Row],[Location Type 1]]="Village","N/A",IF(WWWW[[#This Row],[Location Type 1]]="camp",IF(20*WWWW[[#This Row],['#_Latrines desludged during the past quarter]]&gt;WWWW[[#This Row],[Total PoP ]],WWWW[[#This Row],[Total PoP ]],20*WWWW[[#This Row],['#_Latrines desludged during the past quarter]]),IF(6*WWWW[[#This Row],['#_Latrines desludged during the past quarter]]&gt;WWWW[[#This Row],[Total PoP ]],WWWW[[#This Row],[Total PoP ]],6*WWWW[[#This Row],['#_Latrines desludged during the past quarter]])))</f>
        <v>0</v>
      </c>
      <c r="CP544" s="712">
        <f>IF(WWWW[[#This Row],[Location Type 1]]="Village","NA",IF(WWWW[[#This Row],['#_Constructed/Existing latrines in TLS]]*50&gt;WWWW[[#This Row],['#_students at TLS_CFS]],WWWW[[#This Row],['#_students at TLS_CFS]],(WWWW[[#This Row],['#_Constructed/Existing latrines in TLS]]*50)))</f>
        <v>0</v>
      </c>
      <c r="CQ544" s="712">
        <f>ROUND(IF(WWWW[[#This Row],[Location Type 1]]="camp",WWWW[[#This Row],[Total PoP ]]/20,IF(WWWW[[#This Row],[Location Type 1]]="Temporary Location",WWWW[[#This Row],[Total PoP ]]/50,(WWWW[[#This Row],[Total PoP ]]/6))),0)</f>
        <v>27</v>
      </c>
      <c r="CR544" s="712">
        <f>IF(WWWW[[#This Row],[Total required Latrines]]-(WWWW[[#This Row],['#_Constructed latrines_by_WASHAgencies]]+WWWW[[#This Row],['#_Non Cluster partner latrines]])&lt;0,0,WWWW[[#This Row],[Total required Latrines]]-(WWWW[[#This Row],['#_Constructed latrines_by_WASHAgencies]]+WWWW[[#This Row],['#_Non Cluster partner latrines]]))</f>
        <v>7</v>
      </c>
      <c r="CS544" s="79">
        <f>1-WWWW[[#This Row],[% people access to functioning Latrine]]</f>
        <v>0.26470588235294112</v>
      </c>
      <c r="CT544" s="713">
        <f>IF(OR(WWWW[[#This Row],['#_Non-functional latrines]]="",WWWW[[#This Row],['#_Non-functional latrines]]=0),0,WWWW[[#This Row],['#_Non-functional latrines]]/(WWWW[[#This Row],['#_Constructed latrines_by_WASHAgencies]]+WWWW[[#This Row],['#_Non Cluster partner latrines]]))</f>
        <v>0</v>
      </c>
      <c r="CU544" s="702">
        <f>IF(500*(WWWW[[#This Row],['#_male hygiene promoters]]+WWWW[[#This Row],['#_female hygiene promoters]])&gt;WWWW[[#This Row],[Total PoP ]],WWWW[[#This Row],[Total PoP ]],500*(WWWW[[#This Row],['#_male hygiene promoters]]+WWWW[[#This Row],['#_female hygiene promoters]]))</f>
        <v>0</v>
      </c>
      <c r="CV544" s="712">
        <f>IF(WWWW[[#This Row],['#_households that received standard amount of soap for this quarter]]=WWWW[[#This Row],[Total HH]],WWWW[[#This Row],[Total PoP ]],IF(WWWW[[#This Row],['#_households that received standard amount of soap for this quarter]]*5&gt;WWWW[[#This Row],[Total PoP ]],WWWW[[#This Row],[Total PoP ]],WWWW[[#This Row],['#_households that received standard amount of soap for this quarter]]*5))</f>
        <v>670</v>
      </c>
      <c r="CW544" s="712">
        <f>IF(WWWW[[#This Row],['#_households that received standard amount of sanitary pads for this quarter]]=WWWW[[#This Row],[Total HH]],WWWW[[#This Row],[Total PoP ]],IF(WWWW[[#This Row],['#_households that received standard amount of sanitary pads for this quarter]]*5&gt;WWWW[[#This Row],[Total PoP ]],WWWW[[#This Row],[Total PoP ]],WWWW[[#This Row],['#_households that received standard amount of sanitary pads for this quarter]]*5))</f>
        <v>670</v>
      </c>
      <c r="CX544" s="712">
        <f>IF(WWWW[[#This Row],['# People with access to soap]]&gt;WWWW[[#This Row],['# People with access to Sanity Pads]],WWWW[[#This Row],['# People with access to soap]],WWWW[[#This Row],['# People with access to Sanity Pads]])</f>
        <v>670</v>
      </c>
      <c r="CY544" s="712">
        <f>IF(WWWW[[#This Row],['# people reached by regular dedicated hygiene promotion_5]]&gt;WWWW[[#This Row],['# People received regular supply of hygiene items_6]],WWWW[[#This Row],['# people reached by regular dedicated hygiene promotion_5]],WWWW[[#This Row],['# People received regular supply of hygiene items_6]])</f>
        <v>670</v>
      </c>
      <c r="CZ544" s="714">
        <f>IF(WWWW[[#This Row],[HRP3]]/WWWW[[#This Row],[Total PoP ]]&gt;100%,100%,WWWW[[#This Row],[HRP3]]/WWWW[[#This Row],[Total PoP ]])</f>
        <v>0.49264705882352944</v>
      </c>
      <c r="DA544" s="713">
        <f>1-WWWW[[#This Row],[Hygiene Coverage%]]</f>
        <v>0.50735294117647056</v>
      </c>
      <c r="DB544" s="711">
        <f>WWWW[[#This Row],['# people reached by regular dedicated hygiene promotion_5]]/WWWW[[#This Row],[Total PoP ]]</f>
        <v>0</v>
      </c>
      <c r="DC544" s="711">
        <f>IF(WWWW[[#This Row],['#_households that received standard amount of soap for this quarter]]/WWWW[[#This Row],[Total HH]]&gt;1,1,WWWW[[#This Row],['#_households that received standard amount of soap for this quarter]]/WWWW[[#This Row],[Total HH]])</f>
        <v>1</v>
      </c>
      <c r="DD544" s="711">
        <f>IF(WWWW[[#This Row],['#_households that received standard amount of sanitary pads for this quarter]]/WWWW[[#This Row],[Total HH]]&gt;1,1,WWWW[[#This Row],['#_households that received standard amount of sanitary pads for this quarter]]/WWWW[[#This Row],[Total HH]])</f>
        <v>1</v>
      </c>
      <c r="DE544" s="712">
        <f>WWWW[[#This Row],['#_Constructed/Existing hand washing stations]]-WWWW[[#This Row],['#_Non-Functional_hand_washing_stations]]</f>
        <v>4</v>
      </c>
      <c r="DF544" s="667">
        <f>IF(WWWW[[#This Row],['# Functional hand washing stations during reporting period]]*20&gt;WWWW[[#This Row],[Total HH]],WWWW[[#This Row],[Total HH]],WWWW[[#This Row],['# Functional hand washing stations during reporting period]]*20)</f>
        <v>80</v>
      </c>
      <c r="DG544" s="702">
        <f>IF(WWWW[[#This Row],[Is sufficient soap available for TLS? (Yes/No)]]="yes",WWWW[[#This Row],['#_Constructed/Existing hand washing stations at TLS]],0)</f>
        <v>0</v>
      </c>
      <c r="DH544" s="702">
        <f>IF(WWWW[[#This Row],['# Functional hand washing stations during reporting period]]*100&gt;WWWW[[#This Row],[Total PoP ]],WWWW[[#This Row],[Total PoP ]],WWWW[[#This Row],['# Functional hand washing stations during reporting period]]*100)</f>
        <v>400</v>
      </c>
      <c r="DI544" s="702" t="str">
        <f>IF(WWWW[[#This Row],['#_students at TLS_CFS]]="","No","Yes")</f>
        <v>No</v>
      </c>
      <c r="DJ544" s="709">
        <f>VLOOKUP(WWWW[[#This Row],[Site Name]],SiteDB6[[Site Name]:[CCCM Management]],6,FALSE)</f>
        <v>0</v>
      </c>
      <c r="DK544" s="709">
        <f>VLOOKUP(WWWW[[#This Row],[Site Name]],SiteDB6[[Site Name]:[CCCM Focal Agency]],7,FALSE)</f>
        <v>0</v>
      </c>
      <c r="DL544" s="709" t="str">
        <f>VLOOKUP(WWWW[[#This Row],[Site Name]],SiteDB6[[Site Name]:[Location Type 1]],9,FALSE)</f>
        <v>Temporary location</v>
      </c>
      <c r="DM544" s="709" t="str">
        <f>VLOOKUP(WWWW[[#This Row],[Site Name]],SiteDB6[[Site Name]:[Type of Accommodation]],10,FALSE)</f>
        <v>Temporary location</v>
      </c>
      <c r="DN544" s="709" t="str">
        <f>VLOOKUP(WWWW[[#This Row],[Site Name]],SiteDB6[[Site Name]:[Ethnic or GCA/NGCA]],11,FALSE)</f>
        <v>GCA</v>
      </c>
      <c r="DO544" s="709">
        <f>VLOOKUP(WWWW[[#This Row],[Site Name]],SiteDB6[[Site Name]:[Lat]],12,FALSE)</f>
        <v>0</v>
      </c>
      <c r="DP544" s="709">
        <f>VLOOKUP(WWWW[[#This Row],[Site Name]],SiteDB6[[Site Name]:[Long]],13,FALSE)</f>
        <v>0</v>
      </c>
      <c r="DQ544" s="709">
        <f>VLOOKUP(WWWW[[#This Row],[Site Name]],SiteDB6[[Site Name]:[Pcode]],3,FALSE)</f>
        <v>0</v>
      </c>
      <c r="DR544" s="703" t="str">
        <f>IF(C544="none","Notcovered","Covered")</f>
        <v>Covered</v>
      </c>
      <c r="DS544" s="703"/>
    </row>
  </sheetData>
  <mergeCells count="19">
    <mergeCell ref="CE3:CE4"/>
    <mergeCell ref="CF3:CF4"/>
    <mergeCell ref="BQ6:BS6"/>
    <mergeCell ref="CH6:CI6"/>
    <mergeCell ref="K1:L1"/>
    <mergeCell ref="BQ3:BS4"/>
    <mergeCell ref="BT3:CA4"/>
    <mergeCell ref="CB3:CB4"/>
    <mergeCell ref="CC3:CD4"/>
    <mergeCell ref="CT3:CT4"/>
    <mergeCell ref="CQ3:CQ4"/>
    <mergeCell ref="CR3:CS4"/>
    <mergeCell ref="CJ3:CK4"/>
    <mergeCell ref="CG3:CG4"/>
    <mergeCell ref="CL3:CL4"/>
    <mergeCell ref="CP3:CP4"/>
    <mergeCell ref="CO3:CO4"/>
    <mergeCell ref="CN3:CN4"/>
    <mergeCell ref="CH3:CI4"/>
  </mergeCells>
  <conditionalFormatting sqref="DA3 CU3">
    <cfRule type="iconSet" priority="166">
      <iconSet reverse="1">
        <cfvo type="percent" val="0"/>
        <cfvo type="percent" val="0" gte="0"/>
        <cfvo type="percent" val="30"/>
      </iconSet>
    </cfRule>
  </conditionalFormatting>
  <conditionalFormatting sqref="DA143">
    <cfRule type="iconSet" priority="76">
      <iconSet reverse="1">
        <cfvo type="percent" val="0"/>
        <cfvo type="percent" val="0" gte="0"/>
        <cfvo type="percent" val="30"/>
      </iconSet>
    </cfRule>
  </conditionalFormatting>
  <conditionalFormatting sqref="CH143">
    <cfRule type="iconSet" priority="77">
      <iconSet reverse="1">
        <cfvo type="percent" val="0"/>
        <cfvo type="percent" val="0" gte="0"/>
        <cfvo type="percent" val="30"/>
      </iconSet>
    </cfRule>
  </conditionalFormatting>
  <conditionalFormatting sqref="DA148">
    <cfRule type="iconSet" priority="73">
      <iconSet reverse="1">
        <cfvo type="percent" val="0"/>
        <cfvo type="percent" val="0" gte="0"/>
        <cfvo type="percent" val="30"/>
      </iconSet>
    </cfRule>
  </conditionalFormatting>
  <conditionalFormatting sqref="CH148">
    <cfRule type="iconSet" priority="74">
      <iconSet reverse="1">
        <cfvo type="percent" val="0"/>
        <cfvo type="percent" val="0" gte="0"/>
        <cfvo type="percent" val="30"/>
      </iconSet>
    </cfRule>
  </conditionalFormatting>
  <conditionalFormatting sqref="DM153:DM155">
    <cfRule type="iconSet" priority="87">
      <iconSet reverse="1">
        <cfvo type="percent" val="0"/>
        <cfvo type="percent" val="0" gte="0"/>
        <cfvo type="percent" val="30"/>
      </iconSet>
    </cfRule>
  </conditionalFormatting>
  <conditionalFormatting sqref="DA150">
    <cfRule type="iconSet" priority="89">
      <iconSet reverse="1">
        <cfvo type="percent" val="0"/>
        <cfvo type="percent" val="0" gte="0"/>
        <cfvo type="percent" val="30"/>
      </iconSet>
    </cfRule>
  </conditionalFormatting>
  <conditionalFormatting sqref="CH150">
    <cfRule type="iconSet" priority="90">
      <iconSet reverse="1">
        <cfvo type="percent" val="0"/>
        <cfvo type="percent" val="0" gte="0"/>
        <cfvo type="percent" val="30"/>
      </iconSet>
    </cfRule>
  </conditionalFormatting>
  <conditionalFormatting sqref="DQ153:DQ155">
    <cfRule type="duplicateValues" dxfId="1610" priority="91"/>
  </conditionalFormatting>
  <conditionalFormatting sqref="DY169:DY1048576">
    <cfRule type="iconSet" priority="11613">
      <iconSet reverse="1">
        <cfvo type="percent" val="0"/>
        <cfvo type="percent" val="0" gte="0"/>
        <cfvo type="percent" val="30"/>
      </iconSet>
    </cfRule>
  </conditionalFormatting>
  <conditionalFormatting sqref="CU6">
    <cfRule type="iconSet" priority="14">
      <iconSet reverse="1">
        <cfvo type="percent" val="0"/>
        <cfvo type="percent" val="0" gte="0"/>
        <cfvo type="percent" val="30"/>
      </iconSet>
    </cfRule>
  </conditionalFormatting>
  <conditionalFormatting sqref="DA5">
    <cfRule type="iconSet" priority="11">
      <iconSet reverse="1">
        <cfvo type="percent" val="0"/>
        <cfvo type="percent" val="0" gte="0"/>
        <cfvo type="percent" val="30"/>
      </iconSet>
    </cfRule>
  </conditionalFormatting>
  <conditionalFormatting sqref="CH5">
    <cfRule type="iconSet" priority="13">
      <iconSet reverse="1">
        <cfvo type="percent" val="0"/>
        <cfvo type="percent" val="0" gte="0"/>
        <cfvo type="percent" val="30"/>
      </iconSet>
    </cfRule>
  </conditionalFormatting>
  <conditionalFormatting sqref="DA4">
    <cfRule type="iconSet" priority="8">
      <iconSet reverse="1">
        <cfvo type="percent" val="0"/>
        <cfvo type="percent" val="0" gte="0"/>
        <cfvo type="percent" val="30"/>
      </iconSet>
    </cfRule>
  </conditionalFormatting>
  <conditionalFormatting sqref="DA2">
    <cfRule type="iconSet" priority="5">
      <iconSet reverse="1">
        <cfvo type="percent" val="0"/>
        <cfvo type="percent" val="0" gte="0"/>
        <cfvo type="percent" val="30"/>
      </iconSet>
    </cfRule>
  </conditionalFormatting>
  <conditionalFormatting sqref="CH2">
    <cfRule type="iconSet" priority="7">
      <iconSet reverse="1">
        <cfvo type="percent" val="0"/>
        <cfvo type="percent" val="0" gte="0"/>
        <cfvo type="percent" val="30"/>
      </iconSet>
    </cfRule>
  </conditionalFormatting>
  <conditionalFormatting sqref="CS5">
    <cfRule type="iconSet" priority="11702">
      <iconSet reverse="1">
        <cfvo type="percent" val="0"/>
        <cfvo type="percent" val="0" gte="0"/>
        <cfvo type="percent" val="30"/>
      </iconSet>
    </cfRule>
  </conditionalFormatting>
  <conditionalFormatting sqref="CS2">
    <cfRule type="iconSet" priority="11704">
      <iconSet reverse="1">
        <cfvo type="percent" val="0"/>
        <cfvo type="percent" val="0" gte="0"/>
        <cfvo type="percent" val="30"/>
      </iconSet>
    </cfRule>
  </conditionalFormatting>
  <conditionalFormatting sqref="CT6 CO6:CP6">
    <cfRule type="iconSet" priority="11722">
      <iconSet reverse="1">
        <cfvo type="percent" val="0"/>
        <cfvo type="percent" val="0" gte="0"/>
        <cfvo type="percent" val="10"/>
      </iconSet>
    </cfRule>
  </conditionalFormatting>
  <conditionalFormatting sqref="CI5">
    <cfRule type="iconSet" priority="4">
      <iconSet reverse="1">
        <cfvo type="percent" val="0"/>
        <cfvo type="percent" val="0" gte="0"/>
        <cfvo type="percent" val="30"/>
      </iconSet>
    </cfRule>
  </conditionalFormatting>
  <conditionalFormatting sqref="G140">
    <cfRule type="duplicateValues" dxfId="1609" priority="2"/>
  </conditionalFormatting>
  <conditionalFormatting sqref="DA151:DA152 DA156:DA168 DA149 DA8:DA142 DA144:DA147">
    <cfRule type="iconSet" priority="11953">
      <iconSet reverse="1">
        <cfvo type="percent" val="0"/>
        <cfvo type="percent" val="0" gte="0"/>
        <cfvo type="percent" val="30"/>
      </iconSet>
    </cfRule>
  </conditionalFormatting>
  <conditionalFormatting sqref="CH151:CH152 CH156:CH168 CH149 CH8:CH142 CH144:CH147">
    <cfRule type="iconSet" priority="11959">
      <iconSet reverse="1">
        <cfvo type="percent" val="0"/>
        <cfvo type="percent" val="0" gte="0"/>
        <cfvo type="percent" val="30"/>
      </iconSet>
    </cfRule>
  </conditionalFormatting>
  <conditionalFormatting sqref="H333">
    <cfRule type="duplicateValues" dxfId="1608" priority="1"/>
  </conditionalFormatting>
  <conditionalFormatting sqref="H334:H544 H8:H332">
    <cfRule type="duplicateValues" dxfId="1607" priority="12146"/>
  </conditionalFormatting>
  <conditionalFormatting sqref="CS8:CS544">
    <cfRule type="iconSet" priority="12149">
      <iconSet reverse="1">
        <cfvo type="percent" val="0"/>
        <cfvo type="percent" val="0" gte="0"/>
        <cfvo type="percent" val="30"/>
      </iconSet>
    </cfRule>
  </conditionalFormatting>
  <dataValidations count="19">
    <dataValidation type="whole" operator="lessThan" allowBlank="1" showInputMessage="1" showErrorMessage="1" sqref="AS8:AW12 AZ8:BB12 BD8:BL12 BN8:BN12 R8:S12 U8:AN12 R14:AN16 AS14:AW16 AZ14:BB16 BD14:BL16 BN14:BN16 BN18:BN25 AZ18:BB25 BD18:BL25 BN27:BN35 AZ27:BB35 BD27:BL35 AA146 BN37:BN43 AS18:AW25 AZ37:BB43 BD37:BL43 AA35 AS37:AW43 BD49:BL53 BN49:BN53 AS27:AW35 AZ49:BB53 AZ55:BB61 BD55:BL61 BN55:BN61 AS55:AW61 AS49:AW53 AB27:AN35 BN67:BN75 AZ67:BB75 BD67:BL75 BN77 AS77:AW77 AZ77:BB77 BD77:BL77 BN79:BN101 AS67:AW75 AZ79:BB101 BD79:BL101 BN103 AS79:AW101 AZ103:BB103 BD103:BL103 BD105:BL113 BN105:BN113 AZ105:BB113 AZ115:BB115 BD115:BL115 BN115 AS103:AW103 AS115:AW115 AA38:AA43 R18:AN24 AA30:AA32 AB37:AN43 AA148:AA149 AA151:AA158 AA160:AA162 AA164 R105:AN113 R37:Z43 R115:AN115 R103:AN103 R79:AN101 R67:AN75 R49:AN53 R77:AN77 R55:AN61 R27:Z35 T8:T9 T11:T12 AS105:AU111 R141:Z146 AB141:AN146 AA141:AA144 BD141:BL146 AZ141:BB146 BN141:BN146 AS141:AW146 R63:AN65 AS63:AW65 BN63:BN65 BD63:BL65 AZ63:BB65 AV105:AW113 AS117:AU118 AS120:AU121 R45:AN47 AS45:AW47 BD45:BL47 AZ45:BB47 BN45:BN47 R117:AN139 AS124:AU139 AV117:AW139 AZ117:BB139 BD117:BL139 BN117:BN139 AA166:AA541 AS148:AW541 BN148:BN541 AZ148:BB541 R148:S541 U148:Z541 T148:T504 M8:P544 AB148:AN541 BD148:BJ541 BK148:BL205 BK207:BL541" xr:uid="{00000000-0002-0000-0200-000005000000}">
      <formula1>999999</formula1>
    </dataValidation>
    <dataValidation operator="lessThanOrEqual" allowBlank="1" showInputMessage="1" showErrorMessage="1" sqref="BC8:BC12 AO18:AO24 AO8:AO12 BO13 AO14:AO16 BC14:BC16 BO17 BC18:BC25 BO26 AO27:AO35 BC27:BC35 BO36 BC37:BC43 AO37:AO43 BO44 BO54 BC49:BC53 AO49:AO53 BO48 AO55:AO61 BC55:BC61 BO62 BO66 AO67:AO75 BC79:BC83 BC67:BC75 BO76 BC77 AO77 BO78 AO79:AO101 BC85:BC101 BO102 BC103 AO103 BO104 AO105:AO113 BC105:BC113 BO114 BC115 AO115 BO116 BO140 BO147 AO141:AO146 BC141:BC146 AO63:AO65 BC63:BC65 BC45:BC47 AO45:AO47 AO117:AO139 BC117:BC139 AO148:AO541 AR8:AR544 BC148:BC504" xr:uid="{00000000-0002-0000-0200-000007000000}"/>
    <dataValidation type="whole" allowBlank="1" showInputMessage="1" showErrorMessage="1" sqref="T10" xr:uid="{8A501B1A-2EE7-4CFD-83F9-FFB2DA6DA332}">
      <formula1>0</formula1>
      <formula2>1000000</formula2>
    </dataValidation>
    <dataValidation type="list" allowBlank="1" showInputMessage="1" showErrorMessage="1" sqref="C545:C1048576 E545:F1048576 H545:H1048576 K519:K1048576" xr:uid="{00000000-0002-0000-0200-000000000000}">
      <formula1>#REF!</formula1>
    </dataValidation>
    <dataValidation type="whole" operator="lessThan" allowBlank="1" showInputMessage="1" showErrorMessage="1" sqref="R25:S26 BI13:BJ13 R13:S13 BI17:BJ17 R17:S17 BI26:BJ26 BI36:BJ36 R36:S36 BI44:BJ44 R44:S44 BI54:BJ54 R54:S54 BI48:BJ48 R48:S48 BI62:BJ62 R62:S62 BI66:BJ66 R66:S66 R76:S76 R78:S78 R102:S102 R104:S104 R114:S114 R116:S116 R140:S140 R147:S147" xr:uid="{D5ABF3CD-50B6-4462-A003-14A34F4EC74C}">
      <formula1>9999999</formula1>
    </dataValidation>
    <dataValidation type="whole" operator="lessThanOrEqual" allowBlank="1" showInputMessage="1" showErrorMessage="1" sqref="T13:AN13 T17:AN17 T36:AN36 T44:AN44 T54:AN54 T48:AN48 T62:AN62 T66:AN66 T76:AN76 T78:AN78 T102:AN102 T104:AN104 T114:AN114 T116:AN116 T140:AN140 T147:AN147 T25:AN26" xr:uid="{D2601771-3C64-4F8F-B9CE-F1446D2FB242}">
      <formula1>99999999</formula1>
    </dataValidation>
    <dataValidation type="list" allowBlank="1" showInputMessage="1" showErrorMessage="1" sqref="BM13 BM17 BM26 BM36 BM44 BM54 BM48 BM62 BM66 BM76 BM78 BM102 BM104 BM114 BM116 BM140 BM147 Q8:Q544" xr:uid="{00000000-0002-0000-0200-000003000000}">
      <formula1>"Yes,No"</formula1>
    </dataValidation>
    <dataValidation type="whole" operator="lessThanOrEqual" allowBlank="1" showInputMessage="1" showErrorMessage="1" sqref="AZ13:BB13 AS13:AW13 AZ17:BB17 AS17:AW17 AZ26:BB26 AS26:AW26 AZ36:BB36 AS36:AW36 AZ44:BB44 AS44:AW44 AZ48:BB48 AZ54:BB54 AS54:AW54 AS48:AW48 AZ62:BB62 AS62:AW62 AZ66:BB66 AS66:AW66 AZ76:BB76 AS76:AW76 AZ78:BB78 AS78:AW78 AZ102:BB102 AS102:AW102 AZ104:BB104 AS104:AW104 AZ114:BB114 AS114:AW114 AZ116:BB116 AS116:AW116 AZ140:BB140 AS140:AW140 AS147:AW147 AZ147:BB147 AS112:AU113 AS119:AU119 AS122:AU123 AP8:AQ544" xr:uid="{00000000-0002-0000-0200-000006000000}">
      <formula1>9999999</formula1>
    </dataValidation>
    <dataValidation type="list" operator="lessThanOrEqual" allowBlank="1" showInputMessage="1" showErrorMessage="1" sqref="AX8:AX12 AX67:AX75 AX79:AX101 AX14:AX16 AX27:AX35 AX37:AX43 AX55:AX61 AX77 AX103 AX49:AX53 AX115 AX105:AX113 AX141:AX146 AX63:AX65 AX18:AX25 AX45:AX47 AX117:AX139 AX148:AX541" xr:uid="{00000000-0002-0000-0200-000008000000}">
      <formula1>"Yes, No"</formula1>
    </dataValidation>
    <dataValidation type="list" operator="lessThanOrEqual" allowBlank="1" showInputMessage="1" showErrorMessage="1" sqref="AY8:AY12 AY14:AY16 AY27:AY35 AY37:AY43 AY67:AY75 AY55:AY61 AY18:AY25 AY77 AY49:AY53 AY103 AY105:AY113 AY115 AY79:AY101 AY141:AY146 AY63:AY65 AY45:AY47 AY117:AY139 AY148:AY541" xr:uid="{00000000-0002-0000-0200-000009000000}">
      <formula1>"Functional,Not_Functional,No,NA"</formula1>
    </dataValidation>
    <dataValidation type="list" allowBlank="1" showInputMessage="1" showErrorMessage="1" sqref="BM8:BM12 BM14:BM16 BM18:BM25 BM37:BM43 BM49:BM53 BM55:BM61 BM27:BM35 BM67:BM75 BM77 BM79:BM101 BM103 BM105:BM113 BM115 BM141:BM146 BM63:BM65 BM45:BM47 BM117:BM139 BM148:BM541" xr:uid="{00000000-0002-0000-0200-00000A000000}">
      <formula1>"Yes, No"</formula1>
    </dataValidation>
    <dataValidation type="whole" operator="lessThanOrEqual" allowBlank="1" showInputMessage="1" showErrorMessage="1" sqref="BD13:BH13 BL13 BD17:BH17 BL17 BD26:BH26 BL26 BD36:BH36 BL36 BD44:BH44 BL44 BD54:BH54 BL54 BD48:BH48 BL48 BD62:BH62 BL62 BD66:BH66 BL66 BD76:BL76 BD78:BL78 BD102:BL102 BD104:BL104 BD114:BL114 BD116:BL116 BD140:BL140 BD147:BL147 BK206:BL206" xr:uid="{7B279BE0-B2AC-4182-A7C0-F1DEDD5403D3}">
      <formula1>999999</formula1>
    </dataValidation>
    <dataValidation type="whole" operator="lessThanOrEqual" allowBlank="1" showInputMessage="1" showErrorMessage="1" sqref="BN13 BN17 BN26 BN36 BN44 BN54 BN48 BN62 BN66 BN76 BN78 BN102 BN104 BN114 BN116 BN140 BN147" xr:uid="{8947BA77-E002-467D-AFC9-305EF1BDAF76}">
      <formula1>99999</formula1>
    </dataValidation>
    <dataValidation type="list" allowBlank="1" showInputMessage="1" showErrorMessage="1" sqref="AY13 AY17 AY26 AY147 AY44 AY36 AY48 AY62 AY66 AY76 AY78 AY102 AY104 AY114 AY116 AY140 AY54" xr:uid="{F0F42CC0-487B-4D08-A43D-4B636C2DFE5C}">
      <formula1>"Functional, Not_Functional, No, NA"</formula1>
    </dataValidation>
    <dataValidation type="list" allowBlank="1" showInputMessage="1" showErrorMessage="1" sqref="AX13 AX17 AX26 AX147 AX44 AX36 AX48 AX62 AX66 AX76 AX78 AX102 AX104 AX114 AX116 AX140 AX54" xr:uid="{ACAA96E0-DE7E-4458-BFDB-210E6C127DDA}">
      <formula1>"Yes,No,NA"</formula1>
    </dataValidation>
    <dataValidation type="list" allowBlank="1" showInputMessage="1" showErrorMessage="1" sqref="E8:E544" xr:uid="{00000000-0002-0000-0200-000001000000}">
      <formula1>"Kachin, Central Rakhine, Northern Rakhine, Shan (North)"</formula1>
    </dataValidation>
    <dataValidation type="list" allowBlank="1" showInputMessage="1" showErrorMessage="1" sqref="H8:H544" xr:uid="{00000000-0002-0000-0200-000004000000}">
      <formula1>OFFSET(Township_start,MATCH(F8,Township_list, 0),1, COUNTIF(Township_list,F8),1)</formula1>
    </dataValidation>
    <dataValidation type="list" allowBlank="1" showInputMessage="1" showErrorMessage="1" sqref="F8:F544" xr:uid="{00000000-0002-0000-0200-00000B000000}">
      <formula1>OFFSET(Statestart_1,MATCH(E8, State_list, 0), 1,COUNTIF(State_list,E8),1)</formula1>
    </dataValidation>
    <dataValidation type="list" allowBlank="1" showInputMessage="1" showErrorMessage="1" sqref="DR8:DR544" xr:uid="{00000000-0002-0000-0200-000002000000}">
      <formula1>"Covered, Not_covered"</formula1>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xr:uid="{B3D7A61D-13A3-4029-920E-276246A8A072}">
          <x14:formula1>
            <xm:f>'E:\Users\mthaw\Mee Mee\2. Information Management\B_ 4 W\002. 4Ws matrix\004.Yangon\Final\2018\2018_Q4\[2019_02_15_Myanmar_WASH_4W_2018_Q4_FINAL.xlsx]Lookup'!#REF!</xm:f>
          </x14:formula1>
          <xm:sqref>D213</xm:sqref>
        </x14:dataValidation>
        <x14:dataValidation type="list" allowBlank="1" showInputMessage="1" showErrorMessage="1" xr:uid="{00000000-0002-0000-0200-00000E000000}">
          <x14:formula1>
            <xm:f>Lookup!$A$4:$A$28</xm:f>
          </x14:formula1>
          <xm:sqref>A8:A544</xm:sqref>
        </x14:dataValidation>
        <x14:dataValidation type="list" allowBlank="1" showInputMessage="1" showErrorMessage="1" xr:uid="{00000000-0002-0000-0200-00000C000000}">
          <x14:formula1>
            <xm:f>Lookup!$B$4:$B$60</xm:f>
          </x14:formula1>
          <xm:sqref>B8:C544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109"/>
  <sheetViews>
    <sheetView zoomScale="110" zoomScaleNormal="110" workbookViewId="0">
      <pane xSplit="1" ySplit="2" topLeftCell="B376" activePane="bottomRight" state="frozen"/>
      <selection activeCell="E391" sqref="E391"/>
      <selection pane="topRight" activeCell="E391" sqref="E391"/>
      <selection pane="bottomLeft" activeCell="E391" sqref="E391"/>
      <selection pane="bottomRight" activeCell="D1131" sqref="D1131"/>
    </sheetView>
  </sheetViews>
  <sheetFormatPr defaultColWidth="9" defaultRowHeight="14.25" customHeight="1"/>
  <cols>
    <col min="1" max="1" width="13.125" bestFit="1" customWidth="1"/>
    <col min="2" max="2" width="17" style="17" customWidth="1"/>
    <col min="3" max="3" width="37" style="134" bestFit="1" customWidth="1"/>
    <col min="4" max="4" width="16.5" style="46" customWidth="1"/>
    <col min="5" max="7" width="19.5" style="17" customWidth="1"/>
    <col min="8" max="8" width="13.25" style="17" customWidth="1"/>
    <col min="9" max="9" width="16.375" style="17" customWidth="1"/>
    <col min="10" max="10" width="11.25" style="17" customWidth="1"/>
    <col min="11" max="11" width="7.75" style="17" customWidth="1"/>
    <col min="12" max="12" width="12.75" style="17" customWidth="1"/>
    <col min="13" max="13" width="14.875" style="17" customWidth="1"/>
    <col min="14" max="14" width="15" style="17" customWidth="1"/>
    <col min="15" max="15" width="8.5" style="17" customWidth="1"/>
    <col min="16" max="17" width="7.75" style="17" customWidth="1"/>
    <col min="18" max="18" width="18.25" style="17" customWidth="1"/>
    <col min="19" max="20" width="10.5" style="17" customWidth="1"/>
    <col min="21" max="21" width="10.125" style="45" customWidth="1"/>
    <col min="22" max="22" width="8.625"/>
    <col min="23" max="23" width="12.125" style="136" customWidth="1"/>
    <col min="24" max="24" width="55" style="47" customWidth="1"/>
    <col min="25" max="25" width="16.625" style="17" customWidth="1"/>
    <col min="26" max="26" width="9" style="135"/>
    <col min="27" max="16384" width="9" style="17"/>
  </cols>
  <sheetData>
    <row r="1" spans="1:26" ht="14.25" customHeight="1">
      <c r="A1" s="17"/>
      <c r="C1" s="17"/>
      <c r="D1" s="17"/>
      <c r="Q1" s="271"/>
      <c r="U1" s="17"/>
      <c r="V1" s="17"/>
      <c r="W1" s="272"/>
      <c r="X1" s="73"/>
      <c r="Y1" s="135"/>
      <c r="Z1" s="17"/>
    </row>
    <row r="2" spans="1:26" ht="14.25" customHeight="1">
      <c r="A2" s="17" t="s">
        <v>22</v>
      </c>
      <c r="B2" s="17" t="s">
        <v>23</v>
      </c>
      <c r="C2" s="76" t="s">
        <v>24</v>
      </c>
      <c r="D2" s="17" t="s">
        <v>1690</v>
      </c>
      <c r="E2" s="17" t="s">
        <v>34</v>
      </c>
      <c r="F2" s="17" t="s">
        <v>1691</v>
      </c>
      <c r="G2" s="17" t="s">
        <v>1692</v>
      </c>
      <c r="H2" s="17" t="s">
        <v>28</v>
      </c>
      <c r="I2" s="17" t="s">
        <v>29</v>
      </c>
      <c r="J2" s="17" t="s">
        <v>142</v>
      </c>
      <c r="K2" s="17" t="s">
        <v>143</v>
      </c>
      <c r="L2" s="17" t="s">
        <v>768</v>
      </c>
      <c r="M2" s="17" t="s">
        <v>31</v>
      </c>
      <c r="N2" s="17" t="s">
        <v>32</v>
      </c>
      <c r="O2" s="17" t="s">
        <v>33</v>
      </c>
      <c r="P2" s="17" t="s">
        <v>769</v>
      </c>
      <c r="Q2" s="17" t="s">
        <v>770</v>
      </c>
      <c r="R2" s="72" t="s">
        <v>3136</v>
      </c>
      <c r="S2" s="72" t="s">
        <v>3137</v>
      </c>
      <c r="T2" s="136" t="s">
        <v>771</v>
      </c>
      <c r="U2" s="47" t="s">
        <v>36</v>
      </c>
      <c r="V2" s="17" t="s">
        <v>772</v>
      </c>
      <c r="W2" s="17" t="s">
        <v>2297</v>
      </c>
      <c r="X2" s="17"/>
      <c r="Z2" s="17"/>
    </row>
    <row r="3" spans="1:26" s="76" customFormat="1" ht="14.25" customHeight="1">
      <c r="A3" s="671" t="s">
        <v>3014</v>
      </c>
      <c r="B3" s="269" t="s">
        <v>375</v>
      </c>
      <c r="C3" s="270" t="s">
        <v>3103</v>
      </c>
      <c r="D3" s="669" t="s">
        <v>1693</v>
      </c>
      <c r="E3" s="699">
        <v>198645</v>
      </c>
      <c r="F3" s="265"/>
      <c r="G3" s="265"/>
      <c r="H3" s="265"/>
      <c r="I3" s="265"/>
      <c r="J3" s="265" t="s">
        <v>812</v>
      </c>
      <c r="K3" s="265" t="s">
        <v>812</v>
      </c>
      <c r="L3" s="265" t="s">
        <v>812</v>
      </c>
      <c r="M3" s="265" t="s">
        <v>312</v>
      </c>
      <c r="N3" s="265">
        <v>19.18421936</v>
      </c>
      <c r="O3" s="265">
        <v>93.699806210000006</v>
      </c>
      <c r="P3" s="265" t="s">
        <v>813</v>
      </c>
      <c r="Q3" s="265" t="s">
        <v>794</v>
      </c>
      <c r="R3" s="266"/>
      <c r="S3" s="264"/>
      <c r="T3" s="267"/>
      <c r="U3" s="268"/>
      <c r="V3" s="265" t="s">
        <v>378</v>
      </c>
      <c r="W3" s="670"/>
    </row>
    <row r="4" spans="1:26" s="76" customFormat="1" ht="14.25" customHeight="1">
      <c r="A4" s="671" t="s">
        <v>3014</v>
      </c>
      <c r="B4" s="279" t="s">
        <v>375</v>
      </c>
      <c r="C4" s="280" t="s">
        <v>380</v>
      </c>
      <c r="D4" s="669" t="s">
        <v>1693</v>
      </c>
      <c r="E4" s="275">
        <v>198647</v>
      </c>
      <c r="F4" s="275"/>
      <c r="G4" s="275"/>
      <c r="H4" s="275"/>
      <c r="I4" s="275"/>
      <c r="J4" s="275" t="s">
        <v>812</v>
      </c>
      <c r="K4" s="275" t="s">
        <v>812</v>
      </c>
      <c r="L4" s="275" t="s">
        <v>812</v>
      </c>
      <c r="M4" s="275" t="s">
        <v>312</v>
      </c>
      <c r="N4" s="275">
        <v>19.18943977</v>
      </c>
      <c r="O4" s="275">
        <v>93.733673100000004</v>
      </c>
      <c r="P4" s="275" t="s">
        <v>813</v>
      </c>
      <c r="Q4" s="275" t="s">
        <v>794</v>
      </c>
      <c r="R4" s="276"/>
      <c r="S4" s="274"/>
      <c r="T4" s="277"/>
      <c r="U4" s="278"/>
      <c r="V4" s="275" t="s">
        <v>380</v>
      </c>
      <c r="W4" s="670"/>
    </row>
    <row r="5" spans="1:26" s="76" customFormat="1" ht="14.25" customHeight="1">
      <c r="A5" s="671" t="s">
        <v>3014</v>
      </c>
      <c r="B5" s="269" t="s">
        <v>375</v>
      </c>
      <c r="C5" s="270" t="s">
        <v>2845</v>
      </c>
      <c r="D5" s="669"/>
      <c r="E5" s="265">
        <v>198667</v>
      </c>
      <c r="F5" s="265"/>
      <c r="G5" s="265"/>
      <c r="H5" s="265"/>
      <c r="I5" s="265"/>
      <c r="J5" s="265" t="s">
        <v>812</v>
      </c>
      <c r="K5" s="265" t="s">
        <v>812</v>
      </c>
      <c r="L5" s="265" t="s">
        <v>812</v>
      </c>
      <c r="M5" s="265" t="s">
        <v>312</v>
      </c>
      <c r="N5" s="265"/>
      <c r="O5" s="265"/>
      <c r="P5" s="265"/>
      <c r="Q5" s="265"/>
      <c r="R5" s="266"/>
      <c r="S5" s="264"/>
      <c r="T5" s="267"/>
      <c r="U5" s="268"/>
      <c r="V5" s="265"/>
      <c r="W5" s="670"/>
    </row>
    <row r="6" spans="1:26" s="76" customFormat="1" ht="14.25" customHeight="1">
      <c r="A6" s="671" t="s">
        <v>3014</v>
      </c>
      <c r="B6" s="666" t="s">
        <v>375</v>
      </c>
      <c r="C6" s="76" t="s">
        <v>385</v>
      </c>
      <c r="D6" s="760" t="s">
        <v>2383</v>
      </c>
      <c r="E6" s="76" t="s">
        <v>1368</v>
      </c>
      <c r="F6" s="76" t="s">
        <v>1772</v>
      </c>
      <c r="G6" s="76" t="s">
        <v>385</v>
      </c>
      <c r="H6" s="76" t="s">
        <v>43</v>
      </c>
      <c r="J6" s="76" t="s">
        <v>812</v>
      </c>
      <c r="K6" s="76" t="s">
        <v>812</v>
      </c>
      <c r="L6" s="76" t="s">
        <v>835</v>
      </c>
      <c r="M6" s="76" t="s">
        <v>312</v>
      </c>
      <c r="N6" s="76">
        <v>19.421102000000001</v>
      </c>
      <c r="O6" s="76">
        <v>93.552452000000002</v>
      </c>
      <c r="P6" s="76" t="s">
        <v>813</v>
      </c>
      <c r="Q6" s="76" t="s">
        <v>794</v>
      </c>
      <c r="R6" s="131">
        <v>65</v>
      </c>
      <c r="S6" s="132">
        <v>327</v>
      </c>
      <c r="T6" s="137"/>
      <c r="U6" s="133"/>
      <c r="V6" s="76" t="s">
        <v>385</v>
      </c>
      <c r="W6" s="666"/>
    </row>
    <row r="7" spans="1:26" s="76" customFormat="1" ht="14.25" customHeight="1">
      <c r="A7" s="671" t="s">
        <v>3014</v>
      </c>
      <c r="B7" s="666" t="s">
        <v>375</v>
      </c>
      <c r="C7" s="76" t="s">
        <v>2842</v>
      </c>
      <c r="D7" s="760"/>
      <c r="E7" s="76">
        <v>198475</v>
      </c>
      <c r="J7" s="76" t="s">
        <v>812</v>
      </c>
      <c r="K7" s="76" t="s">
        <v>812</v>
      </c>
      <c r="L7" s="265" t="s">
        <v>812</v>
      </c>
      <c r="M7" s="76" t="s">
        <v>312</v>
      </c>
      <c r="R7" s="131"/>
      <c r="S7" s="671"/>
      <c r="T7" s="137"/>
      <c r="U7" s="133"/>
    </row>
    <row r="8" spans="1:26" s="76" customFormat="1" ht="14.25" customHeight="1">
      <c r="A8" s="671" t="s">
        <v>3014</v>
      </c>
      <c r="B8" s="666" t="s">
        <v>375</v>
      </c>
      <c r="C8" s="76" t="s">
        <v>377</v>
      </c>
      <c r="D8" s="760" t="s">
        <v>1693</v>
      </c>
      <c r="E8" s="76">
        <v>198611</v>
      </c>
      <c r="J8" s="76" t="s">
        <v>812</v>
      </c>
      <c r="K8" s="76" t="s">
        <v>812</v>
      </c>
      <c r="L8" s="76" t="s">
        <v>812</v>
      </c>
      <c r="M8" s="76" t="s">
        <v>312</v>
      </c>
      <c r="N8" s="76">
        <v>19.17564964</v>
      </c>
      <c r="O8" s="76">
        <v>93.596443179999994</v>
      </c>
      <c r="P8" s="76" t="s">
        <v>813</v>
      </c>
      <c r="Q8" s="76" t="s">
        <v>794</v>
      </c>
      <c r="R8" s="131"/>
      <c r="S8" s="132"/>
      <c r="T8" s="137"/>
      <c r="U8" s="133"/>
      <c r="V8" s="76" t="s">
        <v>377</v>
      </c>
    </row>
    <row r="9" spans="1:26" s="76" customFormat="1" ht="14.25" customHeight="1">
      <c r="A9" s="671" t="s">
        <v>3014</v>
      </c>
      <c r="B9" s="666" t="s">
        <v>375</v>
      </c>
      <c r="C9" s="76" t="s">
        <v>386</v>
      </c>
      <c r="D9" s="760" t="s">
        <v>3138</v>
      </c>
      <c r="E9" s="76" t="s">
        <v>1369</v>
      </c>
      <c r="F9" s="76" t="s">
        <v>1773</v>
      </c>
      <c r="G9" s="76" t="s">
        <v>1774</v>
      </c>
      <c r="H9" s="76" t="s">
        <v>43</v>
      </c>
      <c r="J9" s="76" t="s">
        <v>45</v>
      </c>
      <c r="K9" s="76" t="s">
        <v>45</v>
      </c>
      <c r="L9" s="76" t="s">
        <v>808</v>
      </c>
      <c r="M9" s="76" t="s">
        <v>809</v>
      </c>
      <c r="N9" s="76">
        <v>19.424576999999999</v>
      </c>
      <c r="O9" s="76">
        <v>93.512326000000002</v>
      </c>
      <c r="P9" s="76" t="s">
        <v>775</v>
      </c>
      <c r="Q9" s="76" t="s">
        <v>794</v>
      </c>
      <c r="R9" s="670">
        <v>415</v>
      </c>
      <c r="S9" s="671">
        <v>1050</v>
      </c>
      <c r="T9" s="137"/>
      <c r="U9" s="133"/>
      <c r="V9" s="76" t="s">
        <v>815</v>
      </c>
    </row>
    <row r="10" spans="1:26" s="76" customFormat="1" ht="14.25" customHeight="1">
      <c r="A10" s="671" t="s">
        <v>3014</v>
      </c>
      <c r="B10" s="668" t="s">
        <v>375</v>
      </c>
      <c r="C10" s="668" t="s">
        <v>2844</v>
      </c>
      <c r="D10" s="760"/>
      <c r="E10" s="76">
        <v>198508</v>
      </c>
      <c r="J10" s="76" t="s">
        <v>812</v>
      </c>
      <c r="K10" s="76" t="s">
        <v>812</v>
      </c>
      <c r="L10" s="265" t="s">
        <v>812</v>
      </c>
      <c r="M10" s="76" t="s">
        <v>312</v>
      </c>
      <c r="R10" s="670"/>
      <c r="S10" s="132"/>
      <c r="T10" s="137"/>
      <c r="U10" s="133"/>
    </row>
    <row r="11" spans="1:26" s="76" customFormat="1" ht="14.25" customHeight="1">
      <c r="A11" s="671" t="s">
        <v>3014</v>
      </c>
      <c r="B11" s="666" t="s">
        <v>375</v>
      </c>
      <c r="C11" s="76" t="s">
        <v>814</v>
      </c>
      <c r="D11" s="760" t="s">
        <v>1693</v>
      </c>
      <c r="E11" s="76">
        <v>198612</v>
      </c>
      <c r="J11" s="76" t="s">
        <v>812</v>
      </c>
      <c r="K11" s="76" t="s">
        <v>812</v>
      </c>
      <c r="L11" s="76" t="s">
        <v>812</v>
      </c>
      <c r="M11" s="76" t="s">
        <v>312</v>
      </c>
      <c r="N11" s="76">
        <v>19.195390700000001</v>
      </c>
      <c r="O11" s="76">
        <v>93.585678099999996</v>
      </c>
      <c r="P11" s="76" t="s">
        <v>813</v>
      </c>
      <c r="R11" s="131"/>
      <c r="S11" s="671"/>
      <c r="T11" s="137"/>
      <c r="U11" s="133"/>
      <c r="V11" s="76" t="s">
        <v>814</v>
      </c>
      <c r="W11" s="666"/>
    </row>
    <row r="12" spans="1:26" s="76" customFormat="1" ht="14.25" customHeight="1">
      <c r="A12" s="671" t="s">
        <v>3014</v>
      </c>
      <c r="B12" s="666" t="s">
        <v>375</v>
      </c>
      <c r="C12" s="666" t="s">
        <v>2362</v>
      </c>
      <c r="D12" s="760"/>
      <c r="E12" s="76">
        <v>198464</v>
      </c>
      <c r="F12" s="76" t="s">
        <v>2362</v>
      </c>
      <c r="J12" s="76" t="s">
        <v>812</v>
      </c>
      <c r="K12" s="76" t="s">
        <v>812</v>
      </c>
      <c r="L12" s="76" t="s">
        <v>812</v>
      </c>
      <c r="M12" s="76" t="s">
        <v>312</v>
      </c>
      <c r="N12" s="76">
        <v>19.417640689999999</v>
      </c>
      <c r="O12" s="76">
        <v>93.565246579999993</v>
      </c>
      <c r="Q12" s="76" t="s">
        <v>2327</v>
      </c>
      <c r="R12" s="670"/>
      <c r="S12" s="132"/>
      <c r="T12" s="137">
        <v>43462</v>
      </c>
      <c r="U12" s="133"/>
      <c r="W12" s="76" t="s">
        <v>2363</v>
      </c>
    </row>
    <row r="13" spans="1:26" s="76" customFormat="1" ht="14.25" customHeight="1">
      <c r="A13" s="671" t="s">
        <v>3014</v>
      </c>
      <c r="B13" s="666" t="s">
        <v>375</v>
      </c>
      <c r="C13" s="666" t="s">
        <v>382</v>
      </c>
      <c r="D13" s="760" t="s">
        <v>1693</v>
      </c>
      <c r="E13" s="76">
        <v>198516</v>
      </c>
      <c r="J13" s="76" t="s">
        <v>812</v>
      </c>
      <c r="K13" s="76" t="s">
        <v>812</v>
      </c>
      <c r="L13" s="76" t="s">
        <v>812</v>
      </c>
      <c r="M13" s="76" t="s">
        <v>312</v>
      </c>
      <c r="N13" s="76">
        <v>19.249820710000002</v>
      </c>
      <c r="O13" s="76">
        <v>93.551040650000004</v>
      </c>
      <c r="P13" s="76" t="s">
        <v>813</v>
      </c>
      <c r="Q13" s="76" t="s">
        <v>794</v>
      </c>
      <c r="R13" s="131"/>
      <c r="S13" s="671"/>
      <c r="T13" s="137"/>
      <c r="U13" s="133"/>
      <c r="V13" s="76" t="s">
        <v>382</v>
      </c>
    </row>
    <row r="14" spans="1:26" s="76" customFormat="1" ht="14.25" customHeight="1">
      <c r="A14" s="671" t="s">
        <v>3014</v>
      </c>
      <c r="B14" s="666" t="s">
        <v>375</v>
      </c>
      <c r="C14" s="666" t="s">
        <v>379</v>
      </c>
      <c r="D14" s="760" t="s">
        <v>1693</v>
      </c>
      <c r="E14" s="76">
        <v>198643</v>
      </c>
      <c r="J14" s="76" t="s">
        <v>812</v>
      </c>
      <c r="K14" s="76" t="s">
        <v>812</v>
      </c>
      <c r="L14" s="76" t="s">
        <v>812</v>
      </c>
      <c r="M14" s="76" t="s">
        <v>312</v>
      </c>
      <c r="N14" s="76">
        <v>19.18865967</v>
      </c>
      <c r="O14" s="76">
        <v>93.720703130000004</v>
      </c>
      <c r="P14" s="76" t="s">
        <v>813</v>
      </c>
      <c r="Q14" s="76" t="s">
        <v>794</v>
      </c>
      <c r="R14" s="131"/>
      <c r="S14" s="671"/>
      <c r="T14" s="137"/>
      <c r="U14" s="133"/>
      <c r="V14" s="76" t="s">
        <v>379</v>
      </c>
    </row>
    <row r="15" spans="1:26" s="76" customFormat="1" ht="14.25" customHeight="1">
      <c r="A15" s="671" t="s">
        <v>3014</v>
      </c>
      <c r="B15" s="668" t="s">
        <v>375</v>
      </c>
      <c r="C15" s="668" t="s">
        <v>2843</v>
      </c>
      <c r="D15" s="760"/>
      <c r="E15" s="76">
        <v>198476</v>
      </c>
      <c r="J15" s="76" t="s">
        <v>812</v>
      </c>
      <c r="K15" s="76" t="s">
        <v>812</v>
      </c>
      <c r="L15" s="265" t="s">
        <v>812</v>
      </c>
      <c r="M15" s="76" t="s">
        <v>312</v>
      </c>
      <c r="R15" s="131"/>
      <c r="S15" s="671"/>
      <c r="T15" s="137"/>
      <c r="U15" s="133"/>
    </row>
    <row r="16" spans="1:26" s="76" customFormat="1" ht="14.25" customHeight="1">
      <c r="A16" s="671" t="s">
        <v>3014</v>
      </c>
      <c r="B16" s="668" t="s">
        <v>375</v>
      </c>
      <c r="C16" s="668" t="s">
        <v>381</v>
      </c>
      <c r="D16" s="760" t="s">
        <v>1693</v>
      </c>
      <c r="E16" s="76">
        <v>198514</v>
      </c>
      <c r="J16" s="76" t="s">
        <v>812</v>
      </c>
      <c r="K16" s="76" t="s">
        <v>812</v>
      </c>
      <c r="L16" s="76" t="s">
        <v>812</v>
      </c>
      <c r="M16" s="76" t="s">
        <v>312</v>
      </c>
      <c r="N16" s="76">
        <v>19.221920010000002</v>
      </c>
      <c r="O16" s="76">
        <v>93.571296689999997</v>
      </c>
      <c r="P16" s="76" t="s">
        <v>813</v>
      </c>
      <c r="Q16" s="76" t="s">
        <v>794</v>
      </c>
      <c r="R16" s="131"/>
      <c r="S16" s="671"/>
      <c r="T16" s="137"/>
      <c r="U16" s="133"/>
      <c r="V16" s="76" t="s">
        <v>381</v>
      </c>
      <c r="W16" s="666"/>
    </row>
    <row r="17" spans="1:23" s="76" customFormat="1" ht="14.25" customHeight="1">
      <c r="A17" s="671" t="s">
        <v>3014</v>
      </c>
      <c r="B17" s="668" t="s">
        <v>375</v>
      </c>
      <c r="C17" s="668" t="s">
        <v>383</v>
      </c>
      <c r="D17" s="760" t="s">
        <v>1693</v>
      </c>
      <c r="E17" s="666">
        <v>198512</v>
      </c>
      <c r="F17" s="666"/>
      <c r="G17" s="666"/>
      <c r="H17" s="666"/>
      <c r="I17" s="666"/>
      <c r="J17" s="666" t="s">
        <v>812</v>
      </c>
      <c r="K17" s="76" t="s">
        <v>812</v>
      </c>
      <c r="L17" s="76" t="s">
        <v>812</v>
      </c>
      <c r="M17" s="76" t="s">
        <v>312</v>
      </c>
      <c r="N17" s="666">
        <v>19.254320140000001</v>
      </c>
      <c r="O17" s="666">
        <v>93.548591610000003</v>
      </c>
      <c r="P17" s="76" t="s">
        <v>813</v>
      </c>
      <c r="Q17" s="666" t="s">
        <v>794</v>
      </c>
      <c r="R17" s="670"/>
      <c r="S17" s="671"/>
      <c r="T17" s="690"/>
      <c r="U17" s="672"/>
      <c r="V17" s="666" t="s">
        <v>383</v>
      </c>
    </row>
    <row r="18" spans="1:23" s="76" customFormat="1" ht="14.25" customHeight="1">
      <c r="A18" s="671" t="s">
        <v>3014</v>
      </c>
      <c r="B18" s="668" t="s">
        <v>375</v>
      </c>
      <c r="C18" s="668" t="s">
        <v>376</v>
      </c>
      <c r="D18" s="760" t="s">
        <v>1693</v>
      </c>
      <c r="E18" s="673">
        <v>198657</v>
      </c>
      <c r="J18" s="76" t="s">
        <v>812</v>
      </c>
      <c r="K18" s="76" t="s">
        <v>812</v>
      </c>
      <c r="L18" s="76" t="s">
        <v>812</v>
      </c>
      <c r="M18" s="76" t="s">
        <v>312</v>
      </c>
      <c r="N18" s="666">
        <v>19.170919420000001</v>
      </c>
      <c r="O18" s="666">
        <v>93.692680359999997</v>
      </c>
      <c r="P18" s="76" t="s">
        <v>813</v>
      </c>
      <c r="Q18" s="76" t="s">
        <v>794</v>
      </c>
      <c r="R18" s="131"/>
      <c r="S18" s="132"/>
      <c r="T18" s="137"/>
      <c r="U18" s="133"/>
      <c r="V18" s="76" t="s">
        <v>376</v>
      </c>
      <c r="W18" s="666"/>
    </row>
    <row r="19" spans="1:23" s="76" customFormat="1" ht="14.25" customHeight="1">
      <c r="A19" s="674" t="s">
        <v>3014</v>
      </c>
      <c r="B19" s="674" t="s">
        <v>320</v>
      </c>
      <c r="C19" s="675" t="s">
        <v>654</v>
      </c>
      <c r="D19" s="669"/>
      <c r="E19" s="666">
        <v>196824</v>
      </c>
      <c r="J19" s="76" t="s">
        <v>812</v>
      </c>
      <c r="K19" s="76" t="s">
        <v>812</v>
      </c>
      <c r="L19" s="76" t="s">
        <v>812</v>
      </c>
      <c r="M19" s="76" t="s">
        <v>2063</v>
      </c>
      <c r="N19" s="666">
        <v>20.855012890000001</v>
      </c>
      <c r="O19" s="666">
        <v>92.91</v>
      </c>
      <c r="R19" s="678"/>
      <c r="S19" s="671"/>
      <c r="T19" s="137">
        <v>43591</v>
      </c>
      <c r="U19" s="678"/>
      <c r="W19" s="670"/>
    </row>
    <row r="20" spans="1:23" s="76" customFormat="1" ht="14.25" customHeight="1">
      <c r="A20" s="671" t="s">
        <v>3014</v>
      </c>
      <c r="B20" s="666" t="s">
        <v>320</v>
      </c>
      <c r="C20" s="76" t="s">
        <v>963</v>
      </c>
      <c r="D20" s="760" t="s">
        <v>3138</v>
      </c>
      <c r="E20" s="666" t="s">
        <v>1434</v>
      </c>
      <c r="F20" s="76" t="s">
        <v>1898</v>
      </c>
      <c r="G20" s="76" t="s">
        <v>963</v>
      </c>
      <c r="J20" s="76" t="s">
        <v>812</v>
      </c>
      <c r="K20" s="76" t="s">
        <v>812</v>
      </c>
      <c r="L20" s="76" t="s">
        <v>897</v>
      </c>
      <c r="M20" s="76" t="s">
        <v>809</v>
      </c>
      <c r="N20" s="682">
        <v>20.921424999999999</v>
      </c>
      <c r="O20" s="682">
        <v>93.003204999999994</v>
      </c>
      <c r="P20" s="76" t="s">
        <v>813</v>
      </c>
      <c r="R20" s="670">
        <v>24</v>
      </c>
      <c r="S20" s="671">
        <v>140</v>
      </c>
      <c r="T20" s="137"/>
      <c r="U20" s="133" t="s">
        <v>874</v>
      </c>
      <c r="V20" s="76" t="s">
        <v>963</v>
      </c>
    </row>
    <row r="21" spans="1:23" s="76" customFormat="1" ht="14.25" customHeight="1">
      <c r="A21" s="671" t="s">
        <v>3014</v>
      </c>
      <c r="B21" s="666" t="s">
        <v>320</v>
      </c>
      <c r="C21" s="666" t="s">
        <v>962</v>
      </c>
      <c r="D21" s="760" t="s">
        <v>3138</v>
      </c>
      <c r="E21" s="668" t="s">
        <v>1433</v>
      </c>
      <c r="F21" s="666" t="s">
        <v>962</v>
      </c>
      <c r="G21" s="76" t="s">
        <v>1897</v>
      </c>
      <c r="J21" s="76" t="s">
        <v>812</v>
      </c>
      <c r="K21" s="76" t="s">
        <v>812</v>
      </c>
      <c r="L21" s="76" t="s">
        <v>897</v>
      </c>
      <c r="M21" s="76" t="s">
        <v>809</v>
      </c>
      <c r="N21" s="682">
        <v>20.896740000000001</v>
      </c>
      <c r="O21" s="682">
        <v>93.014349999999993</v>
      </c>
      <c r="P21" s="76" t="s">
        <v>813</v>
      </c>
      <c r="R21" s="670">
        <v>14</v>
      </c>
      <c r="S21" s="671">
        <v>84</v>
      </c>
      <c r="T21" s="137"/>
      <c r="U21" s="133" t="s">
        <v>874</v>
      </c>
      <c r="V21" s="76" t="s">
        <v>962</v>
      </c>
      <c r="W21" s="666"/>
    </row>
    <row r="22" spans="1:23" s="76" customFormat="1" ht="14.25" customHeight="1">
      <c r="A22" s="671" t="s">
        <v>3014</v>
      </c>
      <c r="B22" s="666" t="s">
        <v>320</v>
      </c>
      <c r="C22" s="666" t="s">
        <v>321</v>
      </c>
      <c r="D22" s="760" t="s">
        <v>1693</v>
      </c>
      <c r="E22" s="666"/>
      <c r="F22" s="666"/>
      <c r="G22" s="666"/>
      <c r="H22" s="666"/>
      <c r="I22" s="666"/>
      <c r="J22" s="666" t="s">
        <v>812</v>
      </c>
      <c r="K22" s="666" t="s">
        <v>812</v>
      </c>
      <c r="L22" s="666" t="s">
        <v>812</v>
      </c>
      <c r="M22" s="666" t="s">
        <v>312</v>
      </c>
      <c r="N22" s="666"/>
      <c r="O22" s="666"/>
      <c r="P22" s="666" t="s">
        <v>813</v>
      </c>
      <c r="Q22" s="666" t="s">
        <v>794</v>
      </c>
      <c r="R22" s="670"/>
      <c r="S22" s="671"/>
      <c r="T22" s="690"/>
      <c r="U22" s="672"/>
      <c r="V22" s="666" t="s">
        <v>321</v>
      </c>
      <c r="W22" s="666"/>
    </row>
    <row r="23" spans="1:23" s="76" customFormat="1" ht="14.25" customHeight="1">
      <c r="A23" s="671" t="s">
        <v>3014</v>
      </c>
      <c r="B23" s="666" t="s">
        <v>320</v>
      </c>
      <c r="C23" s="666" t="s">
        <v>584</v>
      </c>
      <c r="D23" s="760" t="s">
        <v>3138</v>
      </c>
      <c r="E23" s="666" t="s">
        <v>1421</v>
      </c>
      <c r="F23" s="666"/>
      <c r="G23" s="666"/>
      <c r="H23" s="666"/>
      <c r="I23" s="666"/>
      <c r="J23" s="666" t="s">
        <v>812</v>
      </c>
      <c r="K23" s="666" t="s">
        <v>812</v>
      </c>
      <c r="L23" s="666" t="s">
        <v>897</v>
      </c>
      <c r="M23" s="666" t="s">
        <v>312</v>
      </c>
      <c r="N23" s="666">
        <v>20.720213000000001</v>
      </c>
      <c r="O23" s="666">
        <v>92.961841000000007</v>
      </c>
      <c r="P23" s="666" t="s">
        <v>813</v>
      </c>
      <c r="Q23" s="666" t="s">
        <v>794</v>
      </c>
      <c r="R23" s="670">
        <v>100</v>
      </c>
      <c r="S23" s="671">
        <v>559</v>
      </c>
      <c r="T23" s="690"/>
      <c r="U23" s="672"/>
      <c r="V23" s="666" t="s">
        <v>584</v>
      </c>
      <c r="W23" s="666"/>
    </row>
    <row r="24" spans="1:23" s="76" customFormat="1" ht="14.25" customHeight="1">
      <c r="A24" s="671" t="s">
        <v>3014</v>
      </c>
      <c r="B24" s="666" t="s">
        <v>320</v>
      </c>
      <c r="C24" s="76" t="s">
        <v>945</v>
      </c>
      <c r="D24" s="760" t="s">
        <v>1693</v>
      </c>
      <c r="E24" s="76">
        <v>196946</v>
      </c>
      <c r="J24" s="76" t="s">
        <v>812</v>
      </c>
      <c r="K24" s="76" t="s">
        <v>812</v>
      </c>
      <c r="L24" s="76" t="s">
        <v>812</v>
      </c>
      <c r="M24" s="76" t="s">
        <v>312</v>
      </c>
      <c r="N24" s="76">
        <v>20.720213000000001</v>
      </c>
      <c r="O24" s="76">
        <v>92.961841000000007</v>
      </c>
      <c r="P24" s="76" t="s">
        <v>813</v>
      </c>
      <c r="R24" s="131"/>
      <c r="S24" s="132"/>
      <c r="T24" s="137"/>
      <c r="U24" s="133"/>
      <c r="V24" s="76" t="s">
        <v>584</v>
      </c>
    </row>
    <row r="25" spans="1:23" s="76" customFormat="1" ht="14.25" customHeight="1">
      <c r="A25" s="671" t="s">
        <v>3014</v>
      </c>
      <c r="B25" s="666" t="s">
        <v>320</v>
      </c>
      <c r="C25" s="666" t="s">
        <v>714</v>
      </c>
      <c r="D25" s="760" t="s">
        <v>1693</v>
      </c>
      <c r="E25" s="666">
        <v>196878</v>
      </c>
      <c r="F25" s="666"/>
      <c r="G25" s="666"/>
      <c r="H25" s="666"/>
      <c r="I25" s="666"/>
      <c r="J25" s="666" t="s">
        <v>812</v>
      </c>
      <c r="K25" s="666" t="s">
        <v>812</v>
      </c>
      <c r="L25" s="666" t="s">
        <v>812</v>
      </c>
      <c r="M25" s="666" t="s">
        <v>312</v>
      </c>
      <c r="N25" s="666">
        <v>20.627639769999998</v>
      </c>
      <c r="O25" s="666">
        <v>93.022773740000005</v>
      </c>
      <c r="P25" s="666" t="s">
        <v>813</v>
      </c>
      <c r="Q25" s="666" t="s">
        <v>794</v>
      </c>
      <c r="R25" s="670"/>
      <c r="S25" s="671"/>
      <c r="T25" s="690"/>
      <c r="U25" s="672"/>
      <c r="V25" s="666"/>
      <c r="W25" s="666"/>
    </row>
    <row r="26" spans="1:23" s="76" customFormat="1" ht="14.25" customHeight="1">
      <c r="A26" s="674" t="s">
        <v>3014</v>
      </c>
      <c r="B26" s="674" t="s">
        <v>320</v>
      </c>
      <c r="C26" s="675" t="s">
        <v>3201</v>
      </c>
      <c r="D26" s="669"/>
      <c r="E26" s="265">
        <v>196937</v>
      </c>
      <c r="J26" s="76" t="s">
        <v>3028</v>
      </c>
      <c r="K26" s="76" t="s">
        <v>2942</v>
      </c>
      <c r="L26" s="76" t="s">
        <v>2942</v>
      </c>
      <c r="N26" s="265">
        <v>20.64656067</v>
      </c>
      <c r="O26" s="265">
        <v>92.976043700000005</v>
      </c>
      <c r="R26" s="678"/>
      <c r="S26" s="671"/>
      <c r="T26" s="137">
        <v>43591</v>
      </c>
      <c r="U26" s="678"/>
      <c r="W26" s="670"/>
    </row>
    <row r="27" spans="1:23" s="76" customFormat="1" ht="14.25" customHeight="1">
      <c r="A27" s="671" t="s">
        <v>3014</v>
      </c>
      <c r="B27" s="279" t="s">
        <v>320</v>
      </c>
      <c r="C27" s="280" t="s">
        <v>2364</v>
      </c>
      <c r="D27" s="669"/>
      <c r="E27" s="275">
        <v>196933</v>
      </c>
      <c r="F27" s="275" t="s">
        <v>885</v>
      </c>
      <c r="G27" s="275"/>
      <c r="H27" s="275"/>
      <c r="I27" s="275"/>
      <c r="J27" s="275" t="s">
        <v>812</v>
      </c>
      <c r="K27" s="275" t="s">
        <v>812</v>
      </c>
      <c r="L27" s="275" t="s">
        <v>812</v>
      </c>
      <c r="M27" s="275"/>
      <c r="N27" s="275">
        <v>20.66370964</v>
      </c>
      <c r="O27" s="275">
        <v>92.973167419999996</v>
      </c>
      <c r="P27" s="275" t="s">
        <v>813</v>
      </c>
      <c r="Q27" s="275" t="s">
        <v>2327</v>
      </c>
      <c r="R27" s="276"/>
      <c r="S27" s="274"/>
      <c r="T27" s="277">
        <v>43465</v>
      </c>
      <c r="U27" s="278" t="s">
        <v>2370</v>
      </c>
      <c r="V27" s="275" t="s">
        <v>2364</v>
      </c>
      <c r="W27" s="670"/>
    </row>
    <row r="28" spans="1:23" s="76" customFormat="1" ht="14.25" customHeight="1">
      <c r="A28" s="674" t="s">
        <v>3014</v>
      </c>
      <c r="B28" s="674" t="s">
        <v>320</v>
      </c>
      <c r="C28" s="675" t="s">
        <v>3202</v>
      </c>
      <c r="D28" s="669"/>
      <c r="E28" s="666">
        <v>196940</v>
      </c>
      <c r="F28" s="666"/>
      <c r="G28" s="666"/>
      <c r="H28" s="666"/>
      <c r="I28" s="666"/>
      <c r="J28" s="666" t="s">
        <v>3028</v>
      </c>
      <c r="K28" s="666" t="s">
        <v>2942</v>
      </c>
      <c r="L28" s="666" t="s">
        <v>2942</v>
      </c>
      <c r="M28" s="666"/>
      <c r="N28" s="666">
        <v>20.6563606262207</v>
      </c>
      <c r="O28" s="666">
        <v>92.998542785644503</v>
      </c>
      <c r="P28" s="666"/>
      <c r="Q28" s="666"/>
      <c r="R28" s="678"/>
      <c r="S28" s="671"/>
      <c r="T28" s="690">
        <v>43591</v>
      </c>
      <c r="U28" s="678"/>
      <c r="V28" s="666"/>
      <c r="W28" s="670"/>
    </row>
    <row r="29" spans="1:23" s="76" customFormat="1" ht="14.25" customHeight="1">
      <c r="A29" s="674" t="s">
        <v>3014</v>
      </c>
      <c r="B29" s="674" t="s">
        <v>320</v>
      </c>
      <c r="C29" s="675" t="s">
        <v>3200</v>
      </c>
      <c r="D29" s="669"/>
      <c r="E29" s="666">
        <v>196942</v>
      </c>
      <c r="F29" s="666"/>
      <c r="G29" s="666"/>
      <c r="H29" s="666"/>
      <c r="I29" s="666"/>
      <c r="J29" s="76" t="s">
        <v>3028</v>
      </c>
      <c r="K29" s="76" t="s">
        <v>2942</v>
      </c>
      <c r="L29" s="76" t="s">
        <v>2942</v>
      </c>
      <c r="M29" s="666"/>
      <c r="N29" s="666">
        <v>20.6715202331543</v>
      </c>
      <c r="O29" s="666">
        <v>92.998092651367202</v>
      </c>
      <c r="Q29" s="666"/>
      <c r="R29" s="678"/>
      <c r="S29" s="671"/>
      <c r="T29" s="690">
        <v>43591</v>
      </c>
      <c r="U29" s="678"/>
      <c r="V29" s="666"/>
      <c r="W29" s="670"/>
    </row>
    <row r="30" spans="1:23" s="76" customFormat="1" ht="14.25" customHeight="1">
      <c r="A30" s="671" t="s">
        <v>3014</v>
      </c>
      <c r="B30" s="666" t="s">
        <v>320</v>
      </c>
      <c r="C30" s="666" t="s">
        <v>570</v>
      </c>
      <c r="D30" s="760" t="s">
        <v>1693</v>
      </c>
      <c r="E30" s="666">
        <v>196943</v>
      </c>
      <c r="F30" s="666"/>
      <c r="G30" s="666"/>
      <c r="H30" s="666"/>
      <c r="I30" s="666"/>
      <c r="J30" s="666" t="s">
        <v>818</v>
      </c>
      <c r="K30" s="666" t="s">
        <v>812</v>
      </c>
      <c r="L30" s="666" t="s">
        <v>818</v>
      </c>
      <c r="M30" s="666" t="s">
        <v>312</v>
      </c>
      <c r="N30" s="666">
        <v>20.705930710000001</v>
      </c>
      <c r="O30" s="666">
        <v>93.001953130000004</v>
      </c>
      <c r="P30" s="666" t="s">
        <v>937</v>
      </c>
      <c r="Q30" s="666" t="s">
        <v>794</v>
      </c>
      <c r="R30" s="670"/>
      <c r="S30" s="671"/>
      <c r="T30" s="690"/>
      <c r="U30" s="672"/>
      <c r="V30" s="666" t="s">
        <v>570</v>
      </c>
      <c r="W30" s="666"/>
    </row>
    <row r="31" spans="1:23" s="76" customFormat="1" ht="14.25" customHeight="1">
      <c r="A31" s="674" t="s">
        <v>3014</v>
      </c>
      <c r="B31" s="674" t="s">
        <v>320</v>
      </c>
      <c r="C31" s="675" t="s">
        <v>3197</v>
      </c>
      <c r="D31" s="669"/>
      <c r="E31" s="666">
        <v>196943</v>
      </c>
      <c r="F31" s="666"/>
      <c r="G31" s="666"/>
      <c r="H31" s="666"/>
      <c r="I31" s="666"/>
      <c r="J31" s="666" t="s">
        <v>3028</v>
      </c>
      <c r="K31" s="666" t="s">
        <v>2942</v>
      </c>
      <c r="L31" s="666" t="s">
        <v>2942</v>
      </c>
      <c r="M31" s="666"/>
      <c r="N31" s="666">
        <v>20.705930710000001</v>
      </c>
      <c r="O31" s="666">
        <v>93.001953130000004</v>
      </c>
      <c r="P31" s="666"/>
      <c r="Q31" s="666"/>
      <c r="R31" s="678"/>
      <c r="S31" s="671"/>
      <c r="T31" s="690">
        <v>43591</v>
      </c>
      <c r="U31" s="678"/>
      <c r="V31" s="666"/>
      <c r="W31" s="670"/>
    </row>
    <row r="32" spans="1:23" s="76" customFormat="1" ht="14.25" customHeight="1">
      <c r="A32" s="671" t="s">
        <v>3014</v>
      </c>
      <c r="B32" s="269" t="s">
        <v>320</v>
      </c>
      <c r="C32" s="270" t="s">
        <v>653</v>
      </c>
      <c r="D32" s="669" t="s">
        <v>1693</v>
      </c>
      <c r="E32" s="265">
        <v>196825</v>
      </c>
      <c r="F32" s="265"/>
      <c r="G32" s="265"/>
      <c r="H32" s="265"/>
      <c r="I32" s="265"/>
      <c r="J32" s="265" t="s">
        <v>818</v>
      </c>
      <c r="K32" s="265" t="s">
        <v>812</v>
      </c>
      <c r="L32" s="265" t="s">
        <v>818</v>
      </c>
      <c r="M32" s="265" t="s">
        <v>2063</v>
      </c>
      <c r="N32" s="265">
        <v>20.851089479999999</v>
      </c>
      <c r="O32" s="265">
        <v>92.916893009999995</v>
      </c>
      <c r="P32" s="265" t="s">
        <v>937</v>
      </c>
      <c r="Q32" s="265" t="s">
        <v>940</v>
      </c>
      <c r="R32" s="266"/>
      <c r="S32" s="264"/>
      <c r="T32" s="267">
        <v>43011</v>
      </c>
      <c r="U32" s="268" t="s">
        <v>941</v>
      </c>
      <c r="V32" s="265"/>
      <c r="W32" s="670"/>
    </row>
    <row r="33" spans="1:23" s="76" customFormat="1" ht="14.25" customHeight="1">
      <c r="A33" s="671" t="s">
        <v>3014</v>
      </c>
      <c r="B33" s="666" t="s">
        <v>320</v>
      </c>
      <c r="C33" s="666" t="s">
        <v>532</v>
      </c>
      <c r="D33" s="760" t="s">
        <v>1693</v>
      </c>
      <c r="E33" s="666">
        <v>196983</v>
      </c>
      <c r="J33" s="76" t="s">
        <v>812</v>
      </c>
      <c r="K33" s="76" t="s">
        <v>812</v>
      </c>
      <c r="L33" s="76" t="s">
        <v>812</v>
      </c>
      <c r="M33" s="76" t="s">
        <v>312</v>
      </c>
      <c r="N33" s="76">
        <v>20.644098280000001</v>
      </c>
      <c r="O33" s="76">
        <v>93.036460880000007</v>
      </c>
      <c r="P33" s="76" t="s">
        <v>813</v>
      </c>
      <c r="Q33" s="76" t="s">
        <v>794</v>
      </c>
      <c r="R33" s="670"/>
      <c r="S33" s="671"/>
      <c r="T33" s="137"/>
      <c r="U33" s="133"/>
      <c r="W33" s="666"/>
    </row>
    <row r="34" spans="1:23" s="76" customFormat="1" ht="14.25" customHeight="1">
      <c r="A34" s="671" t="s">
        <v>3014</v>
      </c>
      <c r="B34" s="666" t="s">
        <v>320</v>
      </c>
      <c r="C34" s="666" t="s">
        <v>574</v>
      </c>
      <c r="D34" s="760" t="s">
        <v>3138</v>
      </c>
      <c r="E34" s="76" t="s">
        <v>1418</v>
      </c>
      <c r="F34" s="76" t="s">
        <v>574</v>
      </c>
      <c r="G34" s="76" t="s">
        <v>1786</v>
      </c>
      <c r="J34" s="76" t="s">
        <v>812</v>
      </c>
      <c r="K34" s="76" t="s">
        <v>812</v>
      </c>
      <c r="L34" s="76" t="s">
        <v>897</v>
      </c>
      <c r="M34" s="76" t="s">
        <v>809</v>
      </c>
      <c r="N34" s="76">
        <v>20.713259999999998</v>
      </c>
      <c r="O34" s="76">
        <v>93.014089999999996</v>
      </c>
      <c r="P34" s="76" t="s">
        <v>813</v>
      </c>
      <c r="Q34" s="76" t="s">
        <v>794</v>
      </c>
      <c r="R34" s="670">
        <v>116</v>
      </c>
      <c r="S34" s="671">
        <v>802</v>
      </c>
      <c r="T34" s="137"/>
      <c r="U34" s="133"/>
      <c r="V34" s="76" t="s">
        <v>574</v>
      </c>
    </row>
    <row r="35" spans="1:23" s="76" customFormat="1" ht="14.25" customHeight="1">
      <c r="A35" s="671" t="s">
        <v>3014</v>
      </c>
      <c r="B35" s="279" t="s">
        <v>320</v>
      </c>
      <c r="C35" s="280" t="s">
        <v>572</v>
      </c>
      <c r="D35" s="669" t="s">
        <v>1693</v>
      </c>
      <c r="E35" s="275">
        <v>196973</v>
      </c>
      <c r="F35" s="275"/>
      <c r="G35" s="275"/>
      <c r="H35" s="275"/>
      <c r="I35" s="275"/>
      <c r="J35" s="275" t="s">
        <v>812</v>
      </c>
      <c r="K35" s="275" t="s">
        <v>812</v>
      </c>
      <c r="L35" s="275" t="s">
        <v>812</v>
      </c>
      <c r="M35" s="275" t="s">
        <v>312</v>
      </c>
      <c r="N35" s="275">
        <v>20.709970469999998</v>
      </c>
      <c r="O35" s="275">
        <v>93.015357969999997</v>
      </c>
      <c r="P35" s="275" t="s">
        <v>813</v>
      </c>
      <c r="Q35" s="275" t="s">
        <v>794</v>
      </c>
      <c r="R35" s="276"/>
      <c r="S35" s="274"/>
      <c r="T35" s="277"/>
      <c r="U35" s="278"/>
      <c r="V35" s="275"/>
      <c r="W35" s="670"/>
    </row>
    <row r="36" spans="1:23" s="76" customFormat="1" ht="14.25" customHeight="1">
      <c r="A36" s="671" t="s">
        <v>3014</v>
      </c>
      <c r="B36" s="269" t="s">
        <v>320</v>
      </c>
      <c r="C36" s="270" t="s">
        <v>625</v>
      </c>
      <c r="D36" s="669" t="s">
        <v>1693</v>
      </c>
      <c r="E36" s="265">
        <v>196883</v>
      </c>
      <c r="F36" s="265"/>
      <c r="G36" s="265"/>
      <c r="H36" s="265"/>
      <c r="I36" s="265"/>
      <c r="J36" s="265" t="s">
        <v>818</v>
      </c>
      <c r="K36" s="265" t="s">
        <v>812</v>
      </c>
      <c r="L36" s="265" t="s">
        <v>818</v>
      </c>
      <c r="M36" s="265" t="s">
        <v>2063</v>
      </c>
      <c r="N36" s="265">
        <v>20.803529739999998</v>
      </c>
      <c r="O36" s="265">
        <v>92.929466250000004</v>
      </c>
      <c r="P36" s="265" t="s">
        <v>937</v>
      </c>
      <c r="Q36" s="265"/>
      <c r="R36" s="266"/>
      <c r="S36" s="264"/>
      <c r="T36" s="267"/>
      <c r="U36" s="268"/>
      <c r="V36" s="265" t="s">
        <v>625</v>
      </c>
      <c r="W36" s="670"/>
    </row>
    <row r="37" spans="1:23" s="76" customFormat="1" ht="14.25" customHeight="1">
      <c r="A37" s="674" t="s">
        <v>3014</v>
      </c>
      <c r="B37" s="674" t="s">
        <v>320</v>
      </c>
      <c r="C37" s="675" t="s">
        <v>3196</v>
      </c>
      <c r="D37" s="669"/>
      <c r="F37" s="666"/>
      <c r="J37" s="76" t="s">
        <v>3028</v>
      </c>
      <c r="K37" s="76" t="s">
        <v>2942</v>
      </c>
      <c r="L37" s="76" t="s">
        <v>2942</v>
      </c>
      <c r="R37" s="678"/>
      <c r="S37" s="671"/>
      <c r="T37" s="137">
        <v>43591</v>
      </c>
      <c r="U37" s="678"/>
      <c r="W37" s="670"/>
    </row>
    <row r="38" spans="1:23" s="76" customFormat="1" ht="14.25" customHeight="1">
      <c r="A38" s="671" t="s">
        <v>3014</v>
      </c>
      <c r="B38" s="269" t="s">
        <v>320</v>
      </c>
      <c r="C38" s="270" t="s">
        <v>565</v>
      </c>
      <c r="D38" s="760" t="s">
        <v>3138</v>
      </c>
      <c r="E38" s="265" t="s">
        <v>1417</v>
      </c>
      <c r="F38" s="265" t="s">
        <v>570</v>
      </c>
      <c r="G38" s="265" t="s">
        <v>565</v>
      </c>
      <c r="H38" s="265"/>
      <c r="I38" s="265"/>
      <c r="J38" s="76" t="s">
        <v>812</v>
      </c>
      <c r="K38" s="76" t="s">
        <v>812</v>
      </c>
      <c r="L38" s="76" t="s">
        <v>897</v>
      </c>
      <c r="M38" s="76" t="s">
        <v>809</v>
      </c>
      <c r="N38" s="76" t="s">
        <v>813</v>
      </c>
      <c r="O38" s="265">
        <v>93.009900000000002</v>
      </c>
      <c r="P38" s="76" t="s">
        <v>813</v>
      </c>
      <c r="Q38" s="265" t="s">
        <v>794</v>
      </c>
      <c r="R38" s="131">
        <v>236</v>
      </c>
      <c r="S38" s="671">
        <v>1524</v>
      </c>
      <c r="T38" s="267"/>
      <c r="U38" s="268"/>
      <c r="V38" s="265" t="s">
        <v>942</v>
      </c>
      <c r="W38" s="670"/>
    </row>
    <row r="39" spans="1:23" s="76" customFormat="1" ht="14.25" customHeight="1">
      <c r="A39" s="671" t="s">
        <v>3014</v>
      </c>
      <c r="B39" s="674" t="s">
        <v>320</v>
      </c>
      <c r="C39" s="675" t="s">
        <v>3154</v>
      </c>
      <c r="D39" s="669"/>
      <c r="E39" s="76">
        <v>196906</v>
      </c>
      <c r="J39" s="76" t="s">
        <v>3028</v>
      </c>
      <c r="K39" s="76" t="s">
        <v>2942</v>
      </c>
      <c r="L39" s="76" t="s">
        <v>2942</v>
      </c>
      <c r="N39" s="76">
        <v>20.680830001831101</v>
      </c>
      <c r="O39" s="76">
        <v>92.917633056640597</v>
      </c>
      <c r="R39" s="678"/>
      <c r="S39" s="671"/>
      <c r="T39" s="137">
        <v>43591</v>
      </c>
      <c r="U39" s="678"/>
      <c r="W39" s="670"/>
    </row>
    <row r="40" spans="1:23" s="76" customFormat="1" ht="14.25" customHeight="1">
      <c r="A40" s="671" t="s">
        <v>3014</v>
      </c>
      <c r="B40" s="666" t="s">
        <v>320</v>
      </c>
      <c r="C40" s="666" t="s">
        <v>2312</v>
      </c>
      <c r="D40" s="760"/>
      <c r="E40" s="76">
        <v>196804</v>
      </c>
      <c r="J40" s="76" t="s">
        <v>812</v>
      </c>
      <c r="K40" s="76" t="s">
        <v>812</v>
      </c>
      <c r="L40" s="76" t="s">
        <v>812</v>
      </c>
      <c r="N40" s="76">
        <v>20.896429059999999</v>
      </c>
      <c r="O40" s="76">
        <v>92.940193179999994</v>
      </c>
      <c r="P40" s="76" t="s">
        <v>813</v>
      </c>
      <c r="R40" s="670"/>
      <c r="S40" s="132"/>
      <c r="T40" s="137"/>
      <c r="U40" s="133"/>
      <c r="V40" s="76" t="s">
        <v>2304</v>
      </c>
    </row>
    <row r="41" spans="1:23" s="76" customFormat="1" ht="14.25" customHeight="1">
      <c r="A41" s="671" t="s">
        <v>3014</v>
      </c>
      <c r="B41" s="666" t="s">
        <v>320</v>
      </c>
      <c r="C41" s="666" t="s">
        <v>2313</v>
      </c>
      <c r="D41" s="760"/>
      <c r="E41" s="666">
        <v>196816</v>
      </c>
      <c r="F41" s="666"/>
      <c r="G41" s="666"/>
      <c r="H41" s="666"/>
      <c r="J41" s="76" t="s">
        <v>812</v>
      </c>
      <c r="K41" s="76" t="s">
        <v>812</v>
      </c>
      <c r="L41" s="666" t="s">
        <v>812</v>
      </c>
      <c r="N41" s="666">
        <v>20.727590559999999</v>
      </c>
      <c r="O41" s="666">
        <v>92.969352720000003</v>
      </c>
      <c r="P41" s="666" t="s">
        <v>813</v>
      </c>
      <c r="R41" s="670"/>
      <c r="S41" s="671"/>
      <c r="T41" s="137"/>
      <c r="U41" s="672"/>
      <c r="V41" s="666" t="s">
        <v>2306</v>
      </c>
      <c r="W41" s="666"/>
    </row>
    <row r="42" spans="1:23" s="76" customFormat="1" ht="14.25" customHeight="1">
      <c r="A42" s="935" t="s">
        <v>3014</v>
      </c>
      <c r="B42" s="935" t="s">
        <v>320</v>
      </c>
      <c r="C42" s="936" t="s">
        <v>3265</v>
      </c>
      <c r="D42" s="929"/>
      <c r="E42" s="666"/>
      <c r="F42" s="666"/>
      <c r="G42" s="666"/>
      <c r="H42" s="666"/>
      <c r="I42" s="666"/>
      <c r="J42" s="666" t="s">
        <v>3028</v>
      </c>
      <c r="K42" s="666" t="s">
        <v>2942</v>
      </c>
      <c r="L42" s="666" t="s">
        <v>2942</v>
      </c>
      <c r="M42" s="666"/>
      <c r="N42" s="666"/>
      <c r="O42" s="666"/>
      <c r="P42" s="666"/>
      <c r="Q42" s="666"/>
      <c r="R42" s="939"/>
      <c r="S42" s="671"/>
      <c r="T42" s="690">
        <v>43591</v>
      </c>
      <c r="U42" s="939"/>
      <c r="V42" s="666"/>
      <c r="W42" s="931"/>
    </row>
    <row r="43" spans="1:23" s="76" customFormat="1" ht="14.25" customHeight="1">
      <c r="A43" s="671" t="s">
        <v>3014</v>
      </c>
      <c r="B43" s="666" t="s">
        <v>320</v>
      </c>
      <c r="C43" s="666" t="s">
        <v>2372</v>
      </c>
      <c r="D43" s="760"/>
      <c r="E43" s="666">
        <v>196938</v>
      </c>
      <c r="F43" s="666" t="s">
        <v>2368</v>
      </c>
      <c r="G43" s="666"/>
      <c r="H43" s="666"/>
      <c r="I43" s="666"/>
      <c r="J43" s="666" t="s">
        <v>812</v>
      </c>
      <c r="K43" s="666" t="s">
        <v>812</v>
      </c>
      <c r="L43" s="666" t="s">
        <v>812</v>
      </c>
      <c r="M43" s="666"/>
      <c r="N43" s="666">
        <v>20.640909189999999</v>
      </c>
      <c r="O43" s="666">
        <v>92.979751590000006</v>
      </c>
      <c r="P43" s="666" t="s">
        <v>813</v>
      </c>
      <c r="Q43" s="666" t="s">
        <v>2327</v>
      </c>
      <c r="R43" s="670"/>
      <c r="S43" s="671"/>
      <c r="T43" s="690">
        <v>43465</v>
      </c>
      <c r="U43" s="672" t="s">
        <v>2370</v>
      </c>
      <c r="V43" s="666" t="s">
        <v>2366</v>
      </c>
      <c r="W43" s="666"/>
    </row>
    <row r="44" spans="1:23" s="76" customFormat="1" ht="14.25" customHeight="1">
      <c r="A44" s="932" t="s">
        <v>3014</v>
      </c>
      <c r="B44" s="922" t="s">
        <v>320</v>
      </c>
      <c r="C44" s="922" t="s">
        <v>663</v>
      </c>
      <c r="D44" s="760" t="s">
        <v>3138</v>
      </c>
      <c r="E44" s="76" t="s">
        <v>1432</v>
      </c>
      <c r="F44" s="76" t="s">
        <v>1792</v>
      </c>
      <c r="G44" s="76" t="s">
        <v>1793</v>
      </c>
      <c r="J44" s="76" t="s">
        <v>812</v>
      </c>
      <c r="K44" s="76" t="s">
        <v>812</v>
      </c>
      <c r="L44" s="76" t="s">
        <v>835</v>
      </c>
      <c r="M44" s="76" t="s">
        <v>809</v>
      </c>
      <c r="N44" s="76">
        <v>20.886997999999998</v>
      </c>
      <c r="O44" s="76">
        <v>93.006497999999993</v>
      </c>
      <c r="P44" s="76" t="s">
        <v>813</v>
      </c>
      <c r="Q44" s="76" t="s">
        <v>794</v>
      </c>
      <c r="R44" s="931">
        <v>97</v>
      </c>
      <c r="S44" s="132">
        <v>557</v>
      </c>
      <c r="T44" s="137"/>
      <c r="U44" s="933"/>
      <c r="V44" s="76" t="s">
        <v>663</v>
      </c>
      <c r="W44" s="922"/>
    </row>
    <row r="45" spans="1:23" s="76" customFormat="1" ht="14.25" customHeight="1">
      <c r="A45" s="935" t="s">
        <v>3014</v>
      </c>
      <c r="B45" s="935" t="s">
        <v>320</v>
      </c>
      <c r="C45" s="936" t="s">
        <v>3203</v>
      </c>
      <c r="D45" s="929"/>
      <c r="E45" s="666">
        <v>196865</v>
      </c>
      <c r="F45" s="666"/>
      <c r="G45" s="666"/>
      <c r="H45" s="666"/>
      <c r="I45" s="666"/>
      <c r="J45" s="666" t="s">
        <v>3028</v>
      </c>
      <c r="K45" s="666" t="s">
        <v>2942</v>
      </c>
      <c r="L45" s="666" t="s">
        <v>2942</v>
      </c>
      <c r="M45" s="666"/>
      <c r="N45" s="666">
        <v>20.8122158050537</v>
      </c>
      <c r="O45" s="666">
        <v>93.061012268066406</v>
      </c>
      <c r="P45" s="666"/>
      <c r="Q45" s="666"/>
      <c r="R45" s="939"/>
      <c r="S45" s="671"/>
      <c r="T45" s="690">
        <v>43591</v>
      </c>
      <c r="U45" s="939"/>
      <c r="V45" s="666"/>
      <c r="W45" s="931"/>
    </row>
    <row r="46" spans="1:23" s="76" customFormat="1" ht="14.25" customHeight="1">
      <c r="A46" s="671" t="s">
        <v>3014</v>
      </c>
      <c r="B46" s="666" t="s">
        <v>320</v>
      </c>
      <c r="C46" s="666" t="s">
        <v>672</v>
      </c>
      <c r="D46" s="760" t="s">
        <v>1693</v>
      </c>
      <c r="E46" s="666">
        <v>196807</v>
      </c>
      <c r="F46" s="666"/>
      <c r="G46" s="666"/>
      <c r="H46" s="666"/>
      <c r="I46" s="666"/>
      <c r="J46" s="666" t="s">
        <v>818</v>
      </c>
      <c r="K46" s="666" t="s">
        <v>812</v>
      </c>
      <c r="L46" s="666" t="s">
        <v>818</v>
      </c>
      <c r="M46" s="666" t="s">
        <v>2063</v>
      </c>
      <c r="N46" s="666">
        <v>20.895059589999999</v>
      </c>
      <c r="O46" s="666">
        <v>92.90735626</v>
      </c>
      <c r="P46" s="666" t="s">
        <v>937</v>
      </c>
      <c r="Q46" s="666" t="s">
        <v>940</v>
      </c>
      <c r="R46" s="670"/>
      <c r="S46" s="671"/>
      <c r="T46" s="690">
        <v>43011</v>
      </c>
      <c r="U46" s="672" t="s">
        <v>941</v>
      </c>
      <c r="V46" s="666"/>
      <c r="W46" s="666"/>
    </row>
    <row r="47" spans="1:23" s="76" customFormat="1" ht="14.25" customHeight="1">
      <c r="A47" s="671" t="s">
        <v>3014</v>
      </c>
      <c r="B47" s="666" t="s">
        <v>320</v>
      </c>
      <c r="C47" s="76" t="s">
        <v>633</v>
      </c>
      <c r="D47" s="760" t="s">
        <v>1693</v>
      </c>
      <c r="E47" s="76">
        <v>196882</v>
      </c>
      <c r="J47" s="76" t="s">
        <v>818</v>
      </c>
      <c r="K47" s="76" t="s">
        <v>812</v>
      </c>
      <c r="L47" s="76" t="s">
        <v>818</v>
      </c>
      <c r="M47" s="76" t="s">
        <v>2063</v>
      </c>
      <c r="N47" s="76">
        <v>20.807970050000002</v>
      </c>
      <c r="O47" s="76">
        <v>92.929046630000002</v>
      </c>
      <c r="P47" s="76" t="s">
        <v>937</v>
      </c>
      <c r="Q47" s="76" t="s">
        <v>940</v>
      </c>
      <c r="R47" s="131"/>
      <c r="S47" s="671"/>
      <c r="T47" s="137">
        <v>43011</v>
      </c>
      <c r="U47" s="133" t="s">
        <v>941</v>
      </c>
    </row>
    <row r="48" spans="1:23" s="76" customFormat="1" ht="14.25" customHeight="1">
      <c r="A48" s="671" t="s">
        <v>3014</v>
      </c>
      <c r="B48" s="666" t="s">
        <v>320</v>
      </c>
      <c r="C48" s="666" t="s">
        <v>715</v>
      </c>
      <c r="D48" s="760" t="s">
        <v>1693</v>
      </c>
      <c r="E48" s="666">
        <v>196875</v>
      </c>
      <c r="F48" s="666"/>
      <c r="G48" s="666"/>
      <c r="H48" s="666"/>
      <c r="I48" s="666"/>
      <c r="J48" s="666" t="s">
        <v>812</v>
      </c>
      <c r="K48" s="666" t="s">
        <v>812</v>
      </c>
      <c r="L48" s="666" t="s">
        <v>812</v>
      </c>
      <c r="M48" s="666" t="s">
        <v>312</v>
      </c>
      <c r="N48" s="666">
        <v>20.60802078</v>
      </c>
      <c r="O48" s="666">
        <v>93.035400390000007</v>
      </c>
      <c r="P48" s="666" t="s">
        <v>813</v>
      </c>
      <c r="Q48" s="666" t="s">
        <v>794</v>
      </c>
      <c r="R48" s="670"/>
      <c r="S48" s="671"/>
      <c r="T48" s="690"/>
      <c r="U48" s="672"/>
      <c r="V48" s="666"/>
      <c r="W48" s="666"/>
    </row>
    <row r="49" spans="1:23" s="76" customFormat="1" ht="14.25" customHeight="1">
      <c r="A49" s="671" t="s">
        <v>3014</v>
      </c>
      <c r="B49" s="666" t="s">
        <v>320</v>
      </c>
      <c r="C49" s="666" t="s">
        <v>713</v>
      </c>
      <c r="D49" s="760" t="s">
        <v>1693</v>
      </c>
      <c r="E49" s="666">
        <v>196971</v>
      </c>
      <c r="F49" s="666"/>
      <c r="G49" s="666"/>
      <c r="H49" s="666"/>
      <c r="I49" s="666"/>
      <c r="J49" s="76" t="s">
        <v>812</v>
      </c>
      <c r="K49" s="76" t="s">
        <v>812</v>
      </c>
      <c r="L49" s="76" t="s">
        <v>812</v>
      </c>
      <c r="M49" s="666" t="s">
        <v>312</v>
      </c>
      <c r="N49" s="666">
        <v>20.716699599999998</v>
      </c>
      <c r="O49" s="666">
        <v>92.997863769999995</v>
      </c>
      <c r="P49" s="76" t="s">
        <v>813</v>
      </c>
      <c r="Q49" s="666" t="s">
        <v>794</v>
      </c>
      <c r="R49" s="670"/>
      <c r="S49" s="671"/>
      <c r="T49" s="690"/>
      <c r="U49" s="672"/>
      <c r="V49" s="666"/>
    </row>
    <row r="50" spans="1:23" s="76" customFormat="1" ht="14.25" customHeight="1">
      <c r="A50" s="671" t="s">
        <v>3014</v>
      </c>
      <c r="B50" s="666" t="s">
        <v>320</v>
      </c>
      <c r="C50" s="666" t="s">
        <v>934</v>
      </c>
      <c r="D50" s="760" t="s">
        <v>1693</v>
      </c>
      <c r="E50" s="76">
        <v>196926</v>
      </c>
      <c r="J50" s="76" t="s">
        <v>812</v>
      </c>
      <c r="K50" s="76" t="s">
        <v>812</v>
      </c>
      <c r="L50" s="76" t="s">
        <v>812</v>
      </c>
      <c r="M50" s="76" t="s">
        <v>312</v>
      </c>
      <c r="N50" s="76">
        <v>20.644800190000002</v>
      </c>
      <c r="O50" s="76">
        <v>92.945426940000004</v>
      </c>
      <c r="P50" s="76" t="s">
        <v>813</v>
      </c>
      <c r="R50" s="670"/>
      <c r="S50" s="132"/>
      <c r="T50" s="137"/>
      <c r="U50" s="133"/>
      <c r="V50" s="76" t="s">
        <v>934</v>
      </c>
    </row>
    <row r="51" spans="1:23" s="76" customFormat="1" ht="14.25" customHeight="1">
      <c r="A51" s="671" t="s">
        <v>3014</v>
      </c>
      <c r="B51" s="666" t="s">
        <v>320</v>
      </c>
      <c r="C51" s="666" t="s">
        <v>628</v>
      </c>
      <c r="D51" s="760" t="s">
        <v>3138</v>
      </c>
      <c r="E51" s="666" t="s">
        <v>1424</v>
      </c>
      <c r="F51" s="666" t="s">
        <v>1789</v>
      </c>
      <c r="G51" s="666" t="s">
        <v>632</v>
      </c>
      <c r="H51" s="666"/>
      <c r="I51" s="666"/>
      <c r="J51" s="666" t="s">
        <v>812</v>
      </c>
      <c r="K51" s="666" t="s">
        <v>812</v>
      </c>
      <c r="L51" s="666" t="s">
        <v>897</v>
      </c>
      <c r="M51" s="666" t="s">
        <v>809</v>
      </c>
      <c r="N51" s="666">
        <v>20.805734000000001</v>
      </c>
      <c r="O51" s="666">
        <v>92.982675999999998</v>
      </c>
      <c r="P51" s="666" t="s">
        <v>813</v>
      </c>
      <c r="Q51" s="666" t="s">
        <v>794</v>
      </c>
      <c r="R51" s="670">
        <v>18</v>
      </c>
      <c r="S51" s="671">
        <v>157</v>
      </c>
      <c r="T51" s="690"/>
      <c r="U51" s="672"/>
      <c r="V51" s="666" t="s">
        <v>628</v>
      </c>
      <c r="W51" s="666"/>
    </row>
    <row r="52" spans="1:23" s="76" customFormat="1" ht="14.25" customHeight="1">
      <c r="A52" s="932" t="s">
        <v>3014</v>
      </c>
      <c r="B52" s="922" t="s">
        <v>320</v>
      </c>
      <c r="C52" s="922" t="s">
        <v>614</v>
      </c>
      <c r="D52" s="760" t="s">
        <v>1693</v>
      </c>
      <c r="E52" s="666">
        <v>196887</v>
      </c>
      <c r="J52" s="76" t="s">
        <v>818</v>
      </c>
      <c r="K52" s="76" t="s">
        <v>812</v>
      </c>
      <c r="L52" s="76" t="s">
        <v>818</v>
      </c>
      <c r="M52" s="76" t="s">
        <v>2063</v>
      </c>
      <c r="N52" s="76">
        <v>20.785770419999999</v>
      </c>
      <c r="O52" s="76">
        <v>92.931426999999999</v>
      </c>
      <c r="P52" s="76" t="s">
        <v>937</v>
      </c>
      <c r="Q52" s="76" t="s">
        <v>940</v>
      </c>
      <c r="R52" s="931"/>
      <c r="S52" s="671"/>
      <c r="T52" s="137">
        <v>43011</v>
      </c>
      <c r="U52" s="933" t="s">
        <v>941</v>
      </c>
      <c r="W52" s="922"/>
    </row>
    <row r="53" spans="1:23" s="76" customFormat="1" ht="14.25" customHeight="1">
      <c r="A53" s="935" t="s">
        <v>3014</v>
      </c>
      <c r="B53" s="935" t="s">
        <v>320</v>
      </c>
      <c r="C53" s="936" t="s">
        <v>3198</v>
      </c>
      <c r="D53" s="929"/>
      <c r="E53" s="76" t="s">
        <v>3245</v>
      </c>
      <c r="J53" s="76" t="s">
        <v>3028</v>
      </c>
      <c r="K53" s="76" t="s">
        <v>2942</v>
      </c>
      <c r="L53" s="76" t="s">
        <v>2942</v>
      </c>
      <c r="R53" s="939"/>
      <c r="S53" s="671"/>
      <c r="T53" s="137">
        <v>43591</v>
      </c>
      <c r="U53" s="939"/>
      <c r="W53" s="931"/>
    </row>
    <row r="54" spans="1:23" s="76" customFormat="1" ht="14.25" customHeight="1">
      <c r="A54" s="932" t="s">
        <v>3014</v>
      </c>
      <c r="B54" s="922" t="s">
        <v>320</v>
      </c>
      <c r="C54" s="922" t="s">
        <v>573</v>
      </c>
      <c r="D54" s="760" t="s">
        <v>1693</v>
      </c>
      <c r="E54" s="76">
        <v>196944</v>
      </c>
      <c r="J54" s="76" t="s">
        <v>818</v>
      </c>
      <c r="K54" s="76" t="s">
        <v>812</v>
      </c>
      <c r="L54" s="76" t="s">
        <v>818</v>
      </c>
      <c r="M54" s="76" t="s">
        <v>312</v>
      </c>
      <c r="N54" s="76">
        <v>20.71134949</v>
      </c>
      <c r="O54" s="76">
        <v>92.980506899999995</v>
      </c>
      <c r="P54" s="76" t="s">
        <v>937</v>
      </c>
      <c r="Q54" s="76" t="s">
        <v>940</v>
      </c>
      <c r="R54" s="931"/>
      <c r="S54" s="671"/>
      <c r="T54" s="137">
        <v>43011</v>
      </c>
      <c r="U54" s="933" t="s">
        <v>941</v>
      </c>
      <c r="W54" s="922"/>
    </row>
    <row r="55" spans="1:23" s="76" customFormat="1" ht="14.25" customHeight="1">
      <c r="A55" s="935" t="s">
        <v>3014</v>
      </c>
      <c r="B55" s="935" t="s">
        <v>320</v>
      </c>
      <c r="C55" s="936" t="s">
        <v>3195</v>
      </c>
      <c r="D55" s="669"/>
      <c r="E55" s="922">
        <v>220632</v>
      </c>
      <c r="F55" s="922"/>
      <c r="G55" s="922"/>
      <c r="H55" s="922"/>
      <c r="I55" s="922"/>
      <c r="J55" s="922" t="s">
        <v>3028</v>
      </c>
      <c r="K55" s="922" t="s">
        <v>2942</v>
      </c>
      <c r="L55" s="922" t="s">
        <v>2942</v>
      </c>
      <c r="M55" s="922"/>
      <c r="N55" s="922">
        <v>20.746028900146499</v>
      </c>
      <c r="O55" s="922">
        <v>92.839714050292997</v>
      </c>
      <c r="P55" s="922"/>
      <c r="Q55" s="922"/>
      <c r="R55" s="939"/>
      <c r="S55" s="932"/>
      <c r="T55" s="951">
        <v>43591</v>
      </c>
      <c r="U55" s="939"/>
      <c r="V55" s="922"/>
      <c r="W55" s="670"/>
    </row>
    <row r="56" spans="1:23" s="76" customFormat="1" ht="14.25" customHeight="1">
      <c r="A56" s="671" t="s">
        <v>3014</v>
      </c>
      <c r="B56" s="279" t="s">
        <v>320</v>
      </c>
      <c r="C56" s="280" t="s">
        <v>709</v>
      </c>
      <c r="D56" s="669" t="s">
        <v>1693</v>
      </c>
      <c r="E56" s="275">
        <v>196884</v>
      </c>
      <c r="F56" s="275"/>
      <c r="G56" s="275"/>
      <c r="H56" s="275"/>
      <c r="I56" s="275"/>
      <c r="J56" s="275" t="s">
        <v>818</v>
      </c>
      <c r="K56" s="275" t="s">
        <v>893</v>
      </c>
      <c r="L56" s="275" t="s">
        <v>818</v>
      </c>
      <c r="M56" s="275" t="s">
        <v>312</v>
      </c>
      <c r="N56" s="275">
        <v>20.786739350000001</v>
      </c>
      <c r="O56" s="275">
        <v>92.944313050000005</v>
      </c>
      <c r="P56" s="275" t="s">
        <v>937</v>
      </c>
      <c r="Q56" s="275" t="s">
        <v>794</v>
      </c>
      <c r="R56" s="276"/>
      <c r="S56" s="274"/>
      <c r="T56" s="277"/>
      <c r="U56" s="278"/>
      <c r="V56" s="275"/>
      <c r="W56" s="670"/>
    </row>
    <row r="57" spans="1:23" s="76" customFormat="1" ht="14.25" customHeight="1">
      <c r="A57" s="671" t="s">
        <v>3014</v>
      </c>
      <c r="B57" s="269" t="s">
        <v>320</v>
      </c>
      <c r="C57" s="270" t="s">
        <v>2314</v>
      </c>
      <c r="D57" s="929"/>
      <c r="E57" s="265">
        <v>196813</v>
      </c>
      <c r="F57" s="265"/>
      <c r="G57" s="265"/>
      <c r="H57" s="265"/>
      <c r="I57" s="265"/>
      <c r="J57" s="265" t="s">
        <v>812</v>
      </c>
      <c r="K57" s="265" t="s">
        <v>812</v>
      </c>
      <c r="L57" s="265" t="s">
        <v>812</v>
      </c>
      <c r="M57" s="265"/>
      <c r="N57" s="265">
        <v>20.883239750000001</v>
      </c>
      <c r="O57" s="265">
        <v>92.936859130000002</v>
      </c>
      <c r="P57" s="265" t="s">
        <v>813</v>
      </c>
      <c r="Q57" s="265"/>
      <c r="R57" s="266"/>
      <c r="S57" s="264"/>
      <c r="T57" s="267"/>
      <c r="U57" s="268"/>
      <c r="V57" s="265" t="s">
        <v>2307</v>
      </c>
      <c r="W57" s="931"/>
    </row>
    <row r="58" spans="1:23" s="76" customFormat="1" ht="14.25" customHeight="1">
      <c r="A58" s="671" t="s">
        <v>3014</v>
      </c>
      <c r="B58" s="666" t="s">
        <v>320</v>
      </c>
      <c r="C58" s="666" t="s">
        <v>634</v>
      </c>
      <c r="D58" s="760" t="s">
        <v>1693</v>
      </c>
      <c r="E58" s="76">
        <v>196881</v>
      </c>
      <c r="J58" s="76" t="s">
        <v>818</v>
      </c>
      <c r="K58" s="76" t="s">
        <v>812</v>
      </c>
      <c r="L58" s="76" t="s">
        <v>818</v>
      </c>
      <c r="M58" s="76" t="s">
        <v>2063</v>
      </c>
      <c r="N58" s="76">
        <v>20.809240339999999</v>
      </c>
      <c r="O58" s="76">
        <v>92.923919679999997</v>
      </c>
      <c r="P58" s="76" t="s">
        <v>937</v>
      </c>
      <c r="Q58" s="76" t="s">
        <v>940</v>
      </c>
      <c r="R58" s="670"/>
      <c r="S58" s="132"/>
      <c r="T58" s="137">
        <v>43011</v>
      </c>
      <c r="U58" s="133" t="s">
        <v>941</v>
      </c>
      <c r="W58" s="666"/>
    </row>
    <row r="59" spans="1:23" s="76" customFormat="1" ht="14.25" customHeight="1">
      <c r="A59" s="932" t="s">
        <v>3014</v>
      </c>
      <c r="B59" s="922" t="s">
        <v>320</v>
      </c>
      <c r="C59" s="922" t="s">
        <v>957</v>
      </c>
      <c r="D59" s="760" t="s">
        <v>3138</v>
      </c>
      <c r="E59" s="76" t="s">
        <v>1431</v>
      </c>
      <c r="F59" s="76" t="s">
        <v>1791</v>
      </c>
      <c r="G59" s="76" t="s">
        <v>958</v>
      </c>
      <c r="H59" s="76" t="s">
        <v>43</v>
      </c>
      <c r="J59" s="76" t="s">
        <v>45</v>
      </c>
      <c r="K59" s="76" t="s">
        <v>45</v>
      </c>
      <c r="L59" s="76" t="s">
        <v>811</v>
      </c>
      <c r="M59" s="76" t="s">
        <v>809</v>
      </c>
      <c r="N59" s="666">
        <v>20.865687000000001</v>
      </c>
      <c r="O59" s="666">
        <v>92.965980999999999</v>
      </c>
      <c r="P59" s="76" t="s">
        <v>775</v>
      </c>
      <c r="Q59" s="76" t="s">
        <v>794</v>
      </c>
      <c r="R59" s="931">
        <v>85</v>
      </c>
      <c r="S59" s="671">
        <v>546</v>
      </c>
      <c r="T59" s="137"/>
      <c r="U59" s="933"/>
      <c r="V59" s="76" t="s">
        <v>958</v>
      </c>
      <c r="W59" s="922"/>
    </row>
    <row r="60" spans="1:23" s="76" customFormat="1" ht="14.25" customHeight="1">
      <c r="A60" s="671" t="s">
        <v>3014</v>
      </c>
      <c r="B60" s="244" t="s">
        <v>320</v>
      </c>
      <c r="C60" s="244" t="s">
        <v>554</v>
      </c>
      <c r="D60" s="669" t="s">
        <v>1693</v>
      </c>
      <c r="E60" s="240">
        <v>196930</v>
      </c>
      <c r="F60" s="240"/>
      <c r="G60" s="240"/>
      <c r="H60" s="240"/>
      <c r="I60" s="240"/>
      <c r="J60" s="76" t="s">
        <v>818</v>
      </c>
      <c r="K60" s="666" t="s">
        <v>812</v>
      </c>
      <c r="L60" s="666" t="s">
        <v>818</v>
      </c>
      <c r="M60" s="240" t="s">
        <v>2062</v>
      </c>
      <c r="N60" s="240">
        <v>20.681715010000001</v>
      </c>
      <c r="O60" s="240">
        <v>92.94140625</v>
      </c>
      <c r="P60" s="76" t="s">
        <v>937</v>
      </c>
      <c r="Q60" s="240" t="s">
        <v>940</v>
      </c>
      <c r="R60" s="241"/>
      <c r="S60" s="239"/>
      <c r="T60" s="242">
        <v>43011</v>
      </c>
      <c r="U60" s="243" t="s">
        <v>941</v>
      </c>
      <c r="V60" s="240"/>
      <c r="W60" s="666"/>
    </row>
    <row r="61" spans="1:23" s="76" customFormat="1" ht="14.25" customHeight="1">
      <c r="A61" s="671" t="s">
        <v>3014</v>
      </c>
      <c r="B61" s="666" t="s">
        <v>320</v>
      </c>
      <c r="C61" s="666" t="s">
        <v>674</v>
      </c>
      <c r="D61" s="760" t="s">
        <v>1693</v>
      </c>
      <c r="E61" s="76">
        <v>196787</v>
      </c>
      <c r="J61" s="76" t="s">
        <v>812</v>
      </c>
      <c r="K61" s="76" t="s">
        <v>812</v>
      </c>
      <c r="L61" s="76" t="s">
        <v>812</v>
      </c>
      <c r="M61" s="76" t="s">
        <v>809</v>
      </c>
      <c r="N61" s="76">
        <v>20.90377045</v>
      </c>
      <c r="O61" s="666">
        <v>93.004432679999994</v>
      </c>
      <c r="P61" s="76" t="s">
        <v>813</v>
      </c>
      <c r="Q61" s="76" t="s">
        <v>794</v>
      </c>
      <c r="R61" s="670"/>
      <c r="S61" s="671"/>
      <c r="T61" s="137"/>
      <c r="U61" s="133"/>
      <c r="V61" s="76" t="s">
        <v>674</v>
      </c>
    </row>
    <row r="62" spans="1:23" s="76" customFormat="1" ht="14.25" customHeight="1">
      <c r="A62" s="674" t="s">
        <v>3014</v>
      </c>
      <c r="B62" s="674" t="s">
        <v>320</v>
      </c>
      <c r="C62" s="675" t="s">
        <v>3199</v>
      </c>
      <c r="D62" s="669"/>
      <c r="E62" s="76" t="s">
        <v>3246</v>
      </c>
      <c r="J62" s="76" t="s">
        <v>3028</v>
      </c>
      <c r="K62" s="76" t="s">
        <v>2942</v>
      </c>
      <c r="L62" s="76" t="s">
        <v>2942</v>
      </c>
      <c r="R62" s="678"/>
      <c r="S62" s="671"/>
      <c r="T62" s="137">
        <v>43591</v>
      </c>
      <c r="U62" s="678"/>
      <c r="W62" s="670"/>
    </row>
    <row r="63" spans="1:23" s="76" customFormat="1" ht="14.25" customHeight="1">
      <c r="A63" s="671" t="s">
        <v>3014</v>
      </c>
      <c r="B63" s="269" t="s">
        <v>320</v>
      </c>
      <c r="C63" s="270" t="s">
        <v>351</v>
      </c>
      <c r="D63" s="669" t="s">
        <v>1693</v>
      </c>
      <c r="E63" s="265"/>
      <c r="F63" s="265"/>
      <c r="G63" s="265"/>
      <c r="H63" s="265"/>
      <c r="I63" s="265"/>
      <c r="J63" s="265" t="s">
        <v>818</v>
      </c>
      <c r="K63" s="265" t="s">
        <v>812</v>
      </c>
      <c r="L63" s="265" t="s">
        <v>818</v>
      </c>
      <c r="M63" s="265" t="s">
        <v>2063</v>
      </c>
      <c r="N63" s="265"/>
      <c r="O63" s="265"/>
      <c r="P63" s="265" t="s">
        <v>937</v>
      </c>
      <c r="Q63" s="265" t="s">
        <v>940</v>
      </c>
      <c r="R63" s="266"/>
      <c r="S63" s="264"/>
      <c r="T63" s="267">
        <v>43011</v>
      </c>
      <c r="U63" s="268" t="s">
        <v>941</v>
      </c>
      <c r="V63" s="265"/>
      <c r="W63" s="670"/>
    </row>
    <row r="64" spans="1:23" s="76" customFormat="1" ht="14.25" customHeight="1">
      <c r="A64" s="671" t="s">
        <v>3014</v>
      </c>
      <c r="B64" s="666" t="s">
        <v>320</v>
      </c>
      <c r="C64" s="666" t="s">
        <v>1148</v>
      </c>
      <c r="D64" s="760" t="s">
        <v>1693</v>
      </c>
      <c r="E64" s="666">
        <v>196759</v>
      </c>
      <c r="J64" s="76" t="s">
        <v>812</v>
      </c>
      <c r="K64" s="76" t="s">
        <v>812</v>
      </c>
      <c r="L64" s="76" t="s">
        <v>812</v>
      </c>
      <c r="M64" s="76" t="s">
        <v>2063</v>
      </c>
      <c r="O64" s="666"/>
      <c r="P64" s="76" t="s">
        <v>813</v>
      </c>
      <c r="R64" s="670"/>
      <c r="S64" s="132"/>
      <c r="T64" s="137"/>
      <c r="U64" s="133"/>
      <c r="V64" s="76" t="s">
        <v>1148</v>
      </c>
      <c r="W64" s="666"/>
    </row>
    <row r="65" spans="1:23" s="76" customFormat="1" ht="14.25" customHeight="1">
      <c r="A65" s="671" t="s">
        <v>3014</v>
      </c>
      <c r="B65" s="674" t="s">
        <v>320</v>
      </c>
      <c r="C65" s="675" t="s">
        <v>2061</v>
      </c>
      <c r="D65" s="669" t="s">
        <v>1693</v>
      </c>
      <c r="J65" s="76" t="s">
        <v>818</v>
      </c>
      <c r="K65" s="76" t="s">
        <v>812</v>
      </c>
      <c r="L65" s="76" t="s">
        <v>818</v>
      </c>
      <c r="M65" s="76" t="s">
        <v>312</v>
      </c>
      <c r="P65" s="76" t="s">
        <v>937</v>
      </c>
      <c r="Q65" s="76" t="s">
        <v>940</v>
      </c>
      <c r="R65" s="678"/>
      <c r="S65" s="671"/>
      <c r="T65" s="137">
        <v>43011</v>
      </c>
      <c r="U65" s="133" t="s">
        <v>941</v>
      </c>
      <c r="W65" s="666"/>
    </row>
    <row r="66" spans="1:23" s="76" customFormat="1" ht="14.25" customHeight="1">
      <c r="A66" s="671" t="s">
        <v>3014</v>
      </c>
      <c r="B66" s="674" t="s">
        <v>320</v>
      </c>
      <c r="C66" s="675" t="s">
        <v>354</v>
      </c>
      <c r="D66" s="669" t="s">
        <v>1693</v>
      </c>
      <c r="E66" s="666">
        <v>196815</v>
      </c>
      <c r="F66" s="666"/>
      <c r="G66" s="666"/>
      <c r="H66" s="666"/>
      <c r="I66" s="666"/>
      <c r="J66" s="76" t="s">
        <v>818</v>
      </c>
      <c r="K66" s="666" t="s">
        <v>812</v>
      </c>
      <c r="L66" s="666" t="s">
        <v>818</v>
      </c>
      <c r="M66" s="76" t="s">
        <v>2060</v>
      </c>
      <c r="N66" s="666"/>
      <c r="O66" s="666"/>
      <c r="P66" s="76" t="s">
        <v>937</v>
      </c>
      <c r="Q66" s="76" t="s">
        <v>940</v>
      </c>
      <c r="R66" s="678"/>
      <c r="S66" s="132"/>
      <c r="T66" s="137">
        <v>43011</v>
      </c>
      <c r="U66" s="133" t="s">
        <v>941</v>
      </c>
    </row>
    <row r="67" spans="1:23" s="76" customFormat="1" ht="14.25" customHeight="1">
      <c r="A67" s="671" t="s">
        <v>3014</v>
      </c>
      <c r="B67" s="674" t="s">
        <v>320</v>
      </c>
      <c r="C67" s="675" t="s">
        <v>2318</v>
      </c>
      <c r="D67" s="669"/>
      <c r="E67" s="666">
        <v>196889</v>
      </c>
      <c r="F67" s="666"/>
      <c r="G67" s="666"/>
      <c r="H67" s="666"/>
      <c r="I67" s="666"/>
      <c r="J67" s="76" t="s">
        <v>812</v>
      </c>
      <c r="K67" s="666" t="s">
        <v>812</v>
      </c>
      <c r="L67" s="666" t="s">
        <v>812</v>
      </c>
      <c r="M67" s="666"/>
      <c r="N67" s="666">
        <v>20.785549159999999</v>
      </c>
      <c r="O67" s="666">
        <v>92.971076969999999</v>
      </c>
      <c r="P67" s="76" t="s">
        <v>813</v>
      </c>
      <c r="Q67" s="666"/>
      <c r="R67" s="678"/>
      <c r="S67" s="671"/>
      <c r="T67" s="690"/>
      <c r="U67" s="672"/>
      <c r="V67" s="666" t="s">
        <v>2311</v>
      </c>
    </row>
    <row r="68" spans="1:23" s="76" customFormat="1" ht="14.25" customHeight="1">
      <c r="A68" s="671" t="s">
        <v>3014</v>
      </c>
      <c r="B68" s="674" t="s">
        <v>320</v>
      </c>
      <c r="C68" s="675" t="s">
        <v>2373</v>
      </c>
      <c r="D68" s="669"/>
      <c r="E68" s="76">
        <v>196939</v>
      </c>
      <c r="F68" s="76" t="s">
        <v>2368</v>
      </c>
      <c r="J68" s="76" t="s">
        <v>812</v>
      </c>
      <c r="K68" s="76" t="s">
        <v>812</v>
      </c>
      <c r="L68" s="76" t="s">
        <v>812</v>
      </c>
      <c r="N68" s="76">
        <v>20.648920059999998</v>
      </c>
      <c r="O68" s="76">
        <v>92.967460630000005</v>
      </c>
      <c r="P68" s="76" t="s">
        <v>813</v>
      </c>
      <c r="Q68" s="76" t="s">
        <v>2327</v>
      </c>
      <c r="R68" s="678"/>
      <c r="S68" s="132"/>
      <c r="T68" s="137">
        <v>43465</v>
      </c>
      <c r="U68" s="133" t="s">
        <v>2370</v>
      </c>
      <c r="V68" s="76" t="s">
        <v>2367</v>
      </c>
    </row>
    <row r="69" spans="1:23" s="76" customFormat="1" ht="14.25" customHeight="1">
      <c r="A69" s="671" t="s">
        <v>3014</v>
      </c>
      <c r="B69" s="674" t="s">
        <v>320</v>
      </c>
      <c r="C69" s="675" t="s">
        <v>671</v>
      </c>
      <c r="D69" s="669" t="s">
        <v>1693</v>
      </c>
      <c r="E69" s="666">
        <v>196814</v>
      </c>
      <c r="F69" s="666"/>
      <c r="G69" s="666"/>
      <c r="H69" s="666"/>
      <c r="I69" s="666"/>
      <c r="J69" s="76" t="s">
        <v>818</v>
      </c>
      <c r="K69" s="76" t="s">
        <v>812</v>
      </c>
      <c r="L69" s="666" t="s">
        <v>818</v>
      </c>
      <c r="M69" s="666" t="s">
        <v>312</v>
      </c>
      <c r="N69" s="666">
        <v>20.894269940000001</v>
      </c>
      <c r="O69" s="666">
        <v>92.920730590000005</v>
      </c>
      <c r="P69" s="666" t="s">
        <v>937</v>
      </c>
      <c r="Q69" s="666" t="s">
        <v>940</v>
      </c>
      <c r="R69" s="678"/>
      <c r="S69" s="671"/>
      <c r="T69" s="690">
        <v>43011</v>
      </c>
      <c r="U69" s="672" t="s">
        <v>941</v>
      </c>
      <c r="V69" s="666"/>
      <c r="W69" s="666"/>
    </row>
    <row r="70" spans="1:23" s="76" customFormat="1" ht="14.25" customHeight="1">
      <c r="A70" s="671" t="s">
        <v>3014</v>
      </c>
      <c r="B70" s="666" t="s">
        <v>320</v>
      </c>
      <c r="C70" s="666" t="s">
        <v>2305</v>
      </c>
      <c r="D70" s="760"/>
      <c r="E70" s="666"/>
      <c r="F70" s="666"/>
      <c r="G70" s="666"/>
      <c r="H70" s="666"/>
      <c r="I70" s="666"/>
      <c r="J70" s="666" t="s">
        <v>812</v>
      </c>
      <c r="K70" s="666" t="s">
        <v>812</v>
      </c>
      <c r="L70" s="666" t="s">
        <v>812</v>
      </c>
      <c r="M70" s="666"/>
      <c r="N70" s="666">
        <v>20.889249800000002</v>
      </c>
      <c r="O70" s="666">
        <v>92.939201350000005</v>
      </c>
      <c r="P70" s="666" t="s">
        <v>813</v>
      </c>
      <c r="Q70" s="666"/>
      <c r="R70" s="670"/>
      <c r="S70" s="671"/>
      <c r="T70" s="690"/>
      <c r="U70" s="672"/>
      <c r="V70" s="666" t="s">
        <v>2305</v>
      </c>
      <c r="W70" s="666"/>
    </row>
    <row r="71" spans="1:23" s="76" customFormat="1" ht="14.25" customHeight="1">
      <c r="A71" s="671" t="s">
        <v>3014</v>
      </c>
      <c r="B71" s="666" t="s">
        <v>320</v>
      </c>
      <c r="C71" s="666" t="s">
        <v>712</v>
      </c>
      <c r="D71" s="760" t="s">
        <v>1693</v>
      </c>
      <c r="E71" s="76">
        <v>196929</v>
      </c>
      <c r="J71" s="76" t="s">
        <v>818</v>
      </c>
      <c r="K71" s="76" t="s">
        <v>812</v>
      </c>
      <c r="L71" s="76" t="s">
        <v>818</v>
      </c>
      <c r="M71" s="76" t="s">
        <v>312</v>
      </c>
      <c r="N71" s="682">
        <v>20.67705917</v>
      </c>
      <c r="O71" s="682">
        <v>92.953247070000003</v>
      </c>
      <c r="P71" s="76" t="s">
        <v>937</v>
      </c>
      <c r="Q71" s="76" t="s">
        <v>794</v>
      </c>
      <c r="R71" s="131"/>
      <c r="S71" s="671"/>
      <c r="T71" s="137"/>
      <c r="U71" s="133"/>
    </row>
    <row r="72" spans="1:23" s="76" customFormat="1" ht="14.25" customHeight="1">
      <c r="A72" s="671" t="s">
        <v>3014</v>
      </c>
      <c r="B72" s="666" t="s">
        <v>320</v>
      </c>
      <c r="C72" s="666" t="s">
        <v>711</v>
      </c>
      <c r="D72" s="760" t="s">
        <v>1693</v>
      </c>
      <c r="E72" s="666">
        <v>196927</v>
      </c>
      <c r="F72" s="666" t="s">
        <v>711</v>
      </c>
      <c r="G72" s="666"/>
      <c r="H72" s="666"/>
      <c r="I72" s="666"/>
      <c r="J72" s="76" t="s">
        <v>812</v>
      </c>
      <c r="K72" s="76" t="s">
        <v>812</v>
      </c>
      <c r="L72" s="666" t="s">
        <v>812</v>
      </c>
      <c r="M72" s="666" t="s">
        <v>312</v>
      </c>
      <c r="N72" s="666">
        <v>20.697889329999999</v>
      </c>
      <c r="O72" s="666">
        <v>92.951232910000002</v>
      </c>
      <c r="P72" s="666" t="s">
        <v>813</v>
      </c>
      <c r="Q72" s="666" t="s">
        <v>794</v>
      </c>
      <c r="R72" s="670"/>
      <c r="S72" s="671"/>
      <c r="T72" s="690">
        <v>43465</v>
      </c>
      <c r="U72" s="672" t="s">
        <v>2370</v>
      </c>
      <c r="V72" s="666" t="s">
        <v>2369</v>
      </c>
      <c r="W72" s="666"/>
    </row>
    <row r="73" spans="1:23" s="76" customFormat="1" ht="14.25" customHeight="1">
      <c r="A73" s="671" t="s">
        <v>3014</v>
      </c>
      <c r="B73" s="668" t="s">
        <v>320</v>
      </c>
      <c r="C73" s="668" t="s">
        <v>2315</v>
      </c>
      <c r="D73" s="760"/>
      <c r="E73" s="76">
        <v>220647</v>
      </c>
      <c r="J73" s="76" t="s">
        <v>812</v>
      </c>
      <c r="K73" s="76" t="s">
        <v>812</v>
      </c>
      <c r="L73" s="76" t="s">
        <v>812</v>
      </c>
      <c r="P73" s="76" t="s">
        <v>813</v>
      </c>
      <c r="R73" s="674"/>
      <c r="S73" s="675"/>
      <c r="T73" s="137"/>
      <c r="U73" s="133"/>
      <c r="V73" s="76" t="s">
        <v>2308</v>
      </c>
      <c r="W73" s="666"/>
    </row>
    <row r="74" spans="1:23" s="76" customFormat="1" ht="14.25" customHeight="1">
      <c r="A74" s="671" t="s">
        <v>3014</v>
      </c>
      <c r="B74" s="668" t="s">
        <v>320</v>
      </c>
      <c r="C74" s="668" t="s">
        <v>2316</v>
      </c>
      <c r="D74" s="760"/>
      <c r="E74" s="76">
        <v>196755</v>
      </c>
      <c r="J74" s="76" t="s">
        <v>812</v>
      </c>
      <c r="K74" s="76" t="s">
        <v>812</v>
      </c>
      <c r="L74" s="76" t="s">
        <v>812</v>
      </c>
      <c r="N74" s="76">
        <v>20.932960510000001</v>
      </c>
      <c r="O74" s="76">
        <v>92.930267330000007</v>
      </c>
      <c r="P74" s="76" t="s">
        <v>813</v>
      </c>
      <c r="R74" s="670"/>
      <c r="S74" s="132"/>
      <c r="T74" s="137"/>
      <c r="U74" s="133"/>
      <c r="V74" s="76" t="s">
        <v>2309</v>
      </c>
      <c r="W74" s="666"/>
    </row>
    <row r="75" spans="1:23" s="76" customFormat="1" ht="14.25" customHeight="1">
      <c r="A75" s="671" t="s">
        <v>3014</v>
      </c>
      <c r="B75" s="674" t="s">
        <v>320</v>
      </c>
      <c r="C75" s="675" t="s">
        <v>361</v>
      </c>
      <c r="D75" s="669" t="s">
        <v>1693</v>
      </c>
      <c r="J75" s="76" t="s">
        <v>812</v>
      </c>
      <c r="K75" s="76" t="s">
        <v>812</v>
      </c>
      <c r="L75" s="76" t="s">
        <v>812</v>
      </c>
      <c r="M75" s="76" t="s">
        <v>312</v>
      </c>
      <c r="P75" s="76" t="s">
        <v>813</v>
      </c>
      <c r="Q75" s="76" t="s">
        <v>794</v>
      </c>
      <c r="R75" s="678"/>
      <c r="S75" s="671"/>
      <c r="T75" s="137"/>
      <c r="U75" s="133"/>
    </row>
    <row r="76" spans="1:23" s="76" customFormat="1" ht="14.25" customHeight="1">
      <c r="A76" s="671" t="s">
        <v>3014</v>
      </c>
      <c r="B76" s="674" t="s">
        <v>320</v>
      </c>
      <c r="C76" s="675" t="s">
        <v>648</v>
      </c>
      <c r="D76" s="669" t="s">
        <v>1693</v>
      </c>
      <c r="E76" s="666">
        <v>196880</v>
      </c>
      <c r="F76" s="666"/>
      <c r="G76" s="666"/>
      <c r="H76" s="666"/>
      <c r="I76" s="666"/>
      <c r="J76" s="666" t="s">
        <v>818</v>
      </c>
      <c r="K76" s="666" t="s">
        <v>812</v>
      </c>
      <c r="L76" s="666" t="s">
        <v>818</v>
      </c>
      <c r="M76" s="666" t="s">
        <v>2063</v>
      </c>
      <c r="N76" s="666">
        <v>20.831729889999998</v>
      </c>
      <c r="O76" s="668">
        <v>92.919639590000003</v>
      </c>
      <c r="P76" s="666" t="s">
        <v>937</v>
      </c>
      <c r="Q76" s="666" t="s">
        <v>940</v>
      </c>
      <c r="R76" s="678"/>
      <c r="S76" s="671"/>
      <c r="T76" s="690">
        <v>43011</v>
      </c>
      <c r="U76" s="672" t="s">
        <v>941</v>
      </c>
      <c r="V76" s="666"/>
      <c r="W76" s="666"/>
    </row>
    <row r="77" spans="1:23" s="76" customFormat="1" ht="14.25" customHeight="1">
      <c r="A77" s="671" t="s">
        <v>3014</v>
      </c>
      <c r="B77" s="674" t="s">
        <v>320</v>
      </c>
      <c r="C77" s="675" t="s">
        <v>611</v>
      </c>
      <c r="D77" s="760" t="s">
        <v>3138</v>
      </c>
      <c r="E77" s="76" t="s">
        <v>1423</v>
      </c>
      <c r="F77" s="76" t="s">
        <v>1787</v>
      </c>
      <c r="G77" s="76" t="s">
        <v>1788</v>
      </c>
      <c r="J77" s="76" t="s">
        <v>812</v>
      </c>
      <c r="K77" s="666" t="s">
        <v>812</v>
      </c>
      <c r="L77" s="666" t="s">
        <v>897</v>
      </c>
      <c r="M77" s="76" t="s">
        <v>809</v>
      </c>
      <c r="N77" s="76">
        <v>20.78332</v>
      </c>
      <c r="O77" s="76">
        <v>92.987399999999994</v>
      </c>
      <c r="P77" s="76" t="s">
        <v>813</v>
      </c>
      <c r="Q77" s="76" t="s">
        <v>794</v>
      </c>
      <c r="R77" s="131">
        <v>144</v>
      </c>
      <c r="S77" s="671">
        <v>1006</v>
      </c>
      <c r="T77" s="137"/>
      <c r="U77" s="133"/>
      <c r="V77" s="76" t="s">
        <v>611</v>
      </c>
      <c r="W77" s="666"/>
    </row>
    <row r="78" spans="1:23" s="76" customFormat="1" ht="14.25" customHeight="1">
      <c r="A78" s="671" t="s">
        <v>3014</v>
      </c>
      <c r="B78" s="668" t="s">
        <v>320</v>
      </c>
      <c r="C78" s="668" t="s">
        <v>613</v>
      </c>
      <c r="D78" s="760" t="s">
        <v>1693</v>
      </c>
      <c r="E78" s="76">
        <v>196869</v>
      </c>
      <c r="J78" s="76" t="s">
        <v>812</v>
      </c>
      <c r="K78" s="666" t="s">
        <v>812</v>
      </c>
      <c r="L78" s="666" t="s">
        <v>812</v>
      </c>
      <c r="M78" s="76" t="s">
        <v>312</v>
      </c>
      <c r="N78" s="682">
        <v>20.785699839999999</v>
      </c>
      <c r="O78" s="682">
        <v>92.986633299999994</v>
      </c>
      <c r="P78" s="76" t="s">
        <v>813</v>
      </c>
      <c r="Q78" s="76" t="s">
        <v>794</v>
      </c>
      <c r="R78" s="670"/>
      <c r="S78" s="671"/>
      <c r="T78" s="137"/>
      <c r="U78" s="133"/>
      <c r="V78" s="76" t="s">
        <v>613</v>
      </c>
    </row>
    <row r="79" spans="1:23" s="76" customFormat="1" ht="14.25" customHeight="1">
      <c r="A79" s="671" t="s">
        <v>3014</v>
      </c>
      <c r="B79" s="674" t="s">
        <v>320</v>
      </c>
      <c r="C79" s="675" t="s">
        <v>964</v>
      </c>
      <c r="D79" s="760" t="s">
        <v>3138</v>
      </c>
      <c r="E79" s="76" t="s">
        <v>1435</v>
      </c>
      <c r="F79" s="76" t="s">
        <v>1898</v>
      </c>
      <c r="G79" s="76" t="s">
        <v>1899</v>
      </c>
      <c r="J79" s="76" t="s">
        <v>812</v>
      </c>
      <c r="K79" s="76" t="s">
        <v>812</v>
      </c>
      <c r="L79" s="76" t="s">
        <v>897</v>
      </c>
      <c r="M79" s="76" t="s">
        <v>809</v>
      </c>
      <c r="N79" s="76">
        <v>20.929649000000001</v>
      </c>
      <c r="O79" s="76">
        <v>93.000815000000003</v>
      </c>
      <c r="P79" s="76" t="s">
        <v>813</v>
      </c>
      <c r="R79" s="670">
        <v>63</v>
      </c>
      <c r="S79" s="132">
        <v>414</v>
      </c>
      <c r="T79" s="137"/>
      <c r="U79" s="133" t="s">
        <v>874</v>
      </c>
      <c r="V79" s="76" t="s">
        <v>964</v>
      </c>
    </row>
    <row r="80" spans="1:23" s="76" customFormat="1" ht="14.25" customHeight="1">
      <c r="A80" s="671" t="s">
        <v>3014</v>
      </c>
      <c r="B80" s="668" t="s">
        <v>320</v>
      </c>
      <c r="C80" s="668" t="s">
        <v>708</v>
      </c>
      <c r="D80" s="760" t="s">
        <v>1693</v>
      </c>
      <c r="E80" s="76">
        <v>196823</v>
      </c>
      <c r="J80" s="76" t="s">
        <v>818</v>
      </c>
      <c r="K80" s="76" t="s">
        <v>812</v>
      </c>
      <c r="L80" s="76" t="s">
        <v>818</v>
      </c>
      <c r="M80" s="76" t="s">
        <v>809</v>
      </c>
      <c r="N80" s="76">
        <v>20.85956955</v>
      </c>
      <c r="O80" s="76">
        <v>92.941146849999996</v>
      </c>
      <c r="P80" s="76" t="s">
        <v>937</v>
      </c>
      <c r="Q80" s="76" t="s">
        <v>794</v>
      </c>
      <c r="R80" s="670"/>
      <c r="S80" s="132"/>
      <c r="T80" s="137"/>
      <c r="U80" s="133"/>
      <c r="W80" s="666"/>
    </row>
    <row r="81" spans="1:23" s="76" customFormat="1" ht="14.25" customHeight="1">
      <c r="A81" s="671" t="s">
        <v>3014</v>
      </c>
      <c r="B81" s="668" t="s">
        <v>320</v>
      </c>
      <c r="C81" s="668" t="s">
        <v>656</v>
      </c>
      <c r="D81" s="760" t="s">
        <v>1693</v>
      </c>
      <c r="E81" s="76">
        <v>196817</v>
      </c>
      <c r="J81" s="76" t="s">
        <v>818</v>
      </c>
      <c r="K81" s="76" t="s">
        <v>812</v>
      </c>
      <c r="L81" s="76" t="s">
        <v>818</v>
      </c>
      <c r="M81" s="76" t="s">
        <v>809</v>
      </c>
      <c r="N81" s="76">
        <v>20.864519120000001</v>
      </c>
      <c r="O81" s="76">
        <v>92.940399170000006</v>
      </c>
      <c r="P81" s="76" t="s">
        <v>937</v>
      </c>
      <c r="Q81" s="76" t="s">
        <v>940</v>
      </c>
      <c r="R81" s="670"/>
      <c r="S81" s="132"/>
      <c r="T81" s="137">
        <v>43011</v>
      </c>
      <c r="U81" s="133" t="s">
        <v>941</v>
      </c>
    </row>
    <row r="82" spans="1:23" s="76" customFormat="1" ht="14.25" customHeight="1">
      <c r="A82" s="671" t="s">
        <v>3014</v>
      </c>
      <c r="B82" s="674" t="s">
        <v>320</v>
      </c>
      <c r="C82" s="675" t="s">
        <v>2064</v>
      </c>
      <c r="D82" s="669" t="s">
        <v>1693</v>
      </c>
      <c r="E82" s="76">
        <v>196818</v>
      </c>
      <c r="J82" s="76" t="s">
        <v>818</v>
      </c>
      <c r="K82" s="76" t="s">
        <v>812</v>
      </c>
      <c r="L82" s="76" t="s">
        <v>818</v>
      </c>
      <c r="M82" s="76" t="s">
        <v>809</v>
      </c>
      <c r="P82" s="76" t="s">
        <v>937</v>
      </c>
      <c r="Q82" s="76" t="s">
        <v>940</v>
      </c>
      <c r="R82" s="678"/>
      <c r="S82" s="671"/>
      <c r="T82" s="137">
        <v>43011</v>
      </c>
      <c r="U82" s="133" t="s">
        <v>941</v>
      </c>
    </row>
    <row r="83" spans="1:23" s="76" customFormat="1" ht="14.25" customHeight="1">
      <c r="A83" s="671" t="s">
        <v>3014</v>
      </c>
      <c r="B83" s="674" t="s">
        <v>320</v>
      </c>
      <c r="C83" s="675" t="s">
        <v>3155</v>
      </c>
      <c r="D83" s="669"/>
      <c r="E83" s="76">
        <v>196911</v>
      </c>
      <c r="J83" s="76" t="s">
        <v>3028</v>
      </c>
      <c r="K83" s="76" t="s">
        <v>2942</v>
      </c>
      <c r="L83" s="76" t="s">
        <v>2942</v>
      </c>
      <c r="N83" s="76">
        <v>20.674160003662099</v>
      </c>
      <c r="O83" s="76">
        <v>92.9078369140625</v>
      </c>
      <c r="R83" s="678"/>
      <c r="S83" s="671"/>
      <c r="T83" s="137">
        <v>43591</v>
      </c>
      <c r="U83" s="678"/>
      <c r="W83" s="670"/>
    </row>
    <row r="84" spans="1:23" s="76" customFormat="1" ht="14.25" customHeight="1">
      <c r="A84" s="671" t="s">
        <v>3014</v>
      </c>
      <c r="B84" s="668" t="s">
        <v>320</v>
      </c>
      <c r="C84" s="668" t="s">
        <v>632</v>
      </c>
      <c r="D84" s="760" t="s">
        <v>1693</v>
      </c>
      <c r="E84" s="76">
        <v>196873</v>
      </c>
      <c r="F84" s="673"/>
      <c r="J84" s="76" t="s">
        <v>812</v>
      </c>
      <c r="K84" s="76" t="s">
        <v>812</v>
      </c>
      <c r="L84" s="76" t="s">
        <v>812</v>
      </c>
      <c r="M84" s="76" t="s">
        <v>312</v>
      </c>
      <c r="N84" s="76">
        <v>20.8064003</v>
      </c>
      <c r="O84" s="76">
        <v>92.982147220000002</v>
      </c>
      <c r="P84" s="76" t="s">
        <v>813</v>
      </c>
      <c r="Q84" s="76" t="s">
        <v>794</v>
      </c>
      <c r="R84" s="670"/>
      <c r="S84" s="671"/>
      <c r="T84" s="137"/>
      <c r="U84" s="133"/>
      <c r="V84" s="76" t="s">
        <v>632</v>
      </c>
      <c r="W84" s="666"/>
    </row>
    <row r="85" spans="1:23" s="76" customFormat="1" ht="14.25" customHeight="1">
      <c r="A85" s="671" t="s">
        <v>3014</v>
      </c>
      <c r="B85" s="269" t="s">
        <v>320</v>
      </c>
      <c r="C85" s="270" t="s">
        <v>2837</v>
      </c>
      <c r="D85" s="669"/>
      <c r="E85" s="265">
        <v>196673</v>
      </c>
      <c r="F85" s="265"/>
      <c r="G85" s="265"/>
      <c r="H85" s="265"/>
      <c r="I85" s="265"/>
      <c r="J85" s="76" t="s">
        <v>3028</v>
      </c>
      <c r="K85" s="76" t="s">
        <v>2942</v>
      </c>
      <c r="L85" s="265" t="s">
        <v>2942</v>
      </c>
      <c r="M85" s="265"/>
      <c r="N85" s="265"/>
      <c r="O85" s="265"/>
      <c r="P85" s="265"/>
      <c r="Q85" s="265"/>
      <c r="R85" s="266"/>
      <c r="S85" s="264"/>
      <c r="T85" s="267"/>
      <c r="U85" s="268"/>
      <c r="V85" s="265"/>
      <c r="W85" s="670"/>
    </row>
    <row r="86" spans="1:23" s="76" customFormat="1" ht="14.25" customHeight="1">
      <c r="A86" s="671" t="s">
        <v>3014</v>
      </c>
      <c r="B86" s="674" t="s">
        <v>320</v>
      </c>
      <c r="C86" s="675" t="s">
        <v>968</v>
      </c>
      <c r="D86" s="669" t="s">
        <v>1693</v>
      </c>
      <c r="E86" s="76">
        <v>196767</v>
      </c>
      <c r="J86" s="76" t="s">
        <v>812</v>
      </c>
      <c r="K86" s="76" t="s">
        <v>812</v>
      </c>
      <c r="L86" s="76" t="s">
        <v>812</v>
      </c>
      <c r="M86" s="76" t="s">
        <v>312</v>
      </c>
      <c r="N86" s="76">
        <v>21.006929400000001</v>
      </c>
      <c r="O86" s="76">
        <v>92.981040949999993</v>
      </c>
      <c r="P86" s="76" t="s">
        <v>813</v>
      </c>
      <c r="R86" s="678"/>
      <c r="S86" s="132"/>
      <c r="T86" s="137"/>
      <c r="U86" s="133"/>
      <c r="V86" s="76" t="s">
        <v>968</v>
      </c>
      <c r="W86" s="666"/>
    </row>
    <row r="87" spans="1:23" s="76" customFormat="1" ht="14.25" customHeight="1">
      <c r="A87" s="671" t="s">
        <v>3014</v>
      </c>
      <c r="B87" s="668" t="s">
        <v>320</v>
      </c>
      <c r="C87" s="668" t="s">
        <v>710</v>
      </c>
      <c r="D87" s="760" t="s">
        <v>1693</v>
      </c>
      <c r="E87" s="76">
        <v>196886</v>
      </c>
      <c r="J87" s="76" t="s">
        <v>818</v>
      </c>
      <c r="K87" s="76" t="s">
        <v>812</v>
      </c>
      <c r="L87" s="76" t="s">
        <v>818</v>
      </c>
      <c r="M87" s="76" t="s">
        <v>312</v>
      </c>
      <c r="N87" s="76">
        <v>20.803710939999998</v>
      </c>
      <c r="O87" s="76">
        <v>92.946136469999999</v>
      </c>
      <c r="P87" s="76" t="s">
        <v>937</v>
      </c>
      <c r="Q87" s="76" t="s">
        <v>794</v>
      </c>
      <c r="R87" s="131"/>
      <c r="S87" s="671"/>
      <c r="T87" s="137"/>
      <c r="U87" s="133"/>
      <c r="W87" s="666"/>
    </row>
    <row r="88" spans="1:23" s="76" customFormat="1" ht="14.25" customHeight="1">
      <c r="A88" s="671" t="s">
        <v>3014</v>
      </c>
      <c r="B88" s="674" t="s">
        <v>320</v>
      </c>
      <c r="C88" s="675" t="s">
        <v>953</v>
      </c>
      <c r="D88" s="669" t="s">
        <v>1693</v>
      </c>
      <c r="E88" s="76">
        <v>196885</v>
      </c>
      <c r="J88" s="76" t="s">
        <v>818</v>
      </c>
      <c r="K88" s="76" t="s">
        <v>812</v>
      </c>
      <c r="L88" s="76" t="s">
        <v>818</v>
      </c>
      <c r="N88" s="76">
        <v>20.80635071</v>
      </c>
      <c r="O88" s="76">
        <v>92.948310849999999</v>
      </c>
      <c r="P88" s="76" t="s">
        <v>937</v>
      </c>
      <c r="Q88" s="76" t="s">
        <v>940</v>
      </c>
      <c r="R88" s="678"/>
      <c r="S88" s="671"/>
      <c r="T88" s="137">
        <v>43011</v>
      </c>
      <c r="U88" s="133" t="s">
        <v>941</v>
      </c>
      <c r="W88" s="666"/>
    </row>
    <row r="89" spans="1:23" s="76" customFormat="1" ht="14.25" customHeight="1">
      <c r="A89" s="671" t="s">
        <v>3014</v>
      </c>
      <c r="B89" s="674" t="s">
        <v>320</v>
      </c>
      <c r="C89" s="675" t="s">
        <v>2371</v>
      </c>
      <c r="D89" s="669"/>
      <c r="E89" s="76">
        <v>196932</v>
      </c>
      <c r="F89" s="76" t="s">
        <v>885</v>
      </c>
      <c r="J89" s="76" t="s">
        <v>812</v>
      </c>
      <c r="K89" s="76" t="s">
        <v>812</v>
      </c>
      <c r="L89" s="76" t="s">
        <v>812</v>
      </c>
      <c r="N89" s="76">
        <v>20.655569</v>
      </c>
      <c r="O89" s="76">
        <v>92.959709000000004</v>
      </c>
      <c r="P89" s="76" t="s">
        <v>813</v>
      </c>
      <c r="Q89" s="76" t="s">
        <v>2327</v>
      </c>
      <c r="R89" s="678"/>
      <c r="S89" s="132"/>
      <c r="T89" s="137">
        <v>43465</v>
      </c>
      <c r="U89" s="133" t="s">
        <v>2370</v>
      </c>
      <c r="V89" s="76" t="s">
        <v>2365</v>
      </c>
      <c r="W89" s="666"/>
    </row>
    <row r="90" spans="1:23" s="76" customFormat="1" ht="14.25" customHeight="1">
      <c r="A90" s="671" t="s">
        <v>3014</v>
      </c>
      <c r="B90" s="668" t="s">
        <v>320</v>
      </c>
      <c r="C90" s="668" t="s">
        <v>2317</v>
      </c>
      <c r="D90" s="760"/>
      <c r="E90" s="76">
        <v>196893</v>
      </c>
      <c r="J90" s="76" t="s">
        <v>812</v>
      </c>
      <c r="K90" s="76" t="s">
        <v>812</v>
      </c>
      <c r="L90" s="76" t="s">
        <v>812</v>
      </c>
      <c r="N90" s="76">
        <v>20.760820389999999</v>
      </c>
      <c r="O90" s="76">
        <v>92.960083010000005</v>
      </c>
      <c r="P90" s="76" t="s">
        <v>813</v>
      </c>
      <c r="R90" s="670"/>
      <c r="S90" s="132"/>
      <c r="T90" s="137"/>
      <c r="U90" s="672"/>
      <c r="V90" s="76" t="s">
        <v>2310</v>
      </c>
      <c r="W90" s="666"/>
    </row>
    <row r="91" spans="1:23" s="76" customFormat="1" ht="14.25" customHeight="1">
      <c r="A91" s="671" t="s">
        <v>3014</v>
      </c>
      <c r="B91" s="668" t="s">
        <v>320</v>
      </c>
      <c r="C91" s="668" t="s">
        <v>367</v>
      </c>
      <c r="D91" s="760" t="s">
        <v>1693</v>
      </c>
      <c r="J91" s="76" t="s">
        <v>818</v>
      </c>
      <c r="K91" s="76" t="s">
        <v>812</v>
      </c>
      <c r="L91" s="76" t="s">
        <v>818</v>
      </c>
      <c r="M91" s="76" t="s">
        <v>312</v>
      </c>
      <c r="N91" s="666"/>
      <c r="O91" s="666"/>
      <c r="P91" s="76" t="s">
        <v>937</v>
      </c>
      <c r="Q91" s="76" t="s">
        <v>940</v>
      </c>
      <c r="R91" s="131"/>
      <c r="S91" s="132"/>
      <c r="T91" s="137">
        <v>43011</v>
      </c>
      <c r="U91" s="133" t="s">
        <v>941</v>
      </c>
    </row>
    <row r="92" spans="1:23" s="76" customFormat="1" ht="14.25" customHeight="1">
      <c r="A92" s="671" t="s">
        <v>3014</v>
      </c>
      <c r="B92" s="668" t="s">
        <v>320</v>
      </c>
      <c r="C92" s="668" t="s">
        <v>946</v>
      </c>
      <c r="D92" s="760" t="s">
        <v>1693</v>
      </c>
      <c r="E92" s="76">
        <v>196950</v>
      </c>
      <c r="J92" s="76" t="s">
        <v>812</v>
      </c>
      <c r="K92" s="76" t="s">
        <v>812</v>
      </c>
      <c r="L92" s="76" t="s">
        <v>812</v>
      </c>
      <c r="M92" s="76" t="s">
        <v>2063</v>
      </c>
      <c r="N92" s="76">
        <v>20.720500950000002</v>
      </c>
      <c r="O92" s="76">
        <v>92.937339780000002</v>
      </c>
      <c r="P92" s="76" t="s">
        <v>813</v>
      </c>
      <c r="R92" s="131"/>
      <c r="S92" s="132"/>
      <c r="T92" s="137"/>
      <c r="U92" s="133"/>
      <c r="V92" s="76" t="s">
        <v>946</v>
      </c>
    </row>
    <row r="93" spans="1:23" s="76" customFormat="1" ht="14.25" customHeight="1">
      <c r="A93" s="671" t="s">
        <v>3014</v>
      </c>
      <c r="B93" s="668" t="s">
        <v>320</v>
      </c>
      <c r="C93" s="668" t="s">
        <v>3244</v>
      </c>
      <c r="D93" s="760"/>
      <c r="E93" s="76">
        <v>196923</v>
      </c>
      <c r="J93" s="76" t="s">
        <v>3028</v>
      </c>
      <c r="K93" s="76" t="s">
        <v>2942</v>
      </c>
      <c r="L93" s="76" t="s">
        <v>2942</v>
      </c>
      <c r="N93" s="76">
        <v>20.675489425659201</v>
      </c>
      <c r="O93" s="76">
        <v>92.916961669921903</v>
      </c>
      <c r="R93" s="131"/>
      <c r="S93" s="132"/>
      <c r="T93" s="137"/>
      <c r="U93" s="672"/>
    </row>
    <row r="94" spans="1:23" s="76" customFormat="1" ht="14.25" customHeight="1">
      <c r="A94" s="671" t="s">
        <v>3014</v>
      </c>
      <c r="B94" s="668" t="s">
        <v>320</v>
      </c>
      <c r="C94" s="668" t="s">
        <v>2082</v>
      </c>
      <c r="D94" s="760"/>
      <c r="E94" s="666">
        <v>196828</v>
      </c>
      <c r="F94" s="666" t="s">
        <v>1791</v>
      </c>
      <c r="G94" s="666"/>
      <c r="H94" s="666"/>
      <c r="I94" s="666"/>
      <c r="J94" s="666" t="s">
        <v>812</v>
      </c>
      <c r="K94" s="666" t="s">
        <v>812</v>
      </c>
      <c r="L94" s="666" t="s">
        <v>812</v>
      </c>
      <c r="M94" s="666"/>
      <c r="N94" s="666">
        <v>20.860509870000001</v>
      </c>
      <c r="O94" s="666">
        <v>92.966751099999996</v>
      </c>
      <c r="P94" s="666" t="s">
        <v>813</v>
      </c>
      <c r="Q94" s="666"/>
      <c r="R94" s="670"/>
      <c r="S94" s="671"/>
      <c r="T94" s="690">
        <v>43297</v>
      </c>
      <c r="U94" s="672"/>
      <c r="V94" s="666"/>
      <c r="W94" s="666"/>
    </row>
    <row r="95" spans="1:23" s="76" customFormat="1" ht="14.25" customHeight="1">
      <c r="A95" s="671" t="s">
        <v>3014</v>
      </c>
      <c r="B95" s="674" t="s">
        <v>320</v>
      </c>
      <c r="C95" s="675" t="s">
        <v>591</v>
      </c>
      <c r="D95" s="760" t="s">
        <v>3138</v>
      </c>
      <c r="E95" s="76" t="s">
        <v>1422</v>
      </c>
      <c r="F95" s="76" t="s">
        <v>584</v>
      </c>
      <c r="G95" s="76" t="s">
        <v>591</v>
      </c>
      <c r="J95" s="76" t="s">
        <v>812</v>
      </c>
      <c r="K95" s="76" t="s">
        <v>812</v>
      </c>
      <c r="L95" s="76" t="s">
        <v>897</v>
      </c>
      <c r="M95" s="76" t="s">
        <v>809</v>
      </c>
      <c r="N95" s="76">
        <v>20.727589999999999</v>
      </c>
      <c r="O95" s="76">
        <v>92.969350000000006</v>
      </c>
      <c r="P95" s="666" t="s">
        <v>813</v>
      </c>
      <c r="Q95" s="76" t="s">
        <v>794</v>
      </c>
      <c r="R95" s="131">
        <v>112</v>
      </c>
      <c r="S95" s="671">
        <v>738</v>
      </c>
      <c r="T95" s="137"/>
      <c r="U95" s="133"/>
      <c r="V95" s="76" t="s">
        <v>591</v>
      </c>
      <c r="W95" s="666"/>
    </row>
    <row r="96" spans="1:23" s="76" customFormat="1" ht="14.25" customHeight="1">
      <c r="A96" s="671" t="s">
        <v>3014</v>
      </c>
      <c r="B96" s="674" t="s">
        <v>320</v>
      </c>
      <c r="C96" s="675" t="s">
        <v>587</v>
      </c>
      <c r="D96" s="669" t="s">
        <v>1693</v>
      </c>
      <c r="E96" s="76">
        <v>196951</v>
      </c>
      <c r="J96" s="76" t="s">
        <v>812</v>
      </c>
      <c r="K96" s="76" t="s">
        <v>812</v>
      </c>
      <c r="L96" s="76" t="s">
        <v>812</v>
      </c>
      <c r="M96" s="76" t="s">
        <v>312</v>
      </c>
      <c r="N96" s="76">
        <v>20.723630910000001</v>
      </c>
      <c r="O96" s="76">
        <v>92.974327090000003</v>
      </c>
      <c r="P96" s="76" t="s">
        <v>813</v>
      </c>
      <c r="Q96" s="76" t="s">
        <v>794</v>
      </c>
      <c r="R96" s="678"/>
      <c r="S96" s="671"/>
      <c r="T96" s="137"/>
      <c r="U96" s="133"/>
      <c r="V96" s="76" t="s">
        <v>587</v>
      </c>
    </row>
    <row r="97" spans="1:23" s="76" customFormat="1" ht="14.25" customHeight="1">
      <c r="A97" s="674" t="s">
        <v>3014</v>
      </c>
      <c r="B97" s="674" t="s">
        <v>320</v>
      </c>
      <c r="C97" s="675" t="s">
        <v>3204</v>
      </c>
      <c r="D97" s="669"/>
      <c r="E97" s="76">
        <v>196981</v>
      </c>
      <c r="J97" s="76" t="s">
        <v>3028</v>
      </c>
      <c r="K97" s="666" t="s">
        <v>2942</v>
      </c>
      <c r="L97" s="666" t="s">
        <v>2942</v>
      </c>
      <c r="N97" s="76">
        <v>20.656810760498001</v>
      </c>
      <c r="O97" s="76">
        <v>93.029953002929702</v>
      </c>
      <c r="R97" s="678"/>
      <c r="S97" s="132"/>
      <c r="T97" s="137">
        <v>43591</v>
      </c>
      <c r="U97" s="678"/>
      <c r="W97" s="670"/>
    </row>
    <row r="98" spans="1:23" s="76" customFormat="1" ht="14.25" customHeight="1">
      <c r="A98" s="671" t="s">
        <v>3014</v>
      </c>
      <c r="B98" s="666" t="s">
        <v>330</v>
      </c>
      <c r="C98" s="666" t="s">
        <v>890</v>
      </c>
      <c r="D98" s="760" t="s">
        <v>1693</v>
      </c>
      <c r="E98" s="76">
        <v>197171</v>
      </c>
      <c r="F98" s="693" t="s">
        <v>534</v>
      </c>
      <c r="J98" s="76" t="s">
        <v>812</v>
      </c>
      <c r="K98" s="76" t="s">
        <v>812</v>
      </c>
      <c r="L98" s="666" t="s">
        <v>812</v>
      </c>
      <c r="N98" s="76">
        <v>20.225250240000001</v>
      </c>
      <c r="O98" s="76">
        <v>93.418876650000001</v>
      </c>
      <c r="P98" s="666" t="s">
        <v>813</v>
      </c>
      <c r="R98" s="131"/>
      <c r="S98" s="671"/>
      <c r="T98" s="137"/>
      <c r="U98" s="133"/>
      <c r="V98" s="76" t="s">
        <v>891</v>
      </c>
      <c r="W98" s="666"/>
    </row>
    <row r="99" spans="1:23" s="76" customFormat="1" ht="14.25" customHeight="1">
      <c r="A99" s="671" t="s">
        <v>3014</v>
      </c>
      <c r="B99" s="666" t="s">
        <v>330</v>
      </c>
      <c r="C99" s="666" t="s">
        <v>2910</v>
      </c>
      <c r="D99" s="760"/>
      <c r="E99" s="76">
        <v>197034</v>
      </c>
      <c r="J99" s="76" t="s">
        <v>812</v>
      </c>
      <c r="K99" s="76" t="s">
        <v>812</v>
      </c>
      <c r="L99" s="76" t="s">
        <v>812</v>
      </c>
      <c r="R99" s="670"/>
      <c r="S99" s="132"/>
      <c r="T99" s="137"/>
      <c r="U99" s="133"/>
      <c r="W99" s="666"/>
    </row>
    <row r="100" spans="1:23" s="76" customFormat="1" ht="14.25" customHeight="1">
      <c r="A100" s="671" t="s">
        <v>3014</v>
      </c>
      <c r="B100" s="666" t="s">
        <v>330</v>
      </c>
      <c r="C100" s="666" t="s">
        <v>2907</v>
      </c>
      <c r="D100" s="760"/>
      <c r="E100" s="76">
        <v>197020</v>
      </c>
      <c r="J100" s="76" t="s">
        <v>812</v>
      </c>
      <c r="K100" s="76" t="s">
        <v>812</v>
      </c>
      <c r="L100" s="76" t="s">
        <v>812</v>
      </c>
      <c r="R100" s="670"/>
      <c r="S100" s="671"/>
      <c r="T100" s="137"/>
      <c r="U100" s="133"/>
    </row>
    <row r="101" spans="1:23" s="76" customFormat="1" ht="14.25" customHeight="1">
      <c r="A101" s="671" t="s">
        <v>3014</v>
      </c>
      <c r="B101" s="666" t="s">
        <v>330</v>
      </c>
      <c r="C101" s="76" t="s">
        <v>2925</v>
      </c>
      <c r="D101" s="760"/>
      <c r="E101" s="666">
        <v>220651</v>
      </c>
      <c r="J101" s="76" t="s">
        <v>812</v>
      </c>
      <c r="K101" s="76" t="s">
        <v>812</v>
      </c>
      <c r="L101" s="76" t="s">
        <v>812</v>
      </c>
      <c r="N101" s="666"/>
      <c r="O101" s="666"/>
      <c r="R101" s="131"/>
      <c r="S101" s="671"/>
      <c r="T101" s="137"/>
      <c r="U101" s="133"/>
    </row>
    <row r="102" spans="1:23" s="76" customFormat="1" ht="14.25" customHeight="1">
      <c r="A102" s="671" t="s">
        <v>3014</v>
      </c>
      <c r="B102" s="666" t="s">
        <v>330</v>
      </c>
      <c r="C102" s="76" t="s">
        <v>913</v>
      </c>
      <c r="D102" s="760" t="s">
        <v>3138</v>
      </c>
      <c r="E102" s="76" t="s">
        <v>1410</v>
      </c>
      <c r="F102" s="76" t="s">
        <v>894</v>
      </c>
      <c r="G102" s="76" t="s">
        <v>913</v>
      </c>
      <c r="J102" s="76" t="s">
        <v>812</v>
      </c>
      <c r="K102" s="76" t="s">
        <v>812</v>
      </c>
      <c r="L102" s="76" t="s">
        <v>897</v>
      </c>
      <c r="M102" s="76" t="s">
        <v>809</v>
      </c>
      <c r="N102" s="76">
        <v>20.480898</v>
      </c>
      <c r="O102" s="76">
        <v>93.299485000000004</v>
      </c>
      <c r="P102" s="76" t="s">
        <v>813</v>
      </c>
      <c r="R102" s="131">
        <v>87</v>
      </c>
      <c r="S102" s="132">
        <v>444</v>
      </c>
      <c r="T102" s="137"/>
      <c r="U102" s="133" t="s">
        <v>874</v>
      </c>
      <c r="V102" s="76" t="s">
        <v>913</v>
      </c>
      <c r="W102" s="666"/>
    </row>
    <row r="103" spans="1:23" s="76" customFormat="1" ht="14.25" customHeight="1">
      <c r="A103" s="671" t="s">
        <v>3014</v>
      </c>
      <c r="B103" s="666" t="s">
        <v>330</v>
      </c>
      <c r="C103" s="666" t="s">
        <v>2919</v>
      </c>
      <c r="D103" s="760"/>
      <c r="E103" s="76">
        <v>197090</v>
      </c>
      <c r="J103" s="76" t="s">
        <v>812</v>
      </c>
      <c r="K103" s="76" t="s">
        <v>812</v>
      </c>
      <c r="L103" s="666" t="s">
        <v>812</v>
      </c>
      <c r="P103" s="666"/>
      <c r="R103" s="131"/>
      <c r="S103" s="671"/>
      <c r="T103" s="137"/>
      <c r="U103" s="672"/>
      <c r="W103" s="666"/>
    </row>
    <row r="104" spans="1:23" s="76" customFormat="1" ht="14.25" customHeight="1">
      <c r="A104" s="132" t="s">
        <v>3014</v>
      </c>
      <c r="B104" s="666" t="s">
        <v>330</v>
      </c>
      <c r="C104" s="666" t="s">
        <v>480</v>
      </c>
      <c r="D104" s="760" t="s">
        <v>1693</v>
      </c>
      <c r="E104" s="666">
        <v>196994</v>
      </c>
      <c r="J104" s="76" t="s">
        <v>812</v>
      </c>
      <c r="K104" s="76" t="s">
        <v>812</v>
      </c>
      <c r="L104" s="76" t="s">
        <v>812</v>
      </c>
      <c r="M104" s="76" t="s">
        <v>903</v>
      </c>
      <c r="N104" s="666">
        <v>20.394809720000001</v>
      </c>
      <c r="O104" s="666">
        <v>93.251609799999997</v>
      </c>
      <c r="P104" s="666" t="s">
        <v>813</v>
      </c>
      <c r="Q104" s="76" t="s">
        <v>794</v>
      </c>
      <c r="R104" s="670"/>
      <c r="S104" s="671"/>
      <c r="T104" s="137"/>
      <c r="U104" s="133"/>
      <c r="V104" s="76" t="s">
        <v>904</v>
      </c>
      <c r="W104" s="666"/>
    </row>
    <row r="105" spans="1:23" s="76" customFormat="1" ht="14.25" customHeight="1">
      <c r="A105" s="671" t="s">
        <v>3014</v>
      </c>
      <c r="B105" s="666" t="s">
        <v>330</v>
      </c>
      <c r="C105" s="666" t="s">
        <v>331</v>
      </c>
      <c r="D105" s="760" t="s">
        <v>1693</v>
      </c>
      <c r="E105" s="76">
        <v>197174</v>
      </c>
      <c r="F105" s="666"/>
      <c r="J105" s="76" t="s">
        <v>812</v>
      </c>
      <c r="K105" s="666" t="s">
        <v>812</v>
      </c>
      <c r="L105" s="666" t="s">
        <v>812</v>
      </c>
      <c r="M105" s="76" t="s">
        <v>312</v>
      </c>
      <c r="P105" s="76" t="s">
        <v>813</v>
      </c>
      <c r="Q105" s="76" t="s">
        <v>794</v>
      </c>
      <c r="R105" s="670"/>
      <c r="S105" s="671"/>
      <c r="T105" s="137" t="s">
        <v>819</v>
      </c>
      <c r="U105" s="133"/>
      <c r="W105" s="666"/>
    </row>
    <row r="106" spans="1:23" s="76" customFormat="1" ht="14.25" customHeight="1">
      <c r="A106" s="671" t="s">
        <v>3014</v>
      </c>
      <c r="B106" s="666" t="s">
        <v>330</v>
      </c>
      <c r="C106" s="666" t="s">
        <v>2923</v>
      </c>
      <c r="D106" s="760"/>
      <c r="E106" s="76">
        <v>197099</v>
      </c>
      <c r="J106" s="76" t="s">
        <v>812</v>
      </c>
      <c r="K106" s="76" t="s">
        <v>812</v>
      </c>
      <c r="L106" s="76" t="s">
        <v>812</v>
      </c>
      <c r="P106" s="666"/>
      <c r="R106" s="131"/>
      <c r="S106" s="671"/>
      <c r="T106" s="137"/>
      <c r="U106" s="672"/>
      <c r="W106" s="666"/>
    </row>
    <row r="107" spans="1:23" s="76" customFormat="1" ht="14.25" customHeight="1">
      <c r="A107" s="671" t="s">
        <v>3014</v>
      </c>
      <c r="B107" s="666" t="s">
        <v>330</v>
      </c>
      <c r="C107" s="666" t="s">
        <v>885</v>
      </c>
      <c r="D107" s="760" t="s">
        <v>1693</v>
      </c>
      <c r="E107" s="76">
        <v>197176</v>
      </c>
      <c r="F107" s="76" t="s">
        <v>534</v>
      </c>
      <c r="J107" s="76" t="s">
        <v>812</v>
      </c>
      <c r="K107" s="76" t="s">
        <v>812</v>
      </c>
      <c r="L107" s="76" t="s">
        <v>812</v>
      </c>
      <c r="M107" s="76" t="s">
        <v>809</v>
      </c>
      <c r="N107" s="76">
        <v>20.203340529999998</v>
      </c>
      <c r="O107" s="76">
        <v>93.426139829999997</v>
      </c>
      <c r="P107" s="76" t="s">
        <v>813</v>
      </c>
      <c r="R107" s="670"/>
      <c r="S107" s="671"/>
      <c r="T107" s="137"/>
      <c r="U107" s="666"/>
      <c r="V107" s="76" t="s">
        <v>886</v>
      </c>
    </row>
    <row r="108" spans="1:23" s="76" customFormat="1" ht="14.25" customHeight="1">
      <c r="A108" s="671" t="s">
        <v>3014</v>
      </c>
      <c r="B108" s="666" t="s">
        <v>330</v>
      </c>
      <c r="C108" s="666" t="s">
        <v>2928</v>
      </c>
      <c r="D108" s="760"/>
      <c r="E108" s="666">
        <v>197111</v>
      </c>
      <c r="F108" s="666"/>
      <c r="G108" s="666"/>
      <c r="H108" s="666"/>
      <c r="I108" s="666"/>
      <c r="J108" s="76" t="s">
        <v>812</v>
      </c>
      <c r="K108" s="666" t="s">
        <v>812</v>
      </c>
      <c r="L108" s="666" t="s">
        <v>812</v>
      </c>
      <c r="R108" s="670"/>
      <c r="S108" s="671"/>
      <c r="T108" s="137"/>
      <c r="U108" s="133"/>
    </row>
    <row r="109" spans="1:23" s="76" customFormat="1" ht="14.25" customHeight="1">
      <c r="A109" s="674" t="s">
        <v>3014</v>
      </c>
      <c r="B109" s="674" t="s">
        <v>330</v>
      </c>
      <c r="C109" s="675" t="s">
        <v>3165</v>
      </c>
      <c r="D109" s="669"/>
      <c r="J109" s="76" t="s">
        <v>3028</v>
      </c>
      <c r="K109" s="76" t="s">
        <v>2942</v>
      </c>
      <c r="L109" s="76" t="s">
        <v>2942</v>
      </c>
      <c r="R109" s="678"/>
      <c r="S109" s="671"/>
      <c r="T109" s="137">
        <v>43591</v>
      </c>
      <c r="U109" s="678"/>
      <c r="W109" s="670"/>
    </row>
    <row r="110" spans="1:23" s="76" customFormat="1" ht="14.25" customHeight="1">
      <c r="A110" s="671" t="s">
        <v>3014</v>
      </c>
      <c r="B110" s="666" t="s">
        <v>330</v>
      </c>
      <c r="C110" s="666" t="s">
        <v>2916</v>
      </c>
      <c r="D110" s="760"/>
      <c r="E110" s="76">
        <v>197042</v>
      </c>
      <c r="J110" s="76" t="s">
        <v>812</v>
      </c>
      <c r="K110" s="76" t="s">
        <v>812</v>
      </c>
      <c r="L110" s="76" t="s">
        <v>812</v>
      </c>
      <c r="R110" s="131"/>
      <c r="S110" s="671"/>
      <c r="T110" s="137"/>
      <c r="U110" s="133"/>
    </row>
    <row r="111" spans="1:23" s="76" customFormat="1" ht="14.25" customHeight="1">
      <c r="A111" s="671" t="s">
        <v>3014</v>
      </c>
      <c r="B111" s="666" t="s">
        <v>330</v>
      </c>
      <c r="C111" s="666" t="s">
        <v>482</v>
      </c>
      <c r="D111" s="760" t="s">
        <v>1693</v>
      </c>
      <c r="E111" s="76">
        <v>196996</v>
      </c>
      <c r="J111" s="76" t="s">
        <v>812</v>
      </c>
      <c r="K111" s="76" t="s">
        <v>812</v>
      </c>
      <c r="L111" s="76" t="s">
        <v>812</v>
      </c>
      <c r="M111" s="76" t="s">
        <v>312</v>
      </c>
      <c r="N111" s="76">
        <v>20.398889539999999</v>
      </c>
      <c r="O111" s="76">
        <v>93.25405121</v>
      </c>
      <c r="P111" s="76" t="s">
        <v>813</v>
      </c>
      <c r="Q111" s="76" t="s">
        <v>794</v>
      </c>
      <c r="R111" s="670"/>
      <c r="S111" s="671"/>
      <c r="T111" s="137"/>
      <c r="U111" s="133"/>
      <c r="V111" s="76" t="s">
        <v>482</v>
      </c>
    </row>
    <row r="112" spans="1:23" s="76" customFormat="1" ht="14.25" customHeight="1">
      <c r="A112" s="671" t="s">
        <v>3014</v>
      </c>
      <c r="B112" s="666" t="s">
        <v>330</v>
      </c>
      <c r="C112" s="666" t="s">
        <v>2917</v>
      </c>
      <c r="D112" s="760"/>
      <c r="E112" s="76">
        <v>197043</v>
      </c>
      <c r="J112" s="76" t="s">
        <v>812</v>
      </c>
      <c r="K112" s="76" t="s">
        <v>812</v>
      </c>
      <c r="L112" s="76" t="s">
        <v>812</v>
      </c>
      <c r="R112" s="670"/>
      <c r="S112" s="132"/>
      <c r="T112" s="137"/>
      <c r="U112" s="133"/>
      <c r="W112" s="666"/>
    </row>
    <row r="113" spans="1:23" s="76" customFormat="1" ht="14.25" customHeight="1">
      <c r="A113" s="671" t="s">
        <v>3014</v>
      </c>
      <c r="B113" s="666" t="s">
        <v>330</v>
      </c>
      <c r="C113" s="666" t="s">
        <v>462</v>
      </c>
      <c r="D113" s="760" t="s">
        <v>1693</v>
      </c>
      <c r="E113" s="76">
        <v>220671</v>
      </c>
      <c r="J113" s="76" t="s">
        <v>812</v>
      </c>
      <c r="K113" s="76" t="s">
        <v>812</v>
      </c>
      <c r="L113" s="76" t="s">
        <v>812</v>
      </c>
      <c r="M113" s="76" t="s">
        <v>312</v>
      </c>
      <c r="N113" s="76">
        <v>20.218471529999999</v>
      </c>
      <c r="O113" s="76">
        <v>93.424331670000001</v>
      </c>
      <c r="P113" s="76" t="s">
        <v>813</v>
      </c>
      <c r="Q113" s="76" t="s">
        <v>794</v>
      </c>
      <c r="R113" s="670"/>
      <c r="S113" s="671"/>
      <c r="T113" s="137"/>
      <c r="U113" s="133"/>
      <c r="V113" s="76" t="s">
        <v>888</v>
      </c>
      <c r="W113" s="666"/>
    </row>
    <row r="114" spans="1:23" s="76" customFormat="1" ht="14.25" customHeight="1">
      <c r="A114" s="671" t="s">
        <v>3014</v>
      </c>
      <c r="B114" s="666" t="s">
        <v>330</v>
      </c>
      <c r="C114" s="666" t="s">
        <v>2905</v>
      </c>
      <c r="D114" s="760"/>
      <c r="E114" s="76">
        <v>197017</v>
      </c>
      <c r="J114" s="76" t="s">
        <v>812</v>
      </c>
      <c r="K114" s="76" t="s">
        <v>812</v>
      </c>
      <c r="L114" s="76" t="s">
        <v>812</v>
      </c>
      <c r="R114" s="131"/>
      <c r="S114" s="671"/>
      <c r="T114" s="137"/>
      <c r="U114" s="133"/>
    </row>
    <row r="115" spans="1:23" s="76" customFormat="1" ht="14.25" customHeight="1">
      <c r="A115" s="132" t="s">
        <v>3014</v>
      </c>
      <c r="B115" s="674" t="s">
        <v>330</v>
      </c>
      <c r="C115" s="675" t="s">
        <v>3156</v>
      </c>
      <c r="D115" s="669"/>
      <c r="E115" s="76">
        <v>197065</v>
      </c>
      <c r="J115" s="76" t="s">
        <v>3028</v>
      </c>
      <c r="K115" s="666" t="s">
        <v>2942</v>
      </c>
      <c r="L115" s="666" t="s">
        <v>2942</v>
      </c>
      <c r="N115" s="76">
        <v>20.593980789184599</v>
      </c>
      <c r="O115" s="76">
        <v>93.261528015136705</v>
      </c>
      <c r="R115" s="678"/>
      <c r="S115" s="132"/>
      <c r="T115" s="137">
        <v>43591</v>
      </c>
      <c r="U115" s="678"/>
      <c r="W115" s="670"/>
    </row>
    <row r="116" spans="1:23" s="76" customFormat="1" ht="14.25" customHeight="1">
      <c r="A116" s="671" t="s">
        <v>3014</v>
      </c>
      <c r="B116" s="666" t="s">
        <v>330</v>
      </c>
      <c r="C116" s="666" t="s">
        <v>2915</v>
      </c>
      <c r="D116" s="760"/>
      <c r="E116" s="76">
        <v>197041</v>
      </c>
      <c r="J116" s="76" t="s">
        <v>812</v>
      </c>
      <c r="K116" s="76" t="s">
        <v>812</v>
      </c>
      <c r="L116" s="76" t="s">
        <v>812</v>
      </c>
      <c r="R116" s="131"/>
      <c r="S116" s="132"/>
      <c r="T116" s="137"/>
      <c r="U116" s="133"/>
      <c r="W116" s="666"/>
    </row>
    <row r="117" spans="1:23" s="76" customFormat="1" ht="14.25" customHeight="1">
      <c r="A117" s="674" t="s">
        <v>3014</v>
      </c>
      <c r="B117" s="674" t="s">
        <v>330</v>
      </c>
      <c r="C117" s="675" t="s">
        <v>3185</v>
      </c>
      <c r="D117" s="669"/>
      <c r="J117" s="76" t="s">
        <v>3028</v>
      </c>
      <c r="K117" s="76" t="s">
        <v>2942</v>
      </c>
      <c r="L117" s="76" t="s">
        <v>2942</v>
      </c>
      <c r="R117" s="678"/>
      <c r="S117" s="671"/>
      <c r="T117" s="137">
        <v>43591</v>
      </c>
      <c r="U117" s="678"/>
      <c r="W117" s="670"/>
    </row>
    <row r="118" spans="1:23" s="76" customFormat="1" ht="14.25" customHeight="1">
      <c r="A118" s="671" t="s">
        <v>3014</v>
      </c>
      <c r="B118" s="666" t="s">
        <v>330</v>
      </c>
      <c r="C118" s="666" t="s">
        <v>2926</v>
      </c>
      <c r="D118" s="760"/>
      <c r="E118" s="76">
        <v>197103</v>
      </c>
      <c r="J118" s="76" t="s">
        <v>812</v>
      </c>
      <c r="K118" s="76" t="s">
        <v>812</v>
      </c>
      <c r="L118" s="76" t="s">
        <v>812</v>
      </c>
      <c r="P118" s="666"/>
      <c r="R118" s="670"/>
      <c r="S118" s="671"/>
      <c r="T118" s="137"/>
      <c r="U118" s="133"/>
      <c r="W118" s="666"/>
    </row>
    <row r="119" spans="1:23" s="76" customFormat="1" ht="14.25" customHeight="1">
      <c r="A119" s="671" t="s">
        <v>3014</v>
      </c>
      <c r="B119" s="666" t="s">
        <v>330</v>
      </c>
      <c r="C119" s="666" t="s">
        <v>2909</v>
      </c>
      <c r="D119" s="760"/>
      <c r="E119" s="76">
        <v>197028</v>
      </c>
      <c r="J119" s="76" t="s">
        <v>812</v>
      </c>
      <c r="K119" s="666" t="s">
        <v>812</v>
      </c>
      <c r="L119" s="666" t="s">
        <v>812</v>
      </c>
      <c r="P119" s="666"/>
      <c r="R119" s="131"/>
      <c r="S119" s="671"/>
      <c r="T119" s="137"/>
      <c r="U119" s="133"/>
    </row>
    <row r="120" spans="1:23" s="76" customFormat="1" ht="14.25" customHeight="1">
      <c r="A120" s="671" t="s">
        <v>3014</v>
      </c>
      <c r="B120" s="666" t="s">
        <v>330</v>
      </c>
      <c r="C120" s="666" t="s">
        <v>2908</v>
      </c>
      <c r="D120" s="760"/>
      <c r="E120" s="76">
        <v>197027</v>
      </c>
      <c r="J120" s="76" t="s">
        <v>812</v>
      </c>
      <c r="K120" s="666" t="s">
        <v>812</v>
      </c>
      <c r="L120" s="666" t="s">
        <v>812</v>
      </c>
      <c r="R120" s="131"/>
      <c r="S120" s="132"/>
      <c r="T120" s="137"/>
      <c r="U120" s="133"/>
    </row>
    <row r="121" spans="1:23" s="76" customFormat="1" ht="14.25" customHeight="1">
      <c r="A121" s="671" t="s">
        <v>3014</v>
      </c>
      <c r="B121" s="666" t="s">
        <v>330</v>
      </c>
      <c r="C121" s="666" t="s">
        <v>900</v>
      </c>
      <c r="D121" s="760" t="s">
        <v>3138</v>
      </c>
      <c r="E121" s="664" t="s">
        <v>1402</v>
      </c>
      <c r="F121" s="76" t="s">
        <v>1783</v>
      </c>
      <c r="G121" s="76" t="s">
        <v>1783</v>
      </c>
      <c r="J121" s="76" t="s">
        <v>812</v>
      </c>
      <c r="K121" s="76" t="s">
        <v>812</v>
      </c>
      <c r="L121" s="76" t="s">
        <v>897</v>
      </c>
      <c r="M121" s="76" t="s">
        <v>809</v>
      </c>
      <c r="N121" s="681">
        <v>20.377523</v>
      </c>
      <c r="O121" s="683">
        <v>93.271642</v>
      </c>
      <c r="P121" s="76" t="s">
        <v>813</v>
      </c>
      <c r="R121" s="131">
        <v>19</v>
      </c>
      <c r="S121" s="671">
        <v>142</v>
      </c>
      <c r="T121" s="137"/>
      <c r="U121" s="133" t="s">
        <v>874</v>
      </c>
      <c r="V121" s="76" t="s">
        <v>900</v>
      </c>
    </row>
    <row r="122" spans="1:23" s="76" customFormat="1" ht="14.25" customHeight="1">
      <c r="A122" s="671" t="s">
        <v>3014</v>
      </c>
      <c r="B122" s="666" t="s">
        <v>330</v>
      </c>
      <c r="C122" s="666" t="s">
        <v>676</v>
      </c>
      <c r="D122" s="760"/>
      <c r="E122" s="76">
        <v>197110</v>
      </c>
      <c r="F122" s="76" t="s">
        <v>3090</v>
      </c>
      <c r="J122" s="76" t="s">
        <v>812</v>
      </c>
      <c r="K122" s="76" t="s">
        <v>812</v>
      </c>
      <c r="L122" s="76" t="s">
        <v>812</v>
      </c>
      <c r="R122" s="131"/>
      <c r="S122" s="671"/>
      <c r="T122" s="137"/>
      <c r="U122" s="133"/>
    </row>
    <row r="123" spans="1:23" s="76" customFormat="1" ht="14.25" customHeight="1">
      <c r="A123" s="674" t="s">
        <v>3014</v>
      </c>
      <c r="B123" s="674" t="s">
        <v>330</v>
      </c>
      <c r="C123" s="675" t="s">
        <v>3164</v>
      </c>
      <c r="D123" s="669"/>
      <c r="E123" s="76">
        <v>197051</v>
      </c>
      <c r="J123" s="76" t="s">
        <v>3028</v>
      </c>
      <c r="K123" s="76" t="s">
        <v>2942</v>
      </c>
      <c r="L123" s="76" t="s">
        <v>2942</v>
      </c>
      <c r="N123" s="666">
        <v>20.599809646606399</v>
      </c>
      <c r="O123" s="666">
        <v>93.265541076660199</v>
      </c>
      <c r="R123" s="678"/>
      <c r="S123" s="671"/>
      <c r="T123" s="137">
        <v>43591</v>
      </c>
      <c r="U123" s="678"/>
      <c r="W123" s="670"/>
    </row>
    <row r="124" spans="1:23" s="76" customFormat="1" ht="14.25" customHeight="1">
      <c r="A124" s="671" t="s">
        <v>3014</v>
      </c>
      <c r="B124" s="668" t="s">
        <v>330</v>
      </c>
      <c r="C124" s="668" t="s">
        <v>894</v>
      </c>
      <c r="D124" s="760"/>
      <c r="E124" s="76">
        <v>197149</v>
      </c>
      <c r="F124" s="76" t="s">
        <v>894</v>
      </c>
      <c r="J124" s="76" t="s">
        <v>812</v>
      </c>
      <c r="K124" s="76" t="s">
        <v>812</v>
      </c>
      <c r="L124" s="76" t="s">
        <v>812</v>
      </c>
      <c r="R124" s="670"/>
      <c r="S124" s="671"/>
      <c r="T124" s="137"/>
      <c r="U124" s="133"/>
      <c r="W124" s="666"/>
    </row>
    <row r="125" spans="1:23" s="76" customFormat="1" ht="14.25" customHeight="1">
      <c r="A125" s="671" t="s">
        <v>3014</v>
      </c>
      <c r="B125" s="668" t="s">
        <v>330</v>
      </c>
      <c r="C125" s="668" t="s">
        <v>909</v>
      </c>
      <c r="D125" s="760" t="s">
        <v>3138</v>
      </c>
      <c r="E125" s="666" t="s">
        <v>1406</v>
      </c>
      <c r="F125" s="666" t="s">
        <v>1889</v>
      </c>
      <c r="G125" s="666" t="s">
        <v>1890</v>
      </c>
      <c r="H125" s="666"/>
      <c r="I125" s="666"/>
      <c r="J125" s="76" t="s">
        <v>812</v>
      </c>
      <c r="K125" s="76" t="s">
        <v>812</v>
      </c>
      <c r="L125" s="76" t="s">
        <v>897</v>
      </c>
      <c r="M125" s="666" t="s">
        <v>809</v>
      </c>
      <c r="N125" s="666">
        <v>20.407971</v>
      </c>
      <c r="O125" s="666">
        <v>93.313627999999994</v>
      </c>
      <c r="P125" s="76" t="s">
        <v>813</v>
      </c>
      <c r="Q125" s="666"/>
      <c r="R125" s="670">
        <v>228</v>
      </c>
      <c r="S125" s="671">
        <v>1377</v>
      </c>
      <c r="T125" s="690"/>
      <c r="U125" s="672" t="s">
        <v>874</v>
      </c>
      <c r="V125" s="666" t="s">
        <v>909</v>
      </c>
      <c r="W125" s="666"/>
    </row>
    <row r="126" spans="1:23" s="76" customFormat="1" ht="14.25" customHeight="1">
      <c r="A126" s="671" t="s">
        <v>3014</v>
      </c>
      <c r="B126" s="668" t="s">
        <v>330</v>
      </c>
      <c r="C126" s="668" t="s">
        <v>483</v>
      </c>
      <c r="D126" s="760" t="s">
        <v>3138</v>
      </c>
      <c r="E126" s="666" t="s">
        <v>1404</v>
      </c>
      <c r="F126" s="666" t="s">
        <v>480</v>
      </c>
      <c r="G126" s="666" t="s">
        <v>483</v>
      </c>
      <c r="H126" s="666"/>
      <c r="I126" s="666"/>
      <c r="J126" s="666" t="s">
        <v>812</v>
      </c>
      <c r="K126" s="666" t="s">
        <v>812</v>
      </c>
      <c r="L126" s="666" t="s">
        <v>897</v>
      </c>
      <c r="M126" s="666" t="s">
        <v>809</v>
      </c>
      <c r="N126" s="666">
        <v>20.39902</v>
      </c>
      <c r="O126" s="666">
        <v>93.249669999999995</v>
      </c>
      <c r="P126" s="666" t="s">
        <v>813</v>
      </c>
      <c r="Q126" s="666" t="s">
        <v>794</v>
      </c>
      <c r="R126" s="670">
        <v>86</v>
      </c>
      <c r="S126" s="671">
        <v>476</v>
      </c>
      <c r="T126" s="690"/>
      <c r="U126" s="672"/>
      <c r="V126" s="666" t="s">
        <v>908</v>
      </c>
      <c r="W126" s="666"/>
    </row>
    <row r="127" spans="1:23" s="76" customFormat="1" ht="14.25" customHeight="1">
      <c r="A127" s="671" t="s">
        <v>3014</v>
      </c>
      <c r="B127" s="668" t="s">
        <v>330</v>
      </c>
      <c r="C127" s="668" t="s">
        <v>2914</v>
      </c>
      <c r="D127" s="760"/>
      <c r="E127" s="76">
        <v>197039</v>
      </c>
      <c r="J127" s="76" t="s">
        <v>812</v>
      </c>
      <c r="K127" s="76" t="s">
        <v>812</v>
      </c>
      <c r="L127" s="76" t="s">
        <v>812</v>
      </c>
      <c r="R127" s="131"/>
      <c r="S127" s="132"/>
      <c r="T127" s="137"/>
      <c r="U127" s="133"/>
    </row>
    <row r="128" spans="1:23" s="76" customFormat="1" ht="14.25" customHeight="1">
      <c r="A128" s="671" t="s">
        <v>3014</v>
      </c>
      <c r="B128" s="668" t="s">
        <v>330</v>
      </c>
      <c r="C128" s="668" t="s">
        <v>1892</v>
      </c>
      <c r="D128" s="760"/>
      <c r="E128" s="76">
        <v>197023</v>
      </c>
      <c r="J128" s="76" t="s">
        <v>812</v>
      </c>
      <c r="K128" s="76" t="s">
        <v>812</v>
      </c>
      <c r="L128" s="76" t="s">
        <v>812</v>
      </c>
      <c r="R128" s="131"/>
      <c r="S128" s="671"/>
      <c r="T128" s="137"/>
      <c r="U128" s="133"/>
    </row>
    <row r="129" spans="1:23" s="76" customFormat="1" ht="14.25" customHeight="1">
      <c r="A129" s="671" t="s">
        <v>3014</v>
      </c>
      <c r="B129" s="668" t="s">
        <v>330</v>
      </c>
      <c r="C129" s="668" t="s">
        <v>2906</v>
      </c>
      <c r="D129" s="760"/>
      <c r="E129" s="76">
        <v>197022</v>
      </c>
      <c r="J129" s="76" t="s">
        <v>812</v>
      </c>
      <c r="K129" s="76" t="s">
        <v>812</v>
      </c>
      <c r="L129" s="76" t="s">
        <v>812</v>
      </c>
      <c r="O129" s="666"/>
      <c r="R129" s="670"/>
      <c r="S129" s="671"/>
      <c r="T129" s="137"/>
      <c r="U129" s="133"/>
      <c r="W129" s="666"/>
    </row>
    <row r="130" spans="1:23" s="76" customFormat="1" ht="14.25" customHeight="1">
      <c r="A130" s="671" t="s">
        <v>3014</v>
      </c>
      <c r="B130" s="668" t="s">
        <v>330</v>
      </c>
      <c r="C130" s="668" t="s">
        <v>2927</v>
      </c>
      <c r="D130" s="760"/>
      <c r="E130" s="76">
        <v>197114</v>
      </c>
      <c r="F130" s="76" t="s">
        <v>3090</v>
      </c>
      <c r="J130" s="76" t="s">
        <v>812</v>
      </c>
      <c r="K130" s="666" t="s">
        <v>812</v>
      </c>
      <c r="L130" s="666" t="s">
        <v>812</v>
      </c>
      <c r="R130" s="670"/>
      <c r="S130" s="132"/>
      <c r="T130" s="137"/>
      <c r="U130" s="133"/>
    </row>
    <row r="131" spans="1:23" s="76" customFormat="1" ht="14.25" customHeight="1">
      <c r="A131" s="671" t="s">
        <v>3014</v>
      </c>
      <c r="B131" s="668" t="s">
        <v>330</v>
      </c>
      <c r="C131" s="668" t="s">
        <v>910</v>
      </c>
      <c r="D131" s="760" t="s">
        <v>3138</v>
      </c>
      <c r="E131" s="76" t="s">
        <v>1408</v>
      </c>
      <c r="F131" s="76" t="s">
        <v>1891</v>
      </c>
      <c r="G131" s="76" t="s">
        <v>1892</v>
      </c>
      <c r="J131" s="76" t="s">
        <v>812</v>
      </c>
      <c r="K131" s="76" t="s">
        <v>812</v>
      </c>
      <c r="L131" s="76" t="s">
        <v>897</v>
      </c>
      <c r="M131" s="76" t="s">
        <v>312</v>
      </c>
      <c r="N131" s="76">
        <v>20.409645000000001</v>
      </c>
      <c r="O131" s="76">
        <v>93.314695</v>
      </c>
      <c r="P131" s="76" t="s">
        <v>813</v>
      </c>
      <c r="R131" s="670">
        <v>18</v>
      </c>
      <c r="S131" s="671">
        <v>72</v>
      </c>
      <c r="T131" s="137"/>
      <c r="U131" s="133" t="s">
        <v>874</v>
      </c>
      <c r="V131" s="76" t="s">
        <v>910</v>
      </c>
    </row>
    <row r="132" spans="1:23" s="76" customFormat="1" ht="14.25" customHeight="1">
      <c r="A132" s="671" t="s">
        <v>3014</v>
      </c>
      <c r="B132" s="666" t="s">
        <v>330</v>
      </c>
      <c r="C132" s="668" t="s">
        <v>508</v>
      </c>
      <c r="D132" s="760" t="s">
        <v>1693</v>
      </c>
      <c r="E132" s="76">
        <v>197067</v>
      </c>
      <c r="J132" s="76" t="s">
        <v>812</v>
      </c>
      <c r="K132" s="76" t="s">
        <v>812</v>
      </c>
      <c r="L132" s="76" t="s">
        <v>812</v>
      </c>
      <c r="M132" s="76" t="s">
        <v>312</v>
      </c>
      <c r="N132" s="76">
        <v>20.51997948</v>
      </c>
      <c r="O132" s="76">
        <v>93.277252200000007</v>
      </c>
      <c r="P132" s="76" t="s">
        <v>813</v>
      </c>
      <c r="Q132" s="76" t="s">
        <v>794</v>
      </c>
      <c r="R132" s="670"/>
      <c r="S132" s="671"/>
      <c r="T132" s="137"/>
      <c r="U132" s="133"/>
      <c r="W132" s="666"/>
    </row>
    <row r="133" spans="1:23" s="76" customFormat="1" ht="14.25" customHeight="1">
      <c r="A133" s="671" t="s">
        <v>3014</v>
      </c>
      <c r="B133" s="668" t="s">
        <v>330</v>
      </c>
      <c r="C133" s="668" t="s">
        <v>1151</v>
      </c>
      <c r="D133" s="760" t="s">
        <v>1693</v>
      </c>
      <c r="E133" s="76">
        <v>196999</v>
      </c>
      <c r="J133" s="76" t="s">
        <v>812</v>
      </c>
      <c r="K133" s="76" t="s">
        <v>812</v>
      </c>
      <c r="L133" s="76" t="s">
        <v>812</v>
      </c>
      <c r="M133" s="76" t="s">
        <v>809</v>
      </c>
      <c r="P133" s="76" t="s">
        <v>813</v>
      </c>
      <c r="R133" s="131"/>
      <c r="S133" s="671"/>
      <c r="T133" s="137"/>
      <c r="U133" s="133"/>
    </row>
    <row r="134" spans="1:23" s="76" customFormat="1" ht="14.25" customHeight="1">
      <c r="A134" s="671" t="s">
        <v>3014</v>
      </c>
      <c r="B134" s="668" t="s">
        <v>330</v>
      </c>
      <c r="C134" s="668" t="s">
        <v>481</v>
      </c>
      <c r="D134" s="760" t="s">
        <v>1693</v>
      </c>
      <c r="E134" s="76">
        <v>196998</v>
      </c>
      <c r="J134" s="76" t="s">
        <v>812</v>
      </c>
      <c r="K134" s="76" t="s">
        <v>812</v>
      </c>
      <c r="L134" s="76" t="s">
        <v>812</v>
      </c>
      <c r="M134" s="76" t="s">
        <v>312</v>
      </c>
      <c r="N134" s="76">
        <v>20.396680830000001</v>
      </c>
      <c r="O134" s="76">
        <v>93.252868649999996</v>
      </c>
      <c r="P134" s="76" t="s">
        <v>813</v>
      </c>
      <c r="Q134" s="76" t="s">
        <v>794</v>
      </c>
      <c r="R134" s="131"/>
      <c r="S134" s="132"/>
      <c r="T134" s="137"/>
      <c r="U134" s="133"/>
      <c r="V134" s="76" t="s">
        <v>905</v>
      </c>
    </row>
    <row r="135" spans="1:23" s="76" customFormat="1" ht="14.25" customHeight="1">
      <c r="A135" s="671" t="s">
        <v>3014</v>
      </c>
      <c r="B135" s="668" t="s">
        <v>330</v>
      </c>
      <c r="C135" s="668" t="s">
        <v>2930</v>
      </c>
      <c r="D135" s="760"/>
      <c r="E135" s="76">
        <v>220653</v>
      </c>
      <c r="J135" s="76" t="s">
        <v>812</v>
      </c>
      <c r="K135" s="76" t="s">
        <v>812</v>
      </c>
      <c r="L135" s="76" t="s">
        <v>812</v>
      </c>
      <c r="R135" s="131"/>
      <c r="S135" s="132"/>
      <c r="T135" s="137"/>
      <c r="U135" s="133"/>
    </row>
    <row r="136" spans="1:23" s="76" customFormat="1" ht="14.25" customHeight="1">
      <c r="A136" s="671" t="s">
        <v>3014</v>
      </c>
      <c r="B136" s="668" t="s">
        <v>330</v>
      </c>
      <c r="C136" s="668" t="s">
        <v>2921</v>
      </c>
      <c r="D136" s="760"/>
      <c r="E136" s="76">
        <v>197092</v>
      </c>
      <c r="J136" s="76" t="s">
        <v>812</v>
      </c>
      <c r="K136" s="76" t="s">
        <v>812</v>
      </c>
      <c r="L136" s="76" t="s">
        <v>812</v>
      </c>
      <c r="R136" s="670"/>
      <c r="S136" s="132"/>
      <c r="T136" s="137"/>
      <c r="U136" s="133"/>
      <c r="W136" s="666"/>
    </row>
    <row r="137" spans="1:23" s="76" customFormat="1" ht="14.25" customHeight="1">
      <c r="A137" s="671" t="s">
        <v>3014</v>
      </c>
      <c r="B137" s="668" t="s">
        <v>330</v>
      </c>
      <c r="C137" s="668" t="s">
        <v>2922</v>
      </c>
      <c r="D137" s="760"/>
      <c r="E137" s="76">
        <v>197100</v>
      </c>
      <c r="F137" s="666" t="s">
        <v>3091</v>
      </c>
      <c r="J137" s="76" t="s">
        <v>812</v>
      </c>
      <c r="K137" s="76" t="s">
        <v>812</v>
      </c>
      <c r="L137" s="76" t="s">
        <v>812</v>
      </c>
      <c r="Q137" s="666"/>
      <c r="R137" s="670"/>
      <c r="S137" s="671"/>
      <c r="T137" s="690"/>
      <c r="U137" s="133"/>
      <c r="W137" s="666"/>
    </row>
    <row r="138" spans="1:23" s="76" customFormat="1" ht="14.25" customHeight="1">
      <c r="A138" s="671" t="s">
        <v>3014</v>
      </c>
      <c r="B138" s="668" t="s">
        <v>330</v>
      </c>
      <c r="C138" s="668" t="s">
        <v>2913</v>
      </c>
      <c r="D138" s="760"/>
      <c r="E138" s="76">
        <v>197040</v>
      </c>
      <c r="J138" s="76" t="s">
        <v>812</v>
      </c>
      <c r="K138" s="76" t="s">
        <v>812</v>
      </c>
      <c r="L138" s="76" t="s">
        <v>812</v>
      </c>
      <c r="R138" s="670"/>
      <c r="S138" s="671"/>
      <c r="T138" s="137"/>
      <c r="U138" s="133"/>
      <c r="W138" s="666"/>
    </row>
    <row r="139" spans="1:23" s="76" customFormat="1" ht="14.25" customHeight="1">
      <c r="A139" s="671" t="s">
        <v>3014</v>
      </c>
      <c r="B139" s="668" t="s">
        <v>330</v>
      </c>
      <c r="C139" s="668" t="s">
        <v>2929</v>
      </c>
      <c r="D139" s="760"/>
      <c r="E139" s="76">
        <v>197112</v>
      </c>
      <c r="J139" s="76" t="s">
        <v>812</v>
      </c>
      <c r="K139" s="76" t="s">
        <v>812</v>
      </c>
      <c r="L139" s="666" t="s">
        <v>812</v>
      </c>
      <c r="R139" s="670"/>
      <c r="S139" s="132"/>
      <c r="T139" s="137"/>
      <c r="U139" s="133"/>
      <c r="W139" s="666"/>
    </row>
    <row r="140" spans="1:23" s="76" customFormat="1" ht="14.25" customHeight="1">
      <c r="A140" s="671" t="s">
        <v>3014</v>
      </c>
      <c r="B140" s="668" t="s">
        <v>330</v>
      </c>
      <c r="C140" s="86" t="s">
        <v>2920</v>
      </c>
      <c r="D140" s="760"/>
      <c r="E140" s="666"/>
      <c r="F140" s="666"/>
      <c r="G140" s="666"/>
      <c r="H140" s="666"/>
      <c r="I140" s="666"/>
      <c r="J140" s="76" t="s">
        <v>812</v>
      </c>
      <c r="K140" s="666" t="s">
        <v>812</v>
      </c>
      <c r="L140" s="666" t="s">
        <v>812</v>
      </c>
      <c r="M140" s="666"/>
      <c r="N140" s="666"/>
      <c r="O140" s="666"/>
      <c r="Q140" s="666"/>
      <c r="R140" s="670"/>
      <c r="S140" s="671"/>
      <c r="T140" s="690"/>
      <c r="U140" s="672"/>
      <c r="V140" s="666"/>
      <c r="W140" s="666"/>
    </row>
    <row r="141" spans="1:23" s="76" customFormat="1" ht="14.25" customHeight="1">
      <c r="A141" s="671" t="s">
        <v>3014</v>
      </c>
      <c r="B141" s="668" t="s">
        <v>330</v>
      </c>
      <c r="C141" s="668" t="s">
        <v>478</v>
      </c>
      <c r="D141" s="760" t="s">
        <v>3138</v>
      </c>
      <c r="E141" s="76" t="s">
        <v>1403</v>
      </c>
      <c r="F141" s="666" t="s">
        <v>1783</v>
      </c>
      <c r="G141" s="76" t="s">
        <v>1784</v>
      </c>
      <c r="J141" s="76" t="s">
        <v>812</v>
      </c>
      <c r="K141" s="666" t="s">
        <v>812</v>
      </c>
      <c r="L141" s="666" t="s">
        <v>897</v>
      </c>
      <c r="M141" s="76" t="s">
        <v>809</v>
      </c>
      <c r="N141" s="76">
        <v>20.392137999999999</v>
      </c>
      <c r="O141" s="76">
        <v>93.257272</v>
      </c>
      <c r="P141" s="76" t="s">
        <v>813</v>
      </c>
      <c r="Q141" s="76" t="s">
        <v>794</v>
      </c>
      <c r="R141" s="670">
        <v>203</v>
      </c>
      <c r="S141" s="671">
        <v>1420</v>
      </c>
      <c r="T141" s="137"/>
      <c r="U141" s="133"/>
      <c r="V141" s="76" t="s">
        <v>902</v>
      </c>
      <c r="W141" s="666"/>
    </row>
    <row r="142" spans="1:23" s="76" customFormat="1" ht="14.25" customHeight="1">
      <c r="A142" s="671" t="s">
        <v>3014</v>
      </c>
      <c r="B142" s="668" t="s">
        <v>330</v>
      </c>
      <c r="C142" s="668" t="s">
        <v>523</v>
      </c>
      <c r="D142" s="760" t="s">
        <v>3138</v>
      </c>
      <c r="E142" s="76" t="s">
        <v>1415</v>
      </c>
      <c r="F142" s="76" t="s">
        <v>1785</v>
      </c>
      <c r="G142" s="76" t="s">
        <v>1785</v>
      </c>
      <c r="J142" s="76" t="s">
        <v>812</v>
      </c>
      <c r="K142" s="76" t="s">
        <v>812</v>
      </c>
      <c r="L142" s="76" t="s">
        <v>897</v>
      </c>
      <c r="M142" s="76" t="s">
        <v>809</v>
      </c>
      <c r="N142" s="666">
        <v>20.587142</v>
      </c>
      <c r="O142" s="666">
        <v>93.258573999999996</v>
      </c>
      <c r="P142" s="76" t="s">
        <v>813</v>
      </c>
      <c r="R142" s="670">
        <v>275</v>
      </c>
      <c r="S142" s="671">
        <v>1707</v>
      </c>
      <c r="T142" s="137"/>
      <c r="U142" s="133" t="s">
        <v>874</v>
      </c>
      <c r="V142" s="76" t="s">
        <v>523</v>
      </c>
    </row>
    <row r="143" spans="1:23" s="76" customFormat="1" ht="14.25" customHeight="1">
      <c r="A143" s="671" t="s">
        <v>3014</v>
      </c>
      <c r="B143" s="668" t="s">
        <v>330</v>
      </c>
      <c r="C143" s="668" t="s">
        <v>2912</v>
      </c>
      <c r="D143" s="760"/>
      <c r="E143" s="666">
        <v>197033</v>
      </c>
      <c r="F143" s="666"/>
      <c r="G143" s="666"/>
      <c r="H143" s="666"/>
      <c r="I143" s="666"/>
      <c r="J143" s="76" t="s">
        <v>812</v>
      </c>
      <c r="K143" s="76" t="s">
        <v>812</v>
      </c>
      <c r="L143" s="76" t="s">
        <v>812</v>
      </c>
      <c r="M143" s="666"/>
      <c r="N143" s="666"/>
      <c r="O143" s="666"/>
      <c r="Q143" s="666"/>
      <c r="R143" s="670"/>
      <c r="S143" s="671"/>
      <c r="T143" s="690"/>
      <c r="U143" s="672"/>
      <c r="V143" s="666"/>
      <c r="W143" s="666"/>
    </row>
    <row r="144" spans="1:23" s="76" customFormat="1" ht="14.25" customHeight="1">
      <c r="A144" s="671" t="s">
        <v>3014</v>
      </c>
      <c r="B144" s="668" t="s">
        <v>330</v>
      </c>
      <c r="C144" s="668" t="s">
        <v>1784</v>
      </c>
      <c r="D144" s="760"/>
      <c r="E144" s="76">
        <v>196997</v>
      </c>
      <c r="F144" s="666"/>
      <c r="J144" s="76" t="s">
        <v>812</v>
      </c>
      <c r="K144" s="76" t="s">
        <v>812</v>
      </c>
      <c r="L144" s="76" t="s">
        <v>812</v>
      </c>
      <c r="R144" s="670"/>
      <c r="S144" s="671"/>
      <c r="T144" s="137"/>
      <c r="U144" s="133"/>
      <c r="W144" s="666"/>
    </row>
    <row r="145" spans="1:23" s="76" customFormat="1" ht="14.25" customHeight="1">
      <c r="A145" s="671" t="s">
        <v>3014</v>
      </c>
      <c r="B145" s="668" t="s">
        <v>330</v>
      </c>
      <c r="C145" s="668" t="s">
        <v>2911</v>
      </c>
      <c r="D145" s="760"/>
      <c r="E145" s="76">
        <v>197036</v>
      </c>
      <c r="J145" s="76" t="s">
        <v>812</v>
      </c>
      <c r="K145" s="76" t="s">
        <v>812</v>
      </c>
      <c r="L145" s="76" t="s">
        <v>812</v>
      </c>
      <c r="R145" s="131"/>
      <c r="S145" s="671"/>
      <c r="T145" s="137"/>
      <c r="U145" s="133"/>
    </row>
    <row r="146" spans="1:23" s="76" customFormat="1" ht="14.25" customHeight="1">
      <c r="A146" s="671" t="s">
        <v>3014</v>
      </c>
      <c r="B146" s="668" t="s">
        <v>330</v>
      </c>
      <c r="C146" s="668" t="s">
        <v>2918</v>
      </c>
      <c r="D146" s="760"/>
      <c r="E146" s="76">
        <v>197089</v>
      </c>
      <c r="J146" s="76" t="s">
        <v>812</v>
      </c>
      <c r="K146" s="76" t="s">
        <v>812</v>
      </c>
      <c r="L146" s="76" t="s">
        <v>812</v>
      </c>
      <c r="R146" s="131"/>
      <c r="S146" s="671"/>
      <c r="T146" s="137"/>
      <c r="U146" s="133"/>
      <c r="W146" s="666"/>
    </row>
    <row r="147" spans="1:23" s="76" customFormat="1" ht="14.25" customHeight="1">
      <c r="A147" s="671" t="s">
        <v>3014</v>
      </c>
      <c r="B147" s="668" t="s">
        <v>330</v>
      </c>
      <c r="C147" s="668" t="s">
        <v>2924</v>
      </c>
      <c r="D147" s="760"/>
      <c r="E147" s="76">
        <v>197102</v>
      </c>
      <c r="F147" s="666" t="s">
        <v>3092</v>
      </c>
      <c r="J147" s="76" t="s">
        <v>812</v>
      </c>
      <c r="K147" s="76" t="s">
        <v>812</v>
      </c>
      <c r="L147" s="76" t="s">
        <v>812</v>
      </c>
      <c r="R147" s="131"/>
      <c r="S147" s="671"/>
      <c r="T147" s="137"/>
      <c r="U147" s="133"/>
    </row>
    <row r="148" spans="1:23" s="76" customFormat="1" ht="14.25" customHeight="1">
      <c r="A148" s="674" t="s">
        <v>3014</v>
      </c>
      <c r="B148" s="674" t="s">
        <v>330</v>
      </c>
      <c r="C148" s="675" t="s">
        <v>3166</v>
      </c>
      <c r="D148" s="669"/>
      <c r="E148" s="76">
        <v>197047</v>
      </c>
      <c r="J148" s="76" t="s">
        <v>3028</v>
      </c>
      <c r="K148" s="76" t="s">
        <v>2942</v>
      </c>
      <c r="L148" s="76" t="s">
        <v>2942</v>
      </c>
      <c r="N148" s="76">
        <v>20.454280853271499</v>
      </c>
      <c r="O148" s="76">
        <v>93.281562805175795</v>
      </c>
      <c r="R148" s="678"/>
      <c r="S148" s="671"/>
      <c r="T148" s="137">
        <v>43591</v>
      </c>
      <c r="U148" s="678"/>
      <c r="W148" s="670"/>
    </row>
    <row r="149" spans="1:23" s="76" customFormat="1" ht="14.25" customHeight="1">
      <c r="A149" s="674" t="s">
        <v>3014</v>
      </c>
      <c r="B149" s="674" t="s">
        <v>330</v>
      </c>
      <c r="C149" s="675" t="s">
        <v>3186</v>
      </c>
      <c r="D149" s="669"/>
      <c r="E149" s="76">
        <v>197051</v>
      </c>
      <c r="J149" s="76" t="s">
        <v>3028</v>
      </c>
      <c r="K149" s="76" t="s">
        <v>2942</v>
      </c>
      <c r="L149" s="76" t="s">
        <v>2942</v>
      </c>
      <c r="N149" s="666">
        <v>20.599809646606399</v>
      </c>
      <c r="O149" s="666">
        <v>93.265541076660199</v>
      </c>
      <c r="R149" s="678"/>
      <c r="S149" s="132"/>
      <c r="T149" s="137">
        <v>43591</v>
      </c>
      <c r="U149" s="678"/>
      <c r="W149" s="670"/>
    </row>
    <row r="150" spans="1:23" s="76" customFormat="1" ht="14.25" customHeight="1">
      <c r="A150" s="671" t="s">
        <v>3014</v>
      </c>
      <c r="B150" s="666" t="s">
        <v>489</v>
      </c>
      <c r="C150" s="666" t="s">
        <v>566</v>
      </c>
      <c r="D150" s="760" t="s">
        <v>1693</v>
      </c>
      <c r="E150" s="666">
        <v>196643</v>
      </c>
      <c r="F150" s="666"/>
      <c r="G150" s="666"/>
      <c r="H150" s="666"/>
      <c r="I150" s="666"/>
      <c r="J150" s="666" t="s">
        <v>812</v>
      </c>
      <c r="K150" s="666" t="s">
        <v>812</v>
      </c>
      <c r="L150" s="666" t="s">
        <v>812</v>
      </c>
      <c r="M150" s="666" t="s">
        <v>809</v>
      </c>
      <c r="N150" s="666">
        <v>20.69722939</v>
      </c>
      <c r="O150" s="666">
        <v>93.044059750000002</v>
      </c>
      <c r="P150" s="76" t="s">
        <v>813</v>
      </c>
      <c r="Q150" s="666" t="s">
        <v>794</v>
      </c>
      <c r="R150" s="670"/>
      <c r="S150" s="671"/>
      <c r="T150" s="690"/>
      <c r="U150" s="672"/>
      <c r="V150" s="666" t="s">
        <v>943</v>
      </c>
      <c r="W150" s="666"/>
    </row>
    <row r="151" spans="1:23" s="76" customFormat="1" ht="14.25" customHeight="1">
      <c r="A151" s="674" t="s">
        <v>3014</v>
      </c>
      <c r="B151" s="674" t="s">
        <v>489</v>
      </c>
      <c r="C151" s="675" t="s">
        <v>3247</v>
      </c>
      <c r="D151" s="669"/>
      <c r="E151" s="76">
        <v>196610</v>
      </c>
      <c r="F151" s="666"/>
      <c r="J151" s="76" t="s">
        <v>3028</v>
      </c>
      <c r="K151" s="76" t="s">
        <v>2942</v>
      </c>
      <c r="L151" s="76" t="s">
        <v>2942</v>
      </c>
      <c r="N151" s="76">
        <v>20.710781097412099</v>
      </c>
      <c r="O151" s="76">
        <v>93.127502441406307</v>
      </c>
      <c r="R151" s="678"/>
      <c r="S151" s="671"/>
      <c r="T151" s="137">
        <v>43591</v>
      </c>
      <c r="U151" s="678"/>
      <c r="W151" s="670"/>
    </row>
    <row r="152" spans="1:23" s="76" customFormat="1" ht="14.25" customHeight="1">
      <c r="A152" s="674" t="s">
        <v>3014</v>
      </c>
      <c r="B152" s="674" t="s">
        <v>489</v>
      </c>
      <c r="C152" s="675" t="s">
        <v>3176</v>
      </c>
      <c r="D152" s="669"/>
      <c r="E152" s="76" t="s">
        <v>3248</v>
      </c>
      <c r="J152" s="76" t="s">
        <v>3028</v>
      </c>
      <c r="K152" s="76" t="s">
        <v>2942</v>
      </c>
      <c r="L152" s="76" t="s">
        <v>2942</v>
      </c>
      <c r="R152" s="678"/>
      <c r="S152" s="671"/>
      <c r="T152" s="137">
        <v>43591</v>
      </c>
      <c r="U152" s="678"/>
      <c r="W152" s="670"/>
    </row>
    <row r="153" spans="1:23" s="76" customFormat="1" ht="14.25" customHeight="1">
      <c r="A153" s="674" t="s">
        <v>3014</v>
      </c>
      <c r="B153" s="674" t="s">
        <v>489</v>
      </c>
      <c r="C153" s="675" t="s">
        <v>3177</v>
      </c>
      <c r="D153" s="669"/>
      <c r="E153" s="76" t="s">
        <v>3248</v>
      </c>
      <c r="J153" s="76" t="s">
        <v>3028</v>
      </c>
      <c r="K153" s="76" t="s">
        <v>2942</v>
      </c>
      <c r="L153" s="76" t="s">
        <v>2942</v>
      </c>
      <c r="R153" s="678"/>
      <c r="S153" s="671"/>
      <c r="T153" s="137">
        <v>43591</v>
      </c>
      <c r="U153" s="678"/>
      <c r="W153" s="670"/>
    </row>
    <row r="154" spans="1:23" s="76" customFormat="1" ht="14.25" customHeight="1">
      <c r="A154" s="674" t="s">
        <v>3014</v>
      </c>
      <c r="B154" s="674" t="s">
        <v>489</v>
      </c>
      <c r="C154" s="675" t="s">
        <v>3178</v>
      </c>
      <c r="D154" s="669"/>
      <c r="E154" s="666" t="s">
        <v>3248</v>
      </c>
      <c r="F154" s="666"/>
      <c r="J154" s="76" t="s">
        <v>3028</v>
      </c>
      <c r="K154" s="666" t="s">
        <v>2942</v>
      </c>
      <c r="L154" s="666" t="s">
        <v>2942</v>
      </c>
      <c r="R154" s="678"/>
      <c r="S154" s="671"/>
      <c r="T154" s="137">
        <v>43591</v>
      </c>
      <c r="U154" s="678"/>
      <c r="W154" s="670"/>
    </row>
    <row r="155" spans="1:23" s="76" customFormat="1" ht="14.25" customHeight="1">
      <c r="A155" s="674" t="s">
        <v>3014</v>
      </c>
      <c r="B155" s="674" t="s">
        <v>489</v>
      </c>
      <c r="C155" s="675" t="s">
        <v>3179</v>
      </c>
      <c r="D155" s="669"/>
      <c r="E155" s="76" t="s">
        <v>3248</v>
      </c>
      <c r="F155" s="666"/>
      <c r="J155" s="76" t="s">
        <v>3028</v>
      </c>
      <c r="K155" s="666" t="s">
        <v>2942</v>
      </c>
      <c r="L155" s="666" t="s">
        <v>2942</v>
      </c>
      <c r="R155" s="678"/>
      <c r="S155" s="671"/>
      <c r="T155" s="137">
        <v>43591</v>
      </c>
      <c r="U155" s="678"/>
      <c r="W155" s="670"/>
    </row>
    <row r="156" spans="1:23" s="76" customFormat="1" ht="14.25" customHeight="1">
      <c r="A156" s="674" t="s">
        <v>3014</v>
      </c>
      <c r="B156" s="674" t="s">
        <v>489</v>
      </c>
      <c r="C156" s="675" t="s">
        <v>3180</v>
      </c>
      <c r="D156" s="669"/>
      <c r="E156" s="666" t="s">
        <v>3248</v>
      </c>
      <c r="J156" s="76" t="s">
        <v>3028</v>
      </c>
      <c r="K156" s="76" t="s">
        <v>2942</v>
      </c>
      <c r="L156" s="76" t="s">
        <v>2942</v>
      </c>
      <c r="R156" s="678"/>
      <c r="S156" s="671"/>
      <c r="T156" s="137">
        <v>43591</v>
      </c>
      <c r="U156" s="678"/>
      <c r="W156" s="670"/>
    </row>
    <row r="157" spans="1:23" s="76" customFormat="1" ht="14.25" customHeight="1">
      <c r="A157" s="132" t="s">
        <v>3014</v>
      </c>
      <c r="B157" s="666" t="s">
        <v>489</v>
      </c>
      <c r="C157" s="666" t="s">
        <v>501</v>
      </c>
      <c r="D157" s="760" t="s">
        <v>1693</v>
      </c>
      <c r="E157" s="76">
        <v>196508</v>
      </c>
      <c r="F157" s="666"/>
      <c r="J157" s="76" t="s">
        <v>812</v>
      </c>
      <c r="K157" s="666" t="s">
        <v>812</v>
      </c>
      <c r="L157" s="666" t="s">
        <v>812</v>
      </c>
      <c r="M157" s="76" t="s">
        <v>312</v>
      </c>
      <c r="N157" s="76">
        <v>20.489089969999998</v>
      </c>
      <c r="O157" s="76">
        <v>93.211738589999996</v>
      </c>
      <c r="P157" s="76" t="s">
        <v>813</v>
      </c>
      <c r="Q157" s="76" t="s">
        <v>794</v>
      </c>
      <c r="R157" s="670"/>
      <c r="S157" s="671"/>
      <c r="T157" s="137"/>
      <c r="U157" s="133"/>
      <c r="V157" s="76" t="s">
        <v>914</v>
      </c>
    </row>
    <row r="158" spans="1:23" s="76" customFormat="1" ht="14.25" customHeight="1">
      <c r="A158" s="671" t="s">
        <v>3014</v>
      </c>
      <c r="B158" s="666" t="s">
        <v>489</v>
      </c>
      <c r="C158" s="666" t="s">
        <v>2883</v>
      </c>
      <c r="D158" s="760"/>
      <c r="F158" s="666"/>
      <c r="J158" s="76" t="s">
        <v>3028</v>
      </c>
      <c r="K158" s="76" t="s">
        <v>2942</v>
      </c>
      <c r="L158" s="76" t="s">
        <v>2942</v>
      </c>
      <c r="R158" s="670"/>
      <c r="S158" s="671"/>
      <c r="T158" s="137"/>
      <c r="U158" s="133"/>
    </row>
    <row r="159" spans="1:23" s="76" customFormat="1" ht="14.25" customHeight="1">
      <c r="A159" s="674" t="s">
        <v>3014</v>
      </c>
      <c r="B159" s="674" t="s">
        <v>489</v>
      </c>
      <c r="C159" s="675" t="s">
        <v>569</v>
      </c>
      <c r="D159" s="669"/>
      <c r="J159" s="76" t="s">
        <v>3028</v>
      </c>
      <c r="K159" s="76" t="s">
        <v>2942</v>
      </c>
      <c r="L159" s="76" t="s">
        <v>2942</v>
      </c>
      <c r="R159" s="678"/>
      <c r="S159" s="671"/>
      <c r="T159" s="137">
        <v>43591</v>
      </c>
      <c r="U159" s="678"/>
      <c r="W159" s="670"/>
    </row>
    <row r="160" spans="1:23" s="76" customFormat="1" ht="14.25" customHeight="1">
      <c r="A160" s="674" t="s">
        <v>3014</v>
      </c>
      <c r="B160" s="674" t="s">
        <v>489</v>
      </c>
      <c r="C160" s="675" t="s">
        <v>3249</v>
      </c>
      <c r="D160" s="669"/>
      <c r="E160" s="76">
        <v>196475</v>
      </c>
      <c r="J160" s="76" t="s">
        <v>3028</v>
      </c>
      <c r="K160" s="76" t="s">
        <v>2942</v>
      </c>
      <c r="L160" s="76" t="s">
        <v>2942</v>
      </c>
      <c r="R160" s="678"/>
      <c r="S160" s="671"/>
      <c r="T160" s="137">
        <v>43591</v>
      </c>
      <c r="U160" s="678"/>
      <c r="W160" s="670"/>
    </row>
    <row r="161" spans="1:23" s="76" customFormat="1" ht="14.25" customHeight="1">
      <c r="A161" s="674" t="s">
        <v>3014</v>
      </c>
      <c r="B161" s="674" t="s">
        <v>489</v>
      </c>
      <c r="C161" s="675" t="s">
        <v>3183</v>
      </c>
      <c r="D161" s="669"/>
      <c r="J161" s="76" t="s">
        <v>3028</v>
      </c>
      <c r="K161" s="76" t="s">
        <v>2942</v>
      </c>
      <c r="L161" s="76" t="s">
        <v>2942</v>
      </c>
      <c r="R161" s="678"/>
      <c r="S161" s="671"/>
      <c r="T161" s="137">
        <v>43591</v>
      </c>
      <c r="U161" s="678"/>
      <c r="W161" s="670"/>
    </row>
    <row r="162" spans="1:23" s="76" customFormat="1" ht="14.25" customHeight="1">
      <c r="A162" s="671" t="s">
        <v>3014</v>
      </c>
      <c r="B162" s="666" t="s">
        <v>489</v>
      </c>
      <c r="C162" s="666" t="s">
        <v>2876</v>
      </c>
      <c r="D162" s="760"/>
      <c r="J162" s="76" t="s">
        <v>3028</v>
      </c>
      <c r="K162" s="76" t="s">
        <v>2942</v>
      </c>
      <c r="L162" s="76" t="s">
        <v>3027</v>
      </c>
      <c r="R162" s="670"/>
      <c r="S162" s="671"/>
      <c r="T162" s="137"/>
      <c r="U162" s="133" t="s">
        <v>2872</v>
      </c>
    </row>
    <row r="163" spans="1:23" s="76" customFormat="1" ht="14.25" customHeight="1">
      <c r="A163" s="671" t="s">
        <v>3014</v>
      </c>
      <c r="B163" s="666" t="s">
        <v>489</v>
      </c>
      <c r="C163" s="666" t="s">
        <v>492</v>
      </c>
      <c r="D163" s="760" t="s">
        <v>1693</v>
      </c>
      <c r="E163" s="76">
        <v>196496</v>
      </c>
      <c r="J163" s="76" t="s">
        <v>812</v>
      </c>
      <c r="K163" s="76" t="s">
        <v>812</v>
      </c>
      <c r="L163" s="76" t="s">
        <v>812</v>
      </c>
      <c r="M163" s="76" t="s">
        <v>312</v>
      </c>
      <c r="N163" s="76">
        <v>20.46477509</v>
      </c>
      <c r="O163" s="76">
        <v>93.269363400000003</v>
      </c>
      <c r="P163" s="76" t="s">
        <v>813</v>
      </c>
      <c r="Q163" s="76" t="s">
        <v>794</v>
      </c>
      <c r="R163" s="670"/>
      <c r="S163" s="671"/>
      <c r="T163" s="137"/>
      <c r="U163" s="133"/>
      <c r="V163" s="76" t="s">
        <v>492</v>
      </c>
    </row>
    <row r="164" spans="1:23" s="76" customFormat="1" ht="14.25" customHeight="1">
      <c r="A164" s="671" t="s">
        <v>3014</v>
      </c>
      <c r="B164" s="666" t="s">
        <v>489</v>
      </c>
      <c r="C164" s="666" t="s">
        <v>490</v>
      </c>
      <c r="D164" s="760" t="s">
        <v>1693</v>
      </c>
      <c r="E164" s="76">
        <v>220626</v>
      </c>
      <c r="F164" s="666"/>
      <c r="J164" s="76" t="s">
        <v>812</v>
      </c>
      <c r="K164" s="76" t="s">
        <v>812</v>
      </c>
      <c r="L164" s="76" t="s">
        <v>812</v>
      </c>
      <c r="M164" s="76" t="s">
        <v>312</v>
      </c>
      <c r="N164" s="76">
        <v>20.46252441</v>
      </c>
      <c r="O164" s="76">
        <v>93.257278439999993</v>
      </c>
      <c r="P164" s="666" t="s">
        <v>813</v>
      </c>
      <c r="Q164" s="76" t="s">
        <v>794</v>
      </c>
      <c r="R164" s="670"/>
      <c r="S164" s="671"/>
      <c r="T164" s="137"/>
      <c r="U164" s="133"/>
      <c r="V164" s="76" t="s">
        <v>912</v>
      </c>
      <c r="W164" s="666"/>
    </row>
    <row r="165" spans="1:23" s="76" customFormat="1" ht="14.25" customHeight="1">
      <c r="A165" s="671" t="s">
        <v>3014</v>
      </c>
      <c r="B165" s="928" t="s">
        <v>489</v>
      </c>
      <c r="C165" s="928" t="s">
        <v>3250</v>
      </c>
      <c r="D165" s="760"/>
      <c r="E165" s="76">
        <v>196661</v>
      </c>
      <c r="J165" s="76" t="s">
        <v>3028</v>
      </c>
      <c r="K165" s="76" t="s">
        <v>2942</v>
      </c>
      <c r="L165" s="76" t="s">
        <v>2942</v>
      </c>
      <c r="N165" s="76">
        <v>20.829959869384801</v>
      </c>
      <c r="O165" s="76">
        <v>93.073478698730497</v>
      </c>
      <c r="R165" s="670"/>
      <c r="S165" s="671"/>
      <c r="T165" s="137"/>
      <c r="U165" s="133"/>
    </row>
    <row r="166" spans="1:23" s="76" customFormat="1" ht="14.25" customHeight="1">
      <c r="A166" s="671" t="s">
        <v>3014</v>
      </c>
      <c r="B166" s="666" t="s">
        <v>489</v>
      </c>
      <c r="C166" s="666" t="s">
        <v>2875</v>
      </c>
      <c r="D166" s="760"/>
      <c r="E166" s="666"/>
      <c r="F166" s="666"/>
      <c r="G166" s="666"/>
      <c r="H166" s="666"/>
      <c r="I166" s="666"/>
      <c r="J166" s="666" t="s">
        <v>3028</v>
      </c>
      <c r="K166" s="666" t="s">
        <v>2942</v>
      </c>
      <c r="L166" s="666" t="s">
        <v>3027</v>
      </c>
      <c r="M166" s="666"/>
      <c r="N166" s="666"/>
      <c r="O166" s="666"/>
      <c r="P166" s="666"/>
      <c r="Q166" s="666"/>
      <c r="R166" s="670"/>
      <c r="S166" s="671"/>
      <c r="T166" s="690"/>
      <c r="U166" s="672" t="s">
        <v>2872</v>
      </c>
      <c r="V166" s="666"/>
      <c r="W166" s="666"/>
    </row>
    <row r="167" spans="1:23" s="76" customFormat="1" ht="14.25" customHeight="1">
      <c r="A167" s="932" t="s">
        <v>3014</v>
      </c>
      <c r="B167" s="922" t="s">
        <v>489</v>
      </c>
      <c r="C167" s="922" t="s">
        <v>2882</v>
      </c>
      <c r="D167" s="760"/>
      <c r="E167" s="666"/>
      <c r="F167" s="666"/>
      <c r="J167" s="76" t="s">
        <v>3028</v>
      </c>
      <c r="K167" s="76" t="s">
        <v>2942</v>
      </c>
      <c r="L167" s="76" t="s">
        <v>2942</v>
      </c>
      <c r="P167" s="666"/>
      <c r="R167" s="931"/>
      <c r="S167" s="671"/>
      <c r="T167" s="137"/>
      <c r="U167" s="933"/>
      <c r="W167" s="922"/>
    </row>
    <row r="168" spans="1:23" s="76" customFormat="1" ht="14.25" customHeight="1">
      <c r="A168" s="674" t="s">
        <v>3014</v>
      </c>
      <c r="B168" s="674" t="s">
        <v>489</v>
      </c>
      <c r="C168" s="675" t="s">
        <v>3181</v>
      </c>
      <c r="D168" s="669"/>
      <c r="E168" s="666"/>
      <c r="J168" s="76" t="s">
        <v>3028</v>
      </c>
      <c r="K168" s="76" t="s">
        <v>2942</v>
      </c>
      <c r="L168" s="76" t="s">
        <v>2942</v>
      </c>
      <c r="R168" s="678"/>
      <c r="S168" s="671"/>
      <c r="T168" s="137">
        <v>43591</v>
      </c>
      <c r="U168" s="678"/>
      <c r="W168" s="670"/>
    </row>
    <row r="169" spans="1:23" s="76" customFormat="1" ht="14.25" customHeight="1">
      <c r="A169" s="935" t="s">
        <v>3014</v>
      </c>
      <c r="B169" s="935" t="s">
        <v>489</v>
      </c>
      <c r="C169" s="936" t="s">
        <v>3184</v>
      </c>
      <c r="D169" s="929"/>
      <c r="E169" s="76">
        <v>196448</v>
      </c>
      <c r="F169" s="666"/>
      <c r="J169" s="76" t="s">
        <v>3028</v>
      </c>
      <c r="K169" s="666" t="s">
        <v>2942</v>
      </c>
      <c r="L169" s="666" t="s">
        <v>2942</v>
      </c>
      <c r="N169" s="76">
        <v>20.6728000640869</v>
      </c>
      <c r="O169" s="76">
        <v>93.243469238281307</v>
      </c>
      <c r="R169" s="939"/>
      <c r="S169" s="671"/>
      <c r="T169" s="137">
        <v>43591</v>
      </c>
      <c r="U169" s="939"/>
      <c r="W169" s="931"/>
    </row>
    <row r="170" spans="1:23" s="76" customFormat="1" ht="14.25" customHeight="1">
      <c r="A170" s="671" t="s">
        <v>3014</v>
      </c>
      <c r="B170" s="666" t="s">
        <v>489</v>
      </c>
      <c r="C170" s="666" t="s">
        <v>567</v>
      </c>
      <c r="D170" s="760" t="s">
        <v>1693</v>
      </c>
      <c r="E170" s="666">
        <v>196642</v>
      </c>
      <c r="I170" s="666"/>
      <c r="J170" s="76" t="s">
        <v>812</v>
      </c>
      <c r="K170" s="76" t="s">
        <v>812</v>
      </c>
      <c r="L170" s="76" t="s">
        <v>812</v>
      </c>
      <c r="M170" s="76" t="s">
        <v>312</v>
      </c>
      <c r="N170" s="76">
        <v>20.70355034</v>
      </c>
      <c r="O170" s="76">
        <v>93.060462950000002</v>
      </c>
      <c r="P170" s="76" t="s">
        <v>813</v>
      </c>
      <c r="Q170" s="76" t="s">
        <v>794</v>
      </c>
      <c r="R170" s="131"/>
      <c r="S170" s="671"/>
      <c r="T170" s="137"/>
      <c r="U170" s="133"/>
      <c r="V170" s="76" t="s">
        <v>567</v>
      </c>
      <c r="W170" s="666"/>
    </row>
    <row r="171" spans="1:23" s="76" customFormat="1" ht="14.25" customHeight="1">
      <c r="A171" s="671" t="s">
        <v>3014</v>
      </c>
      <c r="B171" s="922" t="s">
        <v>489</v>
      </c>
      <c r="C171" s="922" t="s">
        <v>2879</v>
      </c>
      <c r="D171" s="760"/>
      <c r="F171" s="922"/>
      <c r="J171" s="76" t="s">
        <v>3028</v>
      </c>
      <c r="K171" s="666" t="s">
        <v>2942</v>
      </c>
      <c r="L171" s="666" t="s">
        <v>2942</v>
      </c>
      <c r="Q171" s="922"/>
      <c r="R171" s="670"/>
      <c r="S171" s="671"/>
      <c r="T171" s="951"/>
      <c r="U171" s="133"/>
    </row>
    <row r="172" spans="1:23" s="76" customFormat="1" ht="14.25" customHeight="1">
      <c r="A172" s="671" t="s">
        <v>3014</v>
      </c>
      <c r="B172" s="935" t="s">
        <v>489</v>
      </c>
      <c r="C172" s="928" t="s">
        <v>923</v>
      </c>
      <c r="D172" s="760" t="s">
        <v>3138</v>
      </c>
      <c r="E172" s="76" t="s">
        <v>1414</v>
      </c>
      <c r="F172" s="928" t="s">
        <v>1895</v>
      </c>
      <c r="G172" s="76" t="s">
        <v>1895</v>
      </c>
      <c r="J172" s="76" t="s">
        <v>812</v>
      </c>
      <c r="K172" s="666" t="s">
        <v>812</v>
      </c>
      <c r="L172" s="666" t="s">
        <v>897</v>
      </c>
      <c r="M172" s="76" t="s">
        <v>809</v>
      </c>
      <c r="N172" s="76">
        <v>20.576577</v>
      </c>
      <c r="O172" s="76">
        <v>93.245551000000006</v>
      </c>
      <c r="P172" s="666" t="s">
        <v>813</v>
      </c>
      <c r="Q172" s="928"/>
      <c r="R172" s="670">
        <v>204</v>
      </c>
      <c r="S172" s="671">
        <v>1265</v>
      </c>
      <c r="T172" s="952"/>
      <c r="U172" s="133" t="s">
        <v>874</v>
      </c>
      <c r="V172" s="76" t="s">
        <v>923</v>
      </c>
      <c r="W172" s="666"/>
    </row>
    <row r="173" spans="1:23" s="76" customFormat="1" ht="14.25" customHeight="1">
      <c r="A173" s="671" t="s">
        <v>3014</v>
      </c>
      <c r="B173" s="666" t="s">
        <v>489</v>
      </c>
      <c r="C173" s="666" t="s">
        <v>2881</v>
      </c>
      <c r="D173" s="760"/>
      <c r="E173" s="666"/>
      <c r="F173" s="666"/>
      <c r="G173" s="666"/>
      <c r="H173" s="666"/>
      <c r="I173" s="666"/>
      <c r="J173" s="666" t="s">
        <v>3028</v>
      </c>
      <c r="K173" s="666" t="s">
        <v>2942</v>
      </c>
      <c r="L173" s="666" t="s">
        <v>3027</v>
      </c>
      <c r="M173" s="666"/>
      <c r="N173" s="666"/>
      <c r="O173" s="666"/>
      <c r="P173" s="666"/>
      <c r="Q173" s="666"/>
      <c r="R173" s="670"/>
      <c r="S173" s="671"/>
      <c r="T173" s="690"/>
      <c r="U173" s="672" t="s">
        <v>2872</v>
      </c>
      <c r="V173" s="666"/>
      <c r="W173" s="666"/>
    </row>
    <row r="174" spans="1:23" s="76" customFormat="1" ht="14.25" customHeight="1">
      <c r="A174" s="932" t="s">
        <v>3014</v>
      </c>
      <c r="B174" s="922" t="s">
        <v>489</v>
      </c>
      <c r="C174" s="922" t="s">
        <v>2877</v>
      </c>
      <c r="D174" s="760"/>
      <c r="J174" s="76" t="s">
        <v>3028</v>
      </c>
      <c r="K174" s="666" t="s">
        <v>2942</v>
      </c>
      <c r="L174" s="666" t="s">
        <v>3027</v>
      </c>
      <c r="R174" s="931"/>
      <c r="S174" s="671"/>
      <c r="T174" s="137"/>
      <c r="U174" s="933" t="s">
        <v>2872</v>
      </c>
      <c r="W174" s="922"/>
    </row>
    <row r="175" spans="1:23" s="76" customFormat="1" ht="14.25" customHeight="1">
      <c r="A175" s="935" t="s">
        <v>3014</v>
      </c>
      <c r="B175" s="674" t="s">
        <v>489</v>
      </c>
      <c r="C175" s="936" t="s">
        <v>3175</v>
      </c>
      <c r="D175" s="929"/>
      <c r="E175" s="922"/>
      <c r="F175" s="922"/>
      <c r="G175" s="922"/>
      <c r="H175" s="922"/>
      <c r="I175" s="922"/>
      <c r="J175" s="76" t="s">
        <v>3028</v>
      </c>
      <c r="K175" s="666" t="s">
        <v>2942</v>
      </c>
      <c r="L175" s="666" t="s">
        <v>2942</v>
      </c>
      <c r="M175" s="922"/>
      <c r="N175" s="922"/>
      <c r="O175" s="922"/>
      <c r="Q175" s="922"/>
      <c r="R175" s="939"/>
      <c r="S175" s="932"/>
      <c r="T175" s="951">
        <v>43591</v>
      </c>
      <c r="U175" s="939"/>
      <c r="V175" s="922"/>
      <c r="W175" s="931"/>
    </row>
    <row r="176" spans="1:23" s="76" customFormat="1" ht="14.25" customHeight="1">
      <c r="A176" s="671" t="s">
        <v>3014</v>
      </c>
      <c r="B176" s="935" t="s">
        <v>489</v>
      </c>
      <c r="C176" s="668" t="s">
        <v>926</v>
      </c>
      <c r="D176" s="761" t="s">
        <v>1693</v>
      </c>
      <c r="E176" s="928">
        <v>196429</v>
      </c>
      <c r="F176" s="928"/>
      <c r="G176" s="928"/>
      <c r="H176" s="928"/>
      <c r="I176" s="928"/>
      <c r="J176" s="76" t="s">
        <v>812</v>
      </c>
      <c r="K176" s="666" t="s">
        <v>812</v>
      </c>
      <c r="L176" s="666" t="s">
        <v>812</v>
      </c>
      <c r="M176" s="928" t="s">
        <v>312</v>
      </c>
      <c r="N176" s="928">
        <v>20.58151054</v>
      </c>
      <c r="O176" s="928">
        <v>93.24609375</v>
      </c>
      <c r="P176" s="76" t="s">
        <v>813</v>
      </c>
      <c r="Q176" s="928"/>
      <c r="R176" s="940"/>
      <c r="S176" s="936"/>
      <c r="T176" s="952"/>
      <c r="U176" s="937"/>
      <c r="V176" s="928" t="s">
        <v>926</v>
      </c>
      <c r="W176" s="666"/>
    </row>
    <row r="177" spans="1:23" s="76" customFormat="1" ht="14.25" customHeight="1">
      <c r="A177" s="671" t="s">
        <v>3014</v>
      </c>
      <c r="B177" s="668" t="s">
        <v>489</v>
      </c>
      <c r="C177" s="668" t="s">
        <v>931</v>
      </c>
      <c r="D177" s="760" t="s">
        <v>3138</v>
      </c>
      <c r="E177" s="76" t="s">
        <v>1416</v>
      </c>
      <c r="F177" s="76" t="s">
        <v>509</v>
      </c>
      <c r="G177" s="76" t="s">
        <v>1896</v>
      </c>
      <c r="J177" s="76" t="s">
        <v>812</v>
      </c>
      <c r="K177" s="76" t="s">
        <v>812</v>
      </c>
      <c r="L177" s="76" t="s">
        <v>835</v>
      </c>
      <c r="M177" s="76" t="s">
        <v>312</v>
      </c>
      <c r="N177" s="76">
        <v>20.61692</v>
      </c>
      <c r="O177" s="76">
        <v>93.239519999999999</v>
      </c>
      <c r="P177" s="76" t="s">
        <v>813</v>
      </c>
      <c r="R177" s="670">
        <v>10</v>
      </c>
      <c r="S177" s="671">
        <v>64</v>
      </c>
      <c r="T177" s="137"/>
      <c r="U177" s="133" t="s">
        <v>874</v>
      </c>
      <c r="V177" s="76" t="s">
        <v>931</v>
      </c>
    </row>
    <row r="178" spans="1:23" s="76" customFormat="1" ht="14.25" customHeight="1">
      <c r="A178" s="671" t="s">
        <v>3014</v>
      </c>
      <c r="B178" s="668" t="s">
        <v>489</v>
      </c>
      <c r="C178" s="668" t="s">
        <v>2874</v>
      </c>
      <c r="D178" s="760"/>
      <c r="E178" s="76">
        <v>196465</v>
      </c>
      <c r="J178" s="76" t="s">
        <v>3028</v>
      </c>
      <c r="K178" s="76" t="s">
        <v>2942</v>
      </c>
      <c r="L178" s="666" t="s">
        <v>2942</v>
      </c>
      <c r="N178" s="76">
        <v>20.7270202636719</v>
      </c>
      <c r="O178" s="76">
        <v>93.249069213867202</v>
      </c>
      <c r="R178" s="670"/>
      <c r="S178" s="671"/>
      <c r="T178" s="137"/>
      <c r="U178" s="133"/>
    </row>
    <row r="179" spans="1:23" s="76" customFormat="1" ht="14.25" customHeight="1">
      <c r="A179" s="671" t="s">
        <v>3014</v>
      </c>
      <c r="B179" s="668" t="s">
        <v>489</v>
      </c>
      <c r="C179" s="668" t="s">
        <v>2873</v>
      </c>
      <c r="D179" s="760"/>
      <c r="F179" s="668"/>
      <c r="J179" s="76" t="s">
        <v>3028</v>
      </c>
      <c r="K179" s="666" t="s">
        <v>2942</v>
      </c>
      <c r="L179" s="666" t="s">
        <v>3027</v>
      </c>
      <c r="R179" s="131"/>
      <c r="S179" s="671"/>
      <c r="T179" s="137"/>
      <c r="U179" s="133" t="s">
        <v>2872</v>
      </c>
    </row>
    <row r="180" spans="1:23" s="76" customFormat="1" ht="14.25" customHeight="1">
      <c r="A180" s="671" t="s">
        <v>3014</v>
      </c>
      <c r="B180" s="668" t="s">
        <v>489</v>
      </c>
      <c r="C180" s="668" t="s">
        <v>2880</v>
      </c>
      <c r="D180" s="760"/>
      <c r="J180" s="76" t="s">
        <v>3028</v>
      </c>
      <c r="K180" s="666" t="s">
        <v>2942</v>
      </c>
      <c r="L180" s="666" t="s">
        <v>2942</v>
      </c>
      <c r="N180" s="666"/>
      <c r="O180" s="666"/>
      <c r="P180" s="666"/>
      <c r="R180" s="131"/>
      <c r="S180" s="671"/>
      <c r="T180" s="137"/>
      <c r="U180" s="133"/>
      <c r="W180" s="666"/>
    </row>
    <row r="181" spans="1:23" s="76" customFormat="1" ht="14.25" customHeight="1">
      <c r="A181" s="671" t="s">
        <v>3014</v>
      </c>
      <c r="B181" s="668" t="s">
        <v>489</v>
      </c>
      <c r="C181" s="668" t="s">
        <v>3251</v>
      </c>
      <c r="D181" s="760"/>
      <c r="E181" s="666">
        <v>196453</v>
      </c>
      <c r="F181" s="928"/>
      <c r="G181" s="666"/>
      <c r="H181" s="666"/>
      <c r="I181" s="666"/>
      <c r="J181" s="666" t="s">
        <v>3028</v>
      </c>
      <c r="K181" s="666" t="s">
        <v>2942</v>
      </c>
      <c r="L181" s="666" t="s">
        <v>2942</v>
      </c>
      <c r="M181" s="666"/>
      <c r="N181" s="666">
        <v>20.686229705810501</v>
      </c>
      <c r="O181" s="666">
        <v>93.220001220703097</v>
      </c>
      <c r="P181" s="666"/>
      <c r="Q181" s="666"/>
      <c r="R181" s="935"/>
      <c r="S181" s="936"/>
      <c r="T181" s="690"/>
      <c r="U181" s="672"/>
      <c r="V181" s="666"/>
      <c r="W181" s="666"/>
    </row>
    <row r="182" spans="1:23" s="76" customFormat="1" ht="14.25" customHeight="1">
      <c r="A182" s="671" t="s">
        <v>3014</v>
      </c>
      <c r="B182" s="668" t="s">
        <v>489</v>
      </c>
      <c r="C182" s="668" t="s">
        <v>3252</v>
      </c>
      <c r="D182" s="760"/>
      <c r="E182" s="76">
        <v>196453</v>
      </c>
      <c r="J182" s="76" t="s">
        <v>3028</v>
      </c>
      <c r="K182" s="666" t="s">
        <v>2942</v>
      </c>
      <c r="L182" s="666" t="s">
        <v>2942</v>
      </c>
      <c r="N182" s="76">
        <v>20.686229705810501</v>
      </c>
      <c r="O182" s="76">
        <v>93.220001220703097</v>
      </c>
      <c r="R182" s="935"/>
      <c r="S182" s="936"/>
      <c r="T182" s="137"/>
      <c r="U182" s="133"/>
    </row>
    <row r="183" spans="1:23" s="76" customFormat="1" ht="14.25" customHeight="1">
      <c r="A183" s="932" t="s">
        <v>3014</v>
      </c>
      <c r="B183" s="928" t="s">
        <v>489</v>
      </c>
      <c r="C183" s="928" t="s">
        <v>2884</v>
      </c>
      <c r="D183" s="760"/>
      <c r="E183" s="76">
        <v>196464</v>
      </c>
      <c r="J183" s="76" t="s">
        <v>3028</v>
      </c>
      <c r="K183" s="666" t="s">
        <v>2942</v>
      </c>
      <c r="L183" s="666" t="s">
        <v>2942</v>
      </c>
      <c r="N183" s="76">
        <v>20.7529296875</v>
      </c>
      <c r="O183" s="76">
        <v>93.267311096191406</v>
      </c>
      <c r="R183" s="931"/>
      <c r="S183" s="671"/>
      <c r="T183" s="137"/>
      <c r="U183" s="933"/>
      <c r="W183" s="922"/>
    </row>
    <row r="184" spans="1:23" s="76" customFormat="1" ht="14.25" customHeight="1">
      <c r="A184" s="932" t="s">
        <v>3014</v>
      </c>
      <c r="B184" s="928" t="s">
        <v>489</v>
      </c>
      <c r="C184" s="928" t="s">
        <v>2885</v>
      </c>
      <c r="D184" s="760"/>
      <c r="J184" s="76" t="s">
        <v>3028</v>
      </c>
      <c r="K184" s="76" t="s">
        <v>2942</v>
      </c>
      <c r="L184" s="76" t="s">
        <v>2942</v>
      </c>
      <c r="P184" s="666"/>
      <c r="R184" s="931"/>
      <c r="S184" s="671"/>
      <c r="T184" s="137"/>
      <c r="U184" s="933"/>
      <c r="W184" s="922"/>
    </row>
    <row r="185" spans="1:23" s="76" customFormat="1" ht="14.25" customHeight="1">
      <c r="A185" s="935" t="s">
        <v>3014</v>
      </c>
      <c r="B185" s="935" t="s">
        <v>489</v>
      </c>
      <c r="C185" s="936" t="s">
        <v>3174</v>
      </c>
      <c r="D185" s="929"/>
      <c r="E185" s="76">
        <v>196645</v>
      </c>
      <c r="J185" s="76" t="s">
        <v>3028</v>
      </c>
      <c r="K185" s="76" t="s">
        <v>2942</v>
      </c>
      <c r="L185" s="666" t="s">
        <v>2942</v>
      </c>
      <c r="N185" s="76">
        <v>20.718429565429702</v>
      </c>
      <c r="O185" s="76">
        <v>93.059432983398395</v>
      </c>
      <c r="R185" s="939"/>
      <c r="S185" s="671"/>
      <c r="T185" s="137">
        <v>43591</v>
      </c>
      <c r="U185" s="939"/>
      <c r="W185" s="931"/>
    </row>
    <row r="186" spans="1:23" s="76" customFormat="1" ht="14.25" customHeight="1">
      <c r="A186" s="674" t="s">
        <v>3014</v>
      </c>
      <c r="B186" s="674" t="s">
        <v>489</v>
      </c>
      <c r="C186" s="675" t="s">
        <v>3182</v>
      </c>
      <c r="D186" s="669"/>
      <c r="J186" s="76" t="s">
        <v>3028</v>
      </c>
      <c r="K186" s="76" t="s">
        <v>2942</v>
      </c>
      <c r="L186" s="666" t="s">
        <v>2942</v>
      </c>
      <c r="R186" s="678"/>
      <c r="S186" s="671"/>
      <c r="T186" s="137">
        <v>43591</v>
      </c>
      <c r="U186" s="678"/>
      <c r="W186" s="670"/>
    </row>
    <row r="187" spans="1:23" s="76" customFormat="1" ht="14.25" customHeight="1">
      <c r="A187" s="932" t="s">
        <v>3014</v>
      </c>
      <c r="B187" s="928" t="s">
        <v>489</v>
      </c>
      <c r="C187" s="928" t="s">
        <v>916</v>
      </c>
      <c r="D187" s="760" t="s">
        <v>3138</v>
      </c>
      <c r="E187" s="76" t="s">
        <v>1411</v>
      </c>
      <c r="F187" s="76" t="s">
        <v>1893</v>
      </c>
      <c r="G187" s="76" t="s">
        <v>916</v>
      </c>
      <c r="J187" s="76" t="s">
        <v>812</v>
      </c>
      <c r="K187" s="76" t="s">
        <v>812</v>
      </c>
      <c r="L187" s="666" t="s">
        <v>835</v>
      </c>
      <c r="M187" s="76" t="s">
        <v>312</v>
      </c>
      <c r="N187" s="76">
        <v>20.495086000000001</v>
      </c>
      <c r="O187" s="76">
        <v>93.246863000000005</v>
      </c>
      <c r="P187" s="76" t="s">
        <v>813</v>
      </c>
      <c r="R187" s="931">
        <v>32</v>
      </c>
      <c r="S187" s="671">
        <v>131</v>
      </c>
      <c r="T187" s="137"/>
      <c r="U187" s="933" t="s">
        <v>874</v>
      </c>
      <c r="V187" s="76" t="s">
        <v>917</v>
      </c>
      <c r="W187" s="922"/>
    </row>
    <row r="188" spans="1:23" s="76" customFormat="1" ht="14.25" customHeight="1">
      <c r="A188" s="674" t="s">
        <v>3014</v>
      </c>
      <c r="B188" s="674" t="s">
        <v>489</v>
      </c>
      <c r="C188" s="675" t="s">
        <v>3172</v>
      </c>
      <c r="D188" s="669"/>
      <c r="E188" s="666">
        <v>196626</v>
      </c>
      <c r="F188" s="666"/>
      <c r="J188" s="76" t="s">
        <v>3028</v>
      </c>
      <c r="K188" s="666" t="s">
        <v>2942</v>
      </c>
      <c r="L188" s="666" t="s">
        <v>2942</v>
      </c>
      <c r="N188" s="76">
        <v>20.648319244384801</v>
      </c>
      <c r="O188" s="76">
        <v>93.085273742675795</v>
      </c>
      <c r="R188" s="678"/>
      <c r="S188" s="671"/>
      <c r="T188" s="137">
        <v>43591</v>
      </c>
      <c r="U188" s="678"/>
      <c r="W188" s="670"/>
    </row>
    <row r="189" spans="1:23" s="76" customFormat="1" ht="14.25" customHeight="1">
      <c r="A189" s="935" t="s">
        <v>3014</v>
      </c>
      <c r="B189" s="935" t="s">
        <v>489</v>
      </c>
      <c r="C189" s="936" t="s">
        <v>3169</v>
      </c>
      <c r="D189" s="929"/>
      <c r="F189" s="666"/>
      <c r="J189" s="76" t="s">
        <v>3028</v>
      </c>
      <c r="K189" s="666" t="s">
        <v>2942</v>
      </c>
      <c r="L189" s="666" t="s">
        <v>2942</v>
      </c>
      <c r="R189" s="939"/>
      <c r="S189" s="671"/>
      <c r="T189" s="137">
        <v>43591</v>
      </c>
      <c r="U189" s="939"/>
      <c r="W189" s="931"/>
    </row>
    <row r="190" spans="1:23" s="76" customFormat="1" ht="14.25" customHeight="1">
      <c r="A190" s="674" t="s">
        <v>3014</v>
      </c>
      <c r="B190" s="674" t="s">
        <v>489</v>
      </c>
      <c r="C190" s="675" t="s">
        <v>3171</v>
      </c>
      <c r="D190" s="669"/>
      <c r="E190" s="76">
        <v>196621</v>
      </c>
      <c r="J190" s="76" t="s">
        <v>3028</v>
      </c>
      <c r="K190" s="666" t="s">
        <v>2942</v>
      </c>
      <c r="L190" s="666" t="s">
        <v>2942</v>
      </c>
      <c r="N190" s="76">
        <v>20.675979614257798</v>
      </c>
      <c r="O190" s="666">
        <v>93.098922729492202</v>
      </c>
      <c r="R190" s="678"/>
      <c r="S190" s="671"/>
      <c r="T190" s="137">
        <v>43591</v>
      </c>
      <c r="U190" s="678"/>
      <c r="W190" s="670"/>
    </row>
    <row r="191" spans="1:23" s="76" customFormat="1" ht="14.25" customHeight="1">
      <c r="A191" s="932" t="s">
        <v>3014</v>
      </c>
      <c r="B191" s="928" t="s">
        <v>489</v>
      </c>
      <c r="C191" s="928" t="s">
        <v>2878</v>
      </c>
      <c r="D191" s="760"/>
      <c r="E191" s="666"/>
      <c r="F191" s="666"/>
      <c r="J191" s="76" t="s">
        <v>3028</v>
      </c>
      <c r="K191" s="666" t="s">
        <v>2942</v>
      </c>
      <c r="L191" s="666" t="s">
        <v>2942</v>
      </c>
      <c r="R191" s="931"/>
      <c r="S191" s="671"/>
      <c r="T191" s="137"/>
      <c r="U191" s="933"/>
      <c r="W191" s="922"/>
    </row>
    <row r="192" spans="1:23" s="76" customFormat="1" ht="14.25" customHeight="1">
      <c r="A192" s="935" t="s">
        <v>3014</v>
      </c>
      <c r="B192" s="935" t="s">
        <v>489</v>
      </c>
      <c r="C192" s="936" t="s">
        <v>3168</v>
      </c>
      <c r="D192" s="929"/>
      <c r="E192" s="666"/>
      <c r="F192" s="666"/>
      <c r="G192" s="666"/>
      <c r="H192" s="666"/>
      <c r="I192" s="666"/>
      <c r="J192" s="76" t="s">
        <v>3028</v>
      </c>
      <c r="K192" s="666" t="s">
        <v>2942</v>
      </c>
      <c r="L192" s="666" t="s">
        <v>2942</v>
      </c>
      <c r="N192" s="666"/>
      <c r="O192" s="666"/>
      <c r="P192" s="666"/>
      <c r="R192" s="939"/>
      <c r="S192" s="671"/>
      <c r="T192" s="137">
        <v>43591</v>
      </c>
      <c r="U192" s="939"/>
      <c r="V192" s="666"/>
      <c r="W192" s="931"/>
    </row>
    <row r="193" spans="1:23" s="76" customFormat="1" ht="14.25" customHeight="1">
      <c r="A193" s="674" t="s">
        <v>3014</v>
      </c>
      <c r="B193" s="674" t="s">
        <v>489</v>
      </c>
      <c r="C193" s="675" t="s">
        <v>3173</v>
      </c>
      <c r="D193" s="669"/>
      <c r="E193" s="76">
        <v>196636</v>
      </c>
      <c r="J193" s="76" t="s">
        <v>3028</v>
      </c>
      <c r="K193" s="666" t="s">
        <v>2942</v>
      </c>
      <c r="L193" s="666" t="s">
        <v>2942</v>
      </c>
      <c r="N193" s="76">
        <v>20.6698608398438</v>
      </c>
      <c r="O193" s="666">
        <v>93.087516784667997</v>
      </c>
      <c r="P193" s="666"/>
      <c r="R193" s="678"/>
      <c r="S193" s="671"/>
      <c r="T193" s="137">
        <v>43591</v>
      </c>
      <c r="U193" s="678"/>
      <c r="W193" s="670"/>
    </row>
    <row r="194" spans="1:23" s="76" customFormat="1" ht="14.25" customHeight="1">
      <c r="A194" s="671" t="s">
        <v>3014</v>
      </c>
      <c r="B194" s="668" t="s">
        <v>489</v>
      </c>
      <c r="C194" s="668" t="s">
        <v>918</v>
      </c>
      <c r="D194" s="760" t="s">
        <v>3138</v>
      </c>
      <c r="E194" s="76" t="s">
        <v>1412</v>
      </c>
      <c r="F194" s="922" t="s">
        <v>1894</v>
      </c>
      <c r="G194" s="76" t="s">
        <v>1894</v>
      </c>
      <c r="J194" s="76" t="s">
        <v>812</v>
      </c>
      <c r="K194" s="666" t="s">
        <v>812</v>
      </c>
      <c r="L194" s="666" t="s">
        <v>897</v>
      </c>
      <c r="M194" s="76" t="s">
        <v>809</v>
      </c>
      <c r="N194" s="76">
        <v>20.501757999999999</v>
      </c>
      <c r="O194" s="76">
        <v>93.217039999999997</v>
      </c>
      <c r="P194" s="76" t="s">
        <v>813</v>
      </c>
      <c r="R194" s="931">
        <v>365</v>
      </c>
      <c r="S194" s="932">
        <v>2366</v>
      </c>
      <c r="T194" s="137"/>
      <c r="U194" s="133" t="s">
        <v>874</v>
      </c>
      <c r="V194" s="76" t="s">
        <v>919</v>
      </c>
      <c r="W194" s="928"/>
    </row>
    <row r="195" spans="1:23" s="76" customFormat="1" ht="14.25" customHeight="1">
      <c r="A195" s="935" t="s">
        <v>3014</v>
      </c>
      <c r="B195" s="935" t="s">
        <v>489</v>
      </c>
      <c r="C195" s="936" t="s">
        <v>3170</v>
      </c>
      <c r="D195" s="929"/>
      <c r="E195" s="666">
        <v>196622</v>
      </c>
      <c r="J195" s="76" t="s">
        <v>3028</v>
      </c>
      <c r="K195" s="76" t="s">
        <v>2942</v>
      </c>
      <c r="L195" s="666" t="s">
        <v>2942</v>
      </c>
      <c r="N195" s="666">
        <v>20.666166305541999</v>
      </c>
      <c r="O195" s="666">
        <v>93.094825744628906</v>
      </c>
      <c r="R195" s="939"/>
      <c r="S195" s="932"/>
      <c r="T195" s="137">
        <v>43591</v>
      </c>
      <c r="U195" s="939"/>
      <c r="W195" s="931"/>
    </row>
    <row r="196" spans="1:23" s="76" customFormat="1" ht="14.25" customHeight="1">
      <c r="A196" s="671" t="s">
        <v>3014</v>
      </c>
      <c r="B196" s="668" t="s">
        <v>417</v>
      </c>
      <c r="C196" s="668" t="s">
        <v>830</v>
      </c>
      <c r="D196" s="760" t="s">
        <v>1693</v>
      </c>
      <c r="E196" s="76">
        <v>197254</v>
      </c>
      <c r="F196" s="666"/>
      <c r="I196" s="666"/>
      <c r="J196" s="76" t="s">
        <v>812</v>
      </c>
      <c r="K196" s="666" t="s">
        <v>812</v>
      </c>
      <c r="L196" s="666" t="s">
        <v>812</v>
      </c>
      <c r="M196" s="76" t="s">
        <v>312</v>
      </c>
      <c r="N196" s="76">
        <v>20.021469119999999</v>
      </c>
      <c r="O196" s="76">
        <v>93.367980959999997</v>
      </c>
      <c r="P196" s="666" t="s">
        <v>813</v>
      </c>
      <c r="R196" s="674"/>
      <c r="S196" s="675"/>
      <c r="T196" s="137"/>
      <c r="U196" s="133"/>
      <c r="V196" s="76" t="s">
        <v>830</v>
      </c>
    </row>
    <row r="197" spans="1:23" s="76" customFormat="1" ht="14.25" customHeight="1">
      <c r="A197" s="671" t="s">
        <v>3014</v>
      </c>
      <c r="B197" s="668" t="s">
        <v>417</v>
      </c>
      <c r="C197" s="668" t="s">
        <v>831</v>
      </c>
      <c r="D197" s="760" t="s">
        <v>1693</v>
      </c>
      <c r="E197" s="666">
        <v>197253</v>
      </c>
      <c r="F197" s="668"/>
      <c r="G197" s="666"/>
      <c r="H197" s="666"/>
      <c r="I197" s="666"/>
      <c r="J197" s="76" t="s">
        <v>812</v>
      </c>
      <c r="K197" s="666" t="s">
        <v>812</v>
      </c>
      <c r="L197" s="666" t="s">
        <v>812</v>
      </c>
      <c r="M197" s="76" t="s">
        <v>312</v>
      </c>
      <c r="N197" s="76">
        <v>20.023879999999998</v>
      </c>
      <c r="O197" s="76">
        <v>93.376663210000004</v>
      </c>
      <c r="P197" s="76" t="s">
        <v>813</v>
      </c>
      <c r="R197" s="674"/>
      <c r="S197" s="675"/>
      <c r="T197" s="137"/>
      <c r="U197" s="133"/>
      <c r="V197" s="76" t="s">
        <v>831</v>
      </c>
    </row>
    <row r="198" spans="1:23" s="76" customFormat="1" ht="14.25" customHeight="1">
      <c r="A198" s="671" t="s">
        <v>3014</v>
      </c>
      <c r="B198" s="668" t="s">
        <v>417</v>
      </c>
      <c r="C198" s="668" t="s">
        <v>833</v>
      </c>
      <c r="D198" s="760" t="s">
        <v>1693</v>
      </c>
      <c r="E198" s="76">
        <v>217974</v>
      </c>
      <c r="F198" s="668"/>
      <c r="J198" s="76" t="s">
        <v>812</v>
      </c>
      <c r="K198" s="666" t="s">
        <v>812</v>
      </c>
      <c r="L198" s="666" t="s">
        <v>812</v>
      </c>
      <c r="M198" s="76" t="s">
        <v>312</v>
      </c>
      <c r="N198" s="76">
        <v>20.032299999999999</v>
      </c>
      <c r="O198" s="76">
        <v>93.375100000000003</v>
      </c>
      <c r="P198" s="76" t="s">
        <v>813</v>
      </c>
      <c r="R198" s="674"/>
      <c r="S198" s="675"/>
      <c r="T198" s="137"/>
      <c r="U198" s="133"/>
      <c r="V198" s="76" t="s">
        <v>833</v>
      </c>
      <c r="W198" s="666"/>
    </row>
    <row r="199" spans="1:23" s="76" customFormat="1" ht="14.25" customHeight="1">
      <c r="A199" s="671" t="s">
        <v>3014</v>
      </c>
      <c r="B199" s="668" t="s">
        <v>417</v>
      </c>
      <c r="C199" s="668" t="s">
        <v>848</v>
      </c>
      <c r="D199" s="760" t="s">
        <v>1693</v>
      </c>
      <c r="E199" s="666">
        <v>197279</v>
      </c>
      <c r="F199" s="666"/>
      <c r="G199" s="666"/>
      <c r="H199" s="666"/>
      <c r="I199" s="666"/>
      <c r="J199" s="76" t="s">
        <v>812</v>
      </c>
      <c r="K199" s="666" t="s">
        <v>812</v>
      </c>
      <c r="L199" s="666" t="s">
        <v>812</v>
      </c>
      <c r="M199" s="666" t="s">
        <v>312</v>
      </c>
      <c r="N199" s="666">
        <v>20.100000000000001</v>
      </c>
      <c r="O199" s="666">
        <v>93.35</v>
      </c>
      <c r="P199" s="76" t="s">
        <v>813</v>
      </c>
      <c r="Q199" s="666"/>
      <c r="R199" s="674"/>
      <c r="S199" s="675"/>
      <c r="T199" s="690"/>
      <c r="U199" s="672"/>
      <c r="V199" s="666" t="s">
        <v>848</v>
      </c>
    </row>
    <row r="200" spans="1:23" s="76" customFormat="1" ht="14.25" customHeight="1">
      <c r="A200" s="671" t="s">
        <v>3014</v>
      </c>
      <c r="B200" s="668" t="s">
        <v>417</v>
      </c>
      <c r="C200" s="668" t="s">
        <v>846</v>
      </c>
      <c r="D200" s="760" t="s">
        <v>1693</v>
      </c>
      <c r="E200" s="666">
        <v>197277</v>
      </c>
      <c r="F200" s="666"/>
      <c r="G200" s="666"/>
      <c r="H200" s="666"/>
      <c r="I200" s="666"/>
      <c r="J200" s="76" t="s">
        <v>812</v>
      </c>
      <c r="K200" s="666" t="s">
        <v>812</v>
      </c>
      <c r="L200" s="666" t="s">
        <v>812</v>
      </c>
      <c r="M200" s="76" t="s">
        <v>312</v>
      </c>
      <c r="N200" s="76">
        <v>20.079999999999998</v>
      </c>
      <c r="O200" s="666">
        <v>93.36</v>
      </c>
      <c r="P200" s="76" t="s">
        <v>813</v>
      </c>
      <c r="R200" s="674"/>
      <c r="S200" s="675"/>
      <c r="T200" s="137"/>
      <c r="U200" s="133"/>
      <c r="V200" s="76" t="s">
        <v>846</v>
      </c>
      <c r="W200" s="666"/>
    </row>
    <row r="201" spans="1:23" s="76" customFormat="1" ht="14.25" customHeight="1">
      <c r="A201" s="132" t="s">
        <v>3014</v>
      </c>
      <c r="B201" s="668" t="s">
        <v>417</v>
      </c>
      <c r="C201" s="668" t="s">
        <v>419</v>
      </c>
      <c r="D201" s="760" t="s">
        <v>3138</v>
      </c>
      <c r="E201" s="76" t="s">
        <v>1371</v>
      </c>
      <c r="F201" s="76" t="s">
        <v>1723</v>
      </c>
      <c r="G201" s="76" t="s">
        <v>1775</v>
      </c>
      <c r="J201" s="76" t="s">
        <v>812</v>
      </c>
      <c r="K201" s="666" t="s">
        <v>812</v>
      </c>
      <c r="L201" s="666" t="s">
        <v>835</v>
      </c>
      <c r="M201" s="76" t="s">
        <v>312</v>
      </c>
      <c r="N201" s="76">
        <v>20.041981</v>
      </c>
      <c r="O201" s="666">
        <v>93.373951000000005</v>
      </c>
      <c r="P201" s="76" t="s">
        <v>813</v>
      </c>
      <c r="Q201" s="76" t="s">
        <v>794</v>
      </c>
      <c r="R201" s="670">
        <v>40</v>
      </c>
      <c r="S201" s="671">
        <v>204</v>
      </c>
      <c r="T201" s="137"/>
      <c r="U201" s="133"/>
      <c r="V201" s="76" t="s">
        <v>419</v>
      </c>
      <c r="W201" s="666"/>
    </row>
    <row r="202" spans="1:23" s="76" customFormat="1" ht="14.25" customHeight="1">
      <c r="A202" s="132" t="s">
        <v>3014</v>
      </c>
      <c r="B202" s="668" t="s">
        <v>417</v>
      </c>
      <c r="C202" s="668" t="s">
        <v>862</v>
      </c>
      <c r="D202" s="760" t="s">
        <v>1693</v>
      </c>
      <c r="E202" s="666">
        <v>197286</v>
      </c>
      <c r="F202" s="666"/>
      <c r="G202" s="666"/>
      <c r="H202" s="666"/>
      <c r="I202" s="666"/>
      <c r="J202" s="666" t="s">
        <v>812</v>
      </c>
      <c r="K202" s="666" t="s">
        <v>812</v>
      </c>
      <c r="L202" s="666" t="s">
        <v>812</v>
      </c>
      <c r="M202" s="666" t="s">
        <v>312</v>
      </c>
      <c r="N202" s="666">
        <v>20.149999999999999</v>
      </c>
      <c r="O202" s="666">
        <v>93.41</v>
      </c>
      <c r="P202" s="666" t="s">
        <v>813</v>
      </c>
      <c r="Q202" s="666"/>
      <c r="R202" s="674"/>
      <c r="S202" s="675"/>
      <c r="T202" s="690"/>
      <c r="U202" s="672"/>
      <c r="V202" s="666" t="s">
        <v>862</v>
      </c>
      <c r="W202" s="666"/>
    </row>
    <row r="203" spans="1:23" s="76" customFormat="1" ht="14.25" customHeight="1">
      <c r="A203" s="671" t="s">
        <v>3014</v>
      </c>
      <c r="B203" s="668" t="s">
        <v>417</v>
      </c>
      <c r="C203" s="668" t="s">
        <v>829</v>
      </c>
      <c r="D203" s="760" t="s">
        <v>1693</v>
      </c>
      <c r="E203" s="76">
        <v>197309</v>
      </c>
      <c r="J203" s="76" t="s">
        <v>812</v>
      </c>
      <c r="K203" s="666" t="s">
        <v>812</v>
      </c>
      <c r="L203" s="666" t="s">
        <v>812</v>
      </c>
      <c r="M203" s="76" t="s">
        <v>312</v>
      </c>
      <c r="N203" s="76">
        <v>20.010000000000002</v>
      </c>
      <c r="O203" s="666">
        <v>93.42</v>
      </c>
      <c r="P203" s="76" t="s">
        <v>813</v>
      </c>
      <c r="R203" s="674"/>
      <c r="S203" s="675"/>
      <c r="T203" s="137"/>
      <c r="U203" s="133"/>
      <c r="V203" s="76" t="s">
        <v>829</v>
      </c>
    </row>
    <row r="204" spans="1:23" s="76" customFormat="1" ht="14.25" customHeight="1">
      <c r="A204" s="671" t="s">
        <v>3014</v>
      </c>
      <c r="B204" s="668" t="s">
        <v>417</v>
      </c>
      <c r="C204" s="668" t="s">
        <v>832</v>
      </c>
      <c r="D204" s="760" t="s">
        <v>1693</v>
      </c>
      <c r="E204" s="76">
        <v>197255</v>
      </c>
      <c r="J204" s="76" t="s">
        <v>812</v>
      </c>
      <c r="K204" s="666" t="s">
        <v>812</v>
      </c>
      <c r="L204" s="666" t="s">
        <v>812</v>
      </c>
      <c r="M204" s="76" t="s">
        <v>312</v>
      </c>
      <c r="N204" s="76">
        <v>20.03</v>
      </c>
      <c r="O204" s="666">
        <v>93.38</v>
      </c>
      <c r="P204" s="76" t="s">
        <v>813</v>
      </c>
      <c r="R204" s="674"/>
      <c r="S204" s="675"/>
      <c r="T204" s="137"/>
      <c r="U204" s="133"/>
      <c r="V204" s="76" t="s">
        <v>832</v>
      </c>
      <c r="W204" s="666"/>
    </row>
    <row r="205" spans="1:23" s="76" customFormat="1" ht="14.25" customHeight="1">
      <c r="A205" s="671" t="s">
        <v>3014</v>
      </c>
      <c r="B205" s="668" t="s">
        <v>417</v>
      </c>
      <c r="C205" s="668" t="s">
        <v>834</v>
      </c>
      <c r="D205" s="760" t="s">
        <v>1693</v>
      </c>
      <c r="E205" s="76">
        <v>217973</v>
      </c>
      <c r="F205" s="666"/>
      <c r="J205" s="76" t="s">
        <v>812</v>
      </c>
      <c r="K205" s="666" t="s">
        <v>812</v>
      </c>
      <c r="L205" s="666" t="s">
        <v>812</v>
      </c>
      <c r="M205" s="76" t="s">
        <v>312</v>
      </c>
      <c r="N205" s="76">
        <v>20.032760620000001</v>
      </c>
      <c r="O205" s="76">
        <v>93.372978209999999</v>
      </c>
      <c r="P205" s="76" t="s">
        <v>813</v>
      </c>
      <c r="R205" s="674"/>
      <c r="S205" s="675"/>
      <c r="T205" s="137"/>
      <c r="U205" s="133"/>
      <c r="V205" s="76" t="s">
        <v>834</v>
      </c>
      <c r="W205" s="666"/>
    </row>
    <row r="206" spans="1:23" s="76" customFormat="1" ht="14.25" customHeight="1">
      <c r="A206" s="671" t="s">
        <v>3014</v>
      </c>
      <c r="B206" s="668" t="s">
        <v>417</v>
      </c>
      <c r="C206" s="668" t="s">
        <v>418</v>
      </c>
      <c r="D206" s="760" t="s">
        <v>3138</v>
      </c>
      <c r="E206" s="76" t="s">
        <v>1370</v>
      </c>
      <c r="H206" s="76" t="s">
        <v>43</v>
      </c>
      <c r="J206" s="76" t="s">
        <v>45</v>
      </c>
      <c r="K206" s="76" t="s">
        <v>45</v>
      </c>
      <c r="L206" s="666" t="s">
        <v>808</v>
      </c>
      <c r="M206" s="76" t="s">
        <v>809</v>
      </c>
      <c r="N206" s="76">
        <v>20.037655000000001</v>
      </c>
      <c r="O206" s="666">
        <v>93.370037999999994</v>
      </c>
      <c r="P206" s="76" t="s">
        <v>775</v>
      </c>
      <c r="Q206" s="76" t="s">
        <v>794</v>
      </c>
      <c r="R206" s="670">
        <v>655</v>
      </c>
      <c r="S206" s="671">
        <v>2690</v>
      </c>
      <c r="T206" s="137"/>
      <c r="U206" s="133"/>
      <c r="V206" s="76" t="s">
        <v>418</v>
      </c>
    </row>
    <row r="207" spans="1:23" s="76" customFormat="1" ht="14.25" customHeight="1">
      <c r="A207" s="671" t="s">
        <v>3014</v>
      </c>
      <c r="B207" s="668" t="s">
        <v>417</v>
      </c>
      <c r="C207" s="668" t="s">
        <v>839</v>
      </c>
      <c r="D207" s="760" t="s">
        <v>1693</v>
      </c>
      <c r="E207" s="76">
        <v>197378</v>
      </c>
      <c r="F207" s="668"/>
      <c r="J207" s="76" t="s">
        <v>812</v>
      </c>
      <c r="K207" s="666" t="s">
        <v>812</v>
      </c>
      <c r="L207" s="666" t="s">
        <v>812</v>
      </c>
      <c r="M207" s="76" t="s">
        <v>312</v>
      </c>
      <c r="N207" s="76">
        <v>20.061309810000001</v>
      </c>
      <c r="O207" s="76">
        <v>93.540641780000001</v>
      </c>
      <c r="P207" s="76" t="s">
        <v>813</v>
      </c>
      <c r="R207" s="674"/>
      <c r="S207" s="675"/>
      <c r="T207" s="137"/>
      <c r="U207" s="133"/>
      <c r="V207" s="76" t="s">
        <v>839</v>
      </c>
    </row>
    <row r="208" spans="1:23" s="76" customFormat="1" ht="14.25" customHeight="1">
      <c r="A208" s="671" t="s">
        <v>3014</v>
      </c>
      <c r="B208" s="668" t="s">
        <v>417</v>
      </c>
      <c r="C208" s="668" t="s">
        <v>852</v>
      </c>
      <c r="D208" s="760" t="s">
        <v>1693</v>
      </c>
      <c r="E208" s="76">
        <v>197280</v>
      </c>
      <c r="F208" s="666"/>
      <c r="J208" s="76" t="s">
        <v>812</v>
      </c>
      <c r="K208" s="666" t="s">
        <v>812</v>
      </c>
      <c r="L208" s="666" t="s">
        <v>812</v>
      </c>
      <c r="M208" s="76" t="s">
        <v>312</v>
      </c>
      <c r="N208" s="76">
        <v>20.12</v>
      </c>
      <c r="O208" s="76">
        <v>93.34</v>
      </c>
      <c r="P208" s="76" t="s">
        <v>813</v>
      </c>
      <c r="R208" s="674"/>
      <c r="S208" s="675"/>
      <c r="T208" s="137"/>
      <c r="U208" s="133"/>
      <c r="V208" s="76" t="s">
        <v>852</v>
      </c>
      <c r="W208" s="666"/>
    </row>
    <row r="209" spans="1:23" s="76" customFormat="1" ht="14.25" customHeight="1">
      <c r="A209" s="671" t="s">
        <v>3014</v>
      </c>
      <c r="B209" s="668" t="s">
        <v>417</v>
      </c>
      <c r="C209" s="668" t="s">
        <v>847</v>
      </c>
      <c r="D209" s="760" t="s">
        <v>1693</v>
      </c>
      <c r="E209" s="76">
        <v>197366</v>
      </c>
      <c r="F209" s="668"/>
      <c r="J209" s="76" t="s">
        <v>812</v>
      </c>
      <c r="K209" s="76" t="s">
        <v>812</v>
      </c>
      <c r="L209" s="76" t="s">
        <v>812</v>
      </c>
      <c r="M209" s="76" t="s">
        <v>312</v>
      </c>
      <c r="N209" s="76">
        <v>20.084</v>
      </c>
      <c r="O209" s="666">
        <v>93.483999999999995</v>
      </c>
      <c r="P209" s="666" t="s">
        <v>813</v>
      </c>
      <c r="R209" s="674"/>
      <c r="S209" s="675"/>
      <c r="T209" s="137"/>
      <c r="U209" s="133"/>
      <c r="V209" s="76" t="s">
        <v>847</v>
      </c>
      <c r="W209" s="666"/>
    </row>
    <row r="210" spans="1:23" s="76" customFormat="1" ht="14.25" customHeight="1">
      <c r="A210" s="671" t="s">
        <v>3014</v>
      </c>
      <c r="B210" s="668" t="s">
        <v>420</v>
      </c>
      <c r="C210" s="668" t="s">
        <v>3256</v>
      </c>
      <c r="D210" s="760"/>
      <c r="E210" s="668">
        <v>196310</v>
      </c>
      <c r="J210" s="76" t="s">
        <v>3028</v>
      </c>
      <c r="K210" s="76" t="s">
        <v>2942</v>
      </c>
      <c r="L210" s="666" t="s">
        <v>2942</v>
      </c>
      <c r="M210" s="76" t="s">
        <v>2944</v>
      </c>
      <c r="N210" s="76">
        <v>20.61741065979</v>
      </c>
      <c r="O210" s="76">
        <v>92.932502746582003</v>
      </c>
      <c r="R210" s="670"/>
      <c r="S210" s="671"/>
      <c r="T210" s="137"/>
      <c r="U210" s="133"/>
      <c r="V210" s="76" t="s">
        <v>2836</v>
      </c>
      <c r="W210" s="666"/>
    </row>
    <row r="211" spans="1:23" s="76" customFormat="1" ht="14.25" customHeight="1">
      <c r="A211" s="671" t="s">
        <v>3014</v>
      </c>
      <c r="B211" s="668" t="s">
        <v>420</v>
      </c>
      <c r="C211" s="668" t="s">
        <v>429</v>
      </c>
      <c r="D211" s="760" t="s">
        <v>1693</v>
      </c>
      <c r="E211" s="76">
        <v>197558</v>
      </c>
      <c r="F211" s="666"/>
      <c r="J211" s="76" t="s">
        <v>812</v>
      </c>
      <c r="K211" s="76" t="s">
        <v>812</v>
      </c>
      <c r="L211" s="76" t="s">
        <v>812</v>
      </c>
      <c r="M211" s="76" t="s">
        <v>809</v>
      </c>
      <c r="N211" s="76">
        <v>20.099340439999999</v>
      </c>
      <c r="O211" s="76">
        <v>92.989143369999994</v>
      </c>
      <c r="P211" s="666" t="s">
        <v>813</v>
      </c>
      <c r="Q211" s="76" t="s">
        <v>794</v>
      </c>
      <c r="R211" s="674"/>
      <c r="S211" s="675"/>
      <c r="T211" s="137"/>
      <c r="U211" s="133"/>
      <c r="W211" s="666"/>
    </row>
    <row r="212" spans="1:23" s="76" customFormat="1" ht="14.25" customHeight="1">
      <c r="A212" s="671" t="s">
        <v>3014</v>
      </c>
      <c r="B212" s="668" t="s">
        <v>420</v>
      </c>
      <c r="C212" s="668" t="s">
        <v>430</v>
      </c>
      <c r="D212" s="760" t="s">
        <v>3138</v>
      </c>
      <c r="E212" s="666" t="s">
        <v>1376</v>
      </c>
      <c r="F212" s="666" t="s">
        <v>849</v>
      </c>
      <c r="G212" s="666" t="s">
        <v>550</v>
      </c>
      <c r="H212" s="666" t="s">
        <v>43</v>
      </c>
      <c r="I212" s="666"/>
      <c r="J212" s="76" t="s">
        <v>45</v>
      </c>
      <c r="K212" s="668" t="s">
        <v>45</v>
      </c>
      <c r="L212" s="668" t="s">
        <v>808</v>
      </c>
      <c r="M212" s="76" t="s">
        <v>809</v>
      </c>
      <c r="N212" s="76">
        <v>20.108101999999999</v>
      </c>
      <c r="O212" s="76">
        <v>92.985095000000001</v>
      </c>
      <c r="P212" s="76" t="s">
        <v>775</v>
      </c>
      <c r="Q212" s="76" t="s">
        <v>794</v>
      </c>
      <c r="R212" s="670">
        <v>1244</v>
      </c>
      <c r="S212" s="671">
        <v>4757</v>
      </c>
      <c r="T212" s="137"/>
      <c r="U212" s="133"/>
      <c r="V212" s="76" t="s">
        <v>851</v>
      </c>
    </row>
    <row r="213" spans="1:23" s="76" customFormat="1" ht="14.25" customHeight="1">
      <c r="A213" s="671" t="s">
        <v>3014</v>
      </c>
      <c r="B213" s="668" t="s">
        <v>420</v>
      </c>
      <c r="C213" s="668" t="s">
        <v>2835</v>
      </c>
      <c r="D213" s="760"/>
      <c r="E213" s="668">
        <v>220611</v>
      </c>
      <c r="F213" s="666"/>
      <c r="H213" s="666"/>
      <c r="I213" s="666"/>
      <c r="J213" s="666" t="s">
        <v>3028</v>
      </c>
      <c r="K213" s="666" t="s">
        <v>2942</v>
      </c>
      <c r="L213" s="666" t="s">
        <v>2942</v>
      </c>
      <c r="M213" s="666" t="s">
        <v>2944</v>
      </c>
      <c r="N213" s="666"/>
      <c r="O213" s="666"/>
      <c r="Q213" s="666"/>
      <c r="R213" s="670"/>
      <c r="S213" s="671"/>
      <c r="T213" s="690"/>
      <c r="U213" s="672"/>
      <c r="W213" s="666"/>
    </row>
    <row r="214" spans="1:23" s="76" customFormat="1" ht="14.25" customHeight="1">
      <c r="A214" s="671" t="s">
        <v>3014</v>
      </c>
      <c r="B214" s="668" t="s">
        <v>420</v>
      </c>
      <c r="C214" s="668" t="s">
        <v>873</v>
      </c>
      <c r="D214" s="760" t="s">
        <v>3138</v>
      </c>
      <c r="E214" s="666" t="s">
        <v>1388</v>
      </c>
      <c r="F214" s="666" t="s">
        <v>1723</v>
      </c>
      <c r="G214" s="666" t="s">
        <v>1888</v>
      </c>
      <c r="H214" s="666"/>
      <c r="I214" s="666"/>
      <c r="J214" s="666" t="s">
        <v>812</v>
      </c>
      <c r="K214" s="668" t="s">
        <v>812</v>
      </c>
      <c r="L214" s="668" t="s">
        <v>835</v>
      </c>
      <c r="M214" s="666" t="s">
        <v>312</v>
      </c>
      <c r="N214" s="666">
        <v>20.173468</v>
      </c>
      <c r="O214" s="666">
        <v>93.067891000000003</v>
      </c>
      <c r="P214" s="666" t="s">
        <v>813</v>
      </c>
      <c r="Q214" s="666"/>
      <c r="R214" s="670">
        <v>21</v>
      </c>
      <c r="S214" s="671">
        <v>122</v>
      </c>
      <c r="T214" s="690"/>
      <c r="U214" s="672" t="s">
        <v>874</v>
      </c>
      <c r="V214" s="666" t="s">
        <v>875</v>
      </c>
      <c r="W214" s="666"/>
    </row>
    <row r="215" spans="1:23" s="76" customFormat="1" ht="14.25" customHeight="1">
      <c r="A215" s="674" t="s">
        <v>3014</v>
      </c>
      <c r="B215" s="674" t="s">
        <v>420</v>
      </c>
      <c r="C215" s="675" t="s">
        <v>3215</v>
      </c>
      <c r="D215" s="669"/>
      <c r="E215" s="666" t="s">
        <v>3255</v>
      </c>
      <c r="F215" s="666"/>
      <c r="G215" s="666"/>
      <c r="H215" s="666"/>
      <c r="I215" s="666"/>
      <c r="J215" s="76" t="s">
        <v>3028</v>
      </c>
      <c r="K215" s="666" t="s">
        <v>2942</v>
      </c>
      <c r="L215" s="666" t="s">
        <v>2942</v>
      </c>
      <c r="R215" s="678"/>
      <c r="S215" s="671"/>
      <c r="T215" s="137">
        <v>43591</v>
      </c>
      <c r="U215" s="678"/>
      <c r="W215" s="670"/>
    </row>
    <row r="216" spans="1:23" s="76" customFormat="1" ht="14.25" customHeight="1">
      <c r="A216" s="671" t="s">
        <v>3014</v>
      </c>
      <c r="B216" s="668" t="s">
        <v>420</v>
      </c>
      <c r="C216" s="668" t="s">
        <v>836</v>
      </c>
      <c r="D216" s="760" t="s">
        <v>1693</v>
      </c>
      <c r="E216" s="76">
        <v>197486</v>
      </c>
      <c r="F216" s="666"/>
      <c r="J216" s="76" t="s">
        <v>812</v>
      </c>
      <c r="K216" s="668" t="s">
        <v>812</v>
      </c>
      <c r="L216" s="668" t="s">
        <v>812</v>
      </c>
      <c r="M216" s="76" t="s">
        <v>837</v>
      </c>
      <c r="N216" s="76">
        <v>20.05117035</v>
      </c>
      <c r="O216" s="76">
        <v>93.040992739999993</v>
      </c>
      <c r="P216" s="76" t="s">
        <v>813</v>
      </c>
      <c r="R216" s="131"/>
      <c r="S216" s="671"/>
      <c r="T216" s="137"/>
      <c r="U216" s="672"/>
      <c r="V216" s="76" t="s">
        <v>836</v>
      </c>
      <c r="W216" s="666"/>
    </row>
    <row r="217" spans="1:23" s="76" customFormat="1" ht="14.25" customHeight="1">
      <c r="A217" s="671" t="s">
        <v>3014</v>
      </c>
      <c r="B217" s="668" t="s">
        <v>420</v>
      </c>
      <c r="C217" s="668" t="s">
        <v>838</v>
      </c>
      <c r="D217" s="760" t="s">
        <v>1693</v>
      </c>
      <c r="E217" s="76">
        <v>197479</v>
      </c>
      <c r="F217" s="673"/>
      <c r="J217" s="76" t="s">
        <v>812</v>
      </c>
      <c r="K217" s="668" t="s">
        <v>812</v>
      </c>
      <c r="L217" s="668" t="s">
        <v>812</v>
      </c>
      <c r="M217" s="76" t="s">
        <v>312</v>
      </c>
      <c r="N217" s="76">
        <v>20.05978966</v>
      </c>
      <c r="O217" s="76">
        <v>93.034988400000003</v>
      </c>
      <c r="P217" s="76" t="s">
        <v>813</v>
      </c>
      <c r="R217" s="131"/>
      <c r="S217" s="671"/>
      <c r="T217" s="137"/>
      <c r="U217" s="133"/>
      <c r="V217" s="76" t="s">
        <v>838</v>
      </c>
      <c r="W217" s="666"/>
    </row>
    <row r="218" spans="1:23" s="76" customFormat="1" ht="14.25" customHeight="1">
      <c r="A218" s="674" t="s">
        <v>3014</v>
      </c>
      <c r="B218" s="674" t="s">
        <v>420</v>
      </c>
      <c r="C218" s="675" t="s">
        <v>3214</v>
      </c>
      <c r="D218" s="669"/>
      <c r="E218" s="76">
        <v>197470</v>
      </c>
      <c r="J218" s="76" t="s">
        <v>3028</v>
      </c>
      <c r="K218" s="666" t="s">
        <v>2942</v>
      </c>
      <c r="L218" s="666" t="s">
        <v>2942</v>
      </c>
      <c r="N218" s="76">
        <v>20.343349456787099</v>
      </c>
      <c r="O218" s="76">
        <v>93.121322631835895</v>
      </c>
      <c r="P218" s="666"/>
      <c r="R218" s="678"/>
      <c r="S218" s="671"/>
      <c r="T218" s="137">
        <v>43591</v>
      </c>
      <c r="U218" s="678"/>
      <c r="W218" s="670"/>
    </row>
    <row r="219" spans="1:23" s="76" customFormat="1" ht="14.25" customHeight="1">
      <c r="A219" s="671" t="s">
        <v>3014</v>
      </c>
      <c r="B219" s="668" t="s">
        <v>420</v>
      </c>
      <c r="C219" s="668" t="s">
        <v>2826</v>
      </c>
      <c r="D219" s="760"/>
      <c r="E219" s="76">
        <v>197561</v>
      </c>
      <c r="F219" s="76" t="s">
        <v>2826</v>
      </c>
      <c r="J219" s="76" t="s">
        <v>812</v>
      </c>
      <c r="K219" s="666" t="s">
        <v>812</v>
      </c>
      <c r="L219" s="666" t="s">
        <v>812</v>
      </c>
      <c r="N219" s="76">
        <v>20.072999954223601</v>
      </c>
      <c r="O219" s="666">
        <v>92.924957275390597</v>
      </c>
      <c r="R219" s="674"/>
      <c r="S219" s="675"/>
      <c r="T219" s="137"/>
      <c r="U219" s="133"/>
      <c r="W219" s="666"/>
    </row>
    <row r="220" spans="1:23" s="76" customFormat="1" ht="14.25" customHeight="1">
      <c r="A220" s="671" t="s">
        <v>3014</v>
      </c>
      <c r="B220" s="668" t="s">
        <v>420</v>
      </c>
      <c r="C220" s="668" t="s">
        <v>2868</v>
      </c>
      <c r="D220" s="760" t="s">
        <v>1693</v>
      </c>
      <c r="E220" s="76">
        <v>197461</v>
      </c>
      <c r="J220" s="76" t="s">
        <v>812</v>
      </c>
      <c r="K220" s="76" t="s">
        <v>812</v>
      </c>
      <c r="L220" s="265" t="s">
        <v>812</v>
      </c>
      <c r="M220" s="76" t="s">
        <v>312</v>
      </c>
      <c r="R220" s="674"/>
      <c r="S220" s="675"/>
      <c r="T220" s="137"/>
      <c r="U220" s="133"/>
      <c r="W220" s="666"/>
    </row>
    <row r="221" spans="1:23" s="76" customFormat="1" ht="14.25" customHeight="1">
      <c r="A221" s="671" t="s">
        <v>3014</v>
      </c>
      <c r="B221" s="668" t="s">
        <v>420</v>
      </c>
      <c r="C221" s="668" t="s">
        <v>2860</v>
      </c>
      <c r="D221" s="760" t="s">
        <v>1693</v>
      </c>
      <c r="E221" s="76">
        <v>197441</v>
      </c>
      <c r="F221" s="666"/>
      <c r="J221" s="76" t="s">
        <v>812</v>
      </c>
      <c r="K221" s="76" t="s">
        <v>812</v>
      </c>
      <c r="L221" s="265" t="s">
        <v>812</v>
      </c>
      <c r="M221" s="76" t="s">
        <v>312</v>
      </c>
      <c r="O221" s="666"/>
      <c r="R221" s="670"/>
      <c r="S221" s="671"/>
      <c r="T221" s="137"/>
      <c r="U221" s="133"/>
      <c r="W221" s="666"/>
    </row>
    <row r="222" spans="1:23" s="76" customFormat="1" ht="14.25" customHeight="1">
      <c r="A222" s="671" t="s">
        <v>3014</v>
      </c>
      <c r="B222" s="668" t="s">
        <v>420</v>
      </c>
      <c r="C222" s="668" t="s">
        <v>2834</v>
      </c>
      <c r="D222" s="760"/>
      <c r="E222" s="76">
        <v>197546</v>
      </c>
      <c r="F222" s="666" t="s">
        <v>539</v>
      </c>
      <c r="J222" s="76" t="s">
        <v>812</v>
      </c>
      <c r="K222" s="76" t="s">
        <v>812</v>
      </c>
      <c r="L222" s="76" t="s">
        <v>812</v>
      </c>
      <c r="N222" s="76">
        <v>19.986650466918899</v>
      </c>
      <c r="O222" s="666">
        <v>92.986160278320298</v>
      </c>
      <c r="R222" s="131"/>
      <c r="S222" s="671"/>
      <c r="T222" s="137"/>
      <c r="U222" s="133"/>
      <c r="W222" s="666"/>
    </row>
    <row r="223" spans="1:23" s="76" customFormat="1" ht="14.25" customHeight="1">
      <c r="A223" s="671" t="s">
        <v>3014</v>
      </c>
      <c r="B223" s="668" t="s">
        <v>420</v>
      </c>
      <c r="C223" s="668" t="s">
        <v>2831</v>
      </c>
      <c r="D223" s="760"/>
      <c r="F223" s="666"/>
      <c r="I223" s="666"/>
      <c r="J223" s="76" t="s">
        <v>812</v>
      </c>
      <c r="K223" s="76" t="s">
        <v>812</v>
      </c>
      <c r="L223" s="76" t="s">
        <v>812</v>
      </c>
      <c r="R223" s="674"/>
      <c r="S223" s="675"/>
      <c r="T223" s="137"/>
      <c r="U223" s="133"/>
      <c r="W223" s="666"/>
    </row>
    <row r="224" spans="1:23" s="76" customFormat="1" ht="14.25" customHeight="1">
      <c r="A224" s="671" t="s">
        <v>3014</v>
      </c>
      <c r="B224" s="668" t="s">
        <v>420</v>
      </c>
      <c r="C224" s="668" t="s">
        <v>550</v>
      </c>
      <c r="D224" s="760" t="s">
        <v>1693</v>
      </c>
      <c r="E224" s="666">
        <v>197537</v>
      </c>
      <c r="F224" s="666" t="s">
        <v>849</v>
      </c>
      <c r="G224" s="666"/>
      <c r="H224" s="666"/>
      <c r="I224" s="666"/>
      <c r="J224" s="76" t="s">
        <v>812</v>
      </c>
      <c r="K224" s="668" t="s">
        <v>812</v>
      </c>
      <c r="L224" s="668" t="s">
        <v>812</v>
      </c>
      <c r="M224" s="666"/>
      <c r="N224" s="666">
        <v>20.109220499999999</v>
      </c>
      <c r="O224" s="666">
        <v>92.995483399999998</v>
      </c>
      <c r="P224" s="76" t="s">
        <v>813</v>
      </c>
      <c r="Q224" s="666"/>
      <c r="R224" s="670"/>
      <c r="S224" s="671"/>
      <c r="T224" s="690"/>
      <c r="U224" s="672"/>
      <c r="V224" s="666" t="s">
        <v>550</v>
      </c>
      <c r="W224" s="666"/>
    </row>
    <row r="225" spans="1:23" s="76" customFormat="1" ht="14.25" customHeight="1">
      <c r="A225" s="671" t="s">
        <v>3014</v>
      </c>
      <c r="B225" s="668" t="s">
        <v>420</v>
      </c>
      <c r="C225" s="668" t="s">
        <v>428</v>
      </c>
      <c r="D225" s="760" t="s">
        <v>3138</v>
      </c>
      <c r="E225" s="666" t="s">
        <v>1375</v>
      </c>
      <c r="F225" s="666" t="s">
        <v>849</v>
      </c>
      <c r="G225" s="666" t="s">
        <v>428</v>
      </c>
      <c r="H225" s="666" t="s">
        <v>43</v>
      </c>
      <c r="I225" s="666"/>
      <c r="J225" s="666" t="s">
        <v>45</v>
      </c>
      <c r="K225" s="668" t="s">
        <v>45</v>
      </c>
      <c r="L225" s="668" t="s">
        <v>808</v>
      </c>
      <c r="M225" s="666" t="s">
        <v>809</v>
      </c>
      <c r="N225" s="666">
        <v>20.090183</v>
      </c>
      <c r="O225" s="666">
        <v>93.010368999999997</v>
      </c>
      <c r="P225" s="666" t="s">
        <v>775</v>
      </c>
      <c r="Q225" s="666" t="s">
        <v>794</v>
      </c>
      <c r="R225" s="670">
        <v>1320</v>
      </c>
      <c r="S225" s="671">
        <v>6116</v>
      </c>
      <c r="T225" s="690"/>
      <c r="U225" s="672"/>
      <c r="V225" s="666" t="s">
        <v>428</v>
      </c>
      <c r="W225" s="666"/>
    </row>
    <row r="226" spans="1:23" s="76" customFormat="1" ht="14.25" customHeight="1">
      <c r="A226" s="671" t="s">
        <v>3014</v>
      </c>
      <c r="B226" s="668" t="s">
        <v>420</v>
      </c>
      <c r="C226" s="668" t="s">
        <v>3254</v>
      </c>
      <c r="D226" s="760"/>
      <c r="E226" s="76">
        <v>197547</v>
      </c>
      <c r="F226" s="666"/>
      <c r="J226" s="76" t="s">
        <v>812</v>
      </c>
      <c r="K226" s="76" t="s">
        <v>812</v>
      </c>
      <c r="L226" s="76" t="s">
        <v>812</v>
      </c>
      <c r="N226" s="76">
        <v>19.9233303070068</v>
      </c>
      <c r="O226" s="76">
        <v>93.018592834472699</v>
      </c>
      <c r="R226" s="674"/>
      <c r="S226" s="675"/>
      <c r="T226" s="137"/>
      <c r="U226" s="133"/>
      <c r="V226" s="668" t="s">
        <v>2833</v>
      </c>
      <c r="W226" s="666"/>
    </row>
    <row r="227" spans="1:23" s="76" customFormat="1" ht="14.25" customHeight="1">
      <c r="A227" s="671" t="s">
        <v>3014</v>
      </c>
      <c r="B227" s="668" t="s">
        <v>420</v>
      </c>
      <c r="C227" s="668" t="s">
        <v>824</v>
      </c>
      <c r="D227" s="760" t="s">
        <v>1693</v>
      </c>
      <c r="E227" s="76">
        <v>197566</v>
      </c>
      <c r="F227" s="666"/>
      <c r="J227" s="76" t="s">
        <v>812</v>
      </c>
      <c r="K227" s="76" t="s">
        <v>812</v>
      </c>
      <c r="L227" s="668" t="s">
        <v>812</v>
      </c>
      <c r="N227" s="76">
        <v>19.94882965</v>
      </c>
      <c r="O227" s="76">
        <v>92.978782649999999</v>
      </c>
      <c r="P227" s="76" t="s">
        <v>813</v>
      </c>
      <c r="R227" s="131"/>
      <c r="S227" s="671"/>
      <c r="T227" s="137"/>
      <c r="U227" s="133"/>
      <c r="V227" s="76" t="s">
        <v>824</v>
      </c>
      <c r="W227" s="666"/>
    </row>
    <row r="228" spans="1:23" s="76" customFormat="1" ht="14.25" customHeight="1">
      <c r="A228" s="671" t="s">
        <v>3014</v>
      </c>
      <c r="B228" s="668" t="s">
        <v>420</v>
      </c>
      <c r="C228" s="668" t="s">
        <v>2859</v>
      </c>
      <c r="D228" s="669" t="s">
        <v>1693</v>
      </c>
      <c r="E228" s="76">
        <v>197450</v>
      </c>
      <c r="J228" s="76" t="s">
        <v>812</v>
      </c>
      <c r="K228" s="76" t="s">
        <v>812</v>
      </c>
      <c r="L228" s="265" t="s">
        <v>812</v>
      </c>
      <c r="M228" s="76" t="s">
        <v>312</v>
      </c>
      <c r="R228" s="668"/>
      <c r="S228" s="668"/>
      <c r="T228" s="137"/>
      <c r="U228" s="133"/>
      <c r="W228" s="666"/>
    </row>
    <row r="229" spans="1:23" s="76" customFormat="1" ht="14.25" customHeight="1">
      <c r="A229" s="671" t="s">
        <v>3014</v>
      </c>
      <c r="B229" s="668" t="s">
        <v>420</v>
      </c>
      <c r="C229" s="668" t="s">
        <v>2869</v>
      </c>
      <c r="D229" s="760" t="s">
        <v>1693</v>
      </c>
      <c r="E229" s="76">
        <v>197463</v>
      </c>
      <c r="J229" s="76" t="s">
        <v>812</v>
      </c>
      <c r="K229" s="76" t="s">
        <v>812</v>
      </c>
      <c r="L229" s="265" t="s">
        <v>812</v>
      </c>
      <c r="M229" s="76" t="s">
        <v>312</v>
      </c>
      <c r="R229" s="131"/>
      <c r="S229" s="132"/>
      <c r="T229" s="137"/>
      <c r="U229" s="133"/>
      <c r="W229" s="666"/>
    </row>
    <row r="230" spans="1:23" s="76" customFormat="1" ht="14.25" customHeight="1">
      <c r="A230" s="671" t="s">
        <v>3014</v>
      </c>
      <c r="B230" s="668" t="s">
        <v>420</v>
      </c>
      <c r="C230" s="668" t="s">
        <v>2829</v>
      </c>
      <c r="D230" s="760"/>
      <c r="E230" s="76">
        <v>197565</v>
      </c>
      <c r="F230" s="76" t="s">
        <v>2826</v>
      </c>
      <c r="J230" s="76" t="s">
        <v>812</v>
      </c>
      <c r="K230" s="76" t="s">
        <v>812</v>
      </c>
      <c r="L230" s="76" t="s">
        <v>812</v>
      </c>
      <c r="N230" s="76">
        <v>20.005199432373001</v>
      </c>
      <c r="O230" s="76">
        <v>92.948463439941406</v>
      </c>
      <c r="R230" s="674"/>
      <c r="S230" s="675"/>
      <c r="T230" s="137"/>
      <c r="U230" s="133"/>
      <c r="W230" s="666"/>
    </row>
    <row r="231" spans="1:23" s="76" customFormat="1" ht="14.25" customHeight="1">
      <c r="A231" s="671" t="s">
        <v>3014</v>
      </c>
      <c r="B231" s="668" t="s">
        <v>420</v>
      </c>
      <c r="C231" s="668" t="s">
        <v>2863</v>
      </c>
      <c r="D231" s="760" t="s">
        <v>1693</v>
      </c>
      <c r="E231" s="76">
        <v>197404</v>
      </c>
      <c r="I231" s="666"/>
      <c r="J231" s="76" t="s">
        <v>812</v>
      </c>
      <c r="K231" s="76" t="s">
        <v>812</v>
      </c>
      <c r="L231" s="265" t="s">
        <v>812</v>
      </c>
      <c r="M231" s="76" t="s">
        <v>312</v>
      </c>
      <c r="P231" s="666"/>
      <c r="R231" s="131"/>
      <c r="S231" s="671"/>
      <c r="T231" s="137"/>
      <c r="U231" s="133"/>
      <c r="W231" s="666"/>
    </row>
    <row r="232" spans="1:23" s="76" customFormat="1" ht="14.25" customHeight="1">
      <c r="A232" s="671" t="s">
        <v>3014</v>
      </c>
      <c r="B232" s="668" t="s">
        <v>420</v>
      </c>
      <c r="C232" s="668" t="s">
        <v>2867</v>
      </c>
      <c r="D232" s="760" t="s">
        <v>1693</v>
      </c>
      <c r="E232" s="76">
        <v>197464</v>
      </c>
      <c r="J232" s="76" t="s">
        <v>812</v>
      </c>
      <c r="K232" s="76" t="s">
        <v>812</v>
      </c>
      <c r="L232" s="265" t="s">
        <v>812</v>
      </c>
      <c r="M232" s="76" t="s">
        <v>312</v>
      </c>
      <c r="R232" s="131"/>
      <c r="S232" s="671"/>
      <c r="T232" s="137"/>
      <c r="U232" s="133"/>
      <c r="W232" s="666"/>
    </row>
    <row r="233" spans="1:23" s="76" customFormat="1" ht="14.25" customHeight="1">
      <c r="A233" s="671" t="s">
        <v>3014</v>
      </c>
      <c r="B233" s="674" t="s">
        <v>420</v>
      </c>
      <c r="C233" s="675" t="s">
        <v>845</v>
      </c>
      <c r="D233" s="669" t="s">
        <v>1693</v>
      </c>
      <c r="E233" s="76" t="s">
        <v>1374</v>
      </c>
      <c r="F233" s="693"/>
      <c r="J233" s="76" t="s">
        <v>45</v>
      </c>
      <c r="K233" s="668" t="s">
        <v>45</v>
      </c>
      <c r="L233" s="668" t="s">
        <v>774</v>
      </c>
      <c r="M233" s="76" t="s">
        <v>809</v>
      </c>
      <c r="N233" s="76">
        <v>20.073437999999999</v>
      </c>
      <c r="O233" s="76">
        <v>93.154551999999995</v>
      </c>
      <c r="P233" s="76" t="s">
        <v>775</v>
      </c>
      <c r="R233" s="678"/>
      <c r="S233" s="671"/>
      <c r="T233" s="137"/>
      <c r="U233" s="133"/>
      <c r="W233" s="666"/>
    </row>
    <row r="234" spans="1:23" s="76" customFormat="1" ht="14.25" customHeight="1">
      <c r="A234" s="671" t="s">
        <v>3014</v>
      </c>
      <c r="B234" s="668" t="s">
        <v>420</v>
      </c>
      <c r="C234" s="668" t="s">
        <v>424</v>
      </c>
      <c r="D234" s="760" t="s">
        <v>3138</v>
      </c>
      <c r="E234" s="76" t="s">
        <v>1374</v>
      </c>
      <c r="F234" s="668" t="s">
        <v>1776</v>
      </c>
      <c r="G234" s="76" t="s">
        <v>1777</v>
      </c>
      <c r="H234" s="76" t="s">
        <v>43</v>
      </c>
      <c r="J234" s="76" t="s">
        <v>45</v>
      </c>
      <c r="K234" s="668" t="s">
        <v>45</v>
      </c>
      <c r="L234" s="668" t="s">
        <v>1912</v>
      </c>
      <c r="M234" s="76" t="s">
        <v>809</v>
      </c>
      <c r="N234" s="76">
        <v>20.073437999999999</v>
      </c>
      <c r="O234" s="76">
        <v>93.154551999999995</v>
      </c>
      <c r="P234" s="666" t="s">
        <v>813</v>
      </c>
      <c r="Q234" s="76" t="s">
        <v>794</v>
      </c>
      <c r="R234" s="670">
        <v>1010</v>
      </c>
      <c r="S234" s="671">
        <v>4686</v>
      </c>
      <c r="T234" s="137"/>
      <c r="U234" s="133"/>
      <c r="V234" s="76" t="s">
        <v>424</v>
      </c>
      <c r="W234" s="666"/>
    </row>
    <row r="235" spans="1:23" s="76" customFormat="1" ht="14.25" customHeight="1">
      <c r="A235" s="671" t="s">
        <v>3014</v>
      </c>
      <c r="B235" s="668" t="s">
        <v>420</v>
      </c>
      <c r="C235" s="668" t="s">
        <v>425</v>
      </c>
      <c r="D235" s="760" t="s">
        <v>3138</v>
      </c>
      <c r="E235" s="76" t="s">
        <v>1374</v>
      </c>
      <c r="F235" s="76" t="s">
        <v>1776</v>
      </c>
      <c r="G235" s="76" t="s">
        <v>1777</v>
      </c>
      <c r="H235" s="76" t="s">
        <v>43</v>
      </c>
      <c r="J235" s="76" t="s">
        <v>45</v>
      </c>
      <c r="K235" s="668" t="s">
        <v>45</v>
      </c>
      <c r="L235" s="668" t="s">
        <v>808</v>
      </c>
      <c r="M235" s="76" t="s">
        <v>809</v>
      </c>
      <c r="N235" s="76">
        <v>20.073437999999999</v>
      </c>
      <c r="O235" s="668">
        <v>93.154551999999995</v>
      </c>
      <c r="P235" s="666" t="s">
        <v>775</v>
      </c>
      <c r="Q235" s="76" t="s">
        <v>794</v>
      </c>
      <c r="R235" s="670">
        <v>905</v>
      </c>
      <c r="S235" s="671">
        <v>4124</v>
      </c>
      <c r="T235" s="137"/>
      <c r="U235" s="133"/>
      <c r="V235" s="76" t="s">
        <v>425</v>
      </c>
      <c r="W235" s="666"/>
    </row>
    <row r="236" spans="1:23" s="76" customFormat="1" ht="14.25" customHeight="1">
      <c r="A236" s="671" t="s">
        <v>3014</v>
      </c>
      <c r="B236" s="668" t="s">
        <v>420</v>
      </c>
      <c r="C236" s="668" t="s">
        <v>2866</v>
      </c>
      <c r="D236" s="760" t="s">
        <v>1693</v>
      </c>
      <c r="E236" s="76">
        <v>197460</v>
      </c>
      <c r="J236" s="76" t="s">
        <v>812</v>
      </c>
      <c r="K236" s="76" t="s">
        <v>812</v>
      </c>
      <c r="L236" s="265" t="s">
        <v>812</v>
      </c>
      <c r="M236" s="76" t="s">
        <v>312</v>
      </c>
      <c r="R236" s="670"/>
      <c r="S236" s="671"/>
      <c r="T236" s="137"/>
      <c r="U236" s="133"/>
      <c r="W236" s="666"/>
    </row>
    <row r="237" spans="1:23" s="76" customFormat="1" ht="14.25" customHeight="1">
      <c r="A237" s="671" t="s">
        <v>3014</v>
      </c>
      <c r="B237" s="668" t="s">
        <v>420</v>
      </c>
      <c r="C237" s="668" t="s">
        <v>2857</v>
      </c>
      <c r="D237" s="760" t="s">
        <v>1693</v>
      </c>
      <c r="E237" s="76">
        <v>197449</v>
      </c>
      <c r="J237" s="76" t="s">
        <v>812</v>
      </c>
      <c r="K237" s="76" t="s">
        <v>812</v>
      </c>
      <c r="L237" s="265" t="s">
        <v>812</v>
      </c>
      <c r="M237" s="76" t="s">
        <v>312</v>
      </c>
      <c r="N237" s="666"/>
      <c r="R237" s="674"/>
      <c r="S237" s="675"/>
      <c r="T237" s="137"/>
      <c r="U237" s="133"/>
      <c r="W237" s="666"/>
    </row>
    <row r="238" spans="1:23" s="76" customFormat="1" ht="14.25" customHeight="1">
      <c r="A238" s="671" t="s">
        <v>3014</v>
      </c>
      <c r="B238" s="668" t="s">
        <v>420</v>
      </c>
      <c r="C238" s="668" t="s">
        <v>849</v>
      </c>
      <c r="D238" s="760" t="s">
        <v>1693</v>
      </c>
      <c r="E238" s="76">
        <v>197531</v>
      </c>
      <c r="F238" s="76" t="s">
        <v>849</v>
      </c>
      <c r="J238" s="76" t="s">
        <v>812</v>
      </c>
      <c r="K238" s="668" t="s">
        <v>812</v>
      </c>
      <c r="L238" s="668" t="s">
        <v>812</v>
      </c>
      <c r="N238" s="76">
        <v>20.10293961</v>
      </c>
      <c r="O238" s="76">
        <v>93.000679020000007</v>
      </c>
      <c r="P238" s="76" t="s">
        <v>813</v>
      </c>
      <c r="R238" s="670"/>
      <c r="S238" s="671"/>
      <c r="T238" s="137"/>
      <c r="U238" s="133"/>
      <c r="V238" s="76" t="s">
        <v>850</v>
      </c>
      <c r="W238" s="666"/>
    </row>
    <row r="239" spans="1:23" s="76" customFormat="1" ht="14.25" customHeight="1">
      <c r="A239" s="671" t="s">
        <v>3014</v>
      </c>
      <c r="B239" s="668" t="s">
        <v>420</v>
      </c>
      <c r="C239" s="668" t="s">
        <v>842</v>
      </c>
      <c r="D239" s="760" t="s">
        <v>1693</v>
      </c>
      <c r="E239" s="76">
        <v>197430</v>
      </c>
      <c r="F239" s="668"/>
      <c r="J239" s="76" t="s">
        <v>812</v>
      </c>
      <c r="K239" s="668" t="s">
        <v>812</v>
      </c>
      <c r="L239" s="668" t="s">
        <v>812</v>
      </c>
      <c r="M239" s="76" t="s">
        <v>312</v>
      </c>
      <c r="N239" s="76">
        <v>20.065919000000001</v>
      </c>
      <c r="O239" s="76">
        <v>93.004040000000003</v>
      </c>
      <c r="P239" s="76" t="s">
        <v>813</v>
      </c>
      <c r="R239" s="670"/>
      <c r="S239" s="671"/>
      <c r="T239" s="137"/>
      <c r="U239" s="133"/>
      <c r="V239" s="76" t="s">
        <v>842</v>
      </c>
      <c r="W239" s="666"/>
    </row>
    <row r="240" spans="1:23" s="76" customFormat="1" ht="14.25" customHeight="1">
      <c r="A240" s="671" t="s">
        <v>3014</v>
      </c>
      <c r="B240" s="668" t="s">
        <v>420</v>
      </c>
      <c r="C240" s="668" t="s">
        <v>2960</v>
      </c>
      <c r="D240" s="760" t="s">
        <v>1693</v>
      </c>
      <c r="E240" s="666">
        <v>197462</v>
      </c>
      <c r="J240" s="76" t="s">
        <v>812</v>
      </c>
      <c r="K240" s="76" t="s">
        <v>812</v>
      </c>
      <c r="L240" s="265" t="s">
        <v>812</v>
      </c>
      <c r="M240" s="76" t="s">
        <v>312</v>
      </c>
      <c r="R240" s="674"/>
      <c r="S240" s="675"/>
      <c r="T240" s="137"/>
      <c r="U240" s="133"/>
      <c r="W240" s="666"/>
    </row>
    <row r="241" spans="1:23" s="76" customFormat="1" ht="14.25" customHeight="1">
      <c r="A241" s="671" t="s">
        <v>3014</v>
      </c>
      <c r="B241" s="668" t="s">
        <v>420</v>
      </c>
      <c r="C241" s="668" t="s">
        <v>2861</v>
      </c>
      <c r="D241" s="669" t="s">
        <v>1693</v>
      </c>
      <c r="E241" s="76">
        <v>197442</v>
      </c>
      <c r="J241" s="76" t="s">
        <v>812</v>
      </c>
      <c r="K241" s="76" t="s">
        <v>812</v>
      </c>
      <c r="L241" s="265" t="s">
        <v>812</v>
      </c>
      <c r="M241" s="76" t="s">
        <v>2959</v>
      </c>
      <c r="R241" s="668"/>
      <c r="S241" s="668"/>
      <c r="T241" s="137"/>
      <c r="U241" s="133"/>
      <c r="W241" s="666"/>
    </row>
    <row r="242" spans="1:23" s="76" customFormat="1" ht="14.25" customHeight="1">
      <c r="A242" s="671" t="s">
        <v>3014</v>
      </c>
      <c r="B242" s="668" t="s">
        <v>420</v>
      </c>
      <c r="C242" s="668" t="s">
        <v>2862</v>
      </c>
      <c r="D242" s="760" t="s">
        <v>1693</v>
      </c>
      <c r="E242" s="76">
        <v>197405</v>
      </c>
      <c r="J242" s="76" t="s">
        <v>812</v>
      </c>
      <c r="K242" s="76" t="s">
        <v>812</v>
      </c>
      <c r="L242" s="265" t="s">
        <v>812</v>
      </c>
      <c r="M242" s="76" t="s">
        <v>312</v>
      </c>
      <c r="R242" s="670"/>
      <c r="S242" s="671"/>
      <c r="T242" s="137"/>
      <c r="U242" s="133"/>
      <c r="W242" s="666"/>
    </row>
    <row r="243" spans="1:23" s="76" customFormat="1" ht="14.25" customHeight="1">
      <c r="A243" s="671" t="s">
        <v>3014</v>
      </c>
      <c r="B243" s="668" t="s">
        <v>420</v>
      </c>
      <c r="C243" s="668" t="s">
        <v>426</v>
      </c>
      <c r="D243" s="669" t="s">
        <v>1693</v>
      </c>
      <c r="E243" s="677">
        <v>197557</v>
      </c>
      <c r="F243" s="705"/>
      <c r="G243" s="677"/>
      <c r="H243" s="677"/>
      <c r="I243" s="677"/>
      <c r="J243" s="76" t="s">
        <v>812</v>
      </c>
      <c r="K243" s="668" t="s">
        <v>812</v>
      </c>
      <c r="L243" s="668" t="s">
        <v>812</v>
      </c>
      <c r="M243" s="76" t="s">
        <v>312</v>
      </c>
      <c r="N243" s="666">
        <v>20.0839</v>
      </c>
      <c r="O243" s="666">
        <v>92.993799999999993</v>
      </c>
      <c r="P243" s="666" t="s">
        <v>813</v>
      </c>
      <c r="Q243" s="76" t="s">
        <v>794</v>
      </c>
      <c r="R243" s="668"/>
      <c r="S243" s="668"/>
      <c r="T243" s="137"/>
      <c r="U243" s="672"/>
      <c r="V243" s="666" t="s">
        <v>426</v>
      </c>
      <c r="W243" s="666"/>
    </row>
    <row r="244" spans="1:23" s="76" customFormat="1" ht="14.25" customHeight="1">
      <c r="A244" s="671" t="s">
        <v>3014</v>
      </c>
      <c r="B244" s="668" t="s">
        <v>420</v>
      </c>
      <c r="C244" s="668" t="s">
        <v>423</v>
      </c>
      <c r="D244" s="760" t="s">
        <v>3138</v>
      </c>
      <c r="E244" s="76" t="s">
        <v>1372</v>
      </c>
      <c r="F244" s="76" t="s">
        <v>423</v>
      </c>
      <c r="G244" s="76" t="s">
        <v>1722</v>
      </c>
      <c r="H244" s="76" t="s">
        <v>43</v>
      </c>
      <c r="J244" s="76" t="s">
        <v>45</v>
      </c>
      <c r="K244" s="668" t="s">
        <v>45</v>
      </c>
      <c r="L244" s="668" t="s">
        <v>808</v>
      </c>
      <c r="M244" s="76" t="s">
        <v>809</v>
      </c>
      <c r="N244" s="76">
        <v>20.064226000000001</v>
      </c>
      <c r="O244" s="76">
        <v>92.993758999999997</v>
      </c>
      <c r="P244" s="666" t="s">
        <v>775</v>
      </c>
      <c r="Q244" s="76" t="s">
        <v>794</v>
      </c>
      <c r="R244" s="670">
        <v>617</v>
      </c>
      <c r="S244" s="671">
        <v>2852</v>
      </c>
      <c r="T244" s="137"/>
      <c r="U244" s="133"/>
      <c r="V244" s="76" t="s">
        <v>423</v>
      </c>
      <c r="W244" s="666"/>
    </row>
    <row r="245" spans="1:23" s="76" customFormat="1" ht="14.25" customHeight="1">
      <c r="A245" s="671" t="s">
        <v>3014</v>
      </c>
      <c r="B245" s="244" t="s">
        <v>420</v>
      </c>
      <c r="C245" s="244" t="s">
        <v>840</v>
      </c>
      <c r="D245" s="669" t="s">
        <v>1694</v>
      </c>
      <c r="E245" s="240" t="s">
        <v>1373</v>
      </c>
      <c r="F245" s="240" t="s">
        <v>423</v>
      </c>
      <c r="G245" s="240" t="s">
        <v>1722</v>
      </c>
      <c r="H245" s="240"/>
      <c r="I245" s="240"/>
      <c r="J245" s="76" t="s">
        <v>45</v>
      </c>
      <c r="K245" s="668" t="s">
        <v>45</v>
      </c>
      <c r="L245" s="668" t="s">
        <v>774</v>
      </c>
      <c r="M245" s="240" t="s">
        <v>809</v>
      </c>
      <c r="N245" s="240">
        <v>20.064226000000001</v>
      </c>
      <c r="O245" s="240">
        <v>92.993758999999997</v>
      </c>
      <c r="P245" s="76" t="s">
        <v>775</v>
      </c>
      <c r="Q245" s="240"/>
      <c r="R245" s="241"/>
      <c r="S245" s="239"/>
      <c r="T245" s="242"/>
      <c r="U245" s="243"/>
      <c r="V245" s="240" t="s">
        <v>841</v>
      </c>
      <c r="W245" s="666"/>
    </row>
    <row r="246" spans="1:23" s="76" customFormat="1" ht="14.25" customHeight="1">
      <c r="A246" s="671" t="s">
        <v>3014</v>
      </c>
      <c r="B246" s="668" t="s">
        <v>420</v>
      </c>
      <c r="C246" s="668" t="s">
        <v>422</v>
      </c>
      <c r="D246" s="760" t="s">
        <v>1693</v>
      </c>
      <c r="E246" s="666">
        <v>197548</v>
      </c>
      <c r="F246" s="666"/>
      <c r="G246" s="666"/>
      <c r="H246" s="666"/>
      <c r="I246" s="666"/>
      <c r="J246" s="76" t="s">
        <v>812</v>
      </c>
      <c r="K246" s="668" t="s">
        <v>812</v>
      </c>
      <c r="L246" s="668" t="s">
        <v>812</v>
      </c>
      <c r="M246" s="76" t="s">
        <v>809</v>
      </c>
      <c r="N246" s="666">
        <v>20.0641</v>
      </c>
      <c r="O246" s="668">
        <v>92.994600000000005</v>
      </c>
      <c r="P246" s="666" t="s">
        <v>813</v>
      </c>
      <c r="Q246" s="76" t="s">
        <v>794</v>
      </c>
      <c r="R246" s="670"/>
      <c r="S246" s="671"/>
      <c r="T246" s="137"/>
      <c r="U246" s="672"/>
      <c r="V246" s="666" t="s">
        <v>422</v>
      </c>
      <c r="W246" s="666"/>
    </row>
    <row r="247" spans="1:23" s="76" customFormat="1" ht="14.25" customHeight="1">
      <c r="A247" s="671" t="s">
        <v>3014</v>
      </c>
      <c r="B247" s="668" t="s">
        <v>420</v>
      </c>
      <c r="C247" s="668" t="s">
        <v>421</v>
      </c>
      <c r="D247" s="760" t="s">
        <v>1693</v>
      </c>
      <c r="E247" s="76">
        <v>197550</v>
      </c>
      <c r="F247" s="666"/>
      <c r="J247" s="76" t="s">
        <v>812</v>
      </c>
      <c r="K247" s="668" t="s">
        <v>812</v>
      </c>
      <c r="L247" s="668" t="s">
        <v>812</v>
      </c>
      <c r="M247" s="76" t="s">
        <v>312</v>
      </c>
      <c r="N247" s="76">
        <v>20.057860999999999</v>
      </c>
      <c r="O247" s="668">
        <v>92.995181000000002</v>
      </c>
      <c r="P247" s="76" t="s">
        <v>813</v>
      </c>
      <c r="Q247" s="76" t="s">
        <v>794</v>
      </c>
      <c r="R247" s="670"/>
      <c r="S247" s="671"/>
      <c r="T247" s="137"/>
      <c r="U247" s="133"/>
      <c r="V247" s="76" t="s">
        <v>421</v>
      </c>
      <c r="W247" s="670"/>
    </row>
    <row r="248" spans="1:23" s="76" customFormat="1" ht="14.25" customHeight="1">
      <c r="A248" s="671" t="s">
        <v>3014</v>
      </c>
      <c r="B248" s="668" t="s">
        <v>420</v>
      </c>
      <c r="C248" s="668" t="s">
        <v>1159</v>
      </c>
      <c r="D248" s="760" t="s">
        <v>1693</v>
      </c>
      <c r="E248" s="76">
        <v>220691</v>
      </c>
      <c r="F248" s="668"/>
      <c r="J248" s="76" t="s">
        <v>812</v>
      </c>
      <c r="K248" s="668" t="s">
        <v>812</v>
      </c>
      <c r="L248" s="668" t="s">
        <v>812</v>
      </c>
      <c r="P248" s="76" t="s">
        <v>813</v>
      </c>
      <c r="R248" s="674"/>
      <c r="S248" s="675"/>
      <c r="T248" s="137"/>
      <c r="U248" s="133"/>
      <c r="V248" s="76" t="s">
        <v>1159</v>
      </c>
      <c r="W248" s="670"/>
    </row>
    <row r="249" spans="1:23" s="76" customFormat="1" ht="14.25" customHeight="1">
      <c r="A249" s="671" t="s">
        <v>3014</v>
      </c>
      <c r="B249" s="668" t="s">
        <v>420</v>
      </c>
      <c r="C249" s="668" t="s">
        <v>2865</v>
      </c>
      <c r="D249" s="760" t="s">
        <v>1693</v>
      </c>
      <c r="E249" s="666">
        <v>197403</v>
      </c>
      <c r="F249" s="666"/>
      <c r="G249" s="666"/>
      <c r="H249" s="666"/>
      <c r="I249" s="666"/>
      <c r="J249" s="76" t="s">
        <v>812</v>
      </c>
      <c r="K249" s="76" t="s">
        <v>812</v>
      </c>
      <c r="L249" s="265" t="s">
        <v>812</v>
      </c>
      <c r="M249" s="76" t="s">
        <v>312</v>
      </c>
      <c r="N249" s="666"/>
      <c r="O249" s="666"/>
      <c r="R249" s="670"/>
      <c r="S249" s="671"/>
      <c r="T249" s="137"/>
      <c r="U249" s="672"/>
      <c r="V249" s="666"/>
      <c r="W249" s="666"/>
    </row>
    <row r="250" spans="1:23" s="76" customFormat="1" ht="14.25" customHeight="1">
      <c r="A250" s="671" t="s">
        <v>3014</v>
      </c>
      <c r="B250" s="668" t="s">
        <v>420</v>
      </c>
      <c r="C250" s="668" t="s">
        <v>2864</v>
      </c>
      <c r="D250" s="760" t="s">
        <v>1693</v>
      </c>
      <c r="E250" s="76">
        <v>197401</v>
      </c>
      <c r="F250" s="76" t="s">
        <v>2864</v>
      </c>
      <c r="J250" s="76" t="s">
        <v>812</v>
      </c>
      <c r="K250" s="76" t="s">
        <v>812</v>
      </c>
      <c r="L250" s="265" t="s">
        <v>812</v>
      </c>
      <c r="M250" s="76" t="s">
        <v>312</v>
      </c>
      <c r="N250" s="76">
        <v>20.260679244995099</v>
      </c>
      <c r="O250" s="76">
        <v>93.051597595214801</v>
      </c>
      <c r="R250" s="670"/>
      <c r="S250" s="671"/>
      <c r="T250" s="137"/>
      <c r="U250" s="133"/>
      <c r="W250" s="666"/>
    </row>
    <row r="251" spans="1:23" s="76" customFormat="1" ht="14.25" customHeight="1">
      <c r="A251" s="671" t="s">
        <v>3014</v>
      </c>
      <c r="B251" s="668" t="s">
        <v>420</v>
      </c>
      <c r="C251" s="668" t="s">
        <v>843</v>
      </c>
      <c r="D251" s="760" t="s">
        <v>1693</v>
      </c>
      <c r="E251" s="76">
        <v>197562</v>
      </c>
      <c r="F251" s="668"/>
      <c r="J251" s="76" t="s">
        <v>812</v>
      </c>
      <c r="K251" s="668" t="s">
        <v>812</v>
      </c>
      <c r="L251" s="668" t="s">
        <v>812</v>
      </c>
      <c r="N251" s="76">
        <v>20.06903076</v>
      </c>
      <c r="O251" s="76">
        <v>92.930137630000004</v>
      </c>
      <c r="P251" s="76" t="s">
        <v>813</v>
      </c>
      <c r="R251" s="670"/>
      <c r="S251" s="671"/>
      <c r="T251" s="137"/>
      <c r="U251" s="133"/>
      <c r="V251" s="76" t="s">
        <v>844</v>
      </c>
      <c r="W251" s="670"/>
    </row>
    <row r="252" spans="1:23" s="76" customFormat="1" ht="14.25" customHeight="1">
      <c r="A252" s="671" t="s">
        <v>3014</v>
      </c>
      <c r="B252" s="668" t="s">
        <v>420</v>
      </c>
      <c r="C252" s="668" t="s">
        <v>3253</v>
      </c>
      <c r="D252" s="760"/>
      <c r="E252" s="76">
        <v>217986</v>
      </c>
      <c r="J252" s="76" t="s">
        <v>812</v>
      </c>
      <c r="K252" s="76" t="s">
        <v>812</v>
      </c>
      <c r="L252" s="76" t="s">
        <v>812</v>
      </c>
      <c r="N252" s="76">
        <v>19.9964408874512</v>
      </c>
      <c r="O252" s="668">
        <v>92.951683044433594</v>
      </c>
      <c r="R252" s="674"/>
      <c r="S252" s="675"/>
      <c r="T252" s="137"/>
      <c r="U252" s="133"/>
      <c r="W252" s="666"/>
    </row>
    <row r="253" spans="1:23" s="76" customFormat="1" ht="14.25" customHeight="1">
      <c r="A253" s="671" t="s">
        <v>3014</v>
      </c>
      <c r="B253" s="668" t="s">
        <v>420</v>
      </c>
      <c r="C253" s="668" t="s">
        <v>2858</v>
      </c>
      <c r="D253" s="760" t="s">
        <v>1693</v>
      </c>
      <c r="E253" s="76">
        <v>197451</v>
      </c>
      <c r="J253" s="76" t="s">
        <v>812</v>
      </c>
      <c r="K253" s="76" t="s">
        <v>812</v>
      </c>
      <c r="L253" s="265" t="s">
        <v>812</v>
      </c>
      <c r="M253" s="76" t="s">
        <v>312</v>
      </c>
      <c r="Q253" s="666"/>
      <c r="R253" s="670"/>
      <c r="S253" s="132"/>
      <c r="T253" s="690"/>
      <c r="U253" s="133"/>
      <c r="W253" s="666"/>
    </row>
    <row r="254" spans="1:23" s="76" customFormat="1" ht="14.25" customHeight="1">
      <c r="A254" s="671" t="s">
        <v>3014</v>
      </c>
      <c r="B254" s="668" t="s">
        <v>420</v>
      </c>
      <c r="C254" s="668" t="s">
        <v>2827</v>
      </c>
      <c r="D254" s="760"/>
      <c r="F254" s="668"/>
      <c r="J254" s="76" t="s">
        <v>812</v>
      </c>
      <c r="K254" s="666" t="s">
        <v>812</v>
      </c>
      <c r="L254" s="666" t="s">
        <v>812</v>
      </c>
      <c r="R254" s="674"/>
      <c r="S254" s="675"/>
      <c r="T254" s="137"/>
      <c r="U254" s="133"/>
      <c r="W254" s="666"/>
    </row>
    <row r="255" spans="1:23" s="76" customFormat="1" ht="14.25" customHeight="1">
      <c r="A255" s="671" t="s">
        <v>3014</v>
      </c>
      <c r="B255" s="668" t="s">
        <v>420</v>
      </c>
      <c r="C255" s="668" t="s">
        <v>2828</v>
      </c>
      <c r="D255" s="760"/>
      <c r="E255" s="666"/>
      <c r="F255" s="668"/>
      <c r="J255" s="76" t="s">
        <v>812</v>
      </c>
      <c r="K255" s="666" t="s">
        <v>812</v>
      </c>
      <c r="L255" s="666" t="s">
        <v>812</v>
      </c>
      <c r="R255" s="674"/>
      <c r="S255" s="675"/>
      <c r="T255" s="137"/>
      <c r="U255" s="133"/>
      <c r="W255" s="666"/>
    </row>
    <row r="256" spans="1:23" s="76" customFormat="1" ht="14.25" customHeight="1">
      <c r="A256" s="671" t="s">
        <v>3014</v>
      </c>
      <c r="B256" s="668" t="s">
        <v>420</v>
      </c>
      <c r="C256" s="668" t="s">
        <v>2832</v>
      </c>
      <c r="D256" s="760"/>
      <c r="E256" s="76">
        <v>197543</v>
      </c>
      <c r="F256" s="76" t="s">
        <v>539</v>
      </c>
      <c r="J256" s="76" t="s">
        <v>812</v>
      </c>
      <c r="K256" s="666" t="s">
        <v>812</v>
      </c>
      <c r="L256" s="666" t="s">
        <v>812</v>
      </c>
      <c r="N256" s="76">
        <v>19.9403591156006</v>
      </c>
      <c r="O256" s="76">
        <v>93.009452819824205</v>
      </c>
      <c r="R256" s="674"/>
      <c r="S256" s="675"/>
      <c r="T256" s="137"/>
      <c r="U256" s="133"/>
      <c r="W256" s="666"/>
    </row>
    <row r="257" spans="1:23" s="76" customFormat="1" ht="14.25" customHeight="1">
      <c r="A257" s="671" t="s">
        <v>3014</v>
      </c>
      <c r="B257" s="668" t="s">
        <v>420</v>
      </c>
      <c r="C257" s="668" t="s">
        <v>2830</v>
      </c>
      <c r="D257" s="760"/>
      <c r="E257" s="666">
        <v>197574</v>
      </c>
      <c r="F257" s="76" t="s">
        <v>3093</v>
      </c>
      <c r="J257" s="76" t="s">
        <v>812</v>
      </c>
      <c r="K257" s="76" t="s">
        <v>812</v>
      </c>
      <c r="L257" s="76" t="s">
        <v>812</v>
      </c>
      <c r="N257" s="76">
        <v>20.068620681762699</v>
      </c>
      <c r="O257" s="76">
        <v>92.934440612792997</v>
      </c>
      <c r="R257" s="674"/>
      <c r="S257" s="675"/>
      <c r="T257" s="137"/>
      <c r="U257" s="133"/>
      <c r="W257" s="666"/>
    </row>
    <row r="258" spans="1:23" s="76" customFormat="1" ht="14.25" customHeight="1">
      <c r="A258" s="671" t="s">
        <v>3014</v>
      </c>
      <c r="B258" s="668" t="s">
        <v>420</v>
      </c>
      <c r="C258" s="668" t="s">
        <v>2856</v>
      </c>
      <c r="D258" s="669" t="s">
        <v>1693</v>
      </c>
      <c r="E258" s="677">
        <v>197447</v>
      </c>
      <c r="F258" s="677"/>
      <c r="G258" s="677"/>
      <c r="H258" s="677"/>
      <c r="I258" s="677"/>
      <c r="J258" s="76" t="s">
        <v>812</v>
      </c>
      <c r="K258" s="666" t="s">
        <v>812</v>
      </c>
      <c r="L258" s="265" t="s">
        <v>812</v>
      </c>
      <c r="M258" s="76" t="s">
        <v>312</v>
      </c>
      <c r="R258" s="668"/>
      <c r="S258" s="668"/>
      <c r="T258" s="137"/>
      <c r="U258" s="133"/>
      <c r="W258" s="666"/>
    </row>
    <row r="259" spans="1:23" s="76" customFormat="1" ht="14.25" customHeight="1">
      <c r="A259" s="671" t="s">
        <v>3014</v>
      </c>
      <c r="B259" s="674" t="s">
        <v>470</v>
      </c>
      <c r="C259" s="675" t="s">
        <v>3149</v>
      </c>
      <c r="D259" s="669"/>
      <c r="E259" s="666">
        <v>196217</v>
      </c>
      <c r="F259" s="666"/>
      <c r="J259" s="76" t="s">
        <v>3028</v>
      </c>
      <c r="K259" s="666" t="s">
        <v>2942</v>
      </c>
      <c r="L259" s="666" t="s">
        <v>2942</v>
      </c>
      <c r="N259" s="76">
        <v>20.643140792846701</v>
      </c>
      <c r="O259" s="76">
        <v>92.851875305175795</v>
      </c>
      <c r="R259" s="678"/>
      <c r="S259" s="671"/>
      <c r="T259" s="137">
        <v>43591</v>
      </c>
      <c r="U259" s="678"/>
      <c r="W259" s="670"/>
    </row>
    <row r="260" spans="1:23" s="76" customFormat="1" ht="14.25" customHeight="1">
      <c r="A260" s="674" t="s">
        <v>3014</v>
      </c>
      <c r="B260" s="674" t="s">
        <v>470</v>
      </c>
      <c r="C260" s="675" t="s">
        <v>3257</v>
      </c>
      <c r="D260" s="669"/>
      <c r="E260" s="666">
        <v>196309</v>
      </c>
      <c r="J260" s="76" t="s">
        <v>3028</v>
      </c>
      <c r="K260" s="666" t="s">
        <v>2942</v>
      </c>
      <c r="L260" s="666" t="s">
        <v>2942</v>
      </c>
      <c r="N260" s="666">
        <v>20.623949050903299</v>
      </c>
      <c r="O260" s="666">
        <v>92.950813293457003</v>
      </c>
      <c r="R260" s="678"/>
      <c r="S260" s="132"/>
      <c r="T260" s="137">
        <v>43591</v>
      </c>
      <c r="U260" s="678"/>
      <c r="V260" s="76" t="s">
        <v>3191</v>
      </c>
      <c r="W260" s="670"/>
    </row>
    <row r="261" spans="1:23" s="76" customFormat="1" ht="14.25" customHeight="1">
      <c r="A261" s="674" t="s">
        <v>3014</v>
      </c>
      <c r="B261" s="674" t="s">
        <v>470</v>
      </c>
      <c r="C261" s="675" t="s">
        <v>3190</v>
      </c>
      <c r="D261" s="669"/>
      <c r="J261" s="76" t="s">
        <v>3028</v>
      </c>
      <c r="K261" s="666" t="s">
        <v>2942</v>
      </c>
      <c r="L261" s="666" t="s">
        <v>2942</v>
      </c>
      <c r="O261" s="666"/>
      <c r="R261" s="678"/>
      <c r="S261" s="671"/>
      <c r="T261" s="137">
        <v>43591</v>
      </c>
      <c r="U261" s="678"/>
      <c r="W261" s="670"/>
    </row>
    <row r="262" spans="1:23" s="76" customFormat="1" ht="14.25" customHeight="1">
      <c r="A262" s="674" t="s">
        <v>3014</v>
      </c>
      <c r="B262" s="674" t="s">
        <v>470</v>
      </c>
      <c r="C262" s="675" t="s">
        <v>3194</v>
      </c>
      <c r="D262" s="669"/>
      <c r="E262" s="76">
        <v>196329</v>
      </c>
      <c r="J262" s="76" t="s">
        <v>3028</v>
      </c>
      <c r="K262" s="76" t="s">
        <v>2942</v>
      </c>
      <c r="L262" s="76" t="s">
        <v>2942</v>
      </c>
      <c r="N262" s="76">
        <v>20.5511798858643</v>
      </c>
      <c r="O262" s="76">
        <v>93.065322875976605</v>
      </c>
      <c r="R262" s="678"/>
      <c r="S262" s="671"/>
      <c r="T262" s="137">
        <v>43591</v>
      </c>
      <c r="U262" s="678"/>
      <c r="W262" s="670"/>
    </row>
    <row r="263" spans="1:23" s="76" customFormat="1" ht="14.25" customHeight="1">
      <c r="A263" s="671" t="s">
        <v>3014</v>
      </c>
      <c r="B263" s="668" t="s">
        <v>470</v>
      </c>
      <c r="C263" s="668" t="s">
        <v>502</v>
      </c>
      <c r="D263" s="760" t="s">
        <v>1693</v>
      </c>
      <c r="E263" s="76">
        <v>196350</v>
      </c>
      <c r="F263" s="668"/>
      <c r="J263" s="76" t="s">
        <v>812</v>
      </c>
      <c r="K263" s="668" t="s">
        <v>812</v>
      </c>
      <c r="L263" s="668" t="s">
        <v>812</v>
      </c>
      <c r="M263" s="76" t="s">
        <v>809</v>
      </c>
      <c r="N263" s="76">
        <v>20.494340900000001</v>
      </c>
      <c r="O263" s="76">
        <v>93.054298399999993</v>
      </c>
      <c r="P263" s="76" t="s">
        <v>813</v>
      </c>
      <c r="Q263" s="76" t="s">
        <v>794</v>
      </c>
      <c r="R263" s="670"/>
      <c r="S263" s="132"/>
      <c r="T263" s="137"/>
      <c r="U263" s="133"/>
      <c r="V263" s="76" t="s">
        <v>915</v>
      </c>
      <c r="W263" s="670"/>
    </row>
    <row r="264" spans="1:23" s="76" customFormat="1" ht="14.25" customHeight="1">
      <c r="A264" s="674" t="s">
        <v>3014</v>
      </c>
      <c r="B264" s="674" t="s">
        <v>470</v>
      </c>
      <c r="C264" s="675" t="s">
        <v>3187</v>
      </c>
      <c r="D264" s="669"/>
      <c r="E264" s="76">
        <v>196218</v>
      </c>
      <c r="J264" s="76" t="s">
        <v>3028</v>
      </c>
      <c r="K264" s="666" t="s">
        <v>2942</v>
      </c>
      <c r="L264" s="666" t="s">
        <v>2942</v>
      </c>
      <c r="N264" s="76">
        <v>20.709392547607401</v>
      </c>
      <c r="O264" s="666">
        <v>92.815086364746094</v>
      </c>
      <c r="R264" s="678"/>
      <c r="S264" s="132"/>
      <c r="T264" s="137">
        <v>43591</v>
      </c>
      <c r="U264" s="678"/>
      <c r="W264" s="670"/>
    </row>
    <row r="265" spans="1:23" s="76" customFormat="1" ht="14.25" customHeight="1">
      <c r="A265" s="671" t="s">
        <v>3014</v>
      </c>
      <c r="B265" s="668" t="s">
        <v>470</v>
      </c>
      <c r="C265" s="668" t="s">
        <v>526</v>
      </c>
      <c r="D265" s="760" t="s">
        <v>1693</v>
      </c>
      <c r="E265" s="76">
        <v>196318</v>
      </c>
      <c r="F265" s="693" t="s">
        <v>526</v>
      </c>
      <c r="J265" s="76" t="s">
        <v>812</v>
      </c>
      <c r="K265" s="668" t="s">
        <v>812</v>
      </c>
      <c r="L265" s="668" t="s">
        <v>812</v>
      </c>
      <c r="M265" s="76" t="s">
        <v>809</v>
      </c>
      <c r="N265" s="76">
        <v>20.608819960000002</v>
      </c>
      <c r="O265" s="76">
        <v>93.022407529999995</v>
      </c>
      <c r="P265" s="76" t="s">
        <v>813</v>
      </c>
      <c r="Q265" s="76" t="s">
        <v>794</v>
      </c>
      <c r="R265" s="670"/>
      <c r="S265" s="671"/>
      <c r="T265" s="137"/>
      <c r="U265" s="133"/>
      <c r="V265" s="76" t="s">
        <v>930</v>
      </c>
      <c r="W265" s="670"/>
    </row>
    <row r="266" spans="1:23" s="76" customFormat="1" ht="14.25" customHeight="1">
      <c r="A266" s="674" t="s">
        <v>3014</v>
      </c>
      <c r="B266" s="674" t="s">
        <v>470</v>
      </c>
      <c r="C266" s="675" t="s">
        <v>3188</v>
      </c>
      <c r="D266" s="669"/>
      <c r="E266" s="76">
        <v>196403</v>
      </c>
      <c r="J266" s="76" t="s">
        <v>3028</v>
      </c>
      <c r="K266" s="666" t="s">
        <v>2942</v>
      </c>
      <c r="L266" s="666" t="s">
        <v>2942</v>
      </c>
      <c r="N266" s="76">
        <v>20.303350448608398</v>
      </c>
      <c r="O266" s="76">
        <v>92.927062988281307</v>
      </c>
      <c r="R266" s="678"/>
      <c r="S266" s="671"/>
      <c r="T266" s="137">
        <v>43591</v>
      </c>
      <c r="U266" s="678"/>
      <c r="W266" s="670"/>
    </row>
    <row r="267" spans="1:23" s="76" customFormat="1" ht="14.25" customHeight="1">
      <c r="A267" s="671" t="s">
        <v>3014</v>
      </c>
      <c r="B267" s="668" t="s">
        <v>470</v>
      </c>
      <c r="C267" s="668" t="s">
        <v>899</v>
      </c>
      <c r="D267" s="760" t="s">
        <v>1693</v>
      </c>
      <c r="E267" s="666">
        <v>196357</v>
      </c>
      <c r="F267" s="666" t="s">
        <v>899</v>
      </c>
      <c r="G267" s="666"/>
      <c r="H267" s="666"/>
      <c r="J267" s="76" t="s">
        <v>812</v>
      </c>
      <c r="K267" s="668" t="s">
        <v>812</v>
      </c>
      <c r="L267" s="668" t="s">
        <v>812</v>
      </c>
      <c r="M267" s="76" t="s">
        <v>312</v>
      </c>
      <c r="N267" s="666">
        <v>20.369959999999999</v>
      </c>
      <c r="O267" s="666">
        <v>93.019220000000004</v>
      </c>
      <c r="P267" s="666" t="s">
        <v>813</v>
      </c>
      <c r="R267" s="670"/>
      <c r="S267" s="671"/>
      <c r="T267" s="137"/>
      <c r="U267" s="672"/>
      <c r="V267" s="666" t="s">
        <v>899</v>
      </c>
      <c r="W267" s="670"/>
    </row>
    <row r="268" spans="1:23" s="76" customFormat="1" ht="14.25" customHeight="1">
      <c r="A268" s="671" t="s">
        <v>3014</v>
      </c>
      <c r="B268" s="668" t="s">
        <v>470</v>
      </c>
      <c r="C268" s="668" t="s">
        <v>527</v>
      </c>
      <c r="D268" s="760" t="s">
        <v>1693</v>
      </c>
      <c r="E268" s="76">
        <v>196316</v>
      </c>
      <c r="J268" s="76" t="s">
        <v>812</v>
      </c>
      <c r="K268" s="668" t="s">
        <v>812</v>
      </c>
      <c r="L268" s="668" t="s">
        <v>812</v>
      </c>
      <c r="M268" s="76" t="s">
        <v>312</v>
      </c>
      <c r="N268" s="76">
        <v>20.630609509999999</v>
      </c>
      <c r="O268" s="76">
        <v>92.998641969999994</v>
      </c>
      <c r="P268" s="76" t="s">
        <v>813</v>
      </c>
      <c r="Q268" s="76" t="s">
        <v>794</v>
      </c>
      <c r="R268" s="670"/>
      <c r="S268" s="671"/>
      <c r="T268" s="137"/>
      <c r="U268" s="133"/>
      <c r="V268" s="76" t="s">
        <v>932</v>
      </c>
      <c r="W268" s="670"/>
    </row>
    <row r="269" spans="1:23" s="76" customFormat="1" ht="14.25" customHeight="1">
      <c r="A269" s="674" t="s">
        <v>3014</v>
      </c>
      <c r="B269" s="674" t="s">
        <v>470</v>
      </c>
      <c r="C269" s="675" t="s">
        <v>3192</v>
      </c>
      <c r="D269" s="669"/>
      <c r="E269" s="76">
        <v>196317</v>
      </c>
      <c r="F269" s="666"/>
      <c r="J269" s="76" t="s">
        <v>3028</v>
      </c>
      <c r="K269" s="666" t="s">
        <v>2942</v>
      </c>
      <c r="L269" s="666" t="s">
        <v>2942</v>
      </c>
      <c r="N269" s="76">
        <v>20.616569519043001</v>
      </c>
      <c r="O269" s="76">
        <v>92.991638183593807</v>
      </c>
      <c r="R269" s="678"/>
      <c r="S269" s="132"/>
      <c r="T269" s="137">
        <v>43591</v>
      </c>
      <c r="U269" s="678"/>
      <c r="W269" s="670"/>
    </row>
    <row r="270" spans="1:23" s="76" customFormat="1" ht="14.25" customHeight="1">
      <c r="A270" s="671" t="s">
        <v>3014</v>
      </c>
      <c r="B270" s="668" t="s">
        <v>470</v>
      </c>
      <c r="C270" s="668" t="s">
        <v>533</v>
      </c>
      <c r="D270" s="760" t="s">
        <v>1693</v>
      </c>
      <c r="E270" s="76">
        <v>196313</v>
      </c>
      <c r="F270" s="76" t="s">
        <v>528</v>
      </c>
      <c r="J270" s="76" t="s">
        <v>812</v>
      </c>
      <c r="K270" s="76" t="s">
        <v>812</v>
      </c>
      <c r="L270" s="76" t="s">
        <v>812</v>
      </c>
      <c r="M270" s="76" t="s">
        <v>312</v>
      </c>
      <c r="N270" s="76">
        <v>20.645240780000002</v>
      </c>
      <c r="O270" s="76">
        <v>92.939758299999994</v>
      </c>
      <c r="P270" s="76" t="s">
        <v>813</v>
      </c>
      <c r="Q270" s="76" t="s">
        <v>794</v>
      </c>
      <c r="R270" s="670"/>
      <c r="S270" s="132"/>
      <c r="T270" s="137"/>
      <c r="U270" s="133"/>
      <c r="V270" s="76" t="s">
        <v>533</v>
      </c>
      <c r="W270" s="670"/>
    </row>
    <row r="271" spans="1:23" s="76" customFormat="1" ht="14.25" customHeight="1">
      <c r="A271" s="671" t="s">
        <v>3014</v>
      </c>
      <c r="B271" s="668" t="s">
        <v>470</v>
      </c>
      <c r="C271" s="668" t="s">
        <v>896</v>
      </c>
      <c r="D271" s="760" t="s">
        <v>1693</v>
      </c>
      <c r="E271" s="76">
        <v>196401</v>
      </c>
      <c r="J271" s="76" t="s">
        <v>812</v>
      </c>
      <c r="K271" s="666" t="s">
        <v>812</v>
      </c>
      <c r="L271" s="666" t="s">
        <v>812</v>
      </c>
      <c r="M271" s="76" t="s">
        <v>312</v>
      </c>
      <c r="N271" s="76">
        <v>20.327500000000001</v>
      </c>
      <c r="O271" s="76">
        <v>92.8947</v>
      </c>
      <c r="P271" s="76" t="s">
        <v>813</v>
      </c>
      <c r="R271" s="670"/>
      <c r="S271" s="132"/>
      <c r="T271" s="137"/>
      <c r="U271" s="133"/>
      <c r="V271" s="76" t="s">
        <v>896</v>
      </c>
      <c r="W271" s="670"/>
    </row>
    <row r="272" spans="1:23" s="76" customFormat="1" ht="14.25" customHeight="1">
      <c r="A272" s="671" t="s">
        <v>3014</v>
      </c>
      <c r="B272" s="668" t="s">
        <v>470</v>
      </c>
      <c r="C272" s="668" t="s">
        <v>499</v>
      </c>
      <c r="D272" s="760" t="s">
        <v>1693</v>
      </c>
      <c r="E272" s="666">
        <v>196349</v>
      </c>
      <c r="F272" s="666"/>
      <c r="J272" s="76" t="s">
        <v>812</v>
      </c>
      <c r="K272" s="76" t="s">
        <v>812</v>
      </c>
      <c r="L272" s="76" t="s">
        <v>812</v>
      </c>
      <c r="M272" s="76" t="s">
        <v>312</v>
      </c>
      <c r="N272" s="76">
        <v>20.482030869999999</v>
      </c>
      <c r="O272" s="668">
        <v>93.045410160000003</v>
      </c>
      <c r="P272" s="76" t="s">
        <v>813</v>
      </c>
      <c r="Q272" s="76" t="s">
        <v>794</v>
      </c>
      <c r="R272" s="670"/>
      <c r="S272" s="132"/>
      <c r="T272" s="137"/>
      <c r="U272" s="133"/>
      <c r="V272" s="76" t="s">
        <v>499</v>
      </c>
      <c r="W272" s="670"/>
    </row>
    <row r="273" spans="1:23" s="76" customFormat="1" ht="14.25" customHeight="1">
      <c r="A273" s="671" t="s">
        <v>3014</v>
      </c>
      <c r="B273" s="668" t="s">
        <v>470</v>
      </c>
      <c r="C273" s="668" t="s">
        <v>895</v>
      </c>
      <c r="D273" s="760" t="s">
        <v>1693</v>
      </c>
      <c r="E273" s="76">
        <v>196375</v>
      </c>
      <c r="F273" s="666" t="s">
        <v>895</v>
      </c>
      <c r="J273" s="76" t="s">
        <v>812</v>
      </c>
      <c r="K273" s="76" t="s">
        <v>812</v>
      </c>
      <c r="L273" s="76" t="s">
        <v>812</v>
      </c>
      <c r="M273" s="76" t="s">
        <v>312</v>
      </c>
      <c r="N273" s="76">
        <v>20.308</v>
      </c>
      <c r="O273" s="76">
        <v>93.01</v>
      </c>
      <c r="P273" s="76" t="s">
        <v>813</v>
      </c>
      <c r="R273" s="670"/>
      <c r="S273" s="132"/>
      <c r="T273" s="137"/>
      <c r="U273" s="133"/>
      <c r="V273" s="76" t="s">
        <v>895</v>
      </c>
      <c r="W273" s="670"/>
    </row>
    <row r="274" spans="1:23" s="76" customFormat="1" ht="14.25" customHeight="1">
      <c r="A274" s="674" t="s">
        <v>3014</v>
      </c>
      <c r="B274" s="674" t="s">
        <v>470</v>
      </c>
      <c r="C274" s="675" t="s">
        <v>3193</v>
      </c>
      <c r="D274" s="669"/>
      <c r="E274" s="76">
        <v>196315</v>
      </c>
      <c r="J274" s="76" t="s">
        <v>3028</v>
      </c>
      <c r="K274" s="666" t="s">
        <v>2942</v>
      </c>
      <c r="L274" s="76" t="s">
        <v>2942</v>
      </c>
      <c r="N274" s="76">
        <v>20.622760772705099</v>
      </c>
      <c r="O274" s="76">
        <v>92.954826354980497</v>
      </c>
      <c r="R274" s="678"/>
      <c r="S274" s="671"/>
      <c r="T274" s="137">
        <v>43591</v>
      </c>
      <c r="U274" s="678"/>
      <c r="V274" s="666"/>
      <c r="W274" s="670"/>
    </row>
    <row r="275" spans="1:23" s="76" customFormat="1" ht="14.25" customHeight="1">
      <c r="A275" s="671" t="s">
        <v>3014</v>
      </c>
      <c r="B275" s="668" t="s">
        <v>470</v>
      </c>
      <c r="C275" s="668" t="s">
        <v>528</v>
      </c>
      <c r="D275" s="760" t="s">
        <v>1693</v>
      </c>
      <c r="E275" s="666">
        <v>196312</v>
      </c>
      <c r="F275" s="668"/>
      <c r="J275" s="76" t="s">
        <v>812</v>
      </c>
      <c r="K275" s="666" t="s">
        <v>812</v>
      </c>
      <c r="L275" s="76" t="s">
        <v>812</v>
      </c>
      <c r="M275" s="76" t="s">
        <v>312</v>
      </c>
      <c r="N275" s="666">
        <v>20.63272095</v>
      </c>
      <c r="O275" s="668">
        <v>92.940132140000003</v>
      </c>
      <c r="P275" s="76" t="s">
        <v>813</v>
      </c>
      <c r="Q275" s="76" t="s">
        <v>794</v>
      </c>
      <c r="R275" s="674"/>
      <c r="S275" s="675"/>
      <c r="T275" s="137"/>
      <c r="U275" s="133"/>
      <c r="V275" s="76" t="s">
        <v>933</v>
      </c>
      <c r="W275" s="670"/>
    </row>
    <row r="276" spans="1:23" s="76" customFormat="1" ht="14.25" customHeight="1">
      <c r="A276" s="671" t="s">
        <v>3014</v>
      </c>
      <c r="B276" s="668" t="s">
        <v>470</v>
      </c>
      <c r="C276" s="668" t="s">
        <v>525</v>
      </c>
      <c r="D276" s="760" t="s">
        <v>1693</v>
      </c>
      <c r="E276" s="76">
        <v>196321</v>
      </c>
      <c r="F276" s="668"/>
      <c r="J276" s="76" t="s">
        <v>812</v>
      </c>
      <c r="K276" s="76" t="s">
        <v>812</v>
      </c>
      <c r="L276" s="76" t="s">
        <v>812</v>
      </c>
      <c r="M276" s="76" t="s">
        <v>312</v>
      </c>
      <c r="N276" s="76">
        <v>20.59627914</v>
      </c>
      <c r="O276" s="76">
        <v>92.987480160000004</v>
      </c>
      <c r="P276" s="76" t="s">
        <v>813</v>
      </c>
      <c r="Q276" s="76" t="s">
        <v>794</v>
      </c>
      <c r="R276" s="670"/>
      <c r="S276" s="671"/>
      <c r="T276" s="137"/>
      <c r="U276" s="133"/>
      <c r="V276" s="76" t="s">
        <v>525</v>
      </c>
      <c r="W276" s="670"/>
    </row>
    <row r="277" spans="1:23" s="76" customFormat="1" ht="14.25" customHeight="1">
      <c r="A277" s="671" t="s">
        <v>3014</v>
      </c>
      <c r="B277" s="668" t="s">
        <v>470</v>
      </c>
      <c r="C277" s="668" t="s">
        <v>894</v>
      </c>
      <c r="D277" s="760" t="s">
        <v>1693</v>
      </c>
      <c r="E277" s="76">
        <v>196412</v>
      </c>
      <c r="F277" s="668" t="s">
        <v>894</v>
      </c>
      <c r="J277" s="76" t="s">
        <v>812</v>
      </c>
      <c r="K277" s="666" t="s">
        <v>812</v>
      </c>
      <c r="L277" s="76" t="s">
        <v>812</v>
      </c>
      <c r="M277" s="76" t="s">
        <v>312</v>
      </c>
      <c r="N277" s="76">
        <v>20.242139999999999</v>
      </c>
      <c r="O277" s="76">
        <v>92.921729999999997</v>
      </c>
      <c r="P277" s="76" t="s">
        <v>813</v>
      </c>
      <c r="R277" s="674"/>
      <c r="S277" s="675"/>
      <c r="T277" s="137"/>
      <c r="U277" s="133"/>
      <c r="V277" s="76" t="s">
        <v>894</v>
      </c>
      <c r="W277" s="670"/>
    </row>
    <row r="278" spans="1:23" s="76" customFormat="1" ht="14.25" customHeight="1">
      <c r="A278" s="671" t="s">
        <v>3014</v>
      </c>
      <c r="B278" s="674" t="s">
        <v>470</v>
      </c>
      <c r="C278" s="675" t="s">
        <v>3259</v>
      </c>
      <c r="D278" s="669"/>
      <c r="E278" s="76">
        <v>196234</v>
      </c>
      <c r="J278" s="76" t="s">
        <v>3028</v>
      </c>
      <c r="K278" s="76" t="s">
        <v>2942</v>
      </c>
      <c r="L278" s="76" t="s">
        <v>2942</v>
      </c>
      <c r="N278" s="76">
        <v>20.580810546875</v>
      </c>
      <c r="O278" s="76">
        <v>92.869346618652301</v>
      </c>
      <c r="R278" s="678"/>
      <c r="S278" s="132"/>
      <c r="T278" s="137">
        <v>43591</v>
      </c>
      <c r="U278" s="678"/>
      <c r="V278" s="76" t="s">
        <v>3151</v>
      </c>
      <c r="W278" s="670"/>
    </row>
    <row r="279" spans="1:23" s="76" customFormat="1" ht="14.25" customHeight="1">
      <c r="A279" s="671" t="s">
        <v>3014</v>
      </c>
      <c r="B279" s="668" t="s">
        <v>470</v>
      </c>
      <c r="C279" s="668" t="s">
        <v>471</v>
      </c>
      <c r="D279" s="760" t="s">
        <v>1693</v>
      </c>
      <c r="E279" s="666">
        <v>196408</v>
      </c>
      <c r="F279" s="668"/>
      <c r="G279" s="666"/>
      <c r="H279" s="666"/>
      <c r="I279" s="666"/>
      <c r="J279" s="666" t="s">
        <v>812</v>
      </c>
      <c r="K279" s="666" t="s">
        <v>812</v>
      </c>
      <c r="L279" s="666" t="s">
        <v>812</v>
      </c>
      <c r="M279" s="666" t="s">
        <v>312</v>
      </c>
      <c r="N279" s="666">
        <v>20.268000000000001</v>
      </c>
      <c r="O279" s="666">
        <v>92.977999999999994</v>
      </c>
      <c r="P279" s="666" t="s">
        <v>813</v>
      </c>
      <c r="Q279" s="666" t="s">
        <v>794</v>
      </c>
      <c r="R279" s="670"/>
      <c r="S279" s="671"/>
      <c r="T279" s="690"/>
      <c r="U279" s="672"/>
      <c r="V279" s="666" t="s">
        <v>471</v>
      </c>
      <c r="W279" s="670"/>
    </row>
    <row r="280" spans="1:23" s="76" customFormat="1" ht="14.25" customHeight="1">
      <c r="A280" s="671" t="s">
        <v>3014</v>
      </c>
      <c r="B280" s="674" t="s">
        <v>470</v>
      </c>
      <c r="C280" s="675" t="s">
        <v>474</v>
      </c>
      <c r="D280" s="669" t="s">
        <v>1693</v>
      </c>
      <c r="E280" s="76">
        <v>196377</v>
      </c>
      <c r="J280" s="76" t="s">
        <v>812</v>
      </c>
      <c r="K280" s="76" t="s">
        <v>812</v>
      </c>
      <c r="L280" s="76" t="s">
        <v>812</v>
      </c>
      <c r="M280" s="76" t="s">
        <v>312</v>
      </c>
      <c r="N280" s="76">
        <v>20.292100000000001</v>
      </c>
      <c r="O280" s="76">
        <v>92.994100000000003</v>
      </c>
      <c r="P280" s="76" t="s">
        <v>813</v>
      </c>
      <c r="Q280" s="76" t="s">
        <v>794</v>
      </c>
      <c r="R280" s="678"/>
      <c r="S280" s="671"/>
      <c r="T280" s="137"/>
      <c r="U280" s="133"/>
      <c r="V280" s="76" t="s">
        <v>474</v>
      </c>
      <c r="W280" s="670"/>
    </row>
    <row r="281" spans="1:23" s="76" customFormat="1" ht="14.25" customHeight="1">
      <c r="A281" s="671" t="s">
        <v>3014</v>
      </c>
      <c r="B281" s="668" t="s">
        <v>470</v>
      </c>
      <c r="C281" s="668" t="s">
        <v>505</v>
      </c>
      <c r="D281" s="760" t="s">
        <v>1693</v>
      </c>
      <c r="E281" s="76">
        <v>196337</v>
      </c>
      <c r="J281" s="76" t="s">
        <v>812</v>
      </c>
      <c r="K281" s="666" t="s">
        <v>812</v>
      </c>
      <c r="L281" s="666" t="s">
        <v>812</v>
      </c>
      <c r="M281" s="76" t="s">
        <v>312</v>
      </c>
      <c r="N281" s="76">
        <v>20.509660719999999</v>
      </c>
      <c r="O281" s="76">
        <v>92.997230529999996</v>
      </c>
      <c r="P281" s="76" t="s">
        <v>813</v>
      </c>
      <c r="Q281" s="76" t="s">
        <v>794</v>
      </c>
      <c r="R281" s="670"/>
      <c r="S281" s="671"/>
      <c r="T281" s="137"/>
      <c r="U281" s="133"/>
      <c r="V281" s="76" t="s">
        <v>505</v>
      </c>
      <c r="W281" s="670"/>
    </row>
    <row r="282" spans="1:23" s="76" customFormat="1" ht="14.25" customHeight="1">
      <c r="A282" s="674" t="s">
        <v>3014</v>
      </c>
      <c r="B282" s="674" t="s">
        <v>470</v>
      </c>
      <c r="C282" s="675" t="s">
        <v>1772</v>
      </c>
      <c r="D282" s="669"/>
      <c r="E282" s="76">
        <v>196369</v>
      </c>
      <c r="J282" s="76" t="s">
        <v>3028</v>
      </c>
      <c r="K282" s="76" t="s">
        <v>2942</v>
      </c>
      <c r="L282" s="76" t="s">
        <v>2942</v>
      </c>
      <c r="N282" s="666">
        <v>20.337610244751001</v>
      </c>
      <c r="O282" s="666">
        <v>92.969711303710895</v>
      </c>
      <c r="R282" s="678"/>
      <c r="S282" s="132"/>
      <c r="T282" s="137">
        <v>43591</v>
      </c>
      <c r="U282" s="678"/>
      <c r="W282" s="670"/>
    </row>
    <row r="283" spans="1:23" s="76" customFormat="1" ht="14.25" customHeight="1">
      <c r="A283" s="674" t="s">
        <v>3014</v>
      </c>
      <c r="B283" s="674" t="s">
        <v>470</v>
      </c>
      <c r="C283" s="675" t="s">
        <v>3189</v>
      </c>
      <c r="D283" s="669"/>
      <c r="E283" s="666">
        <v>196369</v>
      </c>
      <c r="J283" s="76" t="s">
        <v>3028</v>
      </c>
      <c r="K283" s="76" t="s">
        <v>2942</v>
      </c>
      <c r="L283" s="76" t="s">
        <v>2942</v>
      </c>
      <c r="N283" s="666">
        <v>20.337610244751001</v>
      </c>
      <c r="O283" s="666">
        <v>92.969711303710895</v>
      </c>
      <c r="R283" s="678"/>
      <c r="S283" s="132"/>
      <c r="T283" s="137">
        <v>43591</v>
      </c>
      <c r="U283" s="678"/>
      <c r="W283" s="670"/>
    </row>
    <row r="284" spans="1:23" s="76" customFormat="1" ht="14.25" customHeight="1">
      <c r="A284" s="671" t="s">
        <v>3014</v>
      </c>
      <c r="B284" s="668" t="s">
        <v>470</v>
      </c>
      <c r="C284" s="668" t="s">
        <v>477</v>
      </c>
      <c r="D284" s="760" t="s">
        <v>1693</v>
      </c>
      <c r="E284" s="76">
        <v>196359</v>
      </c>
      <c r="F284" s="666" t="s">
        <v>477</v>
      </c>
      <c r="J284" s="76" t="s">
        <v>812</v>
      </c>
      <c r="K284" s="76" t="s">
        <v>812</v>
      </c>
      <c r="L284" s="76" t="s">
        <v>812</v>
      </c>
      <c r="M284" s="76" t="s">
        <v>312</v>
      </c>
      <c r="N284" s="666">
        <v>20.361530299999998</v>
      </c>
      <c r="O284" s="666">
        <v>92.992073059999996</v>
      </c>
      <c r="P284" s="76" t="s">
        <v>813</v>
      </c>
      <c r="Q284" s="76" t="s">
        <v>794</v>
      </c>
      <c r="R284" s="670"/>
      <c r="S284" s="671"/>
      <c r="T284" s="137"/>
      <c r="U284" s="133"/>
      <c r="V284" s="76" t="s">
        <v>477</v>
      </c>
      <c r="W284" s="670"/>
    </row>
    <row r="285" spans="1:23" s="76" customFormat="1" ht="14.25" customHeight="1">
      <c r="A285" s="671" t="s">
        <v>3014</v>
      </c>
      <c r="B285" s="668" t="s">
        <v>470</v>
      </c>
      <c r="C285" s="668" t="s">
        <v>504</v>
      </c>
      <c r="D285" s="760" t="s">
        <v>1693</v>
      </c>
      <c r="E285" s="76">
        <v>196351</v>
      </c>
      <c r="F285" s="666"/>
      <c r="J285" s="76" t="s">
        <v>812</v>
      </c>
      <c r="K285" s="666" t="s">
        <v>812</v>
      </c>
      <c r="L285" s="666" t="s">
        <v>812</v>
      </c>
      <c r="M285" s="76" t="s">
        <v>312</v>
      </c>
      <c r="N285" s="666">
        <v>20.50658035</v>
      </c>
      <c r="O285" s="666">
        <v>93.0434494</v>
      </c>
      <c r="P285" s="76" t="s">
        <v>813</v>
      </c>
      <c r="Q285" s="76" t="s">
        <v>794</v>
      </c>
      <c r="R285" s="670"/>
      <c r="S285" s="671"/>
      <c r="T285" s="137"/>
      <c r="U285" s="133"/>
      <c r="V285" s="76" t="s">
        <v>504</v>
      </c>
      <c r="W285" s="670"/>
    </row>
    <row r="286" spans="1:23" s="76" customFormat="1" ht="14.25" customHeight="1">
      <c r="A286" s="671" t="s">
        <v>3014</v>
      </c>
      <c r="B286" s="668" t="s">
        <v>470</v>
      </c>
      <c r="C286" s="668" t="s">
        <v>518</v>
      </c>
      <c r="D286" s="760" t="s">
        <v>1693</v>
      </c>
      <c r="E286" s="76">
        <v>196331</v>
      </c>
      <c r="F286" s="76" t="s">
        <v>518</v>
      </c>
      <c r="J286" s="76" t="s">
        <v>812</v>
      </c>
      <c r="K286" s="76" t="s">
        <v>812</v>
      </c>
      <c r="L286" s="76" t="s">
        <v>812</v>
      </c>
      <c r="M286" s="76" t="s">
        <v>312</v>
      </c>
      <c r="N286" s="666">
        <v>20.564739230000001</v>
      </c>
      <c r="O286" s="666">
        <v>93.064781190000005</v>
      </c>
      <c r="P286" s="76" t="s">
        <v>813</v>
      </c>
      <c r="Q286" s="76" t="s">
        <v>794</v>
      </c>
      <c r="R286" s="670"/>
      <c r="S286" s="671"/>
      <c r="T286" s="137"/>
      <c r="U286" s="133"/>
      <c r="V286" s="76" t="s">
        <v>518</v>
      </c>
      <c r="W286" s="670"/>
    </row>
    <row r="287" spans="1:23" s="76" customFormat="1" ht="14.25" customHeight="1">
      <c r="A287" s="671" t="s">
        <v>3014</v>
      </c>
      <c r="B287" s="668" t="s">
        <v>470</v>
      </c>
      <c r="C287" s="668" t="s">
        <v>486</v>
      </c>
      <c r="D287" s="760" t="s">
        <v>1693</v>
      </c>
      <c r="E287" s="76">
        <v>196356</v>
      </c>
      <c r="J287" s="76" t="s">
        <v>812</v>
      </c>
      <c r="K287" s="76" t="s">
        <v>812</v>
      </c>
      <c r="L287" s="76" t="s">
        <v>812</v>
      </c>
      <c r="M287" s="76" t="s">
        <v>312</v>
      </c>
      <c r="N287" s="76">
        <v>20.424389999999999</v>
      </c>
      <c r="O287" s="76">
        <v>93.012960000000007</v>
      </c>
      <c r="P287" s="76" t="s">
        <v>813</v>
      </c>
      <c r="Q287" s="76" t="s">
        <v>794</v>
      </c>
      <c r="R287" s="670"/>
      <c r="S287" s="671"/>
      <c r="T287" s="137"/>
      <c r="U287" s="133"/>
      <c r="V287" s="76" t="s">
        <v>486</v>
      </c>
      <c r="W287" s="670"/>
    </row>
    <row r="288" spans="1:23" s="76" customFormat="1" ht="14.25" customHeight="1">
      <c r="A288" s="671" t="s">
        <v>3014</v>
      </c>
      <c r="B288" s="674" t="s">
        <v>470</v>
      </c>
      <c r="C288" s="675" t="s">
        <v>3258</v>
      </c>
      <c r="D288" s="669"/>
      <c r="E288" s="76">
        <v>196302</v>
      </c>
      <c r="F288" s="666"/>
      <c r="J288" s="76" t="s">
        <v>3028</v>
      </c>
      <c r="K288" s="666" t="s">
        <v>2942</v>
      </c>
      <c r="L288" s="666" t="s">
        <v>2942</v>
      </c>
      <c r="N288" s="76">
        <v>20.5702304840088</v>
      </c>
      <c r="O288" s="76">
        <v>92.977378845214801</v>
      </c>
      <c r="R288" s="678"/>
      <c r="S288" s="671"/>
      <c r="T288" s="137">
        <v>43591</v>
      </c>
      <c r="U288" s="678"/>
      <c r="V288" s="883" t="s">
        <v>3150</v>
      </c>
      <c r="W288" s="670"/>
    </row>
    <row r="289" spans="1:23" s="76" customFormat="1" ht="14.25" customHeight="1">
      <c r="A289" s="671" t="s">
        <v>3014</v>
      </c>
      <c r="B289" s="668" t="s">
        <v>372</v>
      </c>
      <c r="C289" s="668" t="s">
        <v>374</v>
      </c>
      <c r="D289" s="760" t="s">
        <v>1694</v>
      </c>
      <c r="E289" s="76" t="s">
        <v>1367</v>
      </c>
      <c r="F289" s="666" t="s">
        <v>1697</v>
      </c>
      <c r="G289" s="76" t="s">
        <v>1699</v>
      </c>
      <c r="H289" s="76" t="s">
        <v>43</v>
      </c>
      <c r="J289" s="76" t="s">
        <v>45</v>
      </c>
      <c r="K289" s="666" t="s">
        <v>45</v>
      </c>
      <c r="L289" s="666" t="s">
        <v>774</v>
      </c>
      <c r="M289" s="76" t="s">
        <v>312</v>
      </c>
      <c r="N289" s="76">
        <v>19.091054</v>
      </c>
      <c r="O289" s="76">
        <v>93.865170000000006</v>
      </c>
      <c r="P289" s="76" t="s">
        <v>775</v>
      </c>
      <c r="Q289" s="76" t="s">
        <v>794</v>
      </c>
      <c r="R289" s="670"/>
      <c r="S289" s="671"/>
      <c r="T289" s="137"/>
      <c r="U289" s="133"/>
      <c r="V289" s="76" t="s">
        <v>374</v>
      </c>
      <c r="W289" s="670"/>
    </row>
    <row r="290" spans="1:23" s="76" customFormat="1" ht="14.25" customHeight="1">
      <c r="A290" s="671" t="s">
        <v>3014</v>
      </c>
      <c r="B290" s="668" t="s">
        <v>372</v>
      </c>
      <c r="C290" s="668" t="s">
        <v>373</v>
      </c>
      <c r="D290" s="760" t="s">
        <v>1694</v>
      </c>
      <c r="E290" s="76" t="s">
        <v>1366</v>
      </c>
      <c r="F290" s="76" t="s">
        <v>1697</v>
      </c>
      <c r="G290" s="76" t="s">
        <v>1698</v>
      </c>
      <c r="H290" s="76" t="s">
        <v>43</v>
      </c>
      <c r="J290" s="76" t="s">
        <v>45</v>
      </c>
      <c r="K290" s="76" t="s">
        <v>45</v>
      </c>
      <c r="L290" s="76" t="s">
        <v>774</v>
      </c>
      <c r="M290" s="76" t="s">
        <v>809</v>
      </c>
      <c r="N290" s="76">
        <v>19.088283000000001</v>
      </c>
      <c r="O290" s="76">
        <v>93.857592999999994</v>
      </c>
      <c r="P290" s="76" t="s">
        <v>775</v>
      </c>
      <c r="Q290" s="76" t="s">
        <v>794</v>
      </c>
      <c r="R290" s="670"/>
      <c r="S290" s="671"/>
      <c r="T290" s="137"/>
      <c r="U290" s="133" t="s">
        <v>1694</v>
      </c>
      <c r="V290" s="76" t="s">
        <v>810</v>
      </c>
      <c r="W290" s="670"/>
    </row>
    <row r="291" spans="1:23" s="76" customFormat="1" ht="14.25" customHeight="1">
      <c r="A291" s="671" t="s">
        <v>3014</v>
      </c>
      <c r="B291" s="674" t="s">
        <v>313</v>
      </c>
      <c r="C291" s="675" t="s">
        <v>466</v>
      </c>
      <c r="D291" s="669" t="s">
        <v>1693</v>
      </c>
      <c r="E291" s="76">
        <v>196143</v>
      </c>
      <c r="F291" s="76" t="s">
        <v>1701</v>
      </c>
      <c r="J291" s="76" t="s">
        <v>812</v>
      </c>
      <c r="K291" s="76" t="s">
        <v>812</v>
      </c>
      <c r="L291" s="76" t="s">
        <v>812</v>
      </c>
      <c r="M291" s="76" t="s">
        <v>809</v>
      </c>
      <c r="N291" s="76">
        <v>20.235199999999999</v>
      </c>
      <c r="O291" s="76">
        <v>92.805000000000007</v>
      </c>
      <c r="P291" s="76" t="s">
        <v>813</v>
      </c>
      <c r="Q291" s="76" t="s">
        <v>794</v>
      </c>
      <c r="R291" s="678"/>
      <c r="S291" s="132"/>
      <c r="T291" s="137"/>
      <c r="U291" s="133"/>
      <c r="V291" s="76" t="s">
        <v>466</v>
      </c>
      <c r="W291" s="670"/>
    </row>
    <row r="292" spans="1:23" s="76" customFormat="1" ht="14.25" customHeight="1">
      <c r="A292" s="671" t="s">
        <v>3014</v>
      </c>
      <c r="B292" s="674" t="s">
        <v>313</v>
      </c>
      <c r="C292" s="675" t="s">
        <v>1701</v>
      </c>
      <c r="D292" s="669" t="s">
        <v>1913</v>
      </c>
      <c r="E292" s="76">
        <v>196138</v>
      </c>
      <c r="J292" s="76" t="s">
        <v>812</v>
      </c>
      <c r="K292" s="76" t="s">
        <v>812</v>
      </c>
      <c r="L292" s="76" t="s">
        <v>812</v>
      </c>
      <c r="N292" s="76">
        <v>20.2351894378662</v>
      </c>
      <c r="O292" s="76">
        <v>92.790191650390597</v>
      </c>
      <c r="P292" s="76" t="s">
        <v>813</v>
      </c>
      <c r="R292" s="678"/>
      <c r="S292" s="132"/>
      <c r="T292" s="137"/>
      <c r="U292" s="133"/>
      <c r="W292" s="670"/>
    </row>
    <row r="293" spans="1:23" s="76" customFormat="1" ht="14.25" customHeight="1">
      <c r="A293" s="671" t="s">
        <v>3014</v>
      </c>
      <c r="B293" s="674" t="s">
        <v>313</v>
      </c>
      <c r="C293" s="675" t="s">
        <v>467</v>
      </c>
      <c r="D293" s="669" t="s">
        <v>1693</v>
      </c>
      <c r="E293" s="76">
        <v>196152</v>
      </c>
      <c r="J293" s="76" t="s">
        <v>812</v>
      </c>
      <c r="K293" s="76" t="s">
        <v>812</v>
      </c>
      <c r="L293" s="76" t="s">
        <v>812</v>
      </c>
      <c r="M293" s="76" t="s">
        <v>312</v>
      </c>
      <c r="N293" s="76">
        <v>20.235199999999999</v>
      </c>
      <c r="O293" s="76">
        <v>92.790199999999999</v>
      </c>
      <c r="P293" s="76" t="s">
        <v>813</v>
      </c>
      <c r="Q293" s="76" t="s">
        <v>794</v>
      </c>
      <c r="R293" s="678"/>
      <c r="S293" s="132"/>
      <c r="T293" s="137"/>
      <c r="U293" s="133"/>
      <c r="V293" s="76" t="s">
        <v>467</v>
      </c>
      <c r="W293" s="670"/>
    </row>
    <row r="294" spans="1:23" s="76" customFormat="1" ht="14.25" customHeight="1">
      <c r="A294" s="671" t="s">
        <v>3014</v>
      </c>
      <c r="B294" s="674" t="s">
        <v>313</v>
      </c>
      <c r="C294" s="675" t="s">
        <v>1918</v>
      </c>
      <c r="D294" s="669" t="s">
        <v>1913</v>
      </c>
      <c r="E294" s="666"/>
      <c r="F294" s="666"/>
      <c r="J294" s="76" t="s">
        <v>812</v>
      </c>
      <c r="K294" s="666" t="s">
        <v>812</v>
      </c>
      <c r="L294" s="666" t="s">
        <v>812</v>
      </c>
      <c r="O294" s="666"/>
      <c r="P294" s="76" t="s">
        <v>813</v>
      </c>
      <c r="R294" s="678"/>
      <c r="S294" s="671"/>
      <c r="T294" s="137"/>
      <c r="U294" s="133"/>
      <c r="W294" s="670"/>
    </row>
    <row r="295" spans="1:23" s="76" customFormat="1" ht="14.25" customHeight="1">
      <c r="A295" s="671" t="s">
        <v>3014</v>
      </c>
      <c r="B295" s="674" t="s">
        <v>313</v>
      </c>
      <c r="C295" s="675" t="s">
        <v>431</v>
      </c>
      <c r="D295" s="669" t="s">
        <v>1693</v>
      </c>
      <c r="J295" s="76" t="s">
        <v>812</v>
      </c>
      <c r="K295" s="76" t="s">
        <v>812</v>
      </c>
      <c r="L295" s="76" t="s">
        <v>812</v>
      </c>
      <c r="M295" s="76" t="s">
        <v>809</v>
      </c>
      <c r="P295" s="76" t="s">
        <v>813</v>
      </c>
      <c r="Q295" s="76" t="s">
        <v>794</v>
      </c>
      <c r="R295" s="678"/>
      <c r="S295" s="132"/>
      <c r="T295" s="137"/>
      <c r="U295" s="133"/>
      <c r="V295" s="76" t="s">
        <v>431</v>
      </c>
      <c r="W295" s="670"/>
    </row>
    <row r="296" spans="1:23" s="76" customFormat="1" ht="14.25" customHeight="1">
      <c r="A296" s="671" t="s">
        <v>3014</v>
      </c>
      <c r="B296" s="674" t="s">
        <v>313</v>
      </c>
      <c r="C296" s="675" t="s">
        <v>432</v>
      </c>
      <c r="D296" s="760" t="s">
        <v>3138</v>
      </c>
      <c r="E296" s="666" t="s">
        <v>1377</v>
      </c>
      <c r="F296" s="666" t="s">
        <v>1778</v>
      </c>
      <c r="G296" s="76" t="s">
        <v>1779</v>
      </c>
      <c r="H296" s="76" t="s">
        <v>43</v>
      </c>
      <c r="J296" s="76" t="s">
        <v>45</v>
      </c>
      <c r="K296" s="666" t="s">
        <v>45</v>
      </c>
      <c r="L296" s="666" t="s">
        <v>808</v>
      </c>
      <c r="M296" s="76" t="s">
        <v>809</v>
      </c>
      <c r="N296" s="76">
        <v>20.128488999999998</v>
      </c>
      <c r="O296" s="76">
        <v>92.875814000000005</v>
      </c>
      <c r="P296" s="76" t="s">
        <v>775</v>
      </c>
      <c r="Q296" s="76" t="s">
        <v>794</v>
      </c>
      <c r="R296" s="670">
        <v>396</v>
      </c>
      <c r="S296" s="132">
        <v>2285</v>
      </c>
      <c r="T296" s="137"/>
      <c r="U296" s="133"/>
      <c r="V296" s="76" t="s">
        <v>854</v>
      </c>
      <c r="W296" s="670"/>
    </row>
    <row r="297" spans="1:23" s="76" customFormat="1" ht="14.25" customHeight="1">
      <c r="A297" s="671" t="s">
        <v>3014</v>
      </c>
      <c r="B297" s="674" t="s">
        <v>313</v>
      </c>
      <c r="C297" s="675" t="s">
        <v>879</v>
      </c>
      <c r="D297" s="669" t="s">
        <v>1694</v>
      </c>
      <c r="E297" s="76" t="s">
        <v>1391</v>
      </c>
      <c r="F297" s="76" t="s">
        <v>1700</v>
      </c>
      <c r="G297" s="76" t="s">
        <v>1726</v>
      </c>
      <c r="J297" s="76" t="s">
        <v>45</v>
      </c>
      <c r="K297" s="666" t="s">
        <v>45</v>
      </c>
      <c r="L297" s="666" t="s">
        <v>774</v>
      </c>
      <c r="M297" s="76" t="s">
        <v>809</v>
      </c>
      <c r="N297" s="76">
        <v>20.181238</v>
      </c>
      <c r="O297" s="76">
        <v>92.807418999999996</v>
      </c>
      <c r="P297" s="76" t="s">
        <v>775</v>
      </c>
      <c r="Q297" s="76" t="s">
        <v>794</v>
      </c>
      <c r="R297" s="678"/>
      <c r="S297" s="671"/>
      <c r="T297" s="137"/>
      <c r="U297" s="133"/>
      <c r="V297" s="76" t="s">
        <v>879</v>
      </c>
      <c r="W297" s="670"/>
    </row>
    <row r="298" spans="1:23" s="76" customFormat="1" ht="14.25" customHeight="1">
      <c r="A298" s="671" t="s">
        <v>3014</v>
      </c>
      <c r="B298" s="674" t="s">
        <v>313</v>
      </c>
      <c r="C298" s="675" t="s">
        <v>443</v>
      </c>
      <c r="D298" s="760" t="s">
        <v>3138</v>
      </c>
      <c r="E298" s="76" t="s">
        <v>1389</v>
      </c>
      <c r="F298" s="76" t="s">
        <v>1700</v>
      </c>
      <c r="G298" s="76" t="s">
        <v>1726</v>
      </c>
      <c r="H298" s="76" t="s">
        <v>43</v>
      </c>
      <c r="J298" s="76" t="s">
        <v>45</v>
      </c>
      <c r="K298" s="76" t="s">
        <v>45</v>
      </c>
      <c r="L298" s="76" t="s">
        <v>808</v>
      </c>
      <c r="M298" s="76" t="s">
        <v>809</v>
      </c>
      <c r="N298" s="76">
        <v>20.179417000000001</v>
      </c>
      <c r="O298" s="76">
        <v>92.813028000000003</v>
      </c>
      <c r="P298" s="76" t="s">
        <v>775</v>
      </c>
      <c r="R298" s="670">
        <v>1013</v>
      </c>
      <c r="S298" s="671">
        <v>4774</v>
      </c>
      <c r="T298" s="137"/>
      <c r="U298" s="133" t="s">
        <v>876</v>
      </c>
      <c r="W298" s="670"/>
    </row>
    <row r="299" spans="1:23" s="76" customFormat="1" ht="14.25" customHeight="1">
      <c r="A299" s="671" t="s">
        <v>3014</v>
      </c>
      <c r="B299" s="674" t="s">
        <v>313</v>
      </c>
      <c r="C299" s="675" t="s">
        <v>445</v>
      </c>
      <c r="D299" s="760" t="s">
        <v>3138</v>
      </c>
      <c r="E299" s="666" t="s">
        <v>1392</v>
      </c>
      <c r="F299" s="666" t="s">
        <v>1700</v>
      </c>
      <c r="G299" s="76" t="s">
        <v>1726</v>
      </c>
      <c r="H299" s="76" t="s">
        <v>43</v>
      </c>
      <c r="J299" s="76" t="s">
        <v>45</v>
      </c>
      <c r="K299" s="666" t="s">
        <v>45</v>
      </c>
      <c r="L299" s="666" t="s">
        <v>808</v>
      </c>
      <c r="M299" s="76" t="s">
        <v>809</v>
      </c>
      <c r="N299" s="76">
        <v>20.181405999999999</v>
      </c>
      <c r="O299" s="76">
        <v>92.807552000000001</v>
      </c>
      <c r="P299" s="76" t="s">
        <v>775</v>
      </c>
      <c r="R299" s="670">
        <v>1334</v>
      </c>
      <c r="S299" s="671">
        <v>6643</v>
      </c>
      <c r="T299" s="137"/>
      <c r="U299" s="133" t="s">
        <v>876</v>
      </c>
      <c r="W299" s="670"/>
    </row>
    <row r="300" spans="1:23" s="76" customFormat="1" ht="14.25" customHeight="1">
      <c r="A300" s="671" t="s">
        <v>3014</v>
      </c>
      <c r="B300" s="674" t="s">
        <v>313</v>
      </c>
      <c r="C300" s="675" t="s">
        <v>1107</v>
      </c>
      <c r="D300" s="669" t="s">
        <v>1693</v>
      </c>
      <c r="J300" s="76" t="s">
        <v>812</v>
      </c>
      <c r="K300" s="666" t="s">
        <v>812</v>
      </c>
      <c r="L300" s="666" t="s">
        <v>812</v>
      </c>
      <c r="M300" s="76" t="s">
        <v>809</v>
      </c>
      <c r="P300" s="76" t="s">
        <v>813</v>
      </c>
      <c r="Q300" s="76" t="s">
        <v>776</v>
      </c>
      <c r="R300" s="678"/>
      <c r="S300" s="671"/>
      <c r="T300" s="137">
        <v>42804</v>
      </c>
      <c r="U300" s="133"/>
      <c r="V300" s="76" t="s">
        <v>1107</v>
      </c>
      <c r="W300" s="670"/>
    </row>
    <row r="301" spans="1:23" s="76" customFormat="1" ht="14.25" customHeight="1">
      <c r="A301" s="671" t="s">
        <v>3014</v>
      </c>
      <c r="B301" s="674" t="s">
        <v>313</v>
      </c>
      <c r="C301" s="675" t="s">
        <v>3004</v>
      </c>
      <c r="D301" s="760" t="s">
        <v>3138</v>
      </c>
      <c r="E301" s="76" t="s">
        <v>1395</v>
      </c>
      <c r="F301" s="76" t="s">
        <v>1700</v>
      </c>
      <c r="G301" s="76" t="s">
        <v>1726</v>
      </c>
      <c r="H301" s="76" t="s">
        <v>43</v>
      </c>
      <c r="J301" s="76" t="s">
        <v>45</v>
      </c>
      <c r="K301" s="666" t="s">
        <v>45</v>
      </c>
      <c r="L301" s="666" t="s">
        <v>786</v>
      </c>
      <c r="M301" s="76" t="s">
        <v>809</v>
      </c>
      <c r="N301" s="76">
        <v>20.182987000000001</v>
      </c>
      <c r="O301" s="76">
        <v>92.804803000000007</v>
      </c>
      <c r="P301" s="76" t="s">
        <v>787</v>
      </c>
      <c r="Q301" s="76" t="s">
        <v>794</v>
      </c>
      <c r="R301" s="670">
        <v>41</v>
      </c>
      <c r="S301" s="671">
        <v>226</v>
      </c>
      <c r="T301" s="137"/>
      <c r="U301" s="133"/>
      <c r="V301" s="666" t="s">
        <v>881</v>
      </c>
      <c r="W301" s="670"/>
    </row>
    <row r="302" spans="1:23" s="76" customFormat="1" ht="14.25" customHeight="1">
      <c r="A302" s="671" t="s">
        <v>3014</v>
      </c>
      <c r="B302" s="674" t="s">
        <v>313</v>
      </c>
      <c r="C302" s="675" t="s">
        <v>433</v>
      </c>
      <c r="D302" s="669" t="s">
        <v>1693</v>
      </c>
      <c r="E302" s="76">
        <v>196200</v>
      </c>
      <c r="J302" s="76" t="s">
        <v>818</v>
      </c>
      <c r="K302" s="76" t="s">
        <v>812</v>
      </c>
      <c r="L302" s="76" t="s">
        <v>818</v>
      </c>
      <c r="M302" s="76" t="s">
        <v>809</v>
      </c>
      <c r="N302" s="76">
        <v>20.143859859999999</v>
      </c>
      <c r="O302" s="76">
        <v>92.867576600000007</v>
      </c>
      <c r="P302" s="76" t="s">
        <v>937</v>
      </c>
      <c r="Q302" s="76" t="s">
        <v>776</v>
      </c>
      <c r="R302" s="678"/>
      <c r="S302" s="671"/>
      <c r="T302" s="137">
        <v>42811</v>
      </c>
      <c r="U302" s="133"/>
      <c r="W302" s="670"/>
    </row>
    <row r="303" spans="1:23" s="76" customFormat="1" ht="14.25" customHeight="1">
      <c r="A303" s="671" t="s">
        <v>3014</v>
      </c>
      <c r="B303" s="668" t="s">
        <v>313</v>
      </c>
      <c r="C303" s="668" t="s">
        <v>2899</v>
      </c>
      <c r="D303" s="760"/>
      <c r="E303" s="76">
        <v>196203</v>
      </c>
      <c r="F303" s="668"/>
      <c r="J303" s="76" t="s">
        <v>812</v>
      </c>
      <c r="K303" s="668" t="s">
        <v>812</v>
      </c>
      <c r="L303" s="668" t="s">
        <v>812</v>
      </c>
      <c r="N303" s="76">
        <v>20.142469406127901</v>
      </c>
      <c r="O303" s="76">
        <v>92.863967895507798</v>
      </c>
      <c r="R303" s="674"/>
      <c r="S303" s="675"/>
      <c r="T303" s="137"/>
      <c r="U303" s="133"/>
      <c r="W303" s="670"/>
    </row>
    <row r="304" spans="1:23" s="76" customFormat="1" ht="14.25" customHeight="1">
      <c r="A304" s="671" t="s">
        <v>3014</v>
      </c>
      <c r="B304" s="668" t="s">
        <v>313</v>
      </c>
      <c r="C304" s="668" t="s">
        <v>2886</v>
      </c>
      <c r="D304" s="760"/>
      <c r="E304" s="76">
        <v>196132</v>
      </c>
      <c r="J304" s="76" t="s">
        <v>812</v>
      </c>
      <c r="K304" s="666" t="s">
        <v>812</v>
      </c>
      <c r="L304" s="666" t="s">
        <v>812</v>
      </c>
      <c r="R304" s="670"/>
      <c r="S304" s="670"/>
      <c r="T304" s="137"/>
      <c r="U304" s="133"/>
      <c r="W304" s="670"/>
    </row>
    <row r="305" spans="1:23" s="76" customFormat="1" ht="14.25" customHeight="1">
      <c r="A305" s="671" t="s">
        <v>3014</v>
      </c>
      <c r="B305" s="674" t="s">
        <v>313</v>
      </c>
      <c r="C305" s="675" t="s">
        <v>473</v>
      </c>
      <c r="D305" s="669" t="s">
        <v>1693</v>
      </c>
      <c r="E305" s="76">
        <v>196172</v>
      </c>
      <c r="J305" s="76" t="s">
        <v>818</v>
      </c>
      <c r="K305" s="76" t="s">
        <v>812</v>
      </c>
      <c r="L305" s="76" t="s">
        <v>818</v>
      </c>
      <c r="M305" s="76" t="s">
        <v>312</v>
      </c>
      <c r="N305" s="76">
        <v>20.286720280000001</v>
      </c>
      <c r="O305" s="76">
        <v>92.882843019999996</v>
      </c>
      <c r="P305" s="76" t="s">
        <v>937</v>
      </c>
      <c r="Q305" s="76" t="s">
        <v>776</v>
      </c>
      <c r="R305" s="678"/>
      <c r="S305" s="671"/>
      <c r="T305" s="137">
        <v>42811</v>
      </c>
      <c r="U305" s="133"/>
      <c r="V305" s="666"/>
      <c r="W305" s="670"/>
    </row>
    <row r="306" spans="1:23" s="76" customFormat="1" ht="14.25" customHeight="1">
      <c r="A306" s="671" t="s">
        <v>3014</v>
      </c>
      <c r="B306" s="674" t="s">
        <v>313</v>
      </c>
      <c r="C306" s="675" t="s">
        <v>442</v>
      </c>
      <c r="D306" s="760" t="s">
        <v>3138</v>
      </c>
      <c r="E306" s="76" t="s">
        <v>1387</v>
      </c>
      <c r="F306" s="76" t="s">
        <v>433</v>
      </c>
      <c r="G306" s="76" t="s">
        <v>1780</v>
      </c>
      <c r="H306" s="76" t="s">
        <v>43</v>
      </c>
      <c r="J306" s="76" t="s">
        <v>45</v>
      </c>
      <c r="K306" s="76" t="s">
        <v>45</v>
      </c>
      <c r="L306" s="76" t="s">
        <v>808</v>
      </c>
      <c r="M306" s="76" t="s">
        <v>809</v>
      </c>
      <c r="N306" s="76">
        <v>20.16846</v>
      </c>
      <c r="O306" s="76">
        <v>92.827427</v>
      </c>
      <c r="P306" s="76" t="s">
        <v>775</v>
      </c>
      <c r="Q306" s="76" t="s">
        <v>794</v>
      </c>
      <c r="R306" s="670">
        <v>1983</v>
      </c>
      <c r="S306" s="132">
        <v>11391</v>
      </c>
      <c r="T306" s="137"/>
      <c r="U306" s="133"/>
      <c r="V306" s="76" t="s">
        <v>442</v>
      </c>
      <c r="W306" s="670"/>
    </row>
    <row r="307" spans="1:23" s="76" customFormat="1" ht="14.25" customHeight="1">
      <c r="A307" s="671" t="s">
        <v>3014</v>
      </c>
      <c r="B307" s="674" t="s">
        <v>313</v>
      </c>
      <c r="C307" s="675" t="s">
        <v>441</v>
      </c>
      <c r="D307" s="760" t="s">
        <v>3138</v>
      </c>
      <c r="E307" s="76" t="s">
        <v>1386</v>
      </c>
      <c r="F307" s="76" t="s">
        <v>433</v>
      </c>
      <c r="G307" s="76" t="s">
        <v>1780</v>
      </c>
      <c r="H307" s="76" t="s">
        <v>43</v>
      </c>
      <c r="J307" s="76" t="s">
        <v>45</v>
      </c>
      <c r="K307" s="76" t="s">
        <v>45</v>
      </c>
      <c r="L307" s="76" t="s">
        <v>786</v>
      </c>
      <c r="M307" s="76" t="s">
        <v>809</v>
      </c>
      <c r="N307" s="76">
        <v>20.167421999999998</v>
      </c>
      <c r="O307" s="76">
        <v>92.830074999999994</v>
      </c>
      <c r="P307" s="76" t="s">
        <v>787</v>
      </c>
      <c r="R307" s="670">
        <v>518</v>
      </c>
      <c r="S307" s="132">
        <v>2951</v>
      </c>
      <c r="T307" s="137"/>
      <c r="U307" s="133" t="s">
        <v>871</v>
      </c>
      <c r="V307" s="76" t="s">
        <v>872</v>
      </c>
      <c r="W307" s="670"/>
    </row>
    <row r="308" spans="1:23" s="76" customFormat="1" ht="14.25" customHeight="1">
      <c r="A308" s="671" t="s">
        <v>3014</v>
      </c>
      <c r="B308" s="674" t="s">
        <v>313</v>
      </c>
      <c r="C308" s="675" t="s">
        <v>316</v>
      </c>
      <c r="D308" s="669" t="s">
        <v>1693</v>
      </c>
      <c r="J308" s="666" t="s">
        <v>812</v>
      </c>
      <c r="K308" s="666" t="s">
        <v>812</v>
      </c>
      <c r="L308" s="76" t="s">
        <v>812</v>
      </c>
      <c r="M308" s="76" t="s">
        <v>809</v>
      </c>
      <c r="P308" s="76" t="s">
        <v>813</v>
      </c>
      <c r="Q308" s="76" t="s">
        <v>794</v>
      </c>
      <c r="R308" s="678"/>
      <c r="S308" s="671"/>
      <c r="T308" s="137"/>
      <c r="U308" s="133"/>
      <c r="V308" s="666" t="s">
        <v>316</v>
      </c>
      <c r="W308" s="670"/>
    </row>
    <row r="309" spans="1:23" s="76" customFormat="1" ht="14.25" customHeight="1">
      <c r="A309" s="671" t="s">
        <v>3014</v>
      </c>
      <c r="B309" s="668" t="s">
        <v>313</v>
      </c>
      <c r="C309" s="675" t="s">
        <v>2900</v>
      </c>
      <c r="D309" s="669"/>
      <c r="E309" s="76">
        <v>196202</v>
      </c>
      <c r="F309" s="76" t="s">
        <v>433</v>
      </c>
      <c r="J309" s="76" t="s">
        <v>812</v>
      </c>
      <c r="K309" s="76" t="s">
        <v>812</v>
      </c>
      <c r="L309" s="668" t="s">
        <v>812</v>
      </c>
      <c r="N309" s="76">
        <v>20.170469284057599</v>
      </c>
      <c r="O309" s="76">
        <v>92.8343505859375</v>
      </c>
      <c r="R309" s="678"/>
      <c r="S309" s="671"/>
      <c r="T309" s="137"/>
      <c r="U309" s="133"/>
      <c r="W309" s="670"/>
    </row>
    <row r="310" spans="1:23" s="76" customFormat="1" ht="14.25" customHeight="1">
      <c r="A310" s="671" t="s">
        <v>3014</v>
      </c>
      <c r="B310" s="668" t="s">
        <v>313</v>
      </c>
      <c r="C310" s="668" t="s">
        <v>1780</v>
      </c>
      <c r="D310" s="760"/>
      <c r="E310" s="76">
        <v>196206</v>
      </c>
      <c r="F310" s="668" t="s">
        <v>433</v>
      </c>
      <c r="J310" s="76" t="s">
        <v>812</v>
      </c>
      <c r="K310" s="668" t="s">
        <v>812</v>
      </c>
      <c r="L310" s="668" t="s">
        <v>812</v>
      </c>
      <c r="N310" s="76">
        <v>20.168970108032202</v>
      </c>
      <c r="O310" s="76">
        <v>92.826896667480497</v>
      </c>
      <c r="R310" s="670"/>
      <c r="S310" s="132"/>
      <c r="T310" s="137"/>
      <c r="U310" s="133"/>
      <c r="V310" s="666"/>
      <c r="W310" s="670"/>
    </row>
    <row r="311" spans="1:23" s="76" customFormat="1" ht="14.25" customHeight="1">
      <c r="A311" s="671" t="s">
        <v>3014</v>
      </c>
      <c r="B311" s="674" t="s">
        <v>313</v>
      </c>
      <c r="C311" s="675" t="s">
        <v>1916</v>
      </c>
      <c r="D311" s="669" t="s">
        <v>1913</v>
      </c>
      <c r="J311" s="76" t="s">
        <v>812</v>
      </c>
      <c r="K311" s="76" t="s">
        <v>812</v>
      </c>
      <c r="L311" s="76" t="s">
        <v>812</v>
      </c>
      <c r="P311" s="76" t="s">
        <v>813</v>
      </c>
      <c r="R311" s="678"/>
      <c r="S311" s="671"/>
      <c r="T311" s="137"/>
      <c r="U311" s="133"/>
      <c r="W311" s="670"/>
    </row>
    <row r="312" spans="1:23" s="76" customFormat="1" ht="14.25" customHeight="1">
      <c r="A312" s="671" t="s">
        <v>3014</v>
      </c>
      <c r="B312" s="674" t="s">
        <v>313</v>
      </c>
      <c r="C312" s="675" t="s">
        <v>461</v>
      </c>
      <c r="D312" s="669" t="s">
        <v>1693</v>
      </c>
      <c r="E312" s="76">
        <v>196140</v>
      </c>
      <c r="F312" s="666"/>
      <c r="J312" s="76" t="s">
        <v>812</v>
      </c>
      <c r="K312" s="666" t="s">
        <v>812</v>
      </c>
      <c r="L312" s="666" t="s">
        <v>812</v>
      </c>
      <c r="M312" s="76" t="s">
        <v>312</v>
      </c>
      <c r="N312" s="76">
        <v>20.218299999999999</v>
      </c>
      <c r="O312" s="76">
        <v>92.805999999999997</v>
      </c>
      <c r="P312" s="76" t="s">
        <v>813</v>
      </c>
      <c r="Q312" s="76" t="s">
        <v>794</v>
      </c>
      <c r="R312" s="678"/>
      <c r="S312" s="132"/>
      <c r="T312" s="137"/>
      <c r="U312" s="133"/>
      <c r="V312" s="76" t="s">
        <v>461</v>
      </c>
      <c r="W312" s="670"/>
    </row>
    <row r="313" spans="1:23" s="76" customFormat="1" ht="14.25" customHeight="1">
      <c r="A313" s="671" t="s">
        <v>3014</v>
      </c>
      <c r="B313" s="674" t="s">
        <v>313</v>
      </c>
      <c r="C313" s="675" t="s">
        <v>864</v>
      </c>
      <c r="D313" s="669" t="s">
        <v>1694</v>
      </c>
      <c r="E313" s="76" t="s">
        <v>1382</v>
      </c>
      <c r="F313" s="76" t="s">
        <v>1725</v>
      </c>
      <c r="G313" s="76">
        <v>0</v>
      </c>
      <c r="J313" s="76" t="s">
        <v>45</v>
      </c>
      <c r="K313" s="76" t="s">
        <v>45</v>
      </c>
      <c r="L313" s="76" t="s">
        <v>774</v>
      </c>
      <c r="N313" s="76">
        <v>20.153129</v>
      </c>
      <c r="O313" s="76">
        <v>92.897177999999997</v>
      </c>
      <c r="P313" s="76" t="s">
        <v>775</v>
      </c>
      <c r="R313" s="678"/>
      <c r="S313" s="132"/>
      <c r="T313" s="137"/>
      <c r="U313" s="133"/>
      <c r="V313" s="76" t="s">
        <v>865</v>
      </c>
      <c r="W313" s="670"/>
    </row>
    <row r="314" spans="1:23" s="76" customFormat="1" ht="14.25" customHeight="1">
      <c r="A314" s="671" t="s">
        <v>3014</v>
      </c>
      <c r="B314" s="668" t="s">
        <v>313</v>
      </c>
      <c r="C314" s="668" t="s">
        <v>2893</v>
      </c>
      <c r="D314" s="760"/>
      <c r="E314" s="668">
        <v>196126</v>
      </c>
      <c r="F314" s="76" t="s">
        <v>2895</v>
      </c>
      <c r="J314" s="76" t="s">
        <v>812</v>
      </c>
      <c r="K314" s="668" t="s">
        <v>812</v>
      </c>
      <c r="L314" s="668" t="s">
        <v>812</v>
      </c>
      <c r="N314" s="666">
        <v>20.199499130248999</v>
      </c>
      <c r="O314" s="666">
        <v>92.834327697753906</v>
      </c>
      <c r="R314" s="670"/>
      <c r="S314" s="132"/>
      <c r="T314" s="137"/>
      <c r="U314" s="133"/>
      <c r="W314" s="670"/>
    </row>
    <row r="315" spans="1:23" s="76" customFormat="1" ht="14.25" customHeight="1">
      <c r="A315" s="671" t="s">
        <v>3014</v>
      </c>
      <c r="B315" s="668" t="s">
        <v>313</v>
      </c>
      <c r="C315" s="668" t="s">
        <v>2894</v>
      </c>
      <c r="D315" s="760"/>
      <c r="E315" s="76">
        <v>196128</v>
      </c>
      <c r="F315" s="666" t="s">
        <v>2895</v>
      </c>
      <c r="J315" s="76" t="s">
        <v>812</v>
      </c>
      <c r="K315" s="668" t="s">
        <v>812</v>
      </c>
      <c r="L315" s="668" t="s">
        <v>812</v>
      </c>
      <c r="N315" s="76">
        <v>20.194370269775401</v>
      </c>
      <c r="O315" s="76">
        <v>92.834007263183594</v>
      </c>
      <c r="R315" s="670"/>
      <c r="S315" s="670"/>
      <c r="T315" s="137"/>
      <c r="U315" s="133"/>
      <c r="W315" s="670"/>
    </row>
    <row r="316" spans="1:23" s="76" customFormat="1" ht="14.25" customHeight="1">
      <c r="A316" s="671" t="s">
        <v>3014</v>
      </c>
      <c r="B316" s="674" t="s">
        <v>313</v>
      </c>
      <c r="C316" s="675" t="s">
        <v>453</v>
      </c>
      <c r="D316" s="669" t="s">
        <v>1693</v>
      </c>
      <c r="E316" s="668">
        <v>196128</v>
      </c>
      <c r="F316" s="666"/>
      <c r="J316" s="76" t="s">
        <v>818</v>
      </c>
      <c r="K316" s="76" t="s">
        <v>812</v>
      </c>
      <c r="L316" s="76" t="s">
        <v>818</v>
      </c>
      <c r="M316" s="76" t="s">
        <v>809</v>
      </c>
      <c r="N316" s="76">
        <v>20.19437027</v>
      </c>
      <c r="O316" s="76">
        <v>92.834007260000007</v>
      </c>
      <c r="P316" s="76" t="s">
        <v>937</v>
      </c>
      <c r="Q316" s="76" t="s">
        <v>776</v>
      </c>
      <c r="R316" s="678"/>
      <c r="S316" s="132"/>
      <c r="T316" s="137">
        <v>42811</v>
      </c>
      <c r="U316" s="133"/>
      <c r="W316" s="670"/>
    </row>
    <row r="317" spans="1:23" s="76" customFormat="1" ht="14.25" customHeight="1">
      <c r="A317" s="671" t="s">
        <v>3014</v>
      </c>
      <c r="B317" s="674" t="s">
        <v>313</v>
      </c>
      <c r="C317" s="675" t="s">
        <v>447</v>
      </c>
      <c r="D317" s="669" t="s">
        <v>1913</v>
      </c>
      <c r="E317" s="76">
        <v>196197</v>
      </c>
      <c r="J317" s="76" t="s">
        <v>812</v>
      </c>
      <c r="K317" s="76" t="s">
        <v>812</v>
      </c>
      <c r="L317" s="76" t="s">
        <v>812</v>
      </c>
      <c r="N317" s="76">
        <v>20.183790210000002</v>
      </c>
      <c r="O317" s="76">
        <v>92.864143369999994</v>
      </c>
      <c r="P317" s="76" t="s">
        <v>813</v>
      </c>
      <c r="R317" s="678"/>
      <c r="S317" s="132"/>
      <c r="T317" s="137"/>
      <c r="U317" s="133"/>
      <c r="W317" s="670"/>
    </row>
    <row r="318" spans="1:23" s="76" customFormat="1" ht="14.25" customHeight="1">
      <c r="A318" s="671" t="s">
        <v>3014</v>
      </c>
      <c r="B318" s="668" t="s">
        <v>313</v>
      </c>
      <c r="C318" s="668" t="s">
        <v>2887</v>
      </c>
      <c r="D318" s="760"/>
      <c r="E318" s="76">
        <v>196135</v>
      </c>
      <c r="J318" s="76" t="s">
        <v>812</v>
      </c>
      <c r="K318" s="76" t="s">
        <v>812</v>
      </c>
      <c r="L318" s="76" t="s">
        <v>812</v>
      </c>
      <c r="R318" s="670"/>
      <c r="S318" s="670"/>
      <c r="T318" s="137"/>
      <c r="U318" s="133"/>
      <c r="W318" s="670"/>
    </row>
    <row r="319" spans="1:23" s="76" customFormat="1" ht="14.25" customHeight="1">
      <c r="A319" s="671" t="s">
        <v>3014</v>
      </c>
      <c r="B319" s="668" t="s">
        <v>313</v>
      </c>
      <c r="C319" s="668" t="s">
        <v>2888</v>
      </c>
      <c r="D319" s="760"/>
      <c r="E319" s="76">
        <v>196134</v>
      </c>
      <c r="F319" s="76" t="s">
        <v>3097</v>
      </c>
      <c r="J319" s="76" t="s">
        <v>812</v>
      </c>
      <c r="K319" s="76" t="s">
        <v>812</v>
      </c>
      <c r="L319" s="76" t="s">
        <v>812</v>
      </c>
      <c r="N319" s="76">
        <v>20.187860488891602</v>
      </c>
      <c r="O319" s="76">
        <v>92.903419494628906</v>
      </c>
      <c r="R319" s="670"/>
      <c r="S319" s="671"/>
      <c r="T319" s="137"/>
      <c r="U319" s="133"/>
      <c r="W319" s="670"/>
    </row>
    <row r="320" spans="1:23" s="76" customFormat="1" ht="14.25" customHeight="1">
      <c r="A320" s="671" t="s">
        <v>3014</v>
      </c>
      <c r="B320" s="668" t="s">
        <v>313</v>
      </c>
      <c r="C320" s="668" t="s">
        <v>2080</v>
      </c>
      <c r="D320" s="760"/>
      <c r="E320" s="666">
        <v>196160</v>
      </c>
      <c r="F320" s="666" t="s">
        <v>2080</v>
      </c>
      <c r="G320" s="666"/>
      <c r="H320" s="666"/>
      <c r="I320" s="666"/>
      <c r="J320" s="76" t="s">
        <v>812</v>
      </c>
      <c r="K320" s="668" t="s">
        <v>812</v>
      </c>
      <c r="L320" s="668" t="s">
        <v>812</v>
      </c>
      <c r="M320" s="666"/>
      <c r="N320" s="666">
        <v>20.246250152587901</v>
      </c>
      <c r="O320" s="666">
        <v>92.822059631347699</v>
      </c>
      <c r="Q320" s="666"/>
      <c r="R320" s="670"/>
      <c r="S320" s="671"/>
      <c r="T320" s="690"/>
      <c r="U320" s="672"/>
      <c r="V320" s="666" t="s">
        <v>3104</v>
      </c>
      <c r="W320" s="670"/>
    </row>
    <row r="321" spans="1:23" s="76" customFormat="1" ht="14.25" customHeight="1">
      <c r="A321" s="671" t="s">
        <v>3014</v>
      </c>
      <c r="B321" s="674" t="s">
        <v>313</v>
      </c>
      <c r="C321" s="675" t="s">
        <v>2380</v>
      </c>
      <c r="D321" s="760" t="s">
        <v>3138</v>
      </c>
      <c r="E321" s="666" t="s">
        <v>1394</v>
      </c>
      <c r="F321" s="76" t="s">
        <v>1700</v>
      </c>
      <c r="G321" s="76" t="s">
        <v>1700</v>
      </c>
      <c r="H321" s="76" t="s">
        <v>43</v>
      </c>
      <c r="I321" s="666"/>
      <c r="J321" s="76" t="s">
        <v>45</v>
      </c>
      <c r="K321" s="666" t="s">
        <v>45</v>
      </c>
      <c r="L321" s="666" t="s">
        <v>808</v>
      </c>
      <c r="M321" s="76" t="s">
        <v>809</v>
      </c>
      <c r="N321" s="76">
        <v>20.181778000000001</v>
      </c>
      <c r="O321" s="666">
        <v>92.823166999999998</v>
      </c>
      <c r="P321" s="76" t="s">
        <v>775</v>
      </c>
      <c r="Q321" s="76" t="s">
        <v>794</v>
      </c>
      <c r="R321" s="670">
        <v>400</v>
      </c>
      <c r="S321" s="671">
        <v>2325</v>
      </c>
      <c r="T321" s="137"/>
      <c r="U321" s="133"/>
      <c r="V321" s="76" t="s">
        <v>880</v>
      </c>
      <c r="W321" s="670"/>
    </row>
    <row r="322" spans="1:23" s="76" customFormat="1" ht="14.25" customHeight="1">
      <c r="A322" s="671" t="s">
        <v>3014</v>
      </c>
      <c r="B322" s="674" t="s">
        <v>313</v>
      </c>
      <c r="C322" s="675" t="s">
        <v>2381</v>
      </c>
      <c r="D322" s="760" t="s">
        <v>3138</v>
      </c>
      <c r="E322" s="76" t="s">
        <v>1394</v>
      </c>
      <c r="F322" s="76" t="s">
        <v>1700</v>
      </c>
      <c r="G322" s="76">
        <v>0</v>
      </c>
      <c r="J322" s="76" t="s">
        <v>45</v>
      </c>
      <c r="K322" s="76" t="s">
        <v>45</v>
      </c>
      <c r="L322" s="76" t="s">
        <v>808</v>
      </c>
      <c r="M322" s="76" t="s">
        <v>809</v>
      </c>
      <c r="N322" s="76">
        <v>20.180194</v>
      </c>
      <c r="O322" s="76">
        <v>92.816638999999995</v>
      </c>
      <c r="P322" s="76" t="s">
        <v>775</v>
      </c>
      <c r="Q322" s="76" t="s">
        <v>794</v>
      </c>
      <c r="R322" s="670">
        <v>399</v>
      </c>
      <c r="S322" s="132">
        <v>2230</v>
      </c>
      <c r="T322" s="137">
        <v>43488</v>
      </c>
      <c r="U322" s="133"/>
      <c r="V322" s="76" t="s">
        <v>878</v>
      </c>
      <c r="W322" s="670"/>
    </row>
    <row r="323" spans="1:23" s="76" customFormat="1" ht="14.25" customHeight="1">
      <c r="A323" s="671" t="s">
        <v>3014</v>
      </c>
      <c r="B323" s="674" t="s">
        <v>313</v>
      </c>
      <c r="C323" s="675" t="s">
        <v>2902</v>
      </c>
      <c r="D323" s="669"/>
      <c r="E323" s="76">
        <v>196195</v>
      </c>
      <c r="J323" s="76" t="s">
        <v>812</v>
      </c>
      <c r="K323" s="76" t="s">
        <v>812</v>
      </c>
      <c r="L323" s="76" t="s">
        <v>812</v>
      </c>
      <c r="N323" s="666">
        <v>20.172649383544901</v>
      </c>
      <c r="O323" s="666">
        <v>92.874351501464801</v>
      </c>
      <c r="R323" s="678"/>
      <c r="S323" s="132"/>
      <c r="T323" s="137"/>
      <c r="U323" s="133"/>
      <c r="W323" s="670"/>
    </row>
    <row r="324" spans="1:23" s="76" customFormat="1" ht="14.25" customHeight="1">
      <c r="A324" s="671" t="s">
        <v>3014</v>
      </c>
      <c r="B324" s="674" t="s">
        <v>313</v>
      </c>
      <c r="C324" s="675" t="s">
        <v>2903</v>
      </c>
      <c r="D324" s="669"/>
      <c r="J324" s="76" t="s">
        <v>812</v>
      </c>
      <c r="K324" s="666" t="s">
        <v>812</v>
      </c>
      <c r="L324" s="76" t="s">
        <v>812</v>
      </c>
      <c r="O324" s="666"/>
      <c r="R324" s="678"/>
      <c r="S324" s="671"/>
      <c r="T324" s="137"/>
      <c r="U324" s="133"/>
      <c r="W324" s="670"/>
    </row>
    <row r="325" spans="1:23" s="76" customFormat="1" ht="14.25" customHeight="1">
      <c r="A325" s="671" t="s">
        <v>3014</v>
      </c>
      <c r="B325" s="674" t="s">
        <v>313</v>
      </c>
      <c r="C325" s="675" t="s">
        <v>2076</v>
      </c>
      <c r="D325" s="669"/>
      <c r="E325" s="76">
        <v>196180</v>
      </c>
      <c r="F325" s="76" t="s">
        <v>2077</v>
      </c>
      <c r="J325" s="76" t="s">
        <v>812</v>
      </c>
      <c r="K325" s="76" t="s">
        <v>812</v>
      </c>
      <c r="L325" s="76" t="s">
        <v>812</v>
      </c>
      <c r="M325" s="76" t="s">
        <v>1952</v>
      </c>
      <c r="N325" s="76">
        <v>20.2315197</v>
      </c>
      <c r="O325" s="76">
        <v>92.876129149999997</v>
      </c>
      <c r="P325" s="76" t="s">
        <v>813</v>
      </c>
      <c r="R325" s="678"/>
      <c r="S325" s="132"/>
      <c r="T325" s="137">
        <v>43294</v>
      </c>
      <c r="U325" s="133"/>
      <c r="W325" s="670"/>
    </row>
    <row r="326" spans="1:23" s="76" customFormat="1" ht="14.25" customHeight="1">
      <c r="A326" s="671" t="s">
        <v>3014</v>
      </c>
      <c r="B326" s="668" t="s">
        <v>313</v>
      </c>
      <c r="C326" s="668" t="s">
        <v>2892</v>
      </c>
      <c r="D326" s="760"/>
      <c r="E326" s="76">
        <v>196169</v>
      </c>
      <c r="F326" s="76" t="s">
        <v>2892</v>
      </c>
      <c r="J326" s="76" t="s">
        <v>812</v>
      </c>
      <c r="K326" s="76" t="s">
        <v>812</v>
      </c>
      <c r="L326" s="76" t="s">
        <v>812</v>
      </c>
      <c r="N326" s="76">
        <v>20.2375602722168</v>
      </c>
      <c r="O326" s="76">
        <v>92.861152648925795</v>
      </c>
      <c r="R326" s="670"/>
      <c r="S326" s="132"/>
      <c r="T326" s="137"/>
      <c r="U326" s="133"/>
      <c r="W326" s="670"/>
    </row>
    <row r="327" spans="1:23" s="76" customFormat="1" ht="14.25" customHeight="1">
      <c r="A327" s="671" t="s">
        <v>3014</v>
      </c>
      <c r="B327" s="668" t="s">
        <v>313</v>
      </c>
      <c r="C327" s="668" t="s">
        <v>2891</v>
      </c>
      <c r="D327" s="760"/>
      <c r="E327" s="666">
        <v>196170</v>
      </c>
      <c r="F327" s="666" t="s">
        <v>2892</v>
      </c>
      <c r="G327" s="666"/>
      <c r="H327" s="666"/>
      <c r="I327" s="666"/>
      <c r="J327" s="76" t="s">
        <v>812</v>
      </c>
      <c r="K327" s="666" t="s">
        <v>812</v>
      </c>
      <c r="L327" s="666" t="s">
        <v>812</v>
      </c>
      <c r="M327" s="666"/>
      <c r="N327" s="666">
        <v>20.248519897460898</v>
      </c>
      <c r="O327" s="666">
        <v>92.8621826171875</v>
      </c>
      <c r="Q327" s="666"/>
      <c r="R327" s="670"/>
      <c r="S327" s="671"/>
      <c r="T327" s="690"/>
      <c r="U327" s="672"/>
      <c r="V327" s="666"/>
      <c r="W327" s="670"/>
    </row>
    <row r="328" spans="1:23" s="76" customFormat="1" ht="14.25" customHeight="1">
      <c r="A328" s="671" t="s">
        <v>3014</v>
      </c>
      <c r="B328" s="668" t="s">
        <v>313</v>
      </c>
      <c r="C328" s="668" t="s">
        <v>2890</v>
      </c>
      <c r="D328" s="760"/>
      <c r="E328" s="666">
        <v>196166</v>
      </c>
      <c r="F328" s="666" t="s">
        <v>472</v>
      </c>
      <c r="J328" s="76" t="s">
        <v>812</v>
      </c>
      <c r="K328" s="666" t="s">
        <v>812</v>
      </c>
      <c r="L328" s="666" t="s">
        <v>812</v>
      </c>
      <c r="N328" s="76">
        <v>20.2630290985107</v>
      </c>
      <c r="O328" s="666">
        <v>92.858856201171903</v>
      </c>
      <c r="P328" s="666"/>
      <c r="Q328" s="666"/>
      <c r="R328" s="670"/>
      <c r="S328" s="671"/>
      <c r="T328" s="137"/>
      <c r="U328" s="133"/>
      <c r="V328" s="666"/>
      <c r="W328" s="670"/>
    </row>
    <row r="329" spans="1:23" s="76" customFormat="1" ht="14.25" customHeight="1">
      <c r="A329" s="671" t="s">
        <v>3014</v>
      </c>
      <c r="B329" s="674" t="s">
        <v>313</v>
      </c>
      <c r="C329" s="675" t="s">
        <v>468</v>
      </c>
      <c r="D329" s="669" t="s">
        <v>1693</v>
      </c>
      <c r="E329" s="76">
        <v>196137</v>
      </c>
      <c r="F329" s="668" t="s">
        <v>468</v>
      </c>
      <c r="J329" s="76" t="s">
        <v>812</v>
      </c>
      <c r="K329" s="666" t="s">
        <v>812</v>
      </c>
      <c r="L329" s="666" t="s">
        <v>812</v>
      </c>
      <c r="M329" s="76" t="s">
        <v>312</v>
      </c>
      <c r="N329" s="76">
        <v>20.245159149999999</v>
      </c>
      <c r="O329" s="76">
        <v>92.807418819999995</v>
      </c>
      <c r="P329" s="76" t="s">
        <v>813</v>
      </c>
      <c r="Q329" s="76" t="s">
        <v>794</v>
      </c>
      <c r="R329" s="678"/>
      <c r="S329" s="132"/>
      <c r="T329" s="137"/>
      <c r="U329" s="133"/>
      <c r="V329" s="76" t="s">
        <v>468</v>
      </c>
      <c r="W329" s="670"/>
    </row>
    <row r="330" spans="1:23" s="76" customFormat="1" ht="14.25" customHeight="1">
      <c r="A330" s="671" t="s">
        <v>3014</v>
      </c>
      <c r="B330" s="674" t="s">
        <v>313</v>
      </c>
      <c r="C330" s="675" t="s">
        <v>472</v>
      </c>
      <c r="D330" s="669" t="s">
        <v>1693</v>
      </c>
      <c r="E330" s="666">
        <v>196163</v>
      </c>
      <c r="F330" s="666"/>
      <c r="G330" s="666"/>
      <c r="H330" s="666"/>
      <c r="I330" s="666"/>
      <c r="J330" s="666" t="s">
        <v>818</v>
      </c>
      <c r="K330" s="666" t="s">
        <v>812</v>
      </c>
      <c r="L330" s="666" t="s">
        <v>818</v>
      </c>
      <c r="M330" s="666" t="s">
        <v>312</v>
      </c>
      <c r="N330" s="666">
        <v>20.27263069</v>
      </c>
      <c r="O330" s="666">
        <v>92.843261720000001</v>
      </c>
      <c r="P330" s="666" t="s">
        <v>937</v>
      </c>
      <c r="Q330" s="666" t="s">
        <v>776</v>
      </c>
      <c r="R330" s="678"/>
      <c r="S330" s="671"/>
      <c r="T330" s="690">
        <v>42811</v>
      </c>
      <c r="U330" s="672"/>
      <c r="V330" s="666"/>
      <c r="W330" s="670"/>
    </row>
    <row r="331" spans="1:23" s="76" customFormat="1" ht="14.25" customHeight="1">
      <c r="A331" s="671" t="s">
        <v>3014</v>
      </c>
      <c r="B331" s="668" t="s">
        <v>313</v>
      </c>
      <c r="C331" s="668" t="s">
        <v>2895</v>
      </c>
      <c r="D331" s="760"/>
      <c r="E331" s="666">
        <v>196125</v>
      </c>
      <c r="F331" s="666" t="s">
        <v>2895</v>
      </c>
      <c r="J331" s="76" t="s">
        <v>812</v>
      </c>
      <c r="K331" s="668" t="s">
        <v>812</v>
      </c>
      <c r="L331" s="666" t="s">
        <v>812</v>
      </c>
      <c r="N331" s="76">
        <v>20.2105598449707</v>
      </c>
      <c r="O331" s="666">
        <v>92.836456298828097</v>
      </c>
      <c r="R331" s="670"/>
      <c r="S331" s="670"/>
      <c r="T331" s="137"/>
      <c r="U331" s="133"/>
      <c r="W331" s="670"/>
    </row>
    <row r="332" spans="1:23" s="76" customFormat="1" ht="14.25" customHeight="1">
      <c r="A332" s="671" t="s">
        <v>3014</v>
      </c>
      <c r="B332" s="674" t="s">
        <v>313</v>
      </c>
      <c r="C332" s="675" t="s">
        <v>449</v>
      </c>
      <c r="D332" s="760" t="s">
        <v>3138</v>
      </c>
      <c r="E332" s="666" t="s">
        <v>1397</v>
      </c>
      <c r="F332" s="666" t="s">
        <v>433</v>
      </c>
      <c r="G332" s="666" t="s">
        <v>433</v>
      </c>
      <c r="H332" s="666" t="s">
        <v>43</v>
      </c>
      <c r="I332" s="666"/>
      <c r="J332" s="666" t="s">
        <v>45</v>
      </c>
      <c r="K332" s="666" t="s">
        <v>45</v>
      </c>
      <c r="L332" s="666" t="s">
        <v>808</v>
      </c>
      <c r="M332" s="666" t="s">
        <v>809</v>
      </c>
      <c r="N332" s="666">
        <v>20.185917</v>
      </c>
      <c r="O332" s="666">
        <v>92.831000000000003</v>
      </c>
      <c r="P332" s="666" t="s">
        <v>775</v>
      </c>
      <c r="Q332" s="666" t="s">
        <v>794</v>
      </c>
      <c r="R332" s="670">
        <v>621</v>
      </c>
      <c r="S332" s="671">
        <v>3379</v>
      </c>
      <c r="T332" s="690"/>
      <c r="U332" s="672"/>
      <c r="V332" s="666" t="s">
        <v>883</v>
      </c>
      <c r="W332" s="670"/>
    </row>
    <row r="333" spans="1:23" s="76" customFormat="1" ht="14.25" customHeight="1">
      <c r="A333" s="671" t="s">
        <v>3014</v>
      </c>
      <c r="B333" s="674" t="s">
        <v>313</v>
      </c>
      <c r="C333" s="675" t="s">
        <v>465</v>
      </c>
      <c r="D333" s="669" t="s">
        <v>1693</v>
      </c>
      <c r="E333" s="76">
        <v>196139</v>
      </c>
      <c r="J333" s="76" t="s">
        <v>812</v>
      </c>
      <c r="K333" s="76" t="s">
        <v>812</v>
      </c>
      <c r="L333" s="76" t="s">
        <v>812</v>
      </c>
      <c r="M333" s="76" t="s">
        <v>809</v>
      </c>
      <c r="N333" s="76">
        <v>20.2302</v>
      </c>
      <c r="O333" s="76">
        <v>92.817999999999998</v>
      </c>
      <c r="P333" s="76" t="s">
        <v>813</v>
      </c>
      <c r="Q333" s="76" t="s">
        <v>794</v>
      </c>
      <c r="R333" s="678"/>
      <c r="S333" s="132"/>
      <c r="T333" s="137"/>
      <c r="U333" s="133"/>
      <c r="V333" s="76" t="s">
        <v>465</v>
      </c>
      <c r="W333" s="670"/>
    </row>
    <row r="334" spans="1:23" s="76" customFormat="1" ht="14.25" customHeight="1">
      <c r="A334" s="671" t="s">
        <v>3014</v>
      </c>
      <c r="B334" s="674" t="s">
        <v>313</v>
      </c>
      <c r="C334" s="675" t="s">
        <v>1919</v>
      </c>
      <c r="D334" s="669" t="s">
        <v>1913</v>
      </c>
      <c r="F334" s="666"/>
      <c r="J334" s="76" t="s">
        <v>812</v>
      </c>
      <c r="K334" s="666" t="s">
        <v>812</v>
      </c>
      <c r="L334" s="666" t="s">
        <v>812</v>
      </c>
      <c r="P334" s="76" t="s">
        <v>813</v>
      </c>
      <c r="R334" s="678"/>
      <c r="S334" s="671"/>
      <c r="T334" s="137"/>
      <c r="U334" s="133"/>
      <c r="W334" s="670"/>
    </row>
    <row r="335" spans="1:23" s="76" customFormat="1" ht="14.25" customHeight="1">
      <c r="A335" s="671" t="s">
        <v>3014</v>
      </c>
      <c r="B335" s="674" t="s">
        <v>313</v>
      </c>
      <c r="C335" s="675" t="s">
        <v>1917</v>
      </c>
      <c r="D335" s="669" t="s">
        <v>1913</v>
      </c>
      <c r="J335" s="76" t="s">
        <v>812</v>
      </c>
      <c r="K335" s="76" t="s">
        <v>812</v>
      </c>
      <c r="L335" s="76" t="s">
        <v>812</v>
      </c>
      <c r="P335" s="76" t="s">
        <v>813</v>
      </c>
      <c r="R335" s="678"/>
      <c r="S335" s="671"/>
      <c r="T335" s="137"/>
      <c r="U335" s="133"/>
      <c r="W335" s="670"/>
    </row>
    <row r="336" spans="1:23" s="76" customFormat="1" ht="14.25" customHeight="1">
      <c r="A336" s="671" t="s">
        <v>3014</v>
      </c>
      <c r="B336" s="674" t="s">
        <v>313</v>
      </c>
      <c r="C336" s="675" t="s">
        <v>2083</v>
      </c>
      <c r="D336" s="669"/>
      <c r="J336" s="76" t="s">
        <v>812</v>
      </c>
      <c r="K336" s="666" t="s">
        <v>812</v>
      </c>
      <c r="L336" s="666" t="s">
        <v>812</v>
      </c>
      <c r="P336" s="76" t="s">
        <v>813</v>
      </c>
      <c r="R336" s="678"/>
      <c r="S336" s="671"/>
      <c r="T336" s="137">
        <v>43297</v>
      </c>
      <c r="U336" s="133"/>
      <c r="W336" s="670"/>
    </row>
    <row r="337" spans="1:23" s="76" customFormat="1" ht="14.25" customHeight="1">
      <c r="A337" s="671" t="s">
        <v>3014</v>
      </c>
      <c r="B337" s="674" t="s">
        <v>313</v>
      </c>
      <c r="C337" s="675" t="s">
        <v>460</v>
      </c>
      <c r="D337" s="669" t="s">
        <v>1693</v>
      </c>
      <c r="E337" s="76">
        <v>196144</v>
      </c>
      <c r="J337" s="76" t="s">
        <v>812</v>
      </c>
      <c r="K337" s="666" t="s">
        <v>812</v>
      </c>
      <c r="L337" s="666" t="s">
        <v>812</v>
      </c>
      <c r="M337" s="76" t="s">
        <v>809</v>
      </c>
      <c r="N337" s="76">
        <v>20.212700000000002</v>
      </c>
      <c r="O337" s="76">
        <v>92.820800000000006</v>
      </c>
      <c r="P337" s="76" t="s">
        <v>813</v>
      </c>
      <c r="Q337" s="76" t="s">
        <v>794</v>
      </c>
      <c r="R337" s="678"/>
      <c r="S337" s="671"/>
      <c r="T337" s="137"/>
      <c r="U337" s="133"/>
      <c r="V337" s="76" t="s">
        <v>460</v>
      </c>
      <c r="W337" s="670"/>
    </row>
    <row r="338" spans="1:23" s="76" customFormat="1" ht="14.25" customHeight="1">
      <c r="A338" s="671" t="s">
        <v>3014</v>
      </c>
      <c r="B338" s="674" t="s">
        <v>313</v>
      </c>
      <c r="C338" s="675" t="s">
        <v>889</v>
      </c>
      <c r="D338" s="669" t="s">
        <v>1693</v>
      </c>
      <c r="E338" s="76">
        <v>196145</v>
      </c>
      <c r="J338" s="76" t="s">
        <v>812</v>
      </c>
      <c r="K338" s="76" t="s">
        <v>812</v>
      </c>
      <c r="L338" s="76" t="s">
        <v>812</v>
      </c>
      <c r="M338" s="76" t="s">
        <v>809</v>
      </c>
      <c r="N338" s="76">
        <v>20.219509120000001</v>
      </c>
      <c r="O338" s="76">
        <v>92.811332699999994</v>
      </c>
      <c r="P338" s="76" t="s">
        <v>813</v>
      </c>
      <c r="Q338" s="76" t="s">
        <v>776</v>
      </c>
      <c r="R338" s="678"/>
      <c r="S338" s="671"/>
      <c r="T338" s="137">
        <v>42811</v>
      </c>
      <c r="U338" s="133"/>
      <c r="W338" s="670"/>
    </row>
    <row r="339" spans="1:23" s="76" customFormat="1" ht="14.25" customHeight="1">
      <c r="A339" s="671" t="s">
        <v>3014</v>
      </c>
      <c r="B339" s="674" t="s">
        <v>313</v>
      </c>
      <c r="C339" s="675" t="s">
        <v>469</v>
      </c>
      <c r="D339" s="669" t="s">
        <v>1693</v>
      </c>
      <c r="E339" s="76">
        <v>196178</v>
      </c>
      <c r="J339" s="76" t="s">
        <v>818</v>
      </c>
      <c r="K339" s="76" t="s">
        <v>812</v>
      </c>
      <c r="L339" s="76" t="s">
        <v>818</v>
      </c>
      <c r="M339" s="76" t="s">
        <v>312</v>
      </c>
      <c r="N339" s="76">
        <v>20.26078987</v>
      </c>
      <c r="O339" s="76">
        <v>92.878593440000003</v>
      </c>
      <c r="P339" s="76" t="s">
        <v>937</v>
      </c>
      <c r="Q339" s="76" t="s">
        <v>776</v>
      </c>
      <c r="R339" s="678"/>
      <c r="S339" s="671"/>
      <c r="T339" s="137">
        <v>42811</v>
      </c>
      <c r="U339" s="133"/>
      <c r="W339" s="670"/>
    </row>
    <row r="340" spans="1:23" s="76" customFormat="1" ht="14.25" customHeight="1">
      <c r="A340" s="671" t="s">
        <v>3014</v>
      </c>
      <c r="B340" s="674" t="s">
        <v>313</v>
      </c>
      <c r="C340" s="675" t="s">
        <v>459</v>
      </c>
      <c r="D340" s="760" t="s">
        <v>3138</v>
      </c>
      <c r="E340" s="76" t="s">
        <v>1400</v>
      </c>
      <c r="F340" s="76" t="s">
        <v>1782</v>
      </c>
      <c r="G340" s="76" t="s">
        <v>458</v>
      </c>
      <c r="H340" s="76" t="s">
        <v>43</v>
      </c>
      <c r="J340" s="76" t="s">
        <v>45</v>
      </c>
      <c r="K340" s="76" t="s">
        <v>45</v>
      </c>
      <c r="L340" s="76" t="s">
        <v>808</v>
      </c>
      <c r="M340" s="76" t="s">
        <v>809</v>
      </c>
      <c r="N340" s="76">
        <v>20.206778</v>
      </c>
      <c r="O340" s="76">
        <v>92.774193999999994</v>
      </c>
      <c r="P340" s="76" t="s">
        <v>775</v>
      </c>
      <c r="Q340" s="76" t="s">
        <v>794</v>
      </c>
      <c r="R340" s="670">
        <v>729</v>
      </c>
      <c r="S340" s="671">
        <v>4175</v>
      </c>
      <c r="T340" s="137"/>
      <c r="U340" s="133"/>
      <c r="V340" s="76" t="s">
        <v>459</v>
      </c>
      <c r="W340" s="670"/>
    </row>
    <row r="341" spans="1:23" s="76" customFormat="1" ht="14.25" customHeight="1">
      <c r="A341" s="671" t="s">
        <v>3014</v>
      </c>
      <c r="B341" s="674" t="s">
        <v>313</v>
      </c>
      <c r="C341" s="675" t="s">
        <v>454</v>
      </c>
      <c r="D341" s="669" t="s">
        <v>1693</v>
      </c>
      <c r="E341" s="76">
        <v>196156</v>
      </c>
      <c r="F341" s="76" t="s">
        <v>1782</v>
      </c>
      <c r="J341" s="76" t="s">
        <v>812</v>
      </c>
      <c r="K341" s="76" t="s">
        <v>812</v>
      </c>
      <c r="L341" s="76" t="s">
        <v>812</v>
      </c>
      <c r="M341" s="76" t="s">
        <v>809</v>
      </c>
      <c r="N341" s="76">
        <v>20.197549819999999</v>
      </c>
      <c r="O341" s="76">
        <v>92.785682679999994</v>
      </c>
      <c r="P341" s="76" t="s">
        <v>813</v>
      </c>
      <c r="Q341" s="76" t="s">
        <v>794</v>
      </c>
      <c r="R341" s="678"/>
      <c r="S341" s="671"/>
      <c r="T341" s="137"/>
      <c r="U341" s="133"/>
      <c r="V341" s="76" t="s">
        <v>454</v>
      </c>
      <c r="W341" s="670"/>
    </row>
    <row r="342" spans="1:23" s="76" customFormat="1" ht="14.25" customHeight="1">
      <c r="A342" s="671" t="s">
        <v>3014</v>
      </c>
      <c r="B342" s="674" t="s">
        <v>313</v>
      </c>
      <c r="C342" s="675" t="s">
        <v>450</v>
      </c>
      <c r="D342" s="760" t="s">
        <v>3138</v>
      </c>
      <c r="E342" s="76" t="s">
        <v>1398</v>
      </c>
      <c r="F342" s="76" t="s">
        <v>1700</v>
      </c>
      <c r="G342" s="76" t="s">
        <v>1726</v>
      </c>
      <c r="H342" s="76" t="s">
        <v>43</v>
      </c>
      <c r="J342" s="76" t="s">
        <v>45</v>
      </c>
      <c r="K342" s="76" t="s">
        <v>45</v>
      </c>
      <c r="L342" s="76" t="s">
        <v>808</v>
      </c>
      <c r="M342" s="76" t="s">
        <v>809</v>
      </c>
      <c r="N342" s="76">
        <v>20.18994</v>
      </c>
      <c r="O342" s="76">
        <v>92.798880999999994</v>
      </c>
      <c r="P342" s="76" t="s">
        <v>775</v>
      </c>
      <c r="Q342" s="76" t="s">
        <v>794</v>
      </c>
      <c r="R342" s="670">
        <v>2728</v>
      </c>
      <c r="S342" s="671">
        <v>13812</v>
      </c>
      <c r="T342" s="137"/>
      <c r="U342" s="133"/>
      <c r="V342" s="76" t="s">
        <v>884</v>
      </c>
      <c r="W342" s="670"/>
    </row>
    <row r="343" spans="1:23" s="76" customFormat="1" ht="14.25" customHeight="1">
      <c r="A343" s="671" t="s">
        <v>3014</v>
      </c>
      <c r="B343" s="674" t="s">
        <v>313</v>
      </c>
      <c r="C343" s="675" t="s">
        <v>448</v>
      </c>
      <c r="D343" s="760" t="s">
        <v>3138</v>
      </c>
      <c r="E343" s="76" t="s">
        <v>1396</v>
      </c>
      <c r="F343" s="666" t="s">
        <v>1700</v>
      </c>
      <c r="G343" s="76" t="s">
        <v>1726</v>
      </c>
      <c r="H343" s="76" t="s">
        <v>43</v>
      </c>
      <c r="J343" s="76" t="s">
        <v>45</v>
      </c>
      <c r="K343" s="76" t="s">
        <v>45</v>
      </c>
      <c r="L343" s="76" t="s">
        <v>808</v>
      </c>
      <c r="M343" s="76" t="s">
        <v>809</v>
      </c>
      <c r="N343" s="76">
        <v>20.185092000000001</v>
      </c>
      <c r="O343" s="76">
        <v>92.802295999999998</v>
      </c>
      <c r="P343" s="76" t="s">
        <v>775</v>
      </c>
      <c r="Q343" s="76" t="s">
        <v>794</v>
      </c>
      <c r="R343" s="670">
        <v>2259</v>
      </c>
      <c r="S343" s="671">
        <v>11375</v>
      </c>
      <c r="T343" s="137"/>
      <c r="U343" s="133"/>
      <c r="V343" s="76" t="s">
        <v>882</v>
      </c>
      <c r="W343" s="670"/>
    </row>
    <row r="344" spans="1:23" s="76" customFormat="1" ht="14.25" customHeight="1">
      <c r="A344" s="671" t="s">
        <v>3014</v>
      </c>
      <c r="B344" s="674" t="s">
        <v>313</v>
      </c>
      <c r="C344" s="675" t="s">
        <v>458</v>
      </c>
      <c r="D344" s="669" t="s">
        <v>1693</v>
      </c>
      <c r="E344" s="666">
        <v>196158</v>
      </c>
      <c r="F344" s="666"/>
      <c r="G344" s="666"/>
      <c r="H344" s="666"/>
      <c r="I344" s="666"/>
      <c r="J344" s="666" t="s">
        <v>818</v>
      </c>
      <c r="K344" s="76" t="s">
        <v>812</v>
      </c>
      <c r="L344" s="76" t="s">
        <v>818</v>
      </c>
      <c r="M344" s="76" t="s">
        <v>809</v>
      </c>
      <c r="N344" s="666">
        <v>20.2043705</v>
      </c>
      <c r="O344" s="666">
        <v>92.780357359999996</v>
      </c>
      <c r="P344" s="76" t="s">
        <v>937</v>
      </c>
      <c r="Q344" s="666" t="s">
        <v>776</v>
      </c>
      <c r="R344" s="678"/>
      <c r="S344" s="671"/>
      <c r="T344" s="690">
        <v>42811</v>
      </c>
      <c r="U344" s="672"/>
      <c r="V344" s="666"/>
      <c r="W344" s="670"/>
    </row>
    <row r="345" spans="1:23" s="76" customFormat="1" ht="14.25" customHeight="1">
      <c r="A345" s="671" t="s">
        <v>3014</v>
      </c>
      <c r="B345" s="668" t="s">
        <v>313</v>
      </c>
      <c r="C345" s="668" t="s">
        <v>2897</v>
      </c>
      <c r="D345" s="760"/>
      <c r="E345" s="666">
        <v>220593</v>
      </c>
      <c r="F345" s="668" t="s">
        <v>468</v>
      </c>
      <c r="J345" s="76" t="s">
        <v>812</v>
      </c>
      <c r="K345" s="668" t="s">
        <v>812</v>
      </c>
      <c r="L345" s="668" t="s">
        <v>812</v>
      </c>
      <c r="N345" s="76">
        <v>20.261358000000001</v>
      </c>
      <c r="O345" s="76">
        <v>92.805672999999999</v>
      </c>
      <c r="R345" s="131"/>
      <c r="S345" s="670"/>
      <c r="T345" s="137"/>
      <c r="U345" s="133"/>
      <c r="W345" s="670"/>
    </row>
    <row r="346" spans="1:23" s="76" customFormat="1" ht="14.25" customHeight="1">
      <c r="A346" s="671" t="s">
        <v>3014</v>
      </c>
      <c r="B346" s="674" t="s">
        <v>313</v>
      </c>
      <c r="C346" s="675" t="s">
        <v>853</v>
      </c>
      <c r="D346" s="669" t="s">
        <v>1693</v>
      </c>
      <c r="E346" s="666">
        <v>196142</v>
      </c>
      <c r="F346" s="666"/>
      <c r="J346" s="76" t="s">
        <v>812</v>
      </c>
      <c r="K346" s="666" t="s">
        <v>812</v>
      </c>
      <c r="L346" s="666" t="s">
        <v>812</v>
      </c>
      <c r="M346" s="76" t="s">
        <v>809</v>
      </c>
      <c r="N346" s="76">
        <v>20.122990000000001</v>
      </c>
      <c r="O346" s="76">
        <v>92.474298000000005</v>
      </c>
      <c r="P346" s="76" t="s">
        <v>813</v>
      </c>
      <c r="R346" s="678"/>
      <c r="S346" s="671"/>
      <c r="T346" s="137"/>
      <c r="U346" s="133"/>
      <c r="V346" s="76" t="s">
        <v>853</v>
      </c>
      <c r="W346" s="670"/>
    </row>
    <row r="347" spans="1:23" s="76" customFormat="1" ht="14.25" customHeight="1">
      <c r="A347" s="671" t="s">
        <v>3014</v>
      </c>
      <c r="B347" s="674" t="s">
        <v>313</v>
      </c>
      <c r="C347" s="675" t="s">
        <v>855</v>
      </c>
      <c r="D347" s="669" t="s">
        <v>1693</v>
      </c>
      <c r="E347" s="666">
        <v>196141</v>
      </c>
      <c r="F347" s="666"/>
      <c r="G347" s="666"/>
      <c r="H347" s="666"/>
      <c r="I347" s="666"/>
      <c r="J347" s="666" t="s">
        <v>812</v>
      </c>
      <c r="K347" s="76" t="s">
        <v>812</v>
      </c>
      <c r="L347" s="666" t="s">
        <v>812</v>
      </c>
      <c r="M347" s="76" t="s">
        <v>312</v>
      </c>
      <c r="N347" s="666">
        <v>20.131148</v>
      </c>
      <c r="O347" s="666">
        <v>92.462236000000004</v>
      </c>
      <c r="P347" s="76" t="s">
        <v>813</v>
      </c>
      <c r="Q347" s="666"/>
      <c r="R347" s="678"/>
      <c r="S347" s="671"/>
      <c r="T347" s="690"/>
      <c r="U347" s="672"/>
      <c r="V347" s="666" t="s">
        <v>855</v>
      </c>
      <c r="W347" s="670"/>
    </row>
    <row r="348" spans="1:23" s="76" customFormat="1" ht="14.25" customHeight="1">
      <c r="A348" s="671" t="s">
        <v>3014</v>
      </c>
      <c r="B348" s="674" t="s">
        <v>313</v>
      </c>
      <c r="C348" s="675" t="s">
        <v>856</v>
      </c>
      <c r="D348" s="669" t="s">
        <v>1693</v>
      </c>
      <c r="E348" s="666">
        <v>196141</v>
      </c>
      <c r="F348" s="666"/>
      <c r="G348" s="666"/>
      <c r="H348" s="666"/>
      <c r="I348" s="666"/>
      <c r="J348" s="666" t="s">
        <v>812</v>
      </c>
      <c r="K348" s="76" t="s">
        <v>812</v>
      </c>
      <c r="L348" s="76" t="s">
        <v>812</v>
      </c>
      <c r="M348" s="76" t="s">
        <v>312</v>
      </c>
      <c r="N348" s="666">
        <v>20.131148</v>
      </c>
      <c r="O348" s="666">
        <v>92.462236000000004</v>
      </c>
      <c r="P348" s="76" t="s">
        <v>813</v>
      </c>
      <c r="Q348" s="666"/>
      <c r="R348" s="678"/>
      <c r="S348" s="671"/>
      <c r="T348" s="690"/>
      <c r="U348" s="672"/>
      <c r="V348" s="666" t="s">
        <v>856</v>
      </c>
      <c r="W348" s="670"/>
    </row>
    <row r="349" spans="1:23" s="76" customFormat="1" ht="14.25" customHeight="1">
      <c r="A349" s="671" t="s">
        <v>3014</v>
      </c>
      <c r="B349" s="674" t="s">
        <v>313</v>
      </c>
      <c r="C349" s="675" t="s">
        <v>318</v>
      </c>
      <c r="D349" s="669" t="s">
        <v>1693</v>
      </c>
      <c r="E349" s="666"/>
      <c r="J349" s="666" t="s">
        <v>812</v>
      </c>
      <c r="K349" s="666" t="s">
        <v>812</v>
      </c>
      <c r="L349" s="666" t="s">
        <v>812</v>
      </c>
      <c r="M349" s="76" t="s">
        <v>809</v>
      </c>
      <c r="P349" s="76" t="s">
        <v>813</v>
      </c>
      <c r="Q349" s="76" t="s">
        <v>794</v>
      </c>
      <c r="R349" s="678"/>
      <c r="S349" s="671"/>
      <c r="T349" s="137"/>
      <c r="U349" s="133"/>
      <c r="V349" s="76" t="s">
        <v>887</v>
      </c>
      <c r="W349" s="670"/>
    </row>
    <row r="350" spans="1:23" s="76" customFormat="1" ht="14.25" customHeight="1">
      <c r="A350" s="671" t="s">
        <v>3014</v>
      </c>
      <c r="B350" s="674" t="s">
        <v>313</v>
      </c>
      <c r="C350" s="675" t="s">
        <v>2382</v>
      </c>
      <c r="D350" s="669"/>
      <c r="E350" s="666" t="s">
        <v>1399</v>
      </c>
      <c r="F350" s="76" t="s">
        <v>1701</v>
      </c>
      <c r="G350" s="76" t="s">
        <v>1702</v>
      </c>
      <c r="J350" s="76" t="s">
        <v>45</v>
      </c>
      <c r="K350" s="76" t="s">
        <v>45</v>
      </c>
      <c r="L350" s="76" t="s">
        <v>808</v>
      </c>
      <c r="M350" s="76" t="s">
        <v>809</v>
      </c>
      <c r="N350" s="76">
        <v>20.207284999999999</v>
      </c>
      <c r="O350" s="76">
        <v>92.788177000000005</v>
      </c>
      <c r="P350" s="76" t="s">
        <v>775</v>
      </c>
      <c r="Q350" s="76" t="s">
        <v>794</v>
      </c>
      <c r="R350" s="678"/>
      <c r="S350" s="671"/>
      <c r="T350" s="137">
        <v>43488</v>
      </c>
      <c r="U350" s="133"/>
      <c r="V350" s="76" t="s">
        <v>887</v>
      </c>
      <c r="W350" s="670"/>
    </row>
    <row r="351" spans="1:23" s="76" customFormat="1" ht="14.25" customHeight="1">
      <c r="A351" s="671" t="s">
        <v>3014</v>
      </c>
      <c r="B351" s="674" t="s">
        <v>313</v>
      </c>
      <c r="C351" s="675" t="s">
        <v>857</v>
      </c>
      <c r="D351" s="669" t="s">
        <v>1693</v>
      </c>
      <c r="E351" s="666">
        <v>196130</v>
      </c>
      <c r="J351" s="76" t="s">
        <v>812</v>
      </c>
      <c r="K351" s="76" t="s">
        <v>812</v>
      </c>
      <c r="L351" s="76" t="s">
        <v>812</v>
      </c>
      <c r="M351" s="76" t="s">
        <v>312</v>
      </c>
      <c r="N351" s="76">
        <v>20.142474</v>
      </c>
      <c r="O351" s="76">
        <v>92.494243999999995</v>
      </c>
      <c r="P351" s="76" t="s">
        <v>813</v>
      </c>
      <c r="R351" s="678"/>
      <c r="S351" s="671"/>
      <c r="T351" s="137"/>
      <c r="U351" s="133"/>
      <c r="V351" s="76" t="s">
        <v>857</v>
      </c>
      <c r="W351" s="670"/>
    </row>
    <row r="352" spans="1:23" s="76" customFormat="1" ht="14.25" customHeight="1">
      <c r="A352" s="671" t="s">
        <v>3014</v>
      </c>
      <c r="B352" s="668" t="s">
        <v>313</v>
      </c>
      <c r="C352" s="668" t="s">
        <v>2896</v>
      </c>
      <c r="D352" s="760"/>
      <c r="E352" s="666">
        <v>196130</v>
      </c>
      <c r="J352" s="76" t="s">
        <v>812</v>
      </c>
      <c r="K352" s="668" t="s">
        <v>812</v>
      </c>
      <c r="L352" s="668" t="s">
        <v>812</v>
      </c>
      <c r="M352" s="666" t="s">
        <v>312</v>
      </c>
      <c r="N352" s="666">
        <v>20.142474</v>
      </c>
      <c r="O352" s="666">
        <v>92.494243999999995</v>
      </c>
      <c r="P352" s="666" t="s">
        <v>813</v>
      </c>
      <c r="R352" s="674"/>
      <c r="S352" s="675"/>
      <c r="T352" s="137"/>
      <c r="U352" s="133"/>
      <c r="W352" s="670"/>
    </row>
    <row r="353" spans="1:23" s="76" customFormat="1" ht="14.25" customHeight="1">
      <c r="A353" s="671" t="s">
        <v>3014</v>
      </c>
      <c r="B353" s="674" t="s">
        <v>313</v>
      </c>
      <c r="C353" s="675" t="s">
        <v>2081</v>
      </c>
      <c r="D353" s="669"/>
      <c r="E353" s="76">
        <v>196162</v>
      </c>
      <c r="F353" s="76" t="s">
        <v>2080</v>
      </c>
      <c r="J353" s="76" t="s">
        <v>812</v>
      </c>
      <c r="K353" s="76" t="s">
        <v>812</v>
      </c>
      <c r="L353" s="76" t="s">
        <v>812</v>
      </c>
      <c r="M353" s="76" t="s">
        <v>809</v>
      </c>
      <c r="N353" s="76">
        <v>20.239929199999999</v>
      </c>
      <c r="O353" s="76">
        <v>92.827529909999996</v>
      </c>
      <c r="P353" s="76" t="s">
        <v>813</v>
      </c>
      <c r="R353" s="678"/>
      <c r="S353" s="671"/>
      <c r="T353" s="137">
        <v>43294</v>
      </c>
      <c r="U353" s="133"/>
      <c r="W353" s="670"/>
    </row>
    <row r="354" spans="1:23" s="76" customFormat="1" ht="14.25" customHeight="1">
      <c r="A354" s="671" t="s">
        <v>3014</v>
      </c>
      <c r="B354" s="668" t="s">
        <v>313</v>
      </c>
      <c r="C354" s="668" t="s">
        <v>2898</v>
      </c>
      <c r="D354" s="760"/>
      <c r="E354" s="668">
        <v>196131</v>
      </c>
      <c r="F354" s="668" t="s">
        <v>892</v>
      </c>
      <c r="J354" s="76" t="s">
        <v>812</v>
      </c>
      <c r="K354" s="668" t="s">
        <v>812</v>
      </c>
      <c r="L354" s="668" t="s">
        <v>812</v>
      </c>
      <c r="N354" s="76">
        <v>20.239799499511701</v>
      </c>
      <c r="O354" s="76">
        <v>92.825088500976605</v>
      </c>
      <c r="R354" s="670"/>
      <c r="S354" s="671"/>
      <c r="T354" s="137"/>
      <c r="U354" s="133"/>
      <c r="W354" s="670"/>
    </row>
    <row r="355" spans="1:23" s="76" customFormat="1" ht="14.25" customHeight="1">
      <c r="A355" s="671" t="s">
        <v>3014</v>
      </c>
      <c r="B355" s="668" t="s">
        <v>313</v>
      </c>
      <c r="C355" s="668" t="s">
        <v>2901</v>
      </c>
      <c r="D355" s="669"/>
      <c r="J355" s="76" t="s">
        <v>812</v>
      </c>
      <c r="K355" s="668" t="s">
        <v>812</v>
      </c>
      <c r="L355" s="668" t="s">
        <v>812</v>
      </c>
      <c r="R355" s="668"/>
      <c r="S355" s="668"/>
      <c r="T355" s="137"/>
      <c r="U355" s="133"/>
      <c r="W355" s="670"/>
    </row>
    <row r="356" spans="1:23" s="76" customFormat="1" ht="14.25" customHeight="1">
      <c r="A356" s="671" t="s">
        <v>3014</v>
      </c>
      <c r="B356" s="674" t="s">
        <v>313</v>
      </c>
      <c r="C356" s="675" t="s">
        <v>863</v>
      </c>
      <c r="D356" s="669" t="s">
        <v>1694</v>
      </c>
      <c r="E356" s="76" t="s">
        <v>1379</v>
      </c>
      <c r="F356" s="76" t="s">
        <v>1723</v>
      </c>
      <c r="G356" s="76" t="s">
        <v>1724</v>
      </c>
      <c r="J356" s="76" t="s">
        <v>45</v>
      </c>
      <c r="K356" s="666" t="s">
        <v>45</v>
      </c>
      <c r="L356" s="666" t="s">
        <v>774</v>
      </c>
      <c r="M356" s="76" t="s">
        <v>312</v>
      </c>
      <c r="N356" s="76">
        <v>20.151471999999998</v>
      </c>
      <c r="O356" s="76">
        <v>92.887277999999995</v>
      </c>
      <c r="P356" s="76" t="s">
        <v>775</v>
      </c>
      <c r="R356" s="678"/>
      <c r="S356" s="671"/>
      <c r="T356" s="137"/>
      <c r="U356" s="133"/>
      <c r="V356" s="76" t="s">
        <v>863</v>
      </c>
      <c r="W356" s="670"/>
    </row>
    <row r="357" spans="1:23" s="76" customFormat="1" ht="14.25" customHeight="1">
      <c r="A357" s="671" t="s">
        <v>3014</v>
      </c>
      <c r="B357" s="674" t="s">
        <v>313</v>
      </c>
      <c r="C357" s="675" t="s">
        <v>436</v>
      </c>
      <c r="D357" s="760" t="s">
        <v>3138</v>
      </c>
      <c r="E357" s="76" t="s">
        <v>1380</v>
      </c>
      <c r="F357" s="76" t="s">
        <v>1723</v>
      </c>
      <c r="G357" s="76" t="s">
        <v>1724</v>
      </c>
      <c r="J357" s="76" t="s">
        <v>812</v>
      </c>
      <c r="K357" s="76" t="s">
        <v>812</v>
      </c>
      <c r="L357" s="666" t="s">
        <v>835</v>
      </c>
      <c r="M357" s="76" t="s">
        <v>312</v>
      </c>
      <c r="N357" s="76">
        <v>20.151471999999998</v>
      </c>
      <c r="O357" s="76">
        <v>92.887277999999995</v>
      </c>
      <c r="P357" s="666" t="s">
        <v>813</v>
      </c>
      <c r="Q357" s="76" t="s">
        <v>794</v>
      </c>
      <c r="R357" s="131">
        <v>249</v>
      </c>
      <c r="S357" s="671">
        <v>1282</v>
      </c>
      <c r="T357" s="137"/>
      <c r="U357" s="133"/>
      <c r="V357" s="76" t="s">
        <v>436</v>
      </c>
      <c r="W357" s="670"/>
    </row>
    <row r="358" spans="1:23" s="76" customFormat="1" ht="14.25" customHeight="1">
      <c r="A358" s="671" t="s">
        <v>3014</v>
      </c>
      <c r="B358" s="674" t="s">
        <v>313</v>
      </c>
      <c r="C358" s="675" t="s">
        <v>437</v>
      </c>
      <c r="D358" s="760" t="s">
        <v>3138</v>
      </c>
      <c r="E358" s="76" t="s">
        <v>1381</v>
      </c>
      <c r="F358" s="76" t="s">
        <v>1723</v>
      </c>
      <c r="G358" s="76" t="s">
        <v>1724</v>
      </c>
      <c r="J358" s="76" t="s">
        <v>812</v>
      </c>
      <c r="K358" s="76" t="s">
        <v>812</v>
      </c>
      <c r="L358" s="76" t="s">
        <v>835</v>
      </c>
      <c r="M358" s="76" t="s">
        <v>312</v>
      </c>
      <c r="N358" s="76">
        <v>20.151471999999998</v>
      </c>
      <c r="O358" s="76">
        <v>92.887277999999995</v>
      </c>
      <c r="P358" s="76" t="s">
        <v>813</v>
      </c>
      <c r="Q358" s="76" t="s">
        <v>794</v>
      </c>
      <c r="R358" s="670">
        <v>420</v>
      </c>
      <c r="S358" s="671">
        <v>2200</v>
      </c>
      <c r="T358" s="137"/>
      <c r="U358" s="133"/>
      <c r="V358" s="76" t="s">
        <v>437</v>
      </c>
      <c r="W358" s="670"/>
    </row>
    <row r="359" spans="1:23" s="76" customFormat="1" ht="14.25" customHeight="1">
      <c r="A359" s="671" t="s">
        <v>3014</v>
      </c>
      <c r="B359" s="935" t="s">
        <v>313</v>
      </c>
      <c r="C359" s="675" t="s">
        <v>457</v>
      </c>
      <c r="D359" s="760" t="s">
        <v>3138</v>
      </c>
      <c r="E359" s="666" t="s">
        <v>1399</v>
      </c>
      <c r="F359" s="666" t="s">
        <v>1782</v>
      </c>
      <c r="G359" s="666" t="s">
        <v>457</v>
      </c>
      <c r="H359" s="666" t="s">
        <v>43</v>
      </c>
      <c r="I359" s="666"/>
      <c r="J359" s="666" t="s">
        <v>45</v>
      </c>
      <c r="K359" s="922" t="s">
        <v>45</v>
      </c>
      <c r="L359" s="922" t="s">
        <v>808</v>
      </c>
      <c r="M359" s="666" t="s">
        <v>809</v>
      </c>
      <c r="N359" s="666">
        <v>20.202525000000001</v>
      </c>
      <c r="O359" s="666">
        <v>92.792479999999998</v>
      </c>
      <c r="P359" s="666" t="s">
        <v>775</v>
      </c>
      <c r="Q359" s="666" t="s">
        <v>794</v>
      </c>
      <c r="R359" s="670">
        <v>2682</v>
      </c>
      <c r="S359" s="932">
        <v>13653</v>
      </c>
      <c r="T359" s="690"/>
      <c r="U359" s="672"/>
      <c r="V359" s="666" t="s">
        <v>457</v>
      </c>
      <c r="W359" s="670"/>
    </row>
    <row r="360" spans="1:23" s="76" customFormat="1" ht="14.25" customHeight="1">
      <c r="A360" s="671" t="s">
        <v>3014</v>
      </c>
      <c r="B360" s="928" t="s">
        <v>313</v>
      </c>
      <c r="C360" s="675" t="s">
        <v>455</v>
      </c>
      <c r="D360" s="760"/>
      <c r="E360" s="76">
        <v>196154</v>
      </c>
      <c r="J360" s="76" t="s">
        <v>812</v>
      </c>
      <c r="K360" s="928" t="s">
        <v>812</v>
      </c>
      <c r="L360" s="928" t="s">
        <v>812</v>
      </c>
      <c r="R360" s="670"/>
      <c r="S360" s="931"/>
      <c r="T360" s="137"/>
      <c r="U360" s="133"/>
      <c r="W360" s="670"/>
    </row>
    <row r="361" spans="1:23" s="76" customFormat="1" ht="14.25" customHeight="1">
      <c r="A361" s="671" t="s">
        <v>3014</v>
      </c>
      <c r="B361" s="674" t="s">
        <v>313</v>
      </c>
      <c r="C361" s="675" t="s">
        <v>455</v>
      </c>
      <c r="D361" s="669" t="s">
        <v>1693</v>
      </c>
      <c r="E361" s="76">
        <v>196154</v>
      </c>
      <c r="J361" s="76" t="s">
        <v>812</v>
      </c>
      <c r="K361" s="76" t="s">
        <v>812</v>
      </c>
      <c r="L361" s="76" t="s">
        <v>812</v>
      </c>
      <c r="M361" s="76" t="s">
        <v>809</v>
      </c>
      <c r="N361" s="76">
        <v>20.201499999999999</v>
      </c>
      <c r="O361" s="76">
        <v>92.796599999999998</v>
      </c>
      <c r="P361" s="76" t="s">
        <v>813</v>
      </c>
      <c r="Q361" s="76" t="s">
        <v>794</v>
      </c>
      <c r="R361" s="678"/>
      <c r="S361" s="671"/>
      <c r="T361" s="137">
        <v>42745</v>
      </c>
      <c r="U361" s="133"/>
      <c r="W361" s="670"/>
    </row>
    <row r="362" spans="1:23" s="76" customFormat="1" ht="14.25" customHeight="1">
      <c r="A362" s="671" t="s">
        <v>3014</v>
      </c>
      <c r="B362" s="674" t="s">
        <v>313</v>
      </c>
      <c r="C362" s="675" t="s">
        <v>451</v>
      </c>
      <c r="D362" s="669" t="s">
        <v>1693</v>
      </c>
      <c r="E362" s="76">
        <v>196155</v>
      </c>
      <c r="J362" s="76" t="s">
        <v>812</v>
      </c>
      <c r="K362" s="76" t="s">
        <v>812</v>
      </c>
      <c r="L362" s="76" t="s">
        <v>812</v>
      </c>
      <c r="M362" s="76" t="s">
        <v>809</v>
      </c>
      <c r="N362" s="76">
        <v>20.19171906</v>
      </c>
      <c r="O362" s="76">
        <v>92.808166499999999</v>
      </c>
      <c r="P362" s="76" t="s">
        <v>813</v>
      </c>
      <c r="Q362" s="76" t="s">
        <v>794</v>
      </c>
      <c r="R362" s="678"/>
      <c r="S362" s="671"/>
      <c r="T362" s="137"/>
      <c r="U362" s="133"/>
      <c r="V362" s="76" t="s">
        <v>451</v>
      </c>
      <c r="W362" s="670"/>
    </row>
    <row r="363" spans="1:23" s="76" customFormat="1" ht="14.25" customHeight="1">
      <c r="A363" s="671" t="s">
        <v>3014</v>
      </c>
      <c r="B363" s="674" t="s">
        <v>313</v>
      </c>
      <c r="C363" s="675" t="s">
        <v>434</v>
      </c>
      <c r="D363" s="760" t="s">
        <v>3138</v>
      </c>
      <c r="E363" s="666" t="s">
        <v>1378</v>
      </c>
      <c r="F363" s="666" t="s">
        <v>1911</v>
      </c>
      <c r="G363" s="666" t="s">
        <v>1911</v>
      </c>
      <c r="H363" s="666"/>
      <c r="I363" s="666"/>
      <c r="J363" s="666" t="s">
        <v>812</v>
      </c>
      <c r="K363" s="666" t="s">
        <v>812</v>
      </c>
      <c r="L363" s="666" t="s">
        <v>835</v>
      </c>
      <c r="M363" s="666" t="s">
        <v>860</v>
      </c>
      <c r="N363" s="666">
        <v>20.148584</v>
      </c>
      <c r="O363" s="666">
        <v>92.880319999999998</v>
      </c>
      <c r="P363" s="666" t="s">
        <v>813</v>
      </c>
      <c r="Q363" s="666" t="s">
        <v>794</v>
      </c>
      <c r="R363" s="670">
        <v>72</v>
      </c>
      <c r="S363" s="671">
        <v>462</v>
      </c>
      <c r="T363" s="690"/>
      <c r="U363" s="672"/>
      <c r="V363" s="666" t="s">
        <v>434</v>
      </c>
      <c r="W363" s="670"/>
    </row>
    <row r="364" spans="1:23" s="76" customFormat="1" ht="14.25" customHeight="1">
      <c r="A364" s="671" t="s">
        <v>3014</v>
      </c>
      <c r="B364" s="674" t="s">
        <v>313</v>
      </c>
      <c r="C364" s="675" t="s">
        <v>1944</v>
      </c>
      <c r="D364" s="760" t="s">
        <v>3138</v>
      </c>
      <c r="E364" s="76" t="s">
        <v>1383</v>
      </c>
      <c r="F364" s="76" t="s">
        <v>1911</v>
      </c>
      <c r="G364" s="76" t="s">
        <v>1911</v>
      </c>
      <c r="J364" s="76" t="s">
        <v>812</v>
      </c>
      <c r="K364" s="76" t="s">
        <v>812</v>
      </c>
      <c r="L364" s="76" t="s">
        <v>835</v>
      </c>
      <c r="M364" s="76" t="s">
        <v>312</v>
      </c>
      <c r="N364" s="76">
        <v>20.155805999999998</v>
      </c>
      <c r="O364" s="76">
        <v>92.879138999999995</v>
      </c>
      <c r="P364" s="76" t="s">
        <v>813</v>
      </c>
      <c r="Q364" s="76" t="s">
        <v>794</v>
      </c>
      <c r="R364" s="670">
        <v>151</v>
      </c>
      <c r="S364" s="671">
        <v>654</v>
      </c>
      <c r="T364" s="137"/>
      <c r="U364" s="133"/>
      <c r="V364" s="76" t="s">
        <v>438</v>
      </c>
      <c r="W364" s="670"/>
    </row>
    <row r="365" spans="1:23" s="76" customFormat="1" ht="14.25" customHeight="1">
      <c r="A365" s="671" t="s">
        <v>3014</v>
      </c>
      <c r="B365" s="674" t="s">
        <v>313</v>
      </c>
      <c r="C365" s="675" t="s">
        <v>2077</v>
      </c>
      <c r="D365" s="669"/>
      <c r="E365" s="76">
        <v>196179</v>
      </c>
      <c r="F365" s="76" t="s">
        <v>2077</v>
      </c>
      <c r="J365" s="76" t="s">
        <v>812</v>
      </c>
      <c r="K365" s="76" t="s">
        <v>812</v>
      </c>
      <c r="L365" s="76" t="s">
        <v>812</v>
      </c>
      <c r="M365" s="76" t="s">
        <v>1952</v>
      </c>
      <c r="N365" s="76">
        <v>20.236970899999999</v>
      </c>
      <c r="O365" s="76">
        <v>92.877876279999995</v>
      </c>
      <c r="P365" s="76" t="s">
        <v>813</v>
      </c>
      <c r="R365" s="678"/>
      <c r="S365" s="671"/>
      <c r="T365" s="137">
        <v>43294</v>
      </c>
      <c r="U365" s="133"/>
      <c r="W365" s="670"/>
    </row>
    <row r="366" spans="1:23" s="76" customFormat="1" ht="14.25" customHeight="1">
      <c r="A366" s="671" t="s">
        <v>3014</v>
      </c>
      <c r="B366" s="674" t="s">
        <v>313</v>
      </c>
      <c r="C366" s="675" t="s">
        <v>440</v>
      </c>
      <c r="D366" s="760" t="s">
        <v>3138</v>
      </c>
      <c r="E366" s="76" t="s">
        <v>1385</v>
      </c>
      <c r="F366" s="76" t="s">
        <v>433</v>
      </c>
      <c r="G366" s="76" t="s">
        <v>439</v>
      </c>
      <c r="H366" s="76" t="s">
        <v>43</v>
      </c>
      <c r="J366" s="76" t="s">
        <v>45</v>
      </c>
      <c r="K366" s="76" t="s">
        <v>45</v>
      </c>
      <c r="L366" s="76" t="s">
        <v>811</v>
      </c>
      <c r="M366" s="76" t="s">
        <v>809</v>
      </c>
      <c r="N366" s="76">
        <v>20.1585</v>
      </c>
      <c r="O366" s="76">
        <v>92.839416999999997</v>
      </c>
      <c r="P366" s="76" t="s">
        <v>775</v>
      </c>
      <c r="Q366" s="76" t="s">
        <v>794</v>
      </c>
      <c r="R366" s="670">
        <v>2270</v>
      </c>
      <c r="S366" s="671">
        <v>13069</v>
      </c>
      <c r="T366" s="137"/>
      <c r="U366" s="133"/>
      <c r="V366" s="76" t="s">
        <v>870</v>
      </c>
      <c r="W366" s="670"/>
    </row>
    <row r="367" spans="1:23" s="76" customFormat="1" ht="14.25" customHeight="1">
      <c r="A367" s="671" t="s">
        <v>3014</v>
      </c>
      <c r="B367" s="674" t="s">
        <v>313</v>
      </c>
      <c r="C367" s="675" t="s">
        <v>866</v>
      </c>
      <c r="D367" s="669" t="s">
        <v>1694</v>
      </c>
      <c r="E367" s="666" t="s">
        <v>1384</v>
      </c>
      <c r="F367" s="666" t="s">
        <v>433</v>
      </c>
      <c r="G367" s="666" t="s">
        <v>439</v>
      </c>
      <c r="H367" s="666"/>
      <c r="J367" s="76" t="s">
        <v>45</v>
      </c>
      <c r="K367" s="76" t="s">
        <v>45</v>
      </c>
      <c r="L367" s="666" t="s">
        <v>774</v>
      </c>
      <c r="N367" s="666">
        <v>20.156842000000001</v>
      </c>
      <c r="O367" s="666">
        <v>92.837576999999996</v>
      </c>
      <c r="P367" s="666" t="s">
        <v>775</v>
      </c>
      <c r="R367" s="678"/>
      <c r="S367" s="671"/>
      <c r="T367" s="137"/>
      <c r="U367" s="672"/>
      <c r="V367" s="666" t="s">
        <v>867</v>
      </c>
      <c r="W367" s="670"/>
    </row>
    <row r="368" spans="1:23" s="76" customFormat="1" ht="14.25" customHeight="1">
      <c r="A368" s="671" t="s">
        <v>3014</v>
      </c>
      <c r="B368" s="674" t="s">
        <v>313</v>
      </c>
      <c r="C368" s="675" t="s">
        <v>707</v>
      </c>
      <c r="D368" s="669" t="s">
        <v>1693</v>
      </c>
      <c r="E368" s="76">
        <v>196210</v>
      </c>
      <c r="J368" s="76" t="s">
        <v>812</v>
      </c>
      <c r="K368" s="76" t="s">
        <v>812</v>
      </c>
      <c r="L368" s="76" t="s">
        <v>812</v>
      </c>
      <c r="M368" s="76" t="s">
        <v>312</v>
      </c>
      <c r="N368" s="76">
        <v>20.16259956</v>
      </c>
      <c r="O368" s="76">
        <v>92.834457400000005</v>
      </c>
      <c r="P368" s="76" t="s">
        <v>813</v>
      </c>
      <c r="Q368" s="76" t="s">
        <v>794</v>
      </c>
      <c r="R368" s="678"/>
      <c r="S368" s="671"/>
      <c r="T368" s="137"/>
      <c r="U368" s="133"/>
      <c r="W368" s="670"/>
    </row>
    <row r="369" spans="1:23" s="76" customFormat="1" ht="14.25" customHeight="1">
      <c r="A369" s="671" t="s">
        <v>3014</v>
      </c>
      <c r="B369" s="674" t="s">
        <v>313</v>
      </c>
      <c r="C369" s="675" t="s">
        <v>319</v>
      </c>
      <c r="D369" s="669" t="s">
        <v>1693</v>
      </c>
      <c r="E369" s="666"/>
      <c r="F369" s="666"/>
      <c r="G369" s="666"/>
      <c r="H369" s="666"/>
      <c r="J369" s="76" t="s">
        <v>812</v>
      </c>
      <c r="K369" s="76" t="s">
        <v>812</v>
      </c>
      <c r="L369" s="666" t="s">
        <v>812</v>
      </c>
      <c r="M369" s="76" t="s">
        <v>809</v>
      </c>
      <c r="N369" s="666"/>
      <c r="O369" s="666"/>
      <c r="P369" s="666" t="s">
        <v>813</v>
      </c>
      <c r="Q369" s="76" t="s">
        <v>776</v>
      </c>
      <c r="R369" s="678"/>
      <c r="S369" s="671"/>
      <c r="T369" s="137">
        <v>42811</v>
      </c>
      <c r="U369" s="672"/>
      <c r="V369" s="666"/>
      <c r="W369" s="670"/>
    </row>
    <row r="370" spans="1:23" s="76" customFormat="1" ht="14.25" customHeight="1">
      <c r="A370" s="671" t="s">
        <v>3014</v>
      </c>
      <c r="B370" s="674" t="s">
        <v>313</v>
      </c>
      <c r="C370" s="675" t="s">
        <v>439</v>
      </c>
      <c r="D370" s="669" t="s">
        <v>1693</v>
      </c>
      <c r="E370" s="76">
        <v>196211</v>
      </c>
      <c r="J370" s="666" t="s">
        <v>812</v>
      </c>
      <c r="K370" s="666" t="s">
        <v>812</v>
      </c>
      <c r="L370" s="76" t="s">
        <v>812</v>
      </c>
      <c r="M370" s="76" t="s">
        <v>809</v>
      </c>
      <c r="N370" s="76">
        <v>20.15736008</v>
      </c>
      <c r="O370" s="76">
        <v>92.838653559999997</v>
      </c>
      <c r="P370" s="76" t="s">
        <v>813</v>
      </c>
      <c r="Q370" s="76" t="s">
        <v>794</v>
      </c>
      <c r="R370" s="678"/>
      <c r="S370" s="671"/>
      <c r="T370" s="137"/>
      <c r="U370" s="133"/>
      <c r="V370" s="76" t="s">
        <v>868</v>
      </c>
      <c r="W370" s="670"/>
    </row>
    <row r="371" spans="1:23" s="76" customFormat="1" ht="14.25" customHeight="1">
      <c r="A371" s="671" t="s">
        <v>3014</v>
      </c>
      <c r="B371" s="674" t="s">
        <v>313</v>
      </c>
      <c r="C371" s="675" t="s">
        <v>435</v>
      </c>
      <c r="D371" s="669" t="s">
        <v>1693</v>
      </c>
      <c r="E371" s="666">
        <v>196209</v>
      </c>
      <c r="F371" s="668" t="s">
        <v>433</v>
      </c>
      <c r="G371" s="666"/>
      <c r="H371" s="666"/>
      <c r="J371" s="76" t="s">
        <v>812</v>
      </c>
      <c r="K371" s="76" t="s">
        <v>812</v>
      </c>
      <c r="L371" s="666" t="s">
        <v>812</v>
      </c>
      <c r="M371" s="76" t="s">
        <v>809</v>
      </c>
      <c r="N371" s="666">
        <v>20.147863431600001</v>
      </c>
      <c r="O371" s="666">
        <v>92.846768572000002</v>
      </c>
      <c r="P371" s="666" t="s">
        <v>813</v>
      </c>
      <c r="Q371" s="76" t="s">
        <v>776</v>
      </c>
      <c r="R371" s="678"/>
      <c r="S371" s="671"/>
      <c r="T371" s="137"/>
      <c r="U371" s="672"/>
      <c r="V371" s="666" t="s">
        <v>861</v>
      </c>
      <c r="W371" s="670"/>
    </row>
    <row r="372" spans="1:23" s="76" customFormat="1" ht="14.25" customHeight="1">
      <c r="A372" s="671" t="s">
        <v>3014</v>
      </c>
      <c r="B372" s="674" t="s">
        <v>313</v>
      </c>
      <c r="C372" s="675" t="s">
        <v>869</v>
      </c>
      <c r="D372" s="669" t="s">
        <v>1693</v>
      </c>
      <c r="E372" s="666">
        <v>196211</v>
      </c>
      <c r="F372" s="666"/>
      <c r="G372" s="666"/>
      <c r="H372" s="666"/>
      <c r="I372" s="666"/>
      <c r="J372" s="666" t="s">
        <v>812</v>
      </c>
      <c r="K372" s="666" t="s">
        <v>812</v>
      </c>
      <c r="L372" s="666" t="s">
        <v>812</v>
      </c>
      <c r="M372" s="666" t="s">
        <v>809</v>
      </c>
      <c r="N372" s="666">
        <v>20.15736008</v>
      </c>
      <c r="O372" s="666">
        <v>92.838653559999997</v>
      </c>
      <c r="P372" s="666" t="s">
        <v>813</v>
      </c>
      <c r="Q372" s="666"/>
      <c r="R372" s="678"/>
      <c r="S372" s="671"/>
      <c r="T372" s="690"/>
      <c r="U372" s="672"/>
      <c r="V372" s="666" t="s">
        <v>869</v>
      </c>
      <c r="W372" s="670"/>
    </row>
    <row r="373" spans="1:23" s="76" customFormat="1" ht="14.25" customHeight="1">
      <c r="A373" s="671" t="s">
        <v>3014</v>
      </c>
      <c r="B373" s="674" t="s">
        <v>313</v>
      </c>
      <c r="C373" s="675" t="s">
        <v>464</v>
      </c>
      <c r="D373" s="669" t="s">
        <v>1693</v>
      </c>
      <c r="E373" s="666">
        <v>196167</v>
      </c>
      <c r="F373" s="666" t="s">
        <v>464</v>
      </c>
      <c r="G373" s="666"/>
      <c r="H373" s="666"/>
      <c r="I373" s="666"/>
      <c r="J373" s="666" t="s">
        <v>812</v>
      </c>
      <c r="K373" s="666" t="s">
        <v>812</v>
      </c>
      <c r="L373" s="666" t="s">
        <v>812</v>
      </c>
      <c r="M373" s="666" t="s">
        <v>312</v>
      </c>
      <c r="N373" s="666">
        <v>20.22929001</v>
      </c>
      <c r="O373" s="666">
        <v>92.864669800000001</v>
      </c>
      <c r="P373" s="666" t="s">
        <v>813</v>
      </c>
      <c r="Q373" s="666" t="s">
        <v>776</v>
      </c>
      <c r="R373" s="678"/>
      <c r="S373" s="671"/>
      <c r="T373" s="690">
        <v>42811</v>
      </c>
      <c r="U373" s="672"/>
      <c r="V373" s="666"/>
      <c r="W373" s="670"/>
    </row>
    <row r="374" spans="1:23" s="76" customFormat="1" ht="14.25" customHeight="1">
      <c r="A374" s="671" t="s">
        <v>3014</v>
      </c>
      <c r="B374" s="674" t="s">
        <v>313</v>
      </c>
      <c r="C374" s="675" t="s">
        <v>444</v>
      </c>
      <c r="D374" s="760" t="s">
        <v>3138</v>
      </c>
      <c r="E374" s="666" t="s">
        <v>1390</v>
      </c>
      <c r="F374" s="666" t="s">
        <v>433</v>
      </c>
      <c r="G374" s="666" t="s">
        <v>1781</v>
      </c>
      <c r="H374" s="666" t="s">
        <v>43</v>
      </c>
      <c r="J374" s="76" t="s">
        <v>45</v>
      </c>
      <c r="K374" s="76" t="s">
        <v>45</v>
      </c>
      <c r="L374" s="666" t="s">
        <v>808</v>
      </c>
      <c r="M374" s="76" t="s">
        <v>809</v>
      </c>
      <c r="N374" s="666">
        <v>20.179939999999998</v>
      </c>
      <c r="O374" s="666">
        <v>92.831879000000001</v>
      </c>
      <c r="P374" s="666" t="s">
        <v>775</v>
      </c>
      <c r="Q374" s="76" t="s">
        <v>794</v>
      </c>
      <c r="R374" s="670">
        <v>981</v>
      </c>
      <c r="S374" s="671">
        <v>5936</v>
      </c>
      <c r="T374" s="137"/>
      <c r="U374" s="672"/>
      <c r="V374" s="666" t="s">
        <v>877</v>
      </c>
      <c r="W374" s="670"/>
    </row>
    <row r="375" spans="1:23" s="76" customFormat="1" ht="14.25" customHeight="1">
      <c r="A375" s="671" t="s">
        <v>3014</v>
      </c>
      <c r="B375" s="674" t="s">
        <v>313</v>
      </c>
      <c r="C375" s="675" t="s">
        <v>446</v>
      </c>
      <c r="D375" s="760" t="s">
        <v>3138</v>
      </c>
      <c r="E375" s="666" t="s">
        <v>1393</v>
      </c>
      <c r="F375" s="666"/>
      <c r="G375" s="666"/>
      <c r="H375" s="666" t="s">
        <v>43</v>
      </c>
      <c r="J375" s="76" t="s">
        <v>45</v>
      </c>
      <c r="K375" s="76" t="s">
        <v>45</v>
      </c>
      <c r="L375" s="666" t="s">
        <v>786</v>
      </c>
      <c r="M375" s="76" t="s">
        <v>809</v>
      </c>
      <c r="N375" s="666">
        <v>20.181742</v>
      </c>
      <c r="O375" s="666">
        <v>92.842230000000001</v>
      </c>
      <c r="P375" s="666" t="s">
        <v>787</v>
      </c>
      <c r="R375" s="670">
        <v>496</v>
      </c>
      <c r="S375" s="671">
        <v>2942</v>
      </c>
      <c r="T375" s="137">
        <v>42745</v>
      </c>
      <c r="U375" s="672" t="s">
        <v>871</v>
      </c>
      <c r="V375" s="666"/>
      <c r="W375" s="670"/>
    </row>
    <row r="376" spans="1:23" s="76" customFormat="1" ht="14.25" customHeight="1">
      <c r="A376" s="671" t="s">
        <v>3014</v>
      </c>
      <c r="B376" s="674" t="s">
        <v>313</v>
      </c>
      <c r="C376" s="675" t="s">
        <v>2904</v>
      </c>
      <c r="D376" s="669" t="s">
        <v>1693</v>
      </c>
      <c r="J376" s="922" t="s">
        <v>812</v>
      </c>
      <c r="K376" s="922" t="s">
        <v>812</v>
      </c>
      <c r="L376" s="922" t="s">
        <v>812</v>
      </c>
      <c r="M376" s="76" t="s">
        <v>809</v>
      </c>
      <c r="N376" s="666"/>
      <c r="O376" s="666"/>
      <c r="P376" s="666" t="s">
        <v>937</v>
      </c>
      <c r="Q376" s="76" t="s">
        <v>776</v>
      </c>
      <c r="R376" s="678"/>
      <c r="S376" s="671"/>
      <c r="T376" s="137">
        <v>42811</v>
      </c>
      <c r="U376" s="133"/>
      <c r="W376" s="670"/>
    </row>
    <row r="377" spans="1:23" s="76" customFormat="1" ht="14.25" customHeight="1">
      <c r="A377" s="671" t="s">
        <v>3014</v>
      </c>
      <c r="B377" s="674" t="s">
        <v>313</v>
      </c>
      <c r="C377" s="675" t="s">
        <v>452</v>
      </c>
      <c r="D377" s="669" t="s">
        <v>1693</v>
      </c>
      <c r="E377" s="76">
        <v>196147</v>
      </c>
      <c r="J377" s="76" t="s">
        <v>812</v>
      </c>
      <c r="K377" s="76" t="s">
        <v>812</v>
      </c>
      <c r="L377" s="76" t="s">
        <v>812</v>
      </c>
      <c r="M377" s="76" t="s">
        <v>809</v>
      </c>
      <c r="N377" s="76">
        <v>20.193460460000001</v>
      </c>
      <c r="O377" s="76">
        <v>92.867782590000004</v>
      </c>
      <c r="P377" s="666" t="s">
        <v>813</v>
      </c>
      <c r="Q377" s="76" t="s">
        <v>776</v>
      </c>
      <c r="R377" s="678"/>
      <c r="S377" s="671"/>
      <c r="T377" s="137">
        <v>42811</v>
      </c>
      <c r="U377" s="133"/>
      <c r="W377" s="670"/>
    </row>
    <row r="378" spans="1:23" s="76" customFormat="1" ht="14.25" customHeight="1">
      <c r="A378" s="671" t="s">
        <v>3014</v>
      </c>
      <c r="B378" s="674" t="s">
        <v>313</v>
      </c>
      <c r="C378" s="675" t="s">
        <v>1160</v>
      </c>
      <c r="D378" s="669" t="s">
        <v>1693</v>
      </c>
      <c r="E378" s="666"/>
      <c r="F378" s="666"/>
      <c r="G378" s="666"/>
      <c r="H378" s="666"/>
      <c r="I378" s="666"/>
      <c r="J378" s="666" t="s">
        <v>812</v>
      </c>
      <c r="K378" s="666" t="s">
        <v>812</v>
      </c>
      <c r="L378" s="666" t="s">
        <v>812</v>
      </c>
      <c r="M378" s="666" t="s">
        <v>809</v>
      </c>
      <c r="N378" s="666"/>
      <c r="O378" s="666"/>
      <c r="P378" s="666" t="s">
        <v>813</v>
      </c>
      <c r="Q378" s="666" t="s">
        <v>794</v>
      </c>
      <c r="R378" s="678"/>
      <c r="S378" s="671"/>
      <c r="T378" s="690"/>
      <c r="U378" s="672"/>
      <c r="V378" s="666" t="s">
        <v>1160</v>
      </c>
      <c r="W378" s="670"/>
    </row>
    <row r="379" spans="1:23" s="76" customFormat="1" ht="14.25" customHeight="1">
      <c r="A379" s="671" t="s">
        <v>3014</v>
      </c>
      <c r="B379" s="674" t="s">
        <v>313</v>
      </c>
      <c r="C379" s="675" t="s">
        <v>2317</v>
      </c>
      <c r="D379" s="669"/>
      <c r="E379" s="666">
        <v>196193</v>
      </c>
      <c r="F379" s="666" t="s">
        <v>2317</v>
      </c>
      <c r="G379" s="666"/>
      <c r="H379" s="666"/>
      <c r="I379" s="666"/>
      <c r="J379" s="666" t="s">
        <v>812</v>
      </c>
      <c r="K379" s="666" t="s">
        <v>812</v>
      </c>
      <c r="L379" s="666" t="s">
        <v>812</v>
      </c>
      <c r="M379" s="666"/>
      <c r="N379" s="666">
        <v>20.1663494110107</v>
      </c>
      <c r="O379" s="666">
        <v>92.871902465820298</v>
      </c>
      <c r="P379" s="666"/>
      <c r="Q379" s="666"/>
      <c r="R379" s="678"/>
      <c r="S379" s="671"/>
      <c r="T379" s="690"/>
      <c r="U379" s="672"/>
      <c r="V379" s="666"/>
      <c r="W379" s="670"/>
    </row>
    <row r="380" spans="1:23" s="76" customFormat="1" ht="14.25" customHeight="1">
      <c r="A380" s="671" t="s">
        <v>3014</v>
      </c>
      <c r="B380" s="674" t="s">
        <v>313</v>
      </c>
      <c r="C380" s="675" t="s">
        <v>892</v>
      </c>
      <c r="D380" s="669" t="s">
        <v>1693</v>
      </c>
      <c r="E380" s="76">
        <v>196129</v>
      </c>
      <c r="F380" s="76" t="s">
        <v>892</v>
      </c>
      <c r="J380" s="76" t="s">
        <v>893</v>
      </c>
      <c r="K380" s="666" t="s">
        <v>812</v>
      </c>
      <c r="L380" s="666" t="s">
        <v>893</v>
      </c>
      <c r="M380" s="76" t="s">
        <v>312</v>
      </c>
      <c r="N380" s="76">
        <v>20.226730346679702</v>
      </c>
      <c r="O380" s="76">
        <v>92.836929321289105</v>
      </c>
      <c r="P380" s="76" t="s">
        <v>813</v>
      </c>
      <c r="Q380" s="76" t="s">
        <v>816</v>
      </c>
      <c r="R380" s="678"/>
      <c r="S380" s="671"/>
      <c r="T380" s="137">
        <v>42926</v>
      </c>
      <c r="U380" s="133"/>
      <c r="V380" s="76" t="s">
        <v>892</v>
      </c>
      <c r="W380" s="670"/>
    </row>
    <row r="381" spans="1:23" s="76" customFormat="1" ht="14.25" customHeight="1">
      <c r="A381" s="671" t="s">
        <v>3014</v>
      </c>
      <c r="B381" s="668" t="s">
        <v>313</v>
      </c>
      <c r="C381" s="668" t="s">
        <v>2889</v>
      </c>
      <c r="D381" s="760"/>
      <c r="E381" s="666">
        <v>196136</v>
      </c>
      <c r="F381" s="666" t="s">
        <v>3097</v>
      </c>
      <c r="G381" s="666"/>
      <c r="H381" s="666"/>
      <c r="I381" s="666"/>
      <c r="J381" s="666" t="s">
        <v>812</v>
      </c>
      <c r="K381" s="666" t="s">
        <v>812</v>
      </c>
      <c r="L381" s="666" t="s">
        <v>812</v>
      </c>
      <c r="M381" s="666"/>
      <c r="N381" s="666">
        <v>20.1899604797363</v>
      </c>
      <c r="O381" s="666">
        <v>92.895767211914105</v>
      </c>
      <c r="P381" s="666"/>
      <c r="Q381" s="666"/>
      <c r="R381" s="670"/>
      <c r="S381" s="671"/>
      <c r="T381" s="690"/>
      <c r="U381" s="672"/>
      <c r="V381" s="666"/>
      <c r="W381" s="670"/>
    </row>
    <row r="382" spans="1:23" s="76" customFormat="1" ht="14.25" customHeight="1">
      <c r="A382" s="671" t="s">
        <v>3014</v>
      </c>
      <c r="B382" s="674" t="s">
        <v>313</v>
      </c>
      <c r="C382" s="675" t="s">
        <v>2084</v>
      </c>
      <c r="D382" s="669"/>
      <c r="E382" s="666">
        <v>196181</v>
      </c>
      <c r="F382" s="666" t="s">
        <v>2084</v>
      </c>
      <c r="G382" s="666"/>
      <c r="H382" s="666"/>
      <c r="I382" s="666"/>
      <c r="J382" s="666" t="s">
        <v>812</v>
      </c>
      <c r="K382" s="666" t="s">
        <v>812</v>
      </c>
      <c r="L382" s="666" t="s">
        <v>812</v>
      </c>
      <c r="M382" s="666"/>
      <c r="N382" s="666">
        <v>20.227340699999999</v>
      </c>
      <c r="O382" s="666">
        <v>92.893341059999997</v>
      </c>
      <c r="P382" s="666" t="s">
        <v>813</v>
      </c>
      <c r="Q382" s="666"/>
      <c r="R382" s="678"/>
      <c r="S382" s="671"/>
      <c r="T382" s="690">
        <v>43297</v>
      </c>
      <c r="U382" s="672"/>
      <c r="V382" s="666"/>
      <c r="W382" s="670"/>
    </row>
    <row r="383" spans="1:23" s="76" customFormat="1" ht="14.25" customHeight="1">
      <c r="A383" s="671" t="s">
        <v>3014</v>
      </c>
      <c r="B383" s="674" t="s">
        <v>313</v>
      </c>
      <c r="C383" s="675" t="s">
        <v>2079</v>
      </c>
      <c r="D383" s="669"/>
      <c r="E383" s="666">
        <v>196161</v>
      </c>
      <c r="F383" s="666" t="s">
        <v>2080</v>
      </c>
      <c r="G383" s="666"/>
      <c r="H383" s="666"/>
      <c r="I383" s="666"/>
      <c r="J383" s="666" t="s">
        <v>812</v>
      </c>
      <c r="K383" s="666" t="s">
        <v>812</v>
      </c>
      <c r="L383" s="666" t="s">
        <v>812</v>
      </c>
      <c r="M383" s="666" t="s">
        <v>312</v>
      </c>
      <c r="N383" s="666">
        <v>20.257850650000002</v>
      </c>
      <c r="O383" s="666">
        <v>92.811126709999996</v>
      </c>
      <c r="P383" s="666" t="s">
        <v>813</v>
      </c>
      <c r="Q383" s="666"/>
      <c r="R383" s="678"/>
      <c r="S383" s="671"/>
      <c r="T383" s="690">
        <v>43294</v>
      </c>
      <c r="U383" s="672"/>
      <c r="V383" s="666"/>
      <c r="W383" s="670"/>
    </row>
    <row r="384" spans="1:23" s="76" customFormat="1" ht="14.25" customHeight="1">
      <c r="A384" s="671" t="s">
        <v>3014</v>
      </c>
      <c r="B384" s="674" t="s">
        <v>313</v>
      </c>
      <c r="C384" s="675" t="s">
        <v>2078</v>
      </c>
      <c r="D384" s="669"/>
      <c r="E384" s="76">
        <v>196168</v>
      </c>
      <c r="F384" s="76" t="s">
        <v>464</v>
      </c>
      <c r="J384" s="76" t="s">
        <v>812</v>
      </c>
      <c r="K384" s="666" t="s">
        <v>812</v>
      </c>
      <c r="L384" s="666" t="s">
        <v>812</v>
      </c>
      <c r="M384" s="76" t="s">
        <v>1952</v>
      </c>
      <c r="N384" s="76">
        <v>20.223510739999998</v>
      </c>
      <c r="O384" s="76">
        <v>92.86984253</v>
      </c>
      <c r="P384" s="76" t="s">
        <v>813</v>
      </c>
      <c r="R384" s="678"/>
      <c r="S384" s="671"/>
      <c r="T384" s="137">
        <v>43294</v>
      </c>
      <c r="U384" s="133"/>
      <c r="W384" s="670"/>
    </row>
    <row r="385" spans="1:23" s="76" customFormat="1" ht="14.25" customHeight="1">
      <c r="A385" s="671" t="s">
        <v>3014</v>
      </c>
      <c r="B385" s="668" t="s">
        <v>313</v>
      </c>
      <c r="C385" s="668" t="s">
        <v>687</v>
      </c>
      <c r="D385" s="760"/>
      <c r="E385" s="668">
        <v>196208</v>
      </c>
      <c r="F385" s="668" t="s">
        <v>687</v>
      </c>
      <c r="J385" s="76" t="s">
        <v>812</v>
      </c>
      <c r="K385" s="668" t="s">
        <v>812</v>
      </c>
      <c r="L385" s="668" t="s">
        <v>812</v>
      </c>
      <c r="N385" s="76">
        <v>20.128850936889599</v>
      </c>
      <c r="O385" s="668">
        <v>92.872497558593807</v>
      </c>
      <c r="R385" s="670"/>
      <c r="S385" s="670"/>
      <c r="T385" s="137"/>
      <c r="U385" s="133"/>
      <c r="W385" s="670"/>
    </row>
    <row r="386" spans="1:23" s="76" customFormat="1" ht="14.25" customHeight="1">
      <c r="A386" s="671" t="s">
        <v>3014</v>
      </c>
      <c r="B386" s="674" t="s">
        <v>313</v>
      </c>
      <c r="C386" s="675" t="s">
        <v>1915</v>
      </c>
      <c r="D386" s="669" t="s">
        <v>1913</v>
      </c>
      <c r="J386" s="76" t="s">
        <v>812</v>
      </c>
      <c r="K386" s="666" t="s">
        <v>812</v>
      </c>
      <c r="L386" s="666" t="s">
        <v>812</v>
      </c>
      <c r="P386" s="76" t="s">
        <v>813</v>
      </c>
      <c r="R386" s="678"/>
      <c r="S386" s="671"/>
      <c r="T386" s="137"/>
      <c r="U386" s="133"/>
      <c r="W386" s="670"/>
    </row>
    <row r="387" spans="1:23" s="76" customFormat="1" ht="14.25" customHeight="1">
      <c r="A387" s="671" t="s">
        <v>3014</v>
      </c>
      <c r="B387" s="674" t="s">
        <v>313</v>
      </c>
      <c r="C387" s="675" t="s">
        <v>456</v>
      </c>
      <c r="D387" s="669" t="s">
        <v>1693</v>
      </c>
      <c r="E387" s="76">
        <v>196159</v>
      </c>
      <c r="J387" s="76" t="s">
        <v>812</v>
      </c>
      <c r="K387" s="666" t="s">
        <v>812</v>
      </c>
      <c r="L387" s="666" t="s">
        <v>812</v>
      </c>
      <c r="M387" s="76" t="s">
        <v>312</v>
      </c>
      <c r="N387" s="76">
        <v>20.2023601531982</v>
      </c>
      <c r="O387" s="76">
        <v>92.812782287597699</v>
      </c>
      <c r="P387" s="76" t="s">
        <v>813</v>
      </c>
      <c r="Q387" s="76" t="s">
        <v>794</v>
      </c>
      <c r="R387" s="678"/>
      <c r="S387" s="671"/>
      <c r="T387" s="137"/>
      <c r="U387" s="133"/>
      <c r="V387" s="76" t="s">
        <v>456</v>
      </c>
      <c r="W387" s="670"/>
    </row>
    <row r="388" spans="1:23" s="76" customFormat="1" ht="14.25" customHeight="1">
      <c r="A388" s="666" t="s">
        <v>39</v>
      </c>
      <c r="B388" s="666" t="s">
        <v>203</v>
      </c>
      <c r="C388" s="666" t="s">
        <v>1100</v>
      </c>
      <c r="D388" s="760" t="s">
        <v>1693</v>
      </c>
      <c r="E388" s="666"/>
      <c r="J388" s="76" t="s">
        <v>1481</v>
      </c>
      <c r="K388" s="666" t="s">
        <v>45</v>
      </c>
      <c r="L388" s="666" t="s">
        <v>1101</v>
      </c>
      <c r="M388" s="76" t="s">
        <v>46</v>
      </c>
      <c r="P388" s="76" t="s">
        <v>775</v>
      </c>
      <c r="R388" s="131"/>
      <c r="S388" s="671"/>
      <c r="T388" s="137"/>
      <c r="U388" s="133"/>
      <c r="V388" s="76" t="s">
        <v>1100</v>
      </c>
      <c r="W388" s="666"/>
    </row>
    <row r="389" spans="1:23" s="76" customFormat="1" ht="14.25" customHeight="1">
      <c r="A389" s="666" t="s">
        <v>39</v>
      </c>
      <c r="B389" s="666" t="s">
        <v>203</v>
      </c>
      <c r="C389" s="666" t="s">
        <v>285</v>
      </c>
      <c r="D389" s="760" t="s">
        <v>3047</v>
      </c>
      <c r="E389" s="76" t="s">
        <v>1514</v>
      </c>
      <c r="F389" s="76" t="s">
        <v>1823</v>
      </c>
      <c r="G389" s="76" t="s">
        <v>1823</v>
      </c>
      <c r="H389" s="76" t="s">
        <v>43</v>
      </c>
      <c r="I389" s="76" t="s">
        <v>44</v>
      </c>
      <c r="J389" s="76" t="s">
        <v>45</v>
      </c>
      <c r="K389" s="666" t="s">
        <v>45</v>
      </c>
      <c r="L389" s="666" t="s">
        <v>45</v>
      </c>
      <c r="M389" s="76" t="s">
        <v>46</v>
      </c>
      <c r="N389" s="76">
        <v>24.260719999999999</v>
      </c>
      <c r="O389" s="76">
        <v>97.238829999999993</v>
      </c>
      <c r="P389" s="76" t="s">
        <v>775</v>
      </c>
      <c r="Q389" s="76" t="s">
        <v>794</v>
      </c>
      <c r="R389" s="131">
        <v>218</v>
      </c>
      <c r="S389" s="670">
        <v>1067</v>
      </c>
      <c r="T389" s="137"/>
      <c r="U389" s="133"/>
      <c r="V389" s="76" t="s">
        <v>285</v>
      </c>
    </row>
    <row r="390" spans="1:23" s="76" customFormat="1" ht="14.25" customHeight="1">
      <c r="A390" s="666" t="s">
        <v>39</v>
      </c>
      <c r="B390" s="666" t="s">
        <v>203</v>
      </c>
      <c r="C390" s="666" t="s">
        <v>204</v>
      </c>
      <c r="D390" s="760" t="s">
        <v>3047</v>
      </c>
      <c r="E390" s="76" t="s">
        <v>1513</v>
      </c>
      <c r="F390" s="76" t="s">
        <v>1822</v>
      </c>
      <c r="G390" s="76" t="s">
        <v>1822</v>
      </c>
      <c r="H390" s="76" t="s">
        <v>43</v>
      </c>
      <c r="I390" s="76" t="s">
        <v>149</v>
      </c>
      <c r="J390" s="76" t="s">
        <v>45</v>
      </c>
      <c r="K390" s="666" t="s">
        <v>45</v>
      </c>
      <c r="L390" s="666" t="s">
        <v>45</v>
      </c>
      <c r="M390" s="76" t="s">
        <v>46</v>
      </c>
      <c r="N390" s="76">
        <v>24.260466999999998</v>
      </c>
      <c r="O390" s="76">
        <v>97.252650000000003</v>
      </c>
      <c r="P390" s="76" t="s">
        <v>775</v>
      </c>
      <c r="Q390" s="76" t="s">
        <v>794</v>
      </c>
      <c r="R390" s="670">
        <v>12</v>
      </c>
      <c r="S390" s="670">
        <v>52</v>
      </c>
      <c r="T390" s="137"/>
      <c r="U390" s="133"/>
      <c r="V390" s="76" t="s">
        <v>204</v>
      </c>
      <c r="W390" s="666"/>
    </row>
    <row r="391" spans="1:23" s="76" customFormat="1" ht="14.25" customHeight="1">
      <c r="A391" s="666" t="s">
        <v>39</v>
      </c>
      <c r="B391" s="666" t="s">
        <v>203</v>
      </c>
      <c r="C391" s="666" t="s">
        <v>1108</v>
      </c>
      <c r="D391" s="760" t="s">
        <v>1693</v>
      </c>
      <c r="E391" s="666"/>
      <c r="J391" s="76" t="s">
        <v>812</v>
      </c>
      <c r="K391" s="76" t="s">
        <v>812</v>
      </c>
      <c r="L391" s="76" t="s">
        <v>812</v>
      </c>
      <c r="M391" s="76" t="s">
        <v>46</v>
      </c>
      <c r="P391" s="76" t="s">
        <v>813</v>
      </c>
      <c r="R391" s="670"/>
      <c r="S391" s="671"/>
      <c r="T391" s="137"/>
      <c r="U391" s="133"/>
      <c r="W391" s="666"/>
    </row>
    <row r="392" spans="1:23" s="76" customFormat="1" ht="14.25" customHeight="1">
      <c r="A392" s="666" t="s">
        <v>39</v>
      </c>
      <c r="B392" s="666" t="s">
        <v>203</v>
      </c>
      <c r="C392" s="666" t="s">
        <v>1023</v>
      </c>
      <c r="D392" s="760" t="s">
        <v>3047</v>
      </c>
      <c r="E392" s="666" t="s">
        <v>1517</v>
      </c>
      <c r="I392" s="76" t="s">
        <v>2205</v>
      </c>
      <c r="J392" s="76" t="s">
        <v>45</v>
      </c>
      <c r="K392" s="76" t="s">
        <v>45</v>
      </c>
      <c r="L392" s="76" t="s">
        <v>786</v>
      </c>
      <c r="M392" s="76" t="s">
        <v>46</v>
      </c>
      <c r="N392" s="666">
        <v>24.263786</v>
      </c>
      <c r="O392" s="666">
        <v>97.228835000000004</v>
      </c>
      <c r="P392" s="76" t="s">
        <v>787</v>
      </c>
      <c r="Q392" s="76" t="s">
        <v>776</v>
      </c>
      <c r="R392" s="131">
        <v>181</v>
      </c>
      <c r="S392" s="670">
        <v>906</v>
      </c>
      <c r="T392" s="137"/>
      <c r="U392" s="133" t="s">
        <v>1024</v>
      </c>
      <c r="V392" s="76" t="s">
        <v>786</v>
      </c>
      <c r="W392" s="666"/>
    </row>
    <row r="393" spans="1:23" s="76" customFormat="1" ht="14.25" customHeight="1">
      <c r="A393" s="666" t="s">
        <v>39</v>
      </c>
      <c r="B393" s="666" t="s">
        <v>203</v>
      </c>
      <c r="C393" s="666" t="s">
        <v>782</v>
      </c>
      <c r="D393" s="760" t="s">
        <v>1694</v>
      </c>
      <c r="E393" s="666" t="s">
        <v>1344</v>
      </c>
      <c r="F393" s="76">
        <v>0</v>
      </c>
      <c r="G393" s="76">
        <v>0</v>
      </c>
      <c r="I393" s="76">
        <v>0</v>
      </c>
      <c r="J393" s="76" t="s">
        <v>45</v>
      </c>
      <c r="K393" s="76" t="s">
        <v>45</v>
      </c>
      <c r="L393" s="76" t="s">
        <v>774</v>
      </c>
      <c r="M393" s="76" t="s">
        <v>46</v>
      </c>
      <c r="N393" s="666"/>
      <c r="O393" s="666"/>
      <c r="P393" s="76" t="s">
        <v>775</v>
      </c>
      <c r="R393" s="131"/>
      <c r="S393" s="671"/>
      <c r="T393" s="137"/>
      <c r="U393" s="133"/>
      <c r="V393" s="76" t="s">
        <v>782</v>
      </c>
      <c r="W393" s="666" t="s">
        <v>2206</v>
      </c>
    </row>
    <row r="394" spans="1:23" s="76" customFormat="1" ht="14.25" customHeight="1">
      <c r="A394" s="666" t="s">
        <v>39</v>
      </c>
      <c r="B394" s="666" t="s">
        <v>203</v>
      </c>
      <c r="C394" s="666" t="s">
        <v>206</v>
      </c>
      <c r="D394" s="760" t="s">
        <v>3047</v>
      </c>
      <c r="E394" s="666" t="s">
        <v>1505</v>
      </c>
      <c r="F394" s="666" t="s">
        <v>1820</v>
      </c>
      <c r="G394" s="666" t="s">
        <v>1821</v>
      </c>
      <c r="H394" s="666" t="s">
        <v>43</v>
      </c>
      <c r="I394" s="666" t="s">
        <v>149</v>
      </c>
      <c r="J394" s="666" t="s">
        <v>45</v>
      </c>
      <c r="K394" s="666" t="s">
        <v>45</v>
      </c>
      <c r="L394" s="666" t="s">
        <v>45</v>
      </c>
      <c r="M394" s="666" t="s">
        <v>46</v>
      </c>
      <c r="N394" s="666">
        <v>24.24766</v>
      </c>
      <c r="O394" s="666">
        <v>97.236919999999998</v>
      </c>
      <c r="P394" s="666" t="s">
        <v>775</v>
      </c>
      <c r="Q394" s="666" t="s">
        <v>794</v>
      </c>
      <c r="R394" s="670">
        <v>40</v>
      </c>
      <c r="S394" s="670">
        <v>232</v>
      </c>
      <c r="T394" s="690"/>
      <c r="U394" s="672"/>
      <c r="V394" s="666" t="s">
        <v>206</v>
      </c>
      <c r="W394" s="666"/>
    </row>
    <row r="395" spans="1:23" s="76" customFormat="1" ht="14.25" customHeight="1">
      <c r="A395" s="666" t="s">
        <v>39</v>
      </c>
      <c r="B395" s="666" t="s">
        <v>203</v>
      </c>
      <c r="C395" s="666" t="s">
        <v>1022</v>
      </c>
      <c r="D395" s="760" t="s">
        <v>1694</v>
      </c>
      <c r="E395" s="666" t="s">
        <v>1515</v>
      </c>
      <c r="F395" s="666">
        <v>0</v>
      </c>
      <c r="G395" s="666">
        <v>0</v>
      </c>
      <c r="H395" s="666"/>
      <c r="I395" s="666">
        <v>0</v>
      </c>
      <c r="J395" s="76" t="s">
        <v>45</v>
      </c>
      <c r="K395" s="666" t="s">
        <v>45</v>
      </c>
      <c r="L395" s="666" t="s">
        <v>774</v>
      </c>
      <c r="M395" s="76" t="s">
        <v>46</v>
      </c>
      <c r="N395" s="76">
        <v>24.262418019999998</v>
      </c>
      <c r="O395" s="76">
        <v>97.221556500000005</v>
      </c>
      <c r="P395" s="76" t="s">
        <v>775</v>
      </c>
      <c r="R395" s="670"/>
      <c r="S395" s="671"/>
      <c r="T395" s="137"/>
      <c r="U395" s="133"/>
      <c r="V395" s="76" t="s">
        <v>1022</v>
      </c>
      <c r="W395" s="76" t="s">
        <v>2207</v>
      </c>
    </row>
    <row r="396" spans="1:23" s="76" customFormat="1" ht="14.25" customHeight="1">
      <c r="A396" s="666" t="s">
        <v>39</v>
      </c>
      <c r="B396" s="666" t="s">
        <v>203</v>
      </c>
      <c r="C396" s="666" t="s">
        <v>208</v>
      </c>
      <c r="D396" s="760" t="s">
        <v>3047</v>
      </c>
      <c r="E396" s="666" t="s">
        <v>1516</v>
      </c>
      <c r="F396" s="666" t="s">
        <v>1823</v>
      </c>
      <c r="G396" s="666" t="s">
        <v>1823</v>
      </c>
      <c r="H396" s="666" t="s">
        <v>43</v>
      </c>
      <c r="I396" s="666" t="s">
        <v>250</v>
      </c>
      <c r="J396" s="76" t="s">
        <v>45</v>
      </c>
      <c r="K396" s="666" t="s">
        <v>45</v>
      </c>
      <c r="L396" s="666" t="s">
        <v>45</v>
      </c>
      <c r="M396" s="666" t="s">
        <v>46</v>
      </c>
      <c r="N396" s="666">
        <v>24.263174360000001</v>
      </c>
      <c r="O396" s="666">
        <v>97.240183459999997</v>
      </c>
      <c r="P396" s="76" t="s">
        <v>775</v>
      </c>
      <c r="Q396" s="666" t="s">
        <v>794</v>
      </c>
      <c r="R396" s="670">
        <v>133</v>
      </c>
      <c r="S396" s="670">
        <v>757</v>
      </c>
      <c r="T396" s="690"/>
      <c r="U396" s="672"/>
      <c r="V396" s="666" t="s">
        <v>208</v>
      </c>
      <c r="W396" s="666"/>
    </row>
    <row r="397" spans="1:23" s="76" customFormat="1" ht="14.25" customHeight="1">
      <c r="A397" s="671" t="s">
        <v>39</v>
      </c>
      <c r="B397" s="666" t="s">
        <v>203</v>
      </c>
      <c r="C397" s="658" t="s">
        <v>2089</v>
      </c>
      <c r="D397" s="669"/>
      <c r="E397" s="666"/>
      <c r="J397" s="76" t="s">
        <v>1481</v>
      </c>
      <c r="K397" s="76" t="s">
        <v>45</v>
      </c>
      <c r="L397" s="76" t="s">
        <v>1101</v>
      </c>
      <c r="M397" s="76" t="s">
        <v>46</v>
      </c>
      <c r="N397" s="666"/>
      <c r="O397" s="666"/>
      <c r="P397" s="76" t="s">
        <v>2046</v>
      </c>
      <c r="R397" s="678"/>
      <c r="S397" s="671"/>
      <c r="T397" s="137">
        <v>43298</v>
      </c>
      <c r="U397" s="133"/>
      <c r="W397" s="666"/>
    </row>
    <row r="398" spans="1:23" s="76" customFormat="1" ht="14.25" customHeight="1">
      <c r="A398" s="666" t="s">
        <v>39</v>
      </c>
      <c r="B398" s="666" t="s">
        <v>203</v>
      </c>
      <c r="C398" s="666" t="s">
        <v>209</v>
      </c>
      <c r="D398" s="760" t="s">
        <v>3047</v>
      </c>
      <c r="E398" s="666" t="s">
        <v>1511</v>
      </c>
      <c r="F398" s="666" t="s">
        <v>1820</v>
      </c>
      <c r="G398" s="666" t="s">
        <v>1821</v>
      </c>
      <c r="H398" s="666" t="s">
        <v>43</v>
      </c>
      <c r="I398" s="666" t="s">
        <v>250</v>
      </c>
      <c r="J398" s="666" t="s">
        <v>45</v>
      </c>
      <c r="K398" s="666" t="s">
        <v>45</v>
      </c>
      <c r="L398" s="666" t="s">
        <v>45</v>
      </c>
      <c r="M398" s="666" t="s">
        <v>46</v>
      </c>
      <c r="N398" s="666">
        <v>24.253067000000001</v>
      </c>
      <c r="O398" s="666">
        <v>97.234200000000001</v>
      </c>
      <c r="P398" s="666" t="s">
        <v>775</v>
      </c>
      <c r="Q398" s="666" t="s">
        <v>794</v>
      </c>
      <c r="R398" s="670">
        <v>14</v>
      </c>
      <c r="S398" s="670">
        <v>55</v>
      </c>
      <c r="T398" s="690"/>
      <c r="U398" s="672"/>
      <c r="V398" s="666" t="s">
        <v>209</v>
      </c>
      <c r="W398" s="666"/>
    </row>
    <row r="399" spans="1:23" s="76" customFormat="1" ht="14.25" customHeight="1">
      <c r="A399" s="666" t="s">
        <v>39</v>
      </c>
      <c r="B399" s="666" t="s">
        <v>203</v>
      </c>
      <c r="C399" s="666" t="s">
        <v>211</v>
      </c>
      <c r="D399" s="760" t="s">
        <v>3047</v>
      </c>
      <c r="E399" s="666" t="s">
        <v>1521</v>
      </c>
      <c r="F399" s="666" t="s">
        <v>1827</v>
      </c>
      <c r="G399" s="666" t="s">
        <v>1827</v>
      </c>
      <c r="H399" s="666" t="s">
        <v>43</v>
      </c>
      <c r="I399" s="666" t="s">
        <v>44</v>
      </c>
      <c r="J399" s="666" t="s">
        <v>45</v>
      </c>
      <c r="K399" s="666" t="s">
        <v>45</v>
      </c>
      <c r="L399" s="666" t="s">
        <v>45</v>
      </c>
      <c r="M399" s="666" t="s">
        <v>46</v>
      </c>
      <c r="N399" s="666">
        <v>24.32638</v>
      </c>
      <c r="O399" s="666">
        <v>97.315860000000001</v>
      </c>
      <c r="P399" s="666" t="s">
        <v>775</v>
      </c>
      <c r="Q399" s="666" t="s">
        <v>794</v>
      </c>
      <c r="R399" s="670">
        <v>17</v>
      </c>
      <c r="S399" s="670">
        <v>75</v>
      </c>
      <c r="T399" s="690"/>
      <c r="U399" s="672"/>
      <c r="V399" s="666" t="s">
        <v>211</v>
      </c>
      <c r="W399" s="666"/>
    </row>
    <row r="400" spans="1:23" s="76" customFormat="1" ht="14.25" customHeight="1">
      <c r="A400" s="666" t="s">
        <v>39</v>
      </c>
      <c r="B400" s="666" t="s">
        <v>203</v>
      </c>
      <c r="C400" s="666" t="s">
        <v>287</v>
      </c>
      <c r="D400" s="760" t="s">
        <v>3047</v>
      </c>
      <c r="E400" s="666" t="s">
        <v>1502</v>
      </c>
      <c r="F400" s="666" t="s">
        <v>1817</v>
      </c>
      <c r="G400" s="666" t="s">
        <v>1818</v>
      </c>
      <c r="H400" s="666" t="s">
        <v>43</v>
      </c>
      <c r="I400" s="666" t="s">
        <v>149</v>
      </c>
      <c r="J400" s="76" t="s">
        <v>45</v>
      </c>
      <c r="K400" s="666" t="s">
        <v>45</v>
      </c>
      <c r="L400" s="666" t="s">
        <v>45</v>
      </c>
      <c r="M400" s="666" t="s">
        <v>46</v>
      </c>
      <c r="N400" s="666">
        <v>24.222349999999999</v>
      </c>
      <c r="O400" s="666">
        <v>97.252650000000003</v>
      </c>
      <c r="P400" s="76" t="s">
        <v>775</v>
      </c>
      <c r="Q400" s="666" t="s">
        <v>794</v>
      </c>
      <c r="R400" s="670">
        <v>147</v>
      </c>
      <c r="S400" s="670">
        <v>783</v>
      </c>
      <c r="T400" s="690"/>
      <c r="U400" s="672"/>
      <c r="V400" s="666" t="s">
        <v>287</v>
      </c>
      <c r="W400" s="666"/>
    </row>
    <row r="401" spans="1:23" s="76" customFormat="1" ht="14.25" customHeight="1">
      <c r="A401" s="666" t="s">
        <v>39</v>
      </c>
      <c r="B401" s="668" t="s">
        <v>203</v>
      </c>
      <c r="C401" s="668" t="s">
        <v>288</v>
      </c>
      <c r="D401" s="760" t="s">
        <v>3047</v>
      </c>
      <c r="E401" s="666" t="s">
        <v>1518</v>
      </c>
      <c r="F401" s="668" t="s">
        <v>1820</v>
      </c>
      <c r="G401" s="666" t="s">
        <v>1824</v>
      </c>
      <c r="H401" s="666" t="s">
        <v>43</v>
      </c>
      <c r="I401" s="666" t="s">
        <v>149</v>
      </c>
      <c r="J401" s="666" t="s">
        <v>45</v>
      </c>
      <c r="K401" s="666" t="s">
        <v>45</v>
      </c>
      <c r="L401" s="666" t="s">
        <v>45</v>
      </c>
      <c r="M401" s="666" t="s">
        <v>46</v>
      </c>
      <c r="N401" s="666">
        <v>24.26829283</v>
      </c>
      <c r="O401" s="666">
        <v>97.229116809999994</v>
      </c>
      <c r="P401" s="666" t="s">
        <v>775</v>
      </c>
      <c r="Q401" s="666" t="s">
        <v>794</v>
      </c>
      <c r="R401" s="674">
        <v>641</v>
      </c>
      <c r="S401" s="674">
        <v>4027</v>
      </c>
      <c r="T401" s="690"/>
      <c r="U401" s="672"/>
      <c r="V401" s="666" t="s">
        <v>288</v>
      </c>
      <c r="W401" s="659" t="s">
        <v>2337</v>
      </c>
    </row>
    <row r="402" spans="1:23" s="76" customFormat="1" ht="14.25" customHeight="1">
      <c r="A402" s="675" t="s">
        <v>39</v>
      </c>
      <c r="B402" s="674" t="s">
        <v>203</v>
      </c>
      <c r="C402" s="680" t="s">
        <v>1685</v>
      </c>
      <c r="D402" s="760" t="s">
        <v>1693</v>
      </c>
      <c r="E402" s="668"/>
      <c r="F402" s="668"/>
      <c r="G402" s="668"/>
      <c r="H402" s="668" t="s">
        <v>144</v>
      </c>
      <c r="I402" s="668"/>
      <c r="J402" s="668" t="s">
        <v>1481</v>
      </c>
      <c r="K402" s="76" t="s">
        <v>45</v>
      </c>
      <c r="L402" s="76" t="s">
        <v>45</v>
      </c>
      <c r="M402" s="76" t="s">
        <v>46</v>
      </c>
      <c r="N402" s="668"/>
      <c r="O402" s="668"/>
      <c r="P402" s="76" t="s">
        <v>775</v>
      </c>
      <c r="Q402" s="668"/>
      <c r="R402" s="679"/>
      <c r="S402" s="675"/>
      <c r="T402" s="691">
        <v>43245</v>
      </c>
      <c r="U402" s="676"/>
      <c r="V402" s="668"/>
      <c r="W402" s="666"/>
    </row>
    <row r="403" spans="1:23" s="76" customFormat="1" ht="14.25" customHeight="1">
      <c r="A403" s="666" t="s">
        <v>39</v>
      </c>
      <c r="B403" s="668" t="s">
        <v>203</v>
      </c>
      <c r="C403" s="668" t="s">
        <v>1025</v>
      </c>
      <c r="D403" s="760" t="s">
        <v>2012</v>
      </c>
      <c r="E403" s="668" t="s">
        <v>1520</v>
      </c>
      <c r="F403" s="666" t="s">
        <v>1820</v>
      </c>
      <c r="G403" s="666" t="s">
        <v>1900</v>
      </c>
      <c r="H403" s="666" t="s">
        <v>43</v>
      </c>
      <c r="I403" s="666" t="s">
        <v>250</v>
      </c>
      <c r="J403" s="666" t="s">
        <v>45</v>
      </c>
      <c r="K403" s="666" t="s">
        <v>45</v>
      </c>
      <c r="L403" s="666" t="s">
        <v>774</v>
      </c>
      <c r="M403" s="666" t="s">
        <v>46</v>
      </c>
      <c r="N403" s="666">
        <v>24.29138</v>
      </c>
      <c r="O403" s="666">
        <v>97.227789999999999</v>
      </c>
      <c r="P403" s="666" t="s">
        <v>775</v>
      </c>
      <c r="Q403" s="666" t="s">
        <v>776</v>
      </c>
      <c r="R403" s="670"/>
      <c r="S403" s="671"/>
      <c r="T403" s="690">
        <v>43276</v>
      </c>
      <c r="U403" s="672" t="s">
        <v>2013</v>
      </c>
      <c r="V403" s="666" t="s">
        <v>1025</v>
      </c>
      <c r="W403" s="659" t="s">
        <v>2208</v>
      </c>
    </row>
    <row r="404" spans="1:23" s="76" customFormat="1" ht="14.25" customHeight="1">
      <c r="A404" s="666" t="s">
        <v>39</v>
      </c>
      <c r="B404" s="668" t="s">
        <v>203</v>
      </c>
      <c r="C404" s="668" t="s">
        <v>805</v>
      </c>
      <c r="D404" s="760" t="s">
        <v>1694</v>
      </c>
      <c r="E404" s="668" t="s">
        <v>1364</v>
      </c>
      <c r="F404" s="666">
        <v>0</v>
      </c>
      <c r="G404" s="666">
        <v>0</v>
      </c>
      <c r="H404" s="666"/>
      <c r="I404" s="666">
        <v>0</v>
      </c>
      <c r="J404" s="666" t="s">
        <v>45</v>
      </c>
      <c r="K404" s="666" t="s">
        <v>45</v>
      </c>
      <c r="L404" s="666" t="s">
        <v>774</v>
      </c>
      <c r="M404" s="666" t="s">
        <v>46</v>
      </c>
      <c r="N404" s="666"/>
      <c r="O404" s="666"/>
      <c r="P404" s="666" t="s">
        <v>775</v>
      </c>
      <c r="Q404" s="666"/>
      <c r="R404" s="670"/>
      <c r="S404" s="671"/>
      <c r="T404" s="690"/>
      <c r="U404" s="672"/>
      <c r="V404" s="666" t="s">
        <v>805</v>
      </c>
      <c r="W404" s="666" t="s">
        <v>2209</v>
      </c>
    </row>
    <row r="405" spans="1:23" s="76" customFormat="1" ht="14.25" customHeight="1">
      <c r="A405" s="666" t="s">
        <v>39</v>
      </c>
      <c r="B405" s="668" t="s">
        <v>203</v>
      </c>
      <c r="C405" s="668" t="s">
        <v>212</v>
      </c>
      <c r="D405" s="760" t="s">
        <v>3044</v>
      </c>
      <c r="E405" s="668" t="s">
        <v>1506</v>
      </c>
      <c r="F405" s="666" t="s">
        <v>1817</v>
      </c>
      <c r="G405" s="666" t="s">
        <v>1817</v>
      </c>
      <c r="H405" s="666" t="s">
        <v>43</v>
      </c>
      <c r="I405" s="666" t="s">
        <v>250</v>
      </c>
      <c r="J405" s="666" t="s">
        <v>45</v>
      </c>
      <c r="K405" s="666" t="s">
        <v>45</v>
      </c>
      <c r="L405" s="666" t="s">
        <v>774</v>
      </c>
      <c r="M405" s="666" t="s">
        <v>46</v>
      </c>
      <c r="N405" s="666">
        <v>24.24953</v>
      </c>
      <c r="O405" s="666">
        <v>97.240639999999999</v>
      </c>
      <c r="P405" s="666" t="s">
        <v>775</v>
      </c>
      <c r="Q405" s="666" t="s">
        <v>794</v>
      </c>
      <c r="R405" s="670"/>
      <c r="S405" s="670"/>
      <c r="T405" s="690"/>
      <c r="U405" s="672"/>
      <c r="V405" s="666" t="s">
        <v>212</v>
      </c>
      <c r="W405" s="666"/>
    </row>
    <row r="406" spans="1:23" s="76" customFormat="1" ht="14.25" customHeight="1">
      <c r="A406" s="666" t="s">
        <v>39</v>
      </c>
      <c r="B406" s="666" t="s">
        <v>154</v>
      </c>
      <c r="C406" s="666" t="s">
        <v>1112</v>
      </c>
      <c r="D406" s="760" t="s">
        <v>1693</v>
      </c>
      <c r="E406" s="666"/>
      <c r="F406" s="666"/>
      <c r="G406" s="666"/>
      <c r="H406" s="666"/>
      <c r="I406" s="666"/>
      <c r="J406" s="666" t="s">
        <v>45</v>
      </c>
      <c r="K406" s="666" t="s">
        <v>45</v>
      </c>
      <c r="L406" s="666" t="s">
        <v>1113</v>
      </c>
      <c r="M406" s="666" t="s">
        <v>46</v>
      </c>
      <c r="N406" s="666"/>
      <c r="O406" s="666"/>
      <c r="P406" s="666" t="s">
        <v>775</v>
      </c>
      <c r="Q406" s="666"/>
      <c r="R406" s="670"/>
      <c r="S406" s="671"/>
      <c r="T406" s="690"/>
      <c r="U406" s="672"/>
      <c r="V406" s="666" t="s">
        <v>1112</v>
      </c>
      <c r="W406" s="666"/>
    </row>
    <row r="407" spans="1:23" s="76" customFormat="1" ht="14.25" customHeight="1">
      <c r="A407" s="666" t="s">
        <v>39</v>
      </c>
      <c r="B407" s="666" t="s">
        <v>154</v>
      </c>
      <c r="C407" s="76" t="s">
        <v>253</v>
      </c>
      <c r="D407" s="760" t="s">
        <v>3047</v>
      </c>
      <c r="E407" s="76" t="s">
        <v>1626</v>
      </c>
      <c r="F407" s="76" t="s">
        <v>1881</v>
      </c>
      <c r="G407" s="76" t="s">
        <v>1882</v>
      </c>
      <c r="H407" s="76" t="s">
        <v>43</v>
      </c>
      <c r="I407" s="76" t="s">
        <v>250</v>
      </c>
      <c r="J407" s="76" t="s">
        <v>45</v>
      </c>
      <c r="K407" s="76" t="s">
        <v>45</v>
      </c>
      <c r="L407" s="76" t="s">
        <v>45</v>
      </c>
      <c r="M407" s="76" t="s">
        <v>46</v>
      </c>
      <c r="N407" s="76">
        <v>25.889410000000002</v>
      </c>
      <c r="O407" s="76">
        <v>98.131550000000004</v>
      </c>
      <c r="P407" s="76" t="s">
        <v>775</v>
      </c>
      <c r="Q407" s="76" t="s">
        <v>794</v>
      </c>
      <c r="R407" s="670">
        <v>162</v>
      </c>
      <c r="S407" s="670">
        <v>830</v>
      </c>
      <c r="T407" s="137"/>
      <c r="U407" s="133"/>
      <c r="V407" s="76" t="s">
        <v>253</v>
      </c>
    </row>
    <row r="408" spans="1:23" s="76" customFormat="1" ht="14.25" customHeight="1">
      <c r="A408" s="666" t="s">
        <v>39</v>
      </c>
      <c r="B408" s="666" t="s">
        <v>154</v>
      </c>
      <c r="C408" s="76" t="s">
        <v>783</v>
      </c>
      <c r="D408" s="760" t="s">
        <v>1694</v>
      </c>
      <c r="E408" s="76" t="s">
        <v>1345</v>
      </c>
      <c r="F408" s="76">
        <v>0</v>
      </c>
      <c r="G408" s="76">
        <v>0</v>
      </c>
      <c r="H408" s="76" t="s">
        <v>43</v>
      </c>
      <c r="I408" s="76" t="s">
        <v>1346</v>
      </c>
      <c r="J408" s="76" t="s">
        <v>45</v>
      </c>
      <c r="K408" s="76" t="s">
        <v>45</v>
      </c>
      <c r="L408" s="76" t="s">
        <v>774</v>
      </c>
      <c r="M408" s="76" t="s">
        <v>46</v>
      </c>
      <c r="P408" s="76" t="s">
        <v>775</v>
      </c>
      <c r="R408" s="131"/>
      <c r="S408" s="671"/>
      <c r="T408" s="137"/>
      <c r="U408" s="133"/>
      <c r="V408" s="76" t="s">
        <v>783</v>
      </c>
      <c r="W408" s="659" t="s">
        <v>2210</v>
      </c>
    </row>
    <row r="409" spans="1:23" s="76" customFormat="1" ht="14.25" customHeight="1">
      <c r="A409" s="666" t="s">
        <v>39</v>
      </c>
      <c r="B409" s="666" t="s">
        <v>154</v>
      </c>
      <c r="C409" s="666" t="s">
        <v>155</v>
      </c>
      <c r="D409" s="760" t="s">
        <v>3047</v>
      </c>
      <c r="E409" s="666" t="s">
        <v>1622</v>
      </c>
      <c r="F409" s="666" t="s">
        <v>1878</v>
      </c>
      <c r="G409" s="666" t="s">
        <v>1879</v>
      </c>
      <c r="H409" s="666" t="s">
        <v>43</v>
      </c>
      <c r="I409" s="666" t="s">
        <v>149</v>
      </c>
      <c r="J409" s="666" t="s">
        <v>45</v>
      </c>
      <c r="K409" s="666" t="s">
        <v>45</v>
      </c>
      <c r="L409" s="666" t="s">
        <v>45</v>
      </c>
      <c r="M409" s="666" t="s">
        <v>792</v>
      </c>
      <c r="N409" s="666">
        <v>25.754110000000001</v>
      </c>
      <c r="O409" s="666">
        <v>98.475719999999995</v>
      </c>
      <c r="P409" s="666" t="s">
        <v>775</v>
      </c>
      <c r="Q409" s="666" t="s">
        <v>794</v>
      </c>
      <c r="R409" s="670">
        <v>163</v>
      </c>
      <c r="S409" s="670">
        <v>967</v>
      </c>
      <c r="T409" s="690"/>
      <c r="U409" s="672"/>
      <c r="V409" s="666" t="s">
        <v>155</v>
      </c>
      <c r="W409" s="659" t="s">
        <v>2338</v>
      </c>
    </row>
    <row r="410" spans="1:23" s="76" customFormat="1" ht="14.25" customHeight="1">
      <c r="A410" s="666" t="s">
        <v>39</v>
      </c>
      <c r="B410" s="666" t="s">
        <v>154</v>
      </c>
      <c r="C410" s="666" t="s">
        <v>1076</v>
      </c>
      <c r="D410" s="760" t="s">
        <v>1694</v>
      </c>
      <c r="E410" s="666" t="s">
        <v>1620</v>
      </c>
      <c r="F410" s="666" t="s">
        <v>1759</v>
      </c>
      <c r="G410" s="666" t="s">
        <v>1760</v>
      </c>
      <c r="H410" s="666"/>
      <c r="I410" s="666">
        <v>0</v>
      </c>
      <c r="J410" s="666" t="s">
        <v>45</v>
      </c>
      <c r="K410" s="666" t="s">
        <v>45</v>
      </c>
      <c r="L410" s="666" t="s">
        <v>774</v>
      </c>
      <c r="M410" s="666" t="s">
        <v>46</v>
      </c>
      <c r="N410" s="666">
        <v>25.708763000000001</v>
      </c>
      <c r="O410" s="666">
        <v>98.354146999999998</v>
      </c>
      <c r="P410" s="666" t="s">
        <v>787</v>
      </c>
      <c r="Q410" s="666" t="s">
        <v>776</v>
      </c>
      <c r="R410" s="670"/>
      <c r="S410" s="671"/>
      <c r="T410" s="690">
        <v>42983</v>
      </c>
      <c r="U410" s="672" t="s">
        <v>1077</v>
      </c>
      <c r="V410" s="666" t="s">
        <v>1076</v>
      </c>
      <c r="W410" s="666" t="s">
        <v>2211</v>
      </c>
    </row>
    <row r="411" spans="1:23" s="76" customFormat="1" ht="14.25" customHeight="1">
      <c r="A411" s="666" t="s">
        <v>39</v>
      </c>
      <c r="B411" s="666" t="s">
        <v>154</v>
      </c>
      <c r="C411" s="666" t="s">
        <v>255</v>
      </c>
      <c r="D411" s="760" t="s">
        <v>3047</v>
      </c>
      <c r="E411" s="666" t="s">
        <v>1625</v>
      </c>
      <c r="F411" s="666" t="s">
        <v>1723</v>
      </c>
      <c r="G411" s="666" t="s">
        <v>1880</v>
      </c>
      <c r="H411" s="666" t="s">
        <v>43</v>
      </c>
      <c r="I411" s="666" t="s">
        <v>250</v>
      </c>
      <c r="J411" s="666" t="s">
        <v>45</v>
      </c>
      <c r="K411" s="666" t="s">
        <v>45</v>
      </c>
      <c r="L411" s="666" t="s">
        <v>45</v>
      </c>
      <c r="M411" s="666" t="s">
        <v>46</v>
      </c>
      <c r="N411" s="666">
        <v>25.887339999999998</v>
      </c>
      <c r="O411" s="666">
        <v>98.129990000000006</v>
      </c>
      <c r="P411" s="666" t="s">
        <v>775</v>
      </c>
      <c r="Q411" s="666" t="s">
        <v>794</v>
      </c>
      <c r="R411" s="670">
        <v>205</v>
      </c>
      <c r="S411" s="670">
        <v>856</v>
      </c>
      <c r="T411" s="690"/>
      <c r="U411" s="672"/>
      <c r="V411" s="666" t="s">
        <v>255</v>
      </c>
      <c r="W411" s="666"/>
    </row>
    <row r="412" spans="1:23" s="76" customFormat="1" ht="14.25" customHeight="1">
      <c r="A412" s="666" t="s">
        <v>39</v>
      </c>
      <c r="B412" s="666" t="s">
        <v>154</v>
      </c>
      <c r="C412" s="76" t="s">
        <v>233</v>
      </c>
      <c r="D412" s="760" t="s">
        <v>3047</v>
      </c>
      <c r="E412" s="76" t="s">
        <v>1603</v>
      </c>
      <c r="F412" s="76" t="s">
        <v>1873</v>
      </c>
      <c r="G412" s="76" t="s">
        <v>1743</v>
      </c>
      <c r="H412" s="76" t="s">
        <v>43</v>
      </c>
      <c r="I412" s="76" t="s">
        <v>1346</v>
      </c>
      <c r="J412" s="76" t="s">
        <v>45</v>
      </c>
      <c r="K412" s="76" t="s">
        <v>45</v>
      </c>
      <c r="L412" s="76" t="s">
        <v>45</v>
      </c>
      <c r="M412" s="76" t="s">
        <v>46</v>
      </c>
      <c r="N412" s="76">
        <v>25.60867</v>
      </c>
      <c r="O412" s="76">
        <v>98.377780000000001</v>
      </c>
      <c r="P412" s="76" t="s">
        <v>775</v>
      </c>
      <c r="Q412" s="76" t="s">
        <v>794</v>
      </c>
      <c r="R412" s="131">
        <v>57</v>
      </c>
      <c r="S412" s="670">
        <v>274</v>
      </c>
      <c r="T412" s="137"/>
      <c r="U412" s="133"/>
      <c r="V412" s="76" t="s">
        <v>233</v>
      </c>
    </row>
    <row r="413" spans="1:23" s="76" customFormat="1" ht="14.25" customHeight="1">
      <c r="A413" s="666" t="s">
        <v>39</v>
      </c>
      <c r="B413" s="668" t="s">
        <v>154</v>
      </c>
      <c r="C413" s="668" t="s">
        <v>235</v>
      </c>
      <c r="D413" s="760" t="s">
        <v>3047</v>
      </c>
      <c r="E413" s="76" t="s">
        <v>1613</v>
      </c>
      <c r="F413" s="76" t="s">
        <v>1760</v>
      </c>
      <c r="G413" s="76" t="s">
        <v>235</v>
      </c>
      <c r="H413" s="76" t="s">
        <v>43</v>
      </c>
      <c r="I413" s="76" t="s">
        <v>1346</v>
      </c>
      <c r="J413" s="76" t="s">
        <v>45</v>
      </c>
      <c r="K413" s="76" t="s">
        <v>45</v>
      </c>
      <c r="L413" s="76" t="s">
        <v>45</v>
      </c>
      <c r="M413" s="76" t="s">
        <v>46</v>
      </c>
      <c r="N413" s="76">
        <v>25.645959999999999</v>
      </c>
      <c r="O413" s="76">
        <v>98.356260000000006</v>
      </c>
      <c r="P413" s="666" t="s">
        <v>775</v>
      </c>
      <c r="Q413" s="76" t="s">
        <v>794</v>
      </c>
      <c r="R413" s="670">
        <v>32</v>
      </c>
      <c r="S413" s="670">
        <v>167</v>
      </c>
      <c r="T413" s="137"/>
      <c r="U413" s="133"/>
      <c r="V413" s="76" t="s">
        <v>1071</v>
      </c>
    </row>
    <row r="414" spans="1:23" s="76" customFormat="1" ht="14.25" customHeight="1">
      <c r="A414" s="666" t="s">
        <v>39</v>
      </c>
      <c r="B414" s="666" t="s">
        <v>156</v>
      </c>
      <c r="C414" s="76" t="s">
        <v>1072</v>
      </c>
      <c r="D414" s="760" t="s">
        <v>1694</v>
      </c>
      <c r="E414" s="76" t="s">
        <v>1616</v>
      </c>
      <c r="F414" s="76" t="s">
        <v>1757</v>
      </c>
      <c r="G414" s="76" t="s">
        <v>1757</v>
      </c>
      <c r="H414" s="76" t="s">
        <v>43</v>
      </c>
      <c r="I414" s="76" t="s">
        <v>149</v>
      </c>
      <c r="J414" s="76" t="s">
        <v>45</v>
      </c>
      <c r="K414" s="76" t="s">
        <v>45</v>
      </c>
      <c r="L414" s="76" t="s">
        <v>774</v>
      </c>
      <c r="M414" s="76" t="s">
        <v>46</v>
      </c>
      <c r="N414" s="76">
        <v>25.656130000000001</v>
      </c>
      <c r="O414" s="76">
        <v>96.355270000000004</v>
      </c>
      <c r="P414" s="76" t="s">
        <v>775</v>
      </c>
      <c r="Q414" s="76" t="s">
        <v>794</v>
      </c>
      <c r="R414" s="670"/>
      <c r="S414" s="671"/>
      <c r="T414" s="137">
        <v>42983</v>
      </c>
      <c r="U414" s="133" t="s">
        <v>1073</v>
      </c>
      <c r="V414" s="76" t="s">
        <v>1072</v>
      </c>
      <c r="W414" s="659" t="s">
        <v>2212</v>
      </c>
    </row>
    <row r="415" spans="1:23" s="76" customFormat="1" ht="14.25" customHeight="1">
      <c r="A415" s="666" t="s">
        <v>39</v>
      </c>
      <c r="B415" s="666" t="s">
        <v>156</v>
      </c>
      <c r="C415" s="666" t="s">
        <v>238</v>
      </c>
      <c r="D415" s="760" t="s">
        <v>3047</v>
      </c>
      <c r="E415" s="76" t="s">
        <v>1615</v>
      </c>
      <c r="F415" s="76" t="s">
        <v>1757</v>
      </c>
      <c r="G415" s="76" t="s">
        <v>1757</v>
      </c>
      <c r="H415" s="76" t="s">
        <v>43</v>
      </c>
      <c r="I415" s="76" t="s">
        <v>1346</v>
      </c>
      <c r="J415" s="76" t="s">
        <v>45</v>
      </c>
      <c r="K415" s="76" t="s">
        <v>45</v>
      </c>
      <c r="L415" s="76" t="s">
        <v>45</v>
      </c>
      <c r="M415" s="76" t="s">
        <v>46</v>
      </c>
      <c r="N415" s="76">
        <v>25.656009999999998</v>
      </c>
      <c r="O415" s="76">
        <v>96.361609999999999</v>
      </c>
      <c r="P415" s="76" t="s">
        <v>775</v>
      </c>
      <c r="Q415" s="76" t="s">
        <v>794</v>
      </c>
      <c r="R415" s="670">
        <v>68</v>
      </c>
      <c r="S415" s="670">
        <v>340</v>
      </c>
      <c r="T415" s="137"/>
      <c r="U415" s="133"/>
      <c r="V415" s="76" t="s">
        <v>238</v>
      </c>
      <c r="W415" s="666"/>
    </row>
    <row r="416" spans="1:23" s="76" customFormat="1" ht="14.25" customHeight="1">
      <c r="A416" s="666" t="s">
        <v>39</v>
      </c>
      <c r="B416" s="666" t="s">
        <v>156</v>
      </c>
      <c r="C416" s="76" t="s">
        <v>1082</v>
      </c>
      <c r="D416" s="760" t="s">
        <v>1694</v>
      </c>
      <c r="E416" s="76" t="s">
        <v>1627</v>
      </c>
      <c r="F416" s="76" t="s">
        <v>1764</v>
      </c>
      <c r="G416" s="76" t="s">
        <v>1765</v>
      </c>
      <c r="I416" s="76">
        <v>0</v>
      </c>
      <c r="J416" s="76" t="s">
        <v>45</v>
      </c>
      <c r="K416" s="76" t="s">
        <v>45</v>
      </c>
      <c r="L416" s="76" t="s">
        <v>774</v>
      </c>
      <c r="M416" s="76" t="s">
        <v>46</v>
      </c>
      <c r="N416" s="76">
        <v>25.920006000000001</v>
      </c>
      <c r="O416" s="76">
        <v>96.662092000000001</v>
      </c>
      <c r="P416" s="76" t="s">
        <v>775</v>
      </c>
      <c r="Q416" s="76" t="s">
        <v>776</v>
      </c>
      <c r="R416" s="131"/>
      <c r="S416" s="671"/>
      <c r="T416" s="137"/>
      <c r="U416" s="133"/>
      <c r="W416" s="659" t="s">
        <v>2213</v>
      </c>
    </row>
    <row r="417" spans="1:23" s="76" customFormat="1" ht="14.25" customHeight="1">
      <c r="A417" s="666" t="s">
        <v>39</v>
      </c>
      <c r="B417" s="666" t="s">
        <v>156</v>
      </c>
      <c r="C417" s="76" t="s">
        <v>256</v>
      </c>
      <c r="D417" s="760" t="s">
        <v>3047</v>
      </c>
      <c r="E417" s="76" t="s">
        <v>1611</v>
      </c>
      <c r="F417" s="76" t="s">
        <v>1757</v>
      </c>
      <c r="G417" s="76" t="s">
        <v>1757</v>
      </c>
      <c r="H417" s="76" t="s">
        <v>43</v>
      </c>
      <c r="I417" s="76" t="s">
        <v>250</v>
      </c>
      <c r="J417" s="76" t="s">
        <v>45</v>
      </c>
      <c r="K417" s="76" t="s">
        <v>45</v>
      </c>
      <c r="L417" s="76" t="s">
        <v>45</v>
      </c>
      <c r="M417" s="76" t="s">
        <v>46</v>
      </c>
      <c r="N417" s="76">
        <v>25.635300000000001</v>
      </c>
      <c r="O417" s="76">
        <v>96.345569999999995</v>
      </c>
      <c r="P417" s="76" t="s">
        <v>775</v>
      </c>
      <c r="Q417" s="76" t="s">
        <v>794</v>
      </c>
      <c r="R417" s="670">
        <v>70</v>
      </c>
      <c r="S417" s="670">
        <v>375</v>
      </c>
      <c r="T417" s="137"/>
      <c r="U417" s="133"/>
      <c r="V417" s="76" t="s">
        <v>256</v>
      </c>
    </row>
    <row r="418" spans="1:23" s="76" customFormat="1" ht="14.25" customHeight="1">
      <c r="A418" s="666" t="s">
        <v>39</v>
      </c>
      <c r="B418" s="666" t="s">
        <v>156</v>
      </c>
      <c r="C418" s="76" t="s">
        <v>257</v>
      </c>
      <c r="D418" s="760" t="s">
        <v>3047</v>
      </c>
      <c r="E418" s="76" t="s">
        <v>1608</v>
      </c>
      <c r="F418" s="76" t="s">
        <v>1874</v>
      </c>
      <c r="G418" s="76" t="s">
        <v>1875</v>
      </c>
      <c r="H418" s="76" t="s">
        <v>43</v>
      </c>
      <c r="I418" s="76" t="s">
        <v>250</v>
      </c>
      <c r="J418" s="76" t="s">
        <v>45</v>
      </c>
      <c r="K418" s="76" t="s">
        <v>45</v>
      </c>
      <c r="L418" s="76" t="s">
        <v>45</v>
      </c>
      <c r="M418" s="76" t="s">
        <v>46</v>
      </c>
      <c r="N418" s="76">
        <v>25.616509000000001</v>
      </c>
      <c r="O418" s="76">
        <v>96.317350000000005</v>
      </c>
      <c r="P418" s="76" t="s">
        <v>775</v>
      </c>
      <c r="Q418" s="76" t="s">
        <v>794</v>
      </c>
      <c r="R418" s="670">
        <v>13</v>
      </c>
      <c r="S418" s="670">
        <v>84</v>
      </c>
      <c r="T418" s="137"/>
      <c r="U418" s="133"/>
      <c r="V418" s="76" t="s">
        <v>257</v>
      </c>
      <c r="W418" s="666"/>
    </row>
    <row r="419" spans="1:23" s="76" customFormat="1" ht="14.25" customHeight="1">
      <c r="A419" s="666" t="s">
        <v>39</v>
      </c>
      <c r="B419" s="666" t="s">
        <v>156</v>
      </c>
      <c r="C419" s="666" t="s">
        <v>258</v>
      </c>
      <c r="D419" s="760" t="s">
        <v>3047</v>
      </c>
      <c r="E419" s="666" t="s">
        <v>1614</v>
      </c>
      <c r="F419" s="666" t="s">
        <v>1757</v>
      </c>
      <c r="G419" s="666" t="s">
        <v>1877</v>
      </c>
      <c r="H419" s="666" t="s">
        <v>43</v>
      </c>
      <c r="I419" s="666" t="s">
        <v>149</v>
      </c>
      <c r="J419" s="666" t="s">
        <v>45</v>
      </c>
      <c r="K419" s="666" t="s">
        <v>45</v>
      </c>
      <c r="L419" s="666" t="s">
        <v>45</v>
      </c>
      <c r="M419" s="666" t="s">
        <v>46</v>
      </c>
      <c r="N419" s="666">
        <v>25.647649999999999</v>
      </c>
      <c r="O419" s="666">
        <v>96.346469999999997</v>
      </c>
      <c r="P419" s="666" t="s">
        <v>775</v>
      </c>
      <c r="Q419" s="666" t="s">
        <v>794</v>
      </c>
      <c r="R419" s="670">
        <v>36</v>
      </c>
      <c r="S419" s="670">
        <v>227</v>
      </c>
      <c r="T419" s="690"/>
      <c r="U419" s="672"/>
      <c r="V419" s="666" t="s">
        <v>258</v>
      </c>
      <c r="W419" s="666"/>
    </row>
    <row r="420" spans="1:23" s="76" customFormat="1" ht="14.25" customHeight="1">
      <c r="A420" s="666" t="s">
        <v>39</v>
      </c>
      <c r="B420" s="666" t="s">
        <v>156</v>
      </c>
      <c r="C420" s="666" t="s">
        <v>1078</v>
      </c>
      <c r="D420" s="760" t="s">
        <v>1694</v>
      </c>
      <c r="E420" s="666" t="s">
        <v>1621</v>
      </c>
      <c r="F420" s="666" t="s">
        <v>1761</v>
      </c>
      <c r="G420" s="666" t="s">
        <v>1762</v>
      </c>
      <c r="H420" s="666" t="s">
        <v>43</v>
      </c>
      <c r="I420" s="666" t="s">
        <v>250</v>
      </c>
      <c r="J420" s="666" t="s">
        <v>45</v>
      </c>
      <c r="K420" s="666" t="s">
        <v>45</v>
      </c>
      <c r="L420" s="666" t="s">
        <v>774</v>
      </c>
      <c r="M420" s="666" t="s">
        <v>46</v>
      </c>
      <c r="N420" s="666">
        <v>25.728653000000001</v>
      </c>
      <c r="O420" s="666">
        <v>96.673805000000002</v>
      </c>
      <c r="P420" s="666" t="s">
        <v>775</v>
      </c>
      <c r="Q420" s="666"/>
      <c r="R420" s="670"/>
      <c r="S420" s="671"/>
      <c r="T420" s="690"/>
      <c r="U420" s="672"/>
      <c r="V420" s="666" t="s">
        <v>1078</v>
      </c>
      <c r="W420" s="659" t="s">
        <v>2214</v>
      </c>
    </row>
    <row r="421" spans="1:23" s="76" customFormat="1" ht="14.25" customHeight="1">
      <c r="A421" s="666" t="s">
        <v>39</v>
      </c>
      <c r="B421" s="666" t="s">
        <v>156</v>
      </c>
      <c r="C421" s="76" t="s">
        <v>1075</v>
      </c>
      <c r="D421" s="760" t="s">
        <v>1694</v>
      </c>
      <c r="E421" s="76" t="s">
        <v>1619</v>
      </c>
      <c r="F421" s="76" t="s">
        <v>1757</v>
      </c>
      <c r="G421" s="76" t="s">
        <v>1758</v>
      </c>
      <c r="I421" s="76">
        <v>0</v>
      </c>
      <c r="J421" s="76" t="s">
        <v>45</v>
      </c>
      <c r="K421" s="76" t="s">
        <v>45</v>
      </c>
      <c r="L421" s="76" t="s">
        <v>774</v>
      </c>
      <c r="M421" s="76" t="s">
        <v>46</v>
      </c>
      <c r="N421" s="76">
        <v>25.668469999999999</v>
      </c>
      <c r="O421" s="76">
        <v>96.353070000000002</v>
      </c>
      <c r="P421" s="76" t="s">
        <v>775</v>
      </c>
      <c r="R421" s="131"/>
      <c r="S421" s="671"/>
      <c r="T421" s="137"/>
      <c r="U421" s="133"/>
      <c r="V421" s="76" t="s">
        <v>1075</v>
      </c>
      <c r="W421" s="76" t="s">
        <v>2215</v>
      </c>
    </row>
    <row r="422" spans="1:23" s="76" customFormat="1" ht="14.25" customHeight="1">
      <c r="A422" s="666" t="s">
        <v>39</v>
      </c>
      <c r="B422" s="666" t="s">
        <v>156</v>
      </c>
      <c r="C422" s="76" t="s">
        <v>259</v>
      </c>
      <c r="D422" s="760" t="s">
        <v>3047</v>
      </c>
      <c r="E422" s="76" t="s">
        <v>1601</v>
      </c>
      <c r="F422" s="76" t="s">
        <v>1710</v>
      </c>
      <c r="G422" s="76" t="s">
        <v>1710</v>
      </c>
      <c r="H422" s="76" t="s">
        <v>43</v>
      </c>
      <c r="I422" s="76" t="s">
        <v>2205</v>
      </c>
      <c r="J422" s="76" t="s">
        <v>45</v>
      </c>
      <c r="K422" s="76" t="s">
        <v>45</v>
      </c>
      <c r="L422" s="76" t="s">
        <v>790</v>
      </c>
      <c r="M422" s="76" t="s">
        <v>46</v>
      </c>
      <c r="N422" s="76">
        <v>25.582065</v>
      </c>
      <c r="O422" s="76">
        <v>96.283377000000002</v>
      </c>
      <c r="P422" s="76" t="s">
        <v>775</v>
      </c>
      <c r="Q422" s="76" t="s">
        <v>794</v>
      </c>
      <c r="R422" s="131">
        <v>6</v>
      </c>
      <c r="S422" s="670">
        <v>31</v>
      </c>
      <c r="T422" s="137"/>
      <c r="U422" s="133"/>
      <c r="V422" s="76" t="s">
        <v>259</v>
      </c>
    </row>
    <row r="423" spans="1:23" s="76" customFormat="1" ht="14.25" customHeight="1">
      <c r="A423" s="666" t="s">
        <v>39</v>
      </c>
      <c r="B423" s="666" t="s">
        <v>156</v>
      </c>
      <c r="C423" s="666" t="s">
        <v>260</v>
      </c>
      <c r="D423" s="760" t="s">
        <v>3047</v>
      </c>
      <c r="E423" s="666" t="s">
        <v>1612</v>
      </c>
      <c r="F423" s="666" t="s">
        <v>1757</v>
      </c>
      <c r="G423" s="666" t="s">
        <v>1876</v>
      </c>
      <c r="H423" s="666" t="s">
        <v>43</v>
      </c>
      <c r="I423" s="666" t="s">
        <v>250</v>
      </c>
      <c r="J423" s="76" t="s">
        <v>45</v>
      </c>
      <c r="K423" s="76" t="s">
        <v>45</v>
      </c>
      <c r="L423" s="76" t="s">
        <v>45</v>
      </c>
      <c r="M423" s="666" t="s">
        <v>46</v>
      </c>
      <c r="N423" s="666">
        <v>25.637309999999999</v>
      </c>
      <c r="O423" s="666">
        <v>96.35257</v>
      </c>
      <c r="P423" s="76" t="s">
        <v>775</v>
      </c>
      <c r="Q423" s="666" t="s">
        <v>794</v>
      </c>
      <c r="R423" s="670">
        <v>70</v>
      </c>
      <c r="S423" s="670">
        <v>377</v>
      </c>
      <c r="T423" s="690"/>
      <c r="U423" s="672"/>
      <c r="V423" s="666" t="s">
        <v>260</v>
      </c>
    </row>
    <row r="424" spans="1:23" s="76" customFormat="1" ht="14.25" customHeight="1">
      <c r="A424" s="666" t="s">
        <v>39</v>
      </c>
      <c r="B424" s="666" t="s">
        <v>156</v>
      </c>
      <c r="C424" s="666" t="s">
        <v>157</v>
      </c>
      <c r="D424" s="760" t="s">
        <v>3047</v>
      </c>
      <c r="E424" s="666" t="s">
        <v>1596</v>
      </c>
      <c r="F424" s="666" t="s">
        <v>1869</v>
      </c>
      <c r="G424" s="666" t="s">
        <v>1870</v>
      </c>
      <c r="H424" s="666" t="s">
        <v>43</v>
      </c>
      <c r="I424" s="666" t="s">
        <v>149</v>
      </c>
      <c r="J424" s="666" t="s">
        <v>45</v>
      </c>
      <c r="K424" s="666" t="s">
        <v>45</v>
      </c>
      <c r="L424" s="666" t="s">
        <v>45</v>
      </c>
      <c r="M424" s="666" t="s">
        <v>46</v>
      </c>
      <c r="N424" s="666">
        <v>25.51352</v>
      </c>
      <c r="O424" s="666">
        <v>96.705960000000005</v>
      </c>
      <c r="P424" s="666" t="s">
        <v>775</v>
      </c>
      <c r="Q424" s="666" t="s">
        <v>794</v>
      </c>
      <c r="R424" s="670">
        <v>34</v>
      </c>
      <c r="S424" s="670">
        <v>137</v>
      </c>
      <c r="T424" s="690"/>
      <c r="U424" s="672"/>
      <c r="V424" s="666" t="s">
        <v>157</v>
      </c>
      <c r="W424" s="666"/>
    </row>
    <row r="425" spans="1:23" s="76" customFormat="1" ht="14.25" customHeight="1">
      <c r="A425" s="666" t="s">
        <v>39</v>
      </c>
      <c r="B425" s="666" t="s">
        <v>156</v>
      </c>
      <c r="C425" s="666" t="s">
        <v>261</v>
      </c>
      <c r="D425" s="760" t="s">
        <v>3047</v>
      </c>
      <c r="E425" s="666" t="s">
        <v>1607</v>
      </c>
      <c r="F425" s="666" t="s">
        <v>1874</v>
      </c>
      <c r="G425" s="666" t="s">
        <v>1875</v>
      </c>
      <c r="H425" s="666" t="s">
        <v>43</v>
      </c>
      <c r="I425" s="666" t="s">
        <v>2205</v>
      </c>
      <c r="J425" s="666" t="s">
        <v>45</v>
      </c>
      <c r="K425" s="666" t="s">
        <v>45</v>
      </c>
      <c r="L425" s="666" t="s">
        <v>790</v>
      </c>
      <c r="M425" s="666" t="s">
        <v>46</v>
      </c>
      <c r="N425" s="666">
        <v>25.615960999999999</v>
      </c>
      <c r="O425" s="666">
        <v>96.316564</v>
      </c>
      <c r="P425" s="666" t="s">
        <v>775</v>
      </c>
      <c r="Q425" s="666" t="s">
        <v>794</v>
      </c>
      <c r="R425" s="670">
        <v>2</v>
      </c>
      <c r="S425" s="670">
        <v>14</v>
      </c>
      <c r="T425" s="690"/>
      <c r="U425" s="672"/>
      <c r="V425" s="666" t="s">
        <v>261</v>
      </c>
      <c r="W425" s="666"/>
    </row>
    <row r="426" spans="1:23" s="76" customFormat="1" ht="14.25" customHeight="1">
      <c r="A426" s="666" t="s">
        <v>39</v>
      </c>
      <c r="B426" s="666" t="s">
        <v>156</v>
      </c>
      <c r="C426" s="666" t="s">
        <v>262</v>
      </c>
      <c r="D426" s="760" t="s">
        <v>3047</v>
      </c>
      <c r="E426" s="76" t="s">
        <v>1604</v>
      </c>
      <c r="F426" s="76" t="s">
        <v>1872</v>
      </c>
      <c r="G426" s="76" t="s">
        <v>1872</v>
      </c>
      <c r="H426" s="76" t="s">
        <v>43</v>
      </c>
      <c r="I426" s="76" t="s">
        <v>149</v>
      </c>
      <c r="J426" s="76" t="s">
        <v>45</v>
      </c>
      <c r="K426" s="76" t="s">
        <v>45</v>
      </c>
      <c r="L426" s="76" t="s">
        <v>45</v>
      </c>
      <c r="M426" s="76" t="s">
        <v>46</v>
      </c>
      <c r="N426" s="76">
        <v>25.611160000000002</v>
      </c>
      <c r="O426" s="76">
        <v>96.312790000000007</v>
      </c>
      <c r="P426" s="76" t="s">
        <v>775</v>
      </c>
      <c r="Q426" s="76" t="s">
        <v>794</v>
      </c>
      <c r="R426" s="131">
        <v>107</v>
      </c>
      <c r="S426" s="670">
        <v>519</v>
      </c>
      <c r="T426" s="137"/>
      <c r="U426" s="133"/>
      <c r="V426" s="76" t="s">
        <v>262</v>
      </c>
    </row>
    <row r="427" spans="1:23" s="76" customFormat="1" ht="14.25" customHeight="1">
      <c r="A427" s="675" t="s">
        <v>39</v>
      </c>
      <c r="B427" s="674" t="s">
        <v>156</v>
      </c>
      <c r="C427" s="668" t="s">
        <v>2000</v>
      </c>
      <c r="D427" s="669" t="s">
        <v>1693</v>
      </c>
      <c r="J427" s="76" t="s">
        <v>1481</v>
      </c>
      <c r="K427" s="76" t="s">
        <v>45</v>
      </c>
      <c r="L427" s="76" t="s">
        <v>45</v>
      </c>
      <c r="M427" s="76" t="s">
        <v>46</v>
      </c>
      <c r="P427" s="666" t="s">
        <v>775</v>
      </c>
      <c r="Q427" s="76" t="s">
        <v>2001</v>
      </c>
      <c r="R427" s="678"/>
      <c r="S427" s="671"/>
      <c r="T427" s="137">
        <v>43270</v>
      </c>
      <c r="U427" s="133"/>
      <c r="W427" s="666"/>
    </row>
    <row r="428" spans="1:23" s="76" customFormat="1" ht="14.25" customHeight="1">
      <c r="A428" s="675" t="s">
        <v>39</v>
      </c>
      <c r="B428" s="674" t="s">
        <v>156</v>
      </c>
      <c r="C428" s="668" t="s">
        <v>2034</v>
      </c>
      <c r="D428" s="760" t="s">
        <v>3047</v>
      </c>
      <c r="E428" s="668" t="s">
        <v>2035</v>
      </c>
      <c r="F428" s="668"/>
      <c r="G428" s="668"/>
      <c r="H428" s="668"/>
      <c r="I428" s="666" t="s">
        <v>1346</v>
      </c>
      <c r="J428" s="76" t="s">
        <v>45</v>
      </c>
      <c r="K428" s="76" t="s">
        <v>45</v>
      </c>
      <c r="L428" s="668" t="s">
        <v>45</v>
      </c>
      <c r="M428" s="666" t="s">
        <v>46</v>
      </c>
      <c r="N428" s="668"/>
      <c r="O428" s="668"/>
      <c r="P428" s="668" t="s">
        <v>775</v>
      </c>
      <c r="Q428" s="666" t="s">
        <v>2001</v>
      </c>
      <c r="R428" s="670">
        <v>16</v>
      </c>
      <c r="S428" s="670">
        <v>66</v>
      </c>
      <c r="T428" s="690">
        <v>43276</v>
      </c>
      <c r="U428" s="676" t="s">
        <v>2053</v>
      </c>
      <c r="V428" s="668"/>
      <c r="W428" s="659" t="s">
        <v>2339</v>
      </c>
    </row>
    <row r="429" spans="1:23" s="76" customFormat="1" ht="14.25" customHeight="1">
      <c r="A429" s="666" t="s">
        <v>39</v>
      </c>
      <c r="B429" s="666" t="s">
        <v>156</v>
      </c>
      <c r="C429" s="666" t="s">
        <v>1079</v>
      </c>
      <c r="D429" s="760" t="s">
        <v>1694</v>
      </c>
      <c r="E429" s="76" t="s">
        <v>1623</v>
      </c>
      <c r="F429" s="76" t="s">
        <v>1757</v>
      </c>
      <c r="G429" s="76" t="s">
        <v>1763</v>
      </c>
      <c r="H429" s="76" t="s">
        <v>43</v>
      </c>
      <c r="I429" s="76" t="s">
        <v>149</v>
      </c>
      <c r="J429" s="76" t="s">
        <v>45</v>
      </c>
      <c r="K429" s="666" t="s">
        <v>45</v>
      </c>
      <c r="L429" s="666" t="s">
        <v>774</v>
      </c>
      <c r="M429" s="76" t="s">
        <v>46</v>
      </c>
      <c r="N429" s="76">
        <v>25.806999999999999</v>
      </c>
      <c r="O429" s="76">
        <v>96.637</v>
      </c>
      <c r="P429" s="76" t="s">
        <v>775</v>
      </c>
      <c r="Q429" s="76" t="s">
        <v>794</v>
      </c>
      <c r="R429" s="670"/>
      <c r="S429" s="132"/>
      <c r="T429" s="137">
        <v>42983</v>
      </c>
      <c r="U429" s="133" t="s">
        <v>1073</v>
      </c>
      <c r="V429" s="76" t="s">
        <v>1079</v>
      </c>
      <c r="W429" s="659" t="s">
        <v>2217</v>
      </c>
    </row>
    <row r="430" spans="1:23" s="76" customFormat="1" ht="14.25" customHeight="1">
      <c r="A430" s="675" t="s">
        <v>39</v>
      </c>
      <c r="B430" s="674" t="s">
        <v>156</v>
      </c>
      <c r="C430" s="668" t="s">
        <v>2032</v>
      </c>
      <c r="D430" s="760" t="s">
        <v>3047</v>
      </c>
      <c r="E430" s="668" t="s">
        <v>2033</v>
      </c>
      <c r="F430" s="668"/>
      <c r="G430" s="668"/>
      <c r="H430" s="668"/>
      <c r="I430" s="666" t="s">
        <v>1346</v>
      </c>
      <c r="J430" s="666" t="s">
        <v>45</v>
      </c>
      <c r="K430" s="666" t="s">
        <v>45</v>
      </c>
      <c r="L430" s="668" t="s">
        <v>45</v>
      </c>
      <c r="M430" s="666" t="s">
        <v>46</v>
      </c>
      <c r="N430" s="668"/>
      <c r="O430" s="668"/>
      <c r="P430" s="668" t="s">
        <v>775</v>
      </c>
      <c r="Q430" s="666" t="s">
        <v>2001</v>
      </c>
      <c r="R430" s="670">
        <v>48</v>
      </c>
      <c r="S430" s="670">
        <v>216</v>
      </c>
      <c r="T430" s="690">
        <v>43276</v>
      </c>
      <c r="U430" s="676" t="s">
        <v>2053</v>
      </c>
      <c r="V430" s="668"/>
      <c r="W430" s="659" t="s">
        <v>2340</v>
      </c>
    </row>
    <row r="431" spans="1:23" s="76" customFormat="1" ht="14.25" customHeight="1">
      <c r="A431" s="675" t="s">
        <v>39</v>
      </c>
      <c r="B431" s="674" t="s">
        <v>156</v>
      </c>
      <c r="C431" s="668" t="s">
        <v>2002</v>
      </c>
      <c r="D431" s="669"/>
      <c r="J431" s="76" t="s">
        <v>1481</v>
      </c>
      <c r="K431" s="76" t="s">
        <v>45</v>
      </c>
      <c r="L431" s="76" t="s">
        <v>45</v>
      </c>
      <c r="M431" s="76" t="s">
        <v>46</v>
      </c>
      <c r="P431" s="666" t="s">
        <v>775</v>
      </c>
      <c r="Q431" s="76" t="s">
        <v>2001</v>
      </c>
      <c r="R431" s="678"/>
      <c r="S431" s="671"/>
      <c r="T431" s="137">
        <v>43270</v>
      </c>
      <c r="U431" s="133"/>
      <c r="W431" s="666"/>
    </row>
    <row r="432" spans="1:23" s="76" customFormat="1" ht="14.25" customHeight="1">
      <c r="A432" s="666" t="s">
        <v>39</v>
      </c>
      <c r="B432" s="666" t="s">
        <v>156</v>
      </c>
      <c r="C432" s="666" t="s">
        <v>251</v>
      </c>
      <c r="D432" s="760" t="s">
        <v>3047</v>
      </c>
      <c r="E432" s="76" t="s">
        <v>1642</v>
      </c>
      <c r="F432" s="76" t="s">
        <v>1757</v>
      </c>
      <c r="G432" s="76" t="s">
        <v>1886</v>
      </c>
      <c r="H432" s="76" t="s">
        <v>43</v>
      </c>
      <c r="I432" s="666" t="s">
        <v>149</v>
      </c>
      <c r="J432" s="76" t="s">
        <v>45</v>
      </c>
      <c r="K432" s="666" t="s">
        <v>45</v>
      </c>
      <c r="L432" s="666" t="s">
        <v>1101</v>
      </c>
      <c r="M432" s="76" t="s">
        <v>46</v>
      </c>
      <c r="P432" s="17" t="s">
        <v>2048</v>
      </c>
      <c r="Q432" s="76" t="s">
        <v>940</v>
      </c>
      <c r="R432" s="670">
        <v>124</v>
      </c>
      <c r="S432" s="670">
        <v>673</v>
      </c>
      <c r="T432" s="137">
        <v>42983</v>
      </c>
      <c r="U432" s="133" t="s">
        <v>1119</v>
      </c>
      <c r="W432" s="659" t="s">
        <v>2945</v>
      </c>
    </row>
    <row r="433" spans="1:23" s="76" customFormat="1" ht="14.25" customHeight="1">
      <c r="A433" s="666" t="s">
        <v>39</v>
      </c>
      <c r="B433" s="666" t="s">
        <v>156</v>
      </c>
      <c r="C433" s="666" t="s">
        <v>263</v>
      </c>
      <c r="D433" s="760" t="s">
        <v>3047</v>
      </c>
      <c r="E433" s="76" t="s">
        <v>1598</v>
      </c>
      <c r="F433" s="76" t="s">
        <v>1710</v>
      </c>
      <c r="G433" s="76" t="s">
        <v>1711</v>
      </c>
      <c r="H433" s="76" t="s">
        <v>43</v>
      </c>
      <c r="I433" s="76" t="s">
        <v>250</v>
      </c>
      <c r="J433" s="76" t="s">
        <v>45</v>
      </c>
      <c r="K433" s="666" t="s">
        <v>45</v>
      </c>
      <c r="L433" s="666" t="s">
        <v>45</v>
      </c>
      <c r="M433" s="76" t="s">
        <v>46</v>
      </c>
      <c r="N433" s="666">
        <v>25.566510000000001</v>
      </c>
      <c r="O433" s="666">
        <v>96.269199999999998</v>
      </c>
      <c r="P433" s="666" t="s">
        <v>775</v>
      </c>
      <c r="Q433" s="76" t="s">
        <v>794</v>
      </c>
      <c r="R433" s="670">
        <v>18</v>
      </c>
      <c r="S433" s="670">
        <v>103</v>
      </c>
      <c r="T433" s="137"/>
      <c r="U433" s="133"/>
      <c r="V433" s="76" t="s">
        <v>263</v>
      </c>
      <c r="W433" s="666"/>
    </row>
    <row r="434" spans="1:23" s="76" customFormat="1" ht="14.25" customHeight="1">
      <c r="A434" s="666" t="s">
        <v>39</v>
      </c>
      <c r="B434" s="666" t="s">
        <v>156</v>
      </c>
      <c r="C434" s="666" t="s">
        <v>264</v>
      </c>
      <c r="D434" s="760" t="s">
        <v>3047</v>
      </c>
      <c r="E434" s="76" t="s">
        <v>1610</v>
      </c>
      <c r="F434" s="76" t="s">
        <v>1874</v>
      </c>
      <c r="G434" s="76" t="s">
        <v>1875</v>
      </c>
      <c r="H434" s="76" t="s">
        <v>43</v>
      </c>
      <c r="I434" s="76" t="s">
        <v>250</v>
      </c>
      <c r="J434" s="76" t="s">
        <v>45</v>
      </c>
      <c r="K434" s="76" t="s">
        <v>45</v>
      </c>
      <c r="L434" s="666" t="s">
        <v>45</v>
      </c>
      <c r="M434" s="76" t="s">
        <v>46</v>
      </c>
      <c r="N434" s="76">
        <v>25.61842</v>
      </c>
      <c r="O434" s="76">
        <v>96.316400000000002</v>
      </c>
      <c r="P434" s="666" t="s">
        <v>775</v>
      </c>
      <c r="Q434" s="76" t="s">
        <v>794</v>
      </c>
      <c r="R434" s="670">
        <v>12</v>
      </c>
      <c r="S434" s="670">
        <v>60</v>
      </c>
      <c r="T434" s="137"/>
      <c r="U434" s="133"/>
      <c r="V434" s="76" t="s">
        <v>264</v>
      </c>
      <c r="W434" s="666"/>
    </row>
    <row r="435" spans="1:23" s="76" customFormat="1" ht="14.25" customHeight="1">
      <c r="A435" s="671" t="s">
        <v>39</v>
      </c>
      <c r="B435" s="674" t="s">
        <v>156</v>
      </c>
      <c r="C435" s="675" t="s">
        <v>2088</v>
      </c>
      <c r="D435" s="669"/>
      <c r="J435" s="76" t="s">
        <v>1481</v>
      </c>
      <c r="K435" s="668" t="s">
        <v>45</v>
      </c>
      <c r="L435" s="668" t="s">
        <v>790</v>
      </c>
      <c r="M435" s="76" t="s">
        <v>46</v>
      </c>
      <c r="P435" s="666" t="s">
        <v>775</v>
      </c>
      <c r="R435" s="678"/>
      <c r="S435" s="671"/>
      <c r="T435" s="137">
        <v>43297</v>
      </c>
      <c r="U435" s="672"/>
      <c r="W435" s="666"/>
    </row>
    <row r="436" spans="1:23" s="76" customFormat="1" ht="14.25" customHeight="1">
      <c r="A436" s="666" t="s">
        <v>39</v>
      </c>
      <c r="B436" s="666" t="s">
        <v>156</v>
      </c>
      <c r="C436" s="666" t="s">
        <v>265</v>
      </c>
      <c r="D436" s="760" t="s">
        <v>3047</v>
      </c>
      <c r="E436" s="76" t="s">
        <v>1606</v>
      </c>
      <c r="F436" s="76" t="s">
        <v>1874</v>
      </c>
      <c r="G436" s="76" t="s">
        <v>1875</v>
      </c>
      <c r="H436" s="76" t="s">
        <v>43</v>
      </c>
      <c r="I436" s="76" t="s">
        <v>2205</v>
      </c>
      <c r="J436" s="76" t="s">
        <v>45</v>
      </c>
      <c r="K436" s="76" t="s">
        <v>45</v>
      </c>
      <c r="L436" s="76" t="s">
        <v>790</v>
      </c>
      <c r="M436" s="76" t="s">
        <v>46</v>
      </c>
      <c r="N436" s="76">
        <v>25.6145</v>
      </c>
      <c r="O436" s="76">
        <v>96.319829999999996</v>
      </c>
      <c r="P436" s="666" t="s">
        <v>775</v>
      </c>
      <c r="Q436" s="76" t="s">
        <v>794</v>
      </c>
      <c r="R436" s="670">
        <v>3</v>
      </c>
      <c r="S436" s="670">
        <v>15</v>
      </c>
      <c r="T436" s="137"/>
      <c r="U436" s="133"/>
      <c r="V436" s="76" t="s">
        <v>265</v>
      </c>
    </row>
    <row r="437" spans="1:23" s="76" customFormat="1" ht="14.25" customHeight="1">
      <c r="A437" s="666" t="s">
        <v>39</v>
      </c>
      <c r="B437" s="666" t="s">
        <v>156</v>
      </c>
      <c r="C437" s="76" t="s">
        <v>1074</v>
      </c>
      <c r="D437" s="760" t="s">
        <v>1694</v>
      </c>
      <c r="E437" s="76" t="s">
        <v>1617</v>
      </c>
      <c r="F437" s="76" t="s">
        <v>1757</v>
      </c>
      <c r="G437" s="76" t="s">
        <v>1757</v>
      </c>
      <c r="I437" s="76">
        <v>0</v>
      </c>
      <c r="J437" s="76" t="s">
        <v>45</v>
      </c>
      <c r="K437" s="76" t="s">
        <v>45</v>
      </c>
      <c r="L437" s="76" t="s">
        <v>774</v>
      </c>
      <c r="M437" s="76" t="s">
        <v>46</v>
      </c>
      <c r="N437" s="76">
        <v>25.658670000000001</v>
      </c>
      <c r="O437" s="76">
        <v>96.354159999999993</v>
      </c>
      <c r="P437" s="76" t="s">
        <v>775</v>
      </c>
      <c r="R437" s="131"/>
      <c r="S437" s="671"/>
      <c r="T437" s="137"/>
      <c r="U437" s="133"/>
      <c r="V437" s="76" t="s">
        <v>1074</v>
      </c>
      <c r="W437" s="666" t="s">
        <v>2218</v>
      </c>
    </row>
    <row r="438" spans="1:23" s="76" customFormat="1" ht="14.25" customHeight="1">
      <c r="A438" s="666" t="s">
        <v>39</v>
      </c>
      <c r="B438" s="666" t="s">
        <v>156</v>
      </c>
      <c r="C438" s="666" t="s">
        <v>198</v>
      </c>
      <c r="D438" s="760" t="s">
        <v>3047</v>
      </c>
      <c r="E438" s="76" t="s">
        <v>1628</v>
      </c>
      <c r="F438" s="76" t="s">
        <v>1764</v>
      </c>
      <c r="G438" s="76" t="s">
        <v>1765</v>
      </c>
      <c r="H438" s="76" t="s">
        <v>43</v>
      </c>
      <c r="I438" s="76" t="s">
        <v>1346</v>
      </c>
      <c r="J438" s="76" t="s">
        <v>45</v>
      </c>
      <c r="K438" s="76" t="s">
        <v>45</v>
      </c>
      <c r="L438" s="666" t="s">
        <v>45</v>
      </c>
      <c r="M438" s="76" t="s">
        <v>46</v>
      </c>
      <c r="N438" s="666">
        <v>25.920006000000001</v>
      </c>
      <c r="O438" s="666">
        <v>96.662092000000001</v>
      </c>
      <c r="P438" s="666" t="s">
        <v>775</v>
      </c>
      <c r="Q438" s="76" t="s">
        <v>776</v>
      </c>
      <c r="R438" s="670">
        <v>25</v>
      </c>
      <c r="S438" s="670">
        <v>113</v>
      </c>
      <c r="T438" s="137"/>
      <c r="U438" s="672"/>
      <c r="W438" s="666"/>
    </row>
    <row r="439" spans="1:23" s="76" customFormat="1" ht="14.25" customHeight="1">
      <c r="A439" s="666" t="s">
        <v>39</v>
      </c>
      <c r="B439" s="666" t="s">
        <v>156</v>
      </c>
      <c r="C439" s="666" t="s">
        <v>266</v>
      </c>
      <c r="D439" s="760" t="s">
        <v>3047</v>
      </c>
      <c r="E439" s="76" t="s">
        <v>1609</v>
      </c>
      <c r="F439" s="76" t="s">
        <v>1872</v>
      </c>
      <c r="G439" s="76" t="s">
        <v>1872</v>
      </c>
      <c r="H439" s="76" t="s">
        <v>43</v>
      </c>
      <c r="I439" s="76" t="s">
        <v>2205</v>
      </c>
      <c r="J439" s="76" t="s">
        <v>45</v>
      </c>
      <c r="K439" s="76" t="s">
        <v>45</v>
      </c>
      <c r="L439" s="666" t="s">
        <v>790</v>
      </c>
      <c r="M439" s="76" t="s">
        <v>46</v>
      </c>
      <c r="N439" s="76">
        <v>25.617998</v>
      </c>
      <c r="O439" s="76">
        <v>96.339590000000001</v>
      </c>
      <c r="P439" s="666" t="s">
        <v>775</v>
      </c>
      <c r="Q439" s="76" t="s">
        <v>794</v>
      </c>
      <c r="R439" s="670">
        <v>11</v>
      </c>
      <c r="S439" s="670">
        <v>43</v>
      </c>
      <c r="T439" s="137"/>
      <c r="U439" s="672"/>
      <c r="V439" s="76" t="s">
        <v>266</v>
      </c>
      <c r="W439" s="666"/>
    </row>
    <row r="440" spans="1:23" s="76" customFormat="1" ht="14.25" customHeight="1">
      <c r="A440" s="666" t="s">
        <v>39</v>
      </c>
      <c r="B440" s="666" t="s">
        <v>156</v>
      </c>
      <c r="C440" s="666" t="s">
        <v>239</v>
      </c>
      <c r="D440" s="760" t="s">
        <v>3047</v>
      </c>
      <c r="E440" s="76" t="s">
        <v>1605</v>
      </c>
      <c r="F440" s="76" t="s">
        <v>1872</v>
      </c>
      <c r="G440" s="76" t="s">
        <v>1872</v>
      </c>
      <c r="H440" s="76" t="s">
        <v>43</v>
      </c>
      <c r="I440" s="76" t="s">
        <v>1346</v>
      </c>
      <c r="J440" s="76" t="s">
        <v>45</v>
      </c>
      <c r="K440" s="76" t="s">
        <v>45</v>
      </c>
      <c r="L440" s="76" t="s">
        <v>45</v>
      </c>
      <c r="M440" s="76" t="s">
        <v>46</v>
      </c>
      <c r="N440" s="76">
        <v>25.613894999999999</v>
      </c>
      <c r="O440" s="76">
        <v>96.341352999999998</v>
      </c>
      <c r="P440" s="666" t="s">
        <v>775</v>
      </c>
      <c r="Q440" s="76" t="s">
        <v>794</v>
      </c>
      <c r="R440" s="670">
        <v>47</v>
      </c>
      <c r="S440" s="670">
        <v>222</v>
      </c>
      <c r="T440" s="137"/>
      <c r="U440" s="133"/>
      <c r="V440" s="76" t="s">
        <v>239</v>
      </c>
      <c r="W440" s="666"/>
    </row>
    <row r="441" spans="1:23" s="76" customFormat="1" ht="14.25" customHeight="1">
      <c r="A441" s="666" t="s">
        <v>39</v>
      </c>
      <c r="B441" s="666" t="s">
        <v>156</v>
      </c>
      <c r="C441" s="666" t="s">
        <v>267</v>
      </c>
      <c r="D441" s="760" t="s">
        <v>3047</v>
      </c>
      <c r="E441" s="76" t="s">
        <v>1597</v>
      </c>
      <c r="F441" s="76" t="s">
        <v>1710</v>
      </c>
      <c r="G441" s="76" t="s">
        <v>1711</v>
      </c>
      <c r="H441" s="76" t="s">
        <v>43</v>
      </c>
      <c r="I441" s="76" t="s">
        <v>2205</v>
      </c>
      <c r="J441" s="76" t="s">
        <v>45</v>
      </c>
      <c r="K441" s="76" t="s">
        <v>45</v>
      </c>
      <c r="L441" s="76" t="s">
        <v>790</v>
      </c>
      <c r="M441" s="76" t="s">
        <v>46</v>
      </c>
      <c r="N441" s="666">
        <v>25.56551</v>
      </c>
      <c r="O441" s="666">
        <v>96.279200000000003</v>
      </c>
      <c r="P441" s="666" t="s">
        <v>775</v>
      </c>
      <c r="Q441" s="76" t="s">
        <v>794</v>
      </c>
      <c r="R441" s="670">
        <v>10</v>
      </c>
      <c r="S441" s="670">
        <v>38</v>
      </c>
      <c r="T441" s="137"/>
      <c r="U441" s="672"/>
      <c r="V441" s="76" t="s">
        <v>267</v>
      </c>
      <c r="W441" s="666"/>
    </row>
    <row r="442" spans="1:23" s="76" customFormat="1" ht="14.25" customHeight="1">
      <c r="A442" s="666" t="s">
        <v>39</v>
      </c>
      <c r="B442" s="668" t="s">
        <v>156</v>
      </c>
      <c r="C442" s="668" t="s">
        <v>268</v>
      </c>
      <c r="D442" s="760" t="s">
        <v>1694</v>
      </c>
      <c r="E442" s="76" t="s">
        <v>1618</v>
      </c>
      <c r="F442" s="76" t="s">
        <v>1710</v>
      </c>
      <c r="G442" s="76" t="s">
        <v>1711</v>
      </c>
      <c r="H442" s="76" t="s">
        <v>43</v>
      </c>
      <c r="I442" s="76" t="s">
        <v>149</v>
      </c>
      <c r="J442" s="76" t="s">
        <v>45</v>
      </c>
      <c r="K442" s="76" t="s">
        <v>45</v>
      </c>
      <c r="L442" s="76" t="s">
        <v>774</v>
      </c>
      <c r="M442" s="76" t="s">
        <v>46</v>
      </c>
      <c r="N442" s="76">
        <v>25.668399999999998</v>
      </c>
      <c r="O442" s="76">
        <v>96.353030000000004</v>
      </c>
      <c r="P442" s="666" t="s">
        <v>775</v>
      </c>
      <c r="Q442" s="76" t="s">
        <v>794</v>
      </c>
      <c r="R442" s="670"/>
      <c r="S442" s="671"/>
      <c r="T442" s="137"/>
      <c r="U442" s="672"/>
      <c r="V442" s="76" t="s">
        <v>268</v>
      </c>
      <c r="W442" s="659" t="s">
        <v>2946</v>
      </c>
    </row>
    <row r="443" spans="1:23" s="76" customFormat="1" ht="14.25" customHeight="1">
      <c r="A443" s="666" t="s">
        <v>39</v>
      </c>
      <c r="B443" s="668" t="s">
        <v>156</v>
      </c>
      <c r="C443" s="668" t="s">
        <v>196</v>
      </c>
      <c r="D443" s="760" t="s">
        <v>3047</v>
      </c>
      <c r="E443" s="76" t="s">
        <v>1629</v>
      </c>
      <c r="F443" s="76" t="s">
        <v>1764</v>
      </c>
      <c r="G443" s="76" t="s">
        <v>1765</v>
      </c>
      <c r="H443" s="76" t="s">
        <v>43</v>
      </c>
      <c r="I443" s="76" t="s">
        <v>149</v>
      </c>
      <c r="J443" s="76" t="s">
        <v>45</v>
      </c>
      <c r="K443" s="668" t="s">
        <v>45</v>
      </c>
      <c r="L443" s="668" t="s">
        <v>45</v>
      </c>
      <c r="M443" s="76" t="s">
        <v>46</v>
      </c>
      <c r="N443" s="76">
        <v>25.920006000000001</v>
      </c>
      <c r="O443" s="76">
        <v>96.662092000000001</v>
      </c>
      <c r="P443" s="76" t="s">
        <v>775</v>
      </c>
      <c r="Q443" s="76" t="s">
        <v>776</v>
      </c>
      <c r="R443" s="670">
        <v>28</v>
      </c>
      <c r="S443" s="670">
        <v>126</v>
      </c>
      <c r="T443" s="137"/>
      <c r="U443" s="133"/>
      <c r="W443" s="666"/>
    </row>
    <row r="444" spans="1:23" s="76" customFormat="1" ht="14.25" customHeight="1">
      <c r="A444" s="666" t="s">
        <v>39</v>
      </c>
      <c r="B444" s="666" t="s">
        <v>156</v>
      </c>
      <c r="C444" s="668" t="s">
        <v>197</v>
      </c>
      <c r="D444" s="760" t="s">
        <v>3047</v>
      </c>
      <c r="E444" s="76" t="s">
        <v>1630</v>
      </c>
      <c r="F444" s="76" t="s">
        <v>1764</v>
      </c>
      <c r="G444" s="76" t="s">
        <v>1765</v>
      </c>
      <c r="H444" s="76" t="s">
        <v>43</v>
      </c>
      <c r="I444" s="76" t="s">
        <v>2205</v>
      </c>
      <c r="J444" s="76" t="s">
        <v>45</v>
      </c>
      <c r="K444" s="668" t="s">
        <v>45</v>
      </c>
      <c r="L444" s="668" t="s">
        <v>790</v>
      </c>
      <c r="M444" s="76" t="s">
        <v>46</v>
      </c>
      <c r="N444" s="76">
        <v>25.920006000000001</v>
      </c>
      <c r="O444" s="76">
        <v>96.662092000000001</v>
      </c>
      <c r="P444" s="76" t="s">
        <v>775</v>
      </c>
      <c r="Q444" s="76" t="s">
        <v>776</v>
      </c>
      <c r="R444" s="670">
        <v>4</v>
      </c>
      <c r="S444" s="670">
        <v>11</v>
      </c>
      <c r="T444" s="137"/>
      <c r="U444" s="133" t="s">
        <v>3135</v>
      </c>
      <c r="W444" s="666"/>
    </row>
    <row r="445" spans="1:23" s="76" customFormat="1" ht="14.25" customHeight="1">
      <c r="A445" s="666" t="s">
        <v>39</v>
      </c>
      <c r="B445" s="666" t="s">
        <v>156</v>
      </c>
      <c r="C445" s="668" t="s">
        <v>199</v>
      </c>
      <c r="D445" s="760" t="s">
        <v>1693</v>
      </c>
      <c r="J445" s="76" t="s">
        <v>1481</v>
      </c>
      <c r="K445" s="668" t="s">
        <v>45</v>
      </c>
      <c r="L445" s="668" t="s">
        <v>45</v>
      </c>
      <c r="M445" s="76" t="s">
        <v>46</v>
      </c>
      <c r="P445" s="76" t="s">
        <v>775</v>
      </c>
      <c r="Q445" s="76" t="s">
        <v>776</v>
      </c>
      <c r="R445" s="670"/>
      <c r="S445" s="671"/>
      <c r="T445" s="137">
        <v>42824</v>
      </c>
      <c r="U445" s="133"/>
      <c r="W445" s="666"/>
    </row>
    <row r="446" spans="1:23" s="76" customFormat="1" ht="14.25" customHeight="1">
      <c r="A446" s="666" t="s">
        <v>39</v>
      </c>
      <c r="B446" s="668" t="s">
        <v>156</v>
      </c>
      <c r="C446" s="668" t="s">
        <v>1083</v>
      </c>
      <c r="D446" s="760" t="s">
        <v>1694</v>
      </c>
      <c r="E446" s="76" t="s">
        <v>1631</v>
      </c>
      <c r="F446" s="76" t="s">
        <v>1764</v>
      </c>
      <c r="G446" s="76" t="s">
        <v>1765</v>
      </c>
      <c r="I446" s="76">
        <v>0</v>
      </c>
      <c r="J446" s="76" t="s">
        <v>45</v>
      </c>
      <c r="K446" s="76" t="s">
        <v>45</v>
      </c>
      <c r="L446" s="76" t="s">
        <v>774</v>
      </c>
      <c r="M446" s="76" t="s">
        <v>46</v>
      </c>
      <c r="N446" s="666">
        <v>25.920006000000001</v>
      </c>
      <c r="O446" s="666">
        <v>96.662092000000001</v>
      </c>
      <c r="P446" s="76" t="s">
        <v>775</v>
      </c>
      <c r="Q446" s="76" t="s">
        <v>776</v>
      </c>
      <c r="R446" s="670"/>
      <c r="S446" s="671"/>
      <c r="T446" s="137"/>
      <c r="U446" s="133"/>
      <c r="W446" s="659" t="s">
        <v>2213</v>
      </c>
    </row>
    <row r="447" spans="1:23" s="76" customFormat="1" ht="14.25" customHeight="1">
      <c r="A447" s="666" t="s">
        <v>39</v>
      </c>
      <c r="B447" s="668" t="s">
        <v>156</v>
      </c>
      <c r="C447" s="668" t="s">
        <v>1080</v>
      </c>
      <c r="D447" s="760" t="s">
        <v>1694</v>
      </c>
      <c r="E447" s="668" t="s">
        <v>1624</v>
      </c>
      <c r="F447" s="666" t="s">
        <v>1764</v>
      </c>
      <c r="G447" s="666" t="s">
        <v>1764</v>
      </c>
      <c r="H447" s="666"/>
      <c r="I447" s="666">
        <v>0</v>
      </c>
      <c r="J447" s="666" t="s">
        <v>45</v>
      </c>
      <c r="K447" s="666" t="s">
        <v>45</v>
      </c>
      <c r="L447" s="666" t="s">
        <v>774</v>
      </c>
      <c r="M447" s="666" t="s">
        <v>46</v>
      </c>
      <c r="N447" s="666">
        <v>25.806999999999999</v>
      </c>
      <c r="O447" s="666">
        <v>96.637</v>
      </c>
      <c r="P447" s="666" t="s">
        <v>775</v>
      </c>
      <c r="Q447" s="666" t="s">
        <v>776</v>
      </c>
      <c r="R447" s="670"/>
      <c r="S447" s="671"/>
      <c r="T447" s="690">
        <v>42983</v>
      </c>
      <c r="U447" s="672" t="s">
        <v>1081</v>
      </c>
      <c r="V447" s="666"/>
      <c r="W447" s="659" t="s">
        <v>2219</v>
      </c>
    </row>
    <row r="448" spans="1:23" s="76" customFormat="1" ht="14.25" customHeight="1">
      <c r="A448" s="666" t="s">
        <v>39</v>
      </c>
      <c r="B448" s="668" t="s">
        <v>156</v>
      </c>
      <c r="C448" s="668" t="s">
        <v>1070</v>
      </c>
      <c r="D448" s="760" t="s">
        <v>1694</v>
      </c>
      <c r="E448" s="76" t="s">
        <v>1600</v>
      </c>
      <c r="F448" s="76" t="s">
        <v>1710</v>
      </c>
      <c r="G448" s="76" t="s">
        <v>1710</v>
      </c>
      <c r="H448" s="76" t="s">
        <v>43</v>
      </c>
      <c r="I448" s="76" t="s">
        <v>1346</v>
      </c>
      <c r="J448" s="76" t="s">
        <v>45</v>
      </c>
      <c r="K448" s="666" t="s">
        <v>45</v>
      </c>
      <c r="L448" s="666" t="s">
        <v>774</v>
      </c>
      <c r="M448" s="76" t="s">
        <v>46</v>
      </c>
      <c r="N448" s="76">
        <v>25.57921</v>
      </c>
      <c r="O448" s="76">
        <v>96.288250000000005</v>
      </c>
      <c r="P448" s="76" t="s">
        <v>775</v>
      </c>
      <c r="R448" s="670"/>
      <c r="S448" s="132"/>
      <c r="T448" s="137"/>
      <c r="U448" s="133"/>
      <c r="V448" s="76" t="s">
        <v>1070</v>
      </c>
      <c r="W448" s="76" t="s">
        <v>2220</v>
      </c>
    </row>
    <row r="449" spans="1:23" s="76" customFormat="1" ht="14.25" customHeight="1">
      <c r="A449" s="666" t="s">
        <v>39</v>
      </c>
      <c r="B449" s="668" t="s">
        <v>156</v>
      </c>
      <c r="C449" s="668" t="s">
        <v>269</v>
      </c>
      <c r="D449" s="760" t="s">
        <v>3047</v>
      </c>
      <c r="E449" s="76" t="s">
        <v>1599</v>
      </c>
      <c r="F449" s="76" t="s">
        <v>1710</v>
      </c>
      <c r="G449" s="76" t="s">
        <v>1871</v>
      </c>
      <c r="H449" s="76" t="s">
        <v>43</v>
      </c>
      <c r="I449" s="76" t="s">
        <v>149</v>
      </c>
      <c r="J449" s="76" t="s">
        <v>45</v>
      </c>
      <c r="K449" s="76" t="s">
        <v>45</v>
      </c>
      <c r="L449" s="76" t="s">
        <v>45</v>
      </c>
      <c r="M449" s="76" t="s">
        <v>46</v>
      </c>
      <c r="N449" s="76">
        <v>25.577559999999998</v>
      </c>
      <c r="O449" s="76">
        <v>96.286680000000004</v>
      </c>
      <c r="P449" s="76" t="s">
        <v>775</v>
      </c>
      <c r="Q449" s="76" t="s">
        <v>794</v>
      </c>
      <c r="R449" s="131">
        <v>32</v>
      </c>
      <c r="S449" s="670">
        <v>173</v>
      </c>
      <c r="T449" s="137"/>
      <c r="U449" s="133"/>
      <c r="V449" s="76" t="s">
        <v>269</v>
      </c>
      <c r="W449" s="666"/>
    </row>
    <row r="450" spans="1:23" s="76" customFormat="1" ht="14.25" customHeight="1">
      <c r="A450" s="666" t="s">
        <v>39</v>
      </c>
      <c r="B450" s="668" t="s">
        <v>156</v>
      </c>
      <c r="C450" s="668" t="s">
        <v>270</v>
      </c>
      <c r="D450" s="760" t="s">
        <v>3047</v>
      </c>
      <c r="E450" s="76" t="s">
        <v>1602</v>
      </c>
      <c r="F450" s="666" t="s">
        <v>1872</v>
      </c>
      <c r="G450" s="76" t="s">
        <v>1872</v>
      </c>
      <c r="H450" s="76" t="s">
        <v>43</v>
      </c>
      <c r="I450" s="76" t="s">
        <v>149</v>
      </c>
      <c r="J450" s="76" t="s">
        <v>45</v>
      </c>
      <c r="K450" s="76" t="s">
        <v>45</v>
      </c>
      <c r="L450" s="76" t="s">
        <v>45</v>
      </c>
      <c r="M450" s="76" t="s">
        <v>46</v>
      </c>
      <c r="N450" s="76">
        <v>25.599250000000001</v>
      </c>
      <c r="O450" s="76">
        <v>96.306910999999999</v>
      </c>
      <c r="P450" s="76" t="s">
        <v>775</v>
      </c>
      <c r="Q450" s="76" t="s">
        <v>794</v>
      </c>
      <c r="R450" s="670">
        <v>16</v>
      </c>
      <c r="S450" s="670">
        <v>69</v>
      </c>
      <c r="T450" s="137"/>
      <c r="U450" s="133"/>
      <c r="V450" s="76" t="s">
        <v>270</v>
      </c>
      <c r="W450" s="666"/>
    </row>
    <row r="451" spans="1:23" s="76" customFormat="1" ht="14.25" customHeight="1">
      <c r="A451" s="666" t="s">
        <v>39</v>
      </c>
      <c r="B451" s="666" t="s">
        <v>789</v>
      </c>
      <c r="C451" s="666" t="s">
        <v>788</v>
      </c>
      <c r="D451" s="760" t="s">
        <v>1694</v>
      </c>
      <c r="E451" s="76" t="s">
        <v>1350</v>
      </c>
      <c r="F451" s="76">
        <v>0</v>
      </c>
      <c r="G451" s="76">
        <v>0</v>
      </c>
      <c r="I451" s="76">
        <v>0</v>
      </c>
      <c r="J451" s="76" t="s">
        <v>45</v>
      </c>
      <c r="K451" s="666" t="s">
        <v>45</v>
      </c>
      <c r="L451" s="666" t="s">
        <v>774</v>
      </c>
      <c r="M451" s="76" t="s">
        <v>46</v>
      </c>
      <c r="P451" s="76" t="s">
        <v>775</v>
      </c>
      <c r="R451" s="670"/>
      <c r="S451" s="671"/>
      <c r="T451" s="137"/>
      <c r="U451" s="133"/>
      <c r="V451" s="76" t="s">
        <v>788</v>
      </c>
      <c r="W451" s="666" t="s">
        <v>2221</v>
      </c>
    </row>
    <row r="452" spans="1:23" s="76" customFormat="1" ht="14.25" customHeight="1">
      <c r="A452" s="666" t="s">
        <v>39</v>
      </c>
      <c r="B452" s="666" t="s">
        <v>1087</v>
      </c>
      <c r="C452" s="666" t="s">
        <v>1086</v>
      </c>
      <c r="D452" s="760" t="s">
        <v>1694</v>
      </c>
      <c r="E452" s="668" t="s">
        <v>1635</v>
      </c>
      <c r="F452" s="76" t="s">
        <v>1766</v>
      </c>
      <c r="G452" s="76" t="s">
        <v>1086</v>
      </c>
      <c r="I452" s="76">
        <v>0</v>
      </c>
      <c r="J452" s="76" t="s">
        <v>45</v>
      </c>
      <c r="K452" s="666" t="s">
        <v>45</v>
      </c>
      <c r="L452" s="666" t="s">
        <v>774</v>
      </c>
      <c r="M452" s="76" t="s">
        <v>46</v>
      </c>
      <c r="N452" s="76">
        <v>26.890058</v>
      </c>
      <c r="O452" s="76">
        <v>98.144502500000002</v>
      </c>
      <c r="P452" s="666" t="s">
        <v>775</v>
      </c>
      <c r="R452" s="670"/>
      <c r="S452" s="671"/>
      <c r="T452" s="137"/>
      <c r="U452" s="133"/>
      <c r="V452" s="76" t="s">
        <v>1086</v>
      </c>
      <c r="W452" s="659" t="s">
        <v>2222</v>
      </c>
    </row>
    <row r="453" spans="1:23" s="76" customFormat="1" ht="14.25" customHeight="1">
      <c r="A453" s="666" t="s">
        <v>39</v>
      </c>
      <c r="B453" s="666" t="s">
        <v>1092</v>
      </c>
      <c r="C453" s="76" t="s">
        <v>1091</v>
      </c>
      <c r="D453" s="760" t="s">
        <v>1694</v>
      </c>
      <c r="E453" s="76" t="s">
        <v>1638</v>
      </c>
      <c r="F453" s="76">
        <v>0</v>
      </c>
      <c r="G453" s="76">
        <v>0</v>
      </c>
      <c r="I453" s="76">
        <v>0</v>
      </c>
      <c r="J453" s="76" t="s">
        <v>45</v>
      </c>
      <c r="K453" s="76" t="s">
        <v>45</v>
      </c>
      <c r="L453" s="76" t="s">
        <v>774</v>
      </c>
      <c r="M453" s="76" t="s">
        <v>46</v>
      </c>
      <c r="N453" s="76">
        <v>27.274059999999999</v>
      </c>
      <c r="O453" s="76">
        <v>97.586470000000006</v>
      </c>
      <c r="P453" s="666" t="s">
        <v>775</v>
      </c>
      <c r="R453" s="670"/>
      <c r="S453" s="671"/>
      <c r="T453" s="137"/>
      <c r="U453" s="133"/>
      <c r="V453" s="76" t="s">
        <v>1093</v>
      </c>
      <c r="W453" s="659" t="s">
        <v>2223</v>
      </c>
    </row>
    <row r="454" spans="1:23" s="76" customFormat="1" ht="14.25" customHeight="1">
      <c r="A454" s="668" t="s">
        <v>39</v>
      </c>
      <c r="B454" s="668" t="s">
        <v>1336</v>
      </c>
      <c r="C454" s="668" t="s">
        <v>1920</v>
      </c>
      <c r="D454" s="669" t="s">
        <v>1913</v>
      </c>
      <c r="E454" s="677"/>
      <c r="F454" s="677"/>
      <c r="G454" s="677"/>
      <c r="H454" s="677"/>
      <c r="I454" s="677"/>
      <c r="J454" s="76" t="s">
        <v>1481</v>
      </c>
      <c r="K454" s="677"/>
      <c r="L454" s="677"/>
      <c r="P454" s="76" t="s">
        <v>775</v>
      </c>
      <c r="R454" s="678"/>
      <c r="S454" s="671"/>
      <c r="T454" s="137"/>
      <c r="U454" s="133"/>
      <c r="W454" s="666"/>
    </row>
    <row r="455" spans="1:23" s="76" customFormat="1" ht="14.25" customHeight="1">
      <c r="A455" s="668" t="s">
        <v>39</v>
      </c>
      <c r="B455" s="668" t="s">
        <v>1336</v>
      </c>
      <c r="C455" s="668" t="s">
        <v>1337</v>
      </c>
      <c r="D455" s="669" t="s">
        <v>1913</v>
      </c>
      <c r="E455" s="677"/>
      <c r="F455" s="677"/>
      <c r="G455" s="677"/>
      <c r="H455" s="677"/>
      <c r="I455" s="677"/>
      <c r="J455" s="666" t="s">
        <v>1481</v>
      </c>
      <c r="K455" s="677"/>
      <c r="L455" s="677"/>
      <c r="M455" s="668"/>
      <c r="N455" s="668"/>
      <c r="O455" s="668"/>
      <c r="P455" s="666" t="s">
        <v>775</v>
      </c>
      <c r="Q455" s="668"/>
      <c r="R455" s="679"/>
      <c r="S455" s="675"/>
      <c r="T455" s="691"/>
      <c r="U455" s="676"/>
      <c r="V455" s="668"/>
      <c r="W455" s="666"/>
    </row>
    <row r="456" spans="1:23" s="76" customFormat="1" ht="14.25" customHeight="1">
      <c r="A456" s="666" t="s">
        <v>39</v>
      </c>
      <c r="B456" s="666" t="s">
        <v>40</v>
      </c>
      <c r="C456" s="666" t="s">
        <v>779</v>
      </c>
      <c r="D456" s="760" t="s">
        <v>1694</v>
      </c>
      <c r="E456" s="666" t="s">
        <v>1341</v>
      </c>
      <c r="F456" s="666">
        <v>0</v>
      </c>
      <c r="G456" s="666">
        <v>0</v>
      </c>
      <c r="H456" s="666"/>
      <c r="I456" s="666">
        <v>0</v>
      </c>
      <c r="J456" s="76" t="s">
        <v>45</v>
      </c>
      <c r="K456" s="76" t="s">
        <v>45</v>
      </c>
      <c r="L456" s="76" t="s">
        <v>774</v>
      </c>
      <c r="M456" s="666" t="s">
        <v>46</v>
      </c>
      <c r="N456" s="666"/>
      <c r="O456" s="666"/>
      <c r="P456" s="666" t="s">
        <v>775</v>
      </c>
      <c r="Q456" s="666"/>
      <c r="R456" s="670"/>
      <c r="S456" s="671"/>
      <c r="T456" s="690"/>
      <c r="U456" s="672"/>
      <c r="V456" s="666" t="s">
        <v>779</v>
      </c>
      <c r="W456" s="76" t="s">
        <v>2224</v>
      </c>
    </row>
    <row r="457" spans="1:23" s="76" customFormat="1" ht="14.25" customHeight="1">
      <c r="A457" s="666" t="s">
        <v>39</v>
      </c>
      <c r="B457" s="666" t="s">
        <v>40</v>
      </c>
      <c r="C457" s="666" t="s">
        <v>780</v>
      </c>
      <c r="D457" s="760" t="s">
        <v>1694</v>
      </c>
      <c r="E457" s="76" t="s">
        <v>1342</v>
      </c>
      <c r="F457" s="76">
        <v>0</v>
      </c>
      <c r="G457" s="76">
        <v>0</v>
      </c>
      <c r="I457" s="76">
        <v>0</v>
      </c>
      <c r="J457" s="76" t="s">
        <v>45</v>
      </c>
      <c r="K457" s="76" t="s">
        <v>45</v>
      </c>
      <c r="L457" s="76" t="s">
        <v>774</v>
      </c>
      <c r="M457" s="76" t="s">
        <v>46</v>
      </c>
      <c r="P457" s="666" t="s">
        <v>775</v>
      </c>
      <c r="R457" s="670"/>
      <c r="S457" s="671"/>
      <c r="T457" s="137"/>
      <c r="U457" s="133"/>
      <c r="V457" s="76" t="s">
        <v>780</v>
      </c>
      <c r="W457" s="659" t="s">
        <v>2225</v>
      </c>
    </row>
    <row r="458" spans="1:23" s="76" customFormat="1" ht="14.25" customHeight="1">
      <c r="A458" s="666" t="s">
        <v>39</v>
      </c>
      <c r="B458" s="666" t="s">
        <v>40</v>
      </c>
      <c r="C458" s="666" t="s">
        <v>781</v>
      </c>
      <c r="D458" s="760" t="s">
        <v>1694</v>
      </c>
      <c r="E458" s="76" t="s">
        <v>1343</v>
      </c>
      <c r="F458" s="76">
        <v>0</v>
      </c>
      <c r="G458" s="76">
        <v>0</v>
      </c>
      <c r="I458" s="76">
        <v>0</v>
      </c>
      <c r="J458" s="76" t="s">
        <v>45</v>
      </c>
      <c r="K458" s="76" t="s">
        <v>45</v>
      </c>
      <c r="L458" s="76" t="s">
        <v>774</v>
      </c>
      <c r="M458" s="76" t="s">
        <v>46</v>
      </c>
      <c r="P458" s="76" t="s">
        <v>775</v>
      </c>
      <c r="R458" s="670"/>
      <c r="S458" s="671"/>
      <c r="T458" s="137"/>
      <c r="U458" s="133"/>
      <c r="V458" s="76" t="s">
        <v>781</v>
      </c>
      <c r="W458" s="76" t="s">
        <v>2224</v>
      </c>
    </row>
    <row r="459" spans="1:23" s="76" customFormat="1" ht="14.25" customHeight="1">
      <c r="A459" s="666" t="s">
        <v>39</v>
      </c>
      <c r="B459" s="666" t="s">
        <v>40</v>
      </c>
      <c r="C459" s="666" t="s">
        <v>1940</v>
      </c>
      <c r="D459" s="760" t="s">
        <v>3047</v>
      </c>
      <c r="E459" s="76" t="s">
        <v>1483</v>
      </c>
      <c r="F459" s="76" t="s">
        <v>1734</v>
      </c>
      <c r="G459" s="76" t="s">
        <v>1734</v>
      </c>
      <c r="H459" s="76" t="s">
        <v>43</v>
      </c>
      <c r="I459" s="76" t="s">
        <v>44</v>
      </c>
      <c r="J459" s="76" t="s">
        <v>45</v>
      </c>
      <c r="K459" s="76" t="s">
        <v>45</v>
      </c>
      <c r="L459" s="76" t="s">
        <v>45</v>
      </c>
      <c r="M459" s="76" t="s">
        <v>792</v>
      </c>
      <c r="N459" s="76">
        <v>24.002433</v>
      </c>
      <c r="O459" s="76">
        <v>97.609832999999995</v>
      </c>
      <c r="P459" s="76" t="s">
        <v>775</v>
      </c>
      <c r="Q459" s="76" t="s">
        <v>776</v>
      </c>
      <c r="R459" s="670">
        <v>357</v>
      </c>
      <c r="S459" s="670">
        <v>1692</v>
      </c>
      <c r="T459" s="137"/>
      <c r="U459" s="133"/>
      <c r="W459" s="666"/>
    </row>
    <row r="460" spans="1:23" s="76" customFormat="1" ht="14.25" customHeight="1">
      <c r="A460" s="666" t="s">
        <v>39</v>
      </c>
      <c r="B460" s="666" t="s">
        <v>40</v>
      </c>
      <c r="C460" s="666" t="s">
        <v>1921</v>
      </c>
      <c r="D460" s="760" t="s">
        <v>1693</v>
      </c>
      <c r="J460" s="76" t="s">
        <v>1481</v>
      </c>
      <c r="K460" s="76" t="s">
        <v>45</v>
      </c>
      <c r="L460" s="76" t="s">
        <v>1101</v>
      </c>
      <c r="M460" s="76" t="s">
        <v>792</v>
      </c>
      <c r="P460" s="76" t="s">
        <v>775</v>
      </c>
      <c r="R460" s="670"/>
      <c r="S460" s="671"/>
      <c r="T460" s="137"/>
      <c r="U460" s="133"/>
      <c r="V460" s="76" t="s">
        <v>1110</v>
      </c>
      <c r="W460" s="666"/>
    </row>
    <row r="461" spans="1:23" s="76" customFormat="1" ht="14.25" customHeight="1">
      <c r="A461" s="666" t="s">
        <v>39</v>
      </c>
      <c r="B461" s="666" t="s">
        <v>40</v>
      </c>
      <c r="C461" s="666" t="s">
        <v>1941</v>
      </c>
      <c r="D461" s="760" t="s">
        <v>1694</v>
      </c>
      <c r="E461" s="76" t="s">
        <v>1482</v>
      </c>
      <c r="F461" s="76" t="s">
        <v>1734</v>
      </c>
      <c r="G461" s="76" t="s">
        <v>1734</v>
      </c>
      <c r="H461" s="76" t="s">
        <v>43</v>
      </c>
      <c r="I461" s="76" t="s">
        <v>44</v>
      </c>
      <c r="J461" s="76" t="s">
        <v>45</v>
      </c>
      <c r="K461" s="76" t="s">
        <v>45</v>
      </c>
      <c r="L461" s="76" t="s">
        <v>774</v>
      </c>
      <c r="M461" s="76" t="s">
        <v>792</v>
      </c>
      <c r="N461" s="76">
        <v>24.000250000000001</v>
      </c>
      <c r="O461" s="76">
        <v>97.608249999999998</v>
      </c>
      <c r="P461" s="76" t="s">
        <v>775</v>
      </c>
      <c r="R461" s="670"/>
      <c r="S461" s="671"/>
      <c r="T461" s="137"/>
      <c r="U461" s="133"/>
      <c r="V461" s="76" t="s">
        <v>1003</v>
      </c>
      <c r="W461" s="659" t="s">
        <v>2226</v>
      </c>
    </row>
    <row r="462" spans="1:23" s="76" customFormat="1" ht="14.25" customHeight="1">
      <c r="A462" s="666" t="s">
        <v>39</v>
      </c>
      <c r="B462" s="666" t="s">
        <v>40</v>
      </c>
      <c r="C462" s="666" t="s">
        <v>997</v>
      </c>
      <c r="D462" s="760" t="s">
        <v>1694</v>
      </c>
      <c r="E462" s="76" t="s">
        <v>1475</v>
      </c>
      <c r="F462" s="76" t="s">
        <v>1728</v>
      </c>
      <c r="G462" s="76">
        <v>0</v>
      </c>
      <c r="H462" s="76" t="s">
        <v>43</v>
      </c>
      <c r="I462" s="76" t="s">
        <v>44</v>
      </c>
      <c r="J462" s="76" t="s">
        <v>45</v>
      </c>
      <c r="K462" s="76" t="s">
        <v>45</v>
      </c>
      <c r="L462" s="76" t="s">
        <v>774</v>
      </c>
      <c r="M462" s="76" t="s">
        <v>792</v>
      </c>
      <c r="N462" s="76">
        <v>23.867713999999999</v>
      </c>
      <c r="O462" s="76">
        <v>97.601243999999994</v>
      </c>
      <c r="P462" s="76" t="s">
        <v>775</v>
      </c>
      <c r="R462" s="670"/>
      <c r="S462" s="671"/>
      <c r="T462" s="137"/>
      <c r="U462" s="133"/>
      <c r="V462" s="76" t="s">
        <v>997</v>
      </c>
      <c r="W462" s="666" t="s">
        <v>2227</v>
      </c>
    </row>
    <row r="463" spans="1:23" s="76" customFormat="1" ht="14.25" customHeight="1">
      <c r="A463" s="666" t="s">
        <v>39</v>
      </c>
      <c r="B463" s="666" t="s">
        <v>40</v>
      </c>
      <c r="C463" s="666" t="s">
        <v>302</v>
      </c>
      <c r="D463" s="760" t="s">
        <v>3047</v>
      </c>
      <c r="E463" s="76" t="s">
        <v>1487</v>
      </c>
      <c r="F463" s="666"/>
      <c r="H463" s="76" t="s">
        <v>43</v>
      </c>
      <c r="I463" s="76" t="s">
        <v>44</v>
      </c>
      <c r="J463" s="76" t="s">
        <v>45</v>
      </c>
      <c r="K463" s="76" t="s">
        <v>45</v>
      </c>
      <c r="L463" s="76" t="s">
        <v>45</v>
      </c>
      <c r="M463" s="76" t="s">
        <v>792</v>
      </c>
      <c r="N463" s="76">
        <v>24.056132999999999</v>
      </c>
      <c r="O463" s="76">
        <v>97.625617000000005</v>
      </c>
      <c r="P463" s="76" t="s">
        <v>775</v>
      </c>
      <c r="Q463" s="76" t="s">
        <v>776</v>
      </c>
      <c r="R463" s="670">
        <v>522</v>
      </c>
      <c r="S463" s="670">
        <v>2536</v>
      </c>
      <c r="T463" s="137"/>
      <c r="U463" s="133"/>
    </row>
    <row r="464" spans="1:23" s="76" customFormat="1" ht="14.25" customHeight="1">
      <c r="A464" s="666" t="s">
        <v>39</v>
      </c>
      <c r="B464" s="666" t="s">
        <v>40</v>
      </c>
      <c r="C464" s="666" t="s">
        <v>998</v>
      </c>
      <c r="D464" s="760" t="s">
        <v>1694</v>
      </c>
      <c r="E464" s="76" t="s">
        <v>1476</v>
      </c>
      <c r="F464" s="76" t="s">
        <v>1729</v>
      </c>
      <c r="G464" s="76">
        <v>0</v>
      </c>
      <c r="H464" s="76" t="s">
        <v>43</v>
      </c>
      <c r="I464" s="76" t="s">
        <v>44</v>
      </c>
      <c r="J464" s="76" t="s">
        <v>45</v>
      </c>
      <c r="K464" s="76" t="s">
        <v>45</v>
      </c>
      <c r="L464" s="76" t="s">
        <v>774</v>
      </c>
      <c r="M464" s="76" t="s">
        <v>792</v>
      </c>
      <c r="N464" s="76">
        <v>23.9055</v>
      </c>
      <c r="O464" s="76">
        <v>97.585667000000001</v>
      </c>
      <c r="P464" s="76" t="s">
        <v>775</v>
      </c>
      <c r="R464" s="131"/>
      <c r="S464" s="132"/>
      <c r="T464" s="137"/>
      <c r="U464" s="133"/>
      <c r="V464" s="76" t="s">
        <v>998</v>
      </c>
      <c r="W464" s="659" t="s">
        <v>2228</v>
      </c>
    </row>
    <row r="465" spans="1:23" s="76" customFormat="1" ht="14.25" customHeight="1">
      <c r="A465" s="666" t="s">
        <v>39</v>
      </c>
      <c r="B465" s="666" t="s">
        <v>40</v>
      </c>
      <c r="C465" s="666" t="s">
        <v>191</v>
      </c>
      <c r="D465" s="760" t="s">
        <v>3047</v>
      </c>
      <c r="E465" s="76" t="s">
        <v>1478</v>
      </c>
      <c r="F465" s="76" t="s">
        <v>191</v>
      </c>
      <c r="G465" s="76" t="s">
        <v>191</v>
      </c>
      <c r="H465" s="76" t="s">
        <v>43</v>
      </c>
      <c r="I465" s="76" t="s">
        <v>149</v>
      </c>
      <c r="J465" s="76" t="s">
        <v>45</v>
      </c>
      <c r="K465" s="76" t="s">
        <v>45</v>
      </c>
      <c r="L465" s="76" t="s">
        <v>45</v>
      </c>
      <c r="M465" s="76" t="s">
        <v>46</v>
      </c>
      <c r="N465" s="76">
        <v>23.972453000000002</v>
      </c>
      <c r="O465" s="76">
        <v>97.225881000000001</v>
      </c>
      <c r="P465" s="76" t="s">
        <v>775</v>
      </c>
      <c r="Q465" s="76" t="s">
        <v>794</v>
      </c>
      <c r="R465" s="670">
        <v>432</v>
      </c>
      <c r="S465" s="670">
        <v>2528</v>
      </c>
      <c r="T465" s="137"/>
      <c r="U465" s="133"/>
      <c r="V465" s="76" t="s">
        <v>191</v>
      </c>
      <c r="W465" s="659" t="s">
        <v>2341</v>
      </c>
    </row>
    <row r="466" spans="1:23" s="76" customFormat="1" ht="14.25" customHeight="1">
      <c r="A466" s="666" t="s">
        <v>39</v>
      </c>
      <c r="B466" s="666" t="s">
        <v>40</v>
      </c>
      <c r="C466" s="666" t="s">
        <v>41</v>
      </c>
      <c r="D466" s="760" t="s">
        <v>3047</v>
      </c>
      <c r="E466" s="76" t="s">
        <v>1479</v>
      </c>
      <c r="F466" s="76" t="s">
        <v>191</v>
      </c>
      <c r="G466" s="76" t="s">
        <v>191</v>
      </c>
      <c r="H466" s="76" t="s">
        <v>43</v>
      </c>
      <c r="I466" s="76" t="s">
        <v>44</v>
      </c>
      <c r="J466" s="76" t="s">
        <v>45</v>
      </c>
      <c r="K466" s="76" t="s">
        <v>45</v>
      </c>
      <c r="L466" s="76" t="s">
        <v>45</v>
      </c>
      <c r="M466" s="76" t="s">
        <v>46</v>
      </c>
      <c r="N466" s="76">
        <v>23.976571</v>
      </c>
      <c r="O466" s="76">
        <v>97.227057000000002</v>
      </c>
      <c r="P466" s="76" t="s">
        <v>775</v>
      </c>
      <c r="Q466" s="76" t="s">
        <v>794</v>
      </c>
      <c r="R466" s="670">
        <v>167</v>
      </c>
      <c r="S466" s="670">
        <v>768</v>
      </c>
      <c r="T466" s="137"/>
      <c r="U466" s="133"/>
      <c r="V466" s="76" t="s">
        <v>41</v>
      </c>
      <c r="W466" s="666"/>
    </row>
    <row r="467" spans="1:23" s="76" customFormat="1" ht="14.25" customHeight="1">
      <c r="A467" s="666" t="s">
        <v>39</v>
      </c>
      <c r="B467" s="666" t="s">
        <v>40</v>
      </c>
      <c r="C467" s="666" t="s">
        <v>1001</v>
      </c>
      <c r="D467" s="760" t="s">
        <v>1693</v>
      </c>
      <c r="J467" s="76" t="s">
        <v>1481</v>
      </c>
      <c r="K467" s="76" t="s">
        <v>45</v>
      </c>
      <c r="L467" s="76" t="s">
        <v>45</v>
      </c>
      <c r="M467" s="76" t="s">
        <v>46</v>
      </c>
      <c r="N467" s="76">
        <v>23.989049999999999</v>
      </c>
      <c r="O467" s="76">
        <v>97.225311000000005</v>
      </c>
      <c r="P467" s="76" t="s">
        <v>775</v>
      </c>
      <c r="Q467" s="76" t="s">
        <v>776</v>
      </c>
      <c r="R467" s="670"/>
      <c r="S467" s="671"/>
      <c r="T467" s="137">
        <v>42849</v>
      </c>
      <c r="U467" s="133" t="s">
        <v>1002</v>
      </c>
      <c r="W467" s="666"/>
    </row>
    <row r="468" spans="1:23" s="76" customFormat="1" ht="14.25" customHeight="1">
      <c r="A468" s="666" t="s">
        <v>39</v>
      </c>
      <c r="B468" s="666" t="s">
        <v>40</v>
      </c>
      <c r="C468" s="666" t="s">
        <v>1012</v>
      </c>
      <c r="D468" s="760" t="s">
        <v>1694</v>
      </c>
      <c r="E468" s="76" t="s">
        <v>1492</v>
      </c>
      <c r="F468" s="666" t="s">
        <v>1735</v>
      </c>
      <c r="G468" s="76" t="s">
        <v>1736</v>
      </c>
      <c r="I468" s="76">
        <v>0</v>
      </c>
      <c r="J468" s="76" t="s">
        <v>45</v>
      </c>
      <c r="K468" s="76" t="s">
        <v>45</v>
      </c>
      <c r="L468" s="76" t="s">
        <v>774</v>
      </c>
      <c r="M468" s="76" t="s">
        <v>46</v>
      </c>
      <c r="N468" s="76">
        <v>24.181640000000002</v>
      </c>
      <c r="O468" s="76">
        <v>97.710989999999995</v>
      </c>
      <c r="P468" s="76" t="s">
        <v>775</v>
      </c>
      <c r="Q468" s="76" t="s">
        <v>794</v>
      </c>
      <c r="R468" s="670"/>
      <c r="S468" s="671"/>
      <c r="T468" s="137"/>
      <c r="U468" s="133" t="s">
        <v>1013</v>
      </c>
      <c r="V468" s="76" t="s">
        <v>1012</v>
      </c>
      <c r="W468" s="666" t="s">
        <v>2229</v>
      </c>
    </row>
    <row r="469" spans="1:23" s="76" customFormat="1" ht="14.25" customHeight="1">
      <c r="A469" s="666" t="s">
        <v>39</v>
      </c>
      <c r="B469" s="666" t="s">
        <v>40</v>
      </c>
      <c r="C469" s="666" t="s">
        <v>1014</v>
      </c>
      <c r="D469" s="760" t="s">
        <v>1694</v>
      </c>
      <c r="E469" s="76" t="s">
        <v>1493</v>
      </c>
      <c r="F469" s="76" t="s">
        <v>1735</v>
      </c>
      <c r="G469" s="76" t="s">
        <v>1736</v>
      </c>
      <c r="I469" s="76">
        <v>0</v>
      </c>
      <c r="J469" s="76" t="s">
        <v>45</v>
      </c>
      <c r="K469" s="76" t="s">
        <v>45</v>
      </c>
      <c r="L469" s="76" t="s">
        <v>774</v>
      </c>
      <c r="M469" s="76" t="s">
        <v>46</v>
      </c>
      <c r="N469" s="76">
        <v>24.181640000000002</v>
      </c>
      <c r="O469" s="76">
        <v>97.710989999999995</v>
      </c>
      <c r="P469" s="76" t="s">
        <v>775</v>
      </c>
      <c r="R469" s="670"/>
      <c r="S469" s="671"/>
      <c r="T469" s="137"/>
      <c r="U469" s="133"/>
      <c r="V469" s="76" t="s">
        <v>1014</v>
      </c>
      <c r="W469" s="666" t="s">
        <v>2229</v>
      </c>
    </row>
    <row r="470" spans="1:23" s="76" customFormat="1" ht="14.25" customHeight="1">
      <c r="A470" s="666" t="s">
        <v>39</v>
      </c>
      <c r="B470" s="666" t="s">
        <v>40</v>
      </c>
      <c r="C470" s="666" t="s">
        <v>306</v>
      </c>
      <c r="D470" s="760" t="s">
        <v>3047</v>
      </c>
      <c r="E470" s="76" t="s">
        <v>1469</v>
      </c>
      <c r="F470" s="76" t="s">
        <v>1715</v>
      </c>
      <c r="G470" s="76" t="s">
        <v>1715</v>
      </c>
      <c r="H470" s="76" t="s">
        <v>43</v>
      </c>
      <c r="I470" s="76" t="s">
        <v>149</v>
      </c>
      <c r="J470" s="76" t="s">
        <v>45</v>
      </c>
      <c r="K470" s="76" t="s">
        <v>45</v>
      </c>
      <c r="L470" s="76" t="s">
        <v>45</v>
      </c>
      <c r="M470" s="76" t="s">
        <v>46</v>
      </c>
      <c r="N470" s="76">
        <v>23.83013</v>
      </c>
      <c r="O470" s="76">
        <v>97.589979999999997</v>
      </c>
      <c r="P470" s="76" t="s">
        <v>775</v>
      </c>
      <c r="Q470" s="666" t="s">
        <v>794</v>
      </c>
      <c r="R470" s="670">
        <v>127</v>
      </c>
      <c r="S470" s="670">
        <v>653</v>
      </c>
      <c r="T470" s="690"/>
      <c r="U470" s="133"/>
      <c r="V470" s="76" t="s">
        <v>306</v>
      </c>
      <c r="W470" s="666"/>
    </row>
    <row r="471" spans="1:23" s="76" customFormat="1" ht="14.25" customHeight="1">
      <c r="A471" s="666" t="s">
        <v>39</v>
      </c>
      <c r="B471" s="666" t="s">
        <v>40</v>
      </c>
      <c r="C471" s="666" t="s">
        <v>1128</v>
      </c>
      <c r="D471" s="760" t="s">
        <v>1693</v>
      </c>
      <c r="J471" s="76" t="s">
        <v>45</v>
      </c>
      <c r="K471" s="76" t="s">
        <v>45</v>
      </c>
      <c r="L471" s="76" t="s">
        <v>774</v>
      </c>
      <c r="M471" s="76" t="s">
        <v>46</v>
      </c>
      <c r="P471" s="76" t="s">
        <v>775</v>
      </c>
      <c r="R471" s="670"/>
      <c r="S471" s="671"/>
      <c r="T471" s="137"/>
      <c r="U471" s="133"/>
      <c r="W471" s="666"/>
    </row>
    <row r="472" spans="1:23" s="76" customFormat="1" ht="14.25" customHeight="1">
      <c r="A472" s="666" t="s">
        <v>39</v>
      </c>
      <c r="B472" s="666" t="s">
        <v>40</v>
      </c>
      <c r="C472" s="666" t="s">
        <v>308</v>
      </c>
      <c r="D472" s="760" t="s">
        <v>3047</v>
      </c>
      <c r="E472" s="76" t="s">
        <v>1468</v>
      </c>
      <c r="F472" s="76" t="s">
        <v>1715</v>
      </c>
      <c r="G472" s="76" t="s">
        <v>1715</v>
      </c>
      <c r="H472" s="76" t="s">
        <v>43</v>
      </c>
      <c r="I472" s="76" t="s">
        <v>149</v>
      </c>
      <c r="J472" s="76" t="s">
        <v>45</v>
      </c>
      <c r="K472" s="76" t="s">
        <v>45</v>
      </c>
      <c r="L472" s="76" t="s">
        <v>45</v>
      </c>
      <c r="M472" s="76" t="s">
        <v>46</v>
      </c>
      <c r="N472" s="76">
        <v>23.829599000000002</v>
      </c>
      <c r="O472" s="76">
        <v>97.590767</v>
      </c>
      <c r="P472" s="76" t="s">
        <v>775</v>
      </c>
      <c r="Q472" s="666" t="s">
        <v>794</v>
      </c>
      <c r="R472" s="670">
        <v>156</v>
      </c>
      <c r="S472" s="670">
        <v>650</v>
      </c>
      <c r="T472" s="690"/>
      <c r="U472" s="133"/>
      <c r="V472" s="76" t="s">
        <v>992</v>
      </c>
    </row>
    <row r="473" spans="1:23" s="76" customFormat="1" ht="14.25" customHeight="1">
      <c r="A473" s="666" t="s">
        <v>39</v>
      </c>
      <c r="B473" s="666" t="s">
        <v>40</v>
      </c>
      <c r="C473" s="666" t="s">
        <v>309</v>
      </c>
      <c r="D473" s="760" t="s">
        <v>3047</v>
      </c>
      <c r="E473" s="76" t="s">
        <v>1471</v>
      </c>
      <c r="F473" s="76" t="s">
        <v>1715</v>
      </c>
      <c r="G473" s="76" t="s">
        <v>1715</v>
      </c>
      <c r="H473" s="76" t="s">
        <v>43</v>
      </c>
      <c r="I473" s="76" t="s">
        <v>44</v>
      </c>
      <c r="J473" s="76" t="s">
        <v>45</v>
      </c>
      <c r="K473" s="76" t="s">
        <v>45</v>
      </c>
      <c r="L473" s="76" t="s">
        <v>45</v>
      </c>
      <c r="M473" s="76" t="s">
        <v>46</v>
      </c>
      <c r="N473" s="76">
        <v>23.835319999999999</v>
      </c>
      <c r="O473" s="76">
        <v>97.578490000000002</v>
      </c>
      <c r="P473" s="76" t="s">
        <v>775</v>
      </c>
      <c r="Q473" s="76" t="s">
        <v>794</v>
      </c>
      <c r="R473" s="670">
        <v>437</v>
      </c>
      <c r="S473" s="670">
        <v>2316</v>
      </c>
      <c r="T473" s="137"/>
      <c r="U473" s="133"/>
      <c r="V473" s="76" t="s">
        <v>309</v>
      </c>
      <c r="W473" s="666"/>
    </row>
    <row r="474" spans="1:23" s="76" customFormat="1" ht="14.25" customHeight="1">
      <c r="A474" s="666" t="s">
        <v>39</v>
      </c>
      <c r="B474" s="666" t="s">
        <v>40</v>
      </c>
      <c r="C474" s="666" t="s">
        <v>310</v>
      </c>
      <c r="D474" s="760" t="s">
        <v>3047</v>
      </c>
      <c r="E474" s="76" t="s">
        <v>1470</v>
      </c>
      <c r="F474" s="76" t="s">
        <v>1715</v>
      </c>
      <c r="G474" s="76" t="s">
        <v>1715</v>
      </c>
      <c r="H474" s="76" t="s">
        <v>43</v>
      </c>
      <c r="I474" s="76" t="s">
        <v>44</v>
      </c>
      <c r="J474" s="76" t="s">
        <v>45</v>
      </c>
      <c r="K474" s="76" t="s">
        <v>45</v>
      </c>
      <c r="L474" s="76" t="s">
        <v>45</v>
      </c>
      <c r="M474" s="76" t="s">
        <v>46</v>
      </c>
      <c r="N474" s="76">
        <v>23.833477999999999</v>
      </c>
      <c r="O474" s="76">
        <v>97.578367</v>
      </c>
      <c r="P474" s="76" t="s">
        <v>775</v>
      </c>
      <c r="Q474" s="76" t="s">
        <v>794</v>
      </c>
      <c r="R474" s="670">
        <v>138</v>
      </c>
      <c r="S474" s="670">
        <v>732</v>
      </c>
      <c r="T474" s="137"/>
      <c r="U474" s="133"/>
      <c r="V474" s="76" t="s">
        <v>993</v>
      </c>
      <c r="W474" s="666"/>
    </row>
    <row r="475" spans="1:23" s="76" customFormat="1" ht="14.25" customHeight="1">
      <c r="A475" s="666" t="s">
        <v>39</v>
      </c>
      <c r="B475" s="666" t="s">
        <v>40</v>
      </c>
      <c r="C475" s="666" t="s">
        <v>1129</v>
      </c>
      <c r="D475" s="760" t="s">
        <v>1693</v>
      </c>
      <c r="J475" s="76" t="s">
        <v>1481</v>
      </c>
      <c r="K475" s="76" t="s">
        <v>45</v>
      </c>
      <c r="L475" s="76" t="s">
        <v>1113</v>
      </c>
      <c r="M475" s="76" t="s">
        <v>46</v>
      </c>
      <c r="P475" s="76" t="s">
        <v>775</v>
      </c>
      <c r="Q475" s="76" t="s">
        <v>794</v>
      </c>
      <c r="R475" s="670"/>
      <c r="S475" s="671"/>
      <c r="T475" s="137"/>
      <c r="U475" s="133" t="s">
        <v>1109</v>
      </c>
      <c r="V475" s="76" t="s">
        <v>1129</v>
      </c>
      <c r="W475" s="666"/>
    </row>
    <row r="476" spans="1:23" s="76" customFormat="1" ht="14.25" customHeight="1">
      <c r="A476" s="666" t="s">
        <v>39</v>
      </c>
      <c r="B476" s="666" t="s">
        <v>40</v>
      </c>
      <c r="C476" s="666" t="s">
        <v>991</v>
      </c>
      <c r="D476" s="760" t="s">
        <v>3047</v>
      </c>
      <c r="E476" s="76" t="s">
        <v>1465</v>
      </c>
      <c r="F476" s="76" t="s">
        <v>1715</v>
      </c>
      <c r="G476" s="76" t="s">
        <v>1715</v>
      </c>
      <c r="I476" s="76" t="s">
        <v>2205</v>
      </c>
      <c r="J476" s="76" t="s">
        <v>45</v>
      </c>
      <c r="K476" s="76" t="s">
        <v>45</v>
      </c>
      <c r="L476" s="76" t="s">
        <v>786</v>
      </c>
      <c r="M476" s="76" t="s">
        <v>46</v>
      </c>
      <c r="N476" s="76">
        <v>23.827870999999998</v>
      </c>
      <c r="O476" s="76">
        <v>97.588291999999996</v>
      </c>
      <c r="P476" s="76" t="s">
        <v>787</v>
      </c>
      <c r="Q476" s="76" t="s">
        <v>776</v>
      </c>
      <c r="R476" s="670">
        <v>175</v>
      </c>
      <c r="S476" s="670">
        <v>834</v>
      </c>
      <c r="T476" s="137"/>
      <c r="U476" s="133"/>
      <c r="V476" s="76" t="s">
        <v>991</v>
      </c>
      <c r="W476" s="666"/>
    </row>
    <row r="477" spans="1:23" s="76" customFormat="1" ht="14.25" customHeight="1">
      <c r="A477" s="666" t="s">
        <v>39</v>
      </c>
      <c r="B477" s="666" t="s">
        <v>40</v>
      </c>
      <c r="C477" s="666" t="s">
        <v>201</v>
      </c>
      <c r="D477" s="760" t="s">
        <v>3047</v>
      </c>
      <c r="E477" s="76" t="s">
        <v>1491</v>
      </c>
      <c r="F477" s="76" t="s">
        <v>1810</v>
      </c>
      <c r="G477" s="76" t="s">
        <v>1811</v>
      </c>
      <c r="H477" s="76" t="s">
        <v>43</v>
      </c>
      <c r="I477" s="76" t="s">
        <v>149</v>
      </c>
      <c r="J477" s="76" t="s">
        <v>45</v>
      </c>
      <c r="K477" s="76" t="s">
        <v>45</v>
      </c>
      <c r="L477" s="76" t="s">
        <v>45</v>
      </c>
      <c r="M477" s="76" t="s">
        <v>46</v>
      </c>
      <c r="N477" s="76">
        <v>24.129059999999999</v>
      </c>
      <c r="O477" s="76">
        <v>97.291820000000001</v>
      </c>
      <c r="P477" s="76" t="s">
        <v>775</v>
      </c>
      <c r="Q477" s="76" t="s">
        <v>794</v>
      </c>
      <c r="R477" s="670">
        <v>190</v>
      </c>
      <c r="S477" s="670">
        <v>844</v>
      </c>
      <c r="T477" s="137"/>
      <c r="U477" s="133"/>
      <c r="V477" s="76" t="s">
        <v>201</v>
      </c>
    </row>
    <row r="478" spans="1:23" s="76" customFormat="1" ht="14.25" customHeight="1">
      <c r="A478" s="666" t="s">
        <v>39</v>
      </c>
      <c r="B478" s="666" t="s">
        <v>40</v>
      </c>
      <c r="C478" s="666" t="s">
        <v>1009</v>
      </c>
      <c r="D478" s="760" t="s">
        <v>3047</v>
      </c>
      <c r="E478" s="76" t="s">
        <v>1490</v>
      </c>
      <c r="I478" s="76" t="s">
        <v>2205</v>
      </c>
      <c r="J478" s="76" t="s">
        <v>45</v>
      </c>
      <c r="K478" s="76" t="s">
        <v>45</v>
      </c>
      <c r="L478" s="76" t="s">
        <v>786</v>
      </c>
      <c r="M478" s="76" t="s">
        <v>46</v>
      </c>
      <c r="N478" s="76">
        <v>24.118618999999999</v>
      </c>
      <c r="O478" s="76">
        <v>97.298055000000005</v>
      </c>
      <c r="P478" s="76" t="s">
        <v>787</v>
      </c>
      <c r="Q478" s="76" t="s">
        <v>776</v>
      </c>
      <c r="R478" s="670">
        <v>67</v>
      </c>
      <c r="S478" s="670">
        <v>324</v>
      </c>
      <c r="T478" s="137"/>
      <c r="U478" s="133" t="s">
        <v>1010</v>
      </c>
      <c r="V478" s="76" t="s">
        <v>1011</v>
      </c>
      <c r="W478" s="666"/>
    </row>
    <row r="479" spans="1:23" s="76" customFormat="1" ht="14.25" customHeight="1">
      <c r="A479" s="666" t="s">
        <v>39</v>
      </c>
      <c r="B479" s="666" t="s">
        <v>40</v>
      </c>
      <c r="C479" s="666" t="s">
        <v>1015</v>
      </c>
      <c r="D479" s="760" t="s">
        <v>1694</v>
      </c>
      <c r="E479" s="76" t="s">
        <v>1500</v>
      </c>
      <c r="F479" s="76" t="s">
        <v>1737</v>
      </c>
      <c r="G479" s="76">
        <v>0</v>
      </c>
      <c r="I479" s="76">
        <v>0</v>
      </c>
      <c r="J479" s="76" t="s">
        <v>45</v>
      </c>
      <c r="K479" s="76" t="s">
        <v>45</v>
      </c>
      <c r="L479" s="76" t="s">
        <v>774</v>
      </c>
      <c r="M479" s="76" t="s">
        <v>792</v>
      </c>
      <c r="N479" s="76">
        <v>24.20645</v>
      </c>
      <c r="O479" s="76">
        <v>96.808850000000007</v>
      </c>
      <c r="P479" s="76" t="s">
        <v>775</v>
      </c>
      <c r="R479" s="670"/>
      <c r="S479" s="671"/>
      <c r="T479" s="137"/>
      <c r="U479" s="133"/>
      <c r="V479" s="76" t="s">
        <v>1015</v>
      </c>
      <c r="W479" s="76" t="s">
        <v>2207</v>
      </c>
    </row>
    <row r="480" spans="1:23" s="76" customFormat="1" ht="14.25" customHeight="1">
      <c r="A480" s="666" t="s">
        <v>39</v>
      </c>
      <c r="B480" s="666" t="s">
        <v>40</v>
      </c>
      <c r="C480" s="76" t="s">
        <v>791</v>
      </c>
      <c r="D480" s="760" t="s">
        <v>1694</v>
      </c>
      <c r="E480" s="76" t="s">
        <v>1354</v>
      </c>
      <c r="F480" s="76" t="s">
        <v>1715</v>
      </c>
      <c r="G480" s="76">
        <v>0</v>
      </c>
      <c r="I480" s="76">
        <v>0</v>
      </c>
      <c r="J480" s="76" t="s">
        <v>45</v>
      </c>
      <c r="K480" s="76" t="s">
        <v>45</v>
      </c>
      <c r="L480" s="76" t="s">
        <v>774</v>
      </c>
      <c r="M480" s="76" t="s">
        <v>792</v>
      </c>
      <c r="P480" s="76" t="s">
        <v>775</v>
      </c>
      <c r="R480" s="670"/>
      <c r="S480" s="671"/>
      <c r="T480" s="137"/>
      <c r="U480" s="133"/>
      <c r="V480" s="76" t="s">
        <v>791</v>
      </c>
      <c r="W480" s="76" t="s">
        <v>2230</v>
      </c>
    </row>
    <row r="481" spans="1:23" s="76" customFormat="1" ht="14.25" customHeight="1">
      <c r="A481" s="666" t="s">
        <v>39</v>
      </c>
      <c r="B481" s="666" t="s">
        <v>40</v>
      </c>
      <c r="C481" s="76" t="s">
        <v>989</v>
      </c>
      <c r="D481" s="760" t="s">
        <v>1694</v>
      </c>
      <c r="E481" s="76" t="s">
        <v>1462</v>
      </c>
      <c r="F481" s="76" t="s">
        <v>1717</v>
      </c>
      <c r="G481" s="76">
        <v>0</v>
      </c>
      <c r="I481" s="76">
        <v>0</v>
      </c>
      <c r="J481" s="76" t="s">
        <v>45</v>
      </c>
      <c r="K481" s="76" t="s">
        <v>45</v>
      </c>
      <c r="L481" s="76" t="s">
        <v>774</v>
      </c>
      <c r="M481" s="76" t="s">
        <v>792</v>
      </c>
      <c r="N481" s="76">
        <v>23.75817</v>
      </c>
      <c r="O481" s="76">
        <v>97.132339999999999</v>
      </c>
      <c r="P481" s="76" t="s">
        <v>775</v>
      </c>
      <c r="R481" s="131"/>
      <c r="S481" s="671"/>
      <c r="T481" s="137"/>
      <c r="U481" s="133"/>
      <c r="V481" s="76" t="s">
        <v>989</v>
      </c>
      <c r="W481" s="666" t="s">
        <v>2207</v>
      </c>
    </row>
    <row r="482" spans="1:23" s="76" customFormat="1" ht="14.25" customHeight="1">
      <c r="A482" s="666" t="s">
        <v>39</v>
      </c>
      <c r="B482" s="666" t="s">
        <v>40</v>
      </c>
      <c r="C482" s="666" t="s">
        <v>795</v>
      </c>
      <c r="D482" s="760" t="s">
        <v>1694</v>
      </c>
      <c r="E482" s="76" t="s">
        <v>1357</v>
      </c>
      <c r="F482" s="76" t="s">
        <v>1717</v>
      </c>
      <c r="G482" s="76">
        <v>0</v>
      </c>
      <c r="I482" s="76">
        <v>0</v>
      </c>
      <c r="J482" s="76" t="s">
        <v>45</v>
      </c>
      <c r="K482" s="76" t="s">
        <v>45</v>
      </c>
      <c r="L482" s="76" t="s">
        <v>774</v>
      </c>
      <c r="M482" s="76" t="s">
        <v>792</v>
      </c>
      <c r="P482" s="76" t="s">
        <v>775</v>
      </c>
      <c r="R482" s="670"/>
      <c r="S482" s="671"/>
      <c r="T482" s="137"/>
      <c r="U482" s="133"/>
      <c r="V482" s="76" t="s">
        <v>795</v>
      </c>
      <c r="W482" s="666" t="s">
        <v>2207</v>
      </c>
    </row>
    <row r="483" spans="1:23" s="76" customFormat="1" ht="14.25" customHeight="1">
      <c r="A483" s="666" t="s">
        <v>39</v>
      </c>
      <c r="B483" s="666" t="s">
        <v>40</v>
      </c>
      <c r="C483" s="76" t="s">
        <v>990</v>
      </c>
      <c r="D483" s="760" t="s">
        <v>1694</v>
      </c>
      <c r="E483" s="76" t="s">
        <v>1463</v>
      </c>
      <c r="F483" s="76" t="s">
        <v>1717</v>
      </c>
      <c r="G483" s="76">
        <v>0</v>
      </c>
      <c r="I483" s="76">
        <v>0</v>
      </c>
      <c r="J483" s="76" t="s">
        <v>45</v>
      </c>
      <c r="K483" s="76" t="s">
        <v>45</v>
      </c>
      <c r="L483" s="76" t="s">
        <v>774</v>
      </c>
      <c r="M483" s="76" t="s">
        <v>792</v>
      </c>
      <c r="N483" s="76">
        <v>23.75817</v>
      </c>
      <c r="O483" s="76">
        <v>97.132339999999999</v>
      </c>
      <c r="P483" s="76" t="s">
        <v>775</v>
      </c>
      <c r="R483" s="131"/>
      <c r="S483" s="671"/>
      <c r="T483" s="137"/>
      <c r="U483" s="133"/>
      <c r="V483" s="76" t="s">
        <v>990</v>
      </c>
      <c r="W483" s="76" t="s">
        <v>2231</v>
      </c>
    </row>
    <row r="484" spans="1:23" s="76" customFormat="1" ht="14.25" customHeight="1">
      <c r="A484" s="666" t="s">
        <v>39</v>
      </c>
      <c r="B484" s="668" t="s">
        <v>40</v>
      </c>
      <c r="C484" s="668" t="s">
        <v>803</v>
      </c>
      <c r="D484" s="760" t="s">
        <v>1694</v>
      </c>
      <c r="E484" s="666" t="s">
        <v>1362</v>
      </c>
      <c r="F484" s="666">
        <v>0</v>
      </c>
      <c r="G484" s="666">
        <v>0</v>
      </c>
      <c r="H484" s="666"/>
      <c r="I484" s="666">
        <v>0</v>
      </c>
      <c r="J484" s="666" t="s">
        <v>45</v>
      </c>
      <c r="K484" s="666" t="s">
        <v>45</v>
      </c>
      <c r="L484" s="666" t="s">
        <v>774</v>
      </c>
      <c r="M484" s="666" t="s">
        <v>46</v>
      </c>
      <c r="N484" s="666"/>
      <c r="O484" s="666"/>
      <c r="P484" s="76" t="s">
        <v>775</v>
      </c>
      <c r="Q484" s="666"/>
      <c r="R484" s="670"/>
      <c r="S484" s="671"/>
      <c r="T484" s="690"/>
      <c r="U484" s="672"/>
      <c r="V484" s="666"/>
      <c r="W484" s="76" t="s">
        <v>2232</v>
      </c>
    </row>
    <row r="485" spans="1:23" s="76" customFormat="1" ht="14.25" customHeight="1">
      <c r="A485" s="666" t="s">
        <v>39</v>
      </c>
      <c r="B485" s="668" t="s">
        <v>40</v>
      </c>
      <c r="C485" s="668" t="s">
        <v>147</v>
      </c>
      <c r="D485" s="760" t="s">
        <v>1693</v>
      </c>
      <c r="J485" s="76" t="s">
        <v>1481</v>
      </c>
      <c r="K485" s="76" t="s">
        <v>45</v>
      </c>
      <c r="L485" s="76" t="s">
        <v>45</v>
      </c>
      <c r="M485" s="76" t="s">
        <v>46</v>
      </c>
      <c r="P485" s="76" t="s">
        <v>775</v>
      </c>
      <c r="Q485" s="76" t="s">
        <v>794</v>
      </c>
      <c r="R485" s="670"/>
      <c r="S485" s="132"/>
      <c r="T485" s="137">
        <v>42747</v>
      </c>
      <c r="U485" s="133" t="s">
        <v>1109</v>
      </c>
    </row>
    <row r="486" spans="1:23" s="76" customFormat="1" ht="14.25" customHeight="1">
      <c r="A486" s="675" t="s">
        <v>39</v>
      </c>
      <c r="B486" s="674" t="s">
        <v>160</v>
      </c>
      <c r="C486" s="668" t="s">
        <v>2017</v>
      </c>
      <c r="D486" s="760" t="s">
        <v>3047</v>
      </c>
      <c r="E486" s="76" t="s">
        <v>2023</v>
      </c>
      <c r="I486" s="76" t="s">
        <v>2205</v>
      </c>
      <c r="J486" s="76" t="s">
        <v>45</v>
      </c>
      <c r="K486" s="76" t="s">
        <v>45</v>
      </c>
      <c r="L486" s="76" t="s">
        <v>790</v>
      </c>
      <c r="M486" s="76" t="s">
        <v>46</v>
      </c>
      <c r="N486" s="666"/>
      <c r="O486" s="666"/>
      <c r="P486" s="668" t="s">
        <v>775</v>
      </c>
      <c r="Q486" s="76" t="s">
        <v>2001</v>
      </c>
      <c r="R486" s="131">
        <v>6</v>
      </c>
      <c r="S486" s="670">
        <v>32</v>
      </c>
      <c r="T486" s="137">
        <v>43276</v>
      </c>
      <c r="U486" s="133" t="s">
        <v>2052</v>
      </c>
      <c r="W486" s="659" t="s">
        <v>2342</v>
      </c>
    </row>
    <row r="487" spans="1:23" s="76" customFormat="1" ht="14.25" customHeight="1">
      <c r="A487" s="666" t="s">
        <v>39</v>
      </c>
      <c r="B487" s="666" t="s">
        <v>160</v>
      </c>
      <c r="C487" s="666" t="s">
        <v>161</v>
      </c>
      <c r="D487" s="760" t="s">
        <v>3047</v>
      </c>
      <c r="E487" s="666" t="s">
        <v>1555</v>
      </c>
      <c r="F487" s="666" t="s">
        <v>1770</v>
      </c>
      <c r="G487" s="666" t="s">
        <v>1845</v>
      </c>
      <c r="H487" s="666" t="s">
        <v>43</v>
      </c>
      <c r="I487" s="666" t="s">
        <v>149</v>
      </c>
      <c r="J487" s="666" t="s">
        <v>45</v>
      </c>
      <c r="K487" s="666" t="s">
        <v>45</v>
      </c>
      <c r="L487" s="666" t="s">
        <v>45</v>
      </c>
      <c r="M487" s="666" t="s">
        <v>46</v>
      </c>
      <c r="N487" s="666">
        <v>25.305669999999999</v>
      </c>
      <c r="O487" s="666">
        <v>96.922619999999995</v>
      </c>
      <c r="P487" s="76" t="s">
        <v>775</v>
      </c>
      <c r="Q487" s="666" t="s">
        <v>794</v>
      </c>
      <c r="R487" s="670">
        <v>13</v>
      </c>
      <c r="S487" s="670">
        <v>72</v>
      </c>
      <c r="T487" s="690"/>
      <c r="U487" s="672"/>
      <c r="V487" s="666" t="s">
        <v>161</v>
      </c>
      <c r="W487" s="666"/>
    </row>
    <row r="488" spans="1:23" s="76" customFormat="1" ht="14.25" customHeight="1">
      <c r="A488" s="675" t="s">
        <v>39</v>
      </c>
      <c r="B488" s="674" t="s">
        <v>160</v>
      </c>
      <c r="C488" s="675" t="s">
        <v>2049</v>
      </c>
      <c r="D488" s="669"/>
      <c r="E488" s="666"/>
      <c r="F488" s="666"/>
      <c r="G488" s="666"/>
      <c r="H488" s="666"/>
      <c r="I488" s="666"/>
      <c r="J488" s="666" t="s">
        <v>1481</v>
      </c>
      <c r="K488" s="668" t="s">
        <v>45</v>
      </c>
      <c r="L488" s="668" t="s">
        <v>790</v>
      </c>
      <c r="M488" s="666"/>
      <c r="N488" s="666"/>
      <c r="O488" s="666"/>
      <c r="P488" s="76" t="s">
        <v>2048</v>
      </c>
      <c r="Q488" s="666" t="s">
        <v>2001</v>
      </c>
      <c r="R488" s="678"/>
      <c r="S488" s="671"/>
      <c r="T488" s="690">
        <v>43285</v>
      </c>
      <c r="U488" s="672" t="s">
        <v>2054</v>
      </c>
      <c r="V488" s="666"/>
      <c r="W488" s="666"/>
    </row>
    <row r="489" spans="1:23" s="76" customFormat="1" ht="14.25" customHeight="1">
      <c r="A489" s="675" t="s">
        <v>39</v>
      </c>
      <c r="B489" s="674" t="s">
        <v>160</v>
      </c>
      <c r="C489" s="668" t="s">
        <v>2016</v>
      </c>
      <c r="D489" s="760" t="s">
        <v>3047</v>
      </c>
      <c r="E489" s="76" t="s">
        <v>2021</v>
      </c>
      <c r="I489" s="76" t="s">
        <v>1346</v>
      </c>
      <c r="J489" s="76" t="s">
        <v>45</v>
      </c>
      <c r="K489" s="76" t="s">
        <v>45</v>
      </c>
      <c r="L489" s="668" t="s">
        <v>45</v>
      </c>
      <c r="M489" s="76" t="s">
        <v>46</v>
      </c>
      <c r="N489" s="76">
        <v>97.013800000000003</v>
      </c>
      <c r="O489" s="76">
        <v>25.383465999999999</v>
      </c>
      <c r="P489" s="668" t="s">
        <v>775</v>
      </c>
      <c r="Q489" s="76" t="s">
        <v>2001</v>
      </c>
      <c r="R489" s="670">
        <v>79</v>
      </c>
      <c r="S489" s="670">
        <v>398</v>
      </c>
      <c r="T489" s="137">
        <v>43276</v>
      </c>
      <c r="U489" s="133" t="s">
        <v>2298</v>
      </c>
      <c r="W489" s="659" t="s">
        <v>2343</v>
      </c>
    </row>
    <row r="490" spans="1:23" s="76" customFormat="1" ht="14.25" customHeight="1">
      <c r="A490" s="675" t="s">
        <v>39</v>
      </c>
      <c r="B490" s="674" t="s">
        <v>160</v>
      </c>
      <c r="C490" s="668" t="s">
        <v>2004</v>
      </c>
      <c r="D490" s="669"/>
      <c r="J490" s="76" t="s">
        <v>1481</v>
      </c>
      <c r="K490" s="76" t="s">
        <v>45</v>
      </c>
      <c r="L490" s="76" t="s">
        <v>45</v>
      </c>
      <c r="M490" s="76" t="s">
        <v>46</v>
      </c>
      <c r="P490" s="76" t="s">
        <v>775</v>
      </c>
      <c r="Q490" s="76" t="s">
        <v>2001</v>
      </c>
      <c r="R490" s="678"/>
      <c r="S490" s="132"/>
      <c r="T490" s="137">
        <v>43270</v>
      </c>
      <c r="U490" s="133"/>
      <c r="W490" s="666"/>
    </row>
    <row r="491" spans="1:23" s="76" customFormat="1" ht="14.25" customHeight="1">
      <c r="A491" s="675" t="s">
        <v>39</v>
      </c>
      <c r="B491" s="674" t="s">
        <v>160</v>
      </c>
      <c r="C491" s="668" t="s">
        <v>2003</v>
      </c>
      <c r="D491" s="669"/>
      <c r="J491" s="76" t="s">
        <v>1481</v>
      </c>
      <c r="K491" s="666" t="s">
        <v>45</v>
      </c>
      <c r="L491" s="666" t="s">
        <v>45</v>
      </c>
      <c r="M491" s="76" t="s">
        <v>46</v>
      </c>
      <c r="P491" s="76" t="s">
        <v>775</v>
      </c>
      <c r="Q491" s="76" t="s">
        <v>2001</v>
      </c>
      <c r="R491" s="678"/>
      <c r="S491" s="671"/>
      <c r="T491" s="137">
        <v>43270</v>
      </c>
      <c r="U491" s="133"/>
      <c r="W491" s="666"/>
    </row>
    <row r="492" spans="1:23" s="76" customFormat="1" ht="14.25" customHeight="1">
      <c r="A492" s="666" t="s">
        <v>39</v>
      </c>
      <c r="B492" s="666" t="s">
        <v>160</v>
      </c>
      <c r="C492" s="666" t="s">
        <v>2199</v>
      </c>
      <c r="D492" s="760" t="s">
        <v>3047</v>
      </c>
      <c r="E492" s="76" t="s">
        <v>1551</v>
      </c>
      <c r="H492" s="76" t="s">
        <v>43</v>
      </c>
      <c r="I492" s="76" t="s">
        <v>149</v>
      </c>
      <c r="J492" s="76" t="s">
        <v>45</v>
      </c>
      <c r="K492" s="76" t="s">
        <v>45</v>
      </c>
      <c r="L492" s="76" t="s">
        <v>45</v>
      </c>
      <c r="M492" s="76" t="s">
        <v>46</v>
      </c>
      <c r="N492" s="76">
        <v>25.296579999999999</v>
      </c>
      <c r="O492" s="76">
        <v>96.942279999999997</v>
      </c>
      <c r="P492" s="76" t="s">
        <v>775</v>
      </c>
      <c r="Q492" s="76" t="s">
        <v>794</v>
      </c>
      <c r="R492" s="670">
        <v>15</v>
      </c>
      <c r="S492" s="670">
        <v>74</v>
      </c>
      <c r="T492" s="137"/>
      <c r="U492" s="133"/>
      <c r="V492" s="76" t="s">
        <v>162</v>
      </c>
      <c r="W492" s="666"/>
    </row>
    <row r="493" spans="1:23" s="76" customFormat="1" ht="14.25" customHeight="1">
      <c r="A493" s="666" t="s">
        <v>39</v>
      </c>
      <c r="B493" s="666" t="s">
        <v>160</v>
      </c>
      <c r="C493" s="666" t="s">
        <v>248</v>
      </c>
      <c r="D493" s="760" t="s">
        <v>1771</v>
      </c>
      <c r="E493" s="76" t="s">
        <v>1552</v>
      </c>
      <c r="F493" s="76" t="s">
        <v>1842</v>
      </c>
      <c r="G493" s="76" t="s">
        <v>1843</v>
      </c>
      <c r="I493" s="666">
        <v>0</v>
      </c>
      <c r="J493" s="76" t="s">
        <v>45</v>
      </c>
      <c r="K493" s="76" t="s">
        <v>45</v>
      </c>
      <c r="L493" s="76" t="s">
        <v>774</v>
      </c>
      <c r="M493" s="76" t="s">
        <v>46</v>
      </c>
      <c r="N493" s="76">
        <v>25.299679999999999</v>
      </c>
      <c r="O493" s="76">
        <v>96.942279999999997</v>
      </c>
      <c r="P493" s="76" t="s">
        <v>775</v>
      </c>
      <c r="Q493" s="76" t="s">
        <v>794</v>
      </c>
      <c r="R493" s="131"/>
      <c r="S493" s="671"/>
      <c r="T493" s="137">
        <v>42836</v>
      </c>
      <c r="U493" s="133" t="s">
        <v>3058</v>
      </c>
      <c r="V493" s="76" t="s">
        <v>248</v>
      </c>
      <c r="W493" s="659" t="s">
        <v>2233</v>
      </c>
    </row>
    <row r="494" spans="1:23" s="76" customFormat="1" ht="14.25" customHeight="1">
      <c r="A494" s="675" t="s">
        <v>39</v>
      </c>
      <c r="B494" s="674" t="s">
        <v>160</v>
      </c>
      <c r="C494" s="668" t="s">
        <v>2015</v>
      </c>
      <c r="D494" s="760" t="s">
        <v>3047</v>
      </c>
      <c r="E494" s="76" t="s">
        <v>2020</v>
      </c>
      <c r="I494" s="76" t="s">
        <v>1346</v>
      </c>
      <c r="J494" s="76" t="s">
        <v>45</v>
      </c>
      <c r="K494" s="666" t="s">
        <v>45</v>
      </c>
      <c r="L494" s="668" t="s">
        <v>45</v>
      </c>
      <c r="M494" s="76" t="s">
        <v>46</v>
      </c>
      <c r="N494" s="76">
        <v>97.010629910000006</v>
      </c>
      <c r="O494" s="76">
        <v>25.37033053</v>
      </c>
      <c r="P494" s="668" t="s">
        <v>775</v>
      </c>
      <c r="Q494" s="76" t="s">
        <v>2001</v>
      </c>
      <c r="R494" s="670">
        <v>45</v>
      </c>
      <c r="S494" s="670">
        <v>235</v>
      </c>
      <c r="T494" s="137">
        <v>43276</v>
      </c>
      <c r="U494" s="676" t="s">
        <v>2053</v>
      </c>
      <c r="W494" s="659" t="s">
        <v>2343</v>
      </c>
    </row>
    <row r="495" spans="1:23" s="76" customFormat="1" ht="14.25" customHeight="1">
      <c r="A495" s="671" t="s">
        <v>39</v>
      </c>
      <c r="B495" s="674" t="s">
        <v>160</v>
      </c>
      <c r="C495" s="675" t="s">
        <v>2090</v>
      </c>
      <c r="D495" s="669"/>
      <c r="J495" s="76" t="s">
        <v>1481</v>
      </c>
      <c r="K495" s="666" t="s">
        <v>45</v>
      </c>
      <c r="L495" s="666" t="s">
        <v>790</v>
      </c>
      <c r="M495" s="76" t="s">
        <v>46</v>
      </c>
      <c r="P495" s="668" t="s">
        <v>2046</v>
      </c>
      <c r="R495" s="678"/>
      <c r="S495" s="671"/>
      <c r="T495" s="137">
        <v>43298</v>
      </c>
      <c r="U495" s="133"/>
      <c r="W495" s="666"/>
    </row>
    <row r="496" spans="1:23" s="76" customFormat="1" ht="14.25" customHeight="1">
      <c r="A496" s="666" t="s">
        <v>39</v>
      </c>
      <c r="B496" s="666" t="s">
        <v>160</v>
      </c>
      <c r="C496" s="666" t="s">
        <v>1136</v>
      </c>
      <c r="D496" s="760" t="s">
        <v>1694</v>
      </c>
      <c r="E496" s="666" t="s">
        <v>2030</v>
      </c>
      <c r="F496" s="666" t="s">
        <v>1770</v>
      </c>
      <c r="G496" s="666" t="s">
        <v>1136</v>
      </c>
      <c r="H496" s="666"/>
      <c r="I496" s="666">
        <v>0</v>
      </c>
      <c r="J496" s="666" t="s">
        <v>45</v>
      </c>
      <c r="K496" s="666" t="s">
        <v>45</v>
      </c>
      <c r="L496" s="666" t="s">
        <v>774</v>
      </c>
      <c r="M496" s="666" t="s">
        <v>46</v>
      </c>
      <c r="N496" s="666"/>
      <c r="O496" s="666"/>
      <c r="P496" s="666" t="s">
        <v>775</v>
      </c>
      <c r="Q496" s="666" t="s">
        <v>940</v>
      </c>
      <c r="R496" s="670"/>
      <c r="S496" s="671"/>
      <c r="T496" s="690"/>
      <c r="U496" s="672" t="s">
        <v>1137</v>
      </c>
      <c r="V496" s="666"/>
      <c r="W496" s="76" t="s">
        <v>2234</v>
      </c>
    </row>
    <row r="497" spans="1:23" s="76" customFormat="1" ht="14.25" customHeight="1">
      <c r="A497" s="675" t="s">
        <v>39</v>
      </c>
      <c r="B497" s="674" t="s">
        <v>160</v>
      </c>
      <c r="C497" s="668" t="s">
        <v>2198</v>
      </c>
      <c r="D497" s="760" t="s">
        <v>3047</v>
      </c>
      <c r="E497" s="76" t="s">
        <v>2022</v>
      </c>
      <c r="I497" s="666" t="s">
        <v>149</v>
      </c>
      <c r="J497" s="76" t="s">
        <v>45</v>
      </c>
      <c r="K497" s="76" t="s">
        <v>45</v>
      </c>
      <c r="L497" s="76" t="s">
        <v>45</v>
      </c>
      <c r="M497" s="76" t="s">
        <v>46</v>
      </c>
      <c r="N497" s="76">
        <v>97.104997409999996</v>
      </c>
      <c r="O497" s="76">
        <v>25.379014999999999</v>
      </c>
      <c r="P497" s="668" t="s">
        <v>775</v>
      </c>
      <c r="Q497" s="76" t="s">
        <v>2001</v>
      </c>
      <c r="R497" s="670">
        <v>112</v>
      </c>
      <c r="S497" s="670">
        <v>487</v>
      </c>
      <c r="T497" s="137">
        <v>43276</v>
      </c>
      <c r="U497" s="676" t="s">
        <v>2053</v>
      </c>
      <c r="W497" s="659" t="s">
        <v>2344</v>
      </c>
    </row>
    <row r="498" spans="1:23" s="76" customFormat="1" ht="14.25" customHeight="1">
      <c r="A498" s="666" t="s">
        <v>39</v>
      </c>
      <c r="B498" s="666" t="s">
        <v>160</v>
      </c>
      <c r="C498" s="666" t="s">
        <v>163</v>
      </c>
      <c r="D498" s="760" t="s">
        <v>3047</v>
      </c>
      <c r="E498" s="76" t="s">
        <v>1553</v>
      </c>
      <c r="F498" s="76" t="s">
        <v>1770</v>
      </c>
      <c r="G498" s="76" t="s">
        <v>1844</v>
      </c>
      <c r="H498" s="76" t="s">
        <v>43</v>
      </c>
      <c r="I498" s="76" t="s">
        <v>149</v>
      </c>
      <c r="J498" s="76" t="s">
        <v>45</v>
      </c>
      <c r="K498" s="76" t="s">
        <v>45</v>
      </c>
      <c r="L498" s="76" t="s">
        <v>45</v>
      </c>
      <c r="M498" s="76" t="s">
        <v>46</v>
      </c>
      <c r="N498" s="76">
        <v>25.30442</v>
      </c>
      <c r="O498" s="76">
        <v>96.948740000000001</v>
      </c>
      <c r="P498" s="666" t="s">
        <v>775</v>
      </c>
      <c r="Q498" s="76" t="s">
        <v>794</v>
      </c>
      <c r="R498" s="670">
        <v>10</v>
      </c>
      <c r="S498" s="670">
        <v>43</v>
      </c>
      <c r="T498" s="137"/>
      <c r="U498" s="133"/>
      <c r="V498" s="76" t="s">
        <v>163</v>
      </c>
      <c r="W498" s="666"/>
    </row>
    <row r="499" spans="1:23" s="76" customFormat="1" ht="14.25" customHeight="1">
      <c r="A499" s="666" t="s">
        <v>39</v>
      </c>
      <c r="B499" s="668" t="s">
        <v>160</v>
      </c>
      <c r="C499" s="668" t="s">
        <v>1054</v>
      </c>
      <c r="D499" s="760" t="s">
        <v>1694</v>
      </c>
      <c r="E499" s="76" t="s">
        <v>1548</v>
      </c>
      <c r="F499" s="76" t="s">
        <v>1752</v>
      </c>
      <c r="G499" s="76" t="s">
        <v>1752</v>
      </c>
      <c r="I499" s="76">
        <v>0</v>
      </c>
      <c r="J499" s="76" t="s">
        <v>45</v>
      </c>
      <c r="K499" s="76" t="s">
        <v>45</v>
      </c>
      <c r="L499" s="76" t="s">
        <v>774</v>
      </c>
      <c r="M499" s="76" t="s">
        <v>46</v>
      </c>
      <c r="N499" s="76">
        <v>25.225000000000001</v>
      </c>
      <c r="O499" s="76">
        <v>96.793999999999997</v>
      </c>
      <c r="P499" s="76" t="s">
        <v>787</v>
      </c>
      <c r="Q499" s="76" t="s">
        <v>794</v>
      </c>
      <c r="R499" s="670"/>
      <c r="S499" s="671"/>
      <c r="T499" s="137">
        <v>42983</v>
      </c>
      <c r="U499" s="133" t="s">
        <v>1055</v>
      </c>
      <c r="V499" s="666" t="s">
        <v>1056</v>
      </c>
      <c r="W499" s="659" t="s">
        <v>2235</v>
      </c>
    </row>
    <row r="500" spans="1:23" s="76" customFormat="1" ht="14.25" customHeight="1">
      <c r="A500" s="666" t="s">
        <v>39</v>
      </c>
      <c r="B500" s="668" t="s">
        <v>160</v>
      </c>
      <c r="C500" s="668" t="s">
        <v>164</v>
      </c>
      <c r="D500" s="760" t="s">
        <v>3047</v>
      </c>
      <c r="E500" s="76" t="s">
        <v>1549</v>
      </c>
      <c r="F500" s="76" t="s">
        <v>1752</v>
      </c>
      <c r="G500" s="76" t="s">
        <v>1752</v>
      </c>
      <c r="H500" s="76" t="s">
        <v>43</v>
      </c>
      <c r="I500" s="76" t="s">
        <v>149</v>
      </c>
      <c r="J500" s="76" t="s">
        <v>45</v>
      </c>
      <c r="K500" s="76" t="s">
        <v>45</v>
      </c>
      <c r="L500" s="666" t="s">
        <v>45</v>
      </c>
      <c r="M500" s="76" t="s">
        <v>46</v>
      </c>
      <c r="N500" s="76">
        <v>25.225000000000001</v>
      </c>
      <c r="O500" s="76">
        <v>96.793999999999997</v>
      </c>
      <c r="P500" s="76" t="s">
        <v>775</v>
      </c>
      <c r="Q500" s="76" t="s">
        <v>794</v>
      </c>
      <c r="R500" s="670">
        <v>27</v>
      </c>
      <c r="S500" s="670">
        <v>135</v>
      </c>
      <c r="T500" s="137"/>
      <c r="U500" s="133"/>
      <c r="V500" s="666" t="s">
        <v>164</v>
      </c>
      <c r="W500" s="666"/>
    </row>
    <row r="501" spans="1:23" s="76" customFormat="1" ht="14.25" customHeight="1">
      <c r="A501" s="666" t="s">
        <v>39</v>
      </c>
      <c r="B501" s="666" t="s">
        <v>165</v>
      </c>
      <c r="C501" s="666" t="s">
        <v>1048</v>
      </c>
      <c r="D501" s="760" t="s">
        <v>3047</v>
      </c>
      <c r="E501" s="76" t="s">
        <v>1541</v>
      </c>
      <c r="F501" s="76" t="s">
        <v>1903</v>
      </c>
      <c r="G501" s="76" t="s">
        <v>1904</v>
      </c>
      <c r="I501" s="76" t="s">
        <v>2205</v>
      </c>
      <c r="J501" s="76" t="s">
        <v>45</v>
      </c>
      <c r="K501" s="76" t="s">
        <v>45</v>
      </c>
      <c r="L501" s="666" t="s">
        <v>786</v>
      </c>
      <c r="M501" s="76" t="s">
        <v>46</v>
      </c>
      <c r="N501" s="76">
        <v>24.996279999999999</v>
      </c>
      <c r="O501" s="76">
        <v>96.52534</v>
      </c>
      <c r="P501" s="666" t="s">
        <v>787</v>
      </c>
      <c r="Q501" s="76" t="s">
        <v>776</v>
      </c>
      <c r="R501" s="670">
        <v>27</v>
      </c>
      <c r="S501" s="670">
        <v>126</v>
      </c>
      <c r="T501" s="137"/>
      <c r="U501" s="133" t="s">
        <v>1045</v>
      </c>
      <c r="V501" s="76" t="s">
        <v>1048</v>
      </c>
      <c r="W501" s="666"/>
    </row>
    <row r="502" spans="1:23" s="76" customFormat="1" ht="14.25" customHeight="1">
      <c r="A502" s="666" t="s">
        <v>39</v>
      </c>
      <c r="B502" s="666" t="s">
        <v>165</v>
      </c>
      <c r="C502" s="666" t="s">
        <v>1044</v>
      </c>
      <c r="D502" s="760" t="s">
        <v>3047</v>
      </c>
      <c r="E502" s="666" t="s">
        <v>1538</v>
      </c>
      <c r="F502" s="76" t="s">
        <v>1834</v>
      </c>
      <c r="G502" s="76">
        <v>0</v>
      </c>
      <c r="I502" s="76" t="s">
        <v>2205</v>
      </c>
      <c r="J502" s="76" t="s">
        <v>45</v>
      </c>
      <c r="K502" s="76" t="s">
        <v>45</v>
      </c>
      <c r="L502" s="76" t="s">
        <v>786</v>
      </c>
      <c r="M502" s="76" t="s">
        <v>46</v>
      </c>
      <c r="N502" s="76">
        <v>24.764959999999999</v>
      </c>
      <c r="O502" s="76">
        <v>96.366919999999993</v>
      </c>
      <c r="P502" s="666" t="s">
        <v>787</v>
      </c>
      <c r="Q502" s="76" t="s">
        <v>776</v>
      </c>
      <c r="R502" s="670">
        <v>15</v>
      </c>
      <c r="S502" s="670">
        <v>71</v>
      </c>
      <c r="T502" s="137"/>
      <c r="U502" s="133" t="s">
        <v>1045</v>
      </c>
      <c r="V502" s="76" t="s">
        <v>1044</v>
      </c>
      <c r="W502" s="666"/>
    </row>
    <row r="503" spans="1:23" s="76" customFormat="1" ht="14.25" customHeight="1">
      <c r="A503" s="666" t="s">
        <v>39</v>
      </c>
      <c r="B503" s="666" t="s">
        <v>165</v>
      </c>
      <c r="C503" s="666" t="s">
        <v>165</v>
      </c>
      <c r="D503" s="760" t="s">
        <v>1693</v>
      </c>
      <c r="J503" s="76" t="s">
        <v>812</v>
      </c>
      <c r="K503" s="666" t="s">
        <v>812</v>
      </c>
      <c r="L503" s="666" t="s">
        <v>812</v>
      </c>
      <c r="P503" s="76" t="s">
        <v>813</v>
      </c>
      <c r="R503" s="670"/>
      <c r="S503" s="671"/>
      <c r="T503" s="137"/>
      <c r="U503" s="133"/>
      <c r="V503" s="76" t="s">
        <v>165</v>
      </c>
      <c r="W503" s="666"/>
    </row>
    <row r="504" spans="1:23" s="76" customFormat="1" ht="14.25" customHeight="1">
      <c r="A504" s="666" t="s">
        <v>39</v>
      </c>
      <c r="B504" s="666" t="s">
        <v>165</v>
      </c>
      <c r="C504" s="76" t="s">
        <v>1049</v>
      </c>
      <c r="D504" s="760" t="s">
        <v>1694</v>
      </c>
      <c r="E504" s="76" t="s">
        <v>1542</v>
      </c>
      <c r="F504" s="76" t="s">
        <v>1749</v>
      </c>
      <c r="G504" s="76" t="s">
        <v>1749</v>
      </c>
      <c r="H504" s="76" t="s">
        <v>43</v>
      </c>
      <c r="I504" s="666" t="s">
        <v>149</v>
      </c>
      <c r="J504" s="76" t="s">
        <v>45</v>
      </c>
      <c r="K504" s="76" t="s">
        <v>45</v>
      </c>
      <c r="L504" s="666" t="s">
        <v>774</v>
      </c>
      <c r="M504" s="76" t="s">
        <v>46</v>
      </c>
      <c r="N504" s="666">
        <v>24.998349999999999</v>
      </c>
      <c r="O504" s="666">
        <v>96.364949999999993</v>
      </c>
      <c r="P504" s="76" t="s">
        <v>775</v>
      </c>
      <c r="R504" s="670"/>
      <c r="S504" s="671"/>
      <c r="T504" s="137"/>
      <c r="U504" s="133"/>
      <c r="V504" s="76" t="s">
        <v>1049</v>
      </c>
      <c r="W504" s="666" t="s">
        <v>2236</v>
      </c>
    </row>
    <row r="505" spans="1:23" s="76" customFormat="1" ht="14.25" customHeight="1">
      <c r="A505" s="666" t="s">
        <v>39</v>
      </c>
      <c r="B505" s="666" t="s">
        <v>165</v>
      </c>
      <c r="C505" s="666" t="s">
        <v>166</v>
      </c>
      <c r="D505" s="760" t="s">
        <v>3047</v>
      </c>
      <c r="E505" s="666" t="s">
        <v>1543</v>
      </c>
      <c r="H505" s="76" t="s">
        <v>43</v>
      </c>
      <c r="I505" s="666" t="s">
        <v>149</v>
      </c>
      <c r="J505" s="76" t="s">
        <v>45</v>
      </c>
      <c r="K505" s="76" t="s">
        <v>45</v>
      </c>
      <c r="L505" s="76" t="s">
        <v>45</v>
      </c>
      <c r="M505" s="76" t="s">
        <v>46</v>
      </c>
      <c r="N505" s="666">
        <v>24.998349999999999</v>
      </c>
      <c r="O505" s="666">
        <v>96.364949999999993</v>
      </c>
      <c r="P505" s="76" t="s">
        <v>775</v>
      </c>
      <c r="Q505" s="76" t="s">
        <v>794</v>
      </c>
      <c r="R505" s="670">
        <v>27</v>
      </c>
      <c r="S505" s="670">
        <v>117</v>
      </c>
      <c r="T505" s="137"/>
      <c r="U505" s="133"/>
      <c r="V505" s="76" t="s">
        <v>1050</v>
      </c>
      <c r="W505" s="659" t="s">
        <v>2345</v>
      </c>
    </row>
    <row r="506" spans="1:23" s="76" customFormat="1" ht="14.25" customHeight="1">
      <c r="A506" s="666" t="s">
        <v>39</v>
      </c>
      <c r="B506" s="668" t="s">
        <v>165</v>
      </c>
      <c r="C506" s="668" t="s">
        <v>247</v>
      </c>
      <c r="D506" s="760" t="s">
        <v>3047</v>
      </c>
      <c r="E506" s="666" t="s">
        <v>1537</v>
      </c>
      <c r="F506" s="76" t="s">
        <v>1834</v>
      </c>
      <c r="G506" s="76" t="s">
        <v>1835</v>
      </c>
      <c r="H506" s="76" t="s">
        <v>43</v>
      </c>
      <c r="I506" s="666" t="s">
        <v>1346</v>
      </c>
      <c r="J506" s="76" t="s">
        <v>45</v>
      </c>
      <c r="K506" s="666" t="s">
        <v>45</v>
      </c>
      <c r="L506" s="666" t="s">
        <v>45</v>
      </c>
      <c r="M506" s="76" t="s">
        <v>46</v>
      </c>
      <c r="N506" s="666">
        <v>24.764800000000001</v>
      </c>
      <c r="O506" s="666">
        <v>96.367059999999995</v>
      </c>
      <c r="P506" s="666" t="s">
        <v>775</v>
      </c>
      <c r="Q506" s="76" t="s">
        <v>794</v>
      </c>
      <c r="R506" s="670">
        <v>11</v>
      </c>
      <c r="S506" s="670">
        <v>68</v>
      </c>
      <c r="T506" s="137"/>
      <c r="U506" s="133"/>
      <c r="V506" s="76" t="s">
        <v>247</v>
      </c>
    </row>
    <row r="507" spans="1:23" s="76" customFormat="1" ht="14.25" customHeight="1">
      <c r="A507" s="671" t="s">
        <v>39</v>
      </c>
      <c r="B507" s="674" t="s">
        <v>2091</v>
      </c>
      <c r="C507" s="675" t="s">
        <v>2096</v>
      </c>
      <c r="D507" s="669"/>
      <c r="I507" s="666"/>
      <c r="J507" s="76" t="s">
        <v>1481</v>
      </c>
      <c r="K507" s="668" t="s">
        <v>45</v>
      </c>
      <c r="L507" s="668" t="s">
        <v>790</v>
      </c>
      <c r="M507" s="76" t="s">
        <v>792</v>
      </c>
      <c r="N507" s="666"/>
      <c r="O507" s="666"/>
      <c r="P507" s="76" t="s">
        <v>775</v>
      </c>
      <c r="R507" s="678"/>
      <c r="S507" s="671"/>
      <c r="T507" s="137">
        <v>43298</v>
      </c>
      <c r="U507" s="133"/>
      <c r="W507" s="666"/>
    </row>
    <row r="508" spans="1:23" s="76" customFormat="1" ht="14.25" customHeight="1">
      <c r="A508" s="666" t="s">
        <v>39</v>
      </c>
      <c r="B508" s="666" t="s">
        <v>213</v>
      </c>
      <c r="C508" s="666" t="s">
        <v>214</v>
      </c>
      <c r="D508" s="760" t="s">
        <v>1693</v>
      </c>
      <c r="J508" s="76" t="s">
        <v>1481</v>
      </c>
      <c r="K508" s="76" t="s">
        <v>45</v>
      </c>
      <c r="L508" s="76" t="s">
        <v>45</v>
      </c>
      <c r="M508" s="76" t="s">
        <v>46</v>
      </c>
      <c r="N508" s="666"/>
      <c r="O508" s="666"/>
      <c r="P508" s="76" t="s">
        <v>775</v>
      </c>
      <c r="Q508" s="76" t="s">
        <v>794</v>
      </c>
      <c r="R508" s="670"/>
      <c r="S508" s="671"/>
      <c r="T508" s="137"/>
      <c r="U508" s="133" t="s">
        <v>1104</v>
      </c>
      <c r="V508" s="76" t="s">
        <v>214</v>
      </c>
      <c r="W508" s="666"/>
    </row>
    <row r="509" spans="1:23" s="76" customFormat="1" ht="14.25" customHeight="1">
      <c r="A509" s="666" t="s">
        <v>39</v>
      </c>
      <c r="B509" s="666" t="s">
        <v>213</v>
      </c>
      <c r="C509" s="666" t="s">
        <v>1035</v>
      </c>
      <c r="D509" s="760" t="s">
        <v>1694</v>
      </c>
      <c r="E509" s="76" t="s">
        <v>1529</v>
      </c>
      <c r="F509" s="76" t="s">
        <v>1742</v>
      </c>
      <c r="G509" s="76" t="s">
        <v>1743</v>
      </c>
      <c r="I509" s="76">
        <v>0</v>
      </c>
      <c r="J509" s="76" t="s">
        <v>45</v>
      </c>
      <c r="K509" s="76" t="s">
        <v>45</v>
      </c>
      <c r="L509" s="76" t="s">
        <v>774</v>
      </c>
      <c r="M509" s="76" t="s">
        <v>46</v>
      </c>
      <c r="N509" s="666">
        <v>24.613976000000001</v>
      </c>
      <c r="O509" s="666">
        <v>97.461271999999994</v>
      </c>
      <c r="P509" s="666" t="s">
        <v>775</v>
      </c>
      <c r="Q509" s="666" t="s">
        <v>776</v>
      </c>
      <c r="R509" s="670"/>
      <c r="S509" s="671"/>
      <c r="T509" s="690">
        <v>42983</v>
      </c>
      <c r="U509" s="133" t="s">
        <v>1036</v>
      </c>
      <c r="V509" s="666" t="s">
        <v>1035</v>
      </c>
      <c r="W509" s="659" t="s">
        <v>2237</v>
      </c>
    </row>
    <row r="510" spans="1:23" s="76" customFormat="1" ht="14.25" customHeight="1">
      <c r="A510" s="666" t="s">
        <v>39</v>
      </c>
      <c r="B510" s="666" t="s">
        <v>213</v>
      </c>
      <c r="C510" s="666" t="s">
        <v>240</v>
      </c>
      <c r="D510" s="760" t="s">
        <v>3047</v>
      </c>
      <c r="E510" s="76" t="s">
        <v>1527</v>
      </c>
      <c r="F510" s="76" t="s">
        <v>1830</v>
      </c>
      <c r="G510" s="76" t="s">
        <v>1831</v>
      </c>
      <c r="H510" s="76" t="s">
        <v>43</v>
      </c>
      <c r="I510" s="76" t="s">
        <v>1346</v>
      </c>
      <c r="J510" s="76" t="s">
        <v>45</v>
      </c>
      <c r="K510" s="76" t="s">
        <v>45</v>
      </c>
      <c r="L510" s="76" t="s">
        <v>45</v>
      </c>
      <c r="M510" s="76" t="s">
        <v>792</v>
      </c>
      <c r="N510" s="666">
        <v>24.461033</v>
      </c>
      <c r="O510" s="666">
        <v>97.537099999999995</v>
      </c>
      <c r="P510" s="666" t="s">
        <v>775</v>
      </c>
      <c r="Q510" s="76" t="s">
        <v>794</v>
      </c>
      <c r="R510" s="670">
        <v>80</v>
      </c>
      <c r="S510" s="670">
        <v>378</v>
      </c>
      <c r="T510" s="137"/>
      <c r="U510" s="133"/>
      <c r="V510" s="76" t="s">
        <v>240</v>
      </c>
      <c r="W510" s="666"/>
    </row>
    <row r="511" spans="1:23" s="76" customFormat="1" ht="14.25" customHeight="1">
      <c r="A511" s="666" t="s">
        <v>39</v>
      </c>
      <c r="B511" s="666" t="s">
        <v>213</v>
      </c>
      <c r="C511" s="666" t="s">
        <v>225</v>
      </c>
      <c r="D511" s="760" t="s">
        <v>3047</v>
      </c>
      <c r="E511" s="76" t="s">
        <v>1531</v>
      </c>
      <c r="F511" s="76" t="s">
        <v>1832</v>
      </c>
      <c r="G511" s="76" t="s">
        <v>1833</v>
      </c>
      <c r="H511" s="76" t="s">
        <v>43</v>
      </c>
      <c r="I511" s="76" t="s">
        <v>1346</v>
      </c>
      <c r="J511" s="76" t="s">
        <v>45</v>
      </c>
      <c r="K511" s="76" t="s">
        <v>45</v>
      </c>
      <c r="L511" s="76" t="s">
        <v>45</v>
      </c>
      <c r="M511" s="76" t="s">
        <v>792</v>
      </c>
      <c r="N511" s="666">
        <v>24.661905999999998</v>
      </c>
      <c r="O511" s="666">
        <v>97.573126000000002</v>
      </c>
      <c r="P511" s="17" t="s">
        <v>2048</v>
      </c>
      <c r="Q511" s="666" t="s">
        <v>794</v>
      </c>
      <c r="R511" s="670">
        <v>718</v>
      </c>
      <c r="S511" s="670">
        <v>3652</v>
      </c>
      <c r="T511" s="690"/>
      <c r="U511" s="133"/>
      <c r="V511" s="76" t="s">
        <v>225</v>
      </c>
      <c r="W511" s="666"/>
    </row>
    <row r="512" spans="1:23" s="76" customFormat="1" ht="14.25" customHeight="1">
      <c r="A512" s="666" t="s">
        <v>39</v>
      </c>
      <c r="B512" s="666" t="s">
        <v>213</v>
      </c>
      <c r="C512" s="666" t="s">
        <v>298</v>
      </c>
      <c r="D512" s="760" t="s">
        <v>3047</v>
      </c>
      <c r="E512" s="76" t="s">
        <v>1532</v>
      </c>
      <c r="F512" s="76" t="s">
        <v>1832</v>
      </c>
      <c r="G512" s="76" t="s">
        <v>1833</v>
      </c>
      <c r="H512" s="76" t="s">
        <v>43</v>
      </c>
      <c r="I512" s="666" t="s">
        <v>1346</v>
      </c>
      <c r="J512" s="76" t="s">
        <v>45</v>
      </c>
      <c r="K512" s="76" t="s">
        <v>45</v>
      </c>
      <c r="L512" s="76" t="s">
        <v>45</v>
      </c>
      <c r="M512" s="76" t="s">
        <v>792</v>
      </c>
      <c r="N512" s="666">
        <v>24.688338999999999</v>
      </c>
      <c r="O512" s="666">
        <v>97.568331999999998</v>
      </c>
      <c r="P512" s="17" t="s">
        <v>2048</v>
      </c>
      <c r="Q512" s="76" t="s">
        <v>794</v>
      </c>
      <c r="R512" s="670">
        <v>1526</v>
      </c>
      <c r="S512" s="670">
        <v>8700</v>
      </c>
      <c r="T512" s="137"/>
      <c r="U512" s="133"/>
      <c r="V512" s="76" t="s">
        <v>298</v>
      </c>
    </row>
    <row r="513" spans="1:23" s="76" customFormat="1" ht="14.25" customHeight="1">
      <c r="A513" s="666" t="s">
        <v>39</v>
      </c>
      <c r="B513" s="666" t="s">
        <v>213</v>
      </c>
      <c r="C513" s="666" t="s">
        <v>215</v>
      </c>
      <c r="D513" s="760" t="s">
        <v>1693</v>
      </c>
      <c r="J513" s="76" t="s">
        <v>1481</v>
      </c>
      <c r="K513" s="76" t="s">
        <v>45</v>
      </c>
      <c r="L513" s="666" t="s">
        <v>45</v>
      </c>
      <c r="M513" s="76" t="s">
        <v>46</v>
      </c>
      <c r="N513" s="666"/>
      <c r="O513" s="666"/>
      <c r="P513" s="666" t="s">
        <v>775</v>
      </c>
      <c r="Q513" s="76" t="s">
        <v>794</v>
      </c>
      <c r="R513" s="670"/>
      <c r="S513" s="671"/>
      <c r="T513" s="137"/>
      <c r="U513" s="672" t="s">
        <v>1104</v>
      </c>
      <c r="V513" s="76" t="s">
        <v>215</v>
      </c>
      <c r="W513" s="666"/>
    </row>
    <row r="514" spans="1:23" s="76" customFormat="1" ht="14.25" customHeight="1">
      <c r="A514" s="666" t="s">
        <v>39</v>
      </c>
      <c r="B514" s="666" t="s">
        <v>213</v>
      </c>
      <c r="C514" s="666" t="s">
        <v>217</v>
      </c>
      <c r="D514" s="760" t="s">
        <v>1693</v>
      </c>
      <c r="H514" s="666"/>
      <c r="J514" s="76" t="s">
        <v>1481</v>
      </c>
      <c r="K514" s="666" t="s">
        <v>45</v>
      </c>
      <c r="L514" s="666" t="s">
        <v>45</v>
      </c>
      <c r="M514" s="76" t="s">
        <v>46</v>
      </c>
      <c r="N514" s="666"/>
      <c r="O514" s="666"/>
      <c r="P514" s="666" t="s">
        <v>775</v>
      </c>
      <c r="Q514" s="76" t="s">
        <v>794</v>
      </c>
      <c r="R514" s="670"/>
      <c r="S514" s="671"/>
      <c r="T514" s="137"/>
      <c r="U514" s="133" t="s">
        <v>1104</v>
      </c>
      <c r="V514" s="76" t="s">
        <v>217</v>
      </c>
      <c r="W514" s="666"/>
    </row>
    <row r="515" spans="1:23" s="76" customFormat="1" ht="14.25" customHeight="1">
      <c r="A515" s="666" t="s">
        <v>39</v>
      </c>
      <c r="B515" s="666" t="s">
        <v>213</v>
      </c>
      <c r="C515" s="666" t="s">
        <v>1026</v>
      </c>
      <c r="D515" s="760" t="s">
        <v>3047</v>
      </c>
      <c r="E515" s="76" t="s">
        <v>1522</v>
      </c>
      <c r="F515" s="76" t="s">
        <v>1901</v>
      </c>
      <c r="G515" s="76" t="s">
        <v>1902</v>
      </c>
      <c r="H515" s="666"/>
      <c r="I515" s="666" t="s">
        <v>2205</v>
      </c>
      <c r="J515" s="76" t="s">
        <v>45</v>
      </c>
      <c r="K515" s="76" t="s">
        <v>45</v>
      </c>
      <c r="L515" s="76" t="s">
        <v>786</v>
      </c>
      <c r="M515" s="76" t="s">
        <v>46</v>
      </c>
      <c r="N515" s="666">
        <v>24.377054000000001</v>
      </c>
      <c r="O515" s="666">
        <v>97.343406999999999</v>
      </c>
      <c r="P515" s="76" t="s">
        <v>787</v>
      </c>
      <c r="Q515" s="76" t="s">
        <v>776</v>
      </c>
      <c r="R515" s="670">
        <v>3</v>
      </c>
      <c r="S515" s="670">
        <v>18</v>
      </c>
      <c r="T515" s="137"/>
      <c r="U515" s="133" t="s">
        <v>1027</v>
      </c>
      <c r="V515" s="76" t="s">
        <v>1026</v>
      </c>
    </row>
    <row r="516" spans="1:23" s="76" customFormat="1" ht="14.25" customHeight="1">
      <c r="A516" s="666" t="s">
        <v>39</v>
      </c>
      <c r="B516" s="666" t="s">
        <v>213</v>
      </c>
      <c r="C516" s="666" t="s">
        <v>297</v>
      </c>
      <c r="D516" s="760" t="s">
        <v>1693</v>
      </c>
      <c r="H516" s="666"/>
      <c r="J516" s="76" t="s">
        <v>1481</v>
      </c>
      <c r="K516" s="76" t="s">
        <v>45</v>
      </c>
      <c r="L516" s="76" t="s">
        <v>1113</v>
      </c>
      <c r="M516" s="76" t="s">
        <v>792</v>
      </c>
      <c r="N516" s="666"/>
      <c r="O516" s="666"/>
      <c r="P516" s="76" t="s">
        <v>775</v>
      </c>
      <c r="Q516" s="76" t="s">
        <v>776</v>
      </c>
      <c r="R516" s="670"/>
      <c r="S516" s="671"/>
      <c r="T516" s="137">
        <v>42849</v>
      </c>
      <c r="U516" s="133"/>
    </row>
    <row r="517" spans="1:23" s="76" customFormat="1" ht="14.25" customHeight="1">
      <c r="A517" s="666" t="s">
        <v>39</v>
      </c>
      <c r="B517" s="666" t="s">
        <v>213</v>
      </c>
      <c r="C517" s="666" t="s">
        <v>289</v>
      </c>
      <c r="D517" s="760" t="s">
        <v>3047</v>
      </c>
      <c r="E517" s="76" t="s">
        <v>1497</v>
      </c>
      <c r="F517" s="76" t="s">
        <v>1813</v>
      </c>
      <c r="G517" s="76" t="s">
        <v>1815</v>
      </c>
      <c r="H517" s="666" t="s">
        <v>43</v>
      </c>
      <c r="I517" s="666" t="s">
        <v>149</v>
      </c>
      <c r="J517" s="76" t="s">
        <v>45</v>
      </c>
      <c r="K517" s="666" t="s">
        <v>45</v>
      </c>
      <c r="L517" s="666" t="s">
        <v>45</v>
      </c>
      <c r="M517" s="76" t="s">
        <v>46</v>
      </c>
      <c r="N517" s="666">
        <v>24.200972</v>
      </c>
      <c r="O517" s="666">
        <v>97.718582999999995</v>
      </c>
      <c r="P517" s="666" t="s">
        <v>775</v>
      </c>
      <c r="Q517" s="76" t="s">
        <v>794</v>
      </c>
      <c r="R517" s="670">
        <v>38</v>
      </c>
      <c r="S517" s="670">
        <v>241</v>
      </c>
      <c r="T517" s="137"/>
      <c r="U517" s="133"/>
      <c r="V517" s="76" t="s">
        <v>289</v>
      </c>
      <c r="W517" s="666"/>
    </row>
    <row r="518" spans="1:23" s="76" customFormat="1" ht="14.25" customHeight="1">
      <c r="A518" s="666" t="s">
        <v>39</v>
      </c>
      <c r="B518" s="666" t="s">
        <v>213</v>
      </c>
      <c r="C518" s="666" t="s">
        <v>290</v>
      </c>
      <c r="D518" s="760" t="s">
        <v>3047</v>
      </c>
      <c r="E518" s="666" t="s">
        <v>1498</v>
      </c>
      <c r="F518" s="666" t="s">
        <v>1813</v>
      </c>
      <c r="G518" s="666" t="s">
        <v>1815</v>
      </c>
      <c r="H518" s="666" t="s">
        <v>43</v>
      </c>
      <c r="I518" s="666" t="s">
        <v>44</v>
      </c>
      <c r="J518" s="666" t="s">
        <v>45</v>
      </c>
      <c r="K518" s="666" t="s">
        <v>45</v>
      </c>
      <c r="L518" s="666" t="s">
        <v>45</v>
      </c>
      <c r="M518" s="666" t="s">
        <v>46</v>
      </c>
      <c r="N518" s="666">
        <v>24.205417000000001</v>
      </c>
      <c r="O518" s="666">
        <v>97.724566999999993</v>
      </c>
      <c r="P518" s="666" t="s">
        <v>775</v>
      </c>
      <c r="Q518" s="666" t="s">
        <v>794</v>
      </c>
      <c r="R518" s="670">
        <v>129</v>
      </c>
      <c r="S518" s="670">
        <v>646</v>
      </c>
      <c r="T518" s="690"/>
      <c r="U518" s="672"/>
      <c r="V518" s="666" t="s">
        <v>290</v>
      </c>
      <c r="W518" s="666"/>
    </row>
    <row r="519" spans="1:23" s="76" customFormat="1" ht="14.25" customHeight="1">
      <c r="A519" s="666" t="s">
        <v>39</v>
      </c>
      <c r="B519" s="666" t="s">
        <v>213</v>
      </c>
      <c r="C519" s="666" t="s">
        <v>1121</v>
      </c>
      <c r="D519" s="760" t="s">
        <v>1693</v>
      </c>
      <c r="J519" s="76" t="s">
        <v>45</v>
      </c>
      <c r="K519" s="76" t="s">
        <v>45</v>
      </c>
      <c r="L519" s="76" t="s">
        <v>1101</v>
      </c>
      <c r="M519" s="76" t="s">
        <v>46</v>
      </c>
      <c r="N519" s="666"/>
      <c r="O519" s="666"/>
      <c r="P519" s="76" t="s">
        <v>775</v>
      </c>
      <c r="R519" s="131"/>
      <c r="S519" s="671"/>
      <c r="T519" s="137"/>
      <c r="U519" s="133"/>
      <c r="V519" s="76" t="s">
        <v>1122</v>
      </c>
    </row>
    <row r="520" spans="1:23" s="76" customFormat="1" ht="14.25" customHeight="1">
      <c r="A520" s="666" t="s">
        <v>39</v>
      </c>
      <c r="B520" s="666" t="s">
        <v>213</v>
      </c>
      <c r="C520" s="666" t="s">
        <v>1123</v>
      </c>
      <c r="D520" s="760" t="s">
        <v>1693</v>
      </c>
      <c r="H520" s="666"/>
      <c r="I520" s="666"/>
      <c r="J520" s="76" t="s">
        <v>45</v>
      </c>
      <c r="K520" s="76" t="s">
        <v>45</v>
      </c>
      <c r="L520" s="76" t="s">
        <v>1101</v>
      </c>
      <c r="M520" s="76" t="s">
        <v>46</v>
      </c>
      <c r="N520" s="666"/>
      <c r="O520" s="666"/>
      <c r="P520" s="76" t="s">
        <v>775</v>
      </c>
      <c r="R520" s="670"/>
      <c r="S520" s="671"/>
      <c r="T520" s="137"/>
      <c r="U520" s="133"/>
      <c r="V520" s="76" t="s">
        <v>1124</v>
      </c>
      <c r="W520" s="666"/>
    </row>
    <row r="521" spans="1:23" s="76" customFormat="1" ht="14.25" customHeight="1">
      <c r="A521" s="666" t="s">
        <v>39</v>
      </c>
      <c r="B521" s="666" t="s">
        <v>213</v>
      </c>
      <c r="C521" s="666" t="s">
        <v>1125</v>
      </c>
      <c r="D521" s="760" t="s">
        <v>1693</v>
      </c>
      <c r="H521" s="666"/>
      <c r="J521" s="76" t="s">
        <v>45</v>
      </c>
      <c r="K521" s="76" t="s">
        <v>45</v>
      </c>
      <c r="L521" s="76" t="s">
        <v>1101</v>
      </c>
      <c r="M521" s="76" t="s">
        <v>46</v>
      </c>
      <c r="N521" s="666"/>
      <c r="O521" s="666"/>
      <c r="P521" s="666" t="s">
        <v>775</v>
      </c>
      <c r="R521" s="670"/>
      <c r="S521" s="671"/>
      <c r="T521" s="137"/>
      <c r="U521" s="133"/>
      <c r="V521" s="76" t="s">
        <v>1126</v>
      </c>
      <c r="W521" s="666"/>
    </row>
    <row r="522" spans="1:23" s="76" customFormat="1" ht="14.25" customHeight="1">
      <c r="A522" s="666" t="s">
        <v>39</v>
      </c>
      <c r="B522" s="666" t="s">
        <v>213</v>
      </c>
      <c r="C522" s="666" t="s">
        <v>291</v>
      </c>
      <c r="D522" s="760" t="s">
        <v>3047</v>
      </c>
      <c r="E522" s="76" t="s">
        <v>1496</v>
      </c>
      <c r="F522" s="76" t="s">
        <v>1813</v>
      </c>
      <c r="G522" s="76" t="s">
        <v>1814</v>
      </c>
      <c r="H522" s="666" t="s">
        <v>43</v>
      </c>
      <c r="I522" s="666" t="s">
        <v>149</v>
      </c>
      <c r="J522" s="76" t="s">
        <v>45</v>
      </c>
      <c r="K522" s="76" t="s">
        <v>45</v>
      </c>
      <c r="L522" s="666" t="s">
        <v>45</v>
      </c>
      <c r="M522" s="76" t="s">
        <v>46</v>
      </c>
      <c r="N522" s="666">
        <v>24.200433</v>
      </c>
      <c r="O522" s="666">
        <v>97.717133000000004</v>
      </c>
      <c r="P522" s="666" t="s">
        <v>775</v>
      </c>
      <c r="Q522" s="76" t="s">
        <v>794</v>
      </c>
      <c r="R522" s="670">
        <v>210</v>
      </c>
      <c r="S522" s="670">
        <v>1212</v>
      </c>
      <c r="T522" s="137"/>
      <c r="U522" s="133"/>
      <c r="V522" s="76" t="s">
        <v>291</v>
      </c>
      <c r="W522" s="666"/>
    </row>
    <row r="523" spans="1:23" s="76" customFormat="1" ht="14.25" customHeight="1">
      <c r="A523" s="666" t="s">
        <v>39</v>
      </c>
      <c r="B523" s="666" t="s">
        <v>213</v>
      </c>
      <c r="C523" s="666" t="s">
        <v>1127</v>
      </c>
      <c r="D523" s="760" t="s">
        <v>1693</v>
      </c>
      <c r="H523" s="666"/>
      <c r="I523" s="666"/>
      <c r="J523" s="76" t="s">
        <v>1113</v>
      </c>
      <c r="K523" s="76" t="s">
        <v>45</v>
      </c>
      <c r="L523" s="76" t="s">
        <v>774</v>
      </c>
      <c r="M523" s="76" t="s">
        <v>46</v>
      </c>
      <c r="N523" s="666"/>
      <c r="O523" s="666"/>
      <c r="P523" s="76" t="s">
        <v>775</v>
      </c>
      <c r="R523" s="670"/>
      <c r="S523" s="671"/>
      <c r="T523" s="137"/>
      <c r="U523" s="133"/>
      <c r="V523" s="76" t="s">
        <v>1127</v>
      </c>
      <c r="W523" s="666"/>
    </row>
    <row r="524" spans="1:23" s="76" customFormat="1" ht="14.25" customHeight="1">
      <c r="A524" s="666" t="s">
        <v>39</v>
      </c>
      <c r="B524" s="666" t="s">
        <v>213</v>
      </c>
      <c r="C524" s="666" t="s">
        <v>296</v>
      </c>
      <c r="D524" s="760" t="s">
        <v>1693</v>
      </c>
      <c r="H524" s="666"/>
      <c r="I524" s="666"/>
      <c r="J524" s="76" t="s">
        <v>1481</v>
      </c>
      <c r="K524" s="76" t="s">
        <v>45</v>
      </c>
      <c r="L524" s="76" t="s">
        <v>1113</v>
      </c>
      <c r="M524" s="76" t="s">
        <v>46</v>
      </c>
      <c r="N524" s="666"/>
      <c r="O524" s="666"/>
      <c r="P524" s="76" t="s">
        <v>775</v>
      </c>
      <c r="Q524" s="76" t="s">
        <v>776</v>
      </c>
      <c r="R524" s="670"/>
      <c r="S524" s="671"/>
      <c r="T524" s="137">
        <v>42849</v>
      </c>
      <c r="U524" s="133"/>
      <c r="W524" s="666"/>
    </row>
    <row r="525" spans="1:23" s="76" customFormat="1" ht="14.25" customHeight="1">
      <c r="A525" s="666" t="s">
        <v>39</v>
      </c>
      <c r="B525" s="666" t="s">
        <v>213</v>
      </c>
      <c r="C525" s="666" t="s">
        <v>1032</v>
      </c>
      <c r="D525" s="760" t="s">
        <v>1694</v>
      </c>
      <c r="E525" s="76" t="s">
        <v>1526</v>
      </c>
      <c r="F525" s="76" t="s">
        <v>1740</v>
      </c>
      <c r="G525" s="76" t="s">
        <v>1740</v>
      </c>
      <c r="I525" s="76">
        <v>0</v>
      </c>
      <c r="J525" s="76" t="s">
        <v>45</v>
      </c>
      <c r="K525" s="76" t="s">
        <v>45</v>
      </c>
      <c r="L525" s="76" t="s">
        <v>774</v>
      </c>
      <c r="M525" s="76" t="s">
        <v>46</v>
      </c>
      <c r="N525" s="666">
        <v>24.441697000000001</v>
      </c>
      <c r="O525" s="666">
        <v>97.409474000000003</v>
      </c>
      <c r="P525" s="76" t="s">
        <v>787</v>
      </c>
      <c r="Q525" s="76" t="s">
        <v>776</v>
      </c>
      <c r="R525" s="670"/>
      <c r="S525" s="671"/>
      <c r="T525" s="137">
        <v>42983</v>
      </c>
      <c r="U525" s="133" t="s">
        <v>1033</v>
      </c>
      <c r="V525" s="76" t="s">
        <v>1032</v>
      </c>
      <c r="W525" s="659" t="s">
        <v>2238</v>
      </c>
    </row>
    <row r="526" spans="1:23" s="76" customFormat="1" ht="14.25" customHeight="1">
      <c r="A526" s="666" t="s">
        <v>39</v>
      </c>
      <c r="B526" s="666" t="s">
        <v>213</v>
      </c>
      <c r="C526" s="666" t="s">
        <v>218</v>
      </c>
      <c r="D526" s="760" t="s">
        <v>3047</v>
      </c>
      <c r="E526" s="666" t="s">
        <v>1504</v>
      </c>
      <c r="F526" s="666" t="s">
        <v>1819</v>
      </c>
      <c r="G526" s="666" t="s">
        <v>1819</v>
      </c>
      <c r="H526" s="666" t="s">
        <v>43</v>
      </c>
      <c r="I526" s="666" t="s">
        <v>44</v>
      </c>
      <c r="J526" s="76" t="s">
        <v>45</v>
      </c>
      <c r="K526" s="76" t="s">
        <v>45</v>
      </c>
      <c r="L526" s="666" t="s">
        <v>45</v>
      </c>
      <c r="M526" s="76" t="s">
        <v>46</v>
      </c>
      <c r="N526" s="666">
        <v>24.245100000000001</v>
      </c>
      <c r="O526" s="666">
        <v>97.325019999999995</v>
      </c>
      <c r="P526" s="666" t="s">
        <v>775</v>
      </c>
      <c r="Q526" s="76" t="s">
        <v>794</v>
      </c>
      <c r="R526" s="670">
        <v>299</v>
      </c>
      <c r="S526" s="670">
        <v>1373</v>
      </c>
      <c r="T526" s="137"/>
      <c r="U526" s="672"/>
      <c r="V526" s="666" t="s">
        <v>218</v>
      </c>
      <c r="W526" s="666"/>
    </row>
    <row r="527" spans="1:23" s="76" customFormat="1" ht="14.25" customHeight="1">
      <c r="A527" s="666" t="s">
        <v>39</v>
      </c>
      <c r="B527" s="666" t="s">
        <v>213</v>
      </c>
      <c r="C527" s="666" t="s">
        <v>295</v>
      </c>
      <c r="D527" s="760" t="s">
        <v>1693</v>
      </c>
      <c r="H527" s="666"/>
      <c r="I527" s="666"/>
      <c r="J527" s="76" t="s">
        <v>1481</v>
      </c>
      <c r="K527" s="76" t="s">
        <v>45</v>
      </c>
      <c r="L527" s="76" t="s">
        <v>45</v>
      </c>
      <c r="M527" s="76" t="s">
        <v>46</v>
      </c>
      <c r="N527" s="666"/>
      <c r="O527" s="666"/>
      <c r="P527" s="666" t="s">
        <v>775</v>
      </c>
      <c r="Q527" s="76" t="s">
        <v>794</v>
      </c>
      <c r="R527" s="670"/>
      <c r="S527" s="671"/>
      <c r="T527" s="137"/>
      <c r="U527" s="133" t="s">
        <v>1104</v>
      </c>
      <c r="V527" s="76" t="s">
        <v>295</v>
      </c>
      <c r="W527" s="666"/>
    </row>
    <row r="528" spans="1:23" s="76" customFormat="1" ht="14.25" customHeight="1">
      <c r="A528" s="666" t="s">
        <v>39</v>
      </c>
      <c r="B528" s="666" t="s">
        <v>213</v>
      </c>
      <c r="C528" s="666" t="s">
        <v>1030</v>
      </c>
      <c r="D528" s="760" t="s">
        <v>1694</v>
      </c>
      <c r="E528" s="76" t="s">
        <v>1525</v>
      </c>
      <c r="F528" s="76" t="s">
        <v>1739</v>
      </c>
      <c r="G528" s="76" t="s">
        <v>1739</v>
      </c>
      <c r="I528" s="76">
        <v>0</v>
      </c>
      <c r="J528" s="76" t="s">
        <v>45</v>
      </c>
      <c r="K528" s="76" t="s">
        <v>45</v>
      </c>
      <c r="L528" s="76" t="s">
        <v>774</v>
      </c>
      <c r="M528" s="76" t="s">
        <v>46</v>
      </c>
      <c r="N528" s="666">
        <v>24.410008999999999</v>
      </c>
      <c r="O528" s="666">
        <v>97.321659999999994</v>
      </c>
      <c r="P528" s="76" t="s">
        <v>787</v>
      </c>
      <c r="Q528" s="76" t="s">
        <v>776</v>
      </c>
      <c r="R528" s="670"/>
      <c r="S528" s="671"/>
      <c r="T528" s="137">
        <v>42983</v>
      </c>
      <c r="U528" s="133" t="s">
        <v>1031</v>
      </c>
      <c r="V528" s="76" t="s">
        <v>1030</v>
      </c>
      <c r="W528" s="666" t="s">
        <v>2239</v>
      </c>
    </row>
    <row r="529" spans="1:23" s="76" customFormat="1" ht="14.25" customHeight="1">
      <c r="A529" s="666" t="s">
        <v>39</v>
      </c>
      <c r="B529" s="666" t="s">
        <v>213</v>
      </c>
      <c r="C529" s="666" t="s">
        <v>1042</v>
      </c>
      <c r="D529" s="760" t="s">
        <v>1694</v>
      </c>
      <c r="E529" s="666" t="s">
        <v>1536</v>
      </c>
      <c r="F529" s="666" t="s">
        <v>1747</v>
      </c>
      <c r="G529" s="666" t="s">
        <v>1748</v>
      </c>
      <c r="H529" s="666"/>
      <c r="I529" s="666">
        <v>0</v>
      </c>
      <c r="J529" s="76" t="s">
        <v>45</v>
      </c>
      <c r="K529" s="76" t="s">
        <v>45</v>
      </c>
      <c r="L529" s="666" t="s">
        <v>774</v>
      </c>
      <c r="M529" s="76" t="s">
        <v>46</v>
      </c>
      <c r="N529" s="76">
        <v>24.759551999999999</v>
      </c>
      <c r="O529" s="76">
        <v>97.276591999999994</v>
      </c>
      <c r="P529" s="666" t="s">
        <v>787</v>
      </c>
      <c r="Q529" s="76" t="s">
        <v>776</v>
      </c>
      <c r="R529" s="670"/>
      <c r="S529" s="671"/>
      <c r="T529" s="137">
        <v>42983</v>
      </c>
      <c r="U529" s="672" t="s">
        <v>1043</v>
      </c>
      <c r="V529" s="666" t="s">
        <v>1042</v>
      </c>
      <c r="W529" s="659" t="s">
        <v>2240</v>
      </c>
    </row>
    <row r="530" spans="1:23" s="76" customFormat="1" ht="14.25" customHeight="1">
      <c r="A530" s="666" t="s">
        <v>39</v>
      </c>
      <c r="B530" s="666" t="s">
        <v>213</v>
      </c>
      <c r="C530" s="666" t="s">
        <v>219</v>
      </c>
      <c r="D530" s="760" t="s">
        <v>1694</v>
      </c>
      <c r="E530" s="666" t="s">
        <v>1510</v>
      </c>
      <c r="F530" s="666" t="s">
        <v>1708</v>
      </c>
      <c r="G530" s="666" t="s">
        <v>1709</v>
      </c>
      <c r="H530" s="666"/>
      <c r="I530" s="666">
        <v>0</v>
      </c>
      <c r="J530" s="76" t="s">
        <v>45</v>
      </c>
      <c r="K530" s="76" t="s">
        <v>45</v>
      </c>
      <c r="L530" s="666" t="s">
        <v>774</v>
      </c>
      <c r="M530" s="76" t="s">
        <v>46</v>
      </c>
      <c r="N530" s="666">
        <v>24.251860000000001</v>
      </c>
      <c r="O530" s="666">
        <v>97.346940000000004</v>
      </c>
      <c r="P530" s="666" t="s">
        <v>775</v>
      </c>
      <c r="Q530" s="76" t="s">
        <v>794</v>
      </c>
      <c r="R530" s="670"/>
      <c r="S530" s="671"/>
      <c r="T530" s="137"/>
      <c r="U530" s="672" t="s">
        <v>1013</v>
      </c>
      <c r="V530" s="666" t="s">
        <v>219</v>
      </c>
      <c r="W530" s="659" t="s">
        <v>2241</v>
      </c>
    </row>
    <row r="531" spans="1:23" s="666" customFormat="1" ht="14.25" customHeight="1">
      <c r="A531" s="666" t="s">
        <v>39</v>
      </c>
      <c r="B531" s="666" t="s">
        <v>213</v>
      </c>
      <c r="C531" s="666" t="s">
        <v>221</v>
      </c>
      <c r="D531" s="760" t="s">
        <v>3047</v>
      </c>
      <c r="E531" s="666" t="s">
        <v>1507</v>
      </c>
      <c r="F531" s="666" t="s">
        <v>1708</v>
      </c>
      <c r="G531" s="666" t="s">
        <v>1709</v>
      </c>
      <c r="H531" s="666" t="s">
        <v>43</v>
      </c>
      <c r="I531" s="666" t="s">
        <v>149</v>
      </c>
      <c r="J531" s="666" t="s">
        <v>45</v>
      </c>
      <c r="K531" s="666" t="s">
        <v>45</v>
      </c>
      <c r="L531" s="666" t="s">
        <v>45</v>
      </c>
      <c r="M531" s="666" t="s">
        <v>46</v>
      </c>
      <c r="N531" s="666">
        <v>24.250689999999999</v>
      </c>
      <c r="O531" s="666">
        <v>97.344359999999995</v>
      </c>
      <c r="P531" s="666" t="s">
        <v>775</v>
      </c>
      <c r="Q531" s="666" t="s">
        <v>794</v>
      </c>
      <c r="R531" s="670">
        <v>425</v>
      </c>
      <c r="S531" s="670">
        <v>2054</v>
      </c>
      <c r="T531" s="690"/>
      <c r="U531" s="672"/>
      <c r="V531" s="666" t="s">
        <v>221</v>
      </c>
    </row>
    <row r="532" spans="1:23" s="76" customFormat="1" ht="14.25" customHeight="1">
      <c r="A532" s="666" t="s">
        <v>39</v>
      </c>
      <c r="B532" s="666" t="s">
        <v>213</v>
      </c>
      <c r="C532" s="666" t="s">
        <v>1020</v>
      </c>
      <c r="D532" s="760" t="s">
        <v>1694</v>
      </c>
      <c r="E532" s="76" t="s">
        <v>1509</v>
      </c>
      <c r="F532" s="76" t="s">
        <v>1708</v>
      </c>
      <c r="G532" s="76" t="s">
        <v>1738</v>
      </c>
      <c r="H532" s="76" t="s">
        <v>43</v>
      </c>
      <c r="I532" s="666" t="s">
        <v>44</v>
      </c>
      <c r="J532" s="76" t="s">
        <v>45</v>
      </c>
      <c r="K532" s="76" t="s">
        <v>45</v>
      </c>
      <c r="L532" s="76" t="s">
        <v>774</v>
      </c>
      <c r="M532" s="76" t="s">
        <v>46</v>
      </c>
      <c r="N532" s="666">
        <v>24.25177</v>
      </c>
      <c r="O532" s="666">
        <v>97.346950000000007</v>
      </c>
      <c r="P532" s="76" t="s">
        <v>775</v>
      </c>
      <c r="R532" s="670"/>
      <c r="S532" s="671"/>
      <c r="T532" s="137"/>
      <c r="U532" s="133"/>
      <c r="V532" s="76" t="s">
        <v>1020</v>
      </c>
      <c r="W532" s="76" t="s">
        <v>2242</v>
      </c>
    </row>
    <row r="533" spans="1:23" s="76" customFormat="1" ht="14.25" customHeight="1">
      <c r="A533" s="675" t="s">
        <v>39</v>
      </c>
      <c r="B533" s="674" t="s">
        <v>213</v>
      </c>
      <c r="C533" s="668" t="s">
        <v>2005</v>
      </c>
      <c r="D533" s="669"/>
      <c r="H533" s="666"/>
      <c r="I533" s="666"/>
      <c r="J533" s="76" t="s">
        <v>1481</v>
      </c>
      <c r="K533" s="76" t="s">
        <v>45</v>
      </c>
      <c r="L533" s="76" t="s">
        <v>45</v>
      </c>
      <c r="M533" s="76" t="s">
        <v>46</v>
      </c>
      <c r="N533" s="666"/>
      <c r="O533" s="666"/>
      <c r="P533" s="76" t="s">
        <v>775</v>
      </c>
      <c r="Q533" s="76" t="s">
        <v>2001</v>
      </c>
      <c r="R533" s="678"/>
      <c r="S533" s="671"/>
      <c r="T533" s="137">
        <v>43270</v>
      </c>
      <c r="U533" s="133"/>
      <c r="W533" s="666"/>
    </row>
    <row r="534" spans="1:23" s="76" customFormat="1" ht="14.25" customHeight="1">
      <c r="A534" s="666" t="s">
        <v>39</v>
      </c>
      <c r="B534" s="666" t="s">
        <v>213</v>
      </c>
      <c r="C534" s="666" t="s">
        <v>1018</v>
      </c>
      <c r="D534" s="760" t="s">
        <v>3047</v>
      </c>
      <c r="E534" s="76" t="s">
        <v>1508</v>
      </c>
      <c r="I534" s="666" t="s">
        <v>2205</v>
      </c>
      <c r="J534" s="76" t="s">
        <v>45</v>
      </c>
      <c r="K534" s="76" t="s">
        <v>45</v>
      </c>
      <c r="L534" s="76" t="s">
        <v>786</v>
      </c>
      <c r="M534" s="76" t="s">
        <v>46</v>
      </c>
      <c r="N534" s="76">
        <v>24.251232000000002</v>
      </c>
      <c r="O534" s="76">
        <v>97.348405</v>
      </c>
      <c r="P534" s="76" t="s">
        <v>787</v>
      </c>
      <c r="Q534" s="76" t="s">
        <v>776</v>
      </c>
      <c r="R534" s="670">
        <v>223</v>
      </c>
      <c r="S534" s="670">
        <v>1067</v>
      </c>
      <c r="T534" s="137"/>
      <c r="U534" s="133" t="s">
        <v>1010</v>
      </c>
      <c r="V534" s="76" t="s">
        <v>1019</v>
      </c>
      <c r="W534" s="666"/>
    </row>
    <row r="535" spans="1:23" s="76" customFormat="1" ht="14.25" customHeight="1">
      <c r="A535" s="666" t="s">
        <v>39</v>
      </c>
      <c r="B535" s="666" t="s">
        <v>213</v>
      </c>
      <c r="C535" s="666" t="s">
        <v>1028</v>
      </c>
      <c r="D535" s="760" t="s">
        <v>3047</v>
      </c>
      <c r="E535" s="76" t="s">
        <v>1524</v>
      </c>
      <c r="F535" s="76" t="s">
        <v>1901</v>
      </c>
      <c r="G535" s="76" t="s">
        <v>1901</v>
      </c>
      <c r="I535" s="666" t="s">
        <v>2205</v>
      </c>
      <c r="J535" s="76" t="s">
        <v>45</v>
      </c>
      <c r="K535" s="76" t="s">
        <v>45</v>
      </c>
      <c r="L535" s="76" t="s">
        <v>786</v>
      </c>
      <c r="M535" s="76" t="s">
        <v>46</v>
      </c>
      <c r="N535" s="666">
        <v>24.404876999999999</v>
      </c>
      <c r="O535" s="666">
        <v>97.407787999999996</v>
      </c>
      <c r="P535" s="76" t="s">
        <v>787</v>
      </c>
      <c r="Q535" s="666" t="s">
        <v>776</v>
      </c>
      <c r="R535" s="670">
        <v>26</v>
      </c>
      <c r="S535" s="670">
        <v>137</v>
      </c>
      <c r="T535" s="690"/>
      <c r="U535" s="133" t="s">
        <v>1029</v>
      </c>
      <c r="V535" s="76" t="s">
        <v>1028</v>
      </c>
      <c r="W535" s="666"/>
    </row>
    <row r="536" spans="1:23" s="76" customFormat="1" ht="14.25" customHeight="1">
      <c r="A536" s="666" t="s">
        <v>39</v>
      </c>
      <c r="B536" s="666" t="s">
        <v>213</v>
      </c>
      <c r="C536" s="666" t="s">
        <v>303</v>
      </c>
      <c r="D536" s="760" t="s">
        <v>3047</v>
      </c>
      <c r="E536" s="76" t="s">
        <v>1523</v>
      </c>
      <c r="F536" s="76" t="s">
        <v>1828</v>
      </c>
      <c r="G536" s="76" t="s">
        <v>1829</v>
      </c>
      <c r="H536" s="666" t="s">
        <v>43</v>
      </c>
      <c r="I536" s="666" t="s">
        <v>44</v>
      </c>
      <c r="J536" s="76" t="s">
        <v>45</v>
      </c>
      <c r="K536" s="666" t="s">
        <v>45</v>
      </c>
      <c r="L536" s="666" t="s">
        <v>45</v>
      </c>
      <c r="M536" s="76" t="s">
        <v>792</v>
      </c>
      <c r="N536" s="666">
        <v>24.378167000000001</v>
      </c>
      <c r="O536" s="666">
        <v>97.669366999999994</v>
      </c>
      <c r="P536" s="666" t="s">
        <v>775</v>
      </c>
      <c r="Q536" s="76" t="s">
        <v>776</v>
      </c>
      <c r="R536" s="670">
        <v>354</v>
      </c>
      <c r="S536" s="670">
        <v>1546</v>
      </c>
      <c r="T536" s="137"/>
      <c r="U536" s="133"/>
      <c r="V536" s="76" t="s">
        <v>303</v>
      </c>
      <c r="W536" s="666"/>
    </row>
    <row r="537" spans="1:23" s="76" customFormat="1" ht="14.25" customHeight="1">
      <c r="A537" s="666" t="s">
        <v>39</v>
      </c>
      <c r="B537" s="666" t="s">
        <v>213</v>
      </c>
      <c r="C537" s="666" t="s">
        <v>1021</v>
      </c>
      <c r="D537" s="760" t="s">
        <v>1694</v>
      </c>
      <c r="E537" s="76" t="s">
        <v>1512</v>
      </c>
      <c r="F537" s="76" t="s">
        <v>1708</v>
      </c>
      <c r="G537" s="76" t="s">
        <v>1709</v>
      </c>
      <c r="H537" s="76" t="s">
        <v>43</v>
      </c>
      <c r="I537" s="76" t="s">
        <v>250</v>
      </c>
      <c r="J537" s="76" t="s">
        <v>45</v>
      </c>
      <c r="K537" s="666" t="s">
        <v>45</v>
      </c>
      <c r="L537" s="666" t="s">
        <v>774</v>
      </c>
      <c r="M537" s="76" t="s">
        <v>46</v>
      </c>
      <c r="N537" s="76">
        <v>24.253769999999999</v>
      </c>
      <c r="O537" s="76">
        <v>97.347740000000002</v>
      </c>
      <c r="P537" s="666" t="s">
        <v>775</v>
      </c>
      <c r="Q537" s="666"/>
      <c r="R537" s="670"/>
      <c r="S537" s="132"/>
      <c r="T537" s="690"/>
      <c r="U537" s="133"/>
      <c r="V537" s="76" t="s">
        <v>1021</v>
      </c>
      <c r="W537" s="659" t="s">
        <v>2243</v>
      </c>
    </row>
    <row r="538" spans="1:23" s="76" customFormat="1" ht="14.25" customHeight="1">
      <c r="A538" s="666" t="s">
        <v>39</v>
      </c>
      <c r="B538" s="666" t="s">
        <v>213</v>
      </c>
      <c r="C538" s="666" t="s">
        <v>292</v>
      </c>
      <c r="D538" s="760" t="s">
        <v>3047</v>
      </c>
      <c r="E538" s="76" t="s">
        <v>1499</v>
      </c>
      <c r="F538" s="76" t="s">
        <v>1813</v>
      </c>
      <c r="G538" s="76" t="s">
        <v>1814</v>
      </c>
      <c r="H538" s="76" t="s">
        <v>43</v>
      </c>
      <c r="I538" s="666" t="s">
        <v>149</v>
      </c>
      <c r="J538" s="76" t="s">
        <v>45</v>
      </c>
      <c r="K538" s="666" t="s">
        <v>45</v>
      </c>
      <c r="L538" s="666" t="s">
        <v>45</v>
      </c>
      <c r="M538" s="76" t="s">
        <v>46</v>
      </c>
      <c r="N538" s="76">
        <v>24.205417000000001</v>
      </c>
      <c r="O538" s="76">
        <v>97.724483000000006</v>
      </c>
      <c r="P538" s="76" t="s">
        <v>775</v>
      </c>
      <c r="Q538" s="76" t="s">
        <v>794</v>
      </c>
      <c r="R538" s="670">
        <v>49</v>
      </c>
      <c r="S538" s="670">
        <v>300</v>
      </c>
      <c r="T538" s="137"/>
      <c r="U538" s="133"/>
      <c r="V538" s="76" t="s">
        <v>292</v>
      </c>
      <c r="W538" s="666"/>
    </row>
    <row r="539" spans="1:23" s="76" customFormat="1" ht="14.25" customHeight="1">
      <c r="A539" s="666" t="s">
        <v>39</v>
      </c>
      <c r="B539" s="666" t="s">
        <v>213</v>
      </c>
      <c r="C539" s="666" t="s">
        <v>304</v>
      </c>
      <c r="D539" s="760" t="s">
        <v>3047</v>
      </c>
      <c r="E539" s="76" t="s">
        <v>1519</v>
      </c>
      <c r="F539" s="76" t="s">
        <v>1825</v>
      </c>
      <c r="G539" s="76" t="s">
        <v>1826</v>
      </c>
      <c r="H539" s="666" t="s">
        <v>43</v>
      </c>
      <c r="I539" s="666" t="s">
        <v>44</v>
      </c>
      <c r="J539" s="76" t="s">
        <v>45</v>
      </c>
      <c r="K539" s="666" t="s">
        <v>45</v>
      </c>
      <c r="L539" s="666" t="s">
        <v>45</v>
      </c>
      <c r="M539" s="76" t="s">
        <v>792</v>
      </c>
      <c r="N539" s="666">
        <v>24.2744</v>
      </c>
      <c r="O539" s="666">
        <v>97.752667000000002</v>
      </c>
      <c r="P539" s="666" t="s">
        <v>775</v>
      </c>
      <c r="Q539" s="76" t="s">
        <v>776</v>
      </c>
      <c r="R539" s="670">
        <v>632</v>
      </c>
      <c r="S539" s="670">
        <v>3550</v>
      </c>
      <c r="T539" s="137"/>
      <c r="U539" s="133"/>
      <c r="V539" s="76" t="s">
        <v>304</v>
      </c>
      <c r="W539" s="666"/>
    </row>
    <row r="540" spans="1:23" s="76" customFormat="1" ht="14.25" customHeight="1">
      <c r="A540" s="666" t="s">
        <v>39</v>
      </c>
      <c r="B540" s="666" t="s">
        <v>213</v>
      </c>
      <c r="C540" s="666" t="s">
        <v>1142</v>
      </c>
      <c r="D540" s="760" t="s">
        <v>1693</v>
      </c>
      <c r="H540" s="666"/>
      <c r="J540" s="76" t="s">
        <v>45</v>
      </c>
      <c r="K540" s="666" t="s">
        <v>45</v>
      </c>
      <c r="L540" s="666" t="s">
        <v>1101</v>
      </c>
      <c r="M540" s="76" t="s">
        <v>792</v>
      </c>
      <c r="N540" s="666"/>
      <c r="O540" s="666"/>
      <c r="P540" s="76" t="s">
        <v>775</v>
      </c>
      <c r="R540" s="670"/>
      <c r="S540" s="671"/>
      <c r="T540" s="137"/>
      <c r="U540" s="133"/>
      <c r="V540" s="76" t="s">
        <v>1142</v>
      </c>
    </row>
    <row r="541" spans="1:23" s="76" customFormat="1" ht="14.25" customHeight="1">
      <c r="A541" s="666" t="s">
        <v>39</v>
      </c>
      <c r="B541" s="666" t="s">
        <v>213</v>
      </c>
      <c r="C541" s="666" t="s">
        <v>1143</v>
      </c>
      <c r="D541" s="760" t="s">
        <v>1693</v>
      </c>
      <c r="J541" s="76" t="s">
        <v>45</v>
      </c>
      <c r="K541" s="666" t="s">
        <v>45</v>
      </c>
      <c r="L541" s="666" t="s">
        <v>1101</v>
      </c>
      <c r="M541" s="76" t="s">
        <v>792</v>
      </c>
      <c r="P541" s="666" t="s">
        <v>775</v>
      </c>
      <c r="R541" s="670"/>
      <c r="S541" s="671"/>
      <c r="T541" s="137"/>
      <c r="U541" s="672"/>
      <c r="V541" s="76" t="s">
        <v>1143</v>
      </c>
      <c r="W541" s="666"/>
    </row>
    <row r="542" spans="1:23" s="76" customFormat="1" ht="14.25" customHeight="1">
      <c r="A542" s="666" t="s">
        <v>39</v>
      </c>
      <c r="B542" s="666" t="s">
        <v>213</v>
      </c>
      <c r="C542" s="666" t="s">
        <v>1144</v>
      </c>
      <c r="D542" s="760" t="s">
        <v>1693</v>
      </c>
      <c r="J542" s="76" t="s">
        <v>1113</v>
      </c>
      <c r="K542" s="666" t="s">
        <v>45</v>
      </c>
      <c r="L542" s="666" t="s">
        <v>774</v>
      </c>
      <c r="M542" s="76" t="s">
        <v>792</v>
      </c>
      <c r="N542" s="666"/>
      <c r="O542" s="666"/>
      <c r="P542" s="76" t="s">
        <v>775</v>
      </c>
      <c r="R542" s="670"/>
      <c r="S542" s="671"/>
      <c r="T542" s="137"/>
      <c r="U542" s="133"/>
      <c r="V542" s="76" t="s">
        <v>1144</v>
      </c>
      <c r="W542" s="666"/>
    </row>
    <row r="543" spans="1:23" s="76" customFormat="1" ht="14.25" customHeight="1">
      <c r="A543" s="668" t="s">
        <v>39</v>
      </c>
      <c r="B543" s="668" t="s">
        <v>213</v>
      </c>
      <c r="C543" s="668" t="s">
        <v>1145</v>
      </c>
      <c r="D543" s="762" t="s">
        <v>1693</v>
      </c>
      <c r="E543" s="668"/>
      <c r="F543" s="668"/>
      <c r="G543" s="668"/>
      <c r="H543" s="668"/>
      <c r="I543" s="668"/>
      <c r="J543" s="668" t="s">
        <v>1113</v>
      </c>
      <c r="K543" s="668" t="s">
        <v>45</v>
      </c>
      <c r="L543" s="668" t="s">
        <v>774</v>
      </c>
      <c r="M543" s="668" t="s">
        <v>792</v>
      </c>
      <c r="N543" s="668"/>
      <c r="O543" s="668"/>
      <c r="P543" s="76" t="s">
        <v>775</v>
      </c>
      <c r="Q543" s="668"/>
      <c r="R543" s="674"/>
      <c r="S543" s="675"/>
      <c r="T543" s="691"/>
      <c r="U543" s="676"/>
      <c r="V543" s="668" t="s">
        <v>1145</v>
      </c>
      <c r="W543" s="666"/>
    </row>
    <row r="544" spans="1:23" s="76" customFormat="1" ht="14.25" customHeight="1">
      <c r="A544" s="666" t="s">
        <v>39</v>
      </c>
      <c r="B544" s="666" t="s">
        <v>213</v>
      </c>
      <c r="C544" s="666" t="s">
        <v>1146</v>
      </c>
      <c r="D544" s="760" t="s">
        <v>1693</v>
      </c>
      <c r="I544" s="666"/>
      <c r="J544" s="76" t="s">
        <v>812</v>
      </c>
      <c r="K544" s="666" t="s">
        <v>812</v>
      </c>
      <c r="L544" s="666" t="s">
        <v>812</v>
      </c>
      <c r="M544" s="76" t="s">
        <v>792</v>
      </c>
      <c r="P544" s="666" t="s">
        <v>813</v>
      </c>
      <c r="R544" s="670"/>
      <c r="S544" s="671"/>
      <c r="T544" s="137"/>
      <c r="U544" s="133"/>
      <c r="V544" s="76" t="s">
        <v>1146</v>
      </c>
      <c r="W544" s="666"/>
    </row>
    <row r="545" spans="1:23" s="76" customFormat="1" ht="14.25" customHeight="1">
      <c r="A545" s="666" t="s">
        <v>39</v>
      </c>
      <c r="B545" s="666" t="s">
        <v>213</v>
      </c>
      <c r="C545" s="666" t="s">
        <v>1147</v>
      </c>
      <c r="D545" s="760" t="s">
        <v>1693</v>
      </c>
      <c r="H545" s="666"/>
      <c r="J545" s="76" t="s">
        <v>1113</v>
      </c>
      <c r="K545" s="666" t="s">
        <v>45</v>
      </c>
      <c r="L545" s="666" t="s">
        <v>774</v>
      </c>
      <c r="M545" s="76" t="s">
        <v>792</v>
      </c>
      <c r="N545" s="666"/>
      <c r="O545" s="666"/>
      <c r="P545" s="666" t="s">
        <v>775</v>
      </c>
      <c r="R545" s="670"/>
      <c r="S545" s="671"/>
      <c r="T545" s="137"/>
      <c r="U545" s="133"/>
      <c r="V545" s="666" t="s">
        <v>1147</v>
      </c>
    </row>
    <row r="546" spans="1:23" s="76" customFormat="1" ht="14.25" customHeight="1">
      <c r="A546" s="666" t="s">
        <v>39</v>
      </c>
      <c r="B546" s="666" t="s">
        <v>213</v>
      </c>
      <c r="C546" s="666" t="s">
        <v>1037</v>
      </c>
      <c r="D546" s="760" t="s">
        <v>1694</v>
      </c>
      <c r="E546" s="76" t="s">
        <v>1530</v>
      </c>
      <c r="F546" s="76" t="s">
        <v>1744</v>
      </c>
      <c r="G546" s="76" t="s">
        <v>1745</v>
      </c>
      <c r="I546" s="76">
        <v>0</v>
      </c>
      <c r="J546" s="76" t="s">
        <v>45</v>
      </c>
      <c r="K546" s="666" t="s">
        <v>45</v>
      </c>
      <c r="L546" s="666" t="s">
        <v>774</v>
      </c>
      <c r="M546" s="76" t="s">
        <v>46</v>
      </c>
      <c r="N546" s="76">
        <v>24.630859999999998</v>
      </c>
      <c r="O546" s="76">
        <v>97.429860000000005</v>
      </c>
      <c r="P546" s="76" t="s">
        <v>787</v>
      </c>
      <c r="Q546" s="76" t="s">
        <v>776</v>
      </c>
      <c r="R546" s="670"/>
      <c r="S546" s="132"/>
      <c r="T546" s="137">
        <v>42983</v>
      </c>
      <c r="U546" s="133" t="s">
        <v>1038</v>
      </c>
      <c r="V546" s="666" t="s">
        <v>1037</v>
      </c>
      <c r="W546" s="659" t="s">
        <v>2244</v>
      </c>
    </row>
    <row r="547" spans="1:23" s="76" customFormat="1" ht="14.25" customHeight="1">
      <c r="A547" s="666" t="s">
        <v>39</v>
      </c>
      <c r="B547" s="668" t="s">
        <v>213</v>
      </c>
      <c r="C547" s="668" t="s">
        <v>294</v>
      </c>
      <c r="D547" s="760" t="s">
        <v>3047</v>
      </c>
      <c r="E547" s="76" t="s">
        <v>1501</v>
      </c>
      <c r="F547" s="76" t="s">
        <v>1813</v>
      </c>
      <c r="G547" s="76" t="s">
        <v>1816</v>
      </c>
      <c r="H547" s="666" t="s">
        <v>43</v>
      </c>
      <c r="I547" s="666" t="s">
        <v>149</v>
      </c>
      <c r="J547" s="76" t="s">
        <v>45</v>
      </c>
      <c r="K547" s="666" t="s">
        <v>45</v>
      </c>
      <c r="L547" s="666" t="s">
        <v>45</v>
      </c>
      <c r="M547" s="76" t="s">
        <v>46</v>
      </c>
      <c r="N547" s="666">
        <v>24.207332999999998</v>
      </c>
      <c r="O547" s="666">
        <v>97.710864000000001</v>
      </c>
      <c r="P547" s="666" t="s">
        <v>775</v>
      </c>
      <c r="Q547" s="76" t="s">
        <v>794</v>
      </c>
      <c r="R547" s="670">
        <v>44</v>
      </c>
      <c r="S547" s="670">
        <v>273</v>
      </c>
      <c r="T547" s="137"/>
      <c r="U547" s="672"/>
      <c r="V547" s="666" t="s">
        <v>294</v>
      </c>
      <c r="W547" s="666"/>
    </row>
    <row r="548" spans="1:23" s="76" customFormat="1" ht="14.25" customHeight="1">
      <c r="A548" s="666" t="s">
        <v>39</v>
      </c>
      <c r="B548" s="668" t="s">
        <v>213</v>
      </c>
      <c r="C548" s="668" t="s">
        <v>1034</v>
      </c>
      <c r="D548" s="760" t="s">
        <v>1694</v>
      </c>
      <c r="E548" s="76" t="s">
        <v>1528</v>
      </c>
      <c r="F548" s="76" t="s">
        <v>1741</v>
      </c>
      <c r="G548" s="76" t="s">
        <v>1741</v>
      </c>
      <c r="I548" s="666">
        <v>0</v>
      </c>
      <c r="J548" s="76" t="s">
        <v>45</v>
      </c>
      <c r="K548" s="76" t="s">
        <v>45</v>
      </c>
      <c r="L548" s="666" t="s">
        <v>774</v>
      </c>
      <c r="M548" s="76" t="s">
        <v>46</v>
      </c>
      <c r="N548" s="666">
        <v>24.492493</v>
      </c>
      <c r="O548" s="666">
        <v>97.416826999999998</v>
      </c>
      <c r="P548" s="666" t="s">
        <v>787</v>
      </c>
      <c r="Q548" s="76" t="s">
        <v>776</v>
      </c>
      <c r="R548" s="670"/>
      <c r="S548" s="671"/>
      <c r="T548" s="137">
        <v>42983</v>
      </c>
      <c r="U548" s="133" t="s">
        <v>1031</v>
      </c>
      <c r="V548" s="666" t="s">
        <v>1034</v>
      </c>
      <c r="W548" s="659" t="s">
        <v>2245</v>
      </c>
    </row>
    <row r="549" spans="1:23" s="76" customFormat="1" ht="14.25" customHeight="1">
      <c r="A549" s="666" t="s">
        <v>39</v>
      </c>
      <c r="B549" s="666" t="s">
        <v>167</v>
      </c>
      <c r="C549" s="666" t="s">
        <v>1102</v>
      </c>
      <c r="D549" s="760" t="s">
        <v>1694</v>
      </c>
      <c r="E549" s="666" t="s">
        <v>2029</v>
      </c>
      <c r="F549" s="76" t="s">
        <v>1754</v>
      </c>
      <c r="G549" s="76" t="s">
        <v>1769</v>
      </c>
      <c r="H549" s="666"/>
      <c r="I549" s="666" t="s">
        <v>2205</v>
      </c>
      <c r="J549" s="666" t="s">
        <v>45</v>
      </c>
      <c r="K549" s="666" t="s">
        <v>45</v>
      </c>
      <c r="L549" s="666" t="s">
        <v>774</v>
      </c>
      <c r="M549" s="666" t="s">
        <v>46</v>
      </c>
      <c r="N549" s="666"/>
      <c r="O549" s="666"/>
      <c r="P549" s="666" t="s">
        <v>775</v>
      </c>
      <c r="Q549" s="666" t="s">
        <v>940</v>
      </c>
      <c r="R549" s="670"/>
      <c r="S549" s="671"/>
      <c r="T549" s="690"/>
      <c r="U549" s="672" t="s">
        <v>1103</v>
      </c>
      <c r="V549" s="666"/>
      <c r="W549" s="76" t="s">
        <v>2246</v>
      </c>
    </row>
    <row r="550" spans="1:23" s="76" customFormat="1" ht="14.25" customHeight="1">
      <c r="A550" s="671" t="s">
        <v>39</v>
      </c>
      <c r="B550" s="674" t="s">
        <v>167</v>
      </c>
      <c r="C550" s="675" t="s">
        <v>2093</v>
      </c>
      <c r="D550" s="669"/>
      <c r="E550" s="666"/>
      <c r="F550" s="666"/>
      <c r="G550" s="666"/>
      <c r="H550" s="666"/>
      <c r="I550" s="666"/>
      <c r="J550" s="666" t="s">
        <v>1481</v>
      </c>
      <c r="K550" s="668" t="s">
        <v>45</v>
      </c>
      <c r="L550" s="668" t="s">
        <v>790</v>
      </c>
      <c r="M550" s="666" t="s">
        <v>792</v>
      </c>
      <c r="N550" s="666"/>
      <c r="O550" s="666"/>
      <c r="P550" s="666" t="s">
        <v>775</v>
      </c>
      <c r="Q550" s="666"/>
      <c r="R550" s="678"/>
      <c r="S550" s="671"/>
      <c r="T550" s="690">
        <v>43298</v>
      </c>
      <c r="U550" s="672"/>
      <c r="V550" s="666"/>
    </row>
    <row r="551" spans="1:23" s="76" customFormat="1" ht="14.25" customHeight="1">
      <c r="A551" s="666" t="s">
        <v>39</v>
      </c>
      <c r="B551" s="666" t="s">
        <v>167</v>
      </c>
      <c r="C551" s="666" t="s">
        <v>168</v>
      </c>
      <c r="D551" s="760" t="s">
        <v>3047</v>
      </c>
      <c r="E551" s="76" t="s">
        <v>1574</v>
      </c>
      <c r="F551" s="76" t="s">
        <v>1754</v>
      </c>
      <c r="G551" s="76" t="s">
        <v>1856</v>
      </c>
      <c r="H551" s="76" t="s">
        <v>43</v>
      </c>
      <c r="I551" s="666" t="s">
        <v>149</v>
      </c>
      <c r="J551" s="76" t="s">
        <v>45</v>
      </c>
      <c r="K551" s="666" t="s">
        <v>45</v>
      </c>
      <c r="L551" s="666" t="s">
        <v>45</v>
      </c>
      <c r="M551" s="76" t="s">
        <v>46</v>
      </c>
      <c r="N551" s="666">
        <v>25.395974089999999</v>
      </c>
      <c r="O551" s="666">
        <v>97.382997579999994</v>
      </c>
      <c r="P551" s="666" t="s">
        <v>775</v>
      </c>
      <c r="Q551" s="76" t="s">
        <v>794</v>
      </c>
      <c r="R551" s="670">
        <v>44</v>
      </c>
      <c r="S551" s="670">
        <v>197</v>
      </c>
      <c r="T551" s="137">
        <v>42983</v>
      </c>
      <c r="U551" s="672" t="s">
        <v>1065</v>
      </c>
      <c r="V551" s="666" t="s">
        <v>1066</v>
      </c>
      <c r="W551" s="666"/>
    </row>
    <row r="552" spans="1:23" s="76" customFormat="1" ht="14.25" customHeight="1">
      <c r="A552" s="666" t="s">
        <v>39</v>
      </c>
      <c r="B552" s="666" t="s">
        <v>167</v>
      </c>
      <c r="C552" s="666" t="s">
        <v>1068</v>
      </c>
      <c r="D552" s="760" t="s">
        <v>1693</v>
      </c>
      <c r="E552" s="666" t="s">
        <v>1576</v>
      </c>
      <c r="H552" s="666"/>
      <c r="I552" s="666"/>
      <c r="J552" s="666" t="s">
        <v>45</v>
      </c>
      <c r="K552" s="666" t="s">
        <v>45</v>
      </c>
      <c r="L552" s="666" t="s">
        <v>774</v>
      </c>
      <c r="M552" s="666" t="s">
        <v>46</v>
      </c>
      <c r="N552" s="666">
        <v>25.400270190000001</v>
      </c>
      <c r="O552" s="666">
        <v>97.384729629999995</v>
      </c>
      <c r="P552" s="76" t="s">
        <v>775</v>
      </c>
      <c r="Q552" s="666" t="s">
        <v>794</v>
      </c>
      <c r="R552" s="670"/>
      <c r="S552" s="671"/>
      <c r="T552" s="690"/>
      <c r="U552" s="672" t="s">
        <v>1065</v>
      </c>
      <c r="V552" s="76" t="s">
        <v>1068</v>
      </c>
      <c r="W552" s="666"/>
    </row>
    <row r="553" spans="1:23" s="76" customFormat="1" ht="14.25" customHeight="1">
      <c r="A553" s="666" t="s">
        <v>39</v>
      </c>
      <c r="B553" s="666" t="s">
        <v>167</v>
      </c>
      <c r="C553" s="666" t="s">
        <v>1066</v>
      </c>
      <c r="D553" s="760" t="s">
        <v>1693</v>
      </c>
      <c r="E553" s="666"/>
      <c r="F553" s="666"/>
      <c r="G553" s="666"/>
      <c r="H553" s="666"/>
      <c r="I553" s="666"/>
      <c r="J553" s="666" t="s">
        <v>45</v>
      </c>
      <c r="K553" s="666" t="s">
        <v>45</v>
      </c>
      <c r="L553" s="666" t="s">
        <v>774</v>
      </c>
      <c r="M553" s="666" t="s">
        <v>46</v>
      </c>
      <c r="N553" s="666">
        <v>25.395974089999999</v>
      </c>
      <c r="O553" s="666">
        <v>97.382997579999994</v>
      </c>
      <c r="P553" s="666" t="s">
        <v>775</v>
      </c>
      <c r="Q553" s="666" t="s">
        <v>794</v>
      </c>
      <c r="R553" s="670"/>
      <c r="S553" s="671"/>
      <c r="T553" s="690"/>
      <c r="U553" s="672"/>
      <c r="V553" s="666" t="s">
        <v>1066</v>
      </c>
    </row>
    <row r="554" spans="1:23" s="76" customFormat="1" ht="14.25" customHeight="1">
      <c r="A554" s="666" t="s">
        <v>39</v>
      </c>
      <c r="B554" s="666" t="s">
        <v>167</v>
      </c>
      <c r="C554" s="666" t="s">
        <v>1067</v>
      </c>
      <c r="D554" s="760" t="s">
        <v>1693</v>
      </c>
      <c r="E554" s="666" t="s">
        <v>1575</v>
      </c>
      <c r="F554" s="666"/>
      <c r="G554" s="666"/>
      <c r="H554" s="666"/>
      <c r="I554" s="666"/>
      <c r="J554" s="666" t="s">
        <v>45</v>
      </c>
      <c r="K554" s="666" t="s">
        <v>45</v>
      </c>
      <c r="L554" s="666" t="s">
        <v>774</v>
      </c>
      <c r="M554" s="666" t="s">
        <v>46</v>
      </c>
      <c r="N554" s="666">
        <v>25.396492500000001</v>
      </c>
      <c r="O554" s="666">
        <v>97.381325000000004</v>
      </c>
      <c r="P554" s="666" t="s">
        <v>775</v>
      </c>
      <c r="Q554" s="666" t="s">
        <v>794</v>
      </c>
      <c r="R554" s="670"/>
      <c r="S554" s="671"/>
      <c r="T554" s="690"/>
      <c r="U554" s="672" t="s">
        <v>1065</v>
      </c>
      <c r="V554" s="666" t="s">
        <v>1067</v>
      </c>
      <c r="W554" s="666"/>
    </row>
    <row r="555" spans="1:23" s="76" customFormat="1" ht="14.25" customHeight="1">
      <c r="A555" s="666" t="s">
        <v>39</v>
      </c>
      <c r="B555" s="666" t="s">
        <v>167</v>
      </c>
      <c r="C555" s="666" t="s">
        <v>169</v>
      </c>
      <c r="D555" s="760" t="s">
        <v>3047</v>
      </c>
      <c r="E555" s="76" t="s">
        <v>1578</v>
      </c>
      <c r="F555" s="76" t="s">
        <v>1754</v>
      </c>
      <c r="G555" s="76" t="s">
        <v>1857</v>
      </c>
      <c r="H555" s="76" t="s">
        <v>43</v>
      </c>
      <c r="I555" s="666" t="s">
        <v>149</v>
      </c>
      <c r="J555" s="76" t="s">
        <v>45</v>
      </c>
      <c r="K555" s="666" t="s">
        <v>45</v>
      </c>
      <c r="L555" s="666" t="s">
        <v>45</v>
      </c>
      <c r="M555" s="76" t="s">
        <v>46</v>
      </c>
      <c r="N555" s="666">
        <v>25.403476999999999</v>
      </c>
      <c r="O555" s="666">
        <v>97.373361000000003</v>
      </c>
      <c r="P555" s="76" t="s">
        <v>775</v>
      </c>
      <c r="Q555" s="76" t="s">
        <v>794</v>
      </c>
      <c r="R555" s="670">
        <v>199</v>
      </c>
      <c r="S555" s="670">
        <v>1131</v>
      </c>
      <c r="T555" s="137"/>
      <c r="U555" s="672"/>
      <c r="V555" s="76" t="s">
        <v>169</v>
      </c>
      <c r="W555" s="666"/>
    </row>
    <row r="556" spans="1:23" s="76" customFormat="1" ht="14.25" customHeight="1">
      <c r="A556" s="666" t="s">
        <v>39</v>
      </c>
      <c r="B556" s="666" t="s">
        <v>167</v>
      </c>
      <c r="C556" s="666" t="s">
        <v>241</v>
      </c>
      <c r="D556" s="760" t="s">
        <v>3047</v>
      </c>
      <c r="E556" s="76" t="s">
        <v>1577</v>
      </c>
      <c r="F556" s="76" t="s">
        <v>1754</v>
      </c>
      <c r="G556" s="76" t="s">
        <v>1857</v>
      </c>
      <c r="H556" s="76" t="s">
        <v>43</v>
      </c>
      <c r="I556" s="76" t="s">
        <v>1346</v>
      </c>
      <c r="J556" s="76" t="s">
        <v>45</v>
      </c>
      <c r="K556" s="76" t="s">
        <v>45</v>
      </c>
      <c r="L556" s="666" t="s">
        <v>45</v>
      </c>
      <c r="M556" s="76" t="s">
        <v>46</v>
      </c>
      <c r="N556" s="666">
        <v>25.401061110000001</v>
      </c>
      <c r="O556" s="666">
        <v>97.379594999999995</v>
      </c>
      <c r="P556" s="76" t="s">
        <v>775</v>
      </c>
      <c r="Q556" s="76" t="s">
        <v>794</v>
      </c>
      <c r="R556" s="670">
        <v>100</v>
      </c>
      <c r="S556" s="670">
        <v>485</v>
      </c>
      <c r="T556" s="137"/>
      <c r="U556" s="672"/>
      <c r="V556" s="76" t="s">
        <v>241</v>
      </c>
      <c r="W556" s="666"/>
    </row>
    <row r="557" spans="1:23" s="76" customFormat="1" ht="14.25" customHeight="1">
      <c r="A557" s="675" t="s">
        <v>39</v>
      </c>
      <c r="B557" s="674" t="s">
        <v>167</v>
      </c>
      <c r="C557" s="668" t="s">
        <v>2190</v>
      </c>
      <c r="D557" s="760" t="s">
        <v>3047</v>
      </c>
      <c r="E557" s="76" t="s">
        <v>2026</v>
      </c>
      <c r="H557" s="666"/>
      <c r="I557" s="76" t="s">
        <v>149</v>
      </c>
      <c r="J557" s="76" t="s">
        <v>45</v>
      </c>
      <c r="K557" s="76" t="s">
        <v>45</v>
      </c>
      <c r="L557" s="666" t="s">
        <v>45</v>
      </c>
      <c r="M557" s="76" t="s">
        <v>46</v>
      </c>
      <c r="N557" s="666"/>
      <c r="O557" s="666"/>
      <c r="P557" s="668" t="s">
        <v>775</v>
      </c>
      <c r="Q557" s="76" t="s">
        <v>2001</v>
      </c>
      <c r="R557" s="670">
        <v>140</v>
      </c>
      <c r="S557" s="670">
        <v>620</v>
      </c>
      <c r="T557" s="137">
        <v>43276</v>
      </c>
      <c r="U557" s="133" t="s">
        <v>2053</v>
      </c>
      <c r="W557" s="659" t="s">
        <v>2346</v>
      </c>
    </row>
    <row r="558" spans="1:23" s="76" customFormat="1" ht="14.25" customHeight="1">
      <c r="A558" s="675" t="s">
        <v>39</v>
      </c>
      <c r="B558" s="674" t="s">
        <v>167</v>
      </c>
      <c r="C558" s="668" t="s">
        <v>2008</v>
      </c>
      <c r="D558" s="669"/>
      <c r="E558" s="666"/>
      <c r="F558" s="666"/>
      <c r="G558" s="666"/>
      <c r="H558" s="666"/>
      <c r="I558" s="666"/>
      <c r="J558" s="666" t="s">
        <v>1481</v>
      </c>
      <c r="K558" s="666" t="s">
        <v>45</v>
      </c>
      <c r="L558" s="666" t="s">
        <v>45</v>
      </c>
      <c r="M558" s="666" t="s">
        <v>46</v>
      </c>
      <c r="N558" s="666"/>
      <c r="O558" s="666"/>
      <c r="P558" s="666" t="s">
        <v>775</v>
      </c>
      <c r="Q558" s="666" t="s">
        <v>2001</v>
      </c>
      <c r="R558" s="678"/>
      <c r="S558" s="671"/>
      <c r="T558" s="690">
        <v>43270</v>
      </c>
      <c r="U558" s="672"/>
      <c r="V558" s="666"/>
      <c r="W558" s="666"/>
    </row>
    <row r="559" spans="1:23" s="76" customFormat="1" ht="14.25" customHeight="1">
      <c r="A559" s="666" t="s">
        <v>39</v>
      </c>
      <c r="B559" s="666" t="s">
        <v>167</v>
      </c>
      <c r="C559" s="666" t="s">
        <v>1116</v>
      </c>
      <c r="D559" s="760" t="s">
        <v>3047</v>
      </c>
      <c r="E559" s="76" t="s">
        <v>2014</v>
      </c>
      <c r="F559" s="76" t="s">
        <v>1754</v>
      </c>
      <c r="G559" s="76" t="s">
        <v>1910</v>
      </c>
      <c r="I559" s="76" t="s">
        <v>1346</v>
      </c>
      <c r="J559" s="76" t="s">
        <v>45</v>
      </c>
      <c r="K559" s="76" t="s">
        <v>45</v>
      </c>
      <c r="L559" s="668" t="s">
        <v>45</v>
      </c>
      <c r="M559" s="76" t="s">
        <v>46</v>
      </c>
      <c r="N559" s="666"/>
      <c r="O559" s="666"/>
      <c r="P559" s="76" t="s">
        <v>775</v>
      </c>
      <c r="Q559" s="76" t="s">
        <v>940</v>
      </c>
      <c r="R559" s="670">
        <v>14</v>
      </c>
      <c r="S559" s="670">
        <v>39</v>
      </c>
      <c r="T559" s="137">
        <v>42983</v>
      </c>
      <c r="U559" s="133" t="s">
        <v>1117</v>
      </c>
      <c r="W559" s="659" t="s">
        <v>2347</v>
      </c>
    </row>
    <row r="560" spans="1:23" s="76" customFormat="1" ht="14.25" customHeight="1">
      <c r="A560" s="666" t="s">
        <v>39</v>
      </c>
      <c r="B560" s="666" t="s">
        <v>167</v>
      </c>
      <c r="C560" s="666" t="s">
        <v>170</v>
      </c>
      <c r="D560" s="760" t="s">
        <v>3044</v>
      </c>
      <c r="E560" s="666" t="s">
        <v>1569</v>
      </c>
      <c r="F560" s="666" t="s">
        <v>1754</v>
      </c>
      <c r="G560" s="666" t="s">
        <v>1854</v>
      </c>
      <c r="H560" s="666" t="s">
        <v>43</v>
      </c>
      <c r="I560" s="666" t="s">
        <v>149</v>
      </c>
      <c r="J560" s="666" t="s">
        <v>45</v>
      </c>
      <c r="K560" s="666" t="s">
        <v>45</v>
      </c>
      <c r="L560" s="666" t="s">
        <v>774</v>
      </c>
      <c r="M560" s="666" t="s">
        <v>46</v>
      </c>
      <c r="N560" s="666">
        <v>25.36600361</v>
      </c>
      <c r="O560" s="666">
        <v>97.405202779999996</v>
      </c>
      <c r="P560" s="666" t="s">
        <v>775</v>
      </c>
      <c r="Q560" s="666" t="s">
        <v>794</v>
      </c>
      <c r="R560" s="670"/>
      <c r="S560" s="670"/>
      <c r="T560" s="690"/>
      <c r="U560" s="672"/>
      <c r="V560" s="666" t="s">
        <v>170</v>
      </c>
      <c r="W560" s="666"/>
    </row>
    <row r="561" spans="1:23" s="76" customFormat="1" ht="14.25" customHeight="1">
      <c r="A561" s="675" t="s">
        <v>39</v>
      </c>
      <c r="B561" s="674" t="s">
        <v>167</v>
      </c>
      <c r="C561" s="675" t="s">
        <v>785</v>
      </c>
      <c r="D561" s="760" t="s">
        <v>3047</v>
      </c>
      <c r="E561" s="698" t="s">
        <v>1349</v>
      </c>
      <c r="H561" s="666"/>
      <c r="I561" s="76" t="s">
        <v>2205</v>
      </c>
      <c r="J561" s="76" t="s">
        <v>45</v>
      </c>
      <c r="K561" s="76" t="s">
        <v>45</v>
      </c>
      <c r="L561" s="76" t="s">
        <v>786</v>
      </c>
      <c r="M561" s="76" t="s">
        <v>46</v>
      </c>
      <c r="N561" s="666">
        <v>0</v>
      </c>
      <c r="O561" s="666">
        <v>0</v>
      </c>
      <c r="P561" s="76" t="s">
        <v>775</v>
      </c>
      <c r="Q561" s="76" t="s">
        <v>2193</v>
      </c>
      <c r="R561" s="670">
        <v>375</v>
      </c>
      <c r="S561" s="670">
        <v>1691</v>
      </c>
      <c r="T561" s="137">
        <v>43360</v>
      </c>
      <c r="U561" s="133" t="s">
        <v>2195</v>
      </c>
    </row>
    <row r="562" spans="1:23" s="76" customFormat="1" ht="14.25" customHeight="1">
      <c r="A562" s="671" t="s">
        <v>39</v>
      </c>
      <c r="B562" s="674" t="s">
        <v>167</v>
      </c>
      <c r="C562" s="675" t="s">
        <v>2097</v>
      </c>
      <c r="D562" s="669"/>
      <c r="H562" s="666"/>
      <c r="I562" s="666"/>
      <c r="J562" s="76" t="s">
        <v>1481</v>
      </c>
      <c r="K562" s="668" t="s">
        <v>45</v>
      </c>
      <c r="L562" s="668" t="s">
        <v>790</v>
      </c>
      <c r="M562" s="76" t="s">
        <v>792</v>
      </c>
      <c r="N562" s="666"/>
      <c r="O562" s="666"/>
      <c r="P562" s="76" t="s">
        <v>775</v>
      </c>
      <c r="R562" s="678"/>
      <c r="S562" s="671"/>
      <c r="T562" s="137">
        <v>43298</v>
      </c>
      <c r="U562" s="133"/>
      <c r="W562" s="666"/>
    </row>
    <row r="563" spans="1:23" s="76" customFormat="1" ht="14.25" customHeight="1">
      <c r="A563" s="666" t="s">
        <v>39</v>
      </c>
      <c r="B563" s="666" t="s">
        <v>167</v>
      </c>
      <c r="C563" s="666" t="s">
        <v>171</v>
      </c>
      <c r="D563" s="760" t="s">
        <v>3047</v>
      </c>
      <c r="E563" s="76" t="s">
        <v>1568</v>
      </c>
      <c r="F563" s="76" t="s">
        <v>1754</v>
      </c>
      <c r="G563" s="76" t="s">
        <v>1848</v>
      </c>
      <c r="H563" s="76" t="s">
        <v>43</v>
      </c>
      <c r="I563" s="666" t="s">
        <v>3049</v>
      </c>
      <c r="J563" s="76" t="s">
        <v>45</v>
      </c>
      <c r="K563" s="76" t="s">
        <v>45</v>
      </c>
      <c r="L563" s="76" t="s">
        <v>45</v>
      </c>
      <c r="M563" s="76" t="s">
        <v>46</v>
      </c>
      <c r="N563" s="666">
        <v>25.362420757575801</v>
      </c>
      <c r="O563" s="666">
        <v>97.409035000000003</v>
      </c>
      <c r="P563" s="76" t="s">
        <v>775</v>
      </c>
      <c r="Q563" s="76" t="s">
        <v>794</v>
      </c>
      <c r="R563" s="670">
        <v>152</v>
      </c>
      <c r="S563" s="670">
        <v>770</v>
      </c>
      <c r="T563" s="137"/>
      <c r="U563" s="133"/>
      <c r="V563" s="76" t="s">
        <v>171</v>
      </c>
      <c r="W563" s="659" t="s">
        <v>2348</v>
      </c>
    </row>
    <row r="564" spans="1:23" s="76" customFormat="1" ht="14.25" customHeight="1">
      <c r="A564" s="666" t="s">
        <v>39</v>
      </c>
      <c r="B564" s="666" t="s">
        <v>167</v>
      </c>
      <c r="C564" s="666" t="s">
        <v>172</v>
      </c>
      <c r="D564" s="760" t="s">
        <v>3047</v>
      </c>
      <c r="E564" s="76" t="s">
        <v>1560</v>
      </c>
      <c r="F564" s="76" t="s">
        <v>1754</v>
      </c>
      <c r="G564" s="76" t="s">
        <v>1848</v>
      </c>
      <c r="H564" s="76" t="s">
        <v>43</v>
      </c>
      <c r="I564" s="666" t="s">
        <v>3049</v>
      </c>
      <c r="J564" s="76" t="s">
        <v>45</v>
      </c>
      <c r="K564" s="76" t="s">
        <v>45</v>
      </c>
      <c r="L564" s="76" t="s">
        <v>45</v>
      </c>
      <c r="M564" s="76" t="s">
        <v>46</v>
      </c>
      <c r="N564" s="666">
        <v>25.3510167948718</v>
      </c>
      <c r="O564" s="666">
        <v>97.403402307692303</v>
      </c>
      <c r="P564" s="666" t="s">
        <v>775</v>
      </c>
      <c r="Q564" s="76" t="s">
        <v>794</v>
      </c>
      <c r="R564" s="670">
        <v>138</v>
      </c>
      <c r="S564" s="670">
        <v>709</v>
      </c>
      <c r="T564" s="137"/>
      <c r="U564" s="133"/>
      <c r="V564" s="76" t="s">
        <v>172</v>
      </c>
      <c r="W564" s="666"/>
    </row>
    <row r="565" spans="1:23" s="76" customFormat="1" ht="14.25" customHeight="1">
      <c r="A565" s="666" t="s">
        <v>39</v>
      </c>
      <c r="B565" s="666" t="s">
        <v>167</v>
      </c>
      <c r="C565" s="666" t="s">
        <v>173</v>
      </c>
      <c r="D565" s="760" t="s">
        <v>3047</v>
      </c>
      <c r="E565" s="76" t="s">
        <v>1567</v>
      </c>
      <c r="F565" s="76" t="s">
        <v>1754</v>
      </c>
      <c r="G565" s="76" t="s">
        <v>1853</v>
      </c>
      <c r="H565" s="666" t="s">
        <v>43</v>
      </c>
      <c r="I565" s="76" t="s">
        <v>3049</v>
      </c>
      <c r="J565" s="76" t="s">
        <v>45</v>
      </c>
      <c r="K565" s="76" t="s">
        <v>45</v>
      </c>
      <c r="L565" s="76" t="s">
        <v>45</v>
      </c>
      <c r="M565" s="76" t="s">
        <v>46</v>
      </c>
      <c r="N565" s="666">
        <v>25.360463124999999</v>
      </c>
      <c r="O565" s="666">
        <v>97.4113064583333</v>
      </c>
      <c r="P565" s="17" t="s">
        <v>775</v>
      </c>
      <c r="Q565" s="666" t="s">
        <v>794</v>
      </c>
      <c r="R565" s="131">
        <v>61</v>
      </c>
      <c r="S565" s="670">
        <v>312</v>
      </c>
      <c r="T565" s="690"/>
      <c r="U565" s="133"/>
      <c r="V565" s="76" t="s">
        <v>173</v>
      </c>
    </row>
    <row r="566" spans="1:23" s="76" customFormat="1" ht="14.25" customHeight="1">
      <c r="A566" s="666" t="s">
        <v>39</v>
      </c>
      <c r="B566" s="666" t="s">
        <v>167</v>
      </c>
      <c r="C566" s="666" t="s">
        <v>174</v>
      </c>
      <c r="D566" s="760" t="s">
        <v>3047</v>
      </c>
      <c r="E566" s="666" t="s">
        <v>1593</v>
      </c>
      <c r="F566" s="666" t="s">
        <v>1754</v>
      </c>
      <c r="G566" s="666" t="s">
        <v>1865</v>
      </c>
      <c r="H566" s="666" t="s">
        <v>43</v>
      </c>
      <c r="I566" s="666" t="s">
        <v>3049</v>
      </c>
      <c r="J566" s="76" t="s">
        <v>45</v>
      </c>
      <c r="K566" s="666" t="s">
        <v>45</v>
      </c>
      <c r="L566" s="666" t="s">
        <v>45</v>
      </c>
      <c r="M566" s="666" t="s">
        <v>46</v>
      </c>
      <c r="N566" s="666">
        <v>25.428910999999999</v>
      </c>
      <c r="O566" s="666">
        <v>97.418694000000002</v>
      </c>
      <c r="P566" s="76" t="s">
        <v>775</v>
      </c>
      <c r="Q566" s="666" t="s">
        <v>794</v>
      </c>
      <c r="R566" s="670">
        <v>103</v>
      </c>
      <c r="S566" s="670">
        <v>586</v>
      </c>
      <c r="T566" s="690"/>
      <c r="U566" s="672"/>
      <c r="V566" s="666" t="s">
        <v>174</v>
      </c>
    </row>
    <row r="567" spans="1:23" s="76" customFormat="1" ht="14.25" customHeight="1">
      <c r="A567" s="666" t="s">
        <v>39</v>
      </c>
      <c r="B567" s="666" t="s">
        <v>167</v>
      </c>
      <c r="C567" s="666" t="s">
        <v>271</v>
      </c>
      <c r="D567" s="760" t="s">
        <v>3047</v>
      </c>
      <c r="E567" s="76" t="s">
        <v>1571</v>
      </c>
      <c r="F567" s="76" t="s">
        <v>1855</v>
      </c>
      <c r="G567" s="76" t="s">
        <v>1855</v>
      </c>
      <c r="H567" s="666" t="s">
        <v>43</v>
      </c>
      <c r="I567" s="666" t="s">
        <v>250</v>
      </c>
      <c r="J567" s="76" t="s">
        <v>45</v>
      </c>
      <c r="K567" s="76" t="s">
        <v>45</v>
      </c>
      <c r="L567" s="76" t="s">
        <v>45</v>
      </c>
      <c r="M567" s="76" t="s">
        <v>46</v>
      </c>
      <c r="N567" s="666">
        <v>25.374343974359</v>
      </c>
      <c r="O567" s="666">
        <v>97.2843958974359</v>
      </c>
      <c r="P567" s="666" t="s">
        <v>775</v>
      </c>
      <c r="Q567" s="76" t="s">
        <v>794</v>
      </c>
      <c r="R567" s="670">
        <v>22</v>
      </c>
      <c r="S567" s="670">
        <v>92</v>
      </c>
      <c r="T567" s="137"/>
      <c r="U567" s="133"/>
      <c r="V567" s="76" t="s">
        <v>271</v>
      </c>
      <c r="W567" s="666"/>
    </row>
    <row r="568" spans="1:23" s="76" customFormat="1" ht="14.25" customHeight="1">
      <c r="A568" s="666" t="s">
        <v>39</v>
      </c>
      <c r="B568" s="666" t="s">
        <v>167</v>
      </c>
      <c r="C568" s="666" t="s">
        <v>272</v>
      </c>
      <c r="D568" s="760" t="s">
        <v>3047</v>
      </c>
      <c r="E568" s="666" t="s">
        <v>1570</v>
      </c>
      <c r="F568" s="666" t="s">
        <v>1855</v>
      </c>
      <c r="G568" s="666" t="s">
        <v>1855</v>
      </c>
      <c r="H568" s="666" t="s">
        <v>43</v>
      </c>
      <c r="I568" s="666" t="s">
        <v>250</v>
      </c>
      <c r="J568" s="666" t="s">
        <v>45</v>
      </c>
      <c r="K568" s="666" t="s">
        <v>45</v>
      </c>
      <c r="L568" s="666" t="s">
        <v>45</v>
      </c>
      <c r="M568" s="666" t="s">
        <v>46</v>
      </c>
      <c r="N568" s="666">
        <v>25.371049444444399</v>
      </c>
      <c r="O568" s="666">
        <v>97.290952037037002</v>
      </c>
      <c r="P568" s="666" t="s">
        <v>775</v>
      </c>
      <c r="Q568" s="666" t="s">
        <v>794</v>
      </c>
      <c r="R568" s="670">
        <v>21</v>
      </c>
      <c r="S568" s="670">
        <v>123</v>
      </c>
      <c r="T568" s="690"/>
      <c r="U568" s="672"/>
      <c r="V568" s="666" t="s">
        <v>272</v>
      </c>
      <c r="W568" s="666"/>
    </row>
    <row r="569" spans="1:23" s="76" customFormat="1" ht="14.25" customHeight="1">
      <c r="A569" s="666" t="s">
        <v>39</v>
      </c>
      <c r="B569" s="666" t="s">
        <v>167</v>
      </c>
      <c r="C569" s="666" t="s">
        <v>1063</v>
      </c>
      <c r="D569" s="760" t="s">
        <v>1694</v>
      </c>
      <c r="E569" s="76" t="s">
        <v>1573</v>
      </c>
      <c r="F569" s="76" t="s">
        <v>1754</v>
      </c>
      <c r="G569" s="76" t="s">
        <v>1756</v>
      </c>
      <c r="H569" s="666" t="s">
        <v>43</v>
      </c>
      <c r="I569" s="76" t="s">
        <v>250</v>
      </c>
      <c r="J569" s="76" t="s">
        <v>45</v>
      </c>
      <c r="K569" s="76" t="s">
        <v>45</v>
      </c>
      <c r="L569" s="76" t="s">
        <v>774</v>
      </c>
      <c r="M569" s="76" t="s">
        <v>46</v>
      </c>
      <c r="N569" s="666">
        <v>25.387862999999999</v>
      </c>
      <c r="O569" s="666">
        <v>97.376671999999999</v>
      </c>
      <c r="P569" s="76" t="s">
        <v>775</v>
      </c>
      <c r="R569" s="670"/>
      <c r="S569" s="671"/>
      <c r="T569" s="137"/>
      <c r="U569" s="133"/>
      <c r="V569" s="76" t="s">
        <v>1063</v>
      </c>
      <c r="W569" s="659" t="s">
        <v>2247</v>
      </c>
    </row>
    <row r="570" spans="1:23" s="76" customFormat="1" ht="14.25" customHeight="1">
      <c r="A570" s="666" t="s">
        <v>39</v>
      </c>
      <c r="B570" s="666" t="s">
        <v>167</v>
      </c>
      <c r="C570" s="666" t="s">
        <v>242</v>
      </c>
      <c r="D570" s="760" t="s">
        <v>3047</v>
      </c>
      <c r="E570" s="76" t="s">
        <v>1582</v>
      </c>
      <c r="F570" s="76" t="s">
        <v>1860</v>
      </c>
      <c r="G570" s="76" t="s">
        <v>1860</v>
      </c>
      <c r="H570" s="666" t="s">
        <v>43</v>
      </c>
      <c r="I570" s="666" t="s">
        <v>1346</v>
      </c>
      <c r="J570" s="76" t="s">
        <v>45</v>
      </c>
      <c r="K570" s="76" t="s">
        <v>45</v>
      </c>
      <c r="L570" s="76" t="s">
        <v>45</v>
      </c>
      <c r="M570" s="76" t="s">
        <v>46</v>
      </c>
      <c r="N570" s="666">
        <v>25.410569299999999</v>
      </c>
      <c r="O570" s="666">
        <v>97.359320179999997</v>
      </c>
      <c r="P570" s="666" t="s">
        <v>775</v>
      </c>
      <c r="Q570" s="76" t="s">
        <v>794</v>
      </c>
      <c r="R570" s="670">
        <v>60</v>
      </c>
      <c r="S570" s="670">
        <v>316</v>
      </c>
      <c r="T570" s="137"/>
      <c r="U570" s="133"/>
      <c r="V570" s="76" t="s">
        <v>242</v>
      </c>
      <c r="W570" s="666"/>
    </row>
    <row r="571" spans="1:23" s="76" customFormat="1" ht="14.25" customHeight="1">
      <c r="A571" s="666" t="s">
        <v>39</v>
      </c>
      <c r="B571" s="666" t="s">
        <v>167</v>
      </c>
      <c r="C571" s="666" t="s">
        <v>175</v>
      </c>
      <c r="D571" s="760" t="s">
        <v>3047</v>
      </c>
      <c r="E571" s="76" t="s">
        <v>1589</v>
      </c>
      <c r="F571" s="76" t="s">
        <v>1754</v>
      </c>
      <c r="G571" s="76" t="s">
        <v>1864</v>
      </c>
      <c r="H571" s="666" t="s">
        <v>43</v>
      </c>
      <c r="I571" s="666" t="s">
        <v>3049</v>
      </c>
      <c r="J571" s="76" t="s">
        <v>45</v>
      </c>
      <c r="K571" s="76" t="s">
        <v>45</v>
      </c>
      <c r="L571" s="76" t="s">
        <v>45</v>
      </c>
      <c r="M571" s="76" t="s">
        <v>46</v>
      </c>
      <c r="N571" s="666">
        <v>25.422194000000001</v>
      </c>
      <c r="O571" s="666">
        <v>97.394547000000003</v>
      </c>
      <c r="P571" s="666" t="s">
        <v>775</v>
      </c>
      <c r="Q571" s="76" t="s">
        <v>794</v>
      </c>
      <c r="R571" s="670">
        <v>67</v>
      </c>
      <c r="S571" s="670">
        <v>291</v>
      </c>
      <c r="T571" s="137"/>
      <c r="U571" s="133"/>
      <c r="V571" s="76" t="s">
        <v>175</v>
      </c>
      <c r="W571" s="666"/>
    </row>
    <row r="572" spans="1:23" s="76" customFormat="1" ht="14.25" customHeight="1">
      <c r="A572" s="666" t="s">
        <v>39</v>
      </c>
      <c r="B572" s="666" t="s">
        <v>167</v>
      </c>
      <c r="C572" s="666" t="s">
        <v>243</v>
      </c>
      <c r="D572" s="760" t="s">
        <v>3047</v>
      </c>
      <c r="E572" s="666" t="s">
        <v>1595</v>
      </c>
      <c r="F572" s="666" t="s">
        <v>1867</v>
      </c>
      <c r="G572" s="666" t="s">
        <v>1868</v>
      </c>
      <c r="H572" s="666" t="s">
        <v>43</v>
      </c>
      <c r="I572" s="666" t="s">
        <v>1346</v>
      </c>
      <c r="J572" s="666" t="s">
        <v>45</v>
      </c>
      <c r="K572" s="666" t="s">
        <v>45</v>
      </c>
      <c r="L572" s="666" t="s">
        <v>45</v>
      </c>
      <c r="M572" s="666" t="s">
        <v>46</v>
      </c>
      <c r="N572" s="666">
        <v>25.493819999999999</v>
      </c>
      <c r="O572" s="666">
        <v>97.4345</v>
      </c>
      <c r="P572" s="666" t="s">
        <v>775</v>
      </c>
      <c r="Q572" s="666" t="s">
        <v>794</v>
      </c>
      <c r="R572" s="670">
        <v>147</v>
      </c>
      <c r="S572" s="670">
        <v>882</v>
      </c>
      <c r="T572" s="690"/>
      <c r="U572" s="672"/>
      <c r="V572" s="666" t="s">
        <v>243</v>
      </c>
    </row>
    <row r="573" spans="1:23" s="76" customFormat="1" ht="14.25" customHeight="1">
      <c r="A573" s="675" t="s">
        <v>39</v>
      </c>
      <c r="B573" s="674" t="s">
        <v>167</v>
      </c>
      <c r="C573" s="675" t="s">
        <v>2191</v>
      </c>
      <c r="D573" s="760" t="s">
        <v>3047</v>
      </c>
      <c r="E573" s="76" t="s">
        <v>2192</v>
      </c>
      <c r="H573" s="666" t="s">
        <v>43</v>
      </c>
      <c r="I573" s="666" t="s">
        <v>1346</v>
      </c>
      <c r="J573" s="76" t="s">
        <v>45</v>
      </c>
      <c r="K573" s="668" t="s">
        <v>45</v>
      </c>
      <c r="L573" s="668" t="s">
        <v>45</v>
      </c>
      <c r="M573" s="76" t="s">
        <v>46</v>
      </c>
      <c r="N573" s="666">
        <v>25.493819999999999</v>
      </c>
      <c r="O573" s="666">
        <v>97.4345</v>
      </c>
      <c r="P573" s="668" t="s">
        <v>775</v>
      </c>
      <c r="Q573" s="76" t="s">
        <v>2193</v>
      </c>
      <c r="R573" s="670">
        <v>255</v>
      </c>
      <c r="S573" s="670">
        <v>1374</v>
      </c>
      <c r="T573" s="137">
        <v>43360</v>
      </c>
      <c r="U573" s="133" t="s">
        <v>2194</v>
      </c>
      <c r="W573" s="659" t="s">
        <v>2349</v>
      </c>
    </row>
    <row r="574" spans="1:23" s="76" customFormat="1" ht="14.25" customHeight="1">
      <c r="A574" s="666" t="s">
        <v>39</v>
      </c>
      <c r="B574" s="666" t="s">
        <v>167</v>
      </c>
      <c r="C574" s="668" t="s">
        <v>176</v>
      </c>
      <c r="D574" s="760" t="s">
        <v>3047</v>
      </c>
      <c r="E574" s="76" t="s">
        <v>1584</v>
      </c>
      <c r="F574" s="76" t="s">
        <v>1754</v>
      </c>
      <c r="G574" s="76" t="s">
        <v>1861</v>
      </c>
      <c r="H574" s="666" t="s">
        <v>43</v>
      </c>
      <c r="I574" s="76" t="s">
        <v>3049</v>
      </c>
      <c r="J574" s="76" t="s">
        <v>45</v>
      </c>
      <c r="K574" s="76" t="s">
        <v>45</v>
      </c>
      <c r="L574" s="76" t="s">
        <v>45</v>
      </c>
      <c r="M574" s="76" t="s">
        <v>46</v>
      </c>
      <c r="N574" s="666">
        <v>25.412313000000001</v>
      </c>
      <c r="O574" s="666">
        <v>97.399628000000007</v>
      </c>
      <c r="P574" s="76" t="s">
        <v>775</v>
      </c>
      <c r="Q574" s="76" t="s">
        <v>794</v>
      </c>
      <c r="R574" s="670">
        <v>124</v>
      </c>
      <c r="S574" s="670">
        <v>609</v>
      </c>
      <c r="T574" s="137"/>
      <c r="U574" s="133"/>
      <c r="V574" s="76" t="s">
        <v>176</v>
      </c>
      <c r="W574" s="666"/>
    </row>
    <row r="575" spans="1:23" s="76" customFormat="1" ht="14.25" customHeight="1">
      <c r="A575" s="666" t="s">
        <v>39</v>
      </c>
      <c r="B575" s="666" t="s">
        <v>167</v>
      </c>
      <c r="C575" s="668" t="s">
        <v>273</v>
      </c>
      <c r="D575" s="760" t="s">
        <v>3047</v>
      </c>
      <c r="E575" s="76" t="s">
        <v>1591</v>
      </c>
      <c r="F575" s="76" t="s">
        <v>1754</v>
      </c>
      <c r="G575" s="76" t="s">
        <v>1861</v>
      </c>
      <c r="H575" s="666" t="s">
        <v>43</v>
      </c>
      <c r="I575" s="76" t="s">
        <v>250</v>
      </c>
      <c r="J575" s="76" t="s">
        <v>45</v>
      </c>
      <c r="K575" s="76" t="s">
        <v>45</v>
      </c>
      <c r="L575" s="76" t="s">
        <v>45</v>
      </c>
      <c r="M575" s="76" t="s">
        <v>46</v>
      </c>
      <c r="N575" s="666">
        <v>25.423817</v>
      </c>
      <c r="O575" s="666">
        <v>97.418004999999994</v>
      </c>
      <c r="P575" s="76" t="s">
        <v>775</v>
      </c>
      <c r="Q575" s="76" t="s">
        <v>794</v>
      </c>
      <c r="R575" s="670">
        <v>24</v>
      </c>
      <c r="S575" s="670">
        <v>111</v>
      </c>
      <c r="T575" s="137"/>
      <c r="U575" s="133"/>
      <c r="V575" s="76" t="s">
        <v>273</v>
      </c>
      <c r="W575" s="666"/>
    </row>
    <row r="576" spans="1:23" s="76" customFormat="1" ht="14.25" customHeight="1">
      <c r="A576" s="666" t="s">
        <v>39</v>
      </c>
      <c r="B576" s="668" t="s">
        <v>167</v>
      </c>
      <c r="C576" s="668" t="s">
        <v>177</v>
      </c>
      <c r="D576" s="760" t="s">
        <v>3047</v>
      </c>
      <c r="E576" s="76" t="s">
        <v>1594</v>
      </c>
      <c r="F576" s="76" t="s">
        <v>1754</v>
      </c>
      <c r="G576" s="76" t="s">
        <v>1866</v>
      </c>
      <c r="H576" s="666" t="s">
        <v>43</v>
      </c>
      <c r="I576" s="666" t="s">
        <v>3049</v>
      </c>
      <c r="J576" s="76" t="s">
        <v>45</v>
      </c>
      <c r="K576" s="76" t="s">
        <v>45</v>
      </c>
      <c r="L576" s="76" t="s">
        <v>45</v>
      </c>
      <c r="M576" s="76" t="s">
        <v>46</v>
      </c>
      <c r="N576" s="666">
        <v>25.440928</v>
      </c>
      <c r="O576" s="666">
        <v>97.419403000000003</v>
      </c>
      <c r="P576" s="76" t="s">
        <v>775</v>
      </c>
      <c r="Q576" s="76" t="s">
        <v>794</v>
      </c>
      <c r="R576" s="670">
        <v>95</v>
      </c>
      <c r="S576" s="670">
        <v>549</v>
      </c>
      <c r="T576" s="137"/>
      <c r="U576" s="133"/>
      <c r="V576" s="76" t="s">
        <v>177</v>
      </c>
      <c r="W576" s="666"/>
    </row>
    <row r="577" spans="1:23" s="76" customFormat="1" ht="14.25" customHeight="1">
      <c r="A577" s="675" t="s">
        <v>39</v>
      </c>
      <c r="B577" s="674" t="s">
        <v>167</v>
      </c>
      <c r="C577" s="668" t="s">
        <v>2018</v>
      </c>
      <c r="D577" s="760" t="s">
        <v>3044</v>
      </c>
      <c r="E577" s="666" t="s">
        <v>2025</v>
      </c>
      <c r="F577" s="666"/>
      <c r="G577" s="666"/>
      <c r="H577" s="666"/>
      <c r="I577" s="666" t="s">
        <v>2205</v>
      </c>
      <c r="J577" s="666" t="s">
        <v>45</v>
      </c>
      <c r="K577" s="666" t="s">
        <v>45</v>
      </c>
      <c r="L577" s="666" t="s">
        <v>774</v>
      </c>
      <c r="M577" s="666" t="s">
        <v>46</v>
      </c>
      <c r="N577" s="666">
        <v>97.49136</v>
      </c>
      <c r="O577" s="666">
        <v>25.717300000000002</v>
      </c>
      <c r="P577" s="668" t="s">
        <v>775</v>
      </c>
      <c r="Q577" s="666" t="s">
        <v>2001</v>
      </c>
      <c r="R577" s="670"/>
      <c r="S577" s="670"/>
      <c r="T577" s="690">
        <v>43276</v>
      </c>
      <c r="U577" s="672" t="s">
        <v>2052</v>
      </c>
      <c r="V577" s="666"/>
      <c r="W577" s="659" t="s">
        <v>2350</v>
      </c>
    </row>
    <row r="578" spans="1:23" s="76" customFormat="1" ht="14.25" customHeight="1">
      <c r="A578" s="666" t="s">
        <v>39</v>
      </c>
      <c r="B578" s="668" t="s">
        <v>167</v>
      </c>
      <c r="C578" s="668" t="s">
        <v>1158</v>
      </c>
      <c r="D578" s="760" t="s">
        <v>1693</v>
      </c>
      <c r="J578" s="76" t="s">
        <v>45</v>
      </c>
      <c r="K578" s="76" t="s">
        <v>45</v>
      </c>
      <c r="L578" s="76" t="s">
        <v>1101</v>
      </c>
      <c r="M578" s="76" t="s">
        <v>46</v>
      </c>
      <c r="N578" s="666"/>
      <c r="O578" s="666"/>
      <c r="P578" s="76" t="s">
        <v>775</v>
      </c>
      <c r="R578" s="670"/>
      <c r="S578" s="671"/>
      <c r="T578" s="137"/>
      <c r="U578" s="133"/>
      <c r="V578" s="76" t="s">
        <v>1158</v>
      </c>
      <c r="W578" s="666"/>
    </row>
    <row r="579" spans="1:23" s="76" customFormat="1" ht="14.25" customHeight="1">
      <c r="A579" s="666" t="s">
        <v>39</v>
      </c>
      <c r="B579" s="668" t="s">
        <v>167</v>
      </c>
      <c r="C579" s="668" t="s">
        <v>178</v>
      </c>
      <c r="D579" s="760" t="s">
        <v>3047</v>
      </c>
      <c r="E579" s="666" t="s">
        <v>1585</v>
      </c>
      <c r="F579" s="666" t="s">
        <v>1754</v>
      </c>
      <c r="G579" s="666" t="s">
        <v>1858</v>
      </c>
      <c r="H579" s="666" t="s">
        <v>43</v>
      </c>
      <c r="I579" s="666" t="s">
        <v>3049</v>
      </c>
      <c r="J579" s="666" t="s">
        <v>45</v>
      </c>
      <c r="K579" s="666" t="s">
        <v>45</v>
      </c>
      <c r="L579" s="666" t="s">
        <v>45</v>
      </c>
      <c r="M579" s="666" t="s">
        <v>46</v>
      </c>
      <c r="N579" s="666">
        <v>25.415482000000001</v>
      </c>
      <c r="O579" s="666">
        <v>97.386718999999999</v>
      </c>
      <c r="P579" s="666" t="s">
        <v>775</v>
      </c>
      <c r="Q579" s="666" t="s">
        <v>794</v>
      </c>
      <c r="R579" s="670">
        <v>75</v>
      </c>
      <c r="S579" s="670">
        <v>394</v>
      </c>
      <c r="T579" s="690"/>
      <c r="U579" s="672"/>
      <c r="V579" s="666" t="s">
        <v>178</v>
      </c>
      <c r="W579" s="666"/>
    </row>
    <row r="580" spans="1:23" s="76" customFormat="1" ht="14.25" customHeight="1">
      <c r="A580" s="666" t="s">
        <v>39</v>
      </c>
      <c r="B580" s="668" t="s">
        <v>167</v>
      </c>
      <c r="C580" s="668" t="s">
        <v>274</v>
      </c>
      <c r="D580" s="760" t="s">
        <v>3047</v>
      </c>
      <c r="E580" s="76" t="s">
        <v>1590</v>
      </c>
      <c r="F580" s="76" t="s">
        <v>1754</v>
      </c>
      <c r="G580" s="76" t="s">
        <v>1858</v>
      </c>
      <c r="H580" s="666" t="s">
        <v>43</v>
      </c>
      <c r="I580" s="666" t="s">
        <v>250</v>
      </c>
      <c r="J580" s="76" t="s">
        <v>45</v>
      </c>
      <c r="K580" s="666" t="s">
        <v>45</v>
      </c>
      <c r="L580" s="666" t="s">
        <v>45</v>
      </c>
      <c r="M580" s="76" t="s">
        <v>46</v>
      </c>
      <c r="N580" s="666">
        <v>25.423209</v>
      </c>
      <c r="O580" s="666">
        <v>97.379987</v>
      </c>
      <c r="P580" s="666" t="s">
        <v>775</v>
      </c>
      <c r="Q580" s="76" t="s">
        <v>794</v>
      </c>
      <c r="R580" s="670">
        <v>54</v>
      </c>
      <c r="S580" s="670">
        <v>253</v>
      </c>
      <c r="T580" s="137"/>
      <c r="U580" s="133"/>
      <c r="V580" s="76" t="s">
        <v>1069</v>
      </c>
      <c r="W580" s="666"/>
    </row>
    <row r="581" spans="1:23" s="76" customFormat="1" ht="14.25" customHeight="1">
      <c r="A581" s="666" t="s">
        <v>39</v>
      </c>
      <c r="B581" s="668" t="s">
        <v>167</v>
      </c>
      <c r="C581" s="668" t="s">
        <v>275</v>
      </c>
      <c r="D581" s="760" t="s">
        <v>3047</v>
      </c>
      <c r="E581" s="666" t="s">
        <v>1587</v>
      </c>
      <c r="F581" s="666" t="s">
        <v>1754</v>
      </c>
      <c r="G581" s="666" t="s">
        <v>1858</v>
      </c>
      <c r="H581" s="666" t="s">
        <v>43</v>
      </c>
      <c r="I581" s="666" t="s">
        <v>250</v>
      </c>
      <c r="J581" s="666" t="s">
        <v>45</v>
      </c>
      <c r="K581" s="666" t="s">
        <v>45</v>
      </c>
      <c r="L581" s="666" t="s">
        <v>45</v>
      </c>
      <c r="M581" s="666" t="s">
        <v>46</v>
      </c>
      <c r="N581" s="666">
        <v>25.417733999999999</v>
      </c>
      <c r="O581" s="666">
        <v>97.389778000000007</v>
      </c>
      <c r="P581" s="666" t="s">
        <v>775</v>
      </c>
      <c r="Q581" s="666" t="s">
        <v>794</v>
      </c>
      <c r="R581" s="670">
        <v>16</v>
      </c>
      <c r="S581" s="670">
        <v>77</v>
      </c>
      <c r="T581" s="690"/>
      <c r="U581" s="672"/>
      <c r="V581" s="666" t="s">
        <v>275</v>
      </c>
      <c r="W581" s="666"/>
    </row>
    <row r="582" spans="1:23" s="76" customFormat="1" ht="14.25" customHeight="1">
      <c r="A582" s="666" t="s">
        <v>39</v>
      </c>
      <c r="B582" s="668" t="s">
        <v>167</v>
      </c>
      <c r="C582" s="668" t="s">
        <v>179</v>
      </c>
      <c r="D582" s="760" t="s">
        <v>3047</v>
      </c>
      <c r="E582" s="666" t="s">
        <v>1580</v>
      </c>
      <c r="F582" s="76" t="s">
        <v>1754</v>
      </c>
      <c r="G582" s="76" t="s">
        <v>1858</v>
      </c>
      <c r="H582" s="666" t="s">
        <v>43</v>
      </c>
      <c r="I582" s="666" t="s">
        <v>3049</v>
      </c>
      <c r="J582" s="76" t="s">
        <v>45</v>
      </c>
      <c r="K582" s="76" t="s">
        <v>45</v>
      </c>
      <c r="L582" s="666" t="s">
        <v>45</v>
      </c>
      <c r="M582" s="76" t="s">
        <v>46</v>
      </c>
      <c r="N582" s="666">
        <v>25.404752999999999</v>
      </c>
      <c r="O582" s="666">
        <v>97.377662999999998</v>
      </c>
      <c r="P582" s="666" t="s">
        <v>775</v>
      </c>
      <c r="Q582" s="76" t="s">
        <v>794</v>
      </c>
      <c r="R582" s="670">
        <v>32</v>
      </c>
      <c r="S582" s="670">
        <v>174</v>
      </c>
      <c r="T582" s="137"/>
      <c r="U582" s="672"/>
      <c r="V582" s="666" t="s">
        <v>179</v>
      </c>
      <c r="W582" s="666"/>
    </row>
    <row r="583" spans="1:23" s="76" customFormat="1" ht="14.25" customHeight="1">
      <c r="A583" s="666" t="s">
        <v>39</v>
      </c>
      <c r="B583" s="668" t="s">
        <v>167</v>
      </c>
      <c r="C583" s="668" t="s">
        <v>180</v>
      </c>
      <c r="D583" s="760" t="s">
        <v>3047</v>
      </c>
      <c r="E583" s="666" t="s">
        <v>1579</v>
      </c>
      <c r="F583" s="666" t="s">
        <v>1754</v>
      </c>
      <c r="G583" s="666" t="s">
        <v>1858</v>
      </c>
      <c r="H583" s="666" t="s">
        <v>43</v>
      </c>
      <c r="I583" s="666" t="s">
        <v>3049</v>
      </c>
      <c r="J583" s="76" t="s">
        <v>45</v>
      </c>
      <c r="K583" s="666" t="s">
        <v>45</v>
      </c>
      <c r="L583" s="666" t="s">
        <v>45</v>
      </c>
      <c r="M583" s="76" t="s">
        <v>46</v>
      </c>
      <c r="N583" s="666">
        <v>25.404015000000001</v>
      </c>
      <c r="O583" s="666">
        <v>97.382192000000003</v>
      </c>
      <c r="P583" s="666" t="s">
        <v>775</v>
      </c>
      <c r="Q583" s="76" t="s">
        <v>794</v>
      </c>
      <c r="R583" s="670">
        <v>46</v>
      </c>
      <c r="S583" s="670">
        <v>242</v>
      </c>
      <c r="T583" s="137"/>
      <c r="U583" s="672"/>
      <c r="V583" s="666" t="s">
        <v>180</v>
      </c>
      <c r="W583" s="666"/>
    </row>
    <row r="584" spans="1:23" s="76" customFormat="1" ht="14.25" customHeight="1">
      <c r="A584" s="675" t="s">
        <v>39</v>
      </c>
      <c r="B584" s="674" t="s">
        <v>167</v>
      </c>
      <c r="C584" s="668" t="s">
        <v>2006</v>
      </c>
      <c r="D584" s="669"/>
      <c r="F584" s="666"/>
      <c r="H584" s="666"/>
      <c r="J584" s="76" t="s">
        <v>1481</v>
      </c>
      <c r="K584" s="666" t="s">
        <v>45</v>
      </c>
      <c r="L584" s="666" t="s">
        <v>45</v>
      </c>
      <c r="M584" s="76" t="s">
        <v>46</v>
      </c>
      <c r="N584" s="666"/>
      <c r="O584" s="666"/>
      <c r="P584" s="666" t="s">
        <v>775</v>
      </c>
      <c r="Q584" s="76" t="s">
        <v>2001</v>
      </c>
      <c r="R584" s="678"/>
      <c r="S584" s="671"/>
      <c r="T584" s="137">
        <v>43270</v>
      </c>
      <c r="U584" s="133"/>
      <c r="W584" s="666"/>
    </row>
    <row r="585" spans="1:23" s="76" customFormat="1" ht="14.25" customHeight="1">
      <c r="A585" s="675" t="s">
        <v>39</v>
      </c>
      <c r="B585" s="674" t="s">
        <v>167</v>
      </c>
      <c r="C585" s="668" t="s">
        <v>2019</v>
      </c>
      <c r="D585" s="760" t="s">
        <v>3047</v>
      </c>
      <c r="E585" s="668" t="s">
        <v>2027</v>
      </c>
      <c r="F585" s="668"/>
      <c r="G585" s="668"/>
      <c r="H585" s="668"/>
      <c r="I585" s="668" t="s">
        <v>2205</v>
      </c>
      <c r="J585" s="666" t="s">
        <v>45</v>
      </c>
      <c r="K585" s="666" t="s">
        <v>45</v>
      </c>
      <c r="L585" s="668" t="s">
        <v>790</v>
      </c>
      <c r="M585" s="666" t="s">
        <v>46</v>
      </c>
      <c r="N585" s="666">
        <v>0</v>
      </c>
      <c r="O585" s="666">
        <v>0</v>
      </c>
      <c r="P585" s="17" t="s">
        <v>775</v>
      </c>
      <c r="Q585" s="666" t="s">
        <v>2001</v>
      </c>
      <c r="R585" s="670">
        <v>8</v>
      </c>
      <c r="S585" s="670">
        <v>32</v>
      </c>
      <c r="T585" s="690">
        <v>43276</v>
      </c>
      <c r="U585" s="676" t="s">
        <v>2053</v>
      </c>
      <c r="V585" s="668"/>
      <c r="W585" s="659" t="s">
        <v>2216</v>
      </c>
    </row>
    <row r="586" spans="1:23" s="76" customFormat="1" ht="14.25" customHeight="1">
      <c r="A586" s="675" t="s">
        <v>39</v>
      </c>
      <c r="B586" s="674" t="s">
        <v>167</v>
      </c>
      <c r="C586" s="668" t="s">
        <v>2200</v>
      </c>
      <c r="D586" s="760" t="s">
        <v>3047</v>
      </c>
      <c r="E586" s="666" t="s">
        <v>2024</v>
      </c>
      <c r="F586" s="666"/>
      <c r="G586" s="666"/>
      <c r="H586" s="666" t="s">
        <v>43</v>
      </c>
      <c r="I586" s="666" t="s">
        <v>3049</v>
      </c>
      <c r="J586" s="76" t="s">
        <v>45</v>
      </c>
      <c r="K586" s="76" t="s">
        <v>45</v>
      </c>
      <c r="L586" s="76" t="s">
        <v>45</v>
      </c>
      <c r="M586" s="76" t="s">
        <v>46</v>
      </c>
      <c r="N586" s="666">
        <v>25.480989999999998</v>
      </c>
      <c r="O586" s="666">
        <v>97.431079999999994</v>
      </c>
      <c r="P586" s="668" t="s">
        <v>775</v>
      </c>
      <c r="Q586" s="76" t="s">
        <v>2001</v>
      </c>
      <c r="R586" s="670">
        <v>205</v>
      </c>
      <c r="S586" s="670">
        <v>960</v>
      </c>
      <c r="T586" s="137">
        <v>43276</v>
      </c>
      <c r="U586" s="672" t="s">
        <v>2052</v>
      </c>
      <c r="V586" s="666"/>
      <c r="W586" s="659" t="s">
        <v>2351</v>
      </c>
    </row>
    <row r="587" spans="1:23" s="76" customFormat="1" ht="14.25" customHeight="1">
      <c r="A587" s="675" t="s">
        <v>39</v>
      </c>
      <c r="B587" s="674" t="s">
        <v>167</v>
      </c>
      <c r="C587" s="668" t="s">
        <v>2007</v>
      </c>
      <c r="D587" s="669"/>
      <c r="E587" s="666"/>
      <c r="F587" s="666"/>
      <c r="G587" s="666"/>
      <c r="H587" s="666"/>
      <c r="I587" s="666"/>
      <c r="J587" s="666" t="s">
        <v>1481</v>
      </c>
      <c r="K587" s="666" t="s">
        <v>45</v>
      </c>
      <c r="L587" s="666" t="s">
        <v>45</v>
      </c>
      <c r="M587" s="666" t="s">
        <v>46</v>
      </c>
      <c r="N587" s="666"/>
      <c r="O587" s="666"/>
      <c r="P587" s="666" t="s">
        <v>775</v>
      </c>
      <c r="Q587" s="666" t="s">
        <v>2001</v>
      </c>
      <c r="R587" s="678"/>
      <c r="S587" s="671"/>
      <c r="T587" s="690">
        <v>43270</v>
      </c>
      <c r="U587" s="672"/>
      <c r="V587" s="666"/>
      <c r="W587" s="666"/>
    </row>
    <row r="588" spans="1:23" s="76" customFormat="1" ht="14.25" customHeight="1">
      <c r="A588" s="666" t="s">
        <v>39</v>
      </c>
      <c r="B588" s="668" t="s">
        <v>167</v>
      </c>
      <c r="C588" s="668" t="s">
        <v>1061</v>
      </c>
      <c r="D588" s="760" t="s">
        <v>1694</v>
      </c>
      <c r="E588" s="76" t="s">
        <v>1572</v>
      </c>
      <c r="F588" s="76" t="s">
        <v>1754</v>
      </c>
      <c r="G588" s="76" t="s">
        <v>1755</v>
      </c>
      <c r="H588" s="76" t="s">
        <v>43</v>
      </c>
      <c r="I588" s="76" t="s">
        <v>250</v>
      </c>
      <c r="J588" s="76" t="s">
        <v>45</v>
      </c>
      <c r="K588" s="76" t="s">
        <v>45</v>
      </c>
      <c r="L588" s="76" t="s">
        <v>774</v>
      </c>
      <c r="M588" s="76" t="s">
        <v>46</v>
      </c>
      <c r="N588" s="666">
        <v>25.377038169999999</v>
      </c>
      <c r="O588" s="666">
        <v>97.403878500000005</v>
      </c>
      <c r="P588" s="76" t="s">
        <v>775</v>
      </c>
      <c r="Q588" s="76" t="s">
        <v>794</v>
      </c>
      <c r="R588" s="670"/>
      <c r="S588" s="671"/>
      <c r="T588" s="137">
        <v>42983</v>
      </c>
      <c r="U588" s="133" t="s">
        <v>1062</v>
      </c>
      <c r="V588" s="76" t="s">
        <v>1061</v>
      </c>
      <c r="W588" s="666" t="s">
        <v>2248</v>
      </c>
    </row>
    <row r="589" spans="1:23" s="76" customFormat="1" ht="14.25" customHeight="1">
      <c r="A589" s="666" t="s">
        <v>39</v>
      </c>
      <c r="B589" s="666" t="s">
        <v>181</v>
      </c>
      <c r="C589" s="666" t="s">
        <v>1114</v>
      </c>
      <c r="D589" s="760" t="s">
        <v>1693</v>
      </c>
      <c r="E589" s="666"/>
      <c r="F589" s="666"/>
      <c r="G589" s="666"/>
      <c r="H589" s="666"/>
      <c r="I589" s="666"/>
      <c r="J589" s="76" t="s">
        <v>45</v>
      </c>
      <c r="K589" s="76" t="s">
        <v>45</v>
      </c>
      <c r="L589" s="76" t="s">
        <v>1101</v>
      </c>
      <c r="M589" s="76" t="s">
        <v>46</v>
      </c>
      <c r="N589" s="666"/>
      <c r="O589" s="666"/>
      <c r="P589" s="76" t="s">
        <v>775</v>
      </c>
      <c r="R589" s="670"/>
      <c r="S589" s="671"/>
      <c r="T589" s="137"/>
      <c r="U589" s="672"/>
      <c r="V589" s="666" t="s">
        <v>1114</v>
      </c>
      <c r="W589" s="666"/>
    </row>
    <row r="590" spans="1:23" s="76" customFormat="1" ht="14.25" customHeight="1">
      <c r="A590" s="666" t="s">
        <v>39</v>
      </c>
      <c r="B590" s="666" t="s">
        <v>181</v>
      </c>
      <c r="C590" s="666" t="s">
        <v>1088</v>
      </c>
      <c r="D590" s="760" t="s">
        <v>3047</v>
      </c>
      <c r="E590" s="666" t="s">
        <v>1636</v>
      </c>
      <c r="F590" s="666" t="s">
        <v>1767</v>
      </c>
      <c r="G590" s="666" t="s">
        <v>1908</v>
      </c>
      <c r="H590" s="666"/>
      <c r="I590" s="668" t="s">
        <v>2205</v>
      </c>
      <c r="J590" s="76" t="s">
        <v>45</v>
      </c>
      <c r="K590" s="666" t="s">
        <v>45</v>
      </c>
      <c r="L590" s="666" t="s">
        <v>786</v>
      </c>
      <c r="M590" s="76" t="s">
        <v>46</v>
      </c>
      <c r="N590" s="666">
        <v>27.248964999999998</v>
      </c>
      <c r="O590" s="666">
        <v>97.561105999999995</v>
      </c>
      <c r="P590" s="76" t="s">
        <v>787</v>
      </c>
      <c r="Q590" s="76" t="s">
        <v>776</v>
      </c>
      <c r="R590" s="670">
        <v>10</v>
      </c>
      <c r="S590" s="670">
        <v>56</v>
      </c>
      <c r="T590" s="137"/>
      <c r="U590" s="672" t="s">
        <v>1089</v>
      </c>
      <c r="V590" s="666"/>
      <c r="W590" s="666"/>
    </row>
    <row r="591" spans="1:23" s="76" customFormat="1" ht="14.25" customHeight="1">
      <c r="A591" s="666" t="s">
        <v>39</v>
      </c>
      <c r="B591" s="666" t="s">
        <v>181</v>
      </c>
      <c r="C591" s="666" t="s">
        <v>182</v>
      </c>
      <c r="D591" s="760" t="s">
        <v>3047</v>
      </c>
      <c r="E591" s="76" t="s">
        <v>1640</v>
      </c>
      <c r="F591" s="666" t="s">
        <v>1883</v>
      </c>
      <c r="G591" s="76" t="s">
        <v>1884</v>
      </c>
      <c r="H591" s="76" t="s">
        <v>43</v>
      </c>
      <c r="I591" s="76" t="s">
        <v>3049</v>
      </c>
      <c r="J591" s="76" t="s">
        <v>45</v>
      </c>
      <c r="K591" s="666" t="s">
        <v>45</v>
      </c>
      <c r="L591" s="666" t="s">
        <v>45</v>
      </c>
      <c r="M591" s="76" t="s">
        <v>46</v>
      </c>
      <c r="N591" s="666">
        <v>27.337499999999999</v>
      </c>
      <c r="O591" s="666">
        <v>97.416121000000004</v>
      </c>
      <c r="P591" s="76" t="s">
        <v>775</v>
      </c>
      <c r="Q591" s="76" t="s">
        <v>794</v>
      </c>
      <c r="R591" s="670">
        <v>61</v>
      </c>
      <c r="S591" s="670">
        <v>281</v>
      </c>
      <c r="T591" s="137"/>
      <c r="U591" s="133"/>
      <c r="V591" s="76" t="s">
        <v>1096</v>
      </c>
      <c r="W591" s="666"/>
    </row>
    <row r="592" spans="1:23" s="76" customFormat="1" ht="14.25" customHeight="1">
      <c r="A592" s="666" t="s">
        <v>39</v>
      </c>
      <c r="B592" s="666" t="s">
        <v>181</v>
      </c>
      <c r="C592" s="666" t="s">
        <v>1090</v>
      </c>
      <c r="D592" s="760" t="s">
        <v>1694</v>
      </c>
      <c r="E592" s="76" t="s">
        <v>1637</v>
      </c>
      <c r="F592" s="76" t="s">
        <v>1767</v>
      </c>
      <c r="G592" s="76" t="s">
        <v>1768</v>
      </c>
      <c r="I592" s="76">
        <v>0</v>
      </c>
      <c r="J592" s="76" t="s">
        <v>45</v>
      </c>
      <c r="K592" s="666" t="s">
        <v>45</v>
      </c>
      <c r="L592" s="666" t="s">
        <v>774</v>
      </c>
      <c r="M592" s="76" t="s">
        <v>46</v>
      </c>
      <c r="N592" s="76">
        <v>27.270199999999999</v>
      </c>
      <c r="O592" s="666">
        <v>97.58184</v>
      </c>
      <c r="P592" s="76" t="s">
        <v>775</v>
      </c>
      <c r="R592" s="670"/>
      <c r="S592" s="671"/>
      <c r="T592" s="137"/>
      <c r="U592" s="133"/>
      <c r="V592" s="76" t="s">
        <v>1090</v>
      </c>
      <c r="W592" s="659" t="s">
        <v>2249</v>
      </c>
    </row>
    <row r="593" spans="1:23" s="76" customFormat="1" ht="14.25" customHeight="1">
      <c r="A593" s="666" t="s">
        <v>39</v>
      </c>
      <c r="B593" s="666" t="s">
        <v>181</v>
      </c>
      <c r="C593" s="666" t="s">
        <v>1139</v>
      </c>
      <c r="D593" s="760" t="s">
        <v>1693</v>
      </c>
      <c r="J593" s="76" t="s">
        <v>45</v>
      </c>
      <c r="K593" s="76" t="s">
        <v>45</v>
      </c>
      <c r="L593" s="76" t="s">
        <v>1101</v>
      </c>
      <c r="M593" s="76" t="s">
        <v>46</v>
      </c>
      <c r="P593" s="76" t="s">
        <v>775</v>
      </c>
      <c r="R593" s="131"/>
      <c r="S593" s="132"/>
      <c r="T593" s="137"/>
      <c r="U593" s="133"/>
      <c r="V593" s="76" t="s">
        <v>1139</v>
      </c>
      <c r="W593" s="666"/>
    </row>
    <row r="594" spans="1:23" s="76" customFormat="1" ht="14.25" customHeight="1">
      <c r="A594" s="666" t="s">
        <v>39</v>
      </c>
      <c r="B594" s="668" t="s">
        <v>181</v>
      </c>
      <c r="C594" s="668" t="s">
        <v>1094</v>
      </c>
      <c r="D594" s="760" t="s">
        <v>3047</v>
      </c>
      <c r="E594" s="76" t="s">
        <v>1639</v>
      </c>
      <c r="F594" s="76" t="s">
        <v>1883</v>
      </c>
      <c r="G594" s="76" t="s">
        <v>1909</v>
      </c>
      <c r="I594" s="668" t="s">
        <v>2205</v>
      </c>
      <c r="J594" s="76" t="s">
        <v>45</v>
      </c>
      <c r="K594" s="76" t="s">
        <v>45</v>
      </c>
      <c r="L594" s="76" t="s">
        <v>786</v>
      </c>
      <c r="M594" s="76" t="s">
        <v>46</v>
      </c>
      <c r="N594" s="76">
        <v>27.311699999999998</v>
      </c>
      <c r="O594" s="76">
        <v>97.415289999999999</v>
      </c>
      <c r="P594" s="76" t="s">
        <v>787</v>
      </c>
      <c r="Q594" s="76" t="s">
        <v>776</v>
      </c>
      <c r="R594" s="670">
        <v>17</v>
      </c>
      <c r="S594" s="670">
        <v>92</v>
      </c>
      <c r="T594" s="137"/>
      <c r="U594" s="133" t="s">
        <v>1095</v>
      </c>
      <c r="V594" s="76" t="s">
        <v>1094</v>
      </c>
      <c r="W594" s="666"/>
    </row>
    <row r="595" spans="1:23" s="76" customFormat="1" ht="14.25" customHeight="1">
      <c r="A595" s="671" t="s">
        <v>39</v>
      </c>
      <c r="B595" s="674" t="s">
        <v>222</v>
      </c>
      <c r="C595" s="675" t="s">
        <v>2095</v>
      </c>
      <c r="D595" s="669"/>
      <c r="J595" s="76" t="s">
        <v>1481</v>
      </c>
      <c r="K595" s="668" t="s">
        <v>45</v>
      </c>
      <c r="L595" s="668" t="s">
        <v>790</v>
      </c>
      <c r="M595" s="76" t="s">
        <v>792</v>
      </c>
      <c r="N595" s="666"/>
      <c r="O595" s="666"/>
      <c r="P595" s="76" t="s">
        <v>775</v>
      </c>
      <c r="R595" s="678"/>
      <c r="S595" s="671"/>
      <c r="T595" s="137">
        <v>43298</v>
      </c>
      <c r="U595" s="133"/>
      <c r="W595" s="666"/>
    </row>
    <row r="596" spans="1:23" s="76" customFormat="1" ht="14.25" customHeight="1">
      <c r="A596" s="671" t="s">
        <v>39</v>
      </c>
      <c r="B596" s="674" t="s">
        <v>222</v>
      </c>
      <c r="C596" s="697" t="s">
        <v>2087</v>
      </c>
      <c r="D596" s="669"/>
      <c r="E596" s="666"/>
      <c r="F596" s="666"/>
      <c r="G596" s="666"/>
      <c r="H596" s="666"/>
      <c r="I596" s="666"/>
      <c r="J596" s="666" t="s">
        <v>1481</v>
      </c>
      <c r="K596" s="668" t="s">
        <v>45</v>
      </c>
      <c r="L596" s="668" t="s">
        <v>790</v>
      </c>
      <c r="M596" s="666" t="s">
        <v>792</v>
      </c>
      <c r="N596" s="666"/>
      <c r="O596" s="666"/>
      <c r="P596" s="666" t="s">
        <v>775</v>
      </c>
      <c r="Q596" s="666"/>
      <c r="R596" s="678"/>
      <c r="S596" s="671"/>
      <c r="T596" s="690">
        <v>43297</v>
      </c>
      <c r="U596" s="672"/>
      <c r="V596" s="666"/>
      <c r="W596" s="666"/>
    </row>
    <row r="597" spans="1:23" s="76" customFormat="1" ht="14.25" customHeight="1">
      <c r="A597" s="666" t="s">
        <v>39</v>
      </c>
      <c r="B597" s="668" t="s">
        <v>222</v>
      </c>
      <c r="C597" s="668" t="s">
        <v>223</v>
      </c>
      <c r="D597" s="760" t="s">
        <v>3047</v>
      </c>
      <c r="E597" s="76" t="s">
        <v>1494</v>
      </c>
      <c r="F597" s="76" t="s">
        <v>1812</v>
      </c>
      <c r="G597" s="76" t="s">
        <v>1812</v>
      </c>
      <c r="H597" s="76" t="s">
        <v>43</v>
      </c>
      <c r="I597" s="76" t="s">
        <v>3048</v>
      </c>
      <c r="J597" s="76" t="s">
        <v>45</v>
      </c>
      <c r="K597" s="76" t="s">
        <v>45</v>
      </c>
      <c r="L597" s="76" t="s">
        <v>45</v>
      </c>
      <c r="M597" s="76" t="s">
        <v>46</v>
      </c>
      <c r="N597" s="76">
        <v>24.200361000000001</v>
      </c>
      <c r="O597" s="76">
        <v>96.807353000000006</v>
      </c>
      <c r="P597" s="76" t="s">
        <v>775</v>
      </c>
      <c r="Q597" s="76" t="s">
        <v>794</v>
      </c>
      <c r="R597" s="131">
        <v>47</v>
      </c>
      <c r="S597" s="670">
        <v>277</v>
      </c>
      <c r="T597" s="137"/>
      <c r="U597" s="133"/>
      <c r="V597" s="76" t="s">
        <v>223</v>
      </c>
    </row>
    <row r="598" spans="1:23" s="76" customFormat="1" ht="14.25" customHeight="1">
      <c r="A598" s="666" t="s">
        <v>39</v>
      </c>
      <c r="B598" s="668" t="s">
        <v>222</v>
      </c>
      <c r="C598" s="668" t="s">
        <v>224</v>
      </c>
      <c r="D598" s="760" t="s">
        <v>3047</v>
      </c>
      <c r="E598" s="666" t="s">
        <v>1495</v>
      </c>
      <c r="F598" s="666" t="s">
        <v>1812</v>
      </c>
      <c r="G598" s="666" t="s">
        <v>1812</v>
      </c>
      <c r="H598" s="666" t="s">
        <v>43</v>
      </c>
      <c r="I598" s="666" t="s">
        <v>44</v>
      </c>
      <c r="J598" s="666" t="s">
        <v>45</v>
      </c>
      <c r="K598" s="666" t="s">
        <v>45</v>
      </c>
      <c r="L598" s="666" t="s">
        <v>45</v>
      </c>
      <c r="M598" s="666" t="s">
        <v>46</v>
      </c>
      <c r="N598" s="666">
        <v>24.200367</v>
      </c>
      <c r="O598" s="666">
        <v>96.807353000000006</v>
      </c>
      <c r="P598" s="666" t="s">
        <v>775</v>
      </c>
      <c r="Q598" s="666" t="s">
        <v>794</v>
      </c>
      <c r="R598" s="670">
        <v>47</v>
      </c>
      <c r="S598" s="670">
        <v>194</v>
      </c>
      <c r="T598" s="690"/>
      <c r="U598" s="672"/>
      <c r="V598" s="666" t="s">
        <v>224</v>
      </c>
      <c r="W598" s="666"/>
    </row>
    <row r="599" spans="1:23" s="76" customFormat="1" ht="14.25" customHeight="1">
      <c r="A599" s="666" t="s">
        <v>39</v>
      </c>
      <c r="B599" s="668" t="s">
        <v>222</v>
      </c>
      <c r="C599" s="668" t="s">
        <v>1152</v>
      </c>
      <c r="D599" s="760" t="s">
        <v>1693</v>
      </c>
      <c r="E599" s="666"/>
      <c r="F599" s="666"/>
      <c r="G599" s="666"/>
      <c r="H599" s="666"/>
      <c r="I599" s="666"/>
      <c r="J599" s="666" t="s">
        <v>1101</v>
      </c>
      <c r="K599" s="666" t="s">
        <v>45</v>
      </c>
      <c r="L599" s="666" t="s">
        <v>774</v>
      </c>
      <c r="M599" s="666" t="s">
        <v>46</v>
      </c>
      <c r="N599" s="666"/>
      <c r="O599" s="666"/>
      <c r="P599" s="76" t="s">
        <v>775</v>
      </c>
      <c r="Q599" s="666"/>
      <c r="R599" s="670"/>
      <c r="S599" s="671"/>
      <c r="T599" s="690"/>
      <c r="U599" s="672"/>
      <c r="V599" s="666" t="s">
        <v>1152</v>
      </c>
    </row>
    <row r="600" spans="1:23" s="76" customFormat="1" ht="14.25" customHeight="1">
      <c r="A600" s="666" t="s">
        <v>39</v>
      </c>
      <c r="B600" s="668" t="s">
        <v>222</v>
      </c>
      <c r="C600" s="668" t="s">
        <v>1016</v>
      </c>
      <c r="D600" s="760" t="s">
        <v>1693</v>
      </c>
      <c r="E600" s="76" t="s">
        <v>1503</v>
      </c>
      <c r="I600" s="76">
        <v>0</v>
      </c>
      <c r="J600" s="76" t="s">
        <v>45</v>
      </c>
      <c r="K600" s="76" t="s">
        <v>45</v>
      </c>
      <c r="L600" s="76" t="s">
        <v>774</v>
      </c>
      <c r="M600" s="76" t="s">
        <v>46</v>
      </c>
      <c r="N600" s="76">
        <v>24.224830999999998</v>
      </c>
      <c r="O600" s="76">
        <v>96.793177</v>
      </c>
      <c r="P600" s="76" t="s">
        <v>775</v>
      </c>
      <c r="Q600" s="76" t="s">
        <v>776</v>
      </c>
      <c r="R600" s="670"/>
      <c r="S600" s="132"/>
      <c r="T600" s="137">
        <v>42983</v>
      </c>
      <c r="U600" s="133" t="s">
        <v>1017</v>
      </c>
      <c r="W600" s="76" t="s">
        <v>2250</v>
      </c>
    </row>
    <row r="601" spans="1:23" s="76" customFormat="1" ht="14.25" customHeight="1">
      <c r="A601" s="671" t="s">
        <v>39</v>
      </c>
      <c r="B601" s="674" t="s">
        <v>222</v>
      </c>
      <c r="C601" s="675" t="s">
        <v>2094</v>
      </c>
      <c r="D601" s="669"/>
      <c r="J601" s="76" t="s">
        <v>1481</v>
      </c>
      <c r="K601" s="668" t="s">
        <v>45</v>
      </c>
      <c r="L601" s="668" t="s">
        <v>790</v>
      </c>
      <c r="M601" s="76" t="s">
        <v>792</v>
      </c>
      <c r="N601" s="666"/>
      <c r="O601" s="666"/>
      <c r="P601" s="76" t="s">
        <v>775</v>
      </c>
      <c r="R601" s="678"/>
      <c r="S601" s="132"/>
      <c r="T601" s="137">
        <v>43298</v>
      </c>
      <c r="U601" s="133"/>
    </row>
    <row r="602" spans="1:23" s="76" customFormat="1" ht="14.25" customHeight="1">
      <c r="A602" s="671" t="s">
        <v>39</v>
      </c>
      <c r="B602" s="674" t="s">
        <v>222</v>
      </c>
      <c r="C602" s="675" t="s">
        <v>2092</v>
      </c>
      <c r="D602" s="669"/>
      <c r="J602" s="76" t="s">
        <v>1481</v>
      </c>
      <c r="K602" s="668" t="s">
        <v>45</v>
      </c>
      <c r="L602" s="668" t="s">
        <v>790</v>
      </c>
      <c r="M602" s="76" t="s">
        <v>792</v>
      </c>
      <c r="P602" s="76" t="s">
        <v>775</v>
      </c>
      <c r="R602" s="678"/>
      <c r="S602" s="132"/>
      <c r="T602" s="137">
        <v>43298</v>
      </c>
      <c r="U602" s="133"/>
    </row>
    <row r="603" spans="1:23" s="76" customFormat="1" ht="14.25" customHeight="1">
      <c r="A603" s="666" t="s">
        <v>39</v>
      </c>
      <c r="B603" s="666" t="s">
        <v>192</v>
      </c>
      <c r="C603" s="759" t="s">
        <v>3045</v>
      </c>
      <c r="D603" s="760" t="s">
        <v>3047</v>
      </c>
      <c r="E603" s="76" t="s">
        <v>3046</v>
      </c>
      <c r="F603" s="76">
        <v>0</v>
      </c>
      <c r="G603" s="76">
        <v>0</v>
      </c>
      <c r="I603" s="668" t="s">
        <v>2205</v>
      </c>
      <c r="J603" s="76" t="s">
        <v>45</v>
      </c>
      <c r="K603" s="76" t="s">
        <v>45</v>
      </c>
      <c r="L603" s="758" t="s">
        <v>790</v>
      </c>
      <c r="M603" s="76" t="s">
        <v>46</v>
      </c>
      <c r="N603" s="666">
        <v>25.415667500000001</v>
      </c>
      <c r="O603" s="666">
        <v>97.437782499999997</v>
      </c>
      <c r="P603" s="17" t="s">
        <v>775</v>
      </c>
      <c r="Q603" s="76" t="s">
        <v>2947</v>
      </c>
      <c r="R603" s="670">
        <v>29</v>
      </c>
      <c r="S603" s="670">
        <v>140</v>
      </c>
      <c r="T603" s="137">
        <v>43579</v>
      </c>
      <c r="U603" s="133"/>
    </row>
    <row r="604" spans="1:23" s="76" customFormat="1" ht="14.25" customHeight="1">
      <c r="A604" s="666" t="s">
        <v>39</v>
      </c>
      <c r="B604" s="666" t="s">
        <v>192</v>
      </c>
      <c r="C604" s="666" t="s">
        <v>193</v>
      </c>
      <c r="D604" s="760" t="s">
        <v>3047</v>
      </c>
      <c r="E604" s="76" t="s">
        <v>1634</v>
      </c>
      <c r="F604" s="76">
        <v>0</v>
      </c>
      <c r="G604" s="76">
        <v>0</v>
      </c>
      <c r="H604" s="76" t="s">
        <v>43</v>
      </c>
      <c r="I604" s="76" t="s">
        <v>3049</v>
      </c>
      <c r="J604" s="76" t="s">
        <v>45</v>
      </c>
      <c r="K604" s="76" t="s">
        <v>45</v>
      </c>
      <c r="L604" s="76" t="s">
        <v>45</v>
      </c>
      <c r="M604" s="76" t="s">
        <v>792</v>
      </c>
      <c r="N604" s="76">
        <v>26.569633</v>
      </c>
      <c r="O604" s="76">
        <v>97.745480999999998</v>
      </c>
      <c r="P604" s="17" t="s">
        <v>775</v>
      </c>
      <c r="Q604" s="76" t="s">
        <v>776</v>
      </c>
      <c r="R604" s="670">
        <v>111</v>
      </c>
      <c r="S604" s="670">
        <v>564</v>
      </c>
      <c r="T604" s="137"/>
      <c r="U604" s="133"/>
      <c r="V604" s="76" t="s">
        <v>1085</v>
      </c>
    </row>
    <row r="605" spans="1:23" s="76" customFormat="1" ht="14.25" customHeight="1">
      <c r="A605" s="666" t="s">
        <v>39</v>
      </c>
      <c r="B605" s="666" t="s">
        <v>192</v>
      </c>
      <c r="C605" s="666" t="s">
        <v>1138</v>
      </c>
      <c r="D605" s="760" t="s">
        <v>1693</v>
      </c>
      <c r="E605" s="666"/>
      <c r="F605" s="666"/>
      <c r="G605" s="666"/>
      <c r="H605" s="666"/>
      <c r="I605" s="666"/>
      <c r="J605" s="666" t="s">
        <v>45</v>
      </c>
      <c r="K605" s="666" t="s">
        <v>45</v>
      </c>
      <c r="L605" s="666" t="s">
        <v>1101</v>
      </c>
      <c r="M605" s="666" t="s">
        <v>46</v>
      </c>
      <c r="N605" s="666"/>
      <c r="O605" s="666"/>
      <c r="P605" s="76" t="s">
        <v>775</v>
      </c>
      <c r="Q605" s="666"/>
      <c r="R605" s="670"/>
      <c r="S605" s="671"/>
      <c r="T605" s="690"/>
      <c r="U605" s="672"/>
      <c r="V605" s="666" t="s">
        <v>1138</v>
      </c>
    </row>
    <row r="606" spans="1:23" s="76" customFormat="1" ht="14.25" customHeight="1">
      <c r="A606" s="666" t="s">
        <v>39</v>
      </c>
      <c r="B606" s="668" t="s">
        <v>192</v>
      </c>
      <c r="C606" s="668" t="s">
        <v>195</v>
      </c>
      <c r="D606" s="760" t="s">
        <v>3047</v>
      </c>
      <c r="E606" s="76" t="s">
        <v>1633</v>
      </c>
      <c r="F606" s="76">
        <v>0</v>
      </c>
      <c r="G606" s="76">
        <v>0</v>
      </c>
      <c r="H606" s="76" t="s">
        <v>43</v>
      </c>
      <c r="I606" s="76" t="s">
        <v>3049</v>
      </c>
      <c r="J606" s="76" t="s">
        <v>45</v>
      </c>
      <c r="K606" s="76" t="s">
        <v>45</v>
      </c>
      <c r="L606" s="76" t="s">
        <v>45</v>
      </c>
      <c r="M606" s="76" t="s">
        <v>792</v>
      </c>
      <c r="N606" s="76">
        <v>26.548506</v>
      </c>
      <c r="O606" s="76">
        <v>97.75609</v>
      </c>
      <c r="P606" s="17" t="s">
        <v>775</v>
      </c>
      <c r="Q606" s="76" t="s">
        <v>776</v>
      </c>
      <c r="R606" s="670">
        <v>67</v>
      </c>
      <c r="S606" s="670">
        <v>311</v>
      </c>
      <c r="T606" s="137">
        <v>42788</v>
      </c>
      <c r="U606" s="133"/>
      <c r="W606" s="666"/>
    </row>
    <row r="607" spans="1:23" s="76" customFormat="1" ht="14.25" customHeight="1">
      <c r="A607" s="666" t="s">
        <v>39</v>
      </c>
      <c r="B607" s="668" t="s">
        <v>192</v>
      </c>
      <c r="C607" s="668" t="s">
        <v>192</v>
      </c>
      <c r="D607" s="760" t="s">
        <v>3047</v>
      </c>
      <c r="E607" s="76" t="s">
        <v>1632</v>
      </c>
      <c r="F607" s="76" t="s">
        <v>1907</v>
      </c>
      <c r="G607" s="76">
        <v>0</v>
      </c>
      <c r="I607" s="668" t="s">
        <v>2205</v>
      </c>
      <c r="J607" s="76" t="s">
        <v>45</v>
      </c>
      <c r="K607" s="76" t="s">
        <v>45</v>
      </c>
      <c r="L607" s="76" t="s">
        <v>790</v>
      </c>
      <c r="M607" s="76" t="s">
        <v>46</v>
      </c>
      <c r="N607" s="76">
        <v>26.541930000000001</v>
      </c>
      <c r="O607" s="76">
        <v>97.568836000000005</v>
      </c>
      <c r="P607" s="76" t="s">
        <v>775</v>
      </c>
      <c r="Q607" s="76" t="s">
        <v>776</v>
      </c>
      <c r="R607" s="670">
        <v>5</v>
      </c>
      <c r="S607" s="670">
        <v>32</v>
      </c>
      <c r="T607" s="137"/>
      <c r="U607" s="133" t="s">
        <v>1084</v>
      </c>
      <c r="V607" s="76" t="s">
        <v>192</v>
      </c>
    </row>
    <row r="608" spans="1:23" s="76" customFormat="1" ht="14.25" customHeight="1">
      <c r="A608" s="668" t="s">
        <v>39</v>
      </c>
      <c r="B608" s="668" t="s">
        <v>192</v>
      </c>
      <c r="C608" s="668" t="s">
        <v>1166</v>
      </c>
      <c r="D608" s="760" t="s">
        <v>1693</v>
      </c>
      <c r="E608" s="668"/>
      <c r="H608" s="668"/>
      <c r="I608" s="668"/>
      <c r="J608" s="668" t="s">
        <v>1481</v>
      </c>
      <c r="K608" s="668" t="s">
        <v>45</v>
      </c>
      <c r="L608" s="668" t="s">
        <v>774</v>
      </c>
      <c r="M608" s="668" t="s">
        <v>46</v>
      </c>
      <c r="N608" s="668"/>
      <c r="O608" s="668"/>
      <c r="P608" s="76" t="s">
        <v>775</v>
      </c>
      <c r="Q608" s="668" t="s">
        <v>776</v>
      </c>
      <c r="R608" s="674"/>
      <c r="S608" s="675"/>
      <c r="T608" s="691">
        <v>42788</v>
      </c>
      <c r="U608" s="676"/>
      <c r="W608" s="666"/>
    </row>
    <row r="609" spans="1:23" s="76" customFormat="1" ht="14.25" customHeight="1">
      <c r="A609" s="675" t="s">
        <v>39</v>
      </c>
      <c r="B609" s="674" t="s">
        <v>1153</v>
      </c>
      <c r="C609" s="675" t="s">
        <v>2050</v>
      </c>
      <c r="D609" s="761"/>
      <c r="E609" s="668"/>
      <c r="F609" s="668"/>
      <c r="G609" s="668"/>
      <c r="H609" s="668"/>
      <c r="I609" s="668"/>
      <c r="J609" s="668" t="s">
        <v>1481</v>
      </c>
      <c r="K609" s="668" t="s">
        <v>45</v>
      </c>
      <c r="L609" s="668" t="s">
        <v>790</v>
      </c>
      <c r="M609" s="668"/>
      <c r="N609" s="668"/>
      <c r="O609" s="668"/>
      <c r="P609" s="668" t="s">
        <v>2048</v>
      </c>
      <c r="Q609" s="668" t="s">
        <v>2001</v>
      </c>
      <c r="R609" s="679"/>
      <c r="S609" s="675"/>
      <c r="T609" s="691">
        <v>43285</v>
      </c>
      <c r="U609" s="676" t="s">
        <v>2055</v>
      </c>
      <c r="V609" s="668"/>
    </row>
    <row r="610" spans="1:23" s="76" customFormat="1" ht="14.25" customHeight="1">
      <c r="A610" s="675" t="s">
        <v>39</v>
      </c>
      <c r="B610" s="674" t="s">
        <v>1153</v>
      </c>
      <c r="C610" s="675" t="s">
        <v>2051</v>
      </c>
      <c r="D610" s="669"/>
      <c r="J610" s="76" t="s">
        <v>1481</v>
      </c>
      <c r="K610" s="668" t="s">
        <v>45</v>
      </c>
      <c r="L610" s="668" t="s">
        <v>790</v>
      </c>
      <c r="P610" s="76" t="s">
        <v>2048</v>
      </c>
      <c r="Q610" s="76" t="s">
        <v>2001</v>
      </c>
      <c r="R610" s="678"/>
      <c r="S610" s="671"/>
      <c r="T610" s="137">
        <v>43285</v>
      </c>
      <c r="U610" s="676" t="s">
        <v>2055</v>
      </c>
      <c r="W610" s="666"/>
    </row>
    <row r="611" spans="1:23" s="76" customFormat="1" ht="14.25" customHeight="1">
      <c r="A611" s="666" t="s">
        <v>39</v>
      </c>
      <c r="B611" s="668" t="s">
        <v>1153</v>
      </c>
      <c r="C611" s="668" t="s">
        <v>2321</v>
      </c>
      <c r="D611" s="760" t="s">
        <v>3047</v>
      </c>
      <c r="E611" s="76" t="s">
        <v>1648</v>
      </c>
      <c r="F611" s="76" t="s">
        <v>1153</v>
      </c>
      <c r="G611" s="76">
        <v>0</v>
      </c>
      <c r="H611" s="76" t="s">
        <v>43</v>
      </c>
      <c r="I611" s="76" t="s">
        <v>1346</v>
      </c>
      <c r="J611" s="76" t="s">
        <v>45</v>
      </c>
      <c r="K611" s="76" t="s">
        <v>45</v>
      </c>
      <c r="L611" s="668" t="s">
        <v>45</v>
      </c>
      <c r="M611" s="76" t="s">
        <v>46</v>
      </c>
      <c r="N611" s="666">
        <v>0</v>
      </c>
      <c r="O611" s="666">
        <v>0</v>
      </c>
      <c r="P611" s="76" t="s">
        <v>775</v>
      </c>
      <c r="Q611" s="76" t="s">
        <v>940</v>
      </c>
      <c r="R611" s="670">
        <v>145</v>
      </c>
      <c r="S611" s="670">
        <v>644</v>
      </c>
      <c r="T611" s="137">
        <v>43444</v>
      </c>
      <c r="U611" s="273" t="s">
        <v>2320</v>
      </c>
      <c r="V611" s="76" t="s">
        <v>1157</v>
      </c>
      <c r="W611" s="659" t="s">
        <v>2320</v>
      </c>
    </row>
    <row r="612" spans="1:23" s="76" customFormat="1" ht="14.25" customHeight="1">
      <c r="A612" s="666" t="s">
        <v>39</v>
      </c>
      <c r="B612" s="668" t="s">
        <v>1153</v>
      </c>
      <c r="C612" s="668" t="s">
        <v>2038</v>
      </c>
      <c r="D612" s="760" t="s">
        <v>2323</v>
      </c>
      <c r="E612" s="76" t="s">
        <v>1645</v>
      </c>
      <c r="F612" s="76" t="s">
        <v>1153</v>
      </c>
      <c r="G612" s="76">
        <v>0</v>
      </c>
      <c r="I612" s="76" t="s">
        <v>2205</v>
      </c>
      <c r="J612" s="76" t="s">
        <v>45</v>
      </c>
      <c r="K612" s="76" t="s">
        <v>45</v>
      </c>
      <c r="L612" s="76" t="s">
        <v>774</v>
      </c>
      <c r="M612" s="76" t="s">
        <v>46</v>
      </c>
      <c r="P612" s="76" t="s">
        <v>775</v>
      </c>
      <c r="Q612" s="76" t="s">
        <v>940</v>
      </c>
      <c r="R612" s="670"/>
      <c r="S612" s="670"/>
      <c r="T612" s="137">
        <v>43444</v>
      </c>
      <c r="U612" s="133" t="s">
        <v>3057</v>
      </c>
      <c r="W612" s="666" t="s">
        <v>2322</v>
      </c>
    </row>
    <row r="613" spans="1:23" s="76" customFormat="1" ht="14.25" customHeight="1">
      <c r="A613" s="666" t="s">
        <v>39</v>
      </c>
      <c r="B613" s="668" t="s">
        <v>1153</v>
      </c>
      <c r="C613" s="668" t="s">
        <v>1155</v>
      </c>
      <c r="D613" s="760" t="s">
        <v>3047</v>
      </c>
      <c r="E613" s="76" t="s">
        <v>1646</v>
      </c>
      <c r="F613" s="76" t="s">
        <v>1153</v>
      </c>
      <c r="G613" s="76">
        <v>0</v>
      </c>
      <c r="H613" s="76" t="s">
        <v>43</v>
      </c>
      <c r="I613" s="76" t="s">
        <v>1346</v>
      </c>
      <c r="J613" s="76" t="s">
        <v>45</v>
      </c>
      <c r="K613" s="666" t="s">
        <v>45</v>
      </c>
      <c r="L613" s="668" t="s">
        <v>45</v>
      </c>
      <c r="M613" s="76" t="s">
        <v>46</v>
      </c>
      <c r="N613" s="76">
        <v>0</v>
      </c>
      <c r="O613" s="76">
        <v>0</v>
      </c>
      <c r="P613" s="76" t="s">
        <v>775</v>
      </c>
      <c r="Q613" s="76" t="s">
        <v>940</v>
      </c>
      <c r="R613" s="670">
        <v>34</v>
      </c>
      <c r="S613" s="670">
        <v>147</v>
      </c>
      <c r="T613" s="137">
        <v>42983</v>
      </c>
      <c r="U613" s="133" t="s">
        <v>1154</v>
      </c>
      <c r="W613" s="659" t="s">
        <v>2352</v>
      </c>
    </row>
    <row r="614" spans="1:23" s="76" customFormat="1" ht="14.25" customHeight="1">
      <c r="A614" s="666" t="s">
        <v>39</v>
      </c>
      <c r="B614" s="668" t="s">
        <v>1153</v>
      </c>
      <c r="C614" s="668" t="s">
        <v>2201</v>
      </c>
      <c r="D614" s="760" t="s">
        <v>3047</v>
      </c>
      <c r="E614" s="76" t="s">
        <v>1647</v>
      </c>
      <c r="F614" s="76" t="s">
        <v>1153</v>
      </c>
      <c r="G614" s="76">
        <v>0</v>
      </c>
      <c r="H614" s="76" t="s">
        <v>43</v>
      </c>
      <c r="I614" s="76" t="s">
        <v>3049</v>
      </c>
      <c r="J614" s="76" t="s">
        <v>45</v>
      </c>
      <c r="K614" s="76" t="s">
        <v>45</v>
      </c>
      <c r="L614" s="76" t="s">
        <v>45</v>
      </c>
      <c r="M614" s="76" t="s">
        <v>46</v>
      </c>
      <c r="N614" s="76">
        <v>0</v>
      </c>
      <c r="O614" s="76">
        <v>0</v>
      </c>
      <c r="P614" s="76" t="s">
        <v>775</v>
      </c>
      <c r="Q614" s="76" t="s">
        <v>940</v>
      </c>
      <c r="R614" s="670">
        <v>97</v>
      </c>
      <c r="S614" s="670">
        <v>365</v>
      </c>
      <c r="T614" s="137">
        <v>42983</v>
      </c>
      <c r="U614" s="133" t="s">
        <v>1156</v>
      </c>
      <c r="W614" s="659" t="s">
        <v>2353</v>
      </c>
    </row>
    <row r="615" spans="1:23" s="76" customFormat="1" ht="14.25" customHeight="1">
      <c r="A615" s="675" t="s">
        <v>39</v>
      </c>
      <c r="B615" s="674" t="s">
        <v>1153</v>
      </c>
      <c r="C615" s="668" t="s">
        <v>2010</v>
      </c>
      <c r="D615" s="669"/>
      <c r="J615" s="76" t="s">
        <v>1481</v>
      </c>
      <c r="K615" s="76" t="s">
        <v>45</v>
      </c>
      <c r="L615" s="76" t="s">
        <v>45</v>
      </c>
      <c r="M615" s="76" t="s">
        <v>46</v>
      </c>
      <c r="P615" s="76" t="s">
        <v>775</v>
      </c>
      <c r="Q615" s="76" t="s">
        <v>2001</v>
      </c>
      <c r="R615" s="678"/>
      <c r="S615" s="132"/>
      <c r="T615" s="137">
        <v>43270</v>
      </c>
      <c r="U615" s="133"/>
      <c r="W615" s="666"/>
    </row>
    <row r="616" spans="1:23" s="76" customFormat="1" ht="14.25" customHeight="1">
      <c r="A616" s="666" t="s">
        <v>39</v>
      </c>
      <c r="B616" s="666" t="s">
        <v>150</v>
      </c>
      <c r="C616" s="666" t="s">
        <v>244</v>
      </c>
      <c r="D616" s="760" t="s">
        <v>3047</v>
      </c>
      <c r="E616" s="666" t="s">
        <v>1547</v>
      </c>
      <c r="F616" s="666" t="s">
        <v>1841</v>
      </c>
      <c r="G616" s="666" t="s">
        <v>1839</v>
      </c>
      <c r="H616" s="666" t="s">
        <v>43</v>
      </c>
      <c r="I616" s="666" t="s">
        <v>1346</v>
      </c>
      <c r="J616" s="666" t="s">
        <v>45</v>
      </c>
      <c r="K616" s="666" t="s">
        <v>45</v>
      </c>
      <c r="L616" s="666" t="s">
        <v>45</v>
      </c>
      <c r="M616" s="666" t="s">
        <v>792</v>
      </c>
      <c r="N616" s="666">
        <v>25.220278</v>
      </c>
      <c r="O616" s="666">
        <v>97.915833000000006</v>
      </c>
      <c r="P616" s="666" t="s">
        <v>775</v>
      </c>
      <c r="Q616" s="666" t="s">
        <v>794</v>
      </c>
      <c r="R616" s="670">
        <v>114</v>
      </c>
      <c r="S616" s="670">
        <v>414</v>
      </c>
      <c r="T616" s="690"/>
      <c r="U616" s="672"/>
      <c r="V616" s="666" t="s">
        <v>244</v>
      </c>
      <c r="W616" s="666"/>
    </row>
    <row r="617" spans="1:23" s="76" customFormat="1" ht="14.25" customHeight="1">
      <c r="A617" s="666" t="s">
        <v>39</v>
      </c>
      <c r="B617" s="666" t="s">
        <v>150</v>
      </c>
      <c r="C617" s="666" t="s">
        <v>227</v>
      </c>
      <c r="D617" s="760" t="s">
        <v>1693</v>
      </c>
      <c r="J617" s="76" t="s">
        <v>1481</v>
      </c>
      <c r="K617" s="76" t="s">
        <v>45</v>
      </c>
      <c r="L617" s="76" t="s">
        <v>1041</v>
      </c>
      <c r="M617" s="76" t="s">
        <v>792</v>
      </c>
      <c r="N617" s="666"/>
      <c r="O617" s="666"/>
      <c r="P617" s="76" t="s">
        <v>775</v>
      </c>
      <c r="Q617" s="76" t="s">
        <v>794</v>
      </c>
      <c r="R617" s="670"/>
      <c r="S617" s="132"/>
      <c r="T617" s="137"/>
      <c r="U617" s="133" t="s">
        <v>1109</v>
      </c>
      <c r="V617" s="76" t="s">
        <v>227</v>
      </c>
      <c r="W617" s="666"/>
    </row>
    <row r="618" spans="1:23" s="76" customFormat="1" ht="14.25" customHeight="1">
      <c r="A618" s="666" t="s">
        <v>39</v>
      </c>
      <c r="B618" s="666" t="s">
        <v>150</v>
      </c>
      <c r="C618" s="666" t="s">
        <v>228</v>
      </c>
      <c r="D618" s="760" t="s">
        <v>1693</v>
      </c>
      <c r="F618" s="666"/>
      <c r="J618" s="76" t="s">
        <v>1481</v>
      </c>
      <c r="K618" s="666" t="s">
        <v>45</v>
      </c>
      <c r="L618" s="666" t="s">
        <v>1041</v>
      </c>
      <c r="M618" s="76" t="s">
        <v>792</v>
      </c>
      <c r="P618" s="76" t="s">
        <v>775</v>
      </c>
      <c r="Q618" s="76" t="s">
        <v>794</v>
      </c>
      <c r="R618" s="131"/>
      <c r="S618" s="671"/>
      <c r="T618" s="137"/>
      <c r="U618" s="133" t="s">
        <v>1109</v>
      </c>
      <c r="V618" s="76" t="s">
        <v>228</v>
      </c>
      <c r="W618" s="666"/>
    </row>
    <row r="619" spans="1:23" s="76" customFormat="1" ht="14.25" customHeight="1">
      <c r="A619" s="666" t="s">
        <v>39</v>
      </c>
      <c r="B619" s="666" t="s">
        <v>150</v>
      </c>
      <c r="C619" s="666" t="s">
        <v>1057</v>
      </c>
      <c r="D619" s="760" t="s">
        <v>3047</v>
      </c>
      <c r="E619" s="76" t="s">
        <v>1554</v>
      </c>
      <c r="F619" s="76" t="s">
        <v>1905</v>
      </c>
      <c r="G619" s="76" t="s">
        <v>1906</v>
      </c>
      <c r="I619" s="668" t="s">
        <v>2205</v>
      </c>
      <c r="J619" s="76" t="s">
        <v>45</v>
      </c>
      <c r="K619" s="76" t="s">
        <v>45</v>
      </c>
      <c r="L619" s="76" t="s">
        <v>790</v>
      </c>
      <c r="M619" s="76" t="s">
        <v>46</v>
      </c>
      <c r="N619" s="76">
        <v>25.305008999999998</v>
      </c>
      <c r="O619" s="76">
        <v>97.430321000000006</v>
      </c>
      <c r="P619" s="76" t="s">
        <v>775</v>
      </c>
      <c r="Q619" s="76" t="s">
        <v>816</v>
      </c>
      <c r="R619" s="670">
        <v>62</v>
      </c>
      <c r="S619" s="670">
        <v>410</v>
      </c>
      <c r="T619" s="137">
        <v>42916</v>
      </c>
      <c r="U619" s="133" t="s">
        <v>1058</v>
      </c>
      <c r="W619" s="666"/>
    </row>
    <row r="620" spans="1:23" s="76" customFormat="1" ht="14.25" customHeight="1">
      <c r="A620" s="666" t="s">
        <v>39</v>
      </c>
      <c r="B620" s="666" t="s">
        <v>150</v>
      </c>
      <c r="C620" s="666" t="s">
        <v>276</v>
      </c>
      <c r="D620" s="760" t="s">
        <v>3047</v>
      </c>
      <c r="E620" s="76" t="s">
        <v>1556</v>
      </c>
      <c r="F620" s="76" t="s">
        <v>1846</v>
      </c>
      <c r="G620" s="76" t="s">
        <v>1846</v>
      </c>
      <c r="H620" s="76" t="s">
        <v>43</v>
      </c>
      <c r="I620" s="76" t="s">
        <v>250</v>
      </c>
      <c r="J620" s="76" t="s">
        <v>45</v>
      </c>
      <c r="K620" s="76" t="s">
        <v>45</v>
      </c>
      <c r="L620" s="76" t="s">
        <v>45</v>
      </c>
      <c r="M620" s="76" t="s">
        <v>46</v>
      </c>
      <c r="N620" s="76">
        <v>25.321710740740698</v>
      </c>
      <c r="O620" s="76">
        <v>97.404195925926004</v>
      </c>
      <c r="P620" s="76" t="s">
        <v>775</v>
      </c>
      <c r="Q620" s="76" t="s">
        <v>794</v>
      </c>
      <c r="R620" s="670">
        <v>92</v>
      </c>
      <c r="S620" s="670">
        <v>448</v>
      </c>
      <c r="T620" s="137"/>
      <c r="U620" s="133"/>
      <c r="V620" s="76" t="s">
        <v>276</v>
      </c>
    </row>
    <row r="621" spans="1:23" s="76" customFormat="1" ht="14.25" customHeight="1">
      <c r="A621" s="666" t="s">
        <v>39</v>
      </c>
      <c r="B621" s="666" t="s">
        <v>150</v>
      </c>
      <c r="C621" s="666" t="s">
        <v>183</v>
      </c>
      <c r="D621" s="760" t="s">
        <v>3047</v>
      </c>
      <c r="E621" s="76" t="s">
        <v>1546</v>
      </c>
      <c r="F621" s="76" t="s">
        <v>1839</v>
      </c>
      <c r="G621" s="76" t="s">
        <v>1840</v>
      </c>
      <c r="H621" s="76" t="s">
        <v>43</v>
      </c>
      <c r="I621" s="76" t="s">
        <v>3049</v>
      </c>
      <c r="J621" s="76" t="s">
        <v>45</v>
      </c>
      <c r="K621" s="76" t="s">
        <v>45</v>
      </c>
      <c r="L621" s="76" t="s">
        <v>45</v>
      </c>
      <c r="M621" s="76" t="s">
        <v>792</v>
      </c>
      <c r="N621" s="666">
        <v>25.200333000000001</v>
      </c>
      <c r="O621" s="666">
        <v>97.807182999999995</v>
      </c>
      <c r="P621" s="76" t="s">
        <v>775</v>
      </c>
      <c r="Q621" s="76" t="s">
        <v>794</v>
      </c>
      <c r="R621" s="670">
        <v>136</v>
      </c>
      <c r="S621" s="670">
        <v>985</v>
      </c>
      <c r="T621" s="137"/>
      <c r="U621" s="133"/>
      <c r="V621" s="76" t="s">
        <v>183</v>
      </c>
      <c r="W621" s="666"/>
    </row>
    <row r="622" spans="1:23" s="76" customFormat="1" ht="14.25" customHeight="1">
      <c r="A622" s="666" t="s">
        <v>39</v>
      </c>
      <c r="B622" s="666" t="s">
        <v>150</v>
      </c>
      <c r="C622" s="666" t="s">
        <v>232</v>
      </c>
      <c r="D622" s="760" t="s">
        <v>3047</v>
      </c>
      <c r="E622" s="76" t="s">
        <v>1534</v>
      </c>
      <c r="F622" s="666" t="s">
        <v>1746</v>
      </c>
      <c r="G622" s="76">
        <v>0</v>
      </c>
      <c r="I622" s="668" t="s">
        <v>2205</v>
      </c>
      <c r="J622" s="76" t="s">
        <v>45</v>
      </c>
      <c r="K622" s="76" t="s">
        <v>45</v>
      </c>
      <c r="L622" s="76" t="s">
        <v>1041</v>
      </c>
      <c r="M622" s="76" t="s">
        <v>792</v>
      </c>
      <c r="N622" s="666">
        <v>24.752471</v>
      </c>
      <c r="O622" s="666">
        <v>97.541793999999996</v>
      </c>
      <c r="P622" s="76" t="s">
        <v>775</v>
      </c>
      <c r="Q622" s="76" t="s">
        <v>776</v>
      </c>
      <c r="R622" s="131">
        <v>0</v>
      </c>
      <c r="S622" s="670">
        <v>872</v>
      </c>
      <c r="T622" s="137"/>
      <c r="U622" s="133"/>
      <c r="V622" s="76" t="s">
        <v>232</v>
      </c>
      <c r="W622" s="666"/>
    </row>
    <row r="623" spans="1:23" s="76" customFormat="1" ht="14.25" customHeight="1">
      <c r="A623" s="666" t="s">
        <v>39</v>
      </c>
      <c r="B623" s="666" t="s">
        <v>150</v>
      </c>
      <c r="C623" s="666" t="s">
        <v>1039</v>
      </c>
      <c r="D623" s="760" t="s">
        <v>1694</v>
      </c>
      <c r="E623" s="76" t="s">
        <v>1533</v>
      </c>
      <c r="F623" s="76" t="s">
        <v>1746</v>
      </c>
      <c r="G623" s="76" t="s">
        <v>1746</v>
      </c>
      <c r="H623" s="76" t="s">
        <v>43</v>
      </c>
      <c r="I623" s="76" t="s">
        <v>1346</v>
      </c>
      <c r="J623" s="76" t="s">
        <v>45</v>
      </c>
      <c r="K623" s="76" t="s">
        <v>45</v>
      </c>
      <c r="L623" s="76" t="s">
        <v>774</v>
      </c>
      <c r="M623" s="76" t="s">
        <v>792</v>
      </c>
      <c r="N623" s="666">
        <v>24.747212999999999</v>
      </c>
      <c r="O623" s="666">
        <v>97.551507000000001</v>
      </c>
      <c r="P623" s="76" t="s">
        <v>775</v>
      </c>
      <c r="R623" s="131"/>
      <c r="S623" s="132"/>
      <c r="T623" s="137"/>
      <c r="U623" s="133"/>
      <c r="V623" s="666" t="s">
        <v>1040</v>
      </c>
      <c r="W623" s="659" t="s">
        <v>2251</v>
      </c>
    </row>
    <row r="624" spans="1:23" s="76" customFormat="1" ht="14.25" customHeight="1">
      <c r="A624" s="666" t="s">
        <v>39</v>
      </c>
      <c r="B624" s="666" t="s">
        <v>150</v>
      </c>
      <c r="C624" s="666" t="s">
        <v>1053</v>
      </c>
      <c r="D624" s="760" t="s">
        <v>1693</v>
      </c>
      <c r="E624" s="666" t="s">
        <v>1545</v>
      </c>
      <c r="F624" s="666"/>
      <c r="G624" s="666"/>
      <c r="H624" s="666"/>
      <c r="I624" s="666"/>
      <c r="J624" s="76" t="s">
        <v>45</v>
      </c>
      <c r="K624" s="76" t="s">
        <v>45</v>
      </c>
      <c r="L624" s="76" t="s">
        <v>774</v>
      </c>
      <c r="M624" s="666" t="s">
        <v>792</v>
      </c>
      <c r="N624" s="666">
        <v>25.108011999999999</v>
      </c>
      <c r="O624" s="666">
        <v>97.718008999999995</v>
      </c>
      <c r="P624" s="76" t="s">
        <v>775</v>
      </c>
      <c r="Q624" s="666"/>
      <c r="R624" s="670"/>
      <c r="S624" s="671"/>
      <c r="T624" s="690"/>
      <c r="U624" s="672"/>
      <c r="V624" s="666" t="s">
        <v>1053</v>
      </c>
    </row>
    <row r="625" spans="1:23" s="76" customFormat="1" ht="14.25" customHeight="1">
      <c r="A625" s="666" t="s">
        <v>39</v>
      </c>
      <c r="B625" s="666" t="s">
        <v>150</v>
      </c>
      <c r="C625" s="666" t="s">
        <v>184</v>
      </c>
      <c r="D625" s="760" t="s">
        <v>3047</v>
      </c>
      <c r="E625" s="666" t="s">
        <v>1566</v>
      </c>
      <c r="F625" s="666" t="s">
        <v>1851</v>
      </c>
      <c r="G625" s="666" t="s">
        <v>1852</v>
      </c>
      <c r="H625" s="666" t="s">
        <v>43</v>
      </c>
      <c r="I625" s="666" t="s">
        <v>3049</v>
      </c>
      <c r="J625" s="666" t="s">
        <v>45</v>
      </c>
      <c r="K625" s="666" t="s">
        <v>45</v>
      </c>
      <c r="L625" s="666" t="s">
        <v>45</v>
      </c>
      <c r="M625" s="666" t="s">
        <v>46</v>
      </c>
      <c r="N625" s="666">
        <v>25.356632000000001</v>
      </c>
      <c r="O625" s="666">
        <v>97.451965000000001</v>
      </c>
      <c r="P625" s="666" t="s">
        <v>775</v>
      </c>
      <c r="Q625" s="666" t="s">
        <v>794</v>
      </c>
      <c r="R625" s="670">
        <v>32</v>
      </c>
      <c r="S625" s="670">
        <v>188</v>
      </c>
      <c r="T625" s="690"/>
      <c r="U625" s="672"/>
      <c r="V625" s="666" t="s">
        <v>184</v>
      </c>
      <c r="W625" s="666"/>
    </row>
    <row r="626" spans="1:23" s="76" customFormat="1" ht="14.25" customHeight="1">
      <c r="A626" s="666" t="s">
        <v>39</v>
      </c>
      <c r="B626" s="666" t="s">
        <v>150</v>
      </c>
      <c r="C626" s="666" t="s">
        <v>185</v>
      </c>
      <c r="D626" s="760" t="s">
        <v>3047</v>
      </c>
      <c r="E626" s="76" t="s">
        <v>1540</v>
      </c>
      <c r="F626" s="76" t="s">
        <v>1836</v>
      </c>
      <c r="G626" s="76" t="s">
        <v>1838</v>
      </c>
      <c r="H626" s="76" t="s">
        <v>43</v>
      </c>
      <c r="I626" s="76" t="s">
        <v>1346</v>
      </c>
      <c r="J626" s="76" t="s">
        <v>45</v>
      </c>
      <c r="K626" s="666" t="s">
        <v>982</v>
      </c>
      <c r="L626" s="666" t="s">
        <v>45</v>
      </c>
      <c r="M626" s="76" t="s">
        <v>792</v>
      </c>
      <c r="N626" s="666">
        <v>24.980250000000002</v>
      </c>
      <c r="O626" s="666">
        <v>97.715230000000005</v>
      </c>
      <c r="P626" s="17" t="s">
        <v>775</v>
      </c>
      <c r="Q626" s="76" t="s">
        <v>794</v>
      </c>
      <c r="R626" s="131">
        <v>407</v>
      </c>
      <c r="S626" s="670">
        <v>1731</v>
      </c>
      <c r="T626" s="137"/>
      <c r="U626" s="133" t="s">
        <v>1046</v>
      </c>
      <c r="V626" s="76" t="s">
        <v>185</v>
      </c>
    </row>
    <row r="627" spans="1:23" s="76" customFormat="1" ht="14.25" customHeight="1">
      <c r="A627" s="666" t="s">
        <v>39</v>
      </c>
      <c r="B627" s="666" t="s">
        <v>150</v>
      </c>
      <c r="C627" s="666" t="s">
        <v>277</v>
      </c>
      <c r="D627" s="760" t="s">
        <v>3047</v>
      </c>
      <c r="E627" s="76" t="s">
        <v>1592</v>
      </c>
      <c r="F627" s="76" t="s">
        <v>1859</v>
      </c>
      <c r="G627" s="76" t="s">
        <v>1859</v>
      </c>
      <c r="H627" s="76" t="s">
        <v>43</v>
      </c>
      <c r="I627" s="76" t="s">
        <v>250</v>
      </c>
      <c r="J627" s="76" t="s">
        <v>45</v>
      </c>
      <c r="K627" s="666" t="s">
        <v>45</v>
      </c>
      <c r="L627" s="666" t="s">
        <v>45</v>
      </c>
      <c r="M627" s="76" t="s">
        <v>46</v>
      </c>
      <c r="N627" s="666">
        <v>25.424529444444399</v>
      </c>
      <c r="O627" s="666">
        <v>97.433419259259296</v>
      </c>
      <c r="P627" s="666" t="s">
        <v>775</v>
      </c>
      <c r="Q627" s="76" t="s">
        <v>794</v>
      </c>
      <c r="R627" s="131">
        <v>347</v>
      </c>
      <c r="S627" s="670">
        <v>2065</v>
      </c>
      <c r="T627" s="137"/>
      <c r="U627" s="133"/>
      <c r="V627" s="76" t="s">
        <v>277</v>
      </c>
      <c r="W627" s="666"/>
    </row>
    <row r="628" spans="1:23" s="76" customFormat="1" ht="14.25" customHeight="1">
      <c r="A628" s="666" t="s">
        <v>39</v>
      </c>
      <c r="B628" s="666" t="s">
        <v>150</v>
      </c>
      <c r="C628" s="666" t="s">
        <v>245</v>
      </c>
      <c r="D628" s="760" t="s">
        <v>3047</v>
      </c>
      <c r="E628" s="673" t="s">
        <v>1586</v>
      </c>
      <c r="F628" s="666" t="s">
        <v>1859</v>
      </c>
      <c r="G628" s="76" t="s">
        <v>1859</v>
      </c>
      <c r="H628" s="76" t="s">
        <v>43</v>
      </c>
      <c r="I628" s="76" t="s">
        <v>1346</v>
      </c>
      <c r="J628" s="76" t="s">
        <v>45</v>
      </c>
      <c r="K628" s="76" t="s">
        <v>45</v>
      </c>
      <c r="L628" s="76" t="s">
        <v>45</v>
      </c>
      <c r="M628" s="76" t="s">
        <v>46</v>
      </c>
      <c r="N628" s="666">
        <v>25.415667500000001</v>
      </c>
      <c r="O628" s="666">
        <v>97.437782499999997</v>
      </c>
      <c r="P628" s="76" t="s">
        <v>775</v>
      </c>
      <c r="Q628" s="76" t="s">
        <v>794</v>
      </c>
      <c r="R628" s="670">
        <v>326</v>
      </c>
      <c r="S628" s="670">
        <v>1776</v>
      </c>
      <c r="T628" s="137"/>
      <c r="U628" s="133"/>
      <c r="V628" s="76" t="s">
        <v>245</v>
      </c>
    </row>
    <row r="629" spans="1:23" s="76" customFormat="1" ht="14.25" customHeight="1">
      <c r="A629" s="666" t="s">
        <v>39</v>
      </c>
      <c r="B629" s="666" t="s">
        <v>150</v>
      </c>
      <c r="C629" s="666" t="s">
        <v>186</v>
      </c>
      <c r="D629" s="760" t="s">
        <v>3047</v>
      </c>
      <c r="E629" s="76" t="s">
        <v>1583</v>
      </c>
      <c r="F629" s="76" t="s">
        <v>1859</v>
      </c>
      <c r="G629" s="76" t="s">
        <v>1859</v>
      </c>
      <c r="H629" s="76" t="s">
        <v>43</v>
      </c>
      <c r="I629" s="76" t="s">
        <v>3049</v>
      </c>
      <c r="J629" s="76" t="s">
        <v>45</v>
      </c>
      <c r="K629" s="76" t="s">
        <v>45</v>
      </c>
      <c r="L629" s="76" t="s">
        <v>45</v>
      </c>
      <c r="M629" s="76" t="s">
        <v>46</v>
      </c>
      <c r="N629" s="666">
        <v>25.4118005797101</v>
      </c>
      <c r="O629" s="666">
        <v>97.434855869565197</v>
      </c>
      <c r="P629" s="76" t="s">
        <v>775</v>
      </c>
      <c r="Q629" s="76" t="s">
        <v>794</v>
      </c>
      <c r="R629" s="131">
        <v>506</v>
      </c>
      <c r="S629" s="670">
        <v>2739</v>
      </c>
      <c r="T629" s="137"/>
      <c r="U629" s="133"/>
      <c r="V629" s="666" t="s">
        <v>186</v>
      </c>
      <c r="W629" s="659" t="s">
        <v>2354</v>
      </c>
    </row>
    <row r="630" spans="1:23" s="76" customFormat="1" ht="14.25" customHeight="1">
      <c r="A630" s="666" t="s">
        <v>39</v>
      </c>
      <c r="B630" s="666" t="s">
        <v>150</v>
      </c>
      <c r="C630" s="76" t="s">
        <v>187</v>
      </c>
      <c r="D630" s="760" t="s">
        <v>3047</v>
      </c>
      <c r="E630" s="76" t="s">
        <v>1581</v>
      </c>
      <c r="F630" s="76" t="s">
        <v>1859</v>
      </c>
      <c r="G630" s="76" t="s">
        <v>1859</v>
      </c>
      <c r="H630" s="76" t="s">
        <v>43</v>
      </c>
      <c r="I630" s="76" t="s">
        <v>3049</v>
      </c>
      <c r="J630" s="76" t="s">
        <v>45</v>
      </c>
      <c r="K630" s="76" t="s">
        <v>45</v>
      </c>
      <c r="L630" s="76" t="s">
        <v>45</v>
      </c>
      <c r="M630" s="76" t="s">
        <v>46</v>
      </c>
      <c r="N630" s="666">
        <v>25.409612685185198</v>
      </c>
      <c r="O630" s="666">
        <v>97.426536944444507</v>
      </c>
      <c r="P630" s="76" t="s">
        <v>775</v>
      </c>
      <c r="Q630" s="76" t="s">
        <v>794</v>
      </c>
      <c r="R630" s="131">
        <v>52</v>
      </c>
      <c r="S630" s="670">
        <v>235</v>
      </c>
      <c r="T630" s="137"/>
      <c r="U630" s="133"/>
      <c r="V630" s="76" t="s">
        <v>187</v>
      </c>
      <c r="W630" s="659" t="s">
        <v>2355</v>
      </c>
    </row>
    <row r="631" spans="1:23" s="76" customFormat="1" ht="14.25" customHeight="1">
      <c r="A631" s="666" t="s">
        <v>39</v>
      </c>
      <c r="B631" s="666" t="s">
        <v>150</v>
      </c>
      <c r="C631" s="666" t="s">
        <v>278</v>
      </c>
      <c r="D631" s="760" t="s">
        <v>3047</v>
      </c>
      <c r="E631" s="76" t="s">
        <v>1563</v>
      </c>
      <c r="F631" s="666" t="s">
        <v>1849</v>
      </c>
      <c r="G631" s="76" t="s">
        <v>1850</v>
      </c>
      <c r="H631" s="76" t="s">
        <v>43</v>
      </c>
      <c r="I631" s="76" t="s">
        <v>250</v>
      </c>
      <c r="J631" s="666" t="s">
        <v>45</v>
      </c>
      <c r="K631" s="666" t="s">
        <v>45</v>
      </c>
      <c r="L631" s="666" t="s">
        <v>45</v>
      </c>
      <c r="M631" s="76" t="s">
        <v>46</v>
      </c>
      <c r="N631" s="666">
        <v>25.351965</v>
      </c>
      <c r="O631" s="666">
        <v>97.345039</v>
      </c>
      <c r="P631" s="76" t="s">
        <v>775</v>
      </c>
      <c r="Q631" s="76" t="s">
        <v>794</v>
      </c>
      <c r="R631" s="670">
        <v>19</v>
      </c>
      <c r="S631" s="670">
        <v>82</v>
      </c>
      <c r="T631" s="137"/>
      <c r="U631" s="133"/>
      <c r="V631" s="76" t="s">
        <v>278</v>
      </c>
    </row>
    <row r="632" spans="1:23" s="76" customFormat="1" ht="14.25" customHeight="1">
      <c r="A632" s="666" t="s">
        <v>39</v>
      </c>
      <c r="B632" s="666" t="s">
        <v>150</v>
      </c>
      <c r="C632" s="666" t="s">
        <v>188</v>
      </c>
      <c r="D632" s="760" t="s">
        <v>3047</v>
      </c>
      <c r="E632" s="76" t="s">
        <v>1539</v>
      </c>
      <c r="F632" s="76" t="s">
        <v>1836</v>
      </c>
      <c r="G632" s="76" t="s">
        <v>1837</v>
      </c>
      <c r="H632" s="76" t="s">
        <v>43</v>
      </c>
      <c r="I632" s="76" t="s">
        <v>3049</v>
      </c>
      <c r="J632" s="76" t="s">
        <v>45</v>
      </c>
      <c r="K632" s="76" t="s">
        <v>982</v>
      </c>
      <c r="L632" s="76" t="s">
        <v>45</v>
      </c>
      <c r="M632" s="76" t="s">
        <v>792</v>
      </c>
      <c r="N632" s="666">
        <v>24.831944</v>
      </c>
      <c r="O632" s="666">
        <v>97.751389000000003</v>
      </c>
      <c r="P632" s="76" t="s">
        <v>775</v>
      </c>
      <c r="Q632" s="76" t="s">
        <v>794</v>
      </c>
      <c r="R632" s="131">
        <v>185</v>
      </c>
      <c r="S632" s="670">
        <v>943</v>
      </c>
      <c r="T632" s="137"/>
      <c r="U632" s="133" t="s">
        <v>1046</v>
      </c>
      <c r="V632" s="76" t="s">
        <v>1047</v>
      </c>
    </row>
    <row r="633" spans="1:23" s="76" customFormat="1" ht="14.25" customHeight="1">
      <c r="A633" s="666" t="s">
        <v>39</v>
      </c>
      <c r="B633" s="666" t="s">
        <v>150</v>
      </c>
      <c r="C633" s="666" t="s">
        <v>246</v>
      </c>
      <c r="D633" s="760" t="s">
        <v>3047</v>
      </c>
      <c r="E633" s="76" t="s">
        <v>1550</v>
      </c>
      <c r="F633" s="76" t="s">
        <v>1839</v>
      </c>
      <c r="G633" s="76" t="s">
        <v>1839</v>
      </c>
      <c r="H633" s="76" t="s">
        <v>43</v>
      </c>
      <c r="I633" s="76" t="s">
        <v>1346</v>
      </c>
      <c r="J633" s="76" t="s">
        <v>45</v>
      </c>
      <c r="K633" s="76" t="s">
        <v>45</v>
      </c>
      <c r="L633" s="76" t="s">
        <v>45</v>
      </c>
      <c r="M633" s="76" t="s">
        <v>792</v>
      </c>
      <c r="N633" s="76">
        <v>25.265277999999999</v>
      </c>
      <c r="O633" s="76">
        <v>97.990555999999998</v>
      </c>
      <c r="P633" s="76" t="s">
        <v>775</v>
      </c>
      <c r="Q633" s="76" t="s">
        <v>794</v>
      </c>
      <c r="R633" s="670">
        <v>80</v>
      </c>
      <c r="S633" s="670">
        <v>541</v>
      </c>
      <c r="T633" s="137"/>
      <c r="U633" s="133"/>
      <c r="V633" s="76" t="s">
        <v>246</v>
      </c>
    </row>
    <row r="634" spans="1:23" s="76" customFormat="1" ht="14.25" customHeight="1">
      <c r="A634" s="666" t="s">
        <v>39</v>
      </c>
      <c r="B634" s="666" t="s">
        <v>150</v>
      </c>
      <c r="C634" s="666" t="s">
        <v>279</v>
      </c>
      <c r="D634" s="760" t="s">
        <v>3047</v>
      </c>
      <c r="E634" s="76" t="s">
        <v>1564</v>
      </c>
      <c r="F634" s="666" t="s">
        <v>1753</v>
      </c>
      <c r="G634" s="76" t="s">
        <v>1743</v>
      </c>
      <c r="H634" s="76" t="s">
        <v>43</v>
      </c>
      <c r="I634" s="76" t="s">
        <v>250</v>
      </c>
      <c r="J634" s="76" t="s">
        <v>45</v>
      </c>
      <c r="K634" s="76" t="s">
        <v>45</v>
      </c>
      <c r="L634" s="76" t="s">
        <v>45</v>
      </c>
      <c r="M634" s="76" t="s">
        <v>46</v>
      </c>
      <c r="N634" s="76">
        <v>25.3540362037037</v>
      </c>
      <c r="O634" s="76">
        <v>97.441166388888902</v>
      </c>
      <c r="P634" s="76" t="s">
        <v>775</v>
      </c>
      <c r="Q634" s="76" t="s">
        <v>794</v>
      </c>
      <c r="R634" s="131">
        <v>121</v>
      </c>
      <c r="S634" s="670">
        <v>513</v>
      </c>
      <c r="T634" s="137"/>
      <c r="U634" s="133"/>
      <c r="V634" s="76" t="s">
        <v>279</v>
      </c>
    </row>
    <row r="635" spans="1:23" s="76" customFormat="1" ht="14.25" customHeight="1">
      <c r="A635" s="666" t="s">
        <v>39</v>
      </c>
      <c r="B635" s="666" t="s">
        <v>150</v>
      </c>
      <c r="C635" s="666" t="s">
        <v>189</v>
      </c>
      <c r="D635" s="760" t="s">
        <v>3047</v>
      </c>
      <c r="E635" s="76" t="s">
        <v>1562</v>
      </c>
      <c r="F635" s="76" t="s">
        <v>1753</v>
      </c>
      <c r="G635" s="76" t="s">
        <v>1743</v>
      </c>
      <c r="H635" s="76" t="s">
        <v>43</v>
      </c>
      <c r="I635" s="76" t="s">
        <v>3049</v>
      </c>
      <c r="J635" s="76" t="s">
        <v>45</v>
      </c>
      <c r="K635" s="76" t="s">
        <v>45</v>
      </c>
      <c r="L635" s="76" t="s">
        <v>45</v>
      </c>
      <c r="M635" s="76" t="s">
        <v>46</v>
      </c>
      <c r="N635" s="76">
        <v>25.351724999999998</v>
      </c>
      <c r="O635" s="76">
        <v>97.438432380952406</v>
      </c>
      <c r="P635" s="76" t="s">
        <v>775</v>
      </c>
      <c r="Q635" s="76" t="s">
        <v>794</v>
      </c>
      <c r="R635" s="670">
        <v>67</v>
      </c>
      <c r="S635" s="670">
        <v>342</v>
      </c>
      <c r="T635" s="137"/>
      <c r="U635" s="133"/>
      <c r="V635" s="76" t="s">
        <v>189</v>
      </c>
      <c r="W635" s="666"/>
    </row>
    <row r="636" spans="1:23" s="76" customFormat="1" ht="14.25" customHeight="1">
      <c r="A636" s="666" t="s">
        <v>39</v>
      </c>
      <c r="B636" s="666" t="s">
        <v>150</v>
      </c>
      <c r="C636" s="666" t="s">
        <v>280</v>
      </c>
      <c r="D636" s="760" t="s">
        <v>3047</v>
      </c>
      <c r="E636" s="76" t="s">
        <v>1558</v>
      </c>
      <c r="F636" s="76" t="s">
        <v>1753</v>
      </c>
      <c r="G636" s="76" t="s">
        <v>1801</v>
      </c>
      <c r="H636" s="76" t="s">
        <v>43</v>
      </c>
      <c r="I636" s="76" t="s">
        <v>250</v>
      </c>
      <c r="J636" s="76" t="s">
        <v>45</v>
      </c>
      <c r="K636" s="76" t="s">
        <v>45</v>
      </c>
      <c r="L636" s="76" t="s">
        <v>45</v>
      </c>
      <c r="M636" s="76" t="s">
        <v>46</v>
      </c>
      <c r="N636" s="76">
        <v>25.345918166666699</v>
      </c>
      <c r="O636" s="76">
        <v>97.437472666666693</v>
      </c>
      <c r="P636" s="76" t="s">
        <v>775</v>
      </c>
      <c r="Q636" s="76" t="s">
        <v>794</v>
      </c>
      <c r="R636" s="670">
        <v>36</v>
      </c>
      <c r="S636" s="670">
        <v>189</v>
      </c>
      <c r="T636" s="137"/>
      <c r="U636" s="133"/>
      <c r="V636" s="76" t="s">
        <v>280</v>
      </c>
      <c r="W636" s="666"/>
    </row>
    <row r="637" spans="1:23" s="76" customFormat="1" ht="14.25" customHeight="1">
      <c r="A637" s="666" t="s">
        <v>39</v>
      </c>
      <c r="B637" s="666" t="s">
        <v>150</v>
      </c>
      <c r="C637" s="666" t="s">
        <v>281</v>
      </c>
      <c r="D637" s="760" t="s">
        <v>2196</v>
      </c>
      <c r="E637" s="666" t="s">
        <v>1559</v>
      </c>
      <c r="F637" s="76" t="s">
        <v>1753</v>
      </c>
      <c r="G637" s="76" t="s">
        <v>1847</v>
      </c>
      <c r="H637" s="76" t="s">
        <v>43</v>
      </c>
      <c r="I637" s="76" t="s">
        <v>250</v>
      </c>
      <c r="J637" s="76" t="s">
        <v>45</v>
      </c>
      <c r="K637" s="76" t="s">
        <v>45</v>
      </c>
      <c r="L637" s="76" t="s">
        <v>774</v>
      </c>
      <c r="M637" s="76" t="s">
        <v>46</v>
      </c>
      <c r="N637" s="666">
        <v>25.350809000000002</v>
      </c>
      <c r="O637" s="666">
        <v>97.432495000000003</v>
      </c>
      <c r="P637" s="76" t="s">
        <v>775</v>
      </c>
      <c r="Q637" s="76" t="s">
        <v>794</v>
      </c>
      <c r="R637" s="670"/>
      <c r="S637" s="670"/>
      <c r="T637" s="137"/>
      <c r="U637" s="133"/>
      <c r="V637" s="76" t="s">
        <v>281</v>
      </c>
      <c r="W637" s="659" t="s">
        <v>2252</v>
      </c>
    </row>
    <row r="638" spans="1:23" s="76" customFormat="1" ht="14.25" customHeight="1">
      <c r="A638" s="675" t="s">
        <v>39</v>
      </c>
      <c r="B638" s="674" t="s">
        <v>150</v>
      </c>
      <c r="C638" s="668" t="s">
        <v>1064</v>
      </c>
      <c r="D638" s="760" t="s">
        <v>3047</v>
      </c>
      <c r="E638" s="668" t="s">
        <v>2031</v>
      </c>
      <c r="F638" s="666" t="s">
        <v>1064</v>
      </c>
      <c r="G638" s="76" t="s">
        <v>1064</v>
      </c>
      <c r="H638" s="668"/>
      <c r="I638" s="668" t="s">
        <v>2205</v>
      </c>
      <c r="J638" s="76" t="s">
        <v>45</v>
      </c>
      <c r="K638" s="76" t="s">
        <v>45</v>
      </c>
      <c r="L638" s="668" t="s">
        <v>790</v>
      </c>
      <c r="M638" s="76" t="s">
        <v>46</v>
      </c>
      <c r="N638" s="76">
        <v>0</v>
      </c>
      <c r="O638" s="76">
        <v>0</v>
      </c>
      <c r="P638" s="17" t="s">
        <v>775</v>
      </c>
      <c r="Q638" s="666" t="s">
        <v>2001</v>
      </c>
      <c r="R638" s="670">
        <v>80</v>
      </c>
      <c r="S638" s="670">
        <v>449</v>
      </c>
      <c r="T638" s="690">
        <v>43276</v>
      </c>
      <c r="U638" s="676"/>
      <c r="V638" s="668"/>
      <c r="W638" s="76" t="s">
        <v>2253</v>
      </c>
    </row>
    <row r="639" spans="1:23" s="76" customFormat="1" ht="14.25" customHeight="1">
      <c r="A639" s="666" t="s">
        <v>39</v>
      </c>
      <c r="B639" s="668" t="s">
        <v>150</v>
      </c>
      <c r="C639" s="668" t="s">
        <v>151</v>
      </c>
      <c r="D639" s="760" t="s">
        <v>3047</v>
      </c>
      <c r="E639" s="666" t="s">
        <v>1644</v>
      </c>
      <c r="F639" s="76" t="s">
        <v>1836</v>
      </c>
      <c r="G639" s="76" t="s">
        <v>1837</v>
      </c>
      <c r="H639" s="76" t="s">
        <v>43</v>
      </c>
      <c r="I639" s="76" t="s">
        <v>3049</v>
      </c>
      <c r="J639" s="76" t="s">
        <v>45</v>
      </c>
      <c r="K639" s="668" t="s">
        <v>45</v>
      </c>
      <c r="L639" s="668" t="s">
        <v>45</v>
      </c>
      <c r="M639" s="76" t="s">
        <v>792</v>
      </c>
      <c r="N639" s="666">
        <v>0</v>
      </c>
      <c r="O639" s="666">
        <v>0</v>
      </c>
      <c r="P639" s="17" t="s">
        <v>775</v>
      </c>
      <c r="Q639" s="76" t="s">
        <v>816</v>
      </c>
      <c r="R639" s="131">
        <v>398</v>
      </c>
      <c r="S639" s="670">
        <v>1834</v>
      </c>
      <c r="T639" s="137">
        <v>42916</v>
      </c>
      <c r="U639" s="133" t="s">
        <v>1150</v>
      </c>
      <c r="W639" s="659" t="s">
        <v>2356</v>
      </c>
    </row>
    <row r="640" spans="1:23" s="76" customFormat="1" ht="14.25" customHeight="1">
      <c r="A640" s="666" t="s">
        <v>39</v>
      </c>
      <c r="B640" s="668" t="s">
        <v>150</v>
      </c>
      <c r="C640" s="668" t="s">
        <v>190</v>
      </c>
      <c r="D640" s="760" t="s">
        <v>3047</v>
      </c>
      <c r="E640" s="666" t="s">
        <v>1588</v>
      </c>
      <c r="F640" s="668" t="s">
        <v>1862</v>
      </c>
      <c r="G640" s="666" t="s">
        <v>1863</v>
      </c>
      <c r="H640" s="666" t="s">
        <v>43</v>
      </c>
      <c r="I640" s="666" t="s">
        <v>3049</v>
      </c>
      <c r="J640" s="76" t="s">
        <v>45</v>
      </c>
      <c r="K640" s="76" t="s">
        <v>45</v>
      </c>
      <c r="L640" s="76" t="s">
        <v>45</v>
      </c>
      <c r="M640" s="666" t="s">
        <v>46</v>
      </c>
      <c r="N640" s="666">
        <v>25.418084</v>
      </c>
      <c r="O640" s="666">
        <v>98.025662999999994</v>
      </c>
      <c r="P640" s="76" t="s">
        <v>775</v>
      </c>
      <c r="Q640" s="666" t="s">
        <v>794</v>
      </c>
      <c r="R640" s="670">
        <v>183</v>
      </c>
      <c r="S640" s="670">
        <v>1041</v>
      </c>
      <c r="T640" s="690"/>
      <c r="U640" s="672"/>
      <c r="V640" s="666" t="s">
        <v>190</v>
      </c>
      <c r="W640" s="659" t="s">
        <v>2357</v>
      </c>
    </row>
    <row r="641" spans="1:23" s="76" customFormat="1" ht="14.25" customHeight="1">
      <c r="A641" s="666" t="s">
        <v>39</v>
      </c>
      <c r="B641" s="668" t="s">
        <v>150</v>
      </c>
      <c r="C641" s="668" t="s">
        <v>282</v>
      </c>
      <c r="D641" s="760" t="s">
        <v>3047</v>
      </c>
      <c r="E641" s="666" t="s">
        <v>1557</v>
      </c>
      <c r="F641" s="666" t="s">
        <v>1753</v>
      </c>
      <c r="G641" s="666" t="s">
        <v>1847</v>
      </c>
      <c r="H641" s="666" t="s">
        <v>43</v>
      </c>
      <c r="I641" s="666" t="s">
        <v>250</v>
      </c>
      <c r="J641" s="666" t="s">
        <v>45</v>
      </c>
      <c r="K641" s="666" t="s">
        <v>45</v>
      </c>
      <c r="L641" s="666" t="s">
        <v>45</v>
      </c>
      <c r="M641" s="666" t="s">
        <v>46</v>
      </c>
      <c r="N641" s="666">
        <v>25.333683333333301</v>
      </c>
      <c r="O641" s="666">
        <v>97.428251153846105</v>
      </c>
      <c r="P641" s="666" t="s">
        <v>775</v>
      </c>
      <c r="Q641" s="666" t="s">
        <v>794</v>
      </c>
      <c r="R641" s="670">
        <v>45</v>
      </c>
      <c r="S641" s="670">
        <v>186</v>
      </c>
      <c r="T641" s="690"/>
      <c r="U641" s="672"/>
      <c r="V641" s="666" t="s">
        <v>282</v>
      </c>
      <c r="W641" s="666"/>
    </row>
    <row r="642" spans="1:23" s="76" customFormat="1" ht="14.25" customHeight="1">
      <c r="A642" s="675" t="s">
        <v>39</v>
      </c>
      <c r="B642" s="674" t="s">
        <v>150</v>
      </c>
      <c r="C642" s="668" t="s">
        <v>2197</v>
      </c>
      <c r="D642" s="760" t="s">
        <v>3047</v>
      </c>
      <c r="E642" s="668" t="s">
        <v>2028</v>
      </c>
      <c r="F642" s="668"/>
      <c r="G642" s="668"/>
      <c r="H642" s="76" t="s">
        <v>43</v>
      </c>
      <c r="I642" s="76" t="s">
        <v>3049</v>
      </c>
      <c r="J642" s="76" t="s">
        <v>45</v>
      </c>
      <c r="K642" s="76" t="s">
        <v>45</v>
      </c>
      <c r="L642" s="76" t="s">
        <v>45</v>
      </c>
      <c r="M642" s="76" t="s">
        <v>46</v>
      </c>
      <c r="N642" s="76">
        <v>0</v>
      </c>
      <c r="O642" s="76">
        <v>0</v>
      </c>
      <c r="P642" s="668" t="s">
        <v>775</v>
      </c>
      <c r="Q642" s="76" t="s">
        <v>2001</v>
      </c>
      <c r="R642" s="131">
        <v>76</v>
      </c>
      <c r="S642" s="670">
        <v>344</v>
      </c>
      <c r="T642" s="137">
        <v>43276</v>
      </c>
      <c r="U642" s="676" t="s">
        <v>2053</v>
      </c>
      <c r="V642" s="668"/>
      <c r="W642" s="659" t="s">
        <v>2358</v>
      </c>
    </row>
    <row r="643" spans="1:23" s="76" customFormat="1" ht="14.25" customHeight="1">
      <c r="A643" s="666" t="s">
        <v>39</v>
      </c>
      <c r="B643" s="668" t="s">
        <v>150</v>
      </c>
      <c r="C643" s="668" t="s">
        <v>283</v>
      </c>
      <c r="D643" s="760" t="s">
        <v>3047</v>
      </c>
      <c r="E643" s="76" t="s">
        <v>1561</v>
      </c>
      <c r="F643" s="76" t="s">
        <v>1753</v>
      </c>
      <c r="G643" s="76" t="s">
        <v>1801</v>
      </c>
      <c r="H643" s="76" t="s">
        <v>43</v>
      </c>
      <c r="I643" s="76" t="s">
        <v>250</v>
      </c>
      <c r="J643" s="76" t="s">
        <v>45</v>
      </c>
      <c r="K643" s="76" t="s">
        <v>45</v>
      </c>
      <c r="L643" s="76" t="s">
        <v>45</v>
      </c>
      <c r="M643" s="76" t="s">
        <v>46</v>
      </c>
      <c r="N643" s="76">
        <v>25.351250396825399</v>
      </c>
      <c r="O643" s="76">
        <v>97.444283730158702</v>
      </c>
      <c r="P643" s="76" t="s">
        <v>775</v>
      </c>
      <c r="Q643" s="76" t="s">
        <v>794</v>
      </c>
      <c r="R643" s="131">
        <v>66</v>
      </c>
      <c r="S643" s="670">
        <v>263</v>
      </c>
      <c r="T643" s="137"/>
      <c r="U643" s="133"/>
      <c r="V643" s="76" t="s">
        <v>283</v>
      </c>
    </row>
    <row r="644" spans="1:23" s="76" customFormat="1" ht="14.25" customHeight="1">
      <c r="A644" s="666" t="s">
        <v>39</v>
      </c>
      <c r="B644" s="668" t="s">
        <v>150</v>
      </c>
      <c r="C644" s="668" t="s">
        <v>1059</v>
      </c>
      <c r="D644" s="760" t="s">
        <v>1694</v>
      </c>
      <c r="E644" s="666" t="s">
        <v>1565</v>
      </c>
      <c r="F644" s="666" t="s">
        <v>1753</v>
      </c>
      <c r="G644" s="666" t="s">
        <v>1743</v>
      </c>
      <c r="H644" s="666" t="s">
        <v>43</v>
      </c>
      <c r="I644" s="666" t="s">
        <v>149</v>
      </c>
      <c r="J644" s="666" t="s">
        <v>45</v>
      </c>
      <c r="K644" s="666" t="s">
        <v>45</v>
      </c>
      <c r="L644" s="666" t="s">
        <v>774</v>
      </c>
      <c r="M644" s="666" t="s">
        <v>46</v>
      </c>
      <c r="N644" s="666">
        <v>25.355841999999999</v>
      </c>
      <c r="O644" s="666">
        <v>97.438259000000002</v>
      </c>
      <c r="P644" s="666" t="s">
        <v>775</v>
      </c>
      <c r="Q644" s="666" t="s">
        <v>794</v>
      </c>
      <c r="R644" s="670"/>
      <c r="S644" s="671"/>
      <c r="T644" s="690"/>
      <c r="U644" s="672" t="s">
        <v>1060</v>
      </c>
      <c r="V644" s="666" t="s">
        <v>1059</v>
      </c>
      <c r="W644" s="659" t="s">
        <v>2254</v>
      </c>
    </row>
    <row r="645" spans="1:23" s="76" customFormat="1" ht="14.25" customHeight="1">
      <c r="A645" s="675" t="s">
        <v>39</v>
      </c>
      <c r="B645" s="674" t="s">
        <v>150</v>
      </c>
      <c r="C645" s="668" t="s">
        <v>2011</v>
      </c>
      <c r="D645" s="761"/>
      <c r="E645" s="668"/>
      <c r="F645" s="668"/>
      <c r="G645" s="668"/>
      <c r="H645" s="668"/>
      <c r="I645" s="668"/>
      <c r="J645" s="76" t="s">
        <v>1481</v>
      </c>
      <c r="K645" s="76" t="s">
        <v>45</v>
      </c>
      <c r="L645" s="76" t="s">
        <v>45</v>
      </c>
      <c r="M645" s="76" t="s">
        <v>46</v>
      </c>
      <c r="N645" s="668"/>
      <c r="O645" s="668"/>
      <c r="P645" s="76" t="s">
        <v>775</v>
      </c>
      <c r="Q645" s="76" t="s">
        <v>2001</v>
      </c>
      <c r="R645" s="679"/>
      <c r="S645" s="675"/>
      <c r="T645" s="137">
        <v>43270</v>
      </c>
      <c r="U645" s="676"/>
      <c r="V645" s="668"/>
      <c r="W645" s="666"/>
    </row>
    <row r="646" spans="1:23" s="76" customFormat="1" ht="14.25" customHeight="1">
      <c r="A646" s="666" t="s">
        <v>39</v>
      </c>
      <c r="B646" s="668" t="s">
        <v>150</v>
      </c>
      <c r="C646" s="668" t="s">
        <v>229</v>
      </c>
      <c r="D646" s="760" t="s">
        <v>3047</v>
      </c>
      <c r="E646" s="666" t="s">
        <v>1535</v>
      </c>
      <c r="F646" s="666" t="s">
        <v>1746</v>
      </c>
      <c r="G646" s="666" t="s">
        <v>1746</v>
      </c>
      <c r="H646" s="666" t="s">
        <v>43</v>
      </c>
      <c r="I646" s="666" t="s">
        <v>1346</v>
      </c>
      <c r="J646" s="76" t="s">
        <v>45</v>
      </c>
      <c r="K646" s="76" t="s">
        <v>45</v>
      </c>
      <c r="L646" s="76" t="s">
        <v>45</v>
      </c>
      <c r="M646" s="666" t="s">
        <v>792</v>
      </c>
      <c r="N646" s="666">
        <v>24.755253</v>
      </c>
      <c r="O646" s="666">
        <v>97.546893999999995</v>
      </c>
      <c r="P646" s="76" t="s">
        <v>775</v>
      </c>
      <c r="Q646" s="666" t="s">
        <v>794</v>
      </c>
      <c r="R646" s="670">
        <v>1435</v>
      </c>
      <c r="S646" s="670">
        <v>7220</v>
      </c>
      <c r="T646" s="690"/>
      <c r="U646" s="672"/>
      <c r="V646" s="666" t="s">
        <v>229</v>
      </c>
      <c r="W646" s="659" t="s">
        <v>2359</v>
      </c>
    </row>
    <row r="647" spans="1:23" s="76" customFormat="1" ht="14.25" customHeight="1">
      <c r="A647" s="666" t="s">
        <v>39</v>
      </c>
      <c r="B647" s="668" t="s">
        <v>150</v>
      </c>
      <c r="C647" s="668" t="s">
        <v>231</v>
      </c>
      <c r="D647" s="760" t="s">
        <v>1693</v>
      </c>
      <c r="E647" s="666"/>
      <c r="F647" s="666"/>
      <c r="G647" s="666"/>
      <c r="H647" s="666"/>
      <c r="I647" s="666"/>
      <c r="J647" s="76" t="s">
        <v>1481</v>
      </c>
      <c r="K647" s="76" t="s">
        <v>45</v>
      </c>
      <c r="L647" s="76" t="s">
        <v>1165</v>
      </c>
      <c r="M647" s="666" t="s">
        <v>792</v>
      </c>
      <c r="N647" s="666"/>
      <c r="O647" s="666"/>
      <c r="P647" s="76" t="s">
        <v>775</v>
      </c>
      <c r="Q647" s="666" t="s">
        <v>794</v>
      </c>
      <c r="R647" s="670"/>
      <c r="S647" s="671"/>
      <c r="T647" s="690"/>
      <c r="U647" s="672" t="s">
        <v>1109</v>
      </c>
      <c r="V647" s="666"/>
    </row>
    <row r="648" spans="1:23" s="76" customFormat="1" ht="14.25" customHeight="1">
      <c r="A648" s="666" t="s">
        <v>39</v>
      </c>
      <c r="B648" s="668" t="s">
        <v>150</v>
      </c>
      <c r="C648" s="668" t="s">
        <v>230</v>
      </c>
      <c r="D648" s="760" t="s">
        <v>1693</v>
      </c>
      <c r="J648" s="76" t="s">
        <v>1481</v>
      </c>
      <c r="K648" s="76" t="s">
        <v>45</v>
      </c>
      <c r="L648" s="76" t="s">
        <v>786</v>
      </c>
      <c r="M648" s="76" t="s">
        <v>792</v>
      </c>
      <c r="P648" s="76" t="s">
        <v>787</v>
      </c>
      <c r="Q648" s="76" t="s">
        <v>794</v>
      </c>
      <c r="R648" s="131"/>
      <c r="S648" s="671"/>
      <c r="T648" s="137"/>
      <c r="U648" s="133" t="s">
        <v>1109</v>
      </c>
    </row>
    <row r="649" spans="1:23" s="76" customFormat="1" ht="14.25" customHeight="1">
      <c r="A649" s="666" t="s">
        <v>39</v>
      </c>
      <c r="B649" s="668" t="s">
        <v>150</v>
      </c>
      <c r="C649" s="668" t="s">
        <v>1051</v>
      </c>
      <c r="D649" s="760" t="s">
        <v>1694</v>
      </c>
      <c r="E649" s="76" t="s">
        <v>1544</v>
      </c>
      <c r="F649" s="76" t="s">
        <v>1750</v>
      </c>
      <c r="G649" s="76" t="s">
        <v>1751</v>
      </c>
      <c r="H649" s="76" t="s">
        <v>43</v>
      </c>
      <c r="I649" s="76" t="s">
        <v>149</v>
      </c>
      <c r="J649" s="76" t="s">
        <v>45</v>
      </c>
      <c r="K649" s="666" t="s">
        <v>45</v>
      </c>
      <c r="L649" s="666" t="s">
        <v>774</v>
      </c>
      <c r="M649" s="76" t="s">
        <v>792</v>
      </c>
      <c r="N649" s="76">
        <v>25.106670000000001</v>
      </c>
      <c r="O649" s="76">
        <v>97.756789999999995</v>
      </c>
      <c r="P649" s="76" t="s">
        <v>775</v>
      </c>
      <c r="Q649" s="76" t="s">
        <v>794</v>
      </c>
      <c r="R649" s="670"/>
      <c r="S649" s="132"/>
      <c r="T649" s="137"/>
      <c r="U649" s="133" t="s">
        <v>1046</v>
      </c>
      <c r="V649" s="76" t="s">
        <v>1052</v>
      </c>
      <c r="W649" s="659" t="s">
        <v>2255</v>
      </c>
    </row>
    <row r="650" spans="1:23" s="76" customFormat="1" ht="14.25" customHeight="1">
      <c r="A650" s="666" t="s">
        <v>3013</v>
      </c>
      <c r="B650" s="666" t="s">
        <v>337</v>
      </c>
      <c r="C650" s="666" t="s">
        <v>2838</v>
      </c>
      <c r="D650" s="760"/>
      <c r="E650" s="666"/>
      <c r="F650" s="666"/>
      <c r="G650" s="666"/>
      <c r="H650" s="666"/>
      <c r="I650" s="666"/>
      <c r="J650" s="666" t="s">
        <v>3028</v>
      </c>
      <c r="K650" s="666" t="s">
        <v>2942</v>
      </c>
      <c r="L650" s="666" t="s">
        <v>2942</v>
      </c>
      <c r="M650" s="666"/>
      <c r="N650" s="666"/>
      <c r="O650" s="666"/>
      <c r="P650" s="666"/>
      <c r="Q650" s="666"/>
      <c r="R650" s="670"/>
      <c r="S650" s="671"/>
      <c r="T650" s="690"/>
      <c r="U650" s="672"/>
      <c r="V650" s="666"/>
      <c r="W650" s="666"/>
    </row>
    <row r="651" spans="1:23" s="76" customFormat="1" ht="14.25" customHeight="1">
      <c r="A651" s="775" t="s">
        <v>3013</v>
      </c>
      <c r="B651" s="799" t="s">
        <v>337</v>
      </c>
      <c r="C651" s="803" t="s">
        <v>3074</v>
      </c>
      <c r="D651" s="669"/>
      <c r="E651" s="777">
        <v>198334</v>
      </c>
      <c r="F651" s="777" t="s">
        <v>3074</v>
      </c>
      <c r="G651" s="777"/>
      <c r="H651" s="777"/>
      <c r="I651" s="777"/>
      <c r="J651" s="666" t="s">
        <v>812</v>
      </c>
      <c r="K651" s="666" t="s">
        <v>812</v>
      </c>
      <c r="L651" s="666" t="s">
        <v>812</v>
      </c>
      <c r="M651" s="777"/>
      <c r="N651" s="777">
        <v>20.825700759887699</v>
      </c>
      <c r="O651" s="777">
        <v>92.542686462402301</v>
      </c>
      <c r="P651" s="777"/>
      <c r="Q651" s="777" t="s">
        <v>2947</v>
      </c>
      <c r="R651" s="778"/>
      <c r="S651" s="775"/>
      <c r="T651" s="779">
        <v>43580</v>
      </c>
      <c r="U651" s="780" t="s">
        <v>3071</v>
      </c>
      <c r="V651" s="781"/>
      <c r="W651" s="670"/>
    </row>
    <row r="652" spans="1:23" s="76" customFormat="1" ht="14.25" customHeight="1">
      <c r="A652" s="666" t="s">
        <v>3013</v>
      </c>
      <c r="B652" s="668" t="s">
        <v>337</v>
      </c>
      <c r="C652" s="668" t="s">
        <v>645</v>
      </c>
      <c r="D652" s="760" t="s">
        <v>1693</v>
      </c>
      <c r="E652" s="76">
        <v>198334</v>
      </c>
      <c r="J652" s="76" t="s">
        <v>3028</v>
      </c>
      <c r="K652" s="76" t="s">
        <v>2942</v>
      </c>
      <c r="L652" s="76" t="s">
        <v>2942</v>
      </c>
      <c r="M652" s="76" t="s">
        <v>809</v>
      </c>
      <c r="N652" s="76">
        <v>20.82570076</v>
      </c>
      <c r="O652" s="76">
        <v>92.542686459999999</v>
      </c>
      <c r="P652" s="76" t="s">
        <v>813</v>
      </c>
      <c r="Q652" s="76" t="s">
        <v>794</v>
      </c>
      <c r="R652" s="131"/>
      <c r="S652" s="671"/>
      <c r="T652" s="137"/>
      <c r="U652" s="672"/>
      <c r="V652" s="76" t="s">
        <v>645</v>
      </c>
      <c r="W652" s="666"/>
    </row>
    <row r="653" spans="1:23" s="76" customFormat="1" ht="14.25" customHeight="1">
      <c r="A653" s="775" t="s">
        <v>3013</v>
      </c>
      <c r="B653" s="799" t="s">
        <v>337</v>
      </c>
      <c r="C653" s="803" t="s">
        <v>2805</v>
      </c>
      <c r="D653" s="669"/>
      <c r="E653" s="777">
        <v>198349</v>
      </c>
      <c r="F653" s="777" t="s">
        <v>2805</v>
      </c>
      <c r="G653" s="777"/>
      <c r="H653" s="777"/>
      <c r="I653" s="777"/>
      <c r="J653" s="76" t="s">
        <v>812</v>
      </c>
      <c r="K653" s="76" t="s">
        <v>812</v>
      </c>
      <c r="L653" s="76" t="s">
        <v>812</v>
      </c>
      <c r="M653" s="275" t="s">
        <v>809</v>
      </c>
      <c r="N653" s="777">
        <v>20.819919586181602</v>
      </c>
      <c r="O653" s="777">
        <v>92.589729309082003</v>
      </c>
      <c r="P653" s="777"/>
      <c r="Q653" s="777" t="s">
        <v>2947</v>
      </c>
      <c r="R653" s="778"/>
      <c r="S653" s="775"/>
      <c r="T653" s="779">
        <v>43580</v>
      </c>
      <c r="U653" s="780" t="s">
        <v>3071</v>
      </c>
      <c r="V653" s="781"/>
      <c r="W653" s="670"/>
    </row>
    <row r="654" spans="1:23" s="76" customFormat="1" ht="14.25" customHeight="1">
      <c r="A654" s="666" t="s">
        <v>3013</v>
      </c>
      <c r="B654" s="666" t="s">
        <v>337</v>
      </c>
      <c r="C654" s="666" t="s">
        <v>558</v>
      </c>
      <c r="D654" s="760" t="s">
        <v>1693</v>
      </c>
      <c r="E654" s="76">
        <v>198443</v>
      </c>
      <c r="J654" s="76" t="s">
        <v>812</v>
      </c>
      <c r="K654" s="76" t="s">
        <v>812</v>
      </c>
      <c r="L654" s="76" t="s">
        <v>812</v>
      </c>
      <c r="M654" s="76" t="s">
        <v>809</v>
      </c>
      <c r="N654" s="76">
        <v>20.686819079999999</v>
      </c>
      <c r="O654" s="76">
        <v>92.57855988</v>
      </c>
      <c r="P654" s="76" t="s">
        <v>813</v>
      </c>
      <c r="Q654" s="76" t="s">
        <v>794</v>
      </c>
      <c r="R654" s="670"/>
      <c r="S654" s="132"/>
      <c r="T654" s="137"/>
      <c r="U654" s="133"/>
      <c r="V654" s="76" t="s">
        <v>558</v>
      </c>
    </row>
    <row r="655" spans="1:23" s="76" customFormat="1" ht="14.25" customHeight="1">
      <c r="A655" s="666" t="s">
        <v>3013</v>
      </c>
      <c r="B655" s="666" t="s">
        <v>337</v>
      </c>
      <c r="C655" s="666" t="s">
        <v>3087</v>
      </c>
      <c r="D655" s="760" t="s">
        <v>1693</v>
      </c>
      <c r="E655" s="76">
        <v>198185</v>
      </c>
      <c r="J655" s="76" t="s">
        <v>812</v>
      </c>
      <c r="K655" s="76" t="s">
        <v>812</v>
      </c>
      <c r="L655" s="76" t="s">
        <v>812</v>
      </c>
      <c r="M655" s="76" t="s">
        <v>809</v>
      </c>
      <c r="N655" s="666">
        <v>20.961650850000002</v>
      </c>
      <c r="O655" s="666">
        <v>92.502937320000001</v>
      </c>
      <c r="P655" s="76" t="s">
        <v>813</v>
      </c>
      <c r="Q655" s="76" t="s">
        <v>794</v>
      </c>
      <c r="R655" s="131"/>
      <c r="S655" s="132"/>
      <c r="T655" s="137"/>
      <c r="U655" s="133"/>
      <c r="V655" s="76" t="s">
        <v>679</v>
      </c>
    </row>
    <row r="656" spans="1:23" s="76" customFormat="1" ht="14.25" customHeight="1">
      <c r="A656" s="932" t="s">
        <v>3013</v>
      </c>
      <c r="B656" s="935" t="s">
        <v>337</v>
      </c>
      <c r="C656" s="936" t="s">
        <v>3274</v>
      </c>
      <c r="D656" s="929"/>
      <c r="E656" s="76">
        <v>198357</v>
      </c>
      <c r="J656" s="76" t="s">
        <v>812</v>
      </c>
      <c r="K656" s="76" t="s">
        <v>812</v>
      </c>
      <c r="L656" s="76" t="s">
        <v>812</v>
      </c>
      <c r="N656" s="922">
        <v>20.813840866088899</v>
      </c>
      <c r="O656" s="922">
        <v>92.599952697753906</v>
      </c>
      <c r="R656" s="939"/>
      <c r="S656" s="132"/>
      <c r="T656" s="137"/>
      <c r="U656" s="939"/>
      <c r="W656" s="931"/>
    </row>
    <row r="657" spans="1:23" s="76" customFormat="1" ht="14.25" customHeight="1">
      <c r="A657" s="666" t="s">
        <v>3013</v>
      </c>
      <c r="B657" s="668" t="s">
        <v>337</v>
      </c>
      <c r="C657" s="668" t="s">
        <v>597</v>
      </c>
      <c r="D657" s="760" t="s">
        <v>1693</v>
      </c>
      <c r="E657" s="76">
        <v>198427</v>
      </c>
      <c r="J657" s="76" t="s">
        <v>812</v>
      </c>
      <c r="K657" s="76" t="s">
        <v>812</v>
      </c>
      <c r="L657" s="76" t="s">
        <v>812</v>
      </c>
      <c r="M657" s="76" t="s">
        <v>903</v>
      </c>
      <c r="N657" s="943">
        <v>20.742059709999999</v>
      </c>
      <c r="O657" s="943">
        <v>92.630676269999995</v>
      </c>
      <c r="P657" s="76" t="s">
        <v>813</v>
      </c>
      <c r="Q657" s="76" t="s">
        <v>794</v>
      </c>
      <c r="R657" s="131"/>
      <c r="S657" s="132"/>
      <c r="T657" s="137"/>
      <c r="U657" s="133"/>
      <c r="V657" s="76" t="s">
        <v>597</v>
      </c>
    </row>
    <row r="658" spans="1:23" s="76" customFormat="1" ht="14.25" customHeight="1">
      <c r="A658" s="666" t="s">
        <v>3013</v>
      </c>
      <c r="B658" s="928" t="s">
        <v>337</v>
      </c>
      <c r="C658" s="928" t="s">
        <v>2812</v>
      </c>
      <c r="D658" s="760"/>
      <c r="E658" s="76">
        <v>198427</v>
      </c>
      <c r="F658" s="76" t="s">
        <v>2950</v>
      </c>
      <c r="J658" s="76" t="s">
        <v>812</v>
      </c>
      <c r="K658" s="666" t="s">
        <v>812</v>
      </c>
      <c r="L658" s="666" t="s">
        <v>812</v>
      </c>
      <c r="M658" s="76" t="s">
        <v>809</v>
      </c>
      <c r="Q658" s="76" t="s">
        <v>2947</v>
      </c>
      <c r="R658" s="131"/>
      <c r="S658" s="132"/>
      <c r="T658" s="137"/>
      <c r="U658" s="133"/>
    </row>
    <row r="659" spans="1:23" s="76" customFormat="1" ht="14.25" customHeight="1">
      <c r="A659" s="922" t="s">
        <v>3013</v>
      </c>
      <c r="B659" s="922" t="s">
        <v>337</v>
      </c>
      <c r="C659" s="922" t="s">
        <v>2811</v>
      </c>
      <c r="D659" s="760"/>
      <c r="E659" s="76">
        <v>198426</v>
      </c>
      <c r="F659" s="666" t="s">
        <v>2950</v>
      </c>
      <c r="J659" s="76" t="s">
        <v>812</v>
      </c>
      <c r="K659" s="76" t="s">
        <v>812</v>
      </c>
      <c r="L659" s="76" t="s">
        <v>812</v>
      </c>
      <c r="M659" s="76" t="s">
        <v>312</v>
      </c>
      <c r="O659" s="666"/>
      <c r="Q659" s="76" t="s">
        <v>2947</v>
      </c>
      <c r="R659" s="931"/>
      <c r="S659" s="671"/>
      <c r="T659" s="137"/>
      <c r="U659" s="933"/>
      <c r="W659" s="922"/>
    </row>
    <row r="660" spans="1:23" s="76" customFormat="1" ht="14.25" customHeight="1">
      <c r="A660" s="935" t="s">
        <v>3013</v>
      </c>
      <c r="B660" s="935" t="s">
        <v>337</v>
      </c>
      <c r="C660" s="936" t="s">
        <v>3243</v>
      </c>
      <c r="D660" s="929"/>
      <c r="E660" s="76">
        <v>198415</v>
      </c>
      <c r="J660" s="76" t="s">
        <v>3028</v>
      </c>
      <c r="K660" s="76" t="s">
        <v>2942</v>
      </c>
      <c r="L660" s="76" t="s">
        <v>2942</v>
      </c>
      <c r="N660" s="76">
        <v>20.734859466552699</v>
      </c>
      <c r="O660" s="76">
        <v>92.657089233398395</v>
      </c>
      <c r="R660" s="939"/>
      <c r="S660" s="671"/>
      <c r="T660" s="137">
        <v>43591</v>
      </c>
      <c r="U660" s="939"/>
      <c r="W660" s="931"/>
    </row>
    <row r="661" spans="1:23" s="76" customFormat="1" ht="14.25" customHeight="1">
      <c r="A661" s="666" t="s">
        <v>3013</v>
      </c>
      <c r="B661" s="666" t="s">
        <v>337</v>
      </c>
      <c r="C661" s="666" t="s">
        <v>619</v>
      </c>
      <c r="D661" s="760" t="s">
        <v>1693</v>
      </c>
      <c r="E661" s="666">
        <v>198367</v>
      </c>
      <c r="F661" s="666"/>
      <c r="G661" s="666"/>
      <c r="H661" s="666"/>
      <c r="I661" s="666"/>
      <c r="J661" s="666" t="s">
        <v>812</v>
      </c>
      <c r="K661" s="666" t="s">
        <v>812</v>
      </c>
      <c r="L661" s="666" t="s">
        <v>812</v>
      </c>
      <c r="M661" s="666" t="s">
        <v>809</v>
      </c>
      <c r="N661" s="922">
        <v>20.792390820000001</v>
      </c>
      <c r="O661" s="922">
        <v>92.587081909999995</v>
      </c>
      <c r="P661" s="666" t="s">
        <v>813</v>
      </c>
      <c r="Q661" s="666" t="s">
        <v>794</v>
      </c>
      <c r="R661" s="670"/>
      <c r="S661" s="671"/>
      <c r="T661" s="690"/>
      <c r="U661" s="672"/>
      <c r="V661" s="666" t="s">
        <v>619</v>
      </c>
    </row>
    <row r="662" spans="1:23" s="76" customFormat="1" ht="14.25" customHeight="1">
      <c r="A662" s="922" t="s">
        <v>3013</v>
      </c>
      <c r="B662" s="922" t="s">
        <v>337</v>
      </c>
      <c r="C662" s="922" t="s">
        <v>666</v>
      </c>
      <c r="D662" s="760" t="s">
        <v>1693</v>
      </c>
      <c r="E662" s="76">
        <v>198317</v>
      </c>
      <c r="J662" s="76" t="s">
        <v>812</v>
      </c>
      <c r="K662" s="76" t="s">
        <v>812</v>
      </c>
      <c r="L662" s="76" t="s">
        <v>812</v>
      </c>
      <c r="M662" s="76" t="s">
        <v>809</v>
      </c>
      <c r="N662" s="943">
        <v>20.891330719999999</v>
      </c>
      <c r="O662" s="943">
        <v>92.491966250000004</v>
      </c>
      <c r="P662" s="76" t="s">
        <v>813</v>
      </c>
      <c r="Q662" s="76" t="s">
        <v>794</v>
      </c>
      <c r="R662" s="931"/>
      <c r="S662" s="132"/>
      <c r="T662" s="137"/>
      <c r="U662" s="933"/>
      <c r="V662" s="76" t="s">
        <v>666</v>
      </c>
      <c r="W662" s="922"/>
    </row>
    <row r="663" spans="1:23" s="76" customFormat="1" ht="14.25" customHeight="1">
      <c r="A663" s="935" t="s">
        <v>3013</v>
      </c>
      <c r="B663" s="935" t="s">
        <v>337</v>
      </c>
      <c r="C663" s="936" t="s">
        <v>635</v>
      </c>
      <c r="D663" s="929"/>
      <c r="E663" s="76">
        <v>217876</v>
      </c>
      <c r="J663" s="76" t="s">
        <v>3028</v>
      </c>
      <c r="K663" s="76" t="s">
        <v>2942</v>
      </c>
      <c r="L663" s="76" t="s">
        <v>2942</v>
      </c>
      <c r="M663" s="76" t="s">
        <v>312</v>
      </c>
      <c r="N663" s="76">
        <v>20.818290709999999</v>
      </c>
      <c r="O663" s="76">
        <v>92.594978330000004</v>
      </c>
      <c r="P663" s="76" t="s">
        <v>813</v>
      </c>
      <c r="R663" s="939"/>
      <c r="S663" s="132"/>
      <c r="T663" s="137">
        <v>43591</v>
      </c>
      <c r="U663" s="939"/>
      <c r="W663" s="931"/>
    </row>
    <row r="664" spans="1:23" s="76" customFormat="1" ht="14.25" customHeight="1">
      <c r="A664" s="666" t="s">
        <v>3013</v>
      </c>
      <c r="B664" s="666" t="s">
        <v>337</v>
      </c>
      <c r="C664" s="666" t="s">
        <v>338</v>
      </c>
      <c r="D664" s="760" t="s">
        <v>1693</v>
      </c>
      <c r="E664" s="666"/>
      <c r="F664" s="666"/>
      <c r="G664" s="666"/>
      <c r="H664" s="666"/>
      <c r="I664" s="666"/>
      <c r="J664" s="666" t="s">
        <v>818</v>
      </c>
      <c r="K664" s="666" t="s">
        <v>812</v>
      </c>
      <c r="L664" s="666" t="s">
        <v>818</v>
      </c>
      <c r="M664" s="76" t="s">
        <v>809</v>
      </c>
      <c r="N664" s="666"/>
      <c r="P664" s="76" t="s">
        <v>937</v>
      </c>
      <c r="Q664" s="666" t="s">
        <v>816</v>
      </c>
      <c r="R664" s="670"/>
      <c r="S664" s="671"/>
      <c r="T664" s="690">
        <v>42926</v>
      </c>
      <c r="U664" s="672" t="s">
        <v>947</v>
      </c>
      <c r="W664" s="666"/>
    </row>
    <row r="665" spans="1:23" s="76" customFormat="1" ht="14.25" customHeight="1">
      <c r="A665" s="666" t="s">
        <v>3013</v>
      </c>
      <c r="B665" s="666" t="s">
        <v>337</v>
      </c>
      <c r="C665" s="666" t="s">
        <v>556</v>
      </c>
      <c r="D665" s="760" t="s">
        <v>1693</v>
      </c>
      <c r="E665" s="666">
        <v>220754</v>
      </c>
      <c r="F665" s="666"/>
      <c r="G665" s="666"/>
      <c r="H665" s="666"/>
      <c r="I665" s="666"/>
      <c r="J665" s="666" t="s">
        <v>812</v>
      </c>
      <c r="K665" s="666" t="s">
        <v>812</v>
      </c>
      <c r="L665" s="666" t="s">
        <v>812</v>
      </c>
      <c r="M665" s="76" t="s">
        <v>312</v>
      </c>
      <c r="N665" s="666">
        <v>20.685689929999999</v>
      </c>
      <c r="O665" s="76">
        <v>92.572860719999994</v>
      </c>
      <c r="P665" s="76" t="s">
        <v>813</v>
      </c>
      <c r="Q665" s="666" t="s">
        <v>794</v>
      </c>
      <c r="R665" s="670"/>
      <c r="S665" s="671"/>
      <c r="T665" s="690"/>
      <c r="U665" s="672"/>
      <c r="V665" s="76" t="s">
        <v>556</v>
      </c>
      <c r="W665" s="666"/>
    </row>
    <row r="666" spans="1:23" s="76" customFormat="1" ht="14.25" customHeight="1">
      <c r="A666" s="666" t="s">
        <v>3013</v>
      </c>
      <c r="B666" s="666" t="s">
        <v>337</v>
      </c>
      <c r="C666" s="666" t="s">
        <v>585</v>
      </c>
      <c r="D666" s="760" t="s">
        <v>1693</v>
      </c>
      <c r="E666" s="76">
        <v>198429</v>
      </c>
      <c r="J666" s="76" t="s">
        <v>812</v>
      </c>
      <c r="K666" s="76" t="s">
        <v>812</v>
      </c>
      <c r="L666" s="666" t="s">
        <v>812</v>
      </c>
      <c r="M666" s="76" t="s">
        <v>809</v>
      </c>
      <c r="N666" s="76">
        <v>20.721019739999999</v>
      </c>
      <c r="O666" s="76">
        <v>92.626197809999994</v>
      </c>
      <c r="P666" s="76" t="s">
        <v>813</v>
      </c>
      <c r="Q666" s="76" t="s">
        <v>794</v>
      </c>
      <c r="R666" s="670"/>
      <c r="S666" s="132"/>
      <c r="T666" s="137"/>
      <c r="U666" s="133"/>
      <c r="V666" s="76" t="s">
        <v>585</v>
      </c>
      <c r="W666" s="666"/>
    </row>
    <row r="667" spans="1:23" s="76" customFormat="1" ht="14.25" customHeight="1">
      <c r="A667" s="666" t="s">
        <v>3013</v>
      </c>
      <c r="B667" s="666" t="s">
        <v>337</v>
      </c>
      <c r="C667" s="666" t="s">
        <v>665</v>
      </c>
      <c r="D667" s="760"/>
      <c r="E667" s="76">
        <v>198435</v>
      </c>
      <c r="F667" s="76" t="s">
        <v>2952</v>
      </c>
      <c r="J667" s="76" t="s">
        <v>812</v>
      </c>
      <c r="K667" s="76" t="s">
        <v>812</v>
      </c>
      <c r="L667" s="76" t="s">
        <v>812</v>
      </c>
      <c r="M667" s="76" t="s">
        <v>809</v>
      </c>
      <c r="Q667" s="76" t="s">
        <v>2947</v>
      </c>
      <c r="R667" s="670"/>
      <c r="S667" s="132"/>
      <c r="T667" s="137"/>
      <c r="U667" s="133"/>
    </row>
    <row r="668" spans="1:23" s="76" customFormat="1" ht="14.25" customHeight="1">
      <c r="A668" s="666" t="s">
        <v>3013</v>
      </c>
      <c r="B668" s="922" t="s">
        <v>337</v>
      </c>
      <c r="C668" s="922" t="s">
        <v>599</v>
      </c>
      <c r="D668" s="760" t="s">
        <v>1693</v>
      </c>
      <c r="E668" s="76">
        <v>198390</v>
      </c>
      <c r="J668" s="76" t="s">
        <v>812</v>
      </c>
      <c r="K668" s="76" t="s">
        <v>812</v>
      </c>
      <c r="L668" s="76" t="s">
        <v>812</v>
      </c>
      <c r="M668" s="76" t="s">
        <v>809</v>
      </c>
      <c r="N668" s="76">
        <v>20.753370289999999</v>
      </c>
      <c r="O668" s="76">
        <v>92.545188899999999</v>
      </c>
      <c r="P668" s="76" t="s">
        <v>813</v>
      </c>
      <c r="Q668" s="76" t="s">
        <v>794</v>
      </c>
      <c r="R668" s="670"/>
      <c r="S668" s="132"/>
      <c r="T668" s="137"/>
      <c r="U668" s="133"/>
      <c r="V668" s="76" t="s">
        <v>599</v>
      </c>
    </row>
    <row r="669" spans="1:23" s="76" customFormat="1" ht="14.25" customHeight="1">
      <c r="A669" s="666" t="s">
        <v>3013</v>
      </c>
      <c r="B669" s="668" t="s">
        <v>337</v>
      </c>
      <c r="C669" s="668" t="s">
        <v>2813</v>
      </c>
      <c r="D669" s="760" t="s">
        <v>1693</v>
      </c>
      <c r="E669" s="76">
        <v>198431</v>
      </c>
      <c r="F669" s="76" t="s">
        <v>2951</v>
      </c>
      <c r="J669" s="76" t="s">
        <v>812</v>
      </c>
      <c r="K669" s="76" t="s">
        <v>812</v>
      </c>
      <c r="L669" s="76" t="s">
        <v>812</v>
      </c>
      <c r="M669" s="76" t="s">
        <v>809</v>
      </c>
      <c r="N669" s="76">
        <v>20.703790659999999</v>
      </c>
      <c r="O669" s="76">
        <v>92.628463749999995</v>
      </c>
      <c r="P669" s="76" t="s">
        <v>813</v>
      </c>
      <c r="Q669" s="76" t="s">
        <v>794</v>
      </c>
      <c r="R669" s="131"/>
      <c r="S669" s="132"/>
      <c r="T669" s="137"/>
      <c r="U669" s="133"/>
      <c r="V669" s="76" t="s">
        <v>568</v>
      </c>
    </row>
    <row r="670" spans="1:23" s="76" customFormat="1" ht="14.25" customHeight="1">
      <c r="A670" s="666" t="s">
        <v>3013</v>
      </c>
      <c r="B670" s="928" t="s">
        <v>337</v>
      </c>
      <c r="C670" s="928" t="s">
        <v>2814</v>
      </c>
      <c r="D670" s="760" t="s">
        <v>1693</v>
      </c>
      <c r="E670" s="76">
        <v>198428</v>
      </c>
      <c r="J670" s="76" t="s">
        <v>812</v>
      </c>
      <c r="K670" s="76" t="s">
        <v>812</v>
      </c>
      <c r="L670" s="76" t="s">
        <v>812</v>
      </c>
      <c r="M670" s="76" t="s">
        <v>312</v>
      </c>
      <c r="N670" s="76">
        <v>20.703920360000001</v>
      </c>
      <c r="O670" s="76">
        <v>92.631500239999994</v>
      </c>
      <c r="P670" s="76" t="s">
        <v>813</v>
      </c>
      <c r="Q670" s="76" t="s">
        <v>794</v>
      </c>
      <c r="R670" s="670"/>
      <c r="S670" s="132"/>
      <c r="T670" s="137"/>
      <c r="U670" s="133"/>
      <c r="V670" s="76" t="s">
        <v>569</v>
      </c>
    </row>
    <row r="671" spans="1:23" s="76" customFormat="1" ht="14.25" customHeight="1">
      <c r="A671" s="666" t="s">
        <v>3013</v>
      </c>
      <c r="B671" s="666" t="s">
        <v>337</v>
      </c>
      <c r="C671" s="666" t="s">
        <v>547</v>
      </c>
      <c r="D671" s="760" t="s">
        <v>1693</v>
      </c>
      <c r="E671" s="76">
        <v>217884</v>
      </c>
      <c r="J671" s="76" t="s">
        <v>812</v>
      </c>
      <c r="K671" s="76" t="s">
        <v>812</v>
      </c>
      <c r="L671" s="76" t="s">
        <v>812</v>
      </c>
      <c r="M671" s="76" t="s">
        <v>809</v>
      </c>
      <c r="N671" s="76">
        <v>20.673639300000001</v>
      </c>
      <c r="O671" s="76">
        <v>92.596298219999994</v>
      </c>
      <c r="P671" s="76" t="s">
        <v>813</v>
      </c>
      <c r="Q671" s="76" t="s">
        <v>794</v>
      </c>
      <c r="R671" s="670"/>
      <c r="S671" s="132"/>
      <c r="T671" s="137"/>
      <c r="U671" s="133"/>
      <c r="V671" s="76" t="s">
        <v>547</v>
      </c>
    </row>
    <row r="672" spans="1:23" s="76" customFormat="1" ht="14.25" customHeight="1">
      <c r="A672" s="922" t="s">
        <v>3013</v>
      </c>
      <c r="B672" s="922" t="s">
        <v>337</v>
      </c>
      <c r="C672" s="922" t="s">
        <v>1115</v>
      </c>
      <c r="D672" s="760" t="s">
        <v>1693</v>
      </c>
      <c r="E672" s="922">
        <v>198232</v>
      </c>
      <c r="F672" s="922"/>
      <c r="G672" s="922"/>
      <c r="H672" s="922"/>
      <c r="I672" s="922"/>
      <c r="J672" s="76" t="s">
        <v>812</v>
      </c>
      <c r="K672" s="76" t="s">
        <v>812</v>
      </c>
      <c r="L672" s="76" t="s">
        <v>812</v>
      </c>
      <c r="M672" s="922" t="s">
        <v>312</v>
      </c>
      <c r="N672" s="922"/>
      <c r="O672" s="922"/>
      <c r="P672" s="922" t="s">
        <v>813</v>
      </c>
      <c r="Q672" s="922" t="s">
        <v>816</v>
      </c>
      <c r="R672" s="931"/>
      <c r="S672" s="932"/>
      <c r="T672" s="951">
        <v>42926</v>
      </c>
      <c r="U672" s="933" t="s">
        <v>817</v>
      </c>
      <c r="V672" s="922"/>
      <c r="W672" s="922"/>
    </row>
    <row r="673" spans="1:23" s="76" customFormat="1" ht="14.25" customHeight="1">
      <c r="A673" s="775" t="s">
        <v>3013</v>
      </c>
      <c r="B673" s="799" t="s">
        <v>337</v>
      </c>
      <c r="C673" s="803" t="s">
        <v>2948</v>
      </c>
      <c r="D673" s="929"/>
      <c r="E673" s="777">
        <v>198370</v>
      </c>
      <c r="F673" s="957" t="s">
        <v>2948</v>
      </c>
      <c r="G673" s="777"/>
      <c r="H673" s="777"/>
      <c r="I673" s="777"/>
      <c r="J673" s="76" t="s">
        <v>812</v>
      </c>
      <c r="K673" s="76" t="s">
        <v>812</v>
      </c>
      <c r="L673" s="76" t="s">
        <v>812</v>
      </c>
      <c r="M673" s="777"/>
      <c r="N673" s="777">
        <v>20.793779373168899</v>
      </c>
      <c r="O673" s="777">
        <v>92.597961425781307</v>
      </c>
      <c r="P673" s="777"/>
      <c r="Q673" s="777" t="s">
        <v>2947</v>
      </c>
      <c r="R673" s="778"/>
      <c r="S673" s="775"/>
      <c r="T673" s="779">
        <v>43580</v>
      </c>
      <c r="U673" s="780" t="s">
        <v>3071</v>
      </c>
      <c r="V673" s="781"/>
      <c r="W673" s="931"/>
    </row>
    <row r="674" spans="1:23" s="76" customFormat="1" ht="14.25" customHeight="1">
      <c r="A674" s="666" t="s">
        <v>3013</v>
      </c>
      <c r="B674" s="666" t="s">
        <v>337</v>
      </c>
      <c r="C674" s="666" t="s">
        <v>2804</v>
      </c>
      <c r="D674" s="760"/>
      <c r="E674" s="76">
        <v>198350</v>
      </c>
      <c r="F674" s="76" t="s">
        <v>2805</v>
      </c>
      <c r="J674" s="76" t="s">
        <v>812</v>
      </c>
      <c r="K674" s="76" t="s">
        <v>812</v>
      </c>
      <c r="L674" s="76" t="s">
        <v>812</v>
      </c>
      <c r="M674" s="76" t="s">
        <v>809</v>
      </c>
      <c r="Q674" s="76" t="s">
        <v>2947</v>
      </c>
      <c r="R674" s="670"/>
      <c r="S674" s="132"/>
      <c r="T674" s="137"/>
      <c r="U674" s="133"/>
    </row>
    <row r="675" spans="1:23" s="76" customFormat="1" ht="14.25" customHeight="1">
      <c r="A675" s="666" t="s">
        <v>3013</v>
      </c>
      <c r="B675" s="666" t="s">
        <v>337</v>
      </c>
      <c r="C675" s="666" t="s">
        <v>682</v>
      </c>
      <c r="D675" s="760" t="s">
        <v>1693</v>
      </c>
      <c r="E675" s="76">
        <v>198183</v>
      </c>
      <c r="J675" s="76" t="s">
        <v>812</v>
      </c>
      <c r="K675" s="76" t="s">
        <v>812</v>
      </c>
      <c r="L675" s="76" t="s">
        <v>812</v>
      </c>
      <c r="M675" s="76" t="s">
        <v>965</v>
      </c>
      <c r="N675" s="76">
        <v>20.977460860000001</v>
      </c>
      <c r="O675" s="76">
        <v>92.484466549999993</v>
      </c>
      <c r="P675" s="76" t="s">
        <v>813</v>
      </c>
      <c r="Q675" s="76" t="s">
        <v>794</v>
      </c>
      <c r="R675" s="131"/>
      <c r="S675" s="132"/>
      <c r="T675" s="137"/>
      <c r="U675" s="133"/>
      <c r="V675" s="76" t="s">
        <v>682</v>
      </c>
    </row>
    <row r="676" spans="1:23" s="76" customFormat="1" ht="14.25" customHeight="1">
      <c r="A676" s="666" t="s">
        <v>3013</v>
      </c>
      <c r="B676" s="666" t="s">
        <v>337</v>
      </c>
      <c r="C676" s="666" t="s">
        <v>681</v>
      </c>
      <c r="D676" s="760" t="s">
        <v>1693</v>
      </c>
      <c r="E676" s="666">
        <v>198187</v>
      </c>
      <c r="F676" s="666"/>
      <c r="G676" s="666"/>
      <c r="H676" s="666"/>
      <c r="I676" s="666"/>
      <c r="J676" s="666" t="s">
        <v>812</v>
      </c>
      <c r="K676" s="666" t="s">
        <v>812</v>
      </c>
      <c r="L676" s="666" t="s">
        <v>812</v>
      </c>
      <c r="M676" s="666" t="s">
        <v>809</v>
      </c>
      <c r="N676" s="666">
        <v>20.974870679999999</v>
      </c>
      <c r="O676" s="666">
        <v>92.483711240000005</v>
      </c>
      <c r="P676" s="666" t="s">
        <v>813</v>
      </c>
      <c r="Q676" s="666" t="s">
        <v>794</v>
      </c>
      <c r="R676" s="670"/>
      <c r="S676" s="671"/>
      <c r="T676" s="690"/>
      <c r="U676" s="672"/>
      <c r="V676" s="666" t="s">
        <v>681</v>
      </c>
      <c r="W676" s="666"/>
    </row>
    <row r="677" spans="1:23" s="76" customFormat="1" ht="14.25" customHeight="1">
      <c r="A677" s="666" t="s">
        <v>3013</v>
      </c>
      <c r="B677" s="666" t="s">
        <v>337</v>
      </c>
      <c r="C677" s="666" t="s">
        <v>652</v>
      </c>
      <c r="D677" s="760" t="s">
        <v>1693</v>
      </c>
      <c r="E677" s="76">
        <v>198313</v>
      </c>
      <c r="J677" s="76" t="s">
        <v>812</v>
      </c>
      <c r="K677" s="76" t="s">
        <v>812</v>
      </c>
      <c r="L677" s="76" t="s">
        <v>812</v>
      </c>
      <c r="M677" s="76" t="s">
        <v>312</v>
      </c>
      <c r="N677" s="76">
        <v>20.849060059999999</v>
      </c>
      <c r="O677" s="76">
        <v>92.497413640000005</v>
      </c>
      <c r="P677" s="76" t="s">
        <v>813</v>
      </c>
      <c r="Q677" s="76" t="s">
        <v>816</v>
      </c>
      <c r="R677" s="131"/>
      <c r="S677" s="132"/>
      <c r="T677" s="137">
        <v>42926</v>
      </c>
      <c r="U677" s="133" t="s">
        <v>947</v>
      </c>
    </row>
    <row r="678" spans="1:23" s="76" customFormat="1" ht="14.25" customHeight="1">
      <c r="A678" s="666" t="s">
        <v>3013</v>
      </c>
      <c r="B678" s="666" t="s">
        <v>337</v>
      </c>
      <c r="C678" s="666" t="s">
        <v>658</v>
      </c>
      <c r="D678" s="760" t="s">
        <v>1693</v>
      </c>
      <c r="E678" s="76">
        <v>198301</v>
      </c>
      <c r="J678" s="76" t="s">
        <v>812</v>
      </c>
      <c r="K678" s="76" t="s">
        <v>812</v>
      </c>
      <c r="L678" s="76" t="s">
        <v>812</v>
      </c>
      <c r="M678" s="76" t="s">
        <v>809</v>
      </c>
      <c r="N678" s="76">
        <v>20.876710889999998</v>
      </c>
      <c r="O678" s="76">
        <v>92.537406919999995</v>
      </c>
      <c r="P678" s="76" t="s">
        <v>813</v>
      </c>
      <c r="Q678" s="76" t="s">
        <v>794</v>
      </c>
      <c r="R678" s="670"/>
      <c r="S678" s="132"/>
      <c r="T678" s="137"/>
      <c r="U678" s="133"/>
      <c r="V678" s="76" t="s">
        <v>658</v>
      </c>
      <c r="W678" s="666"/>
    </row>
    <row r="679" spans="1:23" s="76" customFormat="1" ht="14.25" customHeight="1">
      <c r="A679" s="666" t="s">
        <v>3013</v>
      </c>
      <c r="B679" s="666" t="s">
        <v>337</v>
      </c>
      <c r="C679" s="666" t="s">
        <v>559</v>
      </c>
      <c r="D679" s="760" t="s">
        <v>1693</v>
      </c>
      <c r="E679" s="76">
        <v>198444</v>
      </c>
      <c r="J679" s="76" t="s">
        <v>812</v>
      </c>
      <c r="K679" s="76" t="s">
        <v>812</v>
      </c>
      <c r="L679" s="76" t="s">
        <v>812</v>
      </c>
      <c r="M679" s="76" t="s">
        <v>809</v>
      </c>
      <c r="N679" s="76">
        <v>20.687610630000002</v>
      </c>
      <c r="O679" s="76">
        <v>92.617988589999996</v>
      </c>
      <c r="P679" s="76" t="s">
        <v>813</v>
      </c>
      <c r="Q679" s="76" t="s">
        <v>794</v>
      </c>
      <c r="R679" s="670"/>
      <c r="S679" s="132"/>
      <c r="T679" s="137"/>
      <c r="U679" s="672"/>
      <c r="V679" s="76" t="s">
        <v>559</v>
      </c>
      <c r="W679" s="666"/>
    </row>
    <row r="680" spans="1:23" s="76" customFormat="1" ht="14.25" customHeight="1">
      <c r="A680" s="666" t="s">
        <v>3013</v>
      </c>
      <c r="B680" s="666" t="s">
        <v>337</v>
      </c>
      <c r="C680" s="666" t="s">
        <v>677</v>
      </c>
      <c r="D680" s="760" t="s">
        <v>1693</v>
      </c>
      <c r="E680" s="76">
        <v>217866</v>
      </c>
      <c r="J680" s="76" t="s">
        <v>812</v>
      </c>
      <c r="K680" s="666" t="s">
        <v>812</v>
      </c>
      <c r="L680" s="666" t="s">
        <v>812</v>
      </c>
      <c r="M680" s="76" t="s">
        <v>809</v>
      </c>
      <c r="N680" s="76">
        <v>20.936349870000001</v>
      </c>
      <c r="O680" s="76">
        <v>92.468246460000003</v>
      </c>
      <c r="P680" s="76" t="s">
        <v>813</v>
      </c>
      <c r="Q680" s="76" t="s">
        <v>794</v>
      </c>
      <c r="R680" s="670"/>
      <c r="S680" s="671"/>
      <c r="T680" s="137"/>
      <c r="U680" s="133"/>
      <c r="V680" s="76" t="s">
        <v>677</v>
      </c>
      <c r="W680" s="666"/>
    </row>
    <row r="681" spans="1:23" s="76" customFormat="1" ht="14.25" customHeight="1">
      <c r="A681" s="922" t="s">
        <v>3013</v>
      </c>
      <c r="B681" s="922" t="s">
        <v>337</v>
      </c>
      <c r="C681" s="922" t="s">
        <v>627</v>
      </c>
      <c r="D681" s="760" t="s">
        <v>1694</v>
      </c>
      <c r="E681" s="922">
        <v>198336</v>
      </c>
      <c r="F681" s="922" t="s">
        <v>1703</v>
      </c>
      <c r="G681" s="922" t="s">
        <v>1704</v>
      </c>
      <c r="H681" s="922"/>
      <c r="I681" s="922"/>
      <c r="J681" s="76" t="s">
        <v>812</v>
      </c>
      <c r="K681" s="76" t="s">
        <v>812</v>
      </c>
      <c r="L681" s="76" t="s">
        <v>812</v>
      </c>
      <c r="M681" s="922" t="s">
        <v>312</v>
      </c>
      <c r="N681" s="922">
        <v>20.80558014</v>
      </c>
      <c r="O681" s="922">
        <v>92.549842830000003</v>
      </c>
      <c r="P681" s="922" t="s">
        <v>813</v>
      </c>
      <c r="Q681" s="922" t="s">
        <v>816</v>
      </c>
      <c r="R681" s="931"/>
      <c r="S681" s="932"/>
      <c r="T681" s="951">
        <v>42926</v>
      </c>
      <c r="U681" s="933" t="s">
        <v>817</v>
      </c>
      <c r="V681" s="922"/>
      <c r="W681" s="922"/>
    </row>
    <row r="682" spans="1:23" s="76" customFormat="1" ht="14.25" customHeight="1">
      <c r="A682" s="775" t="s">
        <v>3013</v>
      </c>
      <c r="B682" s="799" t="s">
        <v>337</v>
      </c>
      <c r="C682" s="803" t="s">
        <v>3069</v>
      </c>
      <c r="D682" s="929"/>
      <c r="E682" s="777">
        <v>198356</v>
      </c>
      <c r="F682" s="777" t="s">
        <v>3077</v>
      </c>
      <c r="G682" s="777"/>
      <c r="H682" s="777"/>
      <c r="I682" s="777"/>
      <c r="J682" s="666" t="s">
        <v>812</v>
      </c>
      <c r="K682" s="666" t="s">
        <v>812</v>
      </c>
      <c r="L682" s="666" t="s">
        <v>812</v>
      </c>
      <c r="M682" s="777"/>
      <c r="N682" s="777">
        <v>20.821479797363299</v>
      </c>
      <c r="O682" s="777">
        <v>92.603950500488295</v>
      </c>
      <c r="P682" s="777"/>
      <c r="Q682" s="777" t="s">
        <v>2947</v>
      </c>
      <c r="R682" s="778"/>
      <c r="S682" s="775"/>
      <c r="T682" s="779">
        <v>43580</v>
      </c>
      <c r="U682" s="780" t="s">
        <v>3071</v>
      </c>
      <c r="V682" s="781"/>
      <c r="W682" s="931"/>
    </row>
    <row r="683" spans="1:23" s="76" customFormat="1" ht="14.25" customHeight="1">
      <c r="A683" s="666" t="s">
        <v>3013</v>
      </c>
      <c r="B683" s="668" t="s">
        <v>337</v>
      </c>
      <c r="C683" s="668" t="s">
        <v>638</v>
      </c>
      <c r="D683" s="760" t="s">
        <v>1693</v>
      </c>
      <c r="E683" s="666">
        <v>198356</v>
      </c>
      <c r="F683" s="666"/>
      <c r="G683" s="666"/>
      <c r="H683" s="666"/>
      <c r="I683" s="666"/>
      <c r="J683" s="666" t="s">
        <v>812</v>
      </c>
      <c r="K683" s="666" t="s">
        <v>812</v>
      </c>
      <c r="L683" s="666" t="s">
        <v>812</v>
      </c>
      <c r="M683" s="666" t="s">
        <v>809</v>
      </c>
      <c r="N683" s="666">
        <v>20.821479799999999</v>
      </c>
      <c r="O683" s="666">
        <v>92.603950499999996</v>
      </c>
      <c r="P683" s="666" t="s">
        <v>813</v>
      </c>
      <c r="Q683" s="666" t="s">
        <v>794</v>
      </c>
      <c r="R683" s="670"/>
      <c r="S683" s="671"/>
      <c r="T683" s="690"/>
      <c r="U683" s="672"/>
      <c r="V683" s="666" t="s">
        <v>638</v>
      </c>
      <c r="W683" s="666"/>
    </row>
    <row r="684" spans="1:23" s="76" customFormat="1" ht="14.25" customHeight="1">
      <c r="A684" s="666" t="s">
        <v>3013</v>
      </c>
      <c r="B684" s="668" t="s">
        <v>337</v>
      </c>
      <c r="C684" s="668" t="s">
        <v>2943</v>
      </c>
      <c r="D684" s="760"/>
      <c r="E684" s="922">
        <v>198369</v>
      </c>
      <c r="F684" s="666"/>
      <c r="G684" s="666"/>
      <c r="H684" s="666"/>
      <c r="I684" s="666"/>
      <c r="J684" s="666" t="s">
        <v>3028</v>
      </c>
      <c r="K684" s="666" t="s">
        <v>2942</v>
      </c>
      <c r="L684" s="666" t="s">
        <v>2942</v>
      </c>
      <c r="M684" s="666"/>
      <c r="N684" s="666"/>
      <c r="O684" s="666"/>
      <c r="P684" s="666"/>
      <c r="Q684" s="666"/>
      <c r="R684" s="670"/>
      <c r="S684" s="671"/>
      <c r="T684" s="690"/>
      <c r="U684" s="672"/>
      <c r="V684" s="666"/>
      <c r="W684" s="666"/>
    </row>
    <row r="685" spans="1:23" s="76" customFormat="1" ht="14.25" customHeight="1">
      <c r="A685" s="666" t="s">
        <v>3013</v>
      </c>
      <c r="B685" s="928" t="s">
        <v>337</v>
      </c>
      <c r="C685" s="928" t="s">
        <v>631</v>
      </c>
      <c r="D685" s="760" t="s">
        <v>1693</v>
      </c>
      <c r="E685" s="928">
        <v>198369</v>
      </c>
      <c r="H685" s="666"/>
      <c r="J685" s="76" t="s">
        <v>812</v>
      </c>
      <c r="K685" s="76" t="s">
        <v>812</v>
      </c>
      <c r="L685" s="76" t="s">
        <v>812</v>
      </c>
      <c r="M685" s="76" t="s">
        <v>809</v>
      </c>
      <c r="N685" s="76">
        <v>20.806030270000001</v>
      </c>
      <c r="O685" s="76">
        <v>92.601951600000007</v>
      </c>
      <c r="P685" s="76" t="s">
        <v>813</v>
      </c>
      <c r="Q685" s="666" t="s">
        <v>794</v>
      </c>
      <c r="R685" s="670"/>
      <c r="S685" s="671"/>
      <c r="T685" s="690"/>
      <c r="U685" s="133"/>
      <c r="V685" s="922" t="s">
        <v>631</v>
      </c>
    </row>
    <row r="686" spans="1:23" s="76" customFormat="1" ht="14.25" customHeight="1">
      <c r="A686" s="666" t="s">
        <v>3013</v>
      </c>
      <c r="B686" s="666" t="s">
        <v>337</v>
      </c>
      <c r="C686" s="659" t="s">
        <v>622</v>
      </c>
      <c r="D686" s="760" t="s">
        <v>1693</v>
      </c>
      <c r="E686" s="76">
        <v>198368</v>
      </c>
      <c r="J686" s="76" t="s">
        <v>812</v>
      </c>
      <c r="K686" s="76" t="s">
        <v>812</v>
      </c>
      <c r="L686" s="76" t="s">
        <v>812</v>
      </c>
      <c r="M686" s="76" t="s">
        <v>312</v>
      </c>
      <c r="N686" s="76">
        <v>20.80282021</v>
      </c>
      <c r="O686" s="76">
        <v>92.599418639999996</v>
      </c>
      <c r="P686" s="76" t="s">
        <v>813</v>
      </c>
      <c r="Q686" s="76" t="s">
        <v>794</v>
      </c>
      <c r="R686" s="131"/>
      <c r="S686" s="132"/>
      <c r="T686" s="137"/>
      <c r="U686" s="133"/>
      <c r="V686" s="659" t="s">
        <v>622</v>
      </c>
    </row>
    <row r="687" spans="1:23" s="76" customFormat="1" ht="14.25" customHeight="1">
      <c r="A687" s="666" t="s">
        <v>3013</v>
      </c>
      <c r="B687" s="922" t="s">
        <v>337</v>
      </c>
      <c r="C687" s="922" t="s">
        <v>598</v>
      </c>
      <c r="D687" s="760" t="s">
        <v>1693</v>
      </c>
      <c r="E687" s="76">
        <v>217879</v>
      </c>
      <c r="F687" s="922"/>
      <c r="J687" s="76" t="s">
        <v>812</v>
      </c>
      <c r="K687" s="76" t="s">
        <v>812</v>
      </c>
      <c r="L687" s="76" t="s">
        <v>812</v>
      </c>
      <c r="M687" s="76" t="s">
        <v>312</v>
      </c>
      <c r="N687" s="76">
        <v>20.7494297</v>
      </c>
      <c r="O687" s="76">
        <v>92.528648380000007</v>
      </c>
      <c r="P687" s="76" t="s">
        <v>813</v>
      </c>
      <c r="Q687" s="76" t="s">
        <v>794</v>
      </c>
      <c r="R687" s="131"/>
      <c r="S687" s="132"/>
      <c r="T687" s="137"/>
      <c r="U687" s="133"/>
      <c r="V687" s="76" t="s">
        <v>598</v>
      </c>
    </row>
    <row r="688" spans="1:23" s="76" customFormat="1" ht="14.25" customHeight="1">
      <c r="A688" s="666" t="s">
        <v>3013</v>
      </c>
      <c r="B688" s="668" t="s">
        <v>337</v>
      </c>
      <c r="C688" s="668" t="s">
        <v>2818</v>
      </c>
      <c r="D688" s="760"/>
      <c r="E688" s="76">
        <v>198404</v>
      </c>
      <c r="F688" s="928" t="s">
        <v>2953</v>
      </c>
      <c r="J688" s="76" t="s">
        <v>3028</v>
      </c>
      <c r="K688" s="76" t="s">
        <v>2942</v>
      </c>
      <c r="L688" s="76" t="s">
        <v>2942</v>
      </c>
      <c r="M688" s="76" t="s">
        <v>312</v>
      </c>
      <c r="N688" s="76">
        <v>20.769779209999999</v>
      </c>
      <c r="O688" s="76">
        <v>92.604240419999996</v>
      </c>
      <c r="P688" s="76" t="s">
        <v>813</v>
      </c>
      <c r="Q688" s="76" t="s">
        <v>2947</v>
      </c>
      <c r="R688" s="131"/>
      <c r="S688" s="671"/>
      <c r="T688" s="137"/>
      <c r="U688" s="133"/>
      <c r="W688" s="666"/>
    </row>
    <row r="689" spans="1:23" s="76" customFormat="1" ht="14.25" customHeight="1">
      <c r="A689" s="666" t="s">
        <v>3013</v>
      </c>
      <c r="B689" s="668" t="s">
        <v>337</v>
      </c>
      <c r="C689" s="668" t="s">
        <v>2820</v>
      </c>
      <c r="D689" s="760"/>
      <c r="E689" s="76">
        <v>198303</v>
      </c>
      <c r="F689" s="666" t="s">
        <v>2954</v>
      </c>
      <c r="J689" s="666" t="s">
        <v>812</v>
      </c>
      <c r="K689" s="666" t="s">
        <v>812</v>
      </c>
      <c r="L689" s="76" t="s">
        <v>812</v>
      </c>
      <c r="M689" s="76" t="s">
        <v>312</v>
      </c>
      <c r="N689" s="76">
        <v>20.892290119999998</v>
      </c>
      <c r="O689" s="76">
        <v>92.550079350000004</v>
      </c>
      <c r="Q689" s="76" t="s">
        <v>2947</v>
      </c>
      <c r="R689" s="131"/>
      <c r="S689" s="132"/>
      <c r="T689" s="137"/>
      <c r="U689" s="133"/>
      <c r="W689" s="666"/>
    </row>
    <row r="690" spans="1:23" s="76" customFormat="1" ht="14.25" customHeight="1">
      <c r="A690" s="666" t="s">
        <v>3013</v>
      </c>
      <c r="B690" s="928" t="s">
        <v>337</v>
      </c>
      <c r="C690" s="928" t="s">
        <v>667</v>
      </c>
      <c r="D690" s="760" t="s">
        <v>1693</v>
      </c>
      <c r="E690" s="76">
        <v>198303</v>
      </c>
      <c r="F690" s="76" t="s">
        <v>2954</v>
      </c>
      <c r="J690" s="666" t="s">
        <v>812</v>
      </c>
      <c r="K690" s="666" t="s">
        <v>812</v>
      </c>
      <c r="L690" s="666" t="s">
        <v>812</v>
      </c>
      <c r="M690" s="76" t="s">
        <v>809</v>
      </c>
      <c r="N690" s="76">
        <v>20.892290119999998</v>
      </c>
      <c r="O690" s="76">
        <v>92.550079350000004</v>
      </c>
      <c r="P690" s="76" t="s">
        <v>813</v>
      </c>
      <c r="Q690" s="76" t="s">
        <v>794</v>
      </c>
      <c r="R690" s="670"/>
      <c r="S690" s="132"/>
      <c r="T690" s="137"/>
      <c r="U690" s="133"/>
      <c r="V690" s="76" t="s">
        <v>667</v>
      </c>
    </row>
    <row r="691" spans="1:23" s="76" customFormat="1" ht="14.25" customHeight="1">
      <c r="A691" s="666" t="s">
        <v>3013</v>
      </c>
      <c r="B691" s="922" t="s">
        <v>337</v>
      </c>
      <c r="C691" s="922" t="s">
        <v>696</v>
      </c>
      <c r="D691" s="760" t="s">
        <v>1693</v>
      </c>
      <c r="E691" s="76">
        <v>198196</v>
      </c>
      <c r="J691" s="76" t="s">
        <v>812</v>
      </c>
      <c r="K691" s="76" t="s">
        <v>812</v>
      </c>
      <c r="L691" s="76" t="s">
        <v>812</v>
      </c>
      <c r="M691" s="76" t="s">
        <v>312</v>
      </c>
      <c r="N691" s="76">
        <v>21.02563095</v>
      </c>
      <c r="O691" s="76">
        <v>92.524818420000003</v>
      </c>
      <c r="P691" s="76" t="s">
        <v>813</v>
      </c>
      <c r="Q691" s="76" t="s">
        <v>816</v>
      </c>
      <c r="R691" s="931"/>
      <c r="S691" s="932"/>
      <c r="T691" s="137">
        <v>42926</v>
      </c>
      <c r="U691" s="133" t="s">
        <v>817</v>
      </c>
    </row>
    <row r="692" spans="1:23" s="76" customFormat="1" ht="14.25" customHeight="1">
      <c r="A692" s="666" t="s">
        <v>3013</v>
      </c>
      <c r="B692" s="668" t="s">
        <v>337</v>
      </c>
      <c r="C692" s="668" t="s">
        <v>660</v>
      </c>
      <c r="D692" s="760" t="s">
        <v>1693</v>
      </c>
      <c r="E692" s="76">
        <v>198292</v>
      </c>
      <c r="F692" s="666"/>
      <c r="J692" s="76" t="s">
        <v>812</v>
      </c>
      <c r="K692" s="76" t="s">
        <v>812</v>
      </c>
      <c r="L692" s="76" t="s">
        <v>812</v>
      </c>
      <c r="M692" s="76" t="s">
        <v>809</v>
      </c>
      <c r="N692" s="76">
        <v>20.883680340000002</v>
      </c>
      <c r="O692" s="76">
        <v>92.569938660000005</v>
      </c>
      <c r="P692" s="76" t="s">
        <v>813</v>
      </c>
      <c r="Q692" s="76" t="s">
        <v>794</v>
      </c>
      <c r="R692" s="674"/>
      <c r="S692" s="675"/>
      <c r="T692" s="137"/>
      <c r="U692" s="133"/>
      <c r="V692" s="76" t="s">
        <v>960</v>
      </c>
      <c r="W692" s="666"/>
    </row>
    <row r="693" spans="1:23" s="76" customFormat="1" ht="14.25" customHeight="1">
      <c r="A693" s="666" t="s">
        <v>3013</v>
      </c>
      <c r="B693" s="928" t="s">
        <v>337</v>
      </c>
      <c r="C693" s="928" t="s">
        <v>661</v>
      </c>
      <c r="D693" s="760" t="s">
        <v>1693</v>
      </c>
      <c r="E693" s="666">
        <v>198292</v>
      </c>
      <c r="F693" s="666"/>
      <c r="J693" s="666" t="s">
        <v>812</v>
      </c>
      <c r="K693" s="666" t="s">
        <v>812</v>
      </c>
      <c r="L693" s="666" t="s">
        <v>812</v>
      </c>
      <c r="M693" s="76" t="s">
        <v>809</v>
      </c>
      <c r="N693" s="76">
        <v>20.883680340000002</v>
      </c>
      <c r="O693" s="76">
        <v>92.569938660000005</v>
      </c>
      <c r="P693" s="76" t="s">
        <v>813</v>
      </c>
      <c r="Q693" s="76" t="s">
        <v>794</v>
      </c>
      <c r="R693" s="935"/>
      <c r="S693" s="936"/>
      <c r="T693" s="137">
        <v>42745</v>
      </c>
      <c r="U693" s="672"/>
      <c r="W693" s="666"/>
    </row>
    <row r="694" spans="1:23" s="76" customFormat="1" ht="14.25" customHeight="1">
      <c r="A694" s="666" t="s">
        <v>3013</v>
      </c>
      <c r="B694" s="666" t="s">
        <v>337</v>
      </c>
      <c r="C694" s="666" t="s">
        <v>703</v>
      </c>
      <c r="D694" s="760" t="s">
        <v>1693</v>
      </c>
      <c r="E694" s="666">
        <v>198146</v>
      </c>
      <c r="F694" s="666"/>
      <c r="G694" s="666"/>
      <c r="H694" s="666"/>
      <c r="I694" s="666"/>
      <c r="J694" s="666" t="s">
        <v>818</v>
      </c>
      <c r="K694" s="666" t="s">
        <v>812</v>
      </c>
      <c r="L694" s="666" t="s">
        <v>818</v>
      </c>
      <c r="M694" s="76" t="s">
        <v>809</v>
      </c>
      <c r="N694" s="666">
        <v>21.098579409999999</v>
      </c>
      <c r="O694" s="666">
        <v>92.445549009999993</v>
      </c>
      <c r="P694" s="76" t="s">
        <v>937</v>
      </c>
      <c r="Q694" s="666" t="s">
        <v>816</v>
      </c>
      <c r="R694" s="670"/>
      <c r="S694" s="671"/>
      <c r="T694" s="690">
        <v>42926</v>
      </c>
      <c r="U694" s="672" t="s">
        <v>947</v>
      </c>
      <c r="V694" s="666"/>
      <c r="W694" s="666"/>
    </row>
    <row r="695" spans="1:23" s="76" customFormat="1" ht="14.25" customHeight="1">
      <c r="A695" s="666" t="s">
        <v>3013</v>
      </c>
      <c r="B695" s="666" t="s">
        <v>337</v>
      </c>
      <c r="C695" s="666" t="s">
        <v>549</v>
      </c>
      <c r="D695" s="760" t="s">
        <v>1693</v>
      </c>
      <c r="E695" s="666">
        <v>217885</v>
      </c>
      <c r="F695" s="666"/>
      <c r="G695" s="666"/>
      <c r="H695" s="666"/>
      <c r="I695" s="666"/>
      <c r="J695" s="666" t="s">
        <v>812</v>
      </c>
      <c r="K695" s="666" t="s">
        <v>812</v>
      </c>
      <c r="L695" s="666" t="s">
        <v>812</v>
      </c>
      <c r="M695" s="666" t="s">
        <v>809</v>
      </c>
      <c r="N695" s="666">
        <v>20.676519389999999</v>
      </c>
      <c r="O695" s="666">
        <v>92.591667180000002</v>
      </c>
      <c r="P695" s="666" t="s">
        <v>813</v>
      </c>
      <c r="Q695" s="666" t="s">
        <v>794</v>
      </c>
      <c r="R695" s="670"/>
      <c r="S695" s="671"/>
      <c r="T695" s="690"/>
      <c r="U695" s="672"/>
      <c r="V695" s="666" t="s">
        <v>549</v>
      </c>
      <c r="W695" s="666"/>
    </row>
    <row r="696" spans="1:23" s="76" customFormat="1" ht="14.25" customHeight="1">
      <c r="A696" s="666" t="s">
        <v>3013</v>
      </c>
      <c r="B696" s="666" t="s">
        <v>337</v>
      </c>
      <c r="C696" s="666" t="s">
        <v>678</v>
      </c>
      <c r="D696" s="760" t="s">
        <v>1693</v>
      </c>
      <c r="E696" s="666">
        <v>198164</v>
      </c>
      <c r="F696" s="666"/>
      <c r="G696" s="666"/>
      <c r="H696" s="666"/>
      <c r="I696" s="666"/>
      <c r="J696" s="666" t="s">
        <v>812</v>
      </c>
      <c r="K696" s="666" t="s">
        <v>812</v>
      </c>
      <c r="L696" s="666" t="s">
        <v>812</v>
      </c>
      <c r="M696" s="76" t="s">
        <v>965</v>
      </c>
      <c r="N696" s="666">
        <v>20.945800779999999</v>
      </c>
      <c r="O696" s="666">
        <v>92.471672060000003</v>
      </c>
      <c r="P696" s="76" t="s">
        <v>813</v>
      </c>
      <c r="Q696" s="666" t="s">
        <v>794</v>
      </c>
      <c r="R696" s="670"/>
      <c r="S696" s="671"/>
      <c r="T696" s="690"/>
      <c r="U696" s="672"/>
      <c r="V696" s="666" t="s">
        <v>678</v>
      </c>
      <c r="W696" s="666"/>
    </row>
    <row r="697" spans="1:23" s="76" customFormat="1" ht="14.25" customHeight="1">
      <c r="A697" s="666" t="s">
        <v>3013</v>
      </c>
      <c r="B697" s="666" t="s">
        <v>337</v>
      </c>
      <c r="C697" s="666" t="s">
        <v>636</v>
      </c>
      <c r="D697" s="760" t="s">
        <v>1693</v>
      </c>
      <c r="E697" s="666">
        <v>198335</v>
      </c>
      <c r="F697" s="666"/>
      <c r="G697" s="666"/>
      <c r="H697" s="666"/>
      <c r="I697" s="666"/>
      <c r="J697" s="666" t="s">
        <v>812</v>
      </c>
      <c r="K697" s="666" t="s">
        <v>812</v>
      </c>
      <c r="L697" s="666" t="s">
        <v>812</v>
      </c>
      <c r="M697" s="666" t="s">
        <v>312</v>
      </c>
      <c r="N697" s="666">
        <v>20.818910599999999</v>
      </c>
      <c r="O697" s="666">
        <v>92.541358950000003</v>
      </c>
      <c r="P697" s="666" t="s">
        <v>813</v>
      </c>
      <c r="Q697" s="666" t="s">
        <v>794</v>
      </c>
      <c r="R697" s="670"/>
      <c r="S697" s="671"/>
      <c r="T697" s="690"/>
      <c r="U697" s="672"/>
      <c r="V697" s="666" t="s">
        <v>636</v>
      </c>
      <c r="W697" s="666"/>
    </row>
    <row r="698" spans="1:23" s="86" customFormat="1" ht="14.25" customHeight="1">
      <c r="A698" s="666" t="s">
        <v>3013</v>
      </c>
      <c r="B698" s="666" t="s">
        <v>337</v>
      </c>
      <c r="C698" s="666" t="s">
        <v>670</v>
      </c>
      <c r="D698" s="760" t="s">
        <v>1693</v>
      </c>
      <c r="E698" s="76">
        <v>198316</v>
      </c>
      <c r="F698" s="76"/>
      <c r="G698" s="76"/>
      <c r="H698" s="76"/>
      <c r="I698" s="76"/>
      <c r="J698" s="666" t="s">
        <v>812</v>
      </c>
      <c r="K698" s="666" t="s">
        <v>812</v>
      </c>
      <c r="L698" s="666" t="s">
        <v>812</v>
      </c>
      <c r="M698" s="76" t="s">
        <v>809</v>
      </c>
      <c r="N698" s="76">
        <v>20.89318085</v>
      </c>
      <c r="O698" s="76">
        <v>92.493637079999999</v>
      </c>
      <c r="P698" s="76" t="s">
        <v>813</v>
      </c>
      <c r="Q698" s="76" t="s">
        <v>794</v>
      </c>
      <c r="R698" s="131"/>
      <c r="S698" s="671"/>
      <c r="T698" s="137"/>
      <c r="U698" s="672"/>
      <c r="V698" s="76" t="s">
        <v>670</v>
      </c>
      <c r="W698" s="76"/>
    </row>
    <row r="699" spans="1:23" s="76" customFormat="1" ht="14.25" customHeight="1">
      <c r="A699" s="666" t="s">
        <v>3013</v>
      </c>
      <c r="B699" s="666" t="s">
        <v>337</v>
      </c>
      <c r="C699" s="666" t="s">
        <v>655</v>
      </c>
      <c r="D699" s="760" t="s">
        <v>1693</v>
      </c>
      <c r="E699" s="666">
        <v>198308</v>
      </c>
      <c r="F699" s="666"/>
      <c r="G699" s="666"/>
      <c r="H699" s="666"/>
      <c r="I699" s="666"/>
      <c r="J699" s="76" t="s">
        <v>818</v>
      </c>
      <c r="K699" s="76" t="s">
        <v>812</v>
      </c>
      <c r="L699" s="76" t="s">
        <v>818</v>
      </c>
      <c r="M699" s="666" t="s">
        <v>809</v>
      </c>
      <c r="N699" s="666">
        <v>20.863079070000001</v>
      </c>
      <c r="O699" s="666">
        <v>92.497192380000001</v>
      </c>
      <c r="P699" s="76" t="s">
        <v>937</v>
      </c>
      <c r="Q699" s="666" t="s">
        <v>816</v>
      </c>
      <c r="R699" s="670"/>
      <c r="S699" s="671"/>
      <c r="T699" s="690">
        <v>42926</v>
      </c>
      <c r="U699" s="672" t="s">
        <v>947</v>
      </c>
      <c r="V699" s="666"/>
      <c r="W699" s="666"/>
    </row>
    <row r="700" spans="1:23" s="76" customFormat="1" ht="14.25" customHeight="1">
      <c r="A700" s="666" t="s">
        <v>3013</v>
      </c>
      <c r="B700" s="666" t="s">
        <v>337</v>
      </c>
      <c r="C700" s="666" t="s">
        <v>610</v>
      </c>
      <c r="D700" s="760" t="s">
        <v>1693</v>
      </c>
      <c r="E700" s="76">
        <v>220753</v>
      </c>
      <c r="J700" s="76" t="s">
        <v>818</v>
      </c>
      <c r="K700" s="76" t="s">
        <v>812</v>
      </c>
      <c r="L700" s="76" t="s">
        <v>818</v>
      </c>
      <c r="M700" s="76" t="s">
        <v>312</v>
      </c>
      <c r="N700" s="666">
        <v>20.782770159999998</v>
      </c>
      <c r="O700" s="666">
        <v>92.551826480000003</v>
      </c>
      <c r="P700" s="76" t="s">
        <v>937</v>
      </c>
      <c r="Q700" s="76" t="s">
        <v>816</v>
      </c>
      <c r="R700" s="670"/>
      <c r="S700" s="671"/>
      <c r="T700" s="137">
        <v>42926</v>
      </c>
      <c r="U700" s="133" t="s">
        <v>947</v>
      </c>
    </row>
    <row r="701" spans="1:23" s="76" customFormat="1" ht="14.25" customHeight="1">
      <c r="A701" s="666" t="s">
        <v>3013</v>
      </c>
      <c r="B701" s="666" t="s">
        <v>337</v>
      </c>
      <c r="C701" s="666" t="s">
        <v>651</v>
      </c>
      <c r="D701" s="760" t="s">
        <v>1693</v>
      </c>
      <c r="E701" s="76">
        <v>198325</v>
      </c>
      <c r="J701" s="666" t="s">
        <v>818</v>
      </c>
      <c r="K701" s="666" t="s">
        <v>812</v>
      </c>
      <c r="L701" s="76" t="s">
        <v>818</v>
      </c>
      <c r="M701" s="76" t="s">
        <v>809</v>
      </c>
      <c r="N701" s="76">
        <v>20.839260100000001</v>
      </c>
      <c r="O701" s="76">
        <v>92.534591669999998</v>
      </c>
      <c r="P701" s="76" t="s">
        <v>937</v>
      </c>
      <c r="Q701" s="76" t="s">
        <v>816</v>
      </c>
      <c r="R701" s="670"/>
      <c r="S701" s="132"/>
      <c r="T701" s="137">
        <v>42926</v>
      </c>
      <c r="U701" s="133" t="s">
        <v>947</v>
      </c>
    </row>
    <row r="702" spans="1:23" s="76" customFormat="1" ht="14.25" customHeight="1">
      <c r="A702" s="666" t="s">
        <v>3013</v>
      </c>
      <c r="B702" s="922" t="s">
        <v>337</v>
      </c>
      <c r="C702" s="922" t="s">
        <v>342</v>
      </c>
      <c r="D702" s="760" t="s">
        <v>1693</v>
      </c>
      <c r="E702" s="922"/>
      <c r="F702" s="922"/>
      <c r="G702" s="922"/>
      <c r="H702" s="922"/>
      <c r="I702" s="922"/>
      <c r="J702" s="666" t="s">
        <v>818</v>
      </c>
      <c r="K702" s="666" t="s">
        <v>812</v>
      </c>
      <c r="L702" s="76" t="s">
        <v>818</v>
      </c>
      <c r="M702" s="922" t="s">
        <v>809</v>
      </c>
      <c r="N702" s="922"/>
      <c r="O702" s="922"/>
      <c r="P702" s="76" t="s">
        <v>937</v>
      </c>
      <c r="Q702" s="922" t="s">
        <v>816</v>
      </c>
      <c r="R702" s="931"/>
      <c r="S702" s="932"/>
      <c r="T702" s="951">
        <v>42926</v>
      </c>
      <c r="U702" s="933" t="s">
        <v>947</v>
      </c>
      <c r="V702" s="922"/>
    </row>
    <row r="703" spans="1:23" s="76" customFormat="1" ht="14.25" customHeight="1">
      <c r="A703" s="666" t="s">
        <v>3013</v>
      </c>
      <c r="B703" s="928" t="s">
        <v>337</v>
      </c>
      <c r="C703" s="928" t="s">
        <v>586</v>
      </c>
      <c r="D703" s="761" t="s">
        <v>1693</v>
      </c>
      <c r="E703" s="928">
        <v>198432</v>
      </c>
      <c r="F703" s="928"/>
      <c r="G703" s="928"/>
      <c r="H703" s="936"/>
      <c r="I703" s="928"/>
      <c r="J703" s="666" t="s">
        <v>812</v>
      </c>
      <c r="K703" s="666" t="s">
        <v>812</v>
      </c>
      <c r="L703" s="666" t="s">
        <v>812</v>
      </c>
      <c r="M703" s="928" t="s">
        <v>809</v>
      </c>
      <c r="N703" s="928">
        <v>20.721290589999999</v>
      </c>
      <c r="O703" s="928">
        <v>92.605140689999999</v>
      </c>
      <c r="P703" s="76" t="s">
        <v>813</v>
      </c>
      <c r="Q703" s="928" t="s">
        <v>794</v>
      </c>
      <c r="R703" s="935"/>
      <c r="S703" s="936"/>
      <c r="T703" s="952"/>
      <c r="U703" s="937"/>
      <c r="V703" s="928" t="s">
        <v>586</v>
      </c>
    </row>
    <row r="704" spans="1:23" s="76" customFormat="1" ht="14.25" customHeight="1">
      <c r="A704" s="922" t="s">
        <v>3013</v>
      </c>
      <c r="B704" s="922" t="s">
        <v>337</v>
      </c>
      <c r="C704" s="922" t="s">
        <v>680</v>
      </c>
      <c r="D704" s="760" t="s">
        <v>1693</v>
      </c>
      <c r="E704" s="666">
        <v>198222</v>
      </c>
      <c r="F704" s="666"/>
      <c r="G704" s="666"/>
      <c r="H704" s="666"/>
      <c r="I704" s="666"/>
      <c r="J704" s="666" t="s">
        <v>818</v>
      </c>
      <c r="K704" s="666" t="s">
        <v>812</v>
      </c>
      <c r="L704" s="666" t="s">
        <v>818</v>
      </c>
      <c r="M704" s="666" t="s">
        <v>809</v>
      </c>
      <c r="N704" s="666">
        <v>20.962799069999999</v>
      </c>
      <c r="O704" s="666">
        <v>92.527702329999997</v>
      </c>
      <c r="P704" s="666" t="s">
        <v>937</v>
      </c>
      <c r="Q704" s="666" t="s">
        <v>816</v>
      </c>
      <c r="R704" s="931"/>
      <c r="S704" s="671"/>
      <c r="T704" s="690">
        <v>42926</v>
      </c>
      <c r="U704" s="933" t="s">
        <v>947</v>
      </c>
      <c r="V704" s="666"/>
      <c r="W704" s="922"/>
    </row>
    <row r="705" spans="1:23" s="76" customFormat="1" ht="14.25" customHeight="1">
      <c r="A705" s="935" t="s">
        <v>3013</v>
      </c>
      <c r="B705" s="935" t="s">
        <v>337</v>
      </c>
      <c r="C705" s="936" t="s">
        <v>3205</v>
      </c>
      <c r="D705" s="929"/>
      <c r="E705" s="76">
        <v>198289</v>
      </c>
      <c r="J705" s="666" t="s">
        <v>3028</v>
      </c>
      <c r="K705" s="666" t="s">
        <v>2942</v>
      </c>
      <c r="L705" s="76" t="s">
        <v>2942</v>
      </c>
      <c r="N705" s="76">
        <v>20.838279724121101</v>
      </c>
      <c r="O705" s="76">
        <v>92.610900878906307</v>
      </c>
      <c r="R705" s="939"/>
      <c r="S705" s="132"/>
      <c r="T705" s="137">
        <v>43591</v>
      </c>
      <c r="U705" s="939"/>
      <c r="W705" s="931"/>
    </row>
    <row r="706" spans="1:23" s="76" customFormat="1" ht="14.25" customHeight="1">
      <c r="A706" s="666" t="s">
        <v>3013</v>
      </c>
      <c r="B706" s="666" t="s">
        <v>337</v>
      </c>
      <c r="C706" s="666" t="s">
        <v>620</v>
      </c>
      <c r="D706" s="760" t="s">
        <v>1693</v>
      </c>
      <c r="E706" s="666">
        <v>198379</v>
      </c>
      <c r="F706" s="666"/>
      <c r="G706" s="666"/>
      <c r="H706" s="666"/>
      <c r="I706" s="666"/>
      <c r="J706" s="666" t="s">
        <v>812</v>
      </c>
      <c r="K706" s="666" t="s">
        <v>812</v>
      </c>
      <c r="L706" s="666" t="s">
        <v>812</v>
      </c>
      <c r="M706" s="666" t="s">
        <v>809</v>
      </c>
      <c r="N706" s="666">
        <v>20.79891014</v>
      </c>
      <c r="O706" s="666">
        <v>92.553680420000006</v>
      </c>
      <c r="P706" s="666" t="s">
        <v>813</v>
      </c>
      <c r="Q706" s="666" t="s">
        <v>794</v>
      </c>
      <c r="R706" s="670"/>
      <c r="S706" s="671"/>
      <c r="T706" s="690"/>
      <c r="U706" s="672"/>
      <c r="V706" s="666" t="s">
        <v>620</v>
      </c>
      <c r="W706" s="666"/>
    </row>
    <row r="707" spans="1:23" s="76" customFormat="1" ht="14.25" customHeight="1">
      <c r="A707" s="666" t="s">
        <v>3013</v>
      </c>
      <c r="B707" s="922" t="s">
        <v>337</v>
      </c>
      <c r="C707" s="922" t="s">
        <v>649</v>
      </c>
      <c r="D707" s="760" t="s">
        <v>1693</v>
      </c>
      <c r="E707" s="922">
        <v>198332</v>
      </c>
      <c r="F707" s="922"/>
      <c r="G707" s="922"/>
      <c r="H707" s="922"/>
      <c r="I707" s="922"/>
      <c r="J707" s="922" t="s">
        <v>812</v>
      </c>
      <c r="K707" s="922" t="s">
        <v>812</v>
      </c>
      <c r="L707" s="922" t="s">
        <v>812</v>
      </c>
      <c r="M707" s="922" t="s">
        <v>809</v>
      </c>
      <c r="N707" s="922">
        <v>20.833719250000001</v>
      </c>
      <c r="O707" s="922">
        <v>92.534461980000003</v>
      </c>
      <c r="P707" s="922" t="s">
        <v>813</v>
      </c>
      <c r="Q707" s="922" t="s">
        <v>794</v>
      </c>
      <c r="R707" s="931"/>
      <c r="S707" s="932"/>
      <c r="T707" s="951"/>
      <c r="U707" s="933"/>
      <c r="V707" s="922" t="s">
        <v>649</v>
      </c>
      <c r="W707" s="922"/>
    </row>
    <row r="708" spans="1:23" s="76" customFormat="1" ht="14.25" customHeight="1">
      <c r="A708" s="666" t="s">
        <v>3013</v>
      </c>
      <c r="B708" s="279" t="s">
        <v>337</v>
      </c>
      <c r="C708" s="280" t="s">
        <v>2817</v>
      </c>
      <c r="D708" s="929"/>
      <c r="E708" s="973">
        <v>198405</v>
      </c>
      <c r="F708" s="275" t="s">
        <v>2953</v>
      </c>
      <c r="G708" s="275"/>
      <c r="H708" s="275"/>
      <c r="I708" s="275"/>
      <c r="J708" s="275" t="s">
        <v>812</v>
      </c>
      <c r="K708" s="275" t="s">
        <v>812</v>
      </c>
      <c r="L708" s="275" t="s">
        <v>812</v>
      </c>
      <c r="M708" s="275" t="s">
        <v>809</v>
      </c>
      <c r="N708" s="275"/>
      <c r="O708" s="275"/>
      <c r="P708" s="275"/>
      <c r="Q708" s="275" t="s">
        <v>2947</v>
      </c>
      <c r="R708" s="276"/>
      <c r="S708" s="274"/>
      <c r="T708" s="277"/>
      <c r="U708" s="278"/>
      <c r="V708" s="275"/>
      <c r="W708" s="931"/>
    </row>
    <row r="709" spans="1:23" s="76" customFormat="1" ht="14.25" customHeight="1">
      <c r="A709" s="666" t="s">
        <v>3013</v>
      </c>
      <c r="B709" s="945" t="s">
        <v>337</v>
      </c>
      <c r="C709" s="944" t="s">
        <v>664</v>
      </c>
      <c r="D709" s="760" t="s">
        <v>1693</v>
      </c>
      <c r="E709" s="666">
        <v>217871</v>
      </c>
      <c r="F709" s="945"/>
      <c r="G709" s="666"/>
      <c r="H709" s="666"/>
      <c r="I709" s="666"/>
      <c r="J709" s="666" t="s">
        <v>812</v>
      </c>
      <c r="K709" s="666" t="s">
        <v>812</v>
      </c>
      <c r="L709" s="666" t="s">
        <v>812</v>
      </c>
      <c r="M709" s="76" t="s">
        <v>809</v>
      </c>
      <c r="N709" s="76">
        <v>20.887029649999999</v>
      </c>
      <c r="O709" s="76">
        <v>92.556823730000005</v>
      </c>
      <c r="P709" s="76" t="s">
        <v>813</v>
      </c>
      <c r="Q709" s="666" t="s">
        <v>794</v>
      </c>
      <c r="R709" s="946"/>
      <c r="S709" s="947"/>
      <c r="T709" s="690"/>
      <c r="U709" s="672"/>
      <c r="V709" s="76" t="s">
        <v>664</v>
      </c>
      <c r="W709" s="666"/>
    </row>
    <row r="710" spans="1:23" s="76" customFormat="1" ht="14.25" customHeight="1">
      <c r="A710" s="666" t="s">
        <v>3013</v>
      </c>
      <c r="B710" s="685" t="s">
        <v>337</v>
      </c>
      <c r="C710" s="684" t="s">
        <v>1945</v>
      </c>
      <c r="D710" s="760"/>
      <c r="E710" s="666">
        <v>198177</v>
      </c>
      <c r="F710" s="928"/>
      <c r="G710" s="666"/>
      <c r="H710" s="666"/>
      <c r="I710" s="666"/>
      <c r="J710" s="666" t="s">
        <v>812</v>
      </c>
      <c r="K710" s="666" t="s">
        <v>812</v>
      </c>
      <c r="L710" s="76" t="s">
        <v>812</v>
      </c>
      <c r="M710" s="666" t="s">
        <v>965</v>
      </c>
      <c r="N710" s="666">
        <v>20.93604088</v>
      </c>
      <c r="O710" s="666">
        <v>92.475830079999994</v>
      </c>
      <c r="P710" s="76" t="s">
        <v>813</v>
      </c>
      <c r="Q710" s="666" t="s">
        <v>1950</v>
      </c>
      <c r="R710" s="686"/>
      <c r="S710" s="687"/>
      <c r="T710" s="690">
        <v>43245</v>
      </c>
      <c r="U710" s="672"/>
      <c r="V710" s="666"/>
    </row>
    <row r="711" spans="1:23" s="76" customFormat="1" ht="14.25" customHeight="1">
      <c r="A711" s="666" t="s">
        <v>3013</v>
      </c>
      <c r="B711" s="685" t="s">
        <v>337</v>
      </c>
      <c r="C711" s="684" t="s">
        <v>2839</v>
      </c>
      <c r="D711" s="760"/>
      <c r="J711" s="76" t="s">
        <v>3028</v>
      </c>
      <c r="K711" s="76" t="s">
        <v>2942</v>
      </c>
      <c r="L711" s="76" t="s">
        <v>2942</v>
      </c>
      <c r="R711" s="686"/>
      <c r="S711" s="687"/>
      <c r="T711" s="137"/>
      <c r="U711" s="133"/>
    </row>
    <row r="712" spans="1:23" s="76" customFormat="1" ht="14.25" customHeight="1">
      <c r="A712" s="666" t="s">
        <v>3013</v>
      </c>
      <c r="B712" s="685" t="s">
        <v>337</v>
      </c>
      <c r="C712" s="684" t="s">
        <v>600</v>
      </c>
      <c r="D712" s="760" t="s">
        <v>1693</v>
      </c>
      <c r="E712" s="76">
        <v>198413</v>
      </c>
      <c r="F712" s="666"/>
      <c r="J712" s="76" t="s">
        <v>812</v>
      </c>
      <c r="K712" s="76" t="s">
        <v>812</v>
      </c>
      <c r="L712" s="76" t="s">
        <v>812</v>
      </c>
      <c r="M712" s="76" t="s">
        <v>312</v>
      </c>
      <c r="N712" s="666">
        <v>20.756410599999999</v>
      </c>
      <c r="O712" s="666">
        <v>92.63580322</v>
      </c>
      <c r="P712" s="76" t="s">
        <v>813</v>
      </c>
      <c r="Q712" s="666" t="s">
        <v>794</v>
      </c>
      <c r="R712" s="686"/>
      <c r="S712" s="687"/>
      <c r="T712" s="690"/>
      <c r="U712" s="133"/>
      <c r="V712" s="76" t="s">
        <v>600</v>
      </c>
      <c r="W712" s="666"/>
    </row>
    <row r="713" spans="1:23" s="76" customFormat="1" ht="14.25" customHeight="1">
      <c r="A713" s="666" t="s">
        <v>3013</v>
      </c>
      <c r="B713" s="685" t="s">
        <v>337</v>
      </c>
      <c r="C713" s="684" t="s">
        <v>562</v>
      </c>
      <c r="D713" s="760" t="s">
        <v>1693</v>
      </c>
      <c r="E713" s="76">
        <v>198446</v>
      </c>
      <c r="F713" s="666"/>
      <c r="J713" s="76" t="s">
        <v>812</v>
      </c>
      <c r="K713" s="76" t="s">
        <v>812</v>
      </c>
      <c r="L713" s="76" t="s">
        <v>812</v>
      </c>
      <c r="M713" s="76" t="s">
        <v>312</v>
      </c>
      <c r="N713" s="76">
        <v>20.691099170000001</v>
      </c>
      <c r="O713" s="76">
        <v>92.590652469999995</v>
      </c>
      <c r="P713" s="76" t="s">
        <v>813</v>
      </c>
      <c r="Q713" s="76" t="s">
        <v>794</v>
      </c>
      <c r="R713" s="686"/>
      <c r="S713" s="687"/>
      <c r="T713" s="137"/>
      <c r="U713" s="133"/>
      <c r="V713" s="76" t="s">
        <v>562</v>
      </c>
      <c r="W713" s="666"/>
    </row>
    <row r="714" spans="1:23" s="76" customFormat="1" ht="14.25" customHeight="1">
      <c r="A714" s="666" t="s">
        <v>3013</v>
      </c>
      <c r="B714" s="685" t="s">
        <v>337</v>
      </c>
      <c r="C714" s="684" t="s">
        <v>669</v>
      </c>
      <c r="D714" s="760" t="s">
        <v>1693</v>
      </c>
      <c r="E714" s="76">
        <v>198297</v>
      </c>
      <c r="J714" s="76" t="s">
        <v>812</v>
      </c>
      <c r="K714" s="666" t="s">
        <v>812</v>
      </c>
      <c r="L714" s="666" t="s">
        <v>812</v>
      </c>
      <c r="M714" s="76" t="s">
        <v>809</v>
      </c>
      <c r="N714" s="666">
        <v>20.89270973</v>
      </c>
      <c r="O714" s="666">
        <v>92.562187190000003</v>
      </c>
      <c r="P714" s="76" t="s">
        <v>813</v>
      </c>
      <c r="Q714" s="76" t="s">
        <v>794</v>
      </c>
      <c r="R714" s="686"/>
      <c r="S714" s="687"/>
      <c r="T714" s="137"/>
      <c r="U714" s="133"/>
      <c r="V714" s="76" t="s">
        <v>669</v>
      </c>
      <c r="W714" s="666"/>
    </row>
    <row r="715" spans="1:23" s="76" customFormat="1" ht="14.25" customHeight="1">
      <c r="A715" s="666" t="s">
        <v>3013</v>
      </c>
      <c r="B715" s="685" t="s">
        <v>337</v>
      </c>
      <c r="C715" s="684" t="s">
        <v>676</v>
      </c>
      <c r="D715" s="760" t="s">
        <v>1693</v>
      </c>
      <c r="E715" s="666">
        <v>198234</v>
      </c>
      <c r="F715" s="666"/>
      <c r="G715" s="666"/>
      <c r="H715" s="666"/>
      <c r="I715" s="666"/>
      <c r="J715" s="666" t="s">
        <v>812</v>
      </c>
      <c r="K715" s="666" t="s">
        <v>812</v>
      </c>
      <c r="L715" s="666" t="s">
        <v>812</v>
      </c>
      <c r="M715" s="666" t="s">
        <v>312</v>
      </c>
      <c r="N715" s="666">
        <v>20.926780699999998</v>
      </c>
      <c r="O715" s="666">
        <v>92.539916989999995</v>
      </c>
      <c r="P715" s="666" t="s">
        <v>813</v>
      </c>
      <c r="Q715" s="666" t="s">
        <v>816</v>
      </c>
      <c r="R715" s="935"/>
      <c r="S715" s="936"/>
      <c r="T715" s="690">
        <v>42926</v>
      </c>
      <c r="U715" s="672" t="s">
        <v>817</v>
      </c>
      <c r="V715" s="666"/>
      <c r="W715" s="666"/>
    </row>
    <row r="716" spans="1:23" s="76" customFormat="1" ht="14.25" customHeight="1">
      <c r="A716" s="666" t="s">
        <v>3013</v>
      </c>
      <c r="B716" s="685" t="s">
        <v>337</v>
      </c>
      <c r="C716" s="684" t="s">
        <v>563</v>
      </c>
      <c r="D716" s="760" t="s">
        <v>1693</v>
      </c>
      <c r="E716" s="76">
        <v>198442</v>
      </c>
      <c r="F716" s="666"/>
      <c r="J716" s="76" t="s">
        <v>812</v>
      </c>
      <c r="K716" s="76" t="s">
        <v>812</v>
      </c>
      <c r="L716" s="76" t="s">
        <v>812</v>
      </c>
      <c r="M716" s="76" t="s">
        <v>809</v>
      </c>
      <c r="N716" s="76">
        <v>20.692510599999999</v>
      </c>
      <c r="O716" s="76">
        <v>92.579689029999997</v>
      </c>
      <c r="P716" s="76" t="s">
        <v>813</v>
      </c>
      <c r="Q716" s="76" t="s">
        <v>794</v>
      </c>
      <c r="R716" s="946"/>
      <c r="S716" s="947"/>
      <c r="T716" s="137"/>
      <c r="U716" s="133"/>
      <c r="V716" s="76" t="s">
        <v>563</v>
      </c>
      <c r="W716" s="666"/>
    </row>
    <row r="717" spans="1:23" s="76" customFormat="1" ht="14.25" customHeight="1">
      <c r="A717" s="666" t="s">
        <v>3013</v>
      </c>
      <c r="B717" s="685" t="s">
        <v>337</v>
      </c>
      <c r="C717" s="684" t="s">
        <v>662</v>
      </c>
      <c r="D717" s="760" t="s">
        <v>1693</v>
      </c>
      <c r="E717" s="666">
        <v>198302</v>
      </c>
      <c r="F717" s="666"/>
      <c r="G717" s="666"/>
      <c r="H717" s="666"/>
      <c r="I717" s="666"/>
      <c r="J717" s="666" t="s">
        <v>812</v>
      </c>
      <c r="K717" s="666" t="s">
        <v>812</v>
      </c>
      <c r="L717" s="666" t="s">
        <v>812</v>
      </c>
      <c r="M717" s="666" t="s">
        <v>809</v>
      </c>
      <c r="N717" s="666">
        <v>20.884159090000001</v>
      </c>
      <c r="O717" s="666">
        <v>92.551063540000001</v>
      </c>
      <c r="P717" s="666" t="s">
        <v>813</v>
      </c>
      <c r="Q717" s="666" t="s">
        <v>794</v>
      </c>
      <c r="R717" s="686"/>
      <c r="S717" s="687"/>
      <c r="T717" s="690"/>
      <c r="U717" s="672"/>
      <c r="V717" s="666" t="s">
        <v>662</v>
      </c>
      <c r="W717" s="666"/>
    </row>
    <row r="718" spans="1:23" s="76" customFormat="1" ht="14.25" customHeight="1">
      <c r="A718" s="666" t="s">
        <v>3013</v>
      </c>
      <c r="B718" s="685" t="s">
        <v>337</v>
      </c>
      <c r="C718" s="684" t="s">
        <v>539</v>
      </c>
      <c r="D718" s="760" t="s">
        <v>1693</v>
      </c>
      <c r="E718" s="76">
        <v>198449</v>
      </c>
      <c r="J718" s="76" t="s">
        <v>812</v>
      </c>
      <c r="K718" s="76" t="s">
        <v>812</v>
      </c>
      <c r="L718" s="76" t="s">
        <v>812</v>
      </c>
      <c r="M718" s="76" t="s">
        <v>809</v>
      </c>
      <c r="N718" s="76">
        <v>20.663370130000001</v>
      </c>
      <c r="O718" s="76">
        <v>92.613876340000004</v>
      </c>
      <c r="P718" s="76" t="s">
        <v>813</v>
      </c>
      <c r="Q718" s="76" t="s">
        <v>794</v>
      </c>
      <c r="R718" s="935"/>
      <c r="S718" s="936"/>
      <c r="T718" s="137"/>
      <c r="U718" s="133"/>
      <c r="V718" s="76" t="s">
        <v>936</v>
      </c>
      <c r="W718" s="666"/>
    </row>
    <row r="719" spans="1:23" s="76" customFormat="1" ht="14.25" customHeight="1">
      <c r="A719" s="666" t="s">
        <v>3013</v>
      </c>
      <c r="B719" s="949" t="s">
        <v>337</v>
      </c>
      <c r="C719" s="948" t="s">
        <v>2806</v>
      </c>
      <c r="D719" s="760"/>
      <c r="E719" s="666">
        <v>198351</v>
      </c>
      <c r="F719" s="666" t="s">
        <v>2805</v>
      </c>
      <c r="J719" s="76" t="s">
        <v>812</v>
      </c>
      <c r="K719" s="76" t="s">
        <v>812</v>
      </c>
      <c r="L719" s="76" t="s">
        <v>812</v>
      </c>
      <c r="M719" s="76" t="s">
        <v>809</v>
      </c>
      <c r="P719" s="666"/>
      <c r="Q719" s="76" t="s">
        <v>2947</v>
      </c>
      <c r="R719" s="670"/>
      <c r="S719" s="671"/>
      <c r="T719" s="137"/>
      <c r="U719" s="133"/>
    </row>
    <row r="720" spans="1:23" s="76" customFormat="1" ht="14.25" customHeight="1">
      <c r="A720" s="666" t="s">
        <v>3013</v>
      </c>
      <c r="B720" s="689" t="s">
        <v>337</v>
      </c>
      <c r="C720" s="944" t="s">
        <v>592</v>
      </c>
      <c r="D720" s="760" t="s">
        <v>1693</v>
      </c>
      <c r="E720" s="76">
        <v>198400</v>
      </c>
      <c r="F720" s="666"/>
      <c r="J720" s="76" t="s">
        <v>818</v>
      </c>
      <c r="K720" s="76" t="s">
        <v>812</v>
      </c>
      <c r="L720" s="76" t="s">
        <v>818</v>
      </c>
      <c r="M720" s="76" t="s">
        <v>809</v>
      </c>
      <c r="N720" s="76">
        <v>20.733280180000001</v>
      </c>
      <c r="O720" s="76">
        <v>92.601409910000001</v>
      </c>
      <c r="P720" s="76" t="s">
        <v>937</v>
      </c>
      <c r="Q720" s="76" t="s">
        <v>816</v>
      </c>
      <c r="R720" s="670"/>
      <c r="S720" s="671"/>
      <c r="T720" s="137">
        <v>42926</v>
      </c>
      <c r="U720" s="133" t="s">
        <v>947</v>
      </c>
    </row>
    <row r="721" spans="1:23" s="76" customFormat="1" ht="14.25" customHeight="1">
      <c r="A721" s="922" t="s">
        <v>3013</v>
      </c>
      <c r="B721" s="949" t="s">
        <v>337</v>
      </c>
      <c r="C721" s="948" t="s">
        <v>602</v>
      </c>
      <c r="D721" s="760" t="s">
        <v>1693</v>
      </c>
      <c r="E721" s="666">
        <v>198408</v>
      </c>
      <c r="F721" s="666"/>
      <c r="J721" s="76" t="s">
        <v>812</v>
      </c>
      <c r="K721" s="76" t="s">
        <v>812</v>
      </c>
      <c r="L721" s="76" t="s">
        <v>812</v>
      </c>
      <c r="M721" s="76" t="s">
        <v>312</v>
      </c>
      <c r="N721" s="666">
        <v>20.76407051</v>
      </c>
      <c r="O721" s="666">
        <v>92.631126399999999</v>
      </c>
      <c r="P721" s="76" t="s">
        <v>813</v>
      </c>
      <c r="Q721" s="76" t="s">
        <v>794</v>
      </c>
      <c r="R721" s="931"/>
      <c r="S721" s="671"/>
      <c r="T721" s="690"/>
      <c r="U721" s="933"/>
      <c r="V721" s="76" t="s">
        <v>602</v>
      </c>
      <c r="W721" s="922"/>
    </row>
    <row r="722" spans="1:23" s="76" customFormat="1" ht="14.25" customHeight="1">
      <c r="A722" s="935" t="s">
        <v>3013</v>
      </c>
      <c r="B722" s="946" t="s">
        <v>337</v>
      </c>
      <c r="C722" s="704" t="s">
        <v>3158</v>
      </c>
      <c r="D722" s="669"/>
      <c r="E722" s="922">
        <v>198401</v>
      </c>
      <c r="F722" s="922"/>
      <c r="G722" s="922"/>
      <c r="H722" s="922"/>
      <c r="I722" s="922"/>
      <c r="J722" s="666" t="s">
        <v>3028</v>
      </c>
      <c r="K722" s="666" t="s">
        <v>2942</v>
      </c>
      <c r="L722" s="76" t="s">
        <v>2942</v>
      </c>
      <c r="N722" s="922">
        <v>20.765670776367202</v>
      </c>
      <c r="O722" s="666">
        <v>92.577812194824205</v>
      </c>
      <c r="Q722" s="922"/>
      <c r="R722" s="939"/>
      <c r="S722" s="932"/>
      <c r="T722" s="951">
        <v>43591</v>
      </c>
      <c r="U722" s="939"/>
      <c r="W722" s="670"/>
    </row>
    <row r="723" spans="1:23" s="76" customFormat="1" ht="14.25" customHeight="1">
      <c r="A723" s="775" t="s">
        <v>3013</v>
      </c>
      <c r="B723" s="800" t="s">
        <v>337</v>
      </c>
      <c r="C723" s="804" t="s">
        <v>590</v>
      </c>
      <c r="D723" s="929"/>
      <c r="E723" s="777">
        <v>198418</v>
      </c>
      <c r="F723" s="777" t="s">
        <v>590</v>
      </c>
      <c r="G723" s="777"/>
      <c r="H723" s="777"/>
      <c r="I723" s="777"/>
      <c r="J723" s="76" t="s">
        <v>812</v>
      </c>
      <c r="K723" s="76" t="s">
        <v>812</v>
      </c>
      <c r="L723" s="76" t="s">
        <v>812</v>
      </c>
      <c r="M723" s="76" t="s">
        <v>312</v>
      </c>
      <c r="N723" s="777">
        <v>20.7264194488525</v>
      </c>
      <c r="O723" s="76">
        <v>92.671180730000003</v>
      </c>
      <c r="P723" s="76" t="s">
        <v>813</v>
      </c>
      <c r="Q723" s="777" t="s">
        <v>2947</v>
      </c>
      <c r="R723" s="778"/>
      <c r="S723" s="775"/>
      <c r="T723" s="779">
        <v>43580</v>
      </c>
      <c r="U723" s="780" t="s">
        <v>3071</v>
      </c>
      <c r="V723" s="76" t="s">
        <v>590</v>
      </c>
      <c r="W723" s="931"/>
    </row>
    <row r="724" spans="1:23" s="76" customFormat="1" ht="14.25" customHeight="1">
      <c r="A724" s="666" t="s">
        <v>3013</v>
      </c>
      <c r="B724" s="949" t="s">
        <v>337</v>
      </c>
      <c r="C724" s="948" t="s">
        <v>551</v>
      </c>
      <c r="D724" s="760" t="s">
        <v>1693</v>
      </c>
      <c r="E724" s="666">
        <v>217886</v>
      </c>
      <c r="J724" s="666" t="s">
        <v>812</v>
      </c>
      <c r="K724" s="666" t="s">
        <v>812</v>
      </c>
      <c r="L724" s="76" t="s">
        <v>812</v>
      </c>
      <c r="M724" s="76" t="s">
        <v>809</v>
      </c>
      <c r="N724" s="666">
        <v>20.678150179999999</v>
      </c>
      <c r="O724" s="666">
        <v>92.587867739999993</v>
      </c>
      <c r="P724" s="76" t="s">
        <v>813</v>
      </c>
      <c r="Q724" s="76" t="s">
        <v>794</v>
      </c>
      <c r="R724" s="670"/>
      <c r="S724" s="671"/>
      <c r="T724" s="137"/>
      <c r="U724" s="133"/>
      <c r="V724" s="76" t="s">
        <v>551</v>
      </c>
    </row>
    <row r="725" spans="1:23" s="76" customFormat="1" ht="14.25" customHeight="1">
      <c r="A725" s="666" t="s">
        <v>3013</v>
      </c>
      <c r="B725" s="945" t="s">
        <v>337</v>
      </c>
      <c r="C725" s="944" t="s">
        <v>609</v>
      </c>
      <c r="D725" s="760" t="s">
        <v>1693</v>
      </c>
      <c r="E725" s="76">
        <v>198388</v>
      </c>
      <c r="J725" s="76" t="s">
        <v>812</v>
      </c>
      <c r="K725" s="666" t="s">
        <v>812</v>
      </c>
      <c r="L725" s="666" t="s">
        <v>812</v>
      </c>
      <c r="M725" s="76" t="s">
        <v>312</v>
      </c>
      <c r="N725" s="666">
        <v>20.782770159999998</v>
      </c>
      <c r="O725" s="666">
        <v>92.551826480000003</v>
      </c>
      <c r="P725" s="76" t="s">
        <v>813</v>
      </c>
      <c r="Q725" s="76" t="s">
        <v>816</v>
      </c>
      <c r="R725" s="670"/>
      <c r="S725" s="671"/>
      <c r="T725" s="137">
        <v>42926</v>
      </c>
      <c r="U725" s="133" t="s">
        <v>817</v>
      </c>
      <c r="W725" s="666"/>
    </row>
    <row r="726" spans="1:23" s="76" customFormat="1" ht="14.25" customHeight="1">
      <c r="A726" s="666" t="s">
        <v>3013</v>
      </c>
      <c r="B726" s="949" t="s">
        <v>337</v>
      </c>
      <c r="C726" s="948" t="s">
        <v>2808</v>
      </c>
      <c r="D726" s="760"/>
      <c r="F726" s="76" t="s">
        <v>2949</v>
      </c>
      <c r="J726" s="76" t="s">
        <v>812</v>
      </c>
      <c r="K726" s="666" t="s">
        <v>812</v>
      </c>
      <c r="L726" s="666" t="s">
        <v>812</v>
      </c>
      <c r="M726" s="76" t="s">
        <v>809</v>
      </c>
      <c r="Q726" s="76" t="s">
        <v>2947</v>
      </c>
      <c r="R726" s="670"/>
      <c r="S726" s="671"/>
      <c r="T726" s="137"/>
      <c r="U726" s="133"/>
    </row>
    <row r="727" spans="1:23" s="76" customFormat="1" ht="14.25" customHeight="1">
      <c r="A727" s="666" t="s">
        <v>3013</v>
      </c>
      <c r="B727" s="945" t="s">
        <v>337</v>
      </c>
      <c r="C727" s="944" t="s">
        <v>604</v>
      </c>
      <c r="D727" s="760" t="s">
        <v>1693</v>
      </c>
      <c r="E727" s="76">
        <v>198409</v>
      </c>
      <c r="F727" s="76" t="s">
        <v>2955</v>
      </c>
      <c r="J727" s="76" t="s">
        <v>812</v>
      </c>
      <c r="K727" s="666" t="s">
        <v>812</v>
      </c>
      <c r="L727" s="666" t="s">
        <v>812</v>
      </c>
      <c r="M727" s="76" t="s">
        <v>312</v>
      </c>
      <c r="N727" s="76">
        <v>20.767719270000001</v>
      </c>
      <c r="O727" s="76">
        <v>92.631736759999995</v>
      </c>
      <c r="P727" s="76" t="s">
        <v>813</v>
      </c>
      <c r="Q727" s="76" t="s">
        <v>2947</v>
      </c>
      <c r="R727" s="670"/>
      <c r="S727" s="671"/>
      <c r="T727" s="137"/>
      <c r="U727" s="133"/>
      <c r="V727" s="76" t="s">
        <v>604</v>
      </c>
    </row>
    <row r="728" spans="1:23" s="76" customFormat="1" ht="14.25" customHeight="1">
      <c r="A728" s="666" t="s">
        <v>3013</v>
      </c>
      <c r="B728" s="685" t="s">
        <v>337</v>
      </c>
      <c r="C728" s="684" t="s">
        <v>3242</v>
      </c>
      <c r="D728" s="760"/>
      <c r="E728" s="76">
        <v>198362</v>
      </c>
      <c r="J728" s="76" t="s">
        <v>3028</v>
      </c>
      <c r="K728" s="76" t="s">
        <v>2942</v>
      </c>
      <c r="L728" s="76" t="s">
        <v>2942</v>
      </c>
      <c r="R728" s="670"/>
      <c r="S728" s="671"/>
      <c r="T728" s="137"/>
      <c r="U728" s="133"/>
    </row>
    <row r="729" spans="1:23" s="76" customFormat="1" ht="14.25" customHeight="1">
      <c r="A729" s="666" t="s">
        <v>3013</v>
      </c>
      <c r="B729" s="685" t="s">
        <v>337</v>
      </c>
      <c r="C729" s="684" t="s">
        <v>673</v>
      </c>
      <c r="D729" s="760" t="s">
        <v>1693</v>
      </c>
      <c r="E729" s="76">
        <v>198318</v>
      </c>
      <c r="J729" s="76" t="s">
        <v>812</v>
      </c>
      <c r="K729" s="76" t="s">
        <v>812</v>
      </c>
      <c r="L729" s="76" t="s">
        <v>812</v>
      </c>
      <c r="M729" s="76" t="s">
        <v>809</v>
      </c>
      <c r="N729" s="76">
        <v>20.895900730000001</v>
      </c>
      <c r="O729" s="76">
        <v>92.497329710000002</v>
      </c>
      <c r="P729" s="76" t="s">
        <v>813</v>
      </c>
      <c r="Q729" s="76" t="s">
        <v>794</v>
      </c>
      <c r="R729" s="670"/>
      <c r="S729" s="671"/>
      <c r="T729" s="137"/>
      <c r="U729" s="133"/>
      <c r="V729" s="76" t="s">
        <v>673</v>
      </c>
      <c r="W729" s="666"/>
    </row>
    <row r="730" spans="1:23" s="76" customFormat="1" ht="14.25" customHeight="1">
      <c r="A730" s="666" t="s">
        <v>3013</v>
      </c>
      <c r="B730" s="685" t="s">
        <v>337</v>
      </c>
      <c r="C730" s="684" t="s">
        <v>659</v>
      </c>
      <c r="D730" s="760" t="s">
        <v>1693</v>
      </c>
      <c r="E730" s="76">
        <v>198299</v>
      </c>
      <c r="J730" s="76" t="s">
        <v>812</v>
      </c>
      <c r="K730" s="76" t="s">
        <v>812</v>
      </c>
      <c r="L730" s="76" t="s">
        <v>812</v>
      </c>
      <c r="M730" s="76" t="s">
        <v>809</v>
      </c>
      <c r="N730" s="76">
        <v>20.88254929</v>
      </c>
      <c r="O730" s="76">
        <v>92.551338200000004</v>
      </c>
      <c r="P730" s="76" t="s">
        <v>813</v>
      </c>
      <c r="Q730" s="76" t="s">
        <v>794</v>
      </c>
      <c r="R730" s="670"/>
      <c r="S730" s="671"/>
      <c r="T730" s="137"/>
      <c r="U730" s="133"/>
      <c r="V730" s="76" t="s">
        <v>959</v>
      </c>
    </row>
    <row r="731" spans="1:23" s="76" customFormat="1" ht="14.25" customHeight="1">
      <c r="A731" s="666" t="s">
        <v>3013</v>
      </c>
      <c r="B731" s="685" t="s">
        <v>337</v>
      </c>
      <c r="C731" s="684" t="s">
        <v>540</v>
      </c>
      <c r="D731" s="760" t="s">
        <v>1693</v>
      </c>
      <c r="E731" s="76">
        <v>198451</v>
      </c>
      <c r="J731" s="76" t="s">
        <v>812</v>
      </c>
      <c r="K731" s="76" t="s">
        <v>812</v>
      </c>
      <c r="L731" s="76" t="s">
        <v>812</v>
      </c>
      <c r="M731" s="76" t="s">
        <v>809</v>
      </c>
      <c r="N731" s="76">
        <v>20.663879390000002</v>
      </c>
      <c r="O731" s="76">
        <v>92.609306340000003</v>
      </c>
      <c r="P731" s="76" t="s">
        <v>813</v>
      </c>
      <c r="Q731" s="76" t="s">
        <v>794</v>
      </c>
      <c r="R731" s="670"/>
      <c r="S731" s="671"/>
      <c r="T731" s="137"/>
      <c r="U731" s="133"/>
      <c r="V731" s="76" t="s">
        <v>540</v>
      </c>
      <c r="W731" s="666"/>
    </row>
    <row r="732" spans="1:23" s="76" customFormat="1" ht="14.25" customHeight="1">
      <c r="A732" s="666" t="s">
        <v>3013</v>
      </c>
      <c r="B732" s="685" t="s">
        <v>337</v>
      </c>
      <c r="C732" s="684" t="s">
        <v>542</v>
      </c>
      <c r="D732" s="760" t="s">
        <v>1693</v>
      </c>
      <c r="E732" s="76">
        <v>198452</v>
      </c>
      <c r="J732" s="76" t="s">
        <v>812</v>
      </c>
      <c r="K732" s="76" t="s">
        <v>812</v>
      </c>
      <c r="L732" s="76" t="s">
        <v>812</v>
      </c>
      <c r="M732" s="76" t="s">
        <v>312</v>
      </c>
      <c r="N732" s="76">
        <v>20.667749400000002</v>
      </c>
      <c r="O732" s="76">
        <v>92.608650209999993</v>
      </c>
      <c r="P732" s="76" t="s">
        <v>813</v>
      </c>
      <c r="Q732" s="76" t="s">
        <v>794</v>
      </c>
      <c r="R732" s="670"/>
      <c r="S732" s="671"/>
      <c r="T732" s="137"/>
      <c r="U732" s="133"/>
      <c r="V732" s="76" t="s">
        <v>542</v>
      </c>
      <c r="W732" s="666"/>
    </row>
    <row r="733" spans="1:23" s="76" customFormat="1" ht="14.25" customHeight="1">
      <c r="A733" s="666" t="s">
        <v>3013</v>
      </c>
      <c r="B733" s="685" t="s">
        <v>337</v>
      </c>
      <c r="C733" s="684" t="s">
        <v>616</v>
      </c>
      <c r="D733" s="760" t="s">
        <v>1693</v>
      </c>
      <c r="E733" s="666">
        <v>198380</v>
      </c>
      <c r="J733" s="76" t="s">
        <v>812</v>
      </c>
      <c r="K733" s="666" t="s">
        <v>812</v>
      </c>
      <c r="L733" s="666" t="s">
        <v>812</v>
      </c>
      <c r="M733" s="76" t="s">
        <v>809</v>
      </c>
      <c r="N733" s="76">
        <v>20.787410739999999</v>
      </c>
      <c r="O733" s="76">
        <v>92.55155182</v>
      </c>
      <c r="P733" s="76" t="s">
        <v>813</v>
      </c>
      <c r="Q733" s="76" t="s">
        <v>794</v>
      </c>
      <c r="R733" s="670"/>
      <c r="S733" s="132"/>
      <c r="T733" s="690"/>
      <c r="U733" s="133"/>
      <c r="V733" s="76" t="s">
        <v>616</v>
      </c>
      <c r="W733" s="666"/>
    </row>
    <row r="734" spans="1:23" s="76" customFormat="1" ht="14.25" customHeight="1">
      <c r="A734" s="666" t="s">
        <v>3013</v>
      </c>
      <c r="B734" s="685" t="s">
        <v>337</v>
      </c>
      <c r="C734" s="684" t="s">
        <v>618</v>
      </c>
      <c r="D734" s="760" t="s">
        <v>1693</v>
      </c>
      <c r="E734" s="666">
        <v>198378</v>
      </c>
      <c r="F734" s="666"/>
      <c r="G734" s="666"/>
      <c r="H734" s="666"/>
      <c r="I734" s="666"/>
      <c r="J734" s="76" t="s">
        <v>812</v>
      </c>
      <c r="K734" s="666" t="s">
        <v>812</v>
      </c>
      <c r="L734" s="666" t="s">
        <v>812</v>
      </c>
      <c r="M734" s="76" t="s">
        <v>809</v>
      </c>
      <c r="N734" s="76">
        <v>20.791679380000001</v>
      </c>
      <c r="O734" s="76">
        <v>92.550903320000003</v>
      </c>
      <c r="P734" s="76" t="s">
        <v>813</v>
      </c>
      <c r="Q734" s="76" t="s">
        <v>794</v>
      </c>
      <c r="R734" s="670"/>
      <c r="S734" s="671"/>
      <c r="T734" s="690"/>
      <c r="U734" s="133"/>
      <c r="V734" s="76" t="s">
        <v>618</v>
      </c>
    </row>
    <row r="735" spans="1:23" s="76" customFormat="1" ht="14.25" customHeight="1">
      <c r="A735" s="932" t="s">
        <v>3013</v>
      </c>
      <c r="B735" s="946" t="s">
        <v>337</v>
      </c>
      <c r="C735" s="704" t="s">
        <v>3268</v>
      </c>
      <c r="D735" s="929"/>
      <c r="E735" s="76">
        <v>198407</v>
      </c>
      <c r="J735" s="76" t="s">
        <v>812</v>
      </c>
      <c r="K735" s="76" t="s">
        <v>812</v>
      </c>
      <c r="L735" s="76" t="s">
        <v>812</v>
      </c>
      <c r="M735" s="76" t="s">
        <v>809</v>
      </c>
      <c r="N735" s="76">
        <v>20.775840759277301</v>
      </c>
      <c r="O735" s="76">
        <v>92.613082885742202</v>
      </c>
      <c r="P735" s="76" t="s">
        <v>813</v>
      </c>
      <c r="Q735" s="666"/>
      <c r="R735" s="939"/>
      <c r="S735" s="671"/>
      <c r="T735" s="690"/>
      <c r="U735" s="939"/>
      <c r="V735" s="76" t="s">
        <v>607</v>
      </c>
      <c r="W735" s="931"/>
    </row>
    <row r="736" spans="1:23" s="76" customFormat="1" ht="14.25" customHeight="1">
      <c r="A736" s="666" t="s">
        <v>3013</v>
      </c>
      <c r="B736" s="685" t="s">
        <v>337</v>
      </c>
      <c r="C736" s="684" t="s">
        <v>2810</v>
      </c>
      <c r="D736" s="760"/>
      <c r="E736" s="666">
        <v>198337</v>
      </c>
      <c r="F736" s="666" t="s">
        <v>627</v>
      </c>
      <c r="G736" s="666"/>
      <c r="H736" s="666"/>
      <c r="I736" s="666"/>
      <c r="J736" s="666" t="s">
        <v>812</v>
      </c>
      <c r="K736" s="666" t="s">
        <v>812</v>
      </c>
      <c r="L736" s="666" t="s">
        <v>812</v>
      </c>
      <c r="M736" s="666" t="s">
        <v>312</v>
      </c>
      <c r="N736" s="666"/>
      <c r="O736" s="666"/>
      <c r="P736" s="666"/>
      <c r="Q736" s="666" t="s">
        <v>2947</v>
      </c>
      <c r="R736" s="670"/>
      <c r="S736" s="671"/>
      <c r="T736" s="690"/>
      <c r="U736" s="672"/>
      <c r="V736" s="666"/>
      <c r="W736" s="666"/>
    </row>
    <row r="737" spans="1:23" s="76" customFormat="1" ht="14.25" customHeight="1">
      <c r="A737" s="666" t="s">
        <v>3013</v>
      </c>
      <c r="B737" s="685" t="s">
        <v>337</v>
      </c>
      <c r="C737" s="684" t="s">
        <v>571</v>
      </c>
      <c r="D737" s="760" t="s">
        <v>1693</v>
      </c>
      <c r="E737" s="76">
        <v>198423</v>
      </c>
      <c r="J737" s="76" t="s">
        <v>812</v>
      </c>
      <c r="K737" s="76" t="s">
        <v>812</v>
      </c>
      <c r="L737" s="76" t="s">
        <v>812</v>
      </c>
      <c r="M737" s="76" t="s">
        <v>312</v>
      </c>
      <c r="N737" s="76">
        <v>20.707460399999999</v>
      </c>
      <c r="O737" s="76">
        <v>92.680862430000005</v>
      </c>
      <c r="P737" s="76" t="s">
        <v>813</v>
      </c>
      <c r="Q737" s="76" t="s">
        <v>794</v>
      </c>
      <c r="R737" s="670"/>
      <c r="S737" s="671"/>
      <c r="T737" s="137"/>
      <c r="U737" s="133"/>
      <c r="V737" s="76" t="s">
        <v>571</v>
      </c>
    </row>
    <row r="738" spans="1:23" s="76" customFormat="1" ht="14.25" customHeight="1">
      <c r="A738" s="666" t="s">
        <v>3013</v>
      </c>
      <c r="B738" s="685" t="s">
        <v>337</v>
      </c>
      <c r="C738" s="684" t="s">
        <v>2809</v>
      </c>
      <c r="D738" s="760"/>
      <c r="E738" s="666">
        <v>198363</v>
      </c>
      <c r="F738" s="666" t="s">
        <v>2949</v>
      </c>
      <c r="G738" s="666"/>
      <c r="H738" s="666"/>
      <c r="I738" s="666"/>
      <c r="J738" s="666" t="s">
        <v>812</v>
      </c>
      <c r="K738" s="666" t="s">
        <v>812</v>
      </c>
      <c r="L738" s="666" t="s">
        <v>812</v>
      </c>
      <c r="M738" s="666" t="s">
        <v>312</v>
      </c>
      <c r="N738" s="666"/>
      <c r="O738" s="666"/>
      <c r="P738" s="666"/>
      <c r="Q738" s="666" t="s">
        <v>2947</v>
      </c>
      <c r="R738" s="670"/>
      <c r="S738" s="671"/>
      <c r="T738" s="690"/>
      <c r="U738" s="672"/>
      <c r="V738" s="666"/>
      <c r="W738" s="666"/>
    </row>
    <row r="739" spans="1:23" s="76" customFormat="1" ht="14.25" customHeight="1">
      <c r="A739" s="666" t="s">
        <v>3013</v>
      </c>
      <c r="B739" s="949" t="s">
        <v>337</v>
      </c>
      <c r="C739" s="948" t="s">
        <v>601</v>
      </c>
      <c r="D739" s="760" t="s">
        <v>1693</v>
      </c>
      <c r="E739" s="76">
        <v>198391</v>
      </c>
      <c r="J739" s="76" t="s">
        <v>812</v>
      </c>
      <c r="K739" s="76" t="s">
        <v>812</v>
      </c>
      <c r="L739" s="76" t="s">
        <v>812</v>
      </c>
      <c r="M739" s="76" t="s">
        <v>809</v>
      </c>
      <c r="N739" s="76">
        <v>20.761529920000001</v>
      </c>
      <c r="O739" s="76">
        <v>92.544082639999999</v>
      </c>
      <c r="P739" s="76" t="s">
        <v>813</v>
      </c>
      <c r="Q739" s="76" t="s">
        <v>794</v>
      </c>
      <c r="R739" s="670"/>
      <c r="S739" s="671"/>
      <c r="T739" s="137"/>
      <c r="U739" s="133"/>
      <c r="V739" s="76" t="s">
        <v>601</v>
      </c>
    </row>
    <row r="740" spans="1:23" s="76" customFormat="1" ht="14.25" customHeight="1">
      <c r="A740" s="666" t="s">
        <v>3013</v>
      </c>
      <c r="B740" s="685" t="s">
        <v>337</v>
      </c>
      <c r="C740" s="684" t="s">
        <v>560</v>
      </c>
      <c r="D740" s="760" t="s">
        <v>1693</v>
      </c>
      <c r="E740" s="76">
        <v>198421</v>
      </c>
      <c r="J740" s="76" t="s">
        <v>812</v>
      </c>
      <c r="K740" s="666" t="s">
        <v>812</v>
      </c>
      <c r="L740" s="666" t="s">
        <v>812</v>
      </c>
      <c r="M740" s="76" t="s">
        <v>312</v>
      </c>
      <c r="N740" s="76">
        <v>20.688310619999999</v>
      </c>
      <c r="O740" s="76">
        <v>92.696960450000006</v>
      </c>
      <c r="P740" s="76" t="s">
        <v>813</v>
      </c>
      <c r="Q740" s="76" t="s">
        <v>794</v>
      </c>
      <c r="R740" s="131"/>
      <c r="S740" s="671"/>
      <c r="T740" s="137"/>
      <c r="U740" s="133"/>
      <c r="V740" s="76" t="s">
        <v>560</v>
      </c>
      <c r="W740" s="666"/>
    </row>
    <row r="741" spans="1:23" s="76" customFormat="1" ht="14.25" customHeight="1">
      <c r="A741" s="666" t="s">
        <v>3013</v>
      </c>
      <c r="B741" s="945" t="s">
        <v>337</v>
      </c>
      <c r="C741" s="944" t="s">
        <v>2819</v>
      </c>
      <c r="D741" s="760" t="s">
        <v>1693</v>
      </c>
      <c r="E741" s="922">
        <v>198300</v>
      </c>
      <c r="F741" s="922" t="s">
        <v>2954</v>
      </c>
      <c r="G741" s="922"/>
      <c r="H741" s="922"/>
      <c r="I741" s="922"/>
      <c r="J741" s="922" t="s">
        <v>812</v>
      </c>
      <c r="K741" s="922" t="s">
        <v>812</v>
      </c>
      <c r="L741" s="922" t="s">
        <v>812</v>
      </c>
      <c r="M741" s="922" t="s">
        <v>312</v>
      </c>
      <c r="N741" s="922">
        <v>20.887420649999999</v>
      </c>
      <c r="O741" s="922">
        <v>92.545410160000003</v>
      </c>
      <c r="P741" s="922" t="s">
        <v>813</v>
      </c>
      <c r="Q741" s="922" t="s">
        <v>794</v>
      </c>
      <c r="R741" s="931"/>
      <c r="S741" s="932"/>
      <c r="T741" s="951"/>
      <c r="U741" s="933"/>
      <c r="V741" s="922" t="s">
        <v>961</v>
      </c>
      <c r="W741" s="922"/>
    </row>
    <row r="742" spans="1:23" s="76" customFormat="1" ht="14.25" customHeight="1">
      <c r="A742" s="922" t="s">
        <v>3013</v>
      </c>
      <c r="B742" s="945" t="s">
        <v>337</v>
      </c>
      <c r="C742" s="944" t="s">
        <v>2815</v>
      </c>
      <c r="D742" s="760"/>
      <c r="E742" s="76">
        <v>198434</v>
      </c>
      <c r="F742" s="666" t="s">
        <v>2952</v>
      </c>
      <c r="J742" s="76" t="s">
        <v>812</v>
      </c>
      <c r="K742" s="666" t="s">
        <v>812</v>
      </c>
      <c r="L742" s="666" t="s">
        <v>812</v>
      </c>
      <c r="M742" s="76" t="s">
        <v>809</v>
      </c>
      <c r="Q742" s="76" t="s">
        <v>2947</v>
      </c>
      <c r="R742" s="931"/>
      <c r="S742" s="132"/>
      <c r="T742" s="137"/>
      <c r="U742" s="933"/>
      <c r="W742" s="922"/>
    </row>
    <row r="743" spans="1:23" s="76" customFormat="1" ht="14.25" customHeight="1">
      <c r="A743" s="666" t="s">
        <v>3013</v>
      </c>
      <c r="B743" s="880" t="s">
        <v>337</v>
      </c>
      <c r="C743" s="882" t="s">
        <v>2816</v>
      </c>
      <c r="D743" s="929"/>
      <c r="E743" s="275">
        <v>198433</v>
      </c>
      <c r="F743" s="275" t="s">
        <v>2952</v>
      </c>
      <c r="G743" s="275"/>
      <c r="H743" s="275"/>
      <c r="I743" s="275"/>
      <c r="J743" s="275" t="s">
        <v>812</v>
      </c>
      <c r="K743" s="275" t="s">
        <v>812</v>
      </c>
      <c r="L743" s="275" t="s">
        <v>812</v>
      </c>
      <c r="M743" s="275" t="s">
        <v>312</v>
      </c>
      <c r="N743" s="275"/>
      <c r="O743" s="275"/>
      <c r="P743" s="275"/>
      <c r="Q743" s="275" t="s">
        <v>2947</v>
      </c>
      <c r="R743" s="276"/>
      <c r="S743" s="274"/>
      <c r="T743" s="277"/>
      <c r="U743" s="278"/>
      <c r="V743" s="275"/>
      <c r="W743" s="931"/>
    </row>
    <row r="744" spans="1:23" s="76" customFormat="1" ht="14.25" customHeight="1">
      <c r="A744" s="935" t="s">
        <v>3013</v>
      </c>
      <c r="B744" s="946" t="s">
        <v>337</v>
      </c>
      <c r="C744" s="704" t="s">
        <v>3159</v>
      </c>
      <c r="D744" s="929"/>
      <c r="J744" s="76" t="s">
        <v>3028</v>
      </c>
      <c r="K744" s="666" t="s">
        <v>2942</v>
      </c>
      <c r="L744" s="666" t="s">
        <v>2942</v>
      </c>
      <c r="O744" s="666"/>
      <c r="R744" s="939"/>
      <c r="S744" s="671"/>
      <c r="T744" s="137">
        <v>43591</v>
      </c>
      <c r="U744" s="939"/>
      <c r="W744" s="931"/>
    </row>
    <row r="745" spans="1:23" s="76" customFormat="1" ht="14.25" customHeight="1">
      <c r="A745" s="666" t="s">
        <v>3013</v>
      </c>
      <c r="B745" s="685" t="s">
        <v>337</v>
      </c>
      <c r="C745" s="804" t="s">
        <v>3072</v>
      </c>
      <c r="D745" s="760" t="s">
        <v>1693</v>
      </c>
      <c r="E745" s="76">
        <v>198398</v>
      </c>
      <c r="F745" s="777" t="s">
        <v>3073</v>
      </c>
      <c r="J745" s="76" t="s">
        <v>893</v>
      </c>
      <c r="K745" s="76" t="s">
        <v>893</v>
      </c>
      <c r="L745" s="76" t="s">
        <v>893</v>
      </c>
      <c r="M745" s="76" t="s">
        <v>809</v>
      </c>
      <c r="N745" s="76">
        <v>20.741249079999999</v>
      </c>
      <c r="O745" s="76">
        <v>92.610519409999995</v>
      </c>
      <c r="P745" s="76" t="s">
        <v>813</v>
      </c>
      <c r="Q745" s="76" t="s">
        <v>794</v>
      </c>
      <c r="R745" s="670"/>
      <c r="S745" s="132"/>
      <c r="T745" s="779">
        <v>43580</v>
      </c>
      <c r="U745" s="780" t="s">
        <v>3071</v>
      </c>
      <c r="V745" s="76" t="s">
        <v>595</v>
      </c>
    </row>
    <row r="746" spans="1:23" s="922" customFormat="1" ht="14.25" customHeight="1">
      <c r="A746" s="922" t="s">
        <v>3013</v>
      </c>
      <c r="B746" s="945" t="s">
        <v>337</v>
      </c>
      <c r="C746" s="802" t="s">
        <v>3073</v>
      </c>
      <c r="D746" s="929"/>
      <c r="J746" s="922" t="s">
        <v>812</v>
      </c>
      <c r="K746" s="922" t="s">
        <v>893</v>
      </c>
      <c r="L746" s="922" t="s">
        <v>893</v>
      </c>
      <c r="R746" s="939"/>
      <c r="S746" s="932"/>
      <c r="T746" s="951"/>
      <c r="U746" s="985"/>
      <c r="V746" s="922" t="s">
        <v>3276</v>
      </c>
      <c r="W746" s="931"/>
    </row>
    <row r="747" spans="1:23" s="76" customFormat="1" ht="14.25" customHeight="1">
      <c r="A747" s="666" t="s">
        <v>3013</v>
      </c>
      <c r="B747" s="685" t="s">
        <v>337</v>
      </c>
      <c r="C747" s="684" t="s">
        <v>594</v>
      </c>
      <c r="D747" s="760" t="s">
        <v>1693</v>
      </c>
      <c r="E747" s="666">
        <v>198399</v>
      </c>
      <c r="F747" s="666"/>
      <c r="G747" s="666"/>
      <c r="H747" s="666"/>
      <c r="I747" s="666"/>
      <c r="J747" s="666" t="s">
        <v>812</v>
      </c>
      <c r="K747" s="666" t="s">
        <v>812</v>
      </c>
      <c r="L747" s="666" t="s">
        <v>812</v>
      </c>
      <c r="M747" s="666" t="s">
        <v>312</v>
      </c>
      <c r="N747" s="666">
        <v>20.739839549999999</v>
      </c>
      <c r="O747" s="666">
        <v>92.613456729999996</v>
      </c>
      <c r="P747" s="666" t="s">
        <v>813</v>
      </c>
      <c r="Q747" s="666" t="s">
        <v>794</v>
      </c>
      <c r="R747" s="670"/>
      <c r="S747" s="671"/>
      <c r="T747" s="690"/>
      <c r="U747" s="672"/>
      <c r="V747" s="666" t="s">
        <v>594</v>
      </c>
      <c r="W747" s="666"/>
    </row>
    <row r="748" spans="1:23" s="76" customFormat="1" ht="14.25" customHeight="1">
      <c r="A748" s="666" t="s">
        <v>3013</v>
      </c>
      <c r="B748" s="949" t="s">
        <v>337</v>
      </c>
      <c r="C748" s="948" t="s">
        <v>543</v>
      </c>
      <c r="D748" s="760" t="s">
        <v>1693</v>
      </c>
      <c r="E748" s="76">
        <v>198448</v>
      </c>
      <c r="J748" s="76" t="s">
        <v>812</v>
      </c>
      <c r="K748" s="666" t="s">
        <v>812</v>
      </c>
      <c r="L748" s="666" t="s">
        <v>812</v>
      </c>
      <c r="M748" s="76" t="s">
        <v>312</v>
      </c>
      <c r="N748" s="76">
        <v>20.669130330000002</v>
      </c>
      <c r="O748" s="76">
        <v>92.595497129999998</v>
      </c>
      <c r="P748" s="76" t="s">
        <v>813</v>
      </c>
      <c r="Q748" s="666" t="s">
        <v>794</v>
      </c>
      <c r="R748" s="670"/>
      <c r="S748" s="671"/>
      <c r="T748" s="690"/>
      <c r="U748" s="133"/>
      <c r="V748" s="76" t="s">
        <v>543</v>
      </c>
    </row>
    <row r="749" spans="1:23" s="76" customFormat="1" ht="14.25" customHeight="1">
      <c r="A749" s="666" t="s">
        <v>3013</v>
      </c>
      <c r="B749" s="949" t="s">
        <v>337</v>
      </c>
      <c r="C749" s="948" t="s">
        <v>548</v>
      </c>
      <c r="D749" s="760" t="s">
        <v>1693</v>
      </c>
      <c r="E749" s="76">
        <v>198447</v>
      </c>
      <c r="F749" s="666"/>
      <c r="J749" s="76" t="s">
        <v>812</v>
      </c>
      <c r="K749" s="666" t="s">
        <v>812</v>
      </c>
      <c r="L749" s="666" t="s">
        <v>812</v>
      </c>
      <c r="M749" s="76" t="s">
        <v>809</v>
      </c>
      <c r="N749" s="76">
        <v>20.674699780000001</v>
      </c>
      <c r="O749" s="76">
        <v>92.590393070000005</v>
      </c>
      <c r="P749" s="76" t="s">
        <v>813</v>
      </c>
      <c r="Q749" s="76" t="s">
        <v>794</v>
      </c>
      <c r="R749" s="670"/>
      <c r="S749" s="671"/>
      <c r="T749" s="137"/>
      <c r="U749" s="133"/>
      <c r="V749" s="76" t="s">
        <v>548</v>
      </c>
    </row>
    <row r="750" spans="1:23" s="76" customFormat="1" ht="14.25" customHeight="1">
      <c r="A750" s="666" t="s">
        <v>3013</v>
      </c>
      <c r="B750" s="689" t="s">
        <v>337</v>
      </c>
      <c r="C750" s="688" t="s">
        <v>606</v>
      </c>
      <c r="D750" s="760" t="s">
        <v>1693</v>
      </c>
      <c r="E750" s="666">
        <v>198410</v>
      </c>
      <c r="J750" s="76" t="s">
        <v>812</v>
      </c>
      <c r="K750" s="76" t="s">
        <v>812</v>
      </c>
      <c r="L750" s="76" t="s">
        <v>812</v>
      </c>
      <c r="M750" s="76" t="s">
        <v>312</v>
      </c>
      <c r="N750" s="76">
        <v>20.772550580000001</v>
      </c>
      <c r="O750" s="76">
        <v>92.638290409999996</v>
      </c>
      <c r="P750" s="76" t="s">
        <v>813</v>
      </c>
      <c r="Q750" s="666" t="s">
        <v>794</v>
      </c>
      <c r="R750" s="670"/>
      <c r="S750" s="671"/>
      <c r="T750" s="690"/>
      <c r="U750" s="133"/>
      <c r="V750" s="76" t="s">
        <v>606</v>
      </c>
      <c r="W750" s="666"/>
    </row>
    <row r="751" spans="1:23" s="76" customFormat="1" ht="14.25" customHeight="1">
      <c r="A751" s="666" t="s">
        <v>3013</v>
      </c>
      <c r="B751" s="689" t="s">
        <v>337</v>
      </c>
      <c r="C751" s="688" t="s">
        <v>368</v>
      </c>
      <c r="D751" s="760" t="s">
        <v>1693</v>
      </c>
      <c r="E751" s="666"/>
      <c r="J751" s="76" t="s">
        <v>812</v>
      </c>
      <c r="K751" s="922" t="s">
        <v>812</v>
      </c>
      <c r="L751" s="922" t="s">
        <v>812</v>
      </c>
      <c r="M751" s="76" t="s">
        <v>1163</v>
      </c>
      <c r="P751" s="76" t="s">
        <v>813</v>
      </c>
      <c r="Q751" s="76" t="s">
        <v>794</v>
      </c>
      <c r="R751" s="670"/>
      <c r="S751" s="671"/>
      <c r="T751" s="137"/>
      <c r="U751" s="133"/>
      <c r="V751" s="76" t="s">
        <v>368</v>
      </c>
      <c r="W751" s="666"/>
    </row>
    <row r="752" spans="1:23" s="76" customFormat="1" ht="14.25" customHeight="1">
      <c r="A752" s="666" t="s">
        <v>3013</v>
      </c>
      <c r="B752" s="689" t="s">
        <v>337</v>
      </c>
      <c r="C752" s="688" t="s">
        <v>2840</v>
      </c>
      <c r="D752" s="760"/>
      <c r="J752" s="76" t="s">
        <v>3028</v>
      </c>
      <c r="K752" s="666" t="s">
        <v>2942</v>
      </c>
      <c r="L752" s="666" t="s">
        <v>2942</v>
      </c>
      <c r="R752" s="670"/>
      <c r="S752" s="671"/>
      <c r="T752" s="137"/>
      <c r="U752" s="133"/>
    </row>
    <row r="753" spans="1:26" ht="14.25" customHeight="1">
      <c r="A753" s="666" t="s">
        <v>3013</v>
      </c>
      <c r="B753" s="689" t="s">
        <v>337</v>
      </c>
      <c r="C753" s="688" t="s">
        <v>2807</v>
      </c>
      <c r="D753" s="760"/>
      <c r="E753" s="666">
        <v>198370</v>
      </c>
      <c r="F753" s="666" t="s">
        <v>2948</v>
      </c>
      <c r="G753" s="666"/>
      <c r="H753" s="666"/>
      <c r="I753" s="666"/>
      <c r="J753" s="76" t="s">
        <v>812</v>
      </c>
      <c r="K753" s="945" t="s">
        <v>812</v>
      </c>
      <c r="L753" s="945" t="s">
        <v>812</v>
      </c>
      <c r="M753" s="76" t="s">
        <v>809</v>
      </c>
      <c r="N753" s="76"/>
      <c r="O753" s="76"/>
      <c r="P753" s="666"/>
      <c r="Q753" s="76" t="s">
        <v>2947</v>
      </c>
      <c r="R753" s="670"/>
      <c r="S753" s="671"/>
      <c r="T753" s="137"/>
      <c r="U753" s="133"/>
      <c r="V753" s="76"/>
      <c r="W753" s="666"/>
      <c r="X753" s="17"/>
      <c r="Z753" s="17"/>
    </row>
    <row r="754" spans="1:26" ht="14.25" customHeight="1">
      <c r="A754" s="666" t="s">
        <v>3013</v>
      </c>
      <c r="B754" s="928" t="s">
        <v>337</v>
      </c>
      <c r="C754" s="954" t="s">
        <v>588</v>
      </c>
      <c r="D754" s="760" t="s">
        <v>1693</v>
      </c>
      <c r="E754" s="76">
        <v>198430</v>
      </c>
      <c r="F754" s="76"/>
      <c r="G754" s="76"/>
      <c r="H754" s="76"/>
      <c r="I754" s="76"/>
      <c r="J754" s="76" t="s">
        <v>812</v>
      </c>
      <c r="K754" s="945" t="s">
        <v>812</v>
      </c>
      <c r="L754" s="945" t="s">
        <v>812</v>
      </c>
      <c r="M754" s="76" t="s">
        <v>809</v>
      </c>
      <c r="N754" s="76">
        <v>20.724700930000001</v>
      </c>
      <c r="O754" s="76">
        <v>92.628196720000005</v>
      </c>
      <c r="P754" s="76" t="s">
        <v>813</v>
      </c>
      <c r="Q754" s="76" t="s">
        <v>794</v>
      </c>
      <c r="R754" s="670"/>
      <c r="S754" s="671"/>
      <c r="T754" s="137"/>
      <c r="U754" s="133"/>
      <c r="V754" s="76" t="s">
        <v>588</v>
      </c>
      <c r="W754" s="76"/>
      <c r="X754" s="17"/>
      <c r="Z754" s="17"/>
    </row>
    <row r="755" spans="1:26" ht="14.25" customHeight="1">
      <c r="A755" s="922" t="s">
        <v>3013</v>
      </c>
      <c r="B755" s="945" t="s">
        <v>337</v>
      </c>
      <c r="C755" s="954" t="s">
        <v>657</v>
      </c>
      <c r="D755" s="760" t="s">
        <v>1693</v>
      </c>
      <c r="E755" s="922">
        <v>198291</v>
      </c>
      <c r="F755" s="922"/>
      <c r="G755" s="922"/>
      <c r="H755" s="922"/>
      <c r="I755" s="922"/>
      <c r="J755" s="76" t="s">
        <v>812</v>
      </c>
      <c r="K755" s="685" t="s">
        <v>812</v>
      </c>
      <c r="L755" s="685" t="s">
        <v>812</v>
      </c>
      <c r="M755" s="666" t="s">
        <v>809</v>
      </c>
      <c r="N755" s="922">
        <v>20.871829989999998</v>
      </c>
      <c r="O755" s="922">
        <v>92.566909789999997</v>
      </c>
      <c r="P755" s="76" t="s">
        <v>813</v>
      </c>
      <c r="Q755" s="922" t="s">
        <v>794</v>
      </c>
      <c r="R755" s="931"/>
      <c r="S755" s="932"/>
      <c r="T755" s="951"/>
      <c r="U755" s="933"/>
      <c r="V755" s="922" t="s">
        <v>657</v>
      </c>
      <c r="W755" s="922"/>
      <c r="X755" s="17"/>
      <c r="Z755" s="17"/>
    </row>
    <row r="756" spans="1:26" ht="14.25" customHeight="1">
      <c r="A756" s="932" t="s">
        <v>3013</v>
      </c>
      <c r="B756" s="935" t="s">
        <v>337</v>
      </c>
      <c r="C756" s="972" t="s">
        <v>956</v>
      </c>
      <c r="D756" s="669"/>
      <c r="E756" s="922"/>
      <c r="F756" s="922"/>
      <c r="G756" s="922"/>
      <c r="H756" s="922"/>
      <c r="I756" s="922"/>
      <c r="J756" s="76" t="s">
        <v>812</v>
      </c>
      <c r="K756" s="945" t="s">
        <v>812</v>
      </c>
      <c r="L756" s="945" t="s">
        <v>812</v>
      </c>
      <c r="M756" s="922"/>
      <c r="N756" s="922"/>
      <c r="O756" s="922"/>
      <c r="P756" s="922"/>
      <c r="Q756" s="922"/>
      <c r="R756" s="939"/>
      <c r="S756" s="932"/>
      <c r="T756" s="951"/>
      <c r="U756" s="939"/>
      <c r="V756" s="922"/>
      <c r="W756" s="670"/>
      <c r="X756" s="17"/>
      <c r="Z756" s="17"/>
    </row>
    <row r="757" spans="1:26" ht="14.25" customHeight="1">
      <c r="A757" s="932" t="s">
        <v>3013</v>
      </c>
      <c r="B757" s="935" t="s">
        <v>337</v>
      </c>
      <c r="C757" s="972" t="s">
        <v>3267</v>
      </c>
      <c r="D757" s="669"/>
      <c r="E757" s="666"/>
      <c r="F757" s="666"/>
      <c r="G757" s="666"/>
      <c r="H757" s="666"/>
      <c r="I757" s="666"/>
      <c r="J757" s="666" t="s">
        <v>812</v>
      </c>
      <c r="K757" s="949" t="s">
        <v>812</v>
      </c>
      <c r="L757" s="949" t="s">
        <v>812</v>
      </c>
      <c r="M757" s="666"/>
      <c r="N757" s="666"/>
      <c r="O757" s="666"/>
      <c r="P757" s="666"/>
      <c r="Q757" s="666"/>
      <c r="R757" s="678"/>
      <c r="S757" s="671"/>
      <c r="T757" s="690"/>
      <c r="U757" s="678"/>
      <c r="V757" s="666"/>
      <c r="W757" s="670"/>
      <c r="X757" s="17"/>
      <c r="Z757" s="17"/>
    </row>
    <row r="758" spans="1:26" ht="14.25" customHeight="1">
      <c r="A758" s="666" t="s">
        <v>3013</v>
      </c>
      <c r="B758" s="949" t="s">
        <v>337</v>
      </c>
      <c r="C758" s="692" t="s">
        <v>687</v>
      </c>
      <c r="D758" s="760" t="s">
        <v>1693</v>
      </c>
      <c r="E758" s="76">
        <v>198163</v>
      </c>
      <c r="F758" s="666"/>
      <c r="G758" s="76"/>
      <c r="H758" s="76"/>
      <c r="I758" s="76"/>
      <c r="J758" s="76" t="s">
        <v>818</v>
      </c>
      <c r="K758" s="928" t="s">
        <v>812</v>
      </c>
      <c r="L758" s="928" t="s">
        <v>818</v>
      </c>
      <c r="M758" s="76" t="s">
        <v>967</v>
      </c>
      <c r="N758" s="76">
        <v>20.99898911</v>
      </c>
      <c r="O758" s="76">
        <v>92.46325684</v>
      </c>
      <c r="P758" s="76" t="s">
        <v>937</v>
      </c>
      <c r="Q758" s="76" t="s">
        <v>816</v>
      </c>
      <c r="R758" s="670"/>
      <c r="S758" s="671"/>
      <c r="T758" s="137">
        <v>42926</v>
      </c>
      <c r="U758" s="133" t="s">
        <v>947</v>
      </c>
      <c r="V758" s="76"/>
      <c r="W758" s="666"/>
      <c r="X758" s="17"/>
      <c r="Z758" s="17"/>
    </row>
    <row r="759" spans="1:26" ht="14.25" customHeight="1">
      <c r="A759" s="775" t="s">
        <v>3013</v>
      </c>
      <c r="B759" s="776" t="s">
        <v>337</v>
      </c>
      <c r="C759" s="948" t="s">
        <v>1949</v>
      </c>
      <c r="D759" s="929"/>
      <c r="E759" s="777">
        <v>198348</v>
      </c>
      <c r="F759" s="777" t="s">
        <v>2141</v>
      </c>
      <c r="G759" s="777"/>
      <c r="H759" s="777"/>
      <c r="I759" s="777"/>
      <c r="J759" s="76" t="s">
        <v>893</v>
      </c>
      <c r="K759" s="928" t="s">
        <v>893</v>
      </c>
      <c r="L759" s="928" t="s">
        <v>893</v>
      </c>
      <c r="M759" s="76" t="s">
        <v>312</v>
      </c>
      <c r="N759" s="777">
        <v>20.847490310668899</v>
      </c>
      <c r="O759" s="777">
        <v>92.556472778320298</v>
      </c>
      <c r="P759" s="76" t="s">
        <v>813</v>
      </c>
      <c r="Q759" s="777" t="s">
        <v>2947</v>
      </c>
      <c r="R759" s="778"/>
      <c r="S759" s="775"/>
      <c r="T759" s="779">
        <v>43580</v>
      </c>
      <c r="U759" s="780" t="s">
        <v>3071</v>
      </c>
      <c r="V759" s="781"/>
      <c r="W759" s="931"/>
      <c r="X759" s="17"/>
      <c r="Z759" s="17"/>
    </row>
    <row r="760" spans="1:26" ht="14.25" customHeight="1">
      <c r="A760" s="775" t="s">
        <v>3013</v>
      </c>
      <c r="B760" s="799" t="s">
        <v>337</v>
      </c>
      <c r="C760" s="881" t="s">
        <v>3075</v>
      </c>
      <c r="D760" s="929"/>
      <c r="E760" s="777">
        <v>198326</v>
      </c>
      <c r="F760" s="777" t="s">
        <v>3076</v>
      </c>
      <c r="G760" s="777"/>
      <c r="H760" s="777"/>
      <c r="I760" s="777"/>
      <c r="J760" s="76" t="s">
        <v>812</v>
      </c>
      <c r="K760" s="928" t="s">
        <v>812</v>
      </c>
      <c r="L760" s="928" t="s">
        <v>812</v>
      </c>
      <c r="M760" s="777"/>
      <c r="N760" s="777">
        <v>20.8608493804932</v>
      </c>
      <c r="O760" s="777">
        <v>92.539390563964801</v>
      </c>
      <c r="P760" s="777"/>
      <c r="Q760" s="777" t="s">
        <v>2947</v>
      </c>
      <c r="R760" s="778"/>
      <c r="S760" s="775"/>
      <c r="T760" s="779">
        <v>43580</v>
      </c>
      <c r="U760" s="780" t="s">
        <v>3071</v>
      </c>
      <c r="V760" s="781"/>
      <c r="W760" s="931"/>
      <c r="X760" s="17"/>
      <c r="Z760" s="17"/>
    </row>
    <row r="761" spans="1:26" ht="14.25" customHeight="1">
      <c r="A761" s="935" t="s">
        <v>3013</v>
      </c>
      <c r="B761" s="935" t="s">
        <v>337</v>
      </c>
      <c r="C761" s="961" t="s">
        <v>3160</v>
      </c>
      <c r="D761" s="929"/>
      <c r="E761" s="76">
        <v>198326</v>
      </c>
      <c r="F761" s="666"/>
      <c r="G761" s="76"/>
      <c r="H761" s="76"/>
      <c r="I761" s="76"/>
      <c r="J761" s="76" t="s">
        <v>3028</v>
      </c>
      <c r="K761" s="928" t="s">
        <v>2942</v>
      </c>
      <c r="L761" s="928" t="s">
        <v>2942</v>
      </c>
      <c r="M761" s="76"/>
      <c r="N761" s="76">
        <v>20.8608493804932</v>
      </c>
      <c r="O761" s="76">
        <v>92.539390563964801</v>
      </c>
      <c r="P761" s="76"/>
      <c r="Q761" s="666"/>
      <c r="R761" s="939"/>
      <c r="S761" s="671"/>
      <c r="T761" s="690">
        <v>43591</v>
      </c>
      <c r="U761" s="939"/>
      <c r="V761" s="76"/>
      <c r="W761" s="931"/>
      <c r="X761" s="17"/>
      <c r="Z761" s="17"/>
    </row>
    <row r="762" spans="1:26" ht="14.25" customHeight="1">
      <c r="A762" s="932" t="s">
        <v>3013</v>
      </c>
      <c r="B762" s="695" t="s">
        <v>337</v>
      </c>
      <c r="C762" s="961" t="s">
        <v>3273</v>
      </c>
      <c r="D762" s="669"/>
      <c r="E762" s="76">
        <v>198424</v>
      </c>
      <c r="F762" s="666"/>
      <c r="G762" s="76"/>
      <c r="H762" s="76"/>
      <c r="I762" s="76"/>
      <c r="J762" s="76" t="s">
        <v>812</v>
      </c>
      <c r="K762" s="666" t="s">
        <v>812</v>
      </c>
      <c r="L762" s="666" t="s">
        <v>812</v>
      </c>
      <c r="M762" s="76"/>
      <c r="N762" s="76">
        <v>20.735639572143601</v>
      </c>
      <c r="O762" s="945">
        <v>92.638076782226605</v>
      </c>
      <c r="P762" s="76"/>
      <c r="Q762" s="76"/>
      <c r="R762" s="678"/>
      <c r="S762" s="671"/>
      <c r="T762" s="137"/>
      <c r="U762" s="939"/>
      <c r="V762" s="76"/>
      <c r="W762" s="931"/>
      <c r="X762" s="17"/>
      <c r="Z762" s="17"/>
    </row>
    <row r="763" spans="1:26" ht="14.25" customHeight="1">
      <c r="A763" s="666" t="s">
        <v>3013</v>
      </c>
      <c r="B763" s="689" t="s">
        <v>337</v>
      </c>
      <c r="C763" s="948" t="s">
        <v>685</v>
      </c>
      <c r="D763" s="760" t="s">
        <v>1693</v>
      </c>
      <c r="E763" s="76">
        <v>198184</v>
      </c>
      <c r="F763" s="934"/>
      <c r="G763" s="76"/>
      <c r="H763" s="76"/>
      <c r="I763" s="76"/>
      <c r="J763" s="76" t="s">
        <v>812</v>
      </c>
      <c r="K763" s="666" t="s">
        <v>812</v>
      </c>
      <c r="L763" s="666" t="s">
        <v>812</v>
      </c>
      <c r="M763" s="76" t="s">
        <v>809</v>
      </c>
      <c r="N763" s="666">
        <v>20.99110031</v>
      </c>
      <c r="O763" s="666">
        <v>92.493858340000003</v>
      </c>
      <c r="P763" s="666" t="s">
        <v>813</v>
      </c>
      <c r="Q763" s="76" t="s">
        <v>794</v>
      </c>
      <c r="R763" s="670"/>
      <c r="S763" s="671"/>
      <c r="T763" s="137"/>
      <c r="U763" s="133"/>
      <c r="V763" s="76" t="s">
        <v>685</v>
      </c>
      <c r="W763" s="666"/>
      <c r="X763" s="17"/>
      <c r="Z763" s="17"/>
    </row>
    <row r="764" spans="1:26" ht="14.25" customHeight="1">
      <c r="A764" s="666" t="s">
        <v>3013</v>
      </c>
      <c r="B764" s="689" t="s">
        <v>337</v>
      </c>
      <c r="C764" s="688" t="s">
        <v>593</v>
      </c>
      <c r="D764" s="760" t="s">
        <v>1693</v>
      </c>
      <c r="E764" s="922">
        <v>198425</v>
      </c>
      <c r="F764" s="934"/>
      <c r="G764" s="666"/>
      <c r="H764" s="666"/>
      <c r="I764" s="666"/>
      <c r="J764" s="76" t="s">
        <v>812</v>
      </c>
      <c r="K764" s="666" t="s">
        <v>812</v>
      </c>
      <c r="L764" s="666" t="s">
        <v>812</v>
      </c>
      <c r="M764" s="76" t="s">
        <v>809</v>
      </c>
      <c r="N764" s="76">
        <v>20.737430570000001</v>
      </c>
      <c r="O764" s="76">
        <v>92.634773249999995</v>
      </c>
      <c r="P764" s="76" t="s">
        <v>813</v>
      </c>
      <c r="Q764" s="76" t="s">
        <v>794</v>
      </c>
      <c r="R764" s="670"/>
      <c r="S764" s="671"/>
      <c r="T764" s="137"/>
      <c r="U764" s="133"/>
      <c r="V764" s="76" t="s">
        <v>593</v>
      </c>
      <c r="W764" s="76"/>
      <c r="X764" s="17"/>
      <c r="Z764" s="17"/>
    </row>
    <row r="765" spans="1:26" ht="14.25" customHeight="1">
      <c r="A765" s="666" t="s">
        <v>3013</v>
      </c>
      <c r="B765" s="949" t="s">
        <v>337</v>
      </c>
      <c r="C765" s="948" t="s">
        <v>537</v>
      </c>
      <c r="D765" s="760" t="s">
        <v>1693</v>
      </c>
      <c r="E765" s="76">
        <v>198450</v>
      </c>
      <c r="F765" s="76"/>
      <c r="G765" s="76"/>
      <c r="H765" s="76"/>
      <c r="I765" s="76"/>
      <c r="J765" s="76" t="s">
        <v>812</v>
      </c>
      <c r="K765" s="666" t="s">
        <v>812</v>
      </c>
      <c r="L765" s="666" t="s">
        <v>812</v>
      </c>
      <c r="M765" s="76" t="s">
        <v>809</v>
      </c>
      <c r="N765" s="666">
        <v>20.654249190000002</v>
      </c>
      <c r="O765" s="666">
        <v>92.619102479999995</v>
      </c>
      <c r="P765" s="76" t="s">
        <v>813</v>
      </c>
      <c r="Q765" s="76" t="s">
        <v>794</v>
      </c>
      <c r="R765" s="670"/>
      <c r="S765" s="671"/>
      <c r="T765" s="137"/>
      <c r="U765" s="133"/>
      <c r="V765" s="76" t="s">
        <v>935</v>
      </c>
      <c r="W765" s="76"/>
      <c r="X765" s="17"/>
      <c r="Z765" s="17"/>
    </row>
    <row r="766" spans="1:26" ht="14.25" customHeight="1">
      <c r="A766" s="922" t="s">
        <v>3013</v>
      </c>
      <c r="B766" s="949" t="s">
        <v>323</v>
      </c>
      <c r="C766" s="948" t="s">
        <v>2112</v>
      </c>
      <c r="D766" s="760"/>
      <c r="E766" s="922">
        <v>197857</v>
      </c>
      <c r="F766" s="922"/>
      <c r="G766" s="922"/>
      <c r="H766" s="922"/>
      <c r="I766" s="922"/>
      <c r="J766" s="922" t="s">
        <v>812</v>
      </c>
      <c r="K766" s="922" t="s">
        <v>812</v>
      </c>
      <c r="L766" s="922" t="s">
        <v>812</v>
      </c>
      <c r="M766" s="922" t="s">
        <v>697</v>
      </c>
      <c r="N766" s="922">
        <v>21.08677673</v>
      </c>
      <c r="O766" s="922">
        <v>92.337112430000005</v>
      </c>
      <c r="P766" s="922"/>
      <c r="Q766" s="922"/>
      <c r="R766" s="931"/>
      <c r="S766" s="932"/>
      <c r="T766" s="951">
        <v>43300</v>
      </c>
      <c r="U766" s="933"/>
      <c r="V766" s="922"/>
      <c r="W766" s="922"/>
      <c r="X766" s="17"/>
      <c r="Z766" s="17"/>
    </row>
    <row r="767" spans="1:26" ht="14.25" customHeight="1">
      <c r="A767" s="666" t="s">
        <v>3013</v>
      </c>
      <c r="B767" s="960" t="s">
        <v>323</v>
      </c>
      <c r="C767" s="802" t="s">
        <v>3099</v>
      </c>
      <c r="D767" s="929"/>
      <c r="E767" s="76">
        <v>197857</v>
      </c>
      <c r="F767" s="666"/>
      <c r="G767" s="76"/>
      <c r="H767" s="76"/>
      <c r="I767" s="76"/>
      <c r="J767" s="76" t="s">
        <v>812</v>
      </c>
      <c r="K767" s="666" t="s">
        <v>812</v>
      </c>
      <c r="L767" s="666" t="s">
        <v>812</v>
      </c>
      <c r="M767" s="76" t="s">
        <v>2149</v>
      </c>
      <c r="N767" s="76">
        <v>21.08677673</v>
      </c>
      <c r="O767" s="928">
        <v>92.337112430000005</v>
      </c>
      <c r="P767" s="76"/>
      <c r="Q767" s="76"/>
      <c r="R767" s="939"/>
      <c r="S767" s="132"/>
      <c r="T767" s="137">
        <v>43300</v>
      </c>
      <c r="U767" s="133"/>
      <c r="V767" s="76"/>
      <c r="W767" s="666"/>
      <c r="X767" s="17"/>
      <c r="Z767" s="17"/>
    </row>
    <row r="768" spans="1:26" ht="14.25" customHeight="1">
      <c r="A768" s="666" t="s">
        <v>3013</v>
      </c>
      <c r="B768" s="949" t="s">
        <v>323</v>
      </c>
      <c r="C768" s="948" t="s">
        <v>3098</v>
      </c>
      <c r="D768" s="760"/>
      <c r="E768" s="76">
        <v>197857</v>
      </c>
      <c r="F768" s="928"/>
      <c r="G768" s="76"/>
      <c r="H768" s="76"/>
      <c r="I768" s="76"/>
      <c r="J768" s="76" t="s">
        <v>812</v>
      </c>
      <c r="K768" s="666" t="s">
        <v>812</v>
      </c>
      <c r="L768" s="666" t="s">
        <v>812</v>
      </c>
      <c r="M768" s="76" t="s">
        <v>312</v>
      </c>
      <c r="N768" s="666">
        <v>21.08677673</v>
      </c>
      <c r="O768" s="666">
        <v>92.337112430000005</v>
      </c>
      <c r="P768" s="76"/>
      <c r="Q768" s="76"/>
      <c r="R768" s="931"/>
      <c r="S768" s="671"/>
      <c r="T768" s="137">
        <v>43300</v>
      </c>
      <c r="U768" s="133"/>
      <c r="V768" s="76"/>
      <c r="W768" s="666"/>
      <c r="X768" s="17"/>
      <c r="Z768" s="17"/>
    </row>
    <row r="769" spans="1:26" ht="14.25" customHeight="1">
      <c r="A769" s="922" t="s">
        <v>3013</v>
      </c>
      <c r="B769" s="949" t="s">
        <v>323</v>
      </c>
      <c r="C769" s="948" t="s">
        <v>2142</v>
      </c>
      <c r="D769" s="760"/>
      <c r="E769" s="928">
        <v>197920</v>
      </c>
      <c r="F769" s="928"/>
      <c r="G769" s="922"/>
      <c r="H769" s="922"/>
      <c r="I769" s="922"/>
      <c r="J769" s="922" t="s">
        <v>812</v>
      </c>
      <c r="K769" s="922" t="s">
        <v>812</v>
      </c>
      <c r="L769" s="922" t="s">
        <v>812</v>
      </c>
      <c r="M769" s="76" t="s">
        <v>809</v>
      </c>
      <c r="N769" s="76">
        <v>20.92394066</v>
      </c>
      <c r="O769" s="76">
        <v>92.322669980000001</v>
      </c>
      <c r="P769" s="76"/>
      <c r="Q769" s="922"/>
      <c r="R769" s="931"/>
      <c r="S769" s="932"/>
      <c r="T769" s="951">
        <v>43300</v>
      </c>
      <c r="U769" s="933"/>
      <c r="V769" s="666"/>
      <c r="W769" s="922"/>
      <c r="X769" s="17"/>
      <c r="Z769" s="17"/>
    </row>
    <row r="770" spans="1:26" ht="14.25" customHeight="1">
      <c r="A770" s="666" t="s">
        <v>3013</v>
      </c>
      <c r="B770" s="949" t="s">
        <v>323</v>
      </c>
      <c r="C770" s="948" t="s">
        <v>2113</v>
      </c>
      <c r="D770" s="760"/>
      <c r="E770" s="76">
        <v>197968</v>
      </c>
      <c r="F770" s="666"/>
      <c r="G770" s="76"/>
      <c r="H770" s="76"/>
      <c r="I770" s="76"/>
      <c r="J770" s="76" t="s">
        <v>812</v>
      </c>
      <c r="K770" s="666" t="s">
        <v>812</v>
      </c>
      <c r="L770" s="666" t="s">
        <v>812</v>
      </c>
      <c r="M770" s="76" t="s">
        <v>809</v>
      </c>
      <c r="N770" s="76">
        <v>20.878229139999998</v>
      </c>
      <c r="O770" s="76">
        <v>92.347267149999993</v>
      </c>
      <c r="P770" s="76"/>
      <c r="Q770" s="76"/>
      <c r="R770" s="931"/>
      <c r="S770" s="932"/>
      <c r="T770" s="137">
        <v>43300</v>
      </c>
      <c r="U770" s="133"/>
      <c r="V770" s="666"/>
      <c r="W770" s="666"/>
      <c r="X770" s="17"/>
      <c r="Z770" s="17"/>
    </row>
    <row r="771" spans="1:26" ht="14.25" customHeight="1">
      <c r="A771" s="775" t="s">
        <v>3013</v>
      </c>
      <c r="B771" s="799" t="s">
        <v>323</v>
      </c>
      <c r="C771" s="801" t="s">
        <v>3083</v>
      </c>
      <c r="D771" s="929"/>
      <c r="E771" s="777"/>
      <c r="F771" s="777"/>
      <c r="G771" s="777"/>
      <c r="H771" s="777"/>
      <c r="I771" s="777"/>
      <c r="J771" s="777" t="s">
        <v>3028</v>
      </c>
      <c r="K771" s="777" t="s">
        <v>2942</v>
      </c>
      <c r="L771" s="777" t="s">
        <v>2942</v>
      </c>
      <c r="M771" s="777"/>
      <c r="N771" s="777"/>
      <c r="O771" s="777"/>
      <c r="P771" s="777"/>
      <c r="Q771" s="777" t="s">
        <v>2947</v>
      </c>
      <c r="R771" s="778"/>
      <c r="S771" s="775"/>
      <c r="T771" s="779">
        <v>43580</v>
      </c>
      <c r="U771" s="780" t="s">
        <v>3071</v>
      </c>
      <c r="V771" s="781"/>
      <c r="W771" s="931"/>
      <c r="X771" s="17"/>
      <c r="Z771" s="17"/>
    </row>
    <row r="772" spans="1:26" ht="14.25" customHeight="1">
      <c r="A772" s="666" t="s">
        <v>3013</v>
      </c>
      <c r="B772" s="949" t="s">
        <v>323</v>
      </c>
      <c r="C772" s="948" t="s">
        <v>626</v>
      </c>
      <c r="D772" s="760" t="s">
        <v>1693</v>
      </c>
      <c r="E772" s="76">
        <v>197997</v>
      </c>
      <c r="F772" s="76"/>
      <c r="G772" s="76"/>
      <c r="H772" s="76"/>
      <c r="I772" s="76"/>
      <c r="J772" s="76" t="s">
        <v>812</v>
      </c>
      <c r="K772" s="666" t="s">
        <v>812</v>
      </c>
      <c r="L772" s="666" t="s">
        <v>812</v>
      </c>
      <c r="M772" s="76" t="s">
        <v>809</v>
      </c>
      <c r="N772" s="76">
        <v>20.803909300000001</v>
      </c>
      <c r="O772" s="666">
        <v>92.376831050000007</v>
      </c>
      <c r="P772" s="76" t="s">
        <v>813</v>
      </c>
      <c r="Q772" s="922" t="s">
        <v>794</v>
      </c>
      <c r="R772" s="931"/>
      <c r="S772" s="932"/>
      <c r="T772" s="951"/>
      <c r="U772" s="133"/>
      <c r="V772" s="76" t="s">
        <v>950</v>
      </c>
      <c r="W772" s="666"/>
      <c r="X772" s="17"/>
      <c r="Z772" s="17"/>
    </row>
    <row r="773" spans="1:26" ht="14.25" customHeight="1">
      <c r="A773" s="666" t="s">
        <v>3013</v>
      </c>
      <c r="B773" s="695" t="s">
        <v>323</v>
      </c>
      <c r="C773" s="696" t="s">
        <v>706</v>
      </c>
      <c r="D773" s="669" t="s">
        <v>1693</v>
      </c>
      <c r="E773" s="76">
        <v>197820</v>
      </c>
      <c r="F773" s="76"/>
      <c r="G773" s="76"/>
      <c r="H773" s="76"/>
      <c r="I773" s="76"/>
      <c r="J773" s="76" t="s">
        <v>812</v>
      </c>
      <c r="K773" s="666" t="s">
        <v>812</v>
      </c>
      <c r="L773" s="666" t="s">
        <v>812</v>
      </c>
      <c r="M773" s="76" t="s">
        <v>809</v>
      </c>
      <c r="N773" s="76">
        <v>21.26553917</v>
      </c>
      <c r="O773" s="666">
        <v>92.27140808</v>
      </c>
      <c r="P773" s="76" t="s">
        <v>813</v>
      </c>
      <c r="Q773" s="666" t="s">
        <v>794</v>
      </c>
      <c r="R773" s="939"/>
      <c r="S773" s="932"/>
      <c r="T773" s="690"/>
      <c r="U773" s="133"/>
      <c r="V773" s="666" t="s">
        <v>974</v>
      </c>
      <c r="W773" s="666"/>
      <c r="X773" s="17"/>
      <c r="Z773" s="17"/>
    </row>
    <row r="774" spans="1:26" ht="14.25" customHeight="1">
      <c r="A774" s="775" t="s">
        <v>3013</v>
      </c>
      <c r="B774" s="776" t="s">
        <v>323</v>
      </c>
      <c r="C774" s="801" t="s">
        <v>975</v>
      </c>
      <c r="D774" s="669" t="s">
        <v>1693</v>
      </c>
      <c r="E774" s="777">
        <v>197817</v>
      </c>
      <c r="F774" s="805" t="s">
        <v>3081</v>
      </c>
      <c r="G774" s="777"/>
      <c r="H774" s="777"/>
      <c r="I774" s="777"/>
      <c r="J774" s="777" t="s">
        <v>3028</v>
      </c>
      <c r="K774" s="777" t="s">
        <v>2942</v>
      </c>
      <c r="L774" s="777" t="s">
        <v>2942</v>
      </c>
      <c r="M774" s="76" t="s">
        <v>809</v>
      </c>
      <c r="N774" s="76">
        <v>21.2688694</v>
      </c>
      <c r="O774" s="666">
        <v>92.274917599999995</v>
      </c>
      <c r="P774" s="76" t="s">
        <v>813</v>
      </c>
      <c r="Q774" s="777" t="s">
        <v>2947</v>
      </c>
      <c r="R774" s="806"/>
      <c r="S774" s="803"/>
      <c r="T774" s="779">
        <v>43580</v>
      </c>
      <c r="U774" s="780" t="s">
        <v>3071</v>
      </c>
      <c r="V774" s="76" t="s">
        <v>974</v>
      </c>
      <c r="W774" s="931"/>
      <c r="X774" s="17"/>
      <c r="Z774" s="17"/>
    </row>
    <row r="775" spans="1:26" ht="14.25" customHeight="1">
      <c r="A775" s="666" t="s">
        <v>3013</v>
      </c>
      <c r="B775" s="695" t="s">
        <v>323</v>
      </c>
      <c r="C775" s="696" t="s">
        <v>324</v>
      </c>
      <c r="D775" s="669" t="s">
        <v>1693</v>
      </c>
      <c r="E775" s="76"/>
      <c r="F775" s="666"/>
      <c r="G775" s="76"/>
      <c r="H775" s="76"/>
      <c r="I775" s="76"/>
      <c r="J775" s="76" t="s">
        <v>812</v>
      </c>
      <c r="K775" s="76" t="s">
        <v>812</v>
      </c>
      <c r="L775" s="76" t="s">
        <v>812</v>
      </c>
      <c r="M775" s="76" t="s">
        <v>809</v>
      </c>
      <c r="N775" s="76"/>
      <c r="O775" s="666"/>
      <c r="P775" s="76" t="s">
        <v>813</v>
      </c>
      <c r="Q775" s="76" t="s">
        <v>794</v>
      </c>
      <c r="R775" s="679"/>
      <c r="S775" s="675"/>
      <c r="T775" s="137"/>
      <c r="U775" s="133"/>
      <c r="V775" s="76" t="s">
        <v>324</v>
      </c>
      <c r="W775" s="666"/>
      <c r="X775" s="17"/>
      <c r="Z775" s="17"/>
    </row>
    <row r="776" spans="1:26" ht="14.25" customHeight="1">
      <c r="A776" s="666" t="s">
        <v>3013</v>
      </c>
      <c r="B776" s="949" t="s">
        <v>323</v>
      </c>
      <c r="C776" s="948" t="s">
        <v>2823</v>
      </c>
      <c r="D776" s="760"/>
      <c r="E776" s="76">
        <v>197968</v>
      </c>
      <c r="F776" s="928" t="s">
        <v>2825</v>
      </c>
      <c r="G776" s="76"/>
      <c r="H776" s="76"/>
      <c r="I776" s="76"/>
      <c r="J776" s="76" t="s">
        <v>812</v>
      </c>
      <c r="K776" s="76" t="s">
        <v>812</v>
      </c>
      <c r="L776" s="76" t="s">
        <v>812</v>
      </c>
      <c r="M776" s="76" t="s">
        <v>809</v>
      </c>
      <c r="N776" s="76"/>
      <c r="O776" s="666"/>
      <c r="P776" s="76"/>
      <c r="Q776" s="76"/>
      <c r="R776" s="935"/>
      <c r="S776" s="675"/>
      <c r="T776" s="137"/>
      <c r="U776" s="133"/>
      <c r="V776" s="76"/>
      <c r="W776" s="666"/>
      <c r="X776" s="17"/>
      <c r="Z776" s="17"/>
    </row>
    <row r="777" spans="1:26" ht="14.25" customHeight="1">
      <c r="A777" s="922" t="s">
        <v>3013</v>
      </c>
      <c r="B777" s="960" t="s">
        <v>323</v>
      </c>
      <c r="C777" s="948" t="s">
        <v>623</v>
      </c>
      <c r="D777" s="669" t="s">
        <v>1693</v>
      </c>
      <c r="E777" s="922">
        <v>197995</v>
      </c>
      <c r="F777" s="922"/>
      <c r="G777" s="922"/>
      <c r="H777" s="922"/>
      <c r="I777" s="922"/>
      <c r="J777" s="76" t="s">
        <v>812</v>
      </c>
      <c r="K777" s="76" t="s">
        <v>812</v>
      </c>
      <c r="L777" s="76" t="s">
        <v>812</v>
      </c>
      <c r="M777" s="922" t="s">
        <v>809</v>
      </c>
      <c r="N777" s="922">
        <v>20.802850719999999</v>
      </c>
      <c r="O777" s="922">
        <v>92.392669679999997</v>
      </c>
      <c r="P777" s="922" t="s">
        <v>813</v>
      </c>
      <c r="Q777" s="928" t="s">
        <v>794</v>
      </c>
      <c r="R777" s="940"/>
      <c r="S777" s="936"/>
      <c r="T777" s="952"/>
      <c r="U777" s="933"/>
      <c r="V777" s="922" t="s">
        <v>949</v>
      </c>
      <c r="W777" s="922"/>
      <c r="X777" s="17"/>
      <c r="Z777" s="17"/>
    </row>
    <row r="778" spans="1:26" ht="14.25" customHeight="1">
      <c r="A778" s="666" t="s">
        <v>3013</v>
      </c>
      <c r="B778" s="960" t="s">
        <v>323</v>
      </c>
      <c r="C778" s="961" t="s">
        <v>624</v>
      </c>
      <c r="D778" s="929" t="s">
        <v>1693</v>
      </c>
      <c r="E778" s="76">
        <v>197995</v>
      </c>
      <c r="F778" s="666"/>
      <c r="G778" s="76"/>
      <c r="H778" s="76"/>
      <c r="I778" s="76"/>
      <c r="J778" s="76" t="s">
        <v>812</v>
      </c>
      <c r="K778" s="76" t="s">
        <v>812</v>
      </c>
      <c r="L778" s="76" t="s">
        <v>812</v>
      </c>
      <c r="M778" s="76" t="s">
        <v>809</v>
      </c>
      <c r="N778" s="76">
        <v>20.802850719999999</v>
      </c>
      <c r="O778" s="666">
        <v>92.392669679999997</v>
      </c>
      <c r="P778" s="76" t="s">
        <v>813</v>
      </c>
      <c r="Q778" s="76" t="s">
        <v>794</v>
      </c>
      <c r="R778" s="940"/>
      <c r="S778" s="675"/>
      <c r="T778" s="137"/>
      <c r="U778" s="133"/>
      <c r="V778" s="76" t="s">
        <v>949</v>
      </c>
      <c r="W778" s="666"/>
      <c r="X778" s="17"/>
      <c r="Z778" s="17"/>
    </row>
    <row r="779" spans="1:26" ht="14.25" customHeight="1">
      <c r="A779" s="666" t="s">
        <v>3013</v>
      </c>
      <c r="B779" s="695" t="s">
        <v>323</v>
      </c>
      <c r="C779" s="696" t="s">
        <v>2103</v>
      </c>
      <c r="D779" s="669"/>
      <c r="E779" s="76">
        <v>197939</v>
      </c>
      <c r="F779" s="666"/>
      <c r="G779" s="76"/>
      <c r="H779" s="76"/>
      <c r="I779" s="76"/>
      <c r="J779" s="76" t="s">
        <v>812</v>
      </c>
      <c r="K779" s="76" t="s">
        <v>812</v>
      </c>
      <c r="L779" s="76" t="s">
        <v>812</v>
      </c>
      <c r="M779" s="76" t="s">
        <v>312</v>
      </c>
      <c r="N779" s="76">
        <v>20.832990649999999</v>
      </c>
      <c r="O779" s="76">
        <v>92.353683469999993</v>
      </c>
      <c r="P779" s="76" t="s">
        <v>813</v>
      </c>
      <c r="Q779" s="76"/>
      <c r="R779" s="679"/>
      <c r="S779" s="675"/>
      <c r="T779" s="137">
        <v>43300</v>
      </c>
      <c r="U779" s="133"/>
      <c r="V779" s="76"/>
      <c r="W779" s="666"/>
      <c r="X779" s="17"/>
      <c r="Z779" s="17"/>
    </row>
    <row r="780" spans="1:26" ht="14.25" customHeight="1">
      <c r="A780" s="666" t="s">
        <v>3013</v>
      </c>
      <c r="B780" s="960" t="s">
        <v>323</v>
      </c>
      <c r="C780" s="961" t="s">
        <v>2158</v>
      </c>
      <c r="D780" s="929"/>
      <c r="E780" s="76">
        <v>220733</v>
      </c>
      <c r="F780" s="666"/>
      <c r="G780" s="76"/>
      <c r="H780" s="76"/>
      <c r="I780" s="76"/>
      <c r="J780" s="76" t="s">
        <v>812</v>
      </c>
      <c r="K780" s="76" t="s">
        <v>812</v>
      </c>
      <c r="L780" s="76" t="s">
        <v>812</v>
      </c>
      <c r="M780" s="76" t="s">
        <v>312</v>
      </c>
      <c r="N780" s="76">
        <v>20.931335449999999</v>
      </c>
      <c r="O780" s="76">
        <v>92.381462099999993</v>
      </c>
      <c r="P780" s="76"/>
      <c r="Q780" s="76"/>
      <c r="R780" s="940"/>
      <c r="S780" s="936"/>
      <c r="T780" s="137">
        <v>43300</v>
      </c>
      <c r="U780" s="133"/>
      <c r="V780" s="76"/>
      <c r="W780" s="666"/>
      <c r="X780" s="17"/>
      <c r="Z780" s="17"/>
    </row>
    <row r="781" spans="1:26" ht="14.25" customHeight="1">
      <c r="A781" s="666" t="s">
        <v>3013</v>
      </c>
      <c r="B781" s="960" t="s">
        <v>323</v>
      </c>
      <c r="C781" s="961" t="s">
        <v>2111</v>
      </c>
      <c r="D781" s="929"/>
      <c r="E781" s="922">
        <v>197862</v>
      </c>
      <c r="F781" s="922"/>
      <c r="G781" s="76"/>
      <c r="H781" s="76"/>
      <c r="I781" s="76"/>
      <c r="J781" s="76" t="s">
        <v>812</v>
      </c>
      <c r="K781" s="76" t="s">
        <v>812</v>
      </c>
      <c r="L781" s="76" t="s">
        <v>812</v>
      </c>
      <c r="M781" s="76" t="s">
        <v>312</v>
      </c>
      <c r="N781" s="76">
        <v>21.094310759999999</v>
      </c>
      <c r="O781" s="76">
        <v>92.335670469999997</v>
      </c>
      <c r="P781" s="76"/>
      <c r="Q781" s="76"/>
      <c r="R781" s="940"/>
      <c r="S781" s="675"/>
      <c r="T781" s="137">
        <v>43300</v>
      </c>
      <c r="U781" s="133"/>
      <c r="V781" s="666"/>
      <c r="W781" s="666"/>
      <c r="X781" s="17"/>
      <c r="Z781" s="17"/>
    </row>
    <row r="782" spans="1:26" ht="14.25" customHeight="1">
      <c r="A782" s="775" t="s">
        <v>3013</v>
      </c>
      <c r="B782" s="776" t="s">
        <v>323</v>
      </c>
      <c r="C782" s="801" t="s">
        <v>3078</v>
      </c>
      <c r="D782" s="929"/>
      <c r="E782" s="777">
        <v>197800</v>
      </c>
      <c r="F782" s="777" t="s">
        <v>3079</v>
      </c>
      <c r="G782" s="777"/>
      <c r="H782" s="777"/>
      <c r="I782" s="777"/>
      <c r="J782" s="666" t="s">
        <v>812</v>
      </c>
      <c r="K782" s="666" t="s">
        <v>812</v>
      </c>
      <c r="L782" s="666" t="s">
        <v>812</v>
      </c>
      <c r="M782" s="777"/>
      <c r="N782" s="777">
        <v>21.363349914550799</v>
      </c>
      <c r="O782" s="777">
        <v>92.280487060546903</v>
      </c>
      <c r="P782" s="777"/>
      <c r="Q782" s="777" t="s">
        <v>2947</v>
      </c>
      <c r="R782" s="806"/>
      <c r="S782" s="803"/>
      <c r="T782" s="779">
        <v>43580</v>
      </c>
      <c r="U782" s="780" t="s">
        <v>3071</v>
      </c>
      <c r="V782" s="781"/>
      <c r="W782" s="931"/>
      <c r="X782" s="17"/>
      <c r="Z782" s="17"/>
    </row>
    <row r="783" spans="1:26" ht="14.25" customHeight="1">
      <c r="A783" s="666" t="s">
        <v>3013</v>
      </c>
      <c r="B783" s="949" t="s">
        <v>323</v>
      </c>
      <c r="C783" s="948" t="s">
        <v>675</v>
      </c>
      <c r="D783" s="760" t="s">
        <v>1693</v>
      </c>
      <c r="E783" s="76">
        <v>220734</v>
      </c>
      <c r="F783" s="76" t="s">
        <v>2956</v>
      </c>
      <c r="G783" s="76"/>
      <c r="H783" s="76"/>
      <c r="I783" s="76"/>
      <c r="J783" s="76" t="s">
        <v>812</v>
      </c>
      <c r="K783" s="76" t="s">
        <v>812</v>
      </c>
      <c r="L783" s="76" t="s">
        <v>812</v>
      </c>
      <c r="M783" s="76" t="s">
        <v>312</v>
      </c>
      <c r="N783" s="76">
        <v>20.910375599999998</v>
      </c>
      <c r="O783" s="76">
        <v>92.400138850000005</v>
      </c>
      <c r="P783" s="76" t="s">
        <v>813</v>
      </c>
      <c r="Q783" s="76" t="s">
        <v>816</v>
      </c>
      <c r="R783" s="935"/>
      <c r="S783" s="675"/>
      <c r="T783" s="137">
        <v>42926</v>
      </c>
      <c r="U783" s="133" t="s">
        <v>817</v>
      </c>
      <c r="V783" s="666"/>
      <c r="W783" s="666"/>
      <c r="X783" s="17"/>
      <c r="Z783" s="17"/>
    </row>
    <row r="784" spans="1:26" ht="14.25" customHeight="1">
      <c r="A784" s="666" t="s">
        <v>3013</v>
      </c>
      <c r="B784" s="960" t="s">
        <v>323</v>
      </c>
      <c r="C784" s="961" t="s">
        <v>327</v>
      </c>
      <c r="D784" s="929" t="s">
        <v>1693</v>
      </c>
      <c r="E784" s="76"/>
      <c r="F784" s="76"/>
      <c r="G784" s="76"/>
      <c r="H784" s="76"/>
      <c r="I784" s="76"/>
      <c r="J784" s="76" t="s">
        <v>812</v>
      </c>
      <c r="K784" s="76" t="s">
        <v>812</v>
      </c>
      <c r="L784" s="76" t="s">
        <v>812</v>
      </c>
      <c r="M784" s="76" t="s">
        <v>312</v>
      </c>
      <c r="N784" s="922"/>
      <c r="O784" s="922"/>
      <c r="P784" s="76" t="s">
        <v>813</v>
      </c>
      <c r="Q784" s="76" t="s">
        <v>794</v>
      </c>
      <c r="R784" s="940"/>
      <c r="S784" s="675"/>
      <c r="T784" s="137"/>
      <c r="U784" s="133"/>
      <c r="V784" s="666" t="s">
        <v>327</v>
      </c>
      <c r="W784" s="666"/>
      <c r="X784" s="17"/>
      <c r="Z784" s="17"/>
    </row>
    <row r="785" spans="1:26" ht="14.25" customHeight="1">
      <c r="A785" s="666" t="s">
        <v>3013</v>
      </c>
      <c r="B785" s="689" t="s">
        <v>323</v>
      </c>
      <c r="C785" s="688" t="s">
        <v>329</v>
      </c>
      <c r="D785" s="760" t="s">
        <v>1693</v>
      </c>
      <c r="E785" s="76"/>
      <c r="F785" s="76"/>
      <c r="G785" s="76"/>
      <c r="H785" s="76"/>
      <c r="I785" s="76"/>
      <c r="J785" s="76" t="s">
        <v>812</v>
      </c>
      <c r="K785" s="76" t="s">
        <v>812</v>
      </c>
      <c r="L785" s="76" t="s">
        <v>812</v>
      </c>
      <c r="M785" s="76" t="s">
        <v>809</v>
      </c>
      <c r="N785" s="76"/>
      <c r="O785" s="76"/>
      <c r="P785" s="76" t="s">
        <v>813</v>
      </c>
      <c r="Q785" s="76" t="s">
        <v>794</v>
      </c>
      <c r="R785" s="931"/>
      <c r="S785" s="932"/>
      <c r="T785" s="137"/>
      <c r="U785" s="133"/>
      <c r="V785" s="666" t="s">
        <v>1105</v>
      </c>
      <c r="W785" s="666"/>
      <c r="X785" s="17"/>
      <c r="Z785" s="17"/>
    </row>
    <row r="786" spans="1:26" ht="14.25" customHeight="1">
      <c r="A786" s="666" t="s">
        <v>3013</v>
      </c>
      <c r="B786" s="689" t="s">
        <v>323</v>
      </c>
      <c r="C786" s="688" t="s">
        <v>2368</v>
      </c>
      <c r="D786" s="760"/>
      <c r="E786" s="973">
        <v>196937</v>
      </c>
      <c r="F786" s="928" t="s">
        <v>2956</v>
      </c>
      <c r="G786" s="76"/>
      <c r="H786" s="76"/>
      <c r="I786" s="76"/>
      <c r="J786" s="76" t="s">
        <v>812</v>
      </c>
      <c r="K786" s="76" t="s">
        <v>812</v>
      </c>
      <c r="L786" s="76" t="s">
        <v>812</v>
      </c>
      <c r="M786" s="76" t="s">
        <v>312</v>
      </c>
      <c r="N786" s="922">
        <v>20.646560668945298</v>
      </c>
      <c r="O786" s="922">
        <v>92.976043701171903</v>
      </c>
      <c r="P786" s="76"/>
      <c r="Q786" s="76"/>
      <c r="R786" s="674"/>
      <c r="S786" s="675"/>
      <c r="T786" s="137"/>
      <c r="U786" s="133"/>
      <c r="V786" s="666"/>
      <c r="W786" s="666"/>
      <c r="X786" s="17"/>
      <c r="Z786" s="17"/>
    </row>
    <row r="787" spans="1:26" ht="14.25" customHeight="1">
      <c r="A787" s="666" t="s">
        <v>3013</v>
      </c>
      <c r="B787" s="689" t="s">
        <v>323</v>
      </c>
      <c r="C787" s="688" t="s">
        <v>2108</v>
      </c>
      <c r="D787" s="760"/>
      <c r="E787" s="76">
        <v>197947</v>
      </c>
      <c r="F787" s="666" t="s">
        <v>2956</v>
      </c>
      <c r="G787" s="76"/>
      <c r="H787" s="76"/>
      <c r="I787" s="76"/>
      <c r="J787" s="76" t="s">
        <v>812</v>
      </c>
      <c r="K787" s="76" t="s">
        <v>812</v>
      </c>
      <c r="L787" s="76" t="s">
        <v>812</v>
      </c>
      <c r="M787" s="76" t="s">
        <v>312</v>
      </c>
      <c r="N787" s="76">
        <v>20.899179459999999</v>
      </c>
      <c r="O787" s="76">
        <v>92.404052730000004</v>
      </c>
      <c r="P787" s="76"/>
      <c r="Q787" s="76"/>
      <c r="R787" s="670"/>
      <c r="S787" s="132"/>
      <c r="T787" s="137">
        <v>43300</v>
      </c>
      <c r="U787" s="133"/>
      <c r="V787" s="76"/>
      <c r="W787" s="666"/>
      <c r="X787" s="17"/>
      <c r="Z787" s="17"/>
    </row>
    <row r="788" spans="1:26" ht="14.25" customHeight="1">
      <c r="A788" s="666" t="s">
        <v>3013</v>
      </c>
      <c r="B788" s="960" t="s">
        <v>323</v>
      </c>
      <c r="C788" s="961" t="s">
        <v>637</v>
      </c>
      <c r="D788" s="929" t="s">
        <v>1693</v>
      </c>
      <c r="E788" s="76" t="s">
        <v>1425</v>
      </c>
      <c r="F788" s="76"/>
      <c r="G788" s="76"/>
      <c r="H788" s="76" t="s">
        <v>43</v>
      </c>
      <c r="I788" s="76"/>
      <c r="J788" s="76" t="s">
        <v>812</v>
      </c>
      <c r="K788" s="76" t="s">
        <v>812</v>
      </c>
      <c r="L788" s="76" t="s">
        <v>1693</v>
      </c>
      <c r="M788" s="76" t="s">
        <v>809</v>
      </c>
      <c r="N788" s="76">
        <v>20.819958</v>
      </c>
      <c r="O788" s="76">
        <v>92.365793999999994</v>
      </c>
      <c r="P788" s="76" t="s">
        <v>775</v>
      </c>
      <c r="Q788" s="76" t="s">
        <v>794</v>
      </c>
      <c r="R788" s="940"/>
      <c r="S788" s="675"/>
      <c r="T788" s="137">
        <v>43248</v>
      </c>
      <c r="U788" s="133" t="s">
        <v>1943</v>
      </c>
      <c r="V788" s="76"/>
      <c r="W788" s="666"/>
      <c r="X788" s="17"/>
      <c r="Z788" s="17"/>
    </row>
    <row r="789" spans="1:26" ht="14.25" customHeight="1">
      <c r="A789" s="666" t="s">
        <v>3013</v>
      </c>
      <c r="B789" s="949" t="s">
        <v>323</v>
      </c>
      <c r="C789" s="948" t="s">
        <v>2138</v>
      </c>
      <c r="D789" s="760" t="s">
        <v>1693</v>
      </c>
      <c r="E789" s="76">
        <v>197896</v>
      </c>
      <c r="F789" s="76"/>
      <c r="G789" s="76"/>
      <c r="H789" s="666"/>
      <c r="I789" s="76"/>
      <c r="J789" s="76" t="s">
        <v>812</v>
      </c>
      <c r="K789" s="76" t="s">
        <v>812</v>
      </c>
      <c r="L789" s="76" t="s">
        <v>812</v>
      </c>
      <c r="M789" s="76" t="s">
        <v>312</v>
      </c>
      <c r="N789" s="943">
        <v>20.991559980000002</v>
      </c>
      <c r="O789" s="943">
        <v>92.290878300000003</v>
      </c>
      <c r="P789" s="76" t="s">
        <v>813</v>
      </c>
      <c r="Q789" s="666" t="s">
        <v>794</v>
      </c>
      <c r="R789" s="935"/>
      <c r="S789" s="675"/>
      <c r="T789" s="690"/>
      <c r="U789" s="133"/>
      <c r="V789" s="76" t="s">
        <v>686</v>
      </c>
      <c r="W789" s="666"/>
      <c r="X789" s="17"/>
      <c r="Z789" s="17"/>
    </row>
    <row r="790" spans="1:26" ht="14.25" customHeight="1">
      <c r="A790" s="666" t="s">
        <v>3013</v>
      </c>
      <c r="B790" s="949" t="s">
        <v>323</v>
      </c>
      <c r="C790" s="948" t="s">
        <v>2143</v>
      </c>
      <c r="D790" s="760"/>
      <c r="E790" s="666">
        <v>197921</v>
      </c>
      <c r="F790" s="666"/>
      <c r="G790" s="666"/>
      <c r="H790" s="666"/>
      <c r="I790" s="666"/>
      <c r="J790" s="76" t="s">
        <v>812</v>
      </c>
      <c r="K790" s="666" t="s">
        <v>812</v>
      </c>
      <c r="L790" s="666" t="s">
        <v>812</v>
      </c>
      <c r="M790" s="76" t="s">
        <v>809</v>
      </c>
      <c r="N790" s="76">
        <v>20.9467392</v>
      </c>
      <c r="O790" s="76">
        <v>92.330482480000001</v>
      </c>
      <c r="P790" s="76"/>
      <c r="Q790" s="76"/>
      <c r="R790" s="935"/>
      <c r="S790" s="675"/>
      <c r="T790" s="137">
        <v>43300</v>
      </c>
      <c r="U790" s="133"/>
      <c r="V790" s="76"/>
      <c r="W790" s="666"/>
      <c r="X790" s="17"/>
      <c r="Z790" s="17"/>
    </row>
    <row r="791" spans="1:26" ht="14.25" customHeight="1">
      <c r="A791" s="666" t="s">
        <v>3013</v>
      </c>
      <c r="B791" s="949" t="s">
        <v>323</v>
      </c>
      <c r="C791" s="948" t="s">
        <v>2115</v>
      </c>
      <c r="D791" s="760"/>
      <c r="E791" s="76">
        <v>197970</v>
      </c>
      <c r="F791" s="666"/>
      <c r="G791" s="76"/>
      <c r="H791" s="76"/>
      <c r="I791" s="76"/>
      <c r="J791" s="76" t="s">
        <v>812</v>
      </c>
      <c r="K791" s="76" t="s">
        <v>812</v>
      </c>
      <c r="L791" s="76" t="s">
        <v>812</v>
      </c>
      <c r="M791" s="76" t="s">
        <v>809</v>
      </c>
      <c r="N791" s="943">
        <v>20.86484909</v>
      </c>
      <c r="O791" s="943">
        <v>92.347358700000001</v>
      </c>
      <c r="P791" s="76"/>
      <c r="Q791" s="76"/>
      <c r="R791" s="935"/>
      <c r="S791" s="936"/>
      <c r="T791" s="137">
        <v>43300</v>
      </c>
      <c r="U791" s="133"/>
      <c r="V791" s="76"/>
      <c r="W791" s="666"/>
      <c r="X791" s="17"/>
      <c r="Z791" s="17"/>
    </row>
    <row r="792" spans="1:26" ht="14.25" customHeight="1">
      <c r="A792" s="666" t="s">
        <v>3013</v>
      </c>
      <c r="B792" s="689" t="s">
        <v>323</v>
      </c>
      <c r="C792" s="688" t="s">
        <v>583</v>
      </c>
      <c r="D792" s="760" t="s">
        <v>1693</v>
      </c>
      <c r="E792" s="76">
        <v>198046</v>
      </c>
      <c r="F792" s="76"/>
      <c r="G792" s="76"/>
      <c r="H792" s="76"/>
      <c r="I792" s="76"/>
      <c r="J792" s="76" t="s">
        <v>812</v>
      </c>
      <c r="K792" s="76" t="s">
        <v>812</v>
      </c>
      <c r="L792" s="76" t="s">
        <v>812</v>
      </c>
      <c r="M792" s="76" t="s">
        <v>809</v>
      </c>
      <c r="N792" s="76">
        <v>20.720169070000001</v>
      </c>
      <c r="O792" s="76">
        <v>92.432983399999998</v>
      </c>
      <c r="P792" s="76" t="s">
        <v>813</v>
      </c>
      <c r="Q792" s="76" t="s">
        <v>794</v>
      </c>
      <c r="R792" s="670"/>
      <c r="S792" s="671"/>
      <c r="T792" s="137"/>
      <c r="U792" s="133"/>
      <c r="V792" s="76" t="s">
        <v>583</v>
      </c>
      <c r="W792" s="666"/>
      <c r="X792" s="17"/>
      <c r="Z792" s="17"/>
    </row>
    <row r="793" spans="1:26" ht="14.25" customHeight="1">
      <c r="A793" s="666" t="s">
        <v>3013</v>
      </c>
      <c r="B793" s="689" t="s">
        <v>323</v>
      </c>
      <c r="C793" s="688" t="s">
        <v>333</v>
      </c>
      <c r="D793" s="760" t="s">
        <v>1693</v>
      </c>
      <c r="E793" s="76"/>
      <c r="F793" s="76"/>
      <c r="G793" s="76"/>
      <c r="H793" s="76"/>
      <c r="I793" s="76"/>
      <c r="J793" s="76" t="s">
        <v>812</v>
      </c>
      <c r="K793" s="76" t="s">
        <v>812</v>
      </c>
      <c r="L793" s="76" t="s">
        <v>812</v>
      </c>
      <c r="M793" s="76" t="s">
        <v>312</v>
      </c>
      <c r="N793" s="666"/>
      <c r="O793" s="666"/>
      <c r="P793" s="76" t="s">
        <v>813</v>
      </c>
      <c r="Q793" s="76" t="s">
        <v>794</v>
      </c>
      <c r="R793" s="935"/>
      <c r="S793" s="936"/>
      <c r="T793" s="137"/>
      <c r="U793" s="133"/>
      <c r="V793" s="76" t="s">
        <v>333</v>
      </c>
      <c r="W793" s="666"/>
      <c r="X793" s="17"/>
      <c r="Z793" s="17"/>
    </row>
    <row r="794" spans="1:26" ht="14.25" customHeight="1">
      <c r="A794" s="666" t="s">
        <v>3013</v>
      </c>
      <c r="B794" s="695" t="s">
        <v>323</v>
      </c>
      <c r="C794" s="696" t="s">
        <v>577</v>
      </c>
      <c r="D794" s="669" t="s">
        <v>1693</v>
      </c>
      <c r="E794" s="666" t="s">
        <v>1420</v>
      </c>
      <c r="F794" s="666"/>
      <c r="G794" s="666"/>
      <c r="H794" s="666" t="s">
        <v>43</v>
      </c>
      <c r="I794" s="666"/>
      <c r="J794" s="666" t="s">
        <v>812</v>
      </c>
      <c r="K794" s="666" t="s">
        <v>812</v>
      </c>
      <c r="L794" s="666" t="s">
        <v>1693</v>
      </c>
      <c r="M794" s="666" t="s">
        <v>809</v>
      </c>
      <c r="N794" s="666">
        <v>20.714846999999999</v>
      </c>
      <c r="O794" s="666">
        <v>92.443427999999997</v>
      </c>
      <c r="P794" s="666" t="s">
        <v>775</v>
      </c>
      <c r="Q794" s="666" t="s">
        <v>794</v>
      </c>
      <c r="R794" s="940"/>
      <c r="S794" s="936"/>
      <c r="T794" s="690">
        <v>43248</v>
      </c>
      <c r="U794" s="672" t="s">
        <v>1943</v>
      </c>
      <c r="V794" s="666"/>
      <c r="W794" s="666"/>
      <c r="X794" s="17"/>
      <c r="Z794" s="17"/>
    </row>
    <row r="795" spans="1:26" ht="14.25" customHeight="1">
      <c r="A795" s="666" t="s">
        <v>3013</v>
      </c>
      <c r="B795" s="695" t="s">
        <v>323</v>
      </c>
      <c r="C795" s="696" t="s">
        <v>335</v>
      </c>
      <c r="D795" s="669" t="s">
        <v>1693</v>
      </c>
      <c r="E795" s="922"/>
      <c r="F795" s="76"/>
      <c r="G795" s="76"/>
      <c r="H795" s="76"/>
      <c r="I795" s="76"/>
      <c r="J795" s="76" t="s">
        <v>812</v>
      </c>
      <c r="K795" s="666" t="s">
        <v>812</v>
      </c>
      <c r="L795" s="666" t="s">
        <v>812</v>
      </c>
      <c r="M795" s="76" t="s">
        <v>809</v>
      </c>
      <c r="N795" s="76"/>
      <c r="O795" s="76"/>
      <c r="P795" s="76" t="s">
        <v>813</v>
      </c>
      <c r="Q795" s="76" t="s">
        <v>794</v>
      </c>
      <c r="R795" s="940"/>
      <c r="S795" s="936"/>
      <c r="T795" s="951"/>
      <c r="U795" s="133"/>
      <c r="V795" s="76" t="s">
        <v>335</v>
      </c>
      <c r="W795" s="666"/>
      <c r="X795" s="17"/>
      <c r="Z795" s="17"/>
    </row>
    <row r="796" spans="1:26" ht="14.25" customHeight="1">
      <c r="A796" s="666" t="s">
        <v>3013</v>
      </c>
      <c r="B796" s="695" t="s">
        <v>323</v>
      </c>
      <c r="C796" s="696" t="s">
        <v>2155</v>
      </c>
      <c r="D796" s="669"/>
      <c r="E796" s="666">
        <v>197934</v>
      </c>
      <c r="F796" s="666"/>
      <c r="G796" s="666"/>
      <c r="H796" s="666"/>
      <c r="I796" s="666"/>
      <c r="J796" s="76" t="s">
        <v>812</v>
      </c>
      <c r="K796" s="666" t="s">
        <v>812</v>
      </c>
      <c r="L796" s="666" t="s">
        <v>812</v>
      </c>
      <c r="M796" s="666" t="s">
        <v>809</v>
      </c>
      <c r="N796" s="666">
        <v>20.857500080000001</v>
      </c>
      <c r="O796" s="666">
        <v>92.357841489999998</v>
      </c>
      <c r="P796" s="76"/>
      <c r="Q796" s="666"/>
      <c r="R796" s="678"/>
      <c r="S796" s="671"/>
      <c r="T796" s="690">
        <v>43300</v>
      </c>
      <c r="U796" s="672"/>
      <c r="V796" s="666"/>
      <c r="W796" s="666"/>
      <c r="X796" s="17"/>
      <c r="Z796" s="17"/>
    </row>
    <row r="797" spans="1:26" ht="14.25" customHeight="1">
      <c r="A797" s="666" t="s">
        <v>3013</v>
      </c>
      <c r="B797" s="689" t="s">
        <v>323</v>
      </c>
      <c r="C797" s="688" t="s">
        <v>665</v>
      </c>
      <c r="D797" s="760"/>
      <c r="E797" s="76">
        <v>197941</v>
      </c>
      <c r="F797" s="76"/>
      <c r="G797" s="76"/>
      <c r="H797" s="76"/>
      <c r="I797" s="76"/>
      <c r="J797" s="76" t="s">
        <v>812</v>
      </c>
      <c r="K797" s="666" t="s">
        <v>812</v>
      </c>
      <c r="L797" s="666" t="s">
        <v>812</v>
      </c>
      <c r="M797" s="76" t="s">
        <v>809</v>
      </c>
      <c r="N797" s="76">
        <v>20.83185005</v>
      </c>
      <c r="O797" s="666">
        <v>92.359428410000007</v>
      </c>
      <c r="P797" s="76"/>
      <c r="Q797" s="76"/>
      <c r="R797" s="670"/>
      <c r="S797" s="132"/>
      <c r="T797" s="137">
        <v>43300</v>
      </c>
      <c r="U797" s="133"/>
      <c r="V797" s="76"/>
      <c r="W797" s="666"/>
      <c r="X797" s="17"/>
      <c r="Z797" s="17"/>
    </row>
    <row r="798" spans="1:26" ht="14.25" customHeight="1">
      <c r="A798" s="666" t="s">
        <v>3013</v>
      </c>
      <c r="B798" s="949" t="s">
        <v>323</v>
      </c>
      <c r="C798" s="948" t="s">
        <v>2132</v>
      </c>
      <c r="D798" s="760"/>
      <c r="E798" s="666">
        <v>197872</v>
      </c>
      <c r="F798" s="666"/>
      <c r="G798" s="666"/>
      <c r="H798" s="666"/>
      <c r="I798" s="666"/>
      <c r="J798" s="666" t="s">
        <v>812</v>
      </c>
      <c r="K798" s="666" t="s">
        <v>812</v>
      </c>
      <c r="L798" s="666" t="s">
        <v>812</v>
      </c>
      <c r="M798" s="666" t="s">
        <v>2151</v>
      </c>
      <c r="N798" s="666">
        <v>21.07212067</v>
      </c>
      <c r="O798" s="666">
        <v>92.314163210000004</v>
      </c>
      <c r="P798" s="666"/>
      <c r="Q798" s="666"/>
      <c r="R798" s="931"/>
      <c r="S798" s="671"/>
      <c r="T798" s="690">
        <v>43300</v>
      </c>
      <c r="U798" s="672"/>
      <c r="V798" s="666"/>
      <c r="W798" s="666"/>
      <c r="X798" s="17"/>
      <c r="Z798" s="17"/>
    </row>
    <row r="799" spans="1:26" ht="14.25" customHeight="1">
      <c r="A799" s="666" t="s">
        <v>3013</v>
      </c>
      <c r="B799" s="960" t="s">
        <v>323</v>
      </c>
      <c r="C799" s="961" t="s">
        <v>576</v>
      </c>
      <c r="D799" s="929" t="s">
        <v>1693</v>
      </c>
      <c r="E799" s="76">
        <v>198049</v>
      </c>
      <c r="F799" s="76"/>
      <c r="G799" s="76"/>
      <c r="H799" s="76"/>
      <c r="I799" s="76"/>
      <c r="J799" s="76" t="s">
        <v>812</v>
      </c>
      <c r="K799" s="76" t="s">
        <v>812</v>
      </c>
      <c r="L799" s="76" t="s">
        <v>812</v>
      </c>
      <c r="M799" s="76" t="s">
        <v>809</v>
      </c>
      <c r="N799" s="76">
        <v>20.714559560000001</v>
      </c>
      <c r="O799" s="76">
        <v>92.435226439999994</v>
      </c>
      <c r="P799" s="76" t="s">
        <v>813</v>
      </c>
      <c r="Q799" s="76" t="s">
        <v>794</v>
      </c>
      <c r="R799" s="939"/>
      <c r="S799" s="671"/>
      <c r="T799" s="137"/>
      <c r="U799" s="133"/>
      <c r="V799" s="76" t="s">
        <v>576</v>
      </c>
      <c r="W799" s="666"/>
      <c r="X799" s="17"/>
      <c r="Z799" s="17"/>
    </row>
    <row r="800" spans="1:26" ht="14.25" customHeight="1">
      <c r="A800" s="666" t="s">
        <v>3013</v>
      </c>
      <c r="B800" s="695" t="s">
        <v>323</v>
      </c>
      <c r="C800" s="696" t="s">
        <v>697</v>
      </c>
      <c r="D800" s="669" t="s">
        <v>1693</v>
      </c>
      <c r="E800" s="240">
        <v>220731</v>
      </c>
      <c r="F800" s="666"/>
      <c r="G800" s="666"/>
      <c r="H800" s="666"/>
      <c r="I800" s="666"/>
      <c r="J800" s="76" t="s">
        <v>812</v>
      </c>
      <c r="K800" s="76" t="s">
        <v>812</v>
      </c>
      <c r="L800" s="76" t="s">
        <v>812</v>
      </c>
      <c r="M800" s="666" t="s">
        <v>697</v>
      </c>
      <c r="N800" s="666">
        <v>21.027990339999999</v>
      </c>
      <c r="O800" s="666">
        <v>92.298881530000003</v>
      </c>
      <c r="P800" s="76" t="s">
        <v>813</v>
      </c>
      <c r="Q800" s="666" t="s">
        <v>794</v>
      </c>
      <c r="R800" s="678"/>
      <c r="S800" s="671"/>
      <c r="T800" s="242">
        <v>43300</v>
      </c>
      <c r="U800" s="672"/>
      <c r="V800" s="666" t="s">
        <v>697</v>
      </c>
      <c r="W800" s="666"/>
      <c r="X800" s="17"/>
      <c r="Z800" s="17"/>
    </row>
    <row r="801" spans="1:26" ht="14.25" customHeight="1">
      <c r="A801" s="666" t="s">
        <v>3013</v>
      </c>
      <c r="B801" s="960" t="s">
        <v>323</v>
      </c>
      <c r="C801" s="961" t="s">
        <v>575</v>
      </c>
      <c r="D801" s="929" t="s">
        <v>1693</v>
      </c>
      <c r="E801" s="76" t="s">
        <v>1419</v>
      </c>
      <c r="F801" s="666"/>
      <c r="G801" s="76"/>
      <c r="H801" s="666" t="s">
        <v>43</v>
      </c>
      <c r="I801" s="76"/>
      <c r="J801" s="76" t="s">
        <v>812</v>
      </c>
      <c r="K801" s="666" t="s">
        <v>812</v>
      </c>
      <c r="L801" s="666" t="s">
        <v>1693</v>
      </c>
      <c r="M801" s="76" t="s">
        <v>809</v>
      </c>
      <c r="N801" s="76">
        <v>20.713882999999999</v>
      </c>
      <c r="O801" s="666">
        <v>92.435378</v>
      </c>
      <c r="P801" s="76" t="s">
        <v>775</v>
      </c>
      <c r="Q801" s="666" t="s">
        <v>794</v>
      </c>
      <c r="R801" s="939"/>
      <c r="S801" s="671"/>
      <c r="T801" s="690">
        <v>43248</v>
      </c>
      <c r="U801" s="672" t="s">
        <v>1943</v>
      </c>
      <c r="V801" s="76"/>
      <c r="W801" s="666"/>
      <c r="X801" s="17"/>
      <c r="Z801" s="17"/>
    </row>
    <row r="802" spans="1:26" ht="14.25" customHeight="1">
      <c r="A802" s="666" t="s">
        <v>3013</v>
      </c>
      <c r="B802" s="689" t="s">
        <v>323</v>
      </c>
      <c r="C802" s="688" t="s">
        <v>683</v>
      </c>
      <c r="D802" s="760" t="s">
        <v>1693</v>
      </c>
      <c r="E802" s="76">
        <v>197913</v>
      </c>
      <c r="F802" s="76"/>
      <c r="G802" s="76"/>
      <c r="H802" s="76"/>
      <c r="I802" s="76"/>
      <c r="J802" s="76" t="s">
        <v>812</v>
      </c>
      <c r="K802" s="76" t="s">
        <v>812</v>
      </c>
      <c r="L802" s="76" t="s">
        <v>812</v>
      </c>
      <c r="M802" s="76" t="s">
        <v>312</v>
      </c>
      <c r="N802" s="76">
        <v>20.987419129999999</v>
      </c>
      <c r="O802" s="76">
        <v>92.362136840000005</v>
      </c>
      <c r="P802" s="76" t="s">
        <v>813</v>
      </c>
      <c r="Q802" s="76" t="s">
        <v>816</v>
      </c>
      <c r="R802" s="670"/>
      <c r="S802" s="671"/>
      <c r="T802" s="137">
        <v>42926</v>
      </c>
      <c r="U802" s="133" t="s">
        <v>817</v>
      </c>
      <c r="V802" s="76"/>
      <c r="W802" s="666"/>
      <c r="X802" s="17"/>
      <c r="Z802" s="17"/>
    </row>
    <row r="803" spans="1:26" ht="14.25" customHeight="1">
      <c r="A803" s="666" t="s">
        <v>3013</v>
      </c>
      <c r="B803" s="960" t="s">
        <v>323</v>
      </c>
      <c r="C803" s="961" t="s">
        <v>684</v>
      </c>
      <c r="D803" s="929" t="s">
        <v>1693</v>
      </c>
      <c r="E803" s="666">
        <v>197913</v>
      </c>
      <c r="F803" s="666"/>
      <c r="G803" s="666"/>
      <c r="H803" s="666"/>
      <c r="I803" s="666"/>
      <c r="J803" s="666" t="s">
        <v>812</v>
      </c>
      <c r="K803" s="666" t="s">
        <v>812</v>
      </c>
      <c r="L803" s="666" t="s">
        <v>812</v>
      </c>
      <c r="M803" s="666" t="s">
        <v>809</v>
      </c>
      <c r="N803" s="666">
        <v>20.987419129999999</v>
      </c>
      <c r="O803" s="666">
        <v>92.362136840000005</v>
      </c>
      <c r="P803" s="666" t="s">
        <v>813</v>
      </c>
      <c r="Q803" s="666" t="s">
        <v>794</v>
      </c>
      <c r="R803" s="939"/>
      <c r="S803" s="671"/>
      <c r="T803" s="690">
        <v>42745</v>
      </c>
      <c r="U803" s="672"/>
      <c r="V803" s="666" t="s">
        <v>966</v>
      </c>
      <c r="W803" s="666"/>
      <c r="X803" s="17"/>
      <c r="Z803" s="17"/>
    </row>
    <row r="804" spans="1:26" ht="14.25" customHeight="1">
      <c r="A804" s="666" t="s">
        <v>3013</v>
      </c>
      <c r="B804" s="689" t="s">
        <v>323</v>
      </c>
      <c r="C804" s="688" t="s">
        <v>2159</v>
      </c>
      <c r="D804" s="760"/>
      <c r="E804" s="76">
        <v>197913</v>
      </c>
      <c r="F804" s="666"/>
      <c r="G804" s="76"/>
      <c r="H804" s="76"/>
      <c r="I804" s="76"/>
      <c r="J804" s="76" t="s">
        <v>812</v>
      </c>
      <c r="K804" s="666" t="s">
        <v>812</v>
      </c>
      <c r="L804" s="666" t="s">
        <v>812</v>
      </c>
      <c r="M804" s="76" t="s">
        <v>312</v>
      </c>
      <c r="N804" s="76">
        <v>20.987419129999999</v>
      </c>
      <c r="O804" s="76">
        <v>92.362136840000005</v>
      </c>
      <c r="P804" s="76"/>
      <c r="Q804" s="76"/>
      <c r="R804" s="670"/>
      <c r="S804" s="671"/>
      <c r="T804" s="137">
        <v>43300</v>
      </c>
      <c r="U804" s="133"/>
      <c r="V804" s="76"/>
      <c r="W804" s="666"/>
      <c r="X804" s="17"/>
      <c r="Z804" s="17"/>
    </row>
    <row r="805" spans="1:26" ht="14.25" customHeight="1">
      <c r="A805" s="666" t="s">
        <v>3013</v>
      </c>
      <c r="B805" s="695" t="s">
        <v>323</v>
      </c>
      <c r="C805" s="696" t="s">
        <v>2146</v>
      </c>
      <c r="D805" s="669"/>
      <c r="E805" s="666">
        <v>198084</v>
      </c>
      <c r="F805" s="76"/>
      <c r="G805" s="76"/>
      <c r="H805" s="76"/>
      <c r="I805" s="666"/>
      <c r="J805" s="76" t="s">
        <v>812</v>
      </c>
      <c r="K805" s="76" t="s">
        <v>812</v>
      </c>
      <c r="L805" s="666" t="s">
        <v>812</v>
      </c>
      <c r="M805" s="76" t="s">
        <v>312</v>
      </c>
      <c r="N805" s="76">
        <v>20.51251984</v>
      </c>
      <c r="O805" s="76">
        <v>92.582893369999994</v>
      </c>
      <c r="P805" s="76"/>
      <c r="Q805" s="76"/>
      <c r="R805" s="678"/>
      <c r="S805" s="671"/>
      <c r="T805" s="137">
        <v>43300</v>
      </c>
      <c r="U805" s="133"/>
      <c r="V805" s="76"/>
      <c r="W805" s="666"/>
      <c r="X805" s="17"/>
      <c r="Z805" s="17"/>
    </row>
    <row r="806" spans="1:26" ht="14.25" customHeight="1">
      <c r="A806" s="666" t="s">
        <v>3013</v>
      </c>
      <c r="B806" s="689" t="s">
        <v>323</v>
      </c>
      <c r="C806" s="688" t="s">
        <v>2174</v>
      </c>
      <c r="D806" s="760"/>
      <c r="E806" s="666"/>
      <c r="F806" s="666"/>
      <c r="G806" s="666"/>
      <c r="H806" s="666"/>
      <c r="I806" s="666"/>
      <c r="J806" s="666" t="s">
        <v>812</v>
      </c>
      <c r="K806" s="666" t="s">
        <v>812</v>
      </c>
      <c r="L806" s="666" t="s">
        <v>812</v>
      </c>
      <c r="M806" s="666" t="s">
        <v>312</v>
      </c>
      <c r="N806" s="666"/>
      <c r="O806" s="666"/>
      <c r="P806" s="666"/>
      <c r="Q806" s="666"/>
      <c r="R806" s="670"/>
      <c r="S806" s="671"/>
      <c r="T806" s="690">
        <v>43300</v>
      </c>
      <c r="U806" s="672"/>
      <c r="V806" s="666"/>
      <c r="W806" s="666"/>
      <c r="X806" s="17"/>
      <c r="Z806" s="17"/>
    </row>
    <row r="807" spans="1:26" ht="14.25" customHeight="1">
      <c r="A807" s="666" t="s">
        <v>3013</v>
      </c>
      <c r="B807" s="949" t="s">
        <v>323</v>
      </c>
      <c r="C807" s="948" t="s">
        <v>1946</v>
      </c>
      <c r="D807" s="760"/>
      <c r="E807" s="76">
        <v>197969</v>
      </c>
      <c r="F807" s="666" t="s">
        <v>2825</v>
      </c>
      <c r="G807" s="76"/>
      <c r="H807" s="76"/>
      <c r="I807" s="76"/>
      <c r="J807" s="76" t="s">
        <v>812</v>
      </c>
      <c r="K807" s="76" t="s">
        <v>812</v>
      </c>
      <c r="L807" s="76" t="s">
        <v>812</v>
      </c>
      <c r="M807" s="76" t="s">
        <v>809</v>
      </c>
      <c r="N807" s="76">
        <v>20.866529459999999</v>
      </c>
      <c r="O807" s="76">
        <v>92.364883419999998</v>
      </c>
      <c r="P807" s="76" t="s">
        <v>813</v>
      </c>
      <c r="Q807" s="76" t="s">
        <v>1950</v>
      </c>
      <c r="R807" s="931"/>
      <c r="S807" s="671"/>
      <c r="T807" s="137">
        <v>43245</v>
      </c>
      <c r="U807" s="133"/>
      <c r="V807" s="76"/>
      <c r="W807" s="666"/>
      <c r="X807" s="17"/>
      <c r="Z807" s="17"/>
    </row>
    <row r="808" spans="1:26" ht="14.25" customHeight="1">
      <c r="A808" s="666" t="s">
        <v>3013</v>
      </c>
      <c r="B808" s="949" t="s">
        <v>323</v>
      </c>
      <c r="C808" s="948" t="s">
        <v>2157</v>
      </c>
      <c r="D808" s="760"/>
      <c r="E808" s="666">
        <v>197936</v>
      </c>
      <c r="F808" s="76"/>
      <c r="G808" s="76"/>
      <c r="H808" s="76"/>
      <c r="I808" s="666"/>
      <c r="J808" s="76" t="s">
        <v>812</v>
      </c>
      <c r="K808" s="76" t="s">
        <v>812</v>
      </c>
      <c r="L808" s="666" t="s">
        <v>812</v>
      </c>
      <c r="M808" s="76" t="s">
        <v>312</v>
      </c>
      <c r="N808" s="76">
        <v>20.84993935</v>
      </c>
      <c r="O808" s="76">
        <v>92.348213200000004</v>
      </c>
      <c r="P808" s="76"/>
      <c r="Q808" s="76"/>
      <c r="R808" s="931"/>
      <c r="S808" s="671"/>
      <c r="T808" s="137">
        <v>43300</v>
      </c>
      <c r="U808" s="133"/>
      <c r="V808" s="76"/>
      <c r="W808" s="666"/>
      <c r="X808" s="17"/>
      <c r="Z808" s="17"/>
    </row>
    <row r="809" spans="1:26" ht="14.25" customHeight="1">
      <c r="A809" s="666" t="s">
        <v>3013</v>
      </c>
      <c r="B809" s="949" t="s">
        <v>323</v>
      </c>
      <c r="C809" s="688" t="s">
        <v>2121</v>
      </c>
      <c r="D809" s="760"/>
      <c r="E809" s="666">
        <v>197986</v>
      </c>
      <c r="F809" s="666"/>
      <c r="G809" s="666"/>
      <c r="H809" s="666"/>
      <c r="I809" s="666"/>
      <c r="J809" s="666" t="s">
        <v>812</v>
      </c>
      <c r="K809" s="666" t="s">
        <v>812</v>
      </c>
      <c r="L809" s="666" t="s">
        <v>812</v>
      </c>
      <c r="M809" s="666" t="s">
        <v>809</v>
      </c>
      <c r="N809" s="666">
        <v>20.819730759999999</v>
      </c>
      <c r="O809" s="666">
        <v>92.376846310000005</v>
      </c>
      <c r="P809" s="666"/>
      <c r="Q809" s="922"/>
      <c r="R809" s="931"/>
      <c r="S809" s="671"/>
      <c r="T809" s="951">
        <v>43300</v>
      </c>
      <c r="U809" s="672"/>
      <c r="V809" s="666"/>
      <c r="W809" s="666"/>
      <c r="X809" s="17"/>
      <c r="Z809" s="17"/>
    </row>
    <row r="810" spans="1:26" ht="14.25" customHeight="1">
      <c r="A810" s="666" t="s">
        <v>3013</v>
      </c>
      <c r="B810" s="695" t="s">
        <v>323</v>
      </c>
      <c r="C810" s="696" t="s">
        <v>385</v>
      </c>
      <c r="D810" s="669"/>
      <c r="E810" s="76">
        <v>197967</v>
      </c>
      <c r="F810" s="76"/>
      <c r="G810" s="76"/>
      <c r="H810" s="76"/>
      <c r="I810" s="76"/>
      <c r="J810" s="76" t="s">
        <v>812</v>
      </c>
      <c r="K810" s="76" t="s">
        <v>812</v>
      </c>
      <c r="L810" s="76" t="s">
        <v>812</v>
      </c>
      <c r="M810" s="76" t="s">
        <v>809</v>
      </c>
      <c r="N810" s="76">
        <v>20.872419359999999</v>
      </c>
      <c r="O810" s="76">
        <v>92.352493289999998</v>
      </c>
      <c r="P810" s="76"/>
      <c r="Q810" s="76"/>
      <c r="R810" s="678"/>
      <c r="S810" s="671"/>
      <c r="T810" s="137">
        <v>43300</v>
      </c>
      <c r="U810" s="133"/>
      <c r="V810" s="76"/>
      <c r="W810" s="666"/>
      <c r="X810" s="17"/>
      <c r="Z810" s="17"/>
    </row>
    <row r="811" spans="1:26" ht="14.25" customHeight="1">
      <c r="A811" s="666" t="s">
        <v>3013</v>
      </c>
      <c r="B811" s="949" t="s">
        <v>323</v>
      </c>
      <c r="C811" s="948" t="s">
        <v>2824</v>
      </c>
      <c r="D811" s="760"/>
      <c r="E811" s="76"/>
      <c r="F811" s="76"/>
      <c r="G811" s="76"/>
      <c r="H811" s="76"/>
      <c r="I811" s="76"/>
      <c r="J811" s="76" t="s">
        <v>812</v>
      </c>
      <c r="K811" s="76" t="s">
        <v>812</v>
      </c>
      <c r="L811" s="76" t="s">
        <v>812</v>
      </c>
      <c r="M811" s="76" t="s">
        <v>809</v>
      </c>
      <c r="N811" s="76"/>
      <c r="O811" s="76"/>
      <c r="P811" s="76"/>
      <c r="Q811" s="76"/>
      <c r="R811" s="931"/>
      <c r="S811" s="671"/>
      <c r="T811" s="137"/>
      <c r="U811" s="133"/>
      <c r="V811" s="76"/>
      <c r="W811" s="666"/>
      <c r="X811" s="17"/>
      <c r="Z811" s="17"/>
    </row>
    <row r="812" spans="1:26" ht="14.25" customHeight="1">
      <c r="A812" s="666" t="s">
        <v>3013</v>
      </c>
      <c r="B812" s="960" t="s">
        <v>323</v>
      </c>
      <c r="C812" s="961" t="s">
        <v>2156</v>
      </c>
      <c r="D812" s="669"/>
      <c r="E812" s="76">
        <v>197935</v>
      </c>
      <c r="F812" s="76"/>
      <c r="G812" s="76"/>
      <c r="H812" s="76"/>
      <c r="I812" s="76"/>
      <c r="J812" s="76" t="s">
        <v>812</v>
      </c>
      <c r="K812" s="922" t="s">
        <v>812</v>
      </c>
      <c r="L812" s="922" t="s">
        <v>812</v>
      </c>
      <c r="M812" s="76" t="s">
        <v>809</v>
      </c>
      <c r="N812" s="76">
        <v>20.85008049</v>
      </c>
      <c r="O812" s="76">
        <v>92.353576660000002</v>
      </c>
      <c r="P812" s="76"/>
      <c r="Q812" s="76"/>
      <c r="R812" s="939"/>
      <c r="S812" s="671"/>
      <c r="T812" s="137">
        <v>43300</v>
      </c>
      <c r="U812" s="133"/>
      <c r="V812" s="76"/>
      <c r="W812" s="666"/>
      <c r="X812" s="17"/>
      <c r="Z812" s="17"/>
    </row>
    <row r="813" spans="1:26" ht="14.25" customHeight="1">
      <c r="A813" s="666" t="s">
        <v>3013</v>
      </c>
      <c r="B813" s="960" t="s">
        <v>323</v>
      </c>
      <c r="C813" s="961" t="s">
        <v>647</v>
      </c>
      <c r="D813" s="929" t="s">
        <v>1693</v>
      </c>
      <c r="E813" s="76">
        <v>197992</v>
      </c>
      <c r="F813" s="666"/>
      <c r="G813" s="76"/>
      <c r="H813" s="76"/>
      <c r="I813" s="76"/>
      <c r="J813" s="76" t="s">
        <v>812</v>
      </c>
      <c r="K813" s="922" t="s">
        <v>812</v>
      </c>
      <c r="L813" s="922" t="s">
        <v>812</v>
      </c>
      <c r="M813" s="76" t="s">
        <v>809</v>
      </c>
      <c r="N813" s="76">
        <v>20.83049011</v>
      </c>
      <c r="O813" s="76">
        <v>92.393707280000001</v>
      </c>
      <c r="P813" s="76" t="s">
        <v>813</v>
      </c>
      <c r="Q813" s="76" t="s">
        <v>794</v>
      </c>
      <c r="R813" s="939"/>
      <c r="S813" s="671"/>
      <c r="T813" s="137"/>
      <c r="U813" s="133"/>
      <c r="V813" s="76" t="s">
        <v>647</v>
      </c>
      <c r="W813" s="666"/>
      <c r="X813" s="17"/>
      <c r="Z813" s="17"/>
    </row>
    <row r="814" spans="1:26" ht="14.25" customHeight="1">
      <c r="A814" s="666" t="s">
        <v>3013</v>
      </c>
      <c r="B814" s="695" t="s">
        <v>323</v>
      </c>
      <c r="C814" s="948" t="s">
        <v>643</v>
      </c>
      <c r="D814" s="669" t="s">
        <v>1693</v>
      </c>
      <c r="E814" s="76">
        <v>197989</v>
      </c>
      <c r="F814" s="76"/>
      <c r="G814" s="76"/>
      <c r="H814" s="76"/>
      <c r="I814" s="76"/>
      <c r="J814" s="76" t="s">
        <v>812</v>
      </c>
      <c r="K814" s="922" t="s">
        <v>812</v>
      </c>
      <c r="L814" s="922" t="s">
        <v>812</v>
      </c>
      <c r="M814" s="76" t="s">
        <v>809</v>
      </c>
      <c r="N814" s="76">
        <v>20.82498932</v>
      </c>
      <c r="O814" s="76">
        <v>92.390571589999993</v>
      </c>
      <c r="P814" s="76" t="s">
        <v>813</v>
      </c>
      <c r="Q814" s="928" t="s">
        <v>794</v>
      </c>
      <c r="R814" s="678"/>
      <c r="S814" s="671"/>
      <c r="T814" s="952"/>
      <c r="U814" s="133"/>
      <c r="V814" s="76" t="s">
        <v>643</v>
      </c>
      <c r="W814" s="666"/>
      <c r="X814" s="17"/>
      <c r="Z814" s="17"/>
    </row>
    <row r="815" spans="1:26" ht="14.25" customHeight="1">
      <c r="A815" s="666" t="s">
        <v>3013</v>
      </c>
      <c r="B815" s="960" t="s">
        <v>323</v>
      </c>
      <c r="C815" s="961" t="s">
        <v>2105</v>
      </c>
      <c r="D815" s="929"/>
      <c r="E815" s="76">
        <v>197937</v>
      </c>
      <c r="F815" s="76"/>
      <c r="G815" s="76"/>
      <c r="H815" s="76"/>
      <c r="I815" s="76"/>
      <c r="J815" s="76" t="s">
        <v>812</v>
      </c>
      <c r="K815" s="922" t="s">
        <v>812</v>
      </c>
      <c r="L815" s="922" t="s">
        <v>812</v>
      </c>
      <c r="M815" s="76" t="s">
        <v>809</v>
      </c>
      <c r="N815" s="76">
        <v>20.845720289999999</v>
      </c>
      <c r="O815" s="76">
        <v>92.353950499999996</v>
      </c>
      <c r="P815" s="76"/>
      <c r="Q815" s="76"/>
      <c r="R815" s="939"/>
      <c r="S815" s="671"/>
      <c r="T815" s="137">
        <v>43300</v>
      </c>
      <c r="U815" s="133"/>
      <c r="V815" s="76"/>
      <c r="W815" s="666"/>
      <c r="X815" s="17"/>
      <c r="Z815" s="17"/>
    </row>
    <row r="816" spans="1:26" ht="14.25" customHeight="1">
      <c r="A816" s="666" t="s">
        <v>3013</v>
      </c>
      <c r="B816" s="695" t="s">
        <v>323</v>
      </c>
      <c r="C816" s="696" t="s">
        <v>639</v>
      </c>
      <c r="D816" s="669" t="s">
        <v>1693</v>
      </c>
      <c r="E816" s="76">
        <v>217894</v>
      </c>
      <c r="F816" s="666"/>
      <c r="G816" s="76"/>
      <c r="H816" s="76"/>
      <c r="I816" s="76"/>
      <c r="J816" s="76" t="s">
        <v>812</v>
      </c>
      <c r="K816" s="922" t="s">
        <v>812</v>
      </c>
      <c r="L816" s="922" t="s">
        <v>812</v>
      </c>
      <c r="M816" s="76" t="s">
        <v>312</v>
      </c>
      <c r="N816" s="76">
        <v>20.822059629999998</v>
      </c>
      <c r="O816" s="76">
        <v>92.41690826</v>
      </c>
      <c r="P816" s="76" t="s">
        <v>813</v>
      </c>
      <c r="Q816" s="76" t="s">
        <v>794</v>
      </c>
      <c r="R816" s="678"/>
      <c r="S816" s="671"/>
      <c r="T816" s="137"/>
      <c r="U816" s="133"/>
      <c r="V816" s="76" t="s">
        <v>639</v>
      </c>
      <c r="W816" s="666"/>
      <c r="X816" s="17"/>
      <c r="Z816" s="17"/>
    </row>
    <row r="817" spans="1:26" ht="14.25" customHeight="1">
      <c r="A817" s="932" t="s">
        <v>3013</v>
      </c>
      <c r="B817" s="960" t="s">
        <v>323</v>
      </c>
      <c r="C817" s="961" t="s">
        <v>3269</v>
      </c>
      <c r="D817" s="929"/>
      <c r="E817" s="76">
        <v>217895</v>
      </c>
      <c r="F817" s="957" t="s">
        <v>3275</v>
      </c>
      <c r="G817" s="76"/>
      <c r="H817" s="76"/>
      <c r="I817" s="76"/>
      <c r="J817" s="76" t="s">
        <v>812</v>
      </c>
      <c r="K817" s="922" t="s">
        <v>812</v>
      </c>
      <c r="L817" s="922" t="s">
        <v>812</v>
      </c>
      <c r="M817" s="76" t="s">
        <v>312</v>
      </c>
      <c r="N817" s="76">
        <v>20.8013000488281</v>
      </c>
      <c r="O817" s="76">
        <v>92.423202514648395</v>
      </c>
      <c r="P817" s="76" t="s">
        <v>813</v>
      </c>
      <c r="Q817" s="76" t="s">
        <v>794</v>
      </c>
      <c r="R817" s="939"/>
      <c r="S817" s="671"/>
      <c r="T817" s="137"/>
      <c r="U817" s="939"/>
      <c r="V817" s="76" t="s">
        <v>621</v>
      </c>
      <c r="W817" s="931"/>
      <c r="X817" s="17"/>
      <c r="Z817" s="17"/>
    </row>
    <row r="818" spans="1:26" ht="14.25" customHeight="1">
      <c r="A818" s="666" t="s">
        <v>3013</v>
      </c>
      <c r="B818" s="689" t="s">
        <v>323</v>
      </c>
      <c r="C818" s="688" t="s">
        <v>2140</v>
      </c>
      <c r="D818" s="929" t="s">
        <v>1693</v>
      </c>
      <c r="E818" s="76">
        <v>197890</v>
      </c>
      <c r="F818" s="76"/>
      <c r="G818" s="76"/>
      <c r="H818" s="76"/>
      <c r="I818" s="76"/>
      <c r="J818" s="76" t="s">
        <v>812</v>
      </c>
      <c r="K818" s="928" t="s">
        <v>812</v>
      </c>
      <c r="L818" s="928" t="s">
        <v>812</v>
      </c>
      <c r="M818" s="76" t="s">
        <v>312</v>
      </c>
      <c r="N818" s="76">
        <v>21.016569140000001</v>
      </c>
      <c r="O818" s="76">
        <v>92.307716369999994</v>
      </c>
      <c r="P818" s="76" t="s">
        <v>813</v>
      </c>
      <c r="Q818" s="76" t="s">
        <v>794</v>
      </c>
      <c r="R818" s="670"/>
      <c r="S818" s="671"/>
      <c r="T818" s="137">
        <v>43300</v>
      </c>
      <c r="U818" s="133"/>
      <c r="V818" s="76" t="s">
        <v>692</v>
      </c>
      <c r="W818" s="666"/>
      <c r="X818" s="17"/>
      <c r="Z818" s="17"/>
    </row>
    <row r="819" spans="1:26" ht="14.25" customHeight="1">
      <c r="A819" s="666" t="s">
        <v>3013</v>
      </c>
      <c r="B819" s="689" t="s">
        <v>323</v>
      </c>
      <c r="C819" s="688" t="s">
        <v>340</v>
      </c>
      <c r="D819" s="760" t="s">
        <v>1693</v>
      </c>
      <c r="E819" s="934"/>
      <c r="F819" s="666"/>
      <c r="G819" s="666"/>
      <c r="H819" s="666"/>
      <c r="I819" s="666"/>
      <c r="J819" s="666" t="s">
        <v>812</v>
      </c>
      <c r="K819" s="928" t="s">
        <v>812</v>
      </c>
      <c r="L819" s="928" t="s">
        <v>812</v>
      </c>
      <c r="M819" s="666" t="s">
        <v>809</v>
      </c>
      <c r="N819" s="666"/>
      <c r="O819" s="922"/>
      <c r="P819" s="666" t="s">
        <v>813</v>
      </c>
      <c r="Q819" s="666" t="s">
        <v>794</v>
      </c>
      <c r="R819" s="670"/>
      <c r="S819" s="671"/>
      <c r="T819" s="690"/>
      <c r="U819" s="672"/>
      <c r="V819" s="666"/>
      <c r="W819" s="666"/>
      <c r="X819" s="17"/>
      <c r="Z819" s="17"/>
    </row>
    <row r="820" spans="1:26" ht="14.25" customHeight="1">
      <c r="A820" s="666" t="s">
        <v>3013</v>
      </c>
      <c r="B820" s="695" t="s">
        <v>323</v>
      </c>
      <c r="C820" s="696" t="s">
        <v>603</v>
      </c>
      <c r="D820" s="669" t="s">
        <v>1693</v>
      </c>
      <c r="E820" s="76">
        <v>220739</v>
      </c>
      <c r="F820" s="76"/>
      <c r="G820" s="76"/>
      <c r="H820" s="76"/>
      <c r="I820" s="76"/>
      <c r="J820" s="76" t="s">
        <v>812</v>
      </c>
      <c r="K820" s="928" t="s">
        <v>812</v>
      </c>
      <c r="L820" s="928" t="s">
        <v>812</v>
      </c>
      <c r="M820" s="76" t="s">
        <v>312</v>
      </c>
      <c r="N820" s="76">
        <v>20.76523972</v>
      </c>
      <c r="O820" s="76">
        <v>92.422332760000003</v>
      </c>
      <c r="P820" s="76" t="s">
        <v>813</v>
      </c>
      <c r="Q820" s="76" t="s">
        <v>794</v>
      </c>
      <c r="R820" s="678"/>
      <c r="S820" s="671"/>
      <c r="T820" s="137"/>
      <c r="U820" s="133"/>
      <c r="V820" s="76" t="s">
        <v>948</v>
      </c>
      <c r="W820" s="666"/>
      <c r="X820" s="17"/>
      <c r="Z820" s="17"/>
    </row>
    <row r="821" spans="1:26" ht="14.25" customHeight="1">
      <c r="A821" s="666" t="s">
        <v>3013</v>
      </c>
      <c r="B821" s="689" t="s">
        <v>323</v>
      </c>
      <c r="C821" s="688" t="s">
        <v>578</v>
      </c>
      <c r="D821" s="760" t="s">
        <v>1693</v>
      </c>
      <c r="E821" s="666">
        <v>220744</v>
      </c>
      <c r="F821" s="922"/>
      <c r="G821" s="666"/>
      <c r="H821" s="666"/>
      <c r="I821" s="666"/>
      <c r="J821" s="666" t="s">
        <v>812</v>
      </c>
      <c r="K821" s="928" t="s">
        <v>812</v>
      </c>
      <c r="L821" s="928" t="s">
        <v>812</v>
      </c>
      <c r="M821" s="666" t="s">
        <v>312</v>
      </c>
      <c r="N821" s="666">
        <v>20.71612167</v>
      </c>
      <c r="O821" s="666">
        <v>92.442459110000001</v>
      </c>
      <c r="P821" s="76" t="s">
        <v>813</v>
      </c>
      <c r="Q821" s="666" t="s">
        <v>794</v>
      </c>
      <c r="R821" s="670"/>
      <c r="S821" s="671"/>
      <c r="T821" s="690"/>
      <c r="U821" s="672"/>
      <c r="V821" s="666" t="s">
        <v>944</v>
      </c>
      <c r="W821" s="666"/>
      <c r="X821" s="17"/>
      <c r="Z821" s="17"/>
    </row>
    <row r="822" spans="1:26" ht="14.25" customHeight="1">
      <c r="A822" s="666" t="s">
        <v>3013</v>
      </c>
      <c r="B822" s="695" t="s">
        <v>323</v>
      </c>
      <c r="C822" s="696" t="s">
        <v>544</v>
      </c>
      <c r="D822" s="669" t="s">
        <v>1693</v>
      </c>
      <c r="E822" s="666">
        <v>198024</v>
      </c>
      <c r="F822" s="922"/>
      <c r="G822" s="76"/>
      <c r="H822" s="666"/>
      <c r="I822" s="666"/>
      <c r="J822" s="666" t="s">
        <v>812</v>
      </c>
      <c r="K822" s="928" t="s">
        <v>812</v>
      </c>
      <c r="L822" s="928" t="s">
        <v>812</v>
      </c>
      <c r="M822" s="666" t="s">
        <v>809</v>
      </c>
      <c r="N822" s="666">
        <v>20.669300079999999</v>
      </c>
      <c r="O822" s="922">
        <v>92.46575928</v>
      </c>
      <c r="P822" s="76" t="s">
        <v>813</v>
      </c>
      <c r="Q822" s="666" t="s">
        <v>794</v>
      </c>
      <c r="R822" s="678"/>
      <c r="S822" s="671"/>
      <c r="T822" s="690">
        <v>42745</v>
      </c>
      <c r="U822" s="672"/>
      <c r="V822" s="76" t="s">
        <v>938</v>
      </c>
      <c r="W822" s="666"/>
      <c r="X822" s="17"/>
      <c r="Z822" s="17"/>
    </row>
    <row r="823" spans="1:26" ht="14.25" customHeight="1">
      <c r="A823" s="666" t="s">
        <v>3013</v>
      </c>
      <c r="B823" s="949" t="s">
        <v>323</v>
      </c>
      <c r="C823" s="948" t="s">
        <v>698</v>
      </c>
      <c r="D823" s="760" t="s">
        <v>1693</v>
      </c>
      <c r="E823" s="76">
        <v>197887</v>
      </c>
      <c r="F823" s="922"/>
      <c r="G823" s="76"/>
      <c r="H823" s="76"/>
      <c r="I823" s="76"/>
      <c r="J823" s="76" t="s">
        <v>812</v>
      </c>
      <c r="K823" s="928" t="s">
        <v>812</v>
      </c>
      <c r="L823" s="928" t="s">
        <v>812</v>
      </c>
      <c r="M823" s="76" t="s">
        <v>809</v>
      </c>
      <c r="N823" s="76">
        <v>21.04866028</v>
      </c>
      <c r="O823" s="76">
        <v>92.293350219999994</v>
      </c>
      <c r="P823" s="76" t="s">
        <v>813</v>
      </c>
      <c r="Q823" s="76" t="s">
        <v>794</v>
      </c>
      <c r="R823" s="931"/>
      <c r="S823" s="671"/>
      <c r="T823" s="137"/>
      <c r="U823" s="133"/>
      <c r="V823" s="76" t="s">
        <v>698</v>
      </c>
      <c r="W823" s="666"/>
      <c r="X823" s="17"/>
      <c r="Z823" s="17"/>
    </row>
    <row r="824" spans="1:26" ht="14.25" customHeight="1">
      <c r="A824" s="666" t="s">
        <v>3013</v>
      </c>
      <c r="B824" s="689" t="s">
        <v>323</v>
      </c>
      <c r="C824" s="688" t="s">
        <v>2131</v>
      </c>
      <c r="D824" s="760"/>
      <c r="E824" s="76">
        <v>198094</v>
      </c>
      <c r="F824" s="922"/>
      <c r="G824" s="76"/>
      <c r="H824" s="76"/>
      <c r="I824" s="76"/>
      <c r="J824" s="76" t="s">
        <v>812</v>
      </c>
      <c r="K824" s="922" t="s">
        <v>812</v>
      </c>
      <c r="L824" s="922" t="s">
        <v>812</v>
      </c>
      <c r="M824" s="76" t="s">
        <v>312</v>
      </c>
      <c r="N824" s="76">
        <v>21.157270430000001</v>
      </c>
      <c r="O824" s="76">
        <v>92.209739690000006</v>
      </c>
      <c r="P824" s="76"/>
      <c r="Q824" s="76"/>
      <c r="R824" s="670"/>
      <c r="S824" s="671"/>
      <c r="T824" s="137">
        <v>43300</v>
      </c>
      <c r="U824" s="133"/>
      <c r="V824" s="76"/>
      <c r="W824" s="666"/>
      <c r="X824" s="17"/>
      <c r="Z824" s="17"/>
    </row>
    <row r="825" spans="1:26" ht="14.25" customHeight="1">
      <c r="A825" s="666" t="s">
        <v>3013</v>
      </c>
      <c r="B825" s="689" t="s">
        <v>323</v>
      </c>
      <c r="C825" s="688" t="s">
        <v>2118</v>
      </c>
      <c r="D825" s="760"/>
      <c r="E825" s="928">
        <v>197950</v>
      </c>
      <c r="F825" s="76"/>
      <c r="G825" s="76"/>
      <c r="H825" s="666"/>
      <c r="I825" s="666"/>
      <c r="J825" s="666" t="s">
        <v>812</v>
      </c>
      <c r="K825" s="922" t="s">
        <v>812</v>
      </c>
      <c r="L825" s="922" t="s">
        <v>812</v>
      </c>
      <c r="M825" s="666" t="s">
        <v>809</v>
      </c>
      <c r="N825" s="666">
        <v>20.914119719999999</v>
      </c>
      <c r="O825" s="928">
        <v>92.3506012</v>
      </c>
      <c r="P825" s="76"/>
      <c r="Q825" s="666"/>
      <c r="R825" s="670"/>
      <c r="S825" s="671"/>
      <c r="T825" s="690">
        <v>43300</v>
      </c>
      <c r="U825" s="672"/>
      <c r="V825" s="76"/>
      <c r="W825" s="666"/>
      <c r="X825" s="17"/>
      <c r="Z825" s="17"/>
    </row>
    <row r="826" spans="1:26" ht="14.25" customHeight="1">
      <c r="A826" s="666" t="s">
        <v>3013</v>
      </c>
      <c r="B826" s="960" t="s">
        <v>323</v>
      </c>
      <c r="C826" s="961" t="s">
        <v>2147</v>
      </c>
      <c r="D826" s="929"/>
      <c r="E826" s="76">
        <v>198075</v>
      </c>
      <c r="F826" s="76"/>
      <c r="G826" s="76"/>
      <c r="H826" s="76"/>
      <c r="I826" s="76"/>
      <c r="J826" s="76" t="s">
        <v>812</v>
      </c>
      <c r="K826" s="922" t="s">
        <v>812</v>
      </c>
      <c r="L826" s="922" t="s">
        <v>812</v>
      </c>
      <c r="M826" s="76" t="s">
        <v>312</v>
      </c>
      <c r="N826" s="76">
        <v>20.543220519999998</v>
      </c>
      <c r="O826" s="76">
        <v>92.544296259999996</v>
      </c>
      <c r="P826" s="76"/>
      <c r="Q826" s="76"/>
      <c r="R826" s="939"/>
      <c r="S826" s="671"/>
      <c r="T826" s="137">
        <v>43300</v>
      </c>
      <c r="U826" s="133"/>
      <c r="V826" s="76"/>
      <c r="W826" s="666"/>
      <c r="X826" s="17"/>
      <c r="Z826" s="17"/>
    </row>
    <row r="827" spans="1:26" ht="14.25" customHeight="1">
      <c r="A827" s="666" t="s">
        <v>3013</v>
      </c>
      <c r="B827" s="949" t="s">
        <v>323</v>
      </c>
      <c r="C827" s="948" t="s">
        <v>510</v>
      </c>
      <c r="D827" s="760" t="s">
        <v>1693</v>
      </c>
      <c r="E827" s="76">
        <v>198075</v>
      </c>
      <c r="F827" s="928"/>
      <c r="G827" s="76"/>
      <c r="H827" s="76"/>
      <c r="I827" s="76"/>
      <c r="J827" s="76" t="s">
        <v>812</v>
      </c>
      <c r="K827" s="922" t="s">
        <v>812</v>
      </c>
      <c r="L827" s="922" t="s">
        <v>812</v>
      </c>
      <c r="M827" s="76" t="s">
        <v>312</v>
      </c>
      <c r="N827" s="76">
        <v>20.543220519999998</v>
      </c>
      <c r="O827" s="76">
        <v>92.544296259999996</v>
      </c>
      <c r="P827" s="76" t="s">
        <v>813</v>
      </c>
      <c r="Q827" s="76" t="s">
        <v>794</v>
      </c>
      <c r="R827" s="931"/>
      <c r="S827" s="671"/>
      <c r="T827" s="137"/>
      <c r="U827" s="133"/>
      <c r="V827" s="76" t="s">
        <v>510</v>
      </c>
      <c r="W827" s="666"/>
      <c r="X827" s="17"/>
      <c r="Z827" s="17"/>
    </row>
    <row r="828" spans="1:26" ht="14.25" customHeight="1">
      <c r="A828" s="666" t="s">
        <v>3013</v>
      </c>
      <c r="B828" s="960" t="s">
        <v>323</v>
      </c>
      <c r="C828" s="961" t="s">
        <v>534</v>
      </c>
      <c r="D828" s="929" t="s">
        <v>1693</v>
      </c>
      <c r="E828" s="666">
        <v>198058</v>
      </c>
      <c r="F828" s="928"/>
      <c r="G828" s="76"/>
      <c r="H828" s="76"/>
      <c r="I828" s="76"/>
      <c r="J828" s="76" t="s">
        <v>812</v>
      </c>
      <c r="K828" s="76" t="s">
        <v>812</v>
      </c>
      <c r="L828" s="666" t="s">
        <v>812</v>
      </c>
      <c r="M828" s="76" t="s">
        <v>809</v>
      </c>
      <c r="N828" s="76">
        <v>20.64685059</v>
      </c>
      <c r="O828" s="928">
        <v>92.493553160000005</v>
      </c>
      <c r="P828" s="76" t="s">
        <v>813</v>
      </c>
      <c r="Q828" s="76" t="s">
        <v>794</v>
      </c>
      <c r="R828" s="939"/>
      <c r="S828" s="671"/>
      <c r="T828" s="137"/>
      <c r="U828" s="133"/>
      <c r="V828" s="76" t="s">
        <v>534</v>
      </c>
      <c r="W828" s="666"/>
      <c r="X828" s="17"/>
      <c r="Z828" s="17"/>
    </row>
    <row r="829" spans="1:26" ht="14.25" customHeight="1">
      <c r="A829" s="666" t="s">
        <v>3013</v>
      </c>
      <c r="B829" s="695" t="s">
        <v>323</v>
      </c>
      <c r="C829" s="696" t="s">
        <v>2110</v>
      </c>
      <c r="D829" s="669"/>
      <c r="E829" s="76">
        <v>197943</v>
      </c>
      <c r="F829" s="928"/>
      <c r="G829" s="76"/>
      <c r="H829" s="76"/>
      <c r="I829" s="76"/>
      <c r="J829" s="76" t="s">
        <v>812</v>
      </c>
      <c r="K829" s="76" t="s">
        <v>812</v>
      </c>
      <c r="L829" s="76" t="s">
        <v>812</v>
      </c>
      <c r="M829" s="76" t="s">
        <v>809</v>
      </c>
      <c r="N829" s="76">
        <v>20.895000459999999</v>
      </c>
      <c r="O829" s="76">
        <v>92.398574830000001</v>
      </c>
      <c r="P829" s="76"/>
      <c r="Q829" s="76"/>
      <c r="R829" s="678"/>
      <c r="S829" s="671"/>
      <c r="T829" s="137">
        <v>43300</v>
      </c>
      <c r="U829" s="133"/>
      <c r="V829" s="76"/>
      <c r="W829" s="666"/>
      <c r="X829" s="17"/>
      <c r="Z829" s="17"/>
    </row>
    <row r="830" spans="1:26" ht="14.25" customHeight="1">
      <c r="A830" s="666" t="s">
        <v>3013</v>
      </c>
      <c r="B830" s="949" t="s">
        <v>323</v>
      </c>
      <c r="C830" s="948" t="s">
        <v>2109</v>
      </c>
      <c r="D830" s="760"/>
      <c r="E830" s="76">
        <v>197943</v>
      </c>
      <c r="F830" s="928"/>
      <c r="G830" s="76"/>
      <c r="H830" s="76"/>
      <c r="I830" s="76"/>
      <c r="J830" s="76" t="s">
        <v>812</v>
      </c>
      <c r="K830" s="928" t="s">
        <v>812</v>
      </c>
      <c r="L830" s="928" t="s">
        <v>812</v>
      </c>
      <c r="M830" s="76" t="s">
        <v>809</v>
      </c>
      <c r="N830" s="76">
        <v>20.895000459999999</v>
      </c>
      <c r="O830" s="76">
        <v>92.398574830000001</v>
      </c>
      <c r="P830" s="76"/>
      <c r="Q830" s="76"/>
      <c r="R830" s="931"/>
      <c r="S830" s="671"/>
      <c r="T830" s="137">
        <v>43300</v>
      </c>
      <c r="U830" s="133"/>
      <c r="V830" s="76"/>
      <c r="W830" s="666"/>
      <c r="X830" s="17"/>
      <c r="Z830" s="17"/>
    </row>
    <row r="831" spans="1:26" ht="14.25" customHeight="1">
      <c r="A831" s="666" t="s">
        <v>3013</v>
      </c>
      <c r="B831" s="949" t="s">
        <v>323</v>
      </c>
      <c r="C831" s="688" t="s">
        <v>2073</v>
      </c>
      <c r="D831" s="760"/>
      <c r="E831" s="666">
        <v>197878</v>
      </c>
      <c r="F831" s="666" t="s">
        <v>2072</v>
      </c>
      <c r="G831" s="666"/>
      <c r="H831" s="666"/>
      <c r="I831" s="666"/>
      <c r="J831" s="666" t="s">
        <v>812</v>
      </c>
      <c r="K831" s="928" t="s">
        <v>812</v>
      </c>
      <c r="L831" s="928" t="s">
        <v>812</v>
      </c>
      <c r="M831" s="666" t="s">
        <v>809</v>
      </c>
      <c r="N831" s="666">
        <v>21.012830730000001</v>
      </c>
      <c r="O831" s="666">
        <v>92.338958739999995</v>
      </c>
      <c r="P831" s="666"/>
      <c r="Q831" s="922"/>
      <c r="R831" s="931"/>
      <c r="S831" s="671"/>
      <c r="T831" s="951">
        <v>43300</v>
      </c>
      <c r="U831" s="672"/>
      <c r="V831" s="666"/>
      <c r="W831" s="666"/>
      <c r="X831" s="17"/>
      <c r="Z831" s="17"/>
    </row>
    <row r="832" spans="1:26" ht="14.25" customHeight="1">
      <c r="A832" s="666" t="s">
        <v>3013</v>
      </c>
      <c r="B832" s="949" t="s">
        <v>323</v>
      </c>
      <c r="C832" s="948" t="s">
        <v>694</v>
      </c>
      <c r="D832" s="760" t="s">
        <v>1693</v>
      </c>
      <c r="E832" s="76">
        <v>197880</v>
      </c>
      <c r="F832" s="76"/>
      <c r="G832" s="76"/>
      <c r="H832" s="76"/>
      <c r="I832" s="76"/>
      <c r="J832" s="76" t="s">
        <v>812</v>
      </c>
      <c r="K832" s="928" t="s">
        <v>812</v>
      </c>
      <c r="L832" s="928" t="s">
        <v>812</v>
      </c>
      <c r="M832" s="76" t="s">
        <v>809</v>
      </c>
      <c r="N832" s="76">
        <v>21.021259310000001</v>
      </c>
      <c r="O832" s="922">
        <v>92.339538570000002</v>
      </c>
      <c r="P832" s="76" t="s">
        <v>813</v>
      </c>
      <c r="Q832" s="76" t="s">
        <v>794</v>
      </c>
      <c r="R832" s="931"/>
      <c r="S832" s="671"/>
      <c r="T832" s="137"/>
      <c r="U832" s="133"/>
      <c r="V832" s="76" t="s">
        <v>694</v>
      </c>
      <c r="W832" s="666"/>
      <c r="X832" s="17"/>
      <c r="Z832" s="17"/>
    </row>
    <row r="833" spans="1:26" ht="14.25" customHeight="1">
      <c r="A833" s="666" t="s">
        <v>3013</v>
      </c>
      <c r="B833" s="960" t="s">
        <v>323</v>
      </c>
      <c r="C833" s="961" t="s">
        <v>2114</v>
      </c>
      <c r="D833" s="929"/>
      <c r="E833" s="76"/>
      <c r="F833" s="666"/>
      <c r="G833" s="76"/>
      <c r="H833" s="76"/>
      <c r="I833" s="76"/>
      <c r="J833" s="76" t="s">
        <v>812</v>
      </c>
      <c r="K833" s="928" t="s">
        <v>812</v>
      </c>
      <c r="L833" s="928" t="s">
        <v>812</v>
      </c>
      <c r="M833" s="76" t="s">
        <v>809</v>
      </c>
      <c r="N833" s="76"/>
      <c r="O833" s="76"/>
      <c r="P833" s="666"/>
      <c r="Q833" s="76"/>
      <c r="R833" s="939"/>
      <c r="S833" s="132"/>
      <c r="T833" s="137">
        <v>43300</v>
      </c>
      <c r="U833" s="133"/>
      <c r="V833" s="76"/>
      <c r="W833" s="666"/>
      <c r="X833" s="17"/>
      <c r="Z833" s="17"/>
    </row>
    <row r="834" spans="1:26" ht="14.25" customHeight="1">
      <c r="A834" s="666" t="s">
        <v>3013</v>
      </c>
      <c r="B834" s="689" t="s">
        <v>323</v>
      </c>
      <c r="C834" s="688" t="s">
        <v>582</v>
      </c>
      <c r="D834" s="760" t="s">
        <v>1693</v>
      </c>
      <c r="E834" s="666">
        <v>198048</v>
      </c>
      <c r="F834" s="922"/>
      <c r="G834" s="666"/>
      <c r="H834" s="666"/>
      <c r="I834" s="666"/>
      <c r="J834" s="666" t="s">
        <v>812</v>
      </c>
      <c r="K834" s="666" t="s">
        <v>812</v>
      </c>
      <c r="L834" s="666" t="s">
        <v>812</v>
      </c>
      <c r="M834" s="666" t="s">
        <v>809</v>
      </c>
      <c r="N834" s="666">
        <v>20.720079420000001</v>
      </c>
      <c r="O834" s="666">
        <v>92.423591610000003</v>
      </c>
      <c r="P834" s="76" t="s">
        <v>813</v>
      </c>
      <c r="Q834" s="666" t="s">
        <v>794</v>
      </c>
      <c r="R834" s="670"/>
      <c r="S834" s="671"/>
      <c r="T834" s="690"/>
      <c r="U834" s="672"/>
      <c r="V834" s="666" t="s">
        <v>582</v>
      </c>
      <c r="W834" s="666"/>
      <c r="X834" s="17"/>
      <c r="Z834" s="17"/>
    </row>
    <row r="835" spans="1:26" ht="14.25" customHeight="1">
      <c r="A835" s="666" t="s">
        <v>3013</v>
      </c>
      <c r="B835" s="695" t="s">
        <v>323</v>
      </c>
      <c r="C835" s="696" t="s">
        <v>2170</v>
      </c>
      <c r="D835" s="669"/>
      <c r="E835" s="666">
        <v>220728</v>
      </c>
      <c r="F835" s="922"/>
      <c r="G835" s="666"/>
      <c r="H835" s="666"/>
      <c r="I835" s="666"/>
      <c r="J835" s="666" t="s">
        <v>812</v>
      </c>
      <c r="K835" s="666" t="s">
        <v>812</v>
      </c>
      <c r="L835" s="666" t="s">
        <v>812</v>
      </c>
      <c r="M835" s="666" t="s">
        <v>2148</v>
      </c>
      <c r="N835" s="666">
        <v>21.090957639999999</v>
      </c>
      <c r="O835" s="666">
        <v>92.361534120000002</v>
      </c>
      <c r="P835" s="76"/>
      <c r="Q835" s="666"/>
      <c r="R835" s="678"/>
      <c r="S835" s="671"/>
      <c r="T835" s="690">
        <v>43300</v>
      </c>
      <c r="U835" s="672"/>
      <c r="V835" s="666"/>
      <c r="W835" s="666"/>
      <c r="X835" s="17"/>
      <c r="Z835" s="17"/>
    </row>
    <row r="836" spans="1:26" ht="14.25" customHeight="1">
      <c r="A836" s="666" t="s">
        <v>3013</v>
      </c>
      <c r="B836" s="960" t="s">
        <v>323</v>
      </c>
      <c r="C836" s="961" t="s">
        <v>699</v>
      </c>
      <c r="D836" s="929" t="s">
        <v>1693</v>
      </c>
      <c r="E836" s="76">
        <v>197883</v>
      </c>
      <c r="F836" s="666"/>
      <c r="G836" s="76"/>
      <c r="H836" s="76"/>
      <c r="I836" s="76"/>
      <c r="J836" s="76" t="s">
        <v>812</v>
      </c>
      <c r="K836" s="76" t="s">
        <v>812</v>
      </c>
      <c r="L836" s="76" t="s">
        <v>812</v>
      </c>
      <c r="M836" s="76" t="s">
        <v>809</v>
      </c>
      <c r="N836" s="76">
        <v>21.05369949</v>
      </c>
      <c r="O836" s="76">
        <v>92.324119569999993</v>
      </c>
      <c r="P836" s="76" t="s">
        <v>813</v>
      </c>
      <c r="Q836" s="76" t="s">
        <v>794</v>
      </c>
      <c r="R836" s="939"/>
      <c r="S836" s="671"/>
      <c r="T836" s="137"/>
      <c r="U836" s="133"/>
      <c r="V836" s="76" t="s">
        <v>970</v>
      </c>
      <c r="W836" s="666"/>
      <c r="X836" s="17"/>
      <c r="Z836" s="17"/>
    </row>
    <row r="837" spans="1:26" ht="14.25" customHeight="1">
      <c r="A837" s="666" t="s">
        <v>3013</v>
      </c>
      <c r="B837" s="960" t="s">
        <v>323</v>
      </c>
      <c r="C837" s="688" t="s">
        <v>693</v>
      </c>
      <c r="D837" s="929" t="s">
        <v>1693</v>
      </c>
      <c r="E837" s="76">
        <v>197879</v>
      </c>
      <c r="F837" s="76"/>
      <c r="G837" s="76"/>
      <c r="H837" s="76"/>
      <c r="I837" s="76"/>
      <c r="J837" s="76" t="s">
        <v>812</v>
      </c>
      <c r="K837" s="76" t="s">
        <v>812</v>
      </c>
      <c r="L837" s="76" t="s">
        <v>812</v>
      </c>
      <c r="M837" s="76" t="s">
        <v>809</v>
      </c>
      <c r="N837" s="76">
        <v>21.0184803</v>
      </c>
      <c r="O837" s="76">
        <v>92.333999629999994</v>
      </c>
      <c r="P837" s="76" t="s">
        <v>813</v>
      </c>
      <c r="Q837" s="928" t="s">
        <v>794</v>
      </c>
      <c r="R837" s="939"/>
      <c r="S837" s="132"/>
      <c r="T837" s="952"/>
      <c r="U837" s="133"/>
      <c r="V837" s="76" t="s">
        <v>693</v>
      </c>
      <c r="W837" s="666"/>
      <c r="X837" s="17"/>
      <c r="Z837" s="17"/>
    </row>
    <row r="838" spans="1:26" ht="14.25" customHeight="1">
      <c r="A838" s="666" t="s">
        <v>3013</v>
      </c>
      <c r="B838" s="960" t="s">
        <v>323</v>
      </c>
      <c r="C838" s="961" t="s">
        <v>341</v>
      </c>
      <c r="D838" s="929" t="s">
        <v>1693</v>
      </c>
      <c r="E838" s="76"/>
      <c r="F838" s="76"/>
      <c r="G838" s="76"/>
      <c r="H838" s="76"/>
      <c r="I838" s="76"/>
      <c r="J838" s="76" t="s">
        <v>812</v>
      </c>
      <c r="K838" s="76" t="s">
        <v>812</v>
      </c>
      <c r="L838" s="76" t="s">
        <v>812</v>
      </c>
      <c r="M838" s="76" t="s">
        <v>312</v>
      </c>
      <c r="N838" s="666"/>
      <c r="O838" s="928"/>
      <c r="P838" s="76" t="s">
        <v>813</v>
      </c>
      <c r="Q838" s="76" t="s">
        <v>794</v>
      </c>
      <c r="R838" s="939"/>
      <c r="S838" s="132"/>
      <c r="T838" s="137"/>
      <c r="U838" s="133"/>
      <c r="V838" s="76" t="s">
        <v>341</v>
      </c>
      <c r="W838" s="666"/>
      <c r="X838" s="17"/>
      <c r="Z838" s="17"/>
    </row>
    <row r="839" spans="1:26" ht="14.25" customHeight="1">
      <c r="A839" s="666" t="s">
        <v>3013</v>
      </c>
      <c r="B839" s="689" t="s">
        <v>323</v>
      </c>
      <c r="C839" s="688" t="s">
        <v>615</v>
      </c>
      <c r="D839" s="760" t="s">
        <v>1693</v>
      </c>
      <c r="E839" s="76">
        <v>198001</v>
      </c>
      <c r="F839" s="76"/>
      <c r="G839" s="76"/>
      <c r="H839" s="76"/>
      <c r="I839" s="76"/>
      <c r="J839" s="76" t="s">
        <v>812</v>
      </c>
      <c r="K839" s="76" t="s">
        <v>812</v>
      </c>
      <c r="L839" s="76" t="s">
        <v>812</v>
      </c>
      <c r="M839" s="76" t="s">
        <v>809</v>
      </c>
      <c r="N839" s="76">
        <v>20.78729057</v>
      </c>
      <c r="O839" s="76">
        <v>92.401252749999998</v>
      </c>
      <c r="P839" s="76" t="s">
        <v>813</v>
      </c>
      <c r="Q839" s="76" t="s">
        <v>794</v>
      </c>
      <c r="R839" s="670"/>
      <c r="S839" s="132"/>
      <c r="T839" s="137"/>
      <c r="U839" s="133"/>
      <c r="V839" s="76" t="s">
        <v>615</v>
      </c>
      <c r="W839" s="666"/>
      <c r="X839" s="17"/>
      <c r="Z839" s="17"/>
    </row>
    <row r="840" spans="1:26" ht="14.25" customHeight="1">
      <c r="A840" s="666" t="s">
        <v>3013</v>
      </c>
      <c r="B840" s="689" t="s">
        <v>323</v>
      </c>
      <c r="C840" s="688" t="s">
        <v>2122</v>
      </c>
      <c r="D840" s="760"/>
      <c r="E840" s="76">
        <v>197987</v>
      </c>
      <c r="F840" s="928"/>
      <c r="G840" s="76"/>
      <c r="H840" s="76"/>
      <c r="I840" s="76"/>
      <c r="J840" s="76" t="s">
        <v>812</v>
      </c>
      <c r="K840" s="76" t="s">
        <v>812</v>
      </c>
      <c r="L840" s="76" t="s">
        <v>812</v>
      </c>
      <c r="M840" s="76" t="s">
        <v>809</v>
      </c>
      <c r="N840" s="76">
        <v>20.81588936</v>
      </c>
      <c r="O840" s="76">
        <v>92.372566219999996</v>
      </c>
      <c r="P840" s="76"/>
      <c r="Q840" s="76"/>
      <c r="R840" s="670"/>
      <c r="S840" s="132"/>
      <c r="T840" s="137">
        <v>43300</v>
      </c>
      <c r="U840" s="133"/>
      <c r="V840" s="76"/>
      <c r="W840" s="666"/>
      <c r="X840" s="17"/>
      <c r="Z840" s="17"/>
    </row>
    <row r="841" spans="1:26" ht="14.25" customHeight="1">
      <c r="A841" s="666" t="s">
        <v>3013</v>
      </c>
      <c r="B841" s="695" t="s">
        <v>323</v>
      </c>
      <c r="C841" s="696" t="s">
        <v>2164</v>
      </c>
      <c r="D841" s="669"/>
      <c r="E841" s="76">
        <v>198089</v>
      </c>
      <c r="F841" s="928"/>
      <c r="G841" s="76"/>
      <c r="H841" s="76"/>
      <c r="I841" s="76"/>
      <c r="J841" s="76" t="s">
        <v>812</v>
      </c>
      <c r="K841" s="76" t="s">
        <v>812</v>
      </c>
      <c r="L841" s="76" t="s">
        <v>812</v>
      </c>
      <c r="M841" s="76" t="s">
        <v>2151</v>
      </c>
      <c r="N841" s="76">
        <v>21.19529915</v>
      </c>
      <c r="O841" s="76">
        <v>92.221542360000001</v>
      </c>
      <c r="P841" s="76"/>
      <c r="Q841" s="76"/>
      <c r="R841" s="678"/>
      <c r="S841" s="671"/>
      <c r="T841" s="137">
        <v>43300</v>
      </c>
      <c r="U841" s="133"/>
      <c r="V841" s="922"/>
      <c r="W841" s="666"/>
      <c r="X841" s="17"/>
      <c r="Z841" s="17"/>
    </row>
    <row r="842" spans="1:26" ht="14.25" customHeight="1">
      <c r="A842" s="666" t="s">
        <v>3013</v>
      </c>
      <c r="B842" s="689" t="s">
        <v>323</v>
      </c>
      <c r="C842" s="688" t="s">
        <v>2144</v>
      </c>
      <c r="D842" s="760"/>
      <c r="E842" s="76">
        <v>197922</v>
      </c>
      <c r="F842" s="76"/>
      <c r="G842" s="76"/>
      <c r="H842" s="76"/>
      <c r="I842" s="76"/>
      <c r="J842" s="76" t="s">
        <v>812</v>
      </c>
      <c r="K842" s="76" t="s">
        <v>812</v>
      </c>
      <c r="L842" s="76" t="s">
        <v>812</v>
      </c>
      <c r="M842" s="76" t="s">
        <v>809</v>
      </c>
      <c r="N842" s="76">
        <v>20.93643951</v>
      </c>
      <c r="O842" s="76">
        <v>92.314498900000004</v>
      </c>
      <c r="P842" s="76"/>
      <c r="Q842" s="76"/>
      <c r="R842" s="670"/>
      <c r="S842" s="671"/>
      <c r="T842" s="137">
        <v>43300</v>
      </c>
      <c r="U842" s="133"/>
      <c r="V842" s="922"/>
      <c r="W842" s="666"/>
      <c r="X842" s="17"/>
      <c r="Z842" s="17"/>
    </row>
    <row r="843" spans="1:26" ht="14.25" customHeight="1">
      <c r="A843" s="666" t="s">
        <v>3013</v>
      </c>
      <c r="B843" s="949" t="s">
        <v>323</v>
      </c>
      <c r="C843" s="948" t="s">
        <v>1947</v>
      </c>
      <c r="D843" s="760"/>
      <c r="E843" s="76">
        <v>197961</v>
      </c>
      <c r="F843" s="76"/>
      <c r="G843" s="76"/>
      <c r="H843" s="76"/>
      <c r="I843" s="76"/>
      <c r="J843" s="76" t="s">
        <v>812</v>
      </c>
      <c r="K843" s="76" t="s">
        <v>812</v>
      </c>
      <c r="L843" s="76" t="s">
        <v>812</v>
      </c>
      <c r="M843" s="76" t="s">
        <v>809</v>
      </c>
      <c r="N843" s="666">
        <v>20.903369900000001</v>
      </c>
      <c r="O843" s="666">
        <v>92.332237239999998</v>
      </c>
      <c r="P843" s="76" t="s">
        <v>813</v>
      </c>
      <c r="Q843" s="76" t="s">
        <v>1950</v>
      </c>
      <c r="R843" s="931"/>
      <c r="S843" s="132"/>
      <c r="T843" s="137">
        <v>43245</v>
      </c>
      <c r="U843" s="133"/>
      <c r="V843" s="76"/>
      <c r="W843" s="666"/>
      <c r="X843" s="17"/>
      <c r="Z843" s="17"/>
    </row>
    <row r="844" spans="1:26" ht="14.25" customHeight="1">
      <c r="A844" s="666" t="s">
        <v>3013</v>
      </c>
      <c r="B844" s="689" t="s">
        <v>323</v>
      </c>
      <c r="C844" s="688" t="s">
        <v>2162</v>
      </c>
      <c r="D844" s="760"/>
      <c r="E844" s="76">
        <v>197847</v>
      </c>
      <c r="F844" s="76"/>
      <c r="G844" s="76"/>
      <c r="H844" s="76"/>
      <c r="I844" s="76"/>
      <c r="J844" s="76" t="s">
        <v>812</v>
      </c>
      <c r="K844" s="76" t="s">
        <v>812</v>
      </c>
      <c r="L844" s="76" t="s">
        <v>812</v>
      </c>
      <c r="M844" s="76" t="s">
        <v>312</v>
      </c>
      <c r="N844" s="666">
        <v>21.134050370000001</v>
      </c>
      <c r="O844" s="666">
        <v>92.323478699999995</v>
      </c>
      <c r="P844" s="76"/>
      <c r="Q844" s="76"/>
      <c r="R844" s="670"/>
      <c r="S844" s="132"/>
      <c r="T844" s="137">
        <v>43300</v>
      </c>
      <c r="U844" s="133"/>
      <c r="V844" s="76"/>
      <c r="W844" s="666"/>
      <c r="X844" s="17"/>
      <c r="Z844" s="17"/>
    </row>
    <row r="845" spans="1:26" ht="14.25" customHeight="1">
      <c r="A845" s="666" t="s">
        <v>3013</v>
      </c>
      <c r="B845" s="689" t="s">
        <v>323</v>
      </c>
      <c r="C845" s="688" t="s">
        <v>2168</v>
      </c>
      <c r="D845" s="760"/>
      <c r="E845" s="76">
        <v>220706</v>
      </c>
      <c r="F845" s="76"/>
      <c r="G845" s="76"/>
      <c r="H845" s="76"/>
      <c r="I845" s="76"/>
      <c r="J845" s="76" t="s">
        <v>812</v>
      </c>
      <c r="K845" s="76" t="s">
        <v>812</v>
      </c>
      <c r="L845" s="76" t="s">
        <v>812</v>
      </c>
      <c r="M845" s="76" t="s">
        <v>2152</v>
      </c>
      <c r="N845" s="666">
        <v>21.2600956</v>
      </c>
      <c r="O845" s="666">
        <v>92.278442380000001</v>
      </c>
      <c r="P845" s="76"/>
      <c r="Q845" s="76"/>
      <c r="R845" s="670"/>
      <c r="S845" s="132"/>
      <c r="T845" s="137">
        <v>43300</v>
      </c>
      <c r="U845" s="133"/>
      <c r="V845" s="922"/>
      <c r="W845" s="666"/>
      <c r="X845" s="17"/>
      <c r="Z845" s="17"/>
    </row>
    <row r="846" spans="1:26" ht="14.25" customHeight="1">
      <c r="A846" s="666" t="s">
        <v>3013</v>
      </c>
      <c r="B846" s="689" t="s">
        <v>323</v>
      </c>
      <c r="C846" s="688" t="s">
        <v>2167</v>
      </c>
      <c r="D846" s="760"/>
      <c r="E846" s="76">
        <v>220721</v>
      </c>
      <c r="F846" s="76"/>
      <c r="G846" s="76"/>
      <c r="H846" s="76"/>
      <c r="I846" s="76"/>
      <c r="J846" s="76" t="s">
        <v>812</v>
      </c>
      <c r="K846" s="76" t="s">
        <v>812</v>
      </c>
      <c r="L846" s="76" t="s">
        <v>812</v>
      </c>
      <c r="M846" s="76" t="s">
        <v>312</v>
      </c>
      <c r="N846" s="666">
        <v>21.224542620000001</v>
      </c>
      <c r="O846" s="666">
        <v>92.294197080000004</v>
      </c>
      <c r="P846" s="76"/>
      <c r="Q846" s="76"/>
      <c r="R846" s="670"/>
      <c r="S846" s="132"/>
      <c r="T846" s="137">
        <v>43300</v>
      </c>
      <c r="U846" s="133"/>
      <c r="V846" s="76"/>
      <c r="W846" s="666"/>
      <c r="X846" s="17"/>
      <c r="Z846" s="17"/>
    </row>
    <row r="847" spans="1:26" ht="14.25" customHeight="1">
      <c r="A847" s="666" t="s">
        <v>3013</v>
      </c>
      <c r="B847" s="695" t="s">
        <v>323</v>
      </c>
      <c r="C847" s="696" t="s">
        <v>346</v>
      </c>
      <c r="D847" s="669" t="s">
        <v>1693</v>
      </c>
      <c r="E847" s="666"/>
      <c r="F847" s="666"/>
      <c r="G847" s="666"/>
      <c r="H847" s="666"/>
      <c r="I847" s="666"/>
      <c r="J847" s="76" t="s">
        <v>812</v>
      </c>
      <c r="K847" s="76" t="s">
        <v>812</v>
      </c>
      <c r="L847" s="666" t="s">
        <v>812</v>
      </c>
      <c r="M847" s="666" t="s">
        <v>809</v>
      </c>
      <c r="N847" s="666"/>
      <c r="O847" s="666"/>
      <c r="P847" s="666" t="s">
        <v>813</v>
      </c>
      <c r="Q847" s="666" t="s">
        <v>794</v>
      </c>
      <c r="R847" s="678"/>
      <c r="S847" s="671"/>
      <c r="T847" s="690"/>
      <c r="U847" s="672"/>
      <c r="V847" s="659" t="s">
        <v>1131</v>
      </c>
      <c r="W847" s="666"/>
      <c r="X847" s="17"/>
      <c r="Z847" s="17"/>
    </row>
    <row r="848" spans="1:26" ht="14.25" customHeight="1">
      <c r="A848" s="666" t="s">
        <v>3013</v>
      </c>
      <c r="B848" s="949" t="s">
        <v>323</v>
      </c>
      <c r="C848" s="948" t="s">
        <v>347</v>
      </c>
      <c r="D848" s="760" t="s">
        <v>1693</v>
      </c>
      <c r="E848" s="666"/>
      <c r="F848" s="76"/>
      <c r="G848" s="76"/>
      <c r="H848" s="76"/>
      <c r="I848" s="76"/>
      <c r="J848" s="76" t="s">
        <v>812</v>
      </c>
      <c r="K848" s="666" t="s">
        <v>812</v>
      </c>
      <c r="L848" s="666" t="s">
        <v>812</v>
      </c>
      <c r="M848" s="76" t="s">
        <v>809</v>
      </c>
      <c r="N848" s="666"/>
      <c r="O848" s="666"/>
      <c r="P848" s="76" t="s">
        <v>813</v>
      </c>
      <c r="Q848" s="76" t="s">
        <v>794</v>
      </c>
      <c r="R848" s="931"/>
      <c r="S848" s="132"/>
      <c r="T848" s="137"/>
      <c r="U848" s="133"/>
      <c r="V848" s="659" t="s">
        <v>1132</v>
      </c>
      <c r="W848" s="666"/>
      <c r="X848" s="17"/>
      <c r="Z848" s="17"/>
    </row>
    <row r="849" spans="1:26" ht="14.25" customHeight="1">
      <c r="A849" s="666" t="s">
        <v>3013</v>
      </c>
      <c r="B849" s="695" t="s">
        <v>323</v>
      </c>
      <c r="C849" s="696" t="s">
        <v>3101</v>
      </c>
      <c r="D849" s="669"/>
      <c r="E849" s="76">
        <v>220725</v>
      </c>
      <c r="F849" s="76"/>
      <c r="G849" s="76"/>
      <c r="H849" s="76"/>
      <c r="I849" s="76"/>
      <c r="J849" s="76" t="s">
        <v>812</v>
      </c>
      <c r="K849" s="666" t="s">
        <v>812</v>
      </c>
      <c r="L849" s="666" t="s">
        <v>812</v>
      </c>
      <c r="M849" s="76" t="s">
        <v>697</v>
      </c>
      <c r="N849" s="76">
        <v>21.089906689999999</v>
      </c>
      <c r="O849" s="76">
        <v>92.341598509999997</v>
      </c>
      <c r="P849" s="76"/>
      <c r="Q849" s="76"/>
      <c r="R849" s="678"/>
      <c r="S849" s="671"/>
      <c r="T849" s="137">
        <v>43300</v>
      </c>
      <c r="U849" s="133"/>
      <c r="V849" s="76"/>
      <c r="W849" s="666"/>
      <c r="X849" s="17"/>
      <c r="Z849" s="17"/>
    </row>
    <row r="850" spans="1:26" ht="14.25" customHeight="1">
      <c r="A850" s="666" t="s">
        <v>3013</v>
      </c>
      <c r="B850" s="949" t="s">
        <v>323</v>
      </c>
      <c r="C850" s="948" t="s">
        <v>3100</v>
      </c>
      <c r="D850" s="760"/>
      <c r="E850" s="666">
        <v>220725</v>
      </c>
      <c r="F850" s="76"/>
      <c r="G850" s="76"/>
      <c r="H850" s="76"/>
      <c r="I850" s="76"/>
      <c r="J850" s="76" t="s">
        <v>812</v>
      </c>
      <c r="K850" s="666" t="s">
        <v>812</v>
      </c>
      <c r="L850" s="666" t="s">
        <v>812</v>
      </c>
      <c r="M850" s="76" t="s">
        <v>312</v>
      </c>
      <c r="N850" s="76">
        <v>21.089906689999999</v>
      </c>
      <c r="O850" s="76">
        <v>92.341598509999997</v>
      </c>
      <c r="P850" s="76"/>
      <c r="Q850" s="76"/>
      <c r="R850" s="931"/>
      <c r="S850" s="132"/>
      <c r="T850" s="137">
        <v>43300</v>
      </c>
      <c r="U850" s="133"/>
      <c r="V850" s="76"/>
      <c r="W850" s="666"/>
      <c r="X850" s="17"/>
      <c r="Z850" s="17"/>
    </row>
    <row r="851" spans="1:26" ht="14.25" customHeight="1">
      <c r="A851" s="666" t="s">
        <v>3013</v>
      </c>
      <c r="B851" s="949" t="s">
        <v>323</v>
      </c>
      <c r="C851" s="948" t="s">
        <v>348</v>
      </c>
      <c r="D851" s="760" t="s">
        <v>1693</v>
      </c>
      <c r="E851" s="76"/>
      <c r="F851" s="76"/>
      <c r="G851" s="76"/>
      <c r="H851" s="76"/>
      <c r="I851" s="76"/>
      <c r="J851" s="76" t="s">
        <v>812</v>
      </c>
      <c r="K851" s="666" t="s">
        <v>812</v>
      </c>
      <c r="L851" s="666" t="s">
        <v>812</v>
      </c>
      <c r="M851" s="76" t="s">
        <v>312</v>
      </c>
      <c r="N851" s="76"/>
      <c r="O851" s="76"/>
      <c r="P851" s="76" t="s">
        <v>813</v>
      </c>
      <c r="Q851" s="76" t="s">
        <v>794</v>
      </c>
      <c r="R851" s="931"/>
      <c r="S851" s="671"/>
      <c r="T851" s="137"/>
      <c r="U851" s="133"/>
      <c r="V851" s="659" t="s">
        <v>1133</v>
      </c>
      <c r="W851" s="666"/>
      <c r="X851" s="17"/>
      <c r="Z851" s="17"/>
    </row>
    <row r="852" spans="1:26" ht="14.25" customHeight="1">
      <c r="A852" s="666" t="s">
        <v>3013</v>
      </c>
      <c r="B852" s="949" t="s">
        <v>323</v>
      </c>
      <c r="C852" s="948" t="s">
        <v>2136</v>
      </c>
      <c r="D852" s="760"/>
      <c r="E852" s="76">
        <v>197978</v>
      </c>
      <c r="F852" s="76"/>
      <c r="G852" s="76"/>
      <c r="H852" s="76"/>
      <c r="I852" s="76"/>
      <c r="J852" s="76" t="s">
        <v>812</v>
      </c>
      <c r="K852" s="666" t="s">
        <v>812</v>
      </c>
      <c r="L852" s="76" t="s">
        <v>812</v>
      </c>
      <c r="M852" s="76" t="s">
        <v>809</v>
      </c>
      <c r="N852" s="76">
        <v>20.834230420000001</v>
      </c>
      <c r="O852" s="76">
        <v>92.37967682</v>
      </c>
      <c r="P852" s="76"/>
      <c r="Q852" s="76"/>
      <c r="R852" s="931"/>
      <c r="S852" s="671"/>
      <c r="T852" s="137">
        <v>43300</v>
      </c>
      <c r="U852" s="133"/>
      <c r="V852" s="76"/>
      <c r="W852" s="666"/>
      <c r="X852" s="17"/>
      <c r="Z852" s="17"/>
    </row>
    <row r="853" spans="1:26" ht="14.25" customHeight="1">
      <c r="A853" s="666" t="s">
        <v>3013</v>
      </c>
      <c r="B853" s="960" t="s">
        <v>323</v>
      </c>
      <c r="C853" s="961" t="s">
        <v>646</v>
      </c>
      <c r="D853" s="929" t="s">
        <v>1693</v>
      </c>
      <c r="E853" s="76" t="s">
        <v>1429</v>
      </c>
      <c r="F853" s="76"/>
      <c r="G853" s="76"/>
      <c r="H853" s="76" t="s">
        <v>43</v>
      </c>
      <c r="I853" s="76"/>
      <c r="J853" s="76" t="s">
        <v>812</v>
      </c>
      <c r="K853" s="666" t="s">
        <v>812</v>
      </c>
      <c r="L853" s="666" t="s">
        <v>1693</v>
      </c>
      <c r="M853" s="76" t="s">
        <v>809</v>
      </c>
      <c r="N853" s="666">
        <v>20.827044000000001</v>
      </c>
      <c r="O853" s="666">
        <v>92.362932999999998</v>
      </c>
      <c r="P853" s="76" t="s">
        <v>775</v>
      </c>
      <c r="Q853" s="76" t="s">
        <v>794</v>
      </c>
      <c r="R853" s="939"/>
      <c r="S853" s="671"/>
      <c r="T853" s="137">
        <v>43248</v>
      </c>
      <c r="U853" s="133" t="s">
        <v>1943</v>
      </c>
      <c r="V853" s="76"/>
      <c r="W853" s="666"/>
      <c r="X853" s="17"/>
      <c r="Z853" s="17"/>
    </row>
    <row r="854" spans="1:26" ht="14.25" customHeight="1">
      <c r="A854" s="666" t="s">
        <v>3013</v>
      </c>
      <c r="B854" s="960" t="s">
        <v>323</v>
      </c>
      <c r="C854" s="696" t="s">
        <v>349</v>
      </c>
      <c r="D854" s="669" t="s">
        <v>1693</v>
      </c>
      <c r="E854" s="922"/>
      <c r="F854" s="922"/>
      <c r="G854" s="922"/>
      <c r="H854" s="922"/>
      <c r="I854" s="922"/>
      <c r="J854" s="922" t="s">
        <v>812</v>
      </c>
      <c r="K854" s="922" t="s">
        <v>812</v>
      </c>
      <c r="L854" s="922" t="s">
        <v>812</v>
      </c>
      <c r="M854" s="922" t="s">
        <v>809</v>
      </c>
      <c r="N854" s="922"/>
      <c r="O854" s="922"/>
      <c r="P854" s="922" t="s">
        <v>813</v>
      </c>
      <c r="Q854" s="922" t="s">
        <v>794</v>
      </c>
      <c r="R854" s="939"/>
      <c r="S854" s="932"/>
      <c r="T854" s="951"/>
      <c r="U854" s="933"/>
      <c r="V854" s="922" t="s">
        <v>349</v>
      </c>
      <c r="W854" s="666"/>
      <c r="X854" s="17"/>
      <c r="Z854" s="17"/>
    </row>
    <row r="855" spans="1:26" ht="14.25" customHeight="1">
      <c r="A855" s="666" t="s">
        <v>3013</v>
      </c>
      <c r="B855" s="695" t="s">
        <v>323</v>
      </c>
      <c r="C855" s="696" t="s">
        <v>350</v>
      </c>
      <c r="D855" s="669" t="s">
        <v>1693</v>
      </c>
      <c r="E855" s="666"/>
      <c r="F855" s="666"/>
      <c r="G855" s="666"/>
      <c r="H855" s="666"/>
      <c r="I855" s="666"/>
      <c r="J855" s="666" t="s">
        <v>812</v>
      </c>
      <c r="K855" s="666" t="s">
        <v>812</v>
      </c>
      <c r="L855" s="666" t="s">
        <v>812</v>
      </c>
      <c r="M855" s="666" t="s">
        <v>809</v>
      </c>
      <c r="N855" s="666"/>
      <c r="O855" s="666"/>
      <c r="P855" s="666" t="s">
        <v>813</v>
      </c>
      <c r="Q855" s="666" t="s">
        <v>794</v>
      </c>
      <c r="R855" s="678"/>
      <c r="S855" s="671"/>
      <c r="T855" s="690"/>
      <c r="U855" s="672"/>
      <c r="V855" s="666" t="s">
        <v>350</v>
      </c>
      <c r="W855" s="666"/>
      <c r="X855" s="17"/>
      <c r="Z855" s="17"/>
    </row>
    <row r="856" spans="1:26" ht="14.25" customHeight="1">
      <c r="A856" s="666" t="s">
        <v>3013</v>
      </c>
      <c r="B856" s="960" t="s">
        <v>323</v>
      </c>
      <c r="C856" s="961" t="s">
        <v>2171</v>
      </c>
      <c r="D856" s="929"/>
      <c r="E856" s="666">
        <v>197894</v>
      </c>
      <c r="F856" s="666"/>
      <c r="G856" s="666"/>
      <c r="H856" s="666"/>
      <c r="I856" s="666"/>
      <c r="J856" s="666" t="s">
        <v>812</v>
      </c>
      <c r="K856" s="666" t="s">
        <v>812</v>
      </c>
      <c r="L856" s="666" t="s">
        <v>812</v>
      </c>
      <c r="M856" s="666" t="s">
        <v>312</v>
      </c>
      <c r="N856" s="666">
        <v>21.025550840000001</v>
      </c>
      <c r="O856" s="666">
        <v>92.29528809</v>
      </c>
      <c r="P856" s="666"/>
      <c r="Q856" s="666"/>
      <c r="R856" s="939"/>
      <c r="S856" s="671"/>
      <c r="T856" s="690">
        <v>43300</v>
      </c>
      <c r="U856" s="672"/>
      <c r="V856" s="666"/>
      <c r="W856" s="666"/>
      <c r="X856" s="17"/>
      <c r="Z856" s="17"/>
    </row>
    <row r="857" spans="1:26" ht="14.25" customHeight="1">
      <c r="A857" s="666" t="s">
        <v>3013</v>
      </c>
      <c r="B857" s="695" t="s">
        <v>323</v>
      </c>
      <c r="C857" s="696" t="s">
        <v>695</v>
      </c>
      <c r="D857" s="669" t="s">
        <v>1693</v>
      </c>
      <c r="E857" s="666">
        <v>197894</v>
      </c>
      <c r="F857" s="666"/>
      <c r="G857" s="666"/>
      <c r="H857" s="666"/>
      <c r="I857" s="666"/>
      <c r="J857" s="666" t="s">
        <v>812</v>
      </c>
      <c r="K857" s="666" t="s">
        <v>812</v>
      </c>
      <c r="L857" s="666" t="s">
        <v>812</v>
      </c>
      <c r="M857" s="666" t="s">
        <v>809</v>
      </c>
      <c r="N857" s="666">
        <v>21.025550840000001</v>
      </c>
      <c r="O857" s="666">
        <v>92.29528809</v>
      </c>
      <c r="P857" s="666" t="s">
        <v>813</v>
      </c>
      <c r="Q857" s="666" t="s">
        <v>794</v>
      </c>
      <c r="R857" s="678"/>
      <c r="S857" s="671"/>
      <c r="T857" s="690">
        <v>42745</v>
      </c>
      <c r="U857" s="672"/>
      <c r="V857" s="666" t="s">
        <v>969</v>
      </c>
      <c r="W857" s="666"/>
      <c r="X857" s="17"/>
      <c r="Z857" s="17"/>
    </row>
    <row r="858" spans="1:26" ht="14.25" customHeight="1">
      <c r="A858" s="666" t="s">
        <v>3013</v>
      </c>
      <c r="B858" s="960" t="s">
        <v>323</v>
      </c>
      <c r="C858" s="936" t="s">
        <v>2172</v>
      </c>
      <c r="D858" s="929"/>
      <c r="E858" s="666">
        <v>197895</v>
      </c>
      <c r="F858" s="76"/>
      <c r="G858" s="76"/>
      <c r="H858" s="76"/>
      <c r="I858" s="76"/>
      <c r="J858" s="76" t="s">
        <v>812</v>
      </c>
      <c r="K858" s="666" t="s">
        <v>812</v>
      </c>
      <c r="L858" s="666" t="s">
        <v>812</v>
      </c>
      <c r="M858" s="76" t="s">
        <v>809</v>
      </c>
      <c r="N858" s="76">
        <v>21.019170760000002</v>
      </c>
      <c r="O858" s="666">
        <v>92.291992190000002</v>
      </c>
      <c r="P858" s="76"/>
      <c r="Q858" s="76"/>
      <c r="R858" s="939"/>
      <c r="S858" s="132"/>
      <c r="T858" s="137">
        <v>43300</v>
      </c>
      <c r="U858" s="133"/>
      <c r="V858" s="76"/>
      <c r="W858" s="666"/>
      <c r="X858" s="17"/>
      <c r="Z858" s="17"/>
    </row>
    <row r="859" spans="1:26" s="76" customFormat="1" ht="14.25" customHeight="1">
      <c r="A859" s="666" t="s">
        <v>3013</v>
      </c>
      <c r="B859" s="949" t="s">
        <v>323</v>
      </c>
      <c r="C859" s="948" t="s">
        <v>2134</v>
      </c>
      <c r="D859" s="760"/>
      <c r="E859" s="76">
        <v>197909</v>
      </c>
      <c r="J859" s="76" t="s">
        <v>812</v>
      </c>
      <c r="K859" s="666" t="s">
        <v>812</v>
      </c>
      <c r="L859" s="666" t="s">
        <v>812</v>
      </c>
      <c r="M859" s="76" t="s">
        <v>809</v>
      </c>
      <c r="N859" s="76">
        <v>21.003770830000001</v>
      </c>
      <c r="O859" s="76">
        <v>92.351142879999998</v>
      </c>
      <c r="R859" s="670"/>
      <c r="S859" s="671"/>
      <c r="T859" s="137">
        <v>43300</v>
      </c>
      <c r="U859" s="133"/>
      <c r="W859" s="666"/>
    </row>
    <row r="860" spans="1:26" ht="14.25" customHeight="1">
      <c r="A860" s="666" t="s">
        <v>3013</v>
      </c>
      <c r="B860" s="246" t="s">
        <v>323</v>
      </c>
      <c r="C860" s="696" t="s">
        <v>690</v>
      </c>
      <c r="D860" s="669" t="s">
        <v>1693</v>
      </c>
      <c r="E860" s="984">
        <v>197910</v>
      </c>
      <c r="F860" s="240"/>
      <c r="G860" s="240"/>
      <c r="H860" s="240"/>
      <c r="I860" s="240"/>
      <c r="J860" s="240" t="s">
        <v>812</v>
      </c>
      <c r="K860" s="240" t="s">
        <v>812</v>
      </c>
      <c r="L860" s="240" t="s">
        <v>812</v>
      </c>
      <c r="M860" s="240" t="s">
        <v>312</v>
      </c>
      <c r="N860" s="240">
        <v>21.007270810000001</v>
      </c>
      <c r="O860" s="240">
        <v>92.358520510000005</v>
      </c>
      <c r="P860" s="240" t="s">
        <v>813</v>
      </c>
      <c r="Q860" s="240" t="s">
        <v>816</v>
      </c>
      <c r="R860" s="241"/>
      <c r="S860" s="239"/>
      <c r="T860" s="242">
        <v>42926</v>
      </c>
      <c r="U860" s="243" t="s">
        <v>817</v>
      </c>
      <c r="V860" s="240"/>
      <c r="W860" s="666"/>
      <c r="X860" s="17"/>
      <c r="Z860" s="17"/>
    </row>
    <row r="861" spans="1:26" ht="14.25" customHeight="1">
      <c r="A861" s="666" t="s">
        <v>3013</v>
      </c>
      <c r="B861" s="960" t="s">
        <v>323</v>
      </c>
      <c r="C861" s="961" t="s">
        <v>2133</v>
      </c>
      <c r="D861" s="669"/>
      <c r="E861" s="666">
        <v>197874</v>
      </c>
      <c r="F861" s="666"/>
      <c r="G861" s="76"/>
      <c r="H861" s="922"/>
      <c r="I861" s="76"/>
      <c r="J861" s="76" t="s">
        <v>812</v>
      </c>
      <c r="K861" s="666" t="s">
        <v>812</v>
      </c>
      <c r="L861" s="666" t="s">
        <v>812</v>
      </c>
      <c r="M861" s="76" t="s">
        <v>809</v>
      </c>
      <c r="N861" s="666">
        <v>21.035009380000002</v>
      </c>
      <c r="O861" s="666">
        <v>92.332046509999998</v>
      </c>
      <c r="P861" s="76"/>
      <c r="Q861" s="922"/>
      <c r="R861" s="939"/>
      <c r="S861" s="671"/>
      <c r="T861" s="951">
        <v>43300</v>
      </c>
      <c r="U861" s="133"/>
      <c r="V861" s="76"/>
      <c r="W861" s="666"/>
      <c r="X861" s="17"/>
      <c r="Z861" s="17"/>
    </row>
    <row r="862" spans="1:26" ht="14.25" customHeight="1">
      <c r="A862" s="666" t="s">
        <v>3013</v>
      </c>
      <c r="B862" s="949" t="s">
        <v>323</v>
      </c>
      <c r="C862" s="948" t="s">
        <v>535</v>
      </c>
      <c r="D862" s="760" t="s">
        <v>1693</v>
      </c>
      <c r="E862" s="76"/>
      <c r="F862" s="666"/>
      <c r="G862" s="76"/>
      <c r="H862" s="76"/>
      <c r="I862" s="76"/>
      <c r="J862" s="76" t="s">
        <v>812</v>
      </c>
      <c r="K862" s="666" t="s">
        <v>812</v>
      </c>
      <c r="L862" s="666" t="s">
        <v>812</v>
      </c>
      <c r="M862" s="76" t="s">
        <v>312</v>
      </c>
      <c r="N862" s="666">
        <v>20.651159289999999</v>
      </c>
      <c r="O862" s="666">
        <v>92.605712890000007</v>
      </c>
      <c r="P862" s="76" t="s">
        <v>813</v>
      </c>
      <c r="Q862" s="76" t="s">
        <v>794</v>
      </c>
      <c r="R862" s="931"/>
      <c r="S862" s="132"/>
      <c r="T862" s="137"/>
      <c r="U862" s="133"/>
      <c r="V862" s="76" t="s">
        <v>535</v>
      </c>
      <c r="W862" s="666"/>
      <c r="X862" s="17"/>
      <c r="Z862" s="17"/>
    </row>
    <row r="863" spans="1:26" ht="14.25" customHeight="1">
      <c r="A863" s="666" t="s">
        <v>3013</v>
      </c>
      <c r="B863" s="960" t="s">
        <v>323</v>
      </c>
      <c r="C863" s="696" t="s">
        <v>612</v>
      </c>
      <c r="D863" s="669" t="s">
        <v>1693</v>
      </c>
      <c r="E863" s="922">
        <v>197999</v>
      </c>
      <c r="F863" s="922"/>
      <c r="G863" s="922"/>
      <c r="H863" s="922"/>
      <c r="I863" s="922"/>
      <c r="J863" s="922" t="s">
        <v>812</v>
      </c>
      <c r="K863" s="922" t="s">
        <v>812</v>
      </c>
      <c r="L863" s="922" t="s">
        <v>812</v>
      </c>
      <c r="M863" s="922" t="s">
        <v>809</v>
      </c>
      <c r="N863" s="922">
        <v>20.785320280000001</v>
      </c>
      <c r="O863" s="922">
        <v>92.406509400000004</v>
      </c>
      <c r="P863" s="922" t="s">
        <v>813</v>
      </c>
      <c r="Q863" s="922" t="s">
        <v>794</v>
      </c>
      <c r="R863" s="939"/>
      <c r="S863" s="932"/>
      <c r="T863" s="951"/>
      <c r="U863" s="933"/>
      <c r="V863" s="922" t="s">
        <v>612</v>
      </c>
      <c r="W863" s="666"/>
      <c r="X863" s="17"/>
      <c r="Z863" s="17"/>
    </row>
    <row r="864" spans="1:26" ht="14.25" customHeight="1">
      <c r="A864" s="666" t="s">
        <v>3013</v>
      </c>
      <c r="B864" s="949" t="s">
        <v>323</v>
      </c>
      <c r="C864" s="948" t="s">
        <v>562</v>
      </c>
      <c r="D864" s="760"/>
      <c r="E864" s="76">
        <v>197993</v>
      </c>
      <c r="F864" s="76" t="s">
        <v>562</v>
      </c>
      <c r="G864" s="76"/>
      <c r="H864" s="76"/>
      <c r="I864" s="76"/>
      <c r="J864" s="76" t="s">
        <v>812</v>
      </c>
      <c r="K864" s="76" t="s">
        <v>812</v>
      </c>
      <c r="L864" s="666" t="s">
        <v>812</v>
      </c>
      <c r="M864" s="76" t="s">
        <v>809</v>
      </c>
      <c r="N864" s="666">
        <v>20.809099199999999</v>
      </c>
      <c r="O864" s="666">
        <v>92.39829254</v>
      </c>
      <c r="P864" s="76"/>
      <c r="Q864" s="76"/>
      <c r="R864" s="931"/>
      <c r="S864" s="132"/>
      <c r="T864" s="137">
        <v>43300</v>
      </c>
      <c r="U864" s="133"/>
      <c r="V864" s="76"/>
      <c r="W864" s="666"/>
      <c r="X864" s="17"/>
      <c r="Z864" s="17"/>
    </row>
    <row r="865" spans="1:26" ht="14.25" customHeight="1">
      <c r="A865" s="666" t="s">
        <v>3013</v>
      </c>
      <c r="B865" s="695" t="s">
        <v>323</v>
      </c>
      <c r="C865" s="696" t="s">
        <v>493</v>
      </c>
      <c r="D865" s="669" t="s">
        <v>2383</v>
      </c>
      <c r="E865" s="76" t="s">
        <v>1427</v>
      </c>
      <c r="F865" s="934" t="s">
        <v>1790</v>
      </c>
      <c r="G865" s="76" t="s">
        <v>1790</v>
      </c>
      <c r="H865" s="76" t="s">
        <v>43</v>
      </c>
      <c r="I865" s="76"/>
      <c r="J865" s="76" t="s">
        <v>812</v>
      </c>
      <c r="K865" s="666" t="s">
        <v>812</v>
      </c>
      <c r="L865" s="666" t="s">
        <v>897</v>
      </c>
      <c r="M865" s="76" t="s">
        <v>312</v>
      </c>
      <c r="N865" s="666">
        <v>20.824777999999998</v>
      </c>
      <c r="O865" s="666">
        <v>92.362196999999995</v>
      </c>
      <c r="P865" s="76" t="s">
        <v>813</v>
      </c>
      <c r="Q865" s="76"/>
      <c r="R865" s="931">
        <v>17</v>
      </c>
      <c r="S865" s="132">
        <v>109</v>
      </c>
      <c r="T865" s="137"/>
      <c r="U865" s="133" t="s">
        <v>874</v>
      </c>
      <c r="V865" s="76" t="s">
        <v>493</v>
      </c>
      <c r="W865" s="666"/>
      <c r="X865" s="17"/>
      <c r="Z865" s="17"/>
    </row>
    <row r="866" spans="1:26" ht="14.25" customHeight="1">
      <c r="A866" s="666" t="s">
        <v>3013</v>
      </c>
      <c r="B866" s="960" t="s">
        <v>323</v>
      </c>
      <c r="C866" s="961" t="s">
        <v>2161</v>
      </c>
      <c r="D866" s="929"/>
      <c r="E866" s="928">
        <v>197858</v>
      </c>
      <c r="F866" s="666"/>
      <c r="G866" s="76"/>
      <c r="H866" s="76"/>
      <c r="I866" s="76"/>
      <c r="J866" s="76" t="s">
        <v>812</v>
      </c>
      <c r="K866" s="666" t="s">
        <v>812</v>
      </c>
      <c r="L866" s="666" t="s">
        <v>812</v>
      </c>
      <c r="M866" s="76" t="s">
        <v>2148</v>
      </c>
      <c r="N866" s="922">
        <v>21.160549159999999</v>
      </c>
      <c r="O866" s="922">
        <v>92.330261230000005</v>
      </c>
      <c r="P866" s="76"/>
      <c r="Q866" s="76"/>
      <c r="R866" s="939"/>
      <c r="S866" s="671"/>
      <c r="T866" s="137">
        <v>43300</v>
      </c>
      <c r="U866" s="133"/>
      <c r="V866" s="76"/>
      <c r="W866" s="666"/>
      <c r="X866" s="17"/>
      <c r="Z866" s="17"/>
    </row>
    <row r="867" spans="1:26" ht="14.25" customHeight="1">
      <c r="A867" s="666" t="s">
        <v>3013</v>
      </c>
      <c r="B867" s="689" t="s">
        <v>323</v>
      </c>
      <c r="C867" s="688" t="s">
        <v>2123</v>
      </c>
      <c r="D867" s="929"/>
      <c r="E867" s="638">
        <v>197996</v>
      </c>
      <c r="F867" s="666"/>
      <c r="G867" s="666"/>
      <c r="H867" s="932"/>
      <c r="I867" s="666"/>
      <c r="J867" s="666" t="s">
        <v>812</v>
      </c>
      <c r="K867" s="666" t="s">
        <v>812</v>
      </c>
      <c r="L867" s="666" t="s">
        <v>812</v>
      </c>
      <c r="M867" s="638" t="s">
        <v>809</v>
      </c>
      <c r="N867" s="638">
        <v>20.805980680000001</v>
      </c>
      <c r="O867" s="638">
        <v>92.383308409999998</v>
      </c>
      <c r="P867" s="638"/>
      <c r="Q867" s="928"/>
      <c r="R867" s="670"/>
      <c r="S867" s="671"/>
      <c r="T867" s="952">
        <v>43300</v>
      </c>
      <c r="U867" s="672"/>
      <c r="V867" s="638"/>
      <c r="W867" s="666"/>
      <c r="X867" s="17"/>
      <c r="Z867" s="17"/>
    </row>
    <row r="868" spans="1:26" ht="14.25" customHeight="1">
      <c r="A868" s="666" t="s">
        <v>3013</v>
      </c>
      <c r="B868" s="695" t="s">
        <v>323</v>
      </c>
      <c r="C868" s="696" t="s">
        <v>1948</v>
      </c>
      <c r="D868" s="669"/>
      <c r="E868" s="638">
        <v>197971</v>
      </c>
      <c r="F868" s="666" t="s">
        <v>1948</v>
      </c>
      <c r="G868" s="666"/>
      <c r="H868" s="666"/>
      <c r="I868" s="666"/>
      <c r="J868" s="666" t="s">
        <v>812</v>
      </c>
      <c r="K868" s="666" t="s">
        <v>812</v>
      </c>
      <c r="L868" s="666" t="s">
        <v>812</v>
      </c>
      <c r="M868" s="638" t="s">
        <v>809</v>
      </c>
      <c r="N868" s="638">
        <v>20.872400280000001</v>
      </c>
      <c r="O868" s="666">
        <v>92.337608340000003</v>
      </c>
      <c r="P868" s="638" t="s">
        <v>813</v>
      </c>
      <c r="Q868" s="666" t="s">
        <v>1950</v>
      </c>
      <c r="R868" s="678"/>
      <c r="S868" s="671"/>
      <c r="T868" s="690">
        <v>43245</v>
      </c>
      <c r="U868" s="672"/>
      <c r="V868" s="638"/>
      <c r="W868" s="666"/>
      <c r="X868" s="17"/>
      <c r="Z868" s="17"/>
    </row>
    <row r="869" spans="1:26" ht="14.25" customHeight="1">
      <c r="A869" s="666" t="s">
        <v>3013</v>
      </c>
      <c r="B869" s="246" t="s">
        <v>323</v>
      </c>
      <c r="C869" s="696" t="s">
        <v>353</v>
      </c>
      <c r="D869" s="669" t="s">
        <v>1693</v>
      </c>
      <c r="E869" s="240"/>
      <c r="F869" s="240"/>
      <c r="G869" s="240"/>
      <c r="H869" s="240"/>
      <c r="I869" s="240"/>
      <c r="J869" s="240" t="s">
        <v>812</v>
      </c>
      <c r="K869" s="240" t="s">
        <v>812</v>
      </c>
      <c r="L869" s="240" t="s">
        <v>812</v>
      </c>
      <c r="M869" s="240" t="s">
        <v>809</v>
      </c>
      <c r="N869" s="955"/>
      <c r="O869" s="955"/>
      <c r="P869" s="240" t="s">
        <v>813</v>
      </c>
      <c r="Q869" s="240" t="s">
        <v>794</v>
      </c>
      <c r="R869" s="241"/>
      <c r="S869" s="239"/>
      <c r="T869" s="242"/>
      <c r="U869" s="243"/>
      <c r="V869" s="240" t="s">
        <v>353</v>
      </c>
      <c r="W869" s="666"/>
      <c r="X869" s="17"/>
      <c r="Z869" s="17"/>
    </row>
    <row r="870" spans="1:26" ht="14.25" customHeight="1">
      <c r="A870" s="666" t="s">
        <v>3013</v>
      </c>
      <c r="B870" s="960" t="s">
        <v>323</v>
      </c>
      <c r="C870" s="961" t="s">
        <v>617</v>
      </c>
      <c r="D870" s="929" t="s">
        <v>1693</v>
      </c>
      <c r="E870" s="666">
        <v>198000</v>
      </c>
      <c r="F870" s="666"/>
      <c r="G870" s="666"/>
      <c r="H870" s="666"/>
      <c r="I870" s="666"/>
      <c r="J870" s="638" t="s">
        <v>812</v>
      </c>
      <c r="K870" s="638" t="s">
        <v>812</v>
      </c>
      <c r="L870" s="638" t="s">
        <v>812</v>
      </c>
      <c r="M870" s="666" t="s">
        <v>809</v>
      </c>
      <c r="N870" s="666">
        <v>20.788669590000001</v>
      </c>
      <c r="O870" s="666">
        <v>92.397300720000004</v>
      </c>
      <c r="P870" s="638" t="s">
        <v>813</v>
      </c>
      <c r="Q870" s="666" t="s">
        <v>794</v>
      </c>
      <c r="R870" s="939"/>
      <c r="S870" s="671"/>
      <c r="T870" s="690"/>
      <c r="U870" s="672"/>
      <c r="V870" s="666" t="s">
        <v>617</v>
      </c>
      <c r="W870" s="666"/>
      <c r="X870" s="17"/>
      <c r="Z870" s="17"/>
    </row>
    <row r="871" spans="1:26" ht="14.25" customHeight="1">
      <c r="A871" s="666" t="s">
        <v>3013</v>
      </c>
      <c r="B871" s="695" t="s">
        <v>323</v>
      </c>
      <c r="C871" s="696" t="s">
        <v>2116</v>
      </c>
      <c r="D871" s="669"/>
      <c r="E871" s="638">
        <v>197972</v>
      </c>
      <c r="F871" s="928"/>
      <c r="G871" s="638"/>
      <c r="H871" s="638"/>
      <c r="I871" s="638"/>
      <c r="J871" s="638" t="s">
        <v>812</v>
      </c>
      <c r="K871" s="666" t="s">
        <v>812</v>
      </c>
      <c r="L871" s="666" t="s">
        <v>812</v>
      </c>
      <c r="M871" s="638" t="s">
        <v>809</v>
      </c>
      <c r="N871" s="638">
        <v>20.879430769999999</v>
      </c>
      <c r="O871" s="666">
        <v>92.334373470000003</v>
      </c>
      <c r="P871" s="638"/>
      <c r="Q871" s="638"/>
      <c r="R871" s="939"/>
      <c r="S871" s="932"/>
      <c r="T871" s="641">
        <v>43300</v>
      </c>
      <c r="U871" s="640"/>
      <c r="V871" s="638"/>
      <c r="W871" s="666"/>
      <c r="X871" s="17"/>
      <c r="Z871" s="17"/>
    </row>
    <row r="872" spans="1:26" ht="14.25" customHeight="1">
      <c r="A872" s="666" t="s">
        <v>3013</v>
      </c>
      <c r="B872" s="949" t="s">
        <v>323</v>
      </c>
      <c r="C872" s="948" t="s">
        <v>312</v>
      </c>
      <c r="D872" s="760" t="s">
        <v>1693</v>
      </c>
      <c r="E872" s="922"/>
      <c r="F872" s="922"/>
      <c r="G872" s="922"/>
      <c r="H872" s="922"/>
      <c r="I872" s="922"/>
      <c r="J872" s="922" t="s">
        <v>812</v>
      </c>
      <c r="K872" s="922" t="s">
        <v>812</v>
      </c>
      <c r="L872" s="922" t="s">
        <v>812</v>
      </c>
      <c r="M872" s="922" t="s">
        <v>312</v>
      </c>
      <c r="N872" s="943"/>
      <c r="O872" s="943"/>
      <c r="P872" s="922" t="s">
        <v>813</v>
      </c>
      <c r="Q872" s="922" t="s">
        <v>794</v>
      </c>
      <c r="R872" s="931"/>
      <c r="S872" s="932"/>
      <c r="T872" s="951"/>
      <c r="U872" s="933"/>
      <c r="V872" s="922" t="s">
        <v>312</v>
      </c>
      <c r="W872" s="666"/>
      <c r="X872" s="17"/>
      <c r="Z872" s="17"/>
    </row>
    <row r="873" spans="1:26" ht="14.25" customHeight="1">
      <c r="A873" s="666" t="s">
        <v>3013</v>
      </c>
      <c r="B873" s="949" t="s">
        <v>323</v>
      </c>
      <c r="C873" s="948" t="s">
        <v>358</v>
      </c>
      <c r="D873" s="760" t="s">
        <v>1693</v>
      </c>
      <c r="E873" s="638"/>
      <c r="F873" s="638"/>
      <c r="G873" s="638"/>
      <c r="H873" s="638"/>
      <c r="I873" s="638"/>
      <c r="J873" s="638" t="s">
        <v>812</v>
      </c>
      <c r="K873" s="638" t="s">
        <v>812</v>
      </c>
      <c r="L873" s="638" t="s">
        <v>812</v>
      </c>
      <c r="M873" s="638" t="s">
        <v>312</v>
      </c>
      <c r="N873" s="638"/>
      <c r="O873" s="638"/>
      <c r="P873" s="638" t="s">
        <v>813</v>
      </c>
      <c r="Q873" s="638" t="s">
        <v>794</v>
      </c>
      <c r="R873" s="931"/>
      <c r="S873" s="671"/>
      <c r="T873" s="641"/>
      <c r="U873" s="640"/>
      <c r="V873" s="638"/>
      <c r="W873" s="666"/>
      <c r="X873" s="17"/>
      <c r="Z873" s="17"/>
    </row>
    <row r="874" spans="1:26" ht="14.25" customHeight="1">
      <c r="A874" s="666" t="s">
        <v>3013</v>
      </c>
      <c r="B874" s="960" t="s">
        <v>323</v>
      </c>
      <c r="C874" s="961" t="s">
        <v>1149</v>
      </c>
      <c r="D874" s="929" t="s">
        <v>1693</v>
      </c>
      <c r="E874" s="638"/>
      <c r="F874" s="666"/>
      <c r="G874" s="638"/>
      <c r="H874" s="638"/>
      <c r="I874" s="638"/>
      <c r="J874" s="638" t="s">
        <v>812</v>
      </c>
      <c r="K874" s="638" t="s">
        <v>812</v>
      </c>
      <c r="L874" s="638" t="s">
        <v>812</v>
      </c>
      <c r="M874" s="638" t="s">
        <v>809</v>
      </c>
      <c r="N874" s="638"/>
      <c r="O874" s="638"/>
      <c r="P874" s="638" t="s">
        <v>813</v>
      </c>
      <c r="Q874" s="638"/>
      <c r="R874" s="939"/>
      <c r="S874" s="671"/>
      <c r="T874" s="641"/>
      <c r="U874" s="640"/>
      <c r="V874" s="638" t="s">
        <v>358</v>
      </c>
      <c r="W874" s="666"/>
      <c r="X874" s="17"/>
      <c r="Z874" s="17"/>
    </row>
    <row r="875" spans="1:26" ht="14.25" customHeight="1">
      <c r="A875" s="666" t="s">
        <v>3013</v>
      </c>
      <c r="B875" s="960" t="s">
        <v>323</v>
      </c>
      <c r="C875" s="961" t="s">
        <v>359</v>
      </c>
      <c r="D875" s="929" t="s">
        <v>1693</v>
      </c>
      <c r="E875" s="638"/>
      <c r="F875" s="666"/>
      <c r="G875" s="638"/>
      <c r="H875" s="638"/>
      <c r="I875" s="638"/>
      <c r="J875" s="638" t="s">
        <v>812</v>
      </c>
      <c r="K875" s="638" t="s">
        <v>812</v>
      </c>
      <c r="L875" s="638" t="s">
        <v>812</v>
      </c>
      <c r="M875" s="638" t="s">
        <v>312</v>
      </c>
      <c r="N875" s="638"/>
      <c r="O875" s="638"/>
      <c r="P875" s="638" t="s">
        <v>813</v>
      </c>
      <c r="Q875" s="638" t="s">
        <v>794</v>
      </c>
      <c r="R875" s="939"/>
      <c r="S875" s="671"/>
      <c r="T875" s="641"/>
      <c r="U875" s="640"/>
      <c r="V875" s="638" t="s">
        <v>358</v>
      </c>
      <c r="W875" s="666"/>
      <c r="X875" s="17"/>
      <c r="Z875" s="17"/>
    </row>
    <row r="876" spans="1:26" ht="14.25" customHeight="1">
      <c r="A876" s="666" t="s">
        <v>3013</v>
      </c>
      <c r="B876" s="689" t="s">
        <v>323</v>
      </c>
      <c r="C876" s="688" t="s">
        <v>360</v>
      </c>
      <c r="D876" s="760" t="s">
        <v>1693</v>
      </c>
      <c r="E876" s="638"/>
      <c r="F876" s="666"/>
      <c r="G876" s="638"/>
      <c r="H876" s="638"/>
      <c r="I876" s="638"/>
      <c r="J876" s="638" t="s">
        <v>812</v>
      </c>
      <c r="K876" s="666" t="s">
        <v>812</v>
      </c>
      <c r="L876" s="666" t="s">
        <v>812</v>
      </c>
      <c r="M876" s="638" t="s">
        <v>809</v>
      </c>
      <c r="N876" s="638"/>
      <c r="O876" s="638"/>
      <c r="P876" s="638" t="s">
        <v>813</v>
      </c>
      <c r="Q876" s="638" t="s">
        <v>794</v>
      </c>
      <c r="R876" s="670"/>
      <c r="S876" s="671"/>
      <c r="T876" s="641"/>
      <c r="U876" s="640"/>
      <c r="V876" s="638" t="s">
        <v>360</v>
      </c>
      <c r="W876" s="666"/>
      <c r="X876" s="17"/>
      <c r="Z876" s="17"/>
    </row>
    <row r="877" spans="1:26" ht="14.25" customHeight="1">
      <c r="A877" s="666" t="s">
        <v>3013</v>
      </c>
      <c r="B877" s="695" t="s">
        <v>323</v>
      </c>
      <c r="C877" s="696" t="s">
        <v>2139</v>
      </c>
      <c r="D877" s="669"/>
      <c r="E877" s="666">
        <v>197897</v>
      </c>
      <c r="F877" s="666"/>
      <c r="G877" s="666"/>
      <c r="H877" s="666"/>
      <c r="I877" s="666"/>
      <c r="J877" s="666" t="s">
        <v>812</v>
      </c>
      <c r="K877" s="666" t="s">
        <v>812</v>
      </c>
      <c r="L877" s="666" t="s">
        <v>812</v>
      </c>
      <c r="M877" s="666" t="s">
        <v>312</v>
      </c>
      <c r="N877" s="666">
        <v>21.004550930000001</v>
      </c>
      <c r="O877" s="666">
        <v>92.294601439999994</v>
      </c>
      <c r="P877" s="666"/>
      <c r="Q877" s="666"/>
      <c r="R877" s="940"/>
      <c r="S877" s="936"/>
      <c r="T877" s="690">
        <v>43300</v>
      </c>
      <c r="U877" s="672"/>
      <c r="V877" s="666"/>
      <c r="W877" s="666"/>
      <c r="X877" s="17"/>
      <c r="Z877" s="17"/>
    </row>
    <row r="878" spans="1:26" ht="14.25" customHeight="1">
      <c r="A878" s="666" t="s">
        <v>3013</v>
      </c>
      <c r="B878" s="246" t="s">
        <v>323</v>
      </c>
      <c r="C878" s="247" t="s">
        <v>701</v>
      </c>
      <c r="D878" s="929" t="s">
        <v>1693</v>
      </c>
      <c r="E878" s="240">
        <v>197866</v>
      </c>
      <c r="F878" s="240"/>
      <c r="G878" s="240"/>
      <c r="H878" s="240"/>
      <c r="I878" s="240"/>
      <c r="J878" s="240" t="s">
        <v>812</v>
      </c>
      <c r="K878" s="240" t="s">
        <v>812</v>
      </c>
      <c r="L878" s="240" t="s">
        <v>812</v>
      </c>
      <c r="M878" s="240" t="s">
        <v>809</v>
      </c>
      <c r="N878" s="240">
        <v>21.05834961</v>
      </c>
      <c r="O878" s="240">
        <v>92.336326600000007</v>
      </c>
      <c r="P878" s="240" t="s">
        <v>813</v>
      </c>
      <c r="Q878" s="240" t="s">
        <v>794</v>
      </c>
      <c r="R878" s="765"/>
      <c r="S878" s="764"/>
      <c r="T878" s="242">
        <v>42745</v>
      </c>
      <c r="U878" s="243"/>
      <c r="V878" s="240" t="s">
        <v>701</v>
      </c>
      <c r="W878" s="666"/>
      <c r="X878" s="17"/>
      <c r="Z878" s="17"/>
    </row>
    <row r="879" spans="1:26" ht="14.25" customHeight="1">
      <c r="A879" s="666" t="s">
        <v>3013</v>
      </c>
      <c r="B879" s="695" t="s">
        <v>323</v>
      </c>
      <c r="C879" s="696" t="s">
        <v>689</v>
      </c>
      <c r="D879" s="669" t="s">
        <v>1693</v>
      </c>
      <c r="E879" s="666"/>
      <c r="F879" s="666"/>
      <c r="G879" s="638"/>
      <c r="H879" s="638"/>
      <c r="I879" s="666"/>
      <c r="J879" s="638" t="s">
        <v>812</v>
      </c>
      <c r="K879" s="666" t="s">
        <v>812</v>
      </c>
      <c r="L879" s="666" t="s">
        <v>812</v>
      </c>
      <c r="M879" s="638" t="s">
        <v>312</v>
      </c>
      <c r="N879" s="638">
        <v>21.004550930000001</v>
      </c>
      <c r="O879" s="638">
        <v>92.294601439999994</v>
      </c>
      <c r="P879" s="638" t="s">
        <v>813</v>
      </c>
      <c r="Q879" s="638" t="s">
        <v>794</v>
      </c>
      <c r="R879" s="678"/>
      <c r="S879" s="671"/>
      <c r="T879" s="641"/>
      <c r="U879" s="640"/>
      <c r="V879" s="638" t="s">
        <v>689</v>
      </c>
      <c r="W879" s="666"/>
      <c r="X879" s="17"/>
      <c r="Z879" s="17"/>
    </row>
    <row r="880" spans="1:26" ht="14.25" customHeight="1">
      <c r="A880" s="666" t="s">
        <v>3013</v>
      </c>
      <c r="B880" s="949" t="s">
        <v>323</v>
      </c>
      <c r="C880" s="948" t="s">
        <v>2137</v>
      </c>
      <c r="D880" s="760"/>
      <c r="E880" s="922">
        <v>197983</v>
      </c>
      <c r="F880" s="666"/>
      <c r="G880" s="666"/>
      <c r="H880" s="666"/>
      <c r="I880" s="666"/>
      <c r="J880" s="666" t="s">
        <v>812</v>
      </c>
      <c r="K880" s="666" t="s">
        <v>812</v>
      </c>
      <c r="L880" s="666" t="s">
        <v>812</v>
      </c>
      <c r="M880" s="666" t="s">
        <v>697</v>
      </c>
      <c r="N880" s="666">
        <v>20.834699629999999</v>
      </c>
      <c r="O880" s="666">
        <v>92.372390749999994</v>
      </c>
      <c r="P880" s="666"/>
      <c r="Q880" s="666"/>
      <c r="R880" s="931"/>
      <c r="S880" s="671"/>
      <c r="T880" s="690">
        <v>43300</v>
      </c>
      <c r="U880" s="672"/>
      <c r="V880" s="666"/>
      <c r="W880" s="666"/>
      <c r="X880" s="17"/>
      <c r="Z880" s="17"/>
    </row>
    <row r="881" spans="1:26" ht="14.25" customHeight="1">
      <c r="A881" s="666" t="s">
        <v>3013</v>
      </c>
      <c r="B881" s="689" t="s">
        <v>323</v>
      </c>
      <c r="C881" s="688" t="s">
        <v>580</v>
      </c>
      <c r="D881" s="760" t="s">
        <v>1693</v>
      </c>
      <c r="E881" s="638">
        <v>198047</v>
      </c>
      <c r="F881" s="638"/>
      <c r="G881" s="638"/>
      <c r="H881" s="638"/>
      <c r="I881" s="638"/>
      <c r="J881" s="638" t="s">
        <v>812</v>
      </c>
      <c r="K881" s="638" t="s">
        <v>812</v>
      </c>
      <c r="L881" s="638" t="s">
        <v>812</v>
      </c>
      <c r="M881" s="638" t="s">
        <v>809</v>
      </c>
      <c r="N881" s="638">
        <v>20.717479709999999</v>
      </c>
      <c r="O881" s="638">
        <v>92.437492370000001</v>
      </c>
      <c r="P881" s="638" t="s">
        <v>813</v>
      </c>
      <c r="Q881" s="638" t="s">
        <v>794</v>
      </c>
      <c r="R881" s="670"/>
      <c r="S881" s="671"/>
      <c r="T881" s="641"/>
      <c r="U881" s="640"/>
      <c r="V881" s="638" t="s">
        <v>580</v>
      </c>
      <c r="W881" s="666"/>
      <c r="X881" s="17"/>
      <c r="Z881" s="17"/>
    </row>
    <row r="882" spans="1:26" ht="14.25" customHeight="1">
      <c r="A882" s="666" t="s">
        <v>3013</v>
      </c>
      <c r="B882" s="689" t="s">
        <v>323</v>
      </c>
      <c r="C882" s="688" t="s">
        <v>2821</v>
      </c>
      <c r="D882" s="760"/>
      <c r="E882" s="638"/>
      <c r="F882" s="638" t="s">
        <v>2957</v>
      </c>
      <c r="G882" s="638"/>
      <c r="H882" s="638"/>
      <c r="I882" s="638"/>
      <c r="J882" s="638" t="s">
        <v>812</v>
      </c>
      <c r="K882" s="638" t="s">
        <v>812</v>
      </c>
      <c r="L882" s="638" t="s">
        <v>812</v>
      </c>
      <c r="M882" s="638" t="s">
        <v>312</v>
      </c>
      <c r="N882" s="638"/>
      <c r="O882" s="638"/>
      <c r="P882" s="638"/>
      <c r="Q882" s="638"/>
      <c r="R882" s="670"/>
      <c r="S882" s="671"/>
      <c r="T882" s="641"/>
      <c r="U882" s="640"/>
      <c r="V882" s="638"/>
      <c r="W882" s="666"/>
      <c r="X882" s="17"/>
      <c r="Z882" s="17"/>
    </row>
    <row r="883" spans="1:26" ht="14.25" customHeight="1">
      <c r="A883" s="932" t="s">
        <v>3013</v>
      </c>
      <c r="B883" s="960" t="s">
        <v>323</v>
      </c>
      <c r="C883" s="961" t="s">
        <v>3270</v>
      </c>
      <c r="D883" s="929"/>
      <c r="E883" s="638"/>
      <c r="F883" s="666"/>
      <c r="G883" s="638"/>
      <c r="H883" s="638"/>
      <c r="I883" s="638"/>
      <c r="J883" s="638" t="s">
        <v>812</v>
      </c>
      <c r="K883" s="638" t="s">
        <v>812</v>
      </c>
      <c r="L883" s="638" t="s">
        <v>812</v>
      </c>
      <c r="M883" s="638"/>
      <c r="N883" s="638"/>
      <c r="O883" s="638"/>
      <c r="P883" s="638"/>
      <c r="Q883" s="638"/>
      <c r="R883" s="939"/>
      <c r="S883" s="671"/>
      <c r="T883" s="641"/>
      <c r="U883" s="939"/>
      <c r="V883" s="638"/>
      <c r="W883" s="931"/>
      <c r="X883" s="17"/>
      <c r="Z883" s="17"/>
    </row>
    <row r="884" spans="1:26" ht="14.25" customHeight="1">
      <c r="A884" s="666" t="s">
        <v>3013</v>
      </c>
      <c r="B884" s="695" t="s">
        <v>323</v>
      </c>
      <c r="C884" s="696" t="s">
        <v>2124</v>
      </c>
      <c r="D884" s="669"/>
      <c r="E884" s="638">
        <v>220737</v>
      </c>
      <c r="F884" s="638" t="s">
        <v>562</v>
      </c>
      <c r="G884" s="638"/>
      <c r="H884" s="638"/>
      <c r="I884" s="638"/>
      <c r="J884" s="638" t="s">
        <v>812</v>
      </c>
      <c r="K884" s="638" t="s">
        <v>812</v>
      </c>
      <c r="L884" s="638" t="s">
        <v>812</v>
      </c>
      <c r="M884" s="638" t="s">
        <v>312</v>
      </c>
      <c r="N884" s="638">
        <v>20.806211470000001</v>
      </c>
      <c r="O884" s="638">
        <v>92.404357910000002</v>
      </c>
      <c r="P884" s="638"/>
      <c r="Q884" s="638"/>
      <c r="R884" s="678"/>
      <c r="S884" s="671"/>
      <c r="T884" s="641">
        <v>43300</v>
      </c>
      <c r="U884" s="640"/>
      <c r="V884" s="638"/>
      <c r="W884" s="666"/>
      <c r="X884" s="17"/>
      <c r="Z884" s="17"/>
    </row>
    <row r="885" spans="1:26" ht="14.25" customHeight="1">
      <c r="A885" s="666" t="s">
        <v>3013</v>
      </c>
      <c r="B885" s="949" t="s">
        <v>323</v>
      </c>
      <c r="C885" s="948" t="s">
        <v>2107</v>
      </c>
      <c r="D885" s="760"/>
      <c r="E885" s="638">
        <v>197940</v>
      </c>
      <c r="F885" s="638"/>
      <c r="G885" s="638"/>
      <c r="H885" s="638"/>
      <c r="I885" s="638"/>
      <c r="J885" s="638" t="s">
        <v>812</v>
      </c>
      <c r="K885" s="638" t="s">
        <v>812</v>
      </c>
      <c r="L885" s="638" t="s">
        <v>812</v>
      </c>
      <c r="M885" s="638" t="s">
        <v>809</v>
      </c>
      <c r="N885" s="638">
        <v>20.836729049999999</v>
      </c>
      <c r="O885" s="638">
        <v>92.350952149999998</v>
      </c>
      <c r="P885" s="638"/>
      <c r="Q885" s="638"/>
      <c r="R885" s="931"/>
      <c r="S885" s="671"/>
      <c r="T885" s="641">
        <v>43300</v>
      </c>
      <c r="U885" s="640"/>
      <c r="V885" s="638"/>
      <c r="W885" s="666"/>
      <c r="X885" s="17"/>
      <c r="Z885" s="17"/>
    </row>
    <row r="886" spans="1:26" ht="14.25" customHeight="1">
      <c r="A886" s="666" t="s">
        <v>3013</v>
      </c>
      <c r="B886" s="960" t="s">
        <v>323</v>
      </c>
      <c r="C886" s="961" t="s">
        <v>2106</v>
      </c>
      <c r="D886" s="929"/>
      <c r="E886" s="638">
        <v>197940</v>
      </c>
      <c r="F886" s="638"/>
      <c r="G886" s="638"/>
      <c r="H886" s="638"/>
      <c r="I886" s="638"/>
      <c r="J886" s="638" t="s">
        <v>812</v>
      </c>
      <c r="K886" s="638" t="s">
        <v>812</v>
      </c>
      <c r="L886" s="638" t="s">
        <v>812</v>
      </c>
      <c r="M886" s="638" t="s">
        <v>809</v>
      </c>
      <c r="N886" s="638">
        <v>20.836729049999999</v>
      </c>
      <c r="O886" s="638">
        <v>92.350952149999998</v>
      </c>
      <c r="P886" s="638"/>
      <c r="Q886" s="638"/>
      <c r="R886" s="939"/>
      <c r="S886" s="671"/>
      <c r="T886" s="641">
        <v>43300</v>
      </c>
      <c r="U886" s="640"/>
      <c r="V886" s="638"/>
      <c r="W886" s="666"/>
      <c r="X886" s="17"/>
      <c r="Z886" s="17"/>
    </row>
    <row r="887" spans="1:26" ht="14.25" customHeight="1">
      <c r="A887" s="666" t="s">
        <v>3013</v>
      </c>
      <c r="B887" s="960" t="s">
        <v>323</v>
      </c>
      <c r="C887" s="961" t="s">
        <v>2104</v>
      </c>
      <c r="D887" s="929"/>
      <c r="E887" s="928">
        <v>197940</v>
      </c>
      <c r="F887" s="666"/>
      <c r="G887" s="666"/>
      <c r="H887" s="666"/>
      <c r="I887" s="666"/>
      <c r="J887" s="638" t="s">
        <v>812</v>
      </c>
      <c r="K887" s="638" t="s">
        <v>812</v>
      </c>
      <c r="L887" s="638" t="s">
        <v>812</v>
      </c>
      <c r="M887" s="666" t="s">
        <v>809</v>
      </c>
      <c r="N887" s="666">
        <v>20.836729049999999</v>
      </c>
      <c r="O887" s="666">
        <v>92.350952149999998</v>
      </c>
      <c r="P887" s="638"/>
      <c r="Q887" s="666"/>
      <c r="R887" s="939"/>
      <c r="S887" s="671"/>
      <c r="T887" s="690">
        <v>43300</v>
      </c>
      <c r="U887" s="672"/>
      <c r="V887" s="666"/>
      <c r="W887" s="666"/>
      <c r="X887" s="17"/>
      <c r="Z887" s="17"/>
    </row>
    <row r="888" spans="1:26" ht="14.25" customHeight="1">
      <c r="A888" s="666" t="s">
        <v>3013</v>
      </c>
      <c r="B888" s="689" t="s">
        <v>323</v>
      </c>
      <c r="C888" s="688" t="s">
        <v>2173</v>
      </c>
      <c r="D888" s="760"/>
      <c r="E888" s="666">
        <v>197940</v>
      </c>
      <c r="F888" s="666"/>
      <c r="G888" s="666"/>
      <c r="H888" s="666"/>
      <c r="I888" s="666"/>
      <c r="J888" s="638" t="s">
        <v>812</v>
      </c>
      <c r="K888" s="666" t="s">
        <v>812</v>
      </c>
      <c r="L888" s="666" t="s">
        <v>812</v>
      </c>
      <c r="M888" s="666" t="s">
        <v>697</v>
      </c>
      <c r="N888" s="666">
        <v>20.836729049999999</v>
      </c>
      <c r="O888" s="666">
        <v>92.350952149999998</v>
      </c>
      <c r="P888" s="638"/>
      <c r="Q888" s="666"/>
      <c r="R888" s="670"/>
      <c r="S888" s="671"/>
      <c r="T888" s="690">
        <v>43300</v>
      </c>
      <c r="U888" s="672"/>
      <c r="V888" s="666"/>
      <c r="W888" s="666"/>
      <c r="X888" s="17"/>
      <c r="Z888" s="17"/>
    </row>
    <row r="889" spans="1:26" ht="14.25" customHeight="1">
      <c r="A889" s="666" t="s">
        <v>3013</v>
      </c>
      <c r="B889" s="689" t="s">
        <v>323</v>
      </c>
      <c r="C889" s="688" t="s">
        <v>2154</v>
      </c>
      <c r="D889" s="760"/>
      <c r="E889" s="638">
        <v>197933</v>
      </c>
      <c r="F889" s="638"/>
      <c r="G889" s="638"/>
      <c r="H889" s="638"/>
      <c r="I889" s="638"/>
      <c r="J889" s="638" t="s">
        <v>812</v>
      </c>
      <c r="K889" s="638" t="s">
        <v>812</v>
      </c>
      <c r="L889" s="638" t="s">
        <v>812</v>
      </c>
      <c r="M889" s="638" t="s">
        <v>809</v>
      </c>
      <c r="N889" s="638">
        <v>20.85235977</v>
      </c>
      <c r="O889" s="666">
        <v>92.352790830000004</v>
      </c>
      <c r="P889" s="638"/>
      <c r="Q889" s="638"/>
      <c r="R889" s="670"/>
      <c r="S889" s="671"/>
      <c r="T889" s="641">
        <v>43300</v>
      </c>
      <c r="U889" s="640"/>
      <c r="V889" s="638"/>
      <c r="W889" s="666"/>
      <c r="X889" s="17"/>
      <c r="Z889" s="17"/>
    </row>
    <row r="890" spans="1:26" ht="14.25" customHeight="1">
      <c r="A890" s="666" t="s">
        <v>3013</v>
      </c>
      <c r="B890" s="689" t="s">
        <v>323</v>
      </c>
      <c r="C890" s="688" t="s">
        <v>702</v>
      </c>
      <c r="D890" s="760" t="s">
        <v>1693</v>
      </c>
      <c r="E890" s="638" t="s">
        <v>1436</v>
      </c>
      <c r="F890" s="638"/>
      <c r="G890" s="638"/>
      <c r="H890" s="638" t="s">
        <v>43</v>
      </c>
      <c r="I890" s="638"/>
      <c r="J890" s="638" t="s">
        <v>812</v>
      </c>
      <c r="K890" s="638" t="s">
        <v>812</v>
      </c>
      <c r="L890" s="638" t="s">
        <v>1693</v>
      </c>
      <c r="M890" s="638" t="s">
        <v>809</v>
      </c>
      <c r="N890" s="638">
        <v>21.066663999999999</v>
      </c>
      <c r="O890" s="638">
        <v>92.338031000000001</v>
      </c>
      <c r="P890" s="638" t="s">
        <v>775</v>
      </c>
      <c r="Q890" s="638" t="s">
        <v>794</v>
      </c>
      <c r="R890" s="670"/>
      <c r="S890" s="671"/>
      <c r="T890" s="641">
        <v>43248</v>
      </c>
      <c r="U890" s="640" t="s">
        <v>1943</v>
      </c>
      <c r="V890" s="638"/>
      <c r="W890" s="666"/>
      <c r="X890" s="17"/>
      <c r="Z890" s="17"/>
    </row>
    <row r="891" spans="1:26" ht="14.25" customHeight="1">
      <c r="A891" s="922" t="s">
        <v>3013</v>
      </c>
      <c r="B891" s="960" t="s">
        <v>323</v>
      </c>
      <c r="C891" s="961" t="s">
        <v>2074</v>
      </c>
      <c r="D891" s="669"/>
      <c r="E891" s="922">
        <v>197830</v>
      </c>
      <c r="F891" s="922" t="s">
        <v>2070</v>
      </c>
      <c r="G891" s="922"/>
      <c r="H891" s="922"/>
      <c r="I891" s="922"/>
      <c r="J891" s="922" t="s">
        <v>812</v>
      </c>
      <c r="K891" s="922" t="s">
        <v>812</v>
      </c>
      <c r="L891" s="922" t="s">
        <v>812</v>
      </c>
      <c r="M891" s="922" t="s">
        <v>312</v>
      </c>
      <c r="N891" s="922">
        <v>21.218200679999999</v>
      </c>
      <c r="O891" s="922">
        <v>92.323173519999997</v>
      </c>
      <c r="P891" s="922" t="s">
        <v>813</v>
      </c>
      <c r="Q891" s="922"/>
      <c r="R891" s="939"/>
      <c r="S891" s="932"/>
      <c r="T891" s="951">
        <v>43294</v>
      </c>
      <c r="U891" s="933" t="s">
        <v>2068</v>
      </c>
      <c r="V891" s="922"/>
      <c r="W891" s="922"/>
      <c r="X891" s="17"/>
      <c r="Z891" s="17"/>
    </row>
    <row r="892" spans="1:26" ht="14.25" customHeight="1">
      <c r="A892" s="666" t="s">
        <v>3013</v>
      </c>
      <c r="B892" s="960" t="s">
        <v>323</v>
      </c>
      <c r="C892" s="961" t="s">
        <v>2166</v>
      </c>
      <c r="D892" s="929"/>
      <c r="E892" s="638">
        <v>197835</v>
      </c>
      <c r="F892" s="666"/>
      <c r="G892" s="638"/>
      <c r="H892" s="638"/>
      <c r="I892" s="638"/>
      <c r="J892" s="638" t="s">
        <v>812</v>
      </c>
      <c r="K892" s="638" t="s">
        <v>812</v>
      </c>
      <c r="L892" s="638" t="s">
        <v>812</v>
      </c>
      <c r="M892" s="638" t="s">
        <v>312</v>
      </c>
      <c r="N892" s="638">
        <v>21.218610760000001</v>
      </c>
      <c r="O892" s="638">
        <v>92.300231929999995</v>
      </c>
      <c r="P892" s="638"/>
      <c r="Q892" s="638"/>
      <c r="R892" s="939"/>
      <c r="S892" s="671"/>
      <c r="T892" s="641">
        <v>43300</v>
      </c>
      <c r="U892" s="640"/>
      <c r="V892" s="638"/>
      <c r="W892" s="666"/>
      <c r="X892" s="17"/>
      <c r="Z892" s="17"/>
    </row>
    <row r="893" spans="1:26" ht="14.25" customHeight="1">
      <c r="A893" s="932" t="s">
        <v>3013</v>
      </c>
      <c r="B893" s="695" t="s">
        <v>323</v>
      </c>
      <c r="C893" s="961" t="s">
        <v>3271</v>
      </c>
      <c r="D893" s="669"/>
      <c r="E893" s="638">
        <v>198002</v>
      </c>
      <c r="F893" s="666" t="s">
        <v>3275</v>
      </c>
      <c r="G893" s="638"/>
      <c r="H893" s="638"/>
      <c r="I893" s="638"/>
      <c r="J893" s="638" t="s">
        <v>812</v>
      </c>
      <c r="K893" s="666" t="s">
        <v>812</v>
      </c>
      <c r="L893" s="666" t="s">
        <v>812</v>
      </c>
      <c r="M893" s="638" t="s">
        <v>809</v>
      </c>
      <c r="N893" s="638">
        <v>20.7818698883057</v>
      </c>
      <c r="O893" s="638">
        <v>92.393142700195298</v>
      </c>
      <c r="P893" s="638" t="s">
        <v>813</v>
      </c>
      <c r="Q893" s="638" t="s">
        <v>794</v>
      </c>
      <c r="R893" s="678"/>
      <c r="S893" s="671"/>
      <c r="T893" s="641"/>
      <c r="U893" s="939"/>
      <c r="V893" s="928" t="s">
        <v>608</v>
      </c>
      <c r="W893" s="931"/>
      <c r="X893" s="17"/>
      <c r="Z893" s="17"/>
    </row>
    <row r="894" spans="1:26" ht="14.25" customHeight="1">
      <c r="A894" s="666" t="s">
        <v>3013</v>
      </c>
      <c r="B894" s="689" t="s">
        <v>323</v>
      </c>
      <c r="C894" s="688" t="s">
        <v>2130</v>
      </c>
      <c r="D894" s="760"/>
      <c r="E894" s="922" t="s">
        <v>2175</v>
      </c>
      <c r="F894" s="638"/>
      <c r="G894" s="638"/>
      <c r="H894" s="638"/>
      <c r="I894" s="638"/>
      <c r="J894" s="638" t="s">
        <v>812</v>
      </c>
      <c r="K894" s="638" t="s">
        <v>812</v>
      </c>
      <c r="L894" s="638" t="s">
        <v>812</v>
      </c>
      <c r="M894" s="638" t="s">
        <v>312</v>
      </c>
      <c r="N894" s="638"/>
      <c r="O894" s="638"/>
      <c r="P894" s="638"/>
      <c r="Q894" s="638"/>
      <c r="R894" s="670"/>
      <c r="S894" s="671"/>
      <c r="T894" s="641">
        <v>43300</v>
      </c>
      <c r="U894" s="640"/>
      <c r="V894" s="638"/>
      <c r="W894" s="666"/>
      <c r="X894" s="17"/>
      <c r="Z894" s="17"/>
    </row>
    <row r="895" spans="1:26" ht="14.25" customHeight="1">
      <c r="A895" s="666" t="s">
        <v>3013</v>
      </c>
      <c r="B895" s="949" t="s">
        <v>323</v>
      </c>
      <c r="C895" s="688" t="s">
        <v>2129</v>
      </c>
      <c r="D895" s="760"/>
      <c r="E895" s="922" t="s">
        <v>2176</v>
      </c>
      <c r="F895" s="922"/>
      <c r="G895" s="922"/>
      <c r="H895" s="922"/>
      <c r="I895" s="922"/>
      <c r="J895" s="922" t="s">
        <v>812</v>
      </c>
      <c r="K895" s="922" t="s">
        <v>812</v>
      </c>
      <c r="L895" s="922" t="s">
        <v>812</v>
      </c>
      <c r="M895" s="922" t="s">
        <v>312</v>
      </c>
      <c r="N895" s="922"/>
      <c r="O895" s="922"/>
      <c r="P895" s="638"/>
      <c r="Q895" s="922"/>
      <c r="R895" s="931"/>
      <c r="S895" s="932"/>
      <c r="T895" s="951">
        <v>43300</v>
      </c>
      <c r="U895" s="933"/>
      <c r="V895" s="922"/>
      <c r="W895" s="666"/>
      <c r="X895" s="17"/>
      <c r="Z895" s="17"/>
    </row>
    <row r="896" spans="1:26" ht="14.25" customHeight="1">
      <c r="A896" s="666" t="s">
        <v>3013</v>
      </c>
      <c r="B896" s="689" t="s">
        <v>323</v>
      </c>
      <c r="C896" s="688" t="s">
        <v>2128</v>
      </c>
      <c r="D896" s="760"/>
      <c r="E896" s="666" t="s">
        <v>2177</v>
      </c>
      <c r="F896" s="666"/>
      <c r="G896" s="638"/>
      <c r="H896" s="638"/>
      <c r="I896" s="666"/>
      <c r="J896" s="638" t="s">
        <v>812</v>
      </c>
      <c r="K896" s="638" t="s">
        <v>812</v>
      </c>
      <c r="L896" s="666" t="s">
        <v>812</v>
      </c>
      <c r="M896" s="638" t="s">
        <v>312</v>
      </c>
      <c r="N896" s="638"/>
      <c r="O896" s="638"/>
      <c r="P896" s="638"/>
      <c r="Q896" s="638"/>
      <c r="R896" s="670"/>
      <c r="S896" s="671"/>
      <c r="T896" s="641">
        <v>43300</v>
      </c>
      <c r="U896" s="640"/>
      <c r="V896" s="638"/>
      <c r="W896" s="666"/>
      <c r="X896" s="17"/>
      <c r="Z896" s="17"/>
    </row>
    <row r="897" spans="1:26" ht="14.25" customHeight="1">
      <c r="A897" s="666" t="s">
        <v>3013</v>
      </c>
      <c r="B897" s="949" t="s">
        <v>323</v>
      </c>
      <c r="C897" s="948" t="s">
        <v>2127</v>
      </c>
      <c r="D897" s="760"/>
      <c r="E897" s="666" t="s">
        <v>2178</v>
      </c>
      <c r="F897" s="666"/>
      <c r="G897" s="666"/>
      <c r="H897" s="666"/>
      <c r="I897" s="666"/>
      <c r="J897" s="666" t="s">
        <v>812</v>
      </c>
      <c r="K897" s="666" t="s">
        <v>812</v>
      </c>
      <c r="L897" s="666" t="s">
        <v>812</v>
      </c>
      <c r="M897" s="666" t="s">
        <v>312</v>
      </c>
      <c r="N897" s="666"/>
      <c r="O897" s="666"/>
      <c r="P897" s="666"/>
      <c r="Q897" s="666"/>
      <c r="R897" s="931"/>
      <c r="S897" s="671"/>
      <c r="T897" s="690">
        <v>43300</v>
      </c>
      <c r="U897" s="672"/>
      <c r="V897" s="666"/>
      <c r="W897" s="666"/>
      <c r="X897" s="17"/>
      <c r="Z897" s="17"/>
    </row>
    <row r="898" spans="1:26" ht="14.25" customHeight="1">
      <c r="A898" s="666" t="s">
        <v>3013</v>
      </c>
      <c r="B898" s="949" t="s">
        <v>323</v>
      </c>
      <c r="C898" s="948" t="s">
        <v>1951</v>
      </c>
      <c r="D898" s="760"/>
      <c r="E898" s="666">
        <v>198016</v>
      </c>
      <c r="F898" s="666"/>
      <c r="G898" s="666"/>
      <c r="H898" s="666"/>
      <c r="I898" s="666"/>
      <c r="J898" s="666" t="s">
        <v>812</v>
      </c>
      <c r="K898" s="666" t="s">
        <v>812</v>
      </c>
      <c r="L898" s="666" t="s">
        <v>812</v>
      </c>
      <c r="M898" s="666" t="s">
        <v>312</v>
      </c>
      <c r="N898" s="666">
        <v>20.731571200000001</v>
      </c>
      <c r="O898" s="666">
        <v>92.428176879999995</v>
      </c>
      <c r="P898" s="666" t="s">
        <v>813</v>
      </c>
      <c r="Q898" s="666" t="s">
        <v>1950</v>
      </c>
      <c r="R898" s="931"/>
      <c r="S898" s="671"/>
      <c r="T898" s="690">
        <v>43245</v>
      </c>
      <c r="U898" s="672"/>
      <c r="V898" s="666"/>
      <c r="W898" s="666"/>
      <c r="X898" s="17"/>
      <c r="Z898" s="17"/>
    </row>
    <row r="899" spans="1:26" ht="14.25" customHeight="1">
      <c r="A899" s="775" t="s">
        <v>3013</v>
      </c>
      <c r="B899" s="776" t="s">
        <v>323</v>
      </c>
      <c r="C899" s="801" t="s">
        <v>3084</v>
      </c>
      <c r="D899" s="669"/>
      <c r="E899" s="777">
        <v>198085</v>
      </c>
      <c r="F899" s="777" t="s">
        <v>3070</v>
      </c>
      <c r="G899" s="777"/>
      <c r="H899" s="777"/>
      <c r="I899" s="777"/>
      <c r="J899" s="777" t="s">
        <v>3028</v>
      </c>
      <c r="K899" s="777" t="s">
        <v>2942</v>
      </c>
      <c r="L899" s="777" t="s">
        <v>2942</v>
      </c>
      <c r="M899" s="777"/>
      <c r="N899" s="777">
        <v>20.4804992675781</v>
      </c>
      <c r="O899" s="955">
        <v>92.611358642578097</v>
      </c>
      <c r="P899" s="777"/>
      <c r="Q899" s="777" t="s">
        <v>2947</v>
      </c>
      <c r="R899" s="778"/>
      <c r="S899" s="775"/>
      <c r="T899" s="779">
        <v>43580</v>
      </c>
      <c r="U899" s="780" t="s">
        <v>3071</v>
      </c>
      <c r="V899" s="781"/>
      <c r="W899" s="931"/>
      <c r="X899" s="17"/>
      <c r="Z899" s="17"/>
    </row>
    <row r="900" spans="1:26" ht="14.25" customHeight="1">
      <c r="A900" s="666" t="s">
        <v>3013</v>
      </c>
      <c r="B900" s="689" t="s">
        <v>323</v>
      </c>
      <c r="C900" s="688" t="s">
        <v>1785</v>
      </c>
      <c r="D900" s="760"/>
      <c r="E900" s="638">
        <v>197917</v>
      </c>
      <c r="F900" s="666"/>
      <c r="G900" s="638"/>
      <c r="H900" s="638"/>
      <c r="I900" s="638"/>
      <c r="J900" s="638" t="s">
        <v>812</v>
      </c>
      <c r="K900" s="638" t="s">
        <v>812</v>
      </c>
      <c r="L900" s="666" t="s">
        <v>812</v>
      </c>
      <c r="M900" s="638" t="s">
        <v>312</v>
      </c>
      <c r="N900" s="638">
        <v>20.943050379999999</v>
      </c>
      <c r="O900" s="638">
        <v>92.315856929999995</v>
      </c>
      <c r="P900" s="638"/>
      <c r="Q900" s="638"/>
      <c r="R900" s="670"/>
      <c r="S900" s="671"/>
      <c r="T900" s="641">
        <v>43300</v>
      </c>
      <c r="U900" s="640"/>
      <c r="V900" s="638"/>
      <c r="W900" s="666"/>
      <c r="X900" s="17"/>
      <c r="Z900" s="17"/>
    </row>
    <row r="901" spans="1:26" ht="14.25" customHeight="1">
      <c r="A901" s="666" t="s">
        <v>3013</v>
      </c>
      <c r="B901" s="960" t="s">
        <v>323</v>
      </c>
      <c r="C901" s="961" t="s">
        <v>3089</v>
      </c>
      <c r="D901" s="929"/>
      <c r="E901" s="638">
        <v>220747</v>
      </c>
      <c r="F901" s="666"/>
      <c r="G901" s="638"/>
      <c r="H901" s="638"/>
      <c r="I901" s="638"/>
      <c r="J901" s="638" t="s">
        <v>812</v>
      </c>
      <c r="K901" s="638" t="s">
        <v>812</v>
      </c>
      <c r="L901" s="638" t="s">
        <v>812</v>
      </c>
      <c r="M901" s="638" t="s">
        <v>2150</v>
      </c>
      <c r="N901" s="638">
        <v>21.153581620000001</v>
      </c>
      <c r="O901" s="638">
        <v>92.250885010000005</v>
      </c>
      <c r="P901" s="638" t="s">
        <v>813</v>
      </c>
      <c r="Q901" s="638"/>
      <c r="R901" s="939"/>
      <c r="S901" s="671"/>
      <c r="T901" s="641">
        <v>43300</v>
      </c>
      <c r="U901" s="640"/>
      <c r="V901" s="638"/>
      <c r="W901" s="666"/>
      <c r="X901" s="17"/>
      <c r="Z901" s="17"/>
    </row>
    <row r="902" spans="1:26" ht="14.25" customHeight="1">
      <c r="A902" s="666" t="s">
        <v>3013</v>
      </c>
      <c r="B902" s="689" t="s">
        <v>323</v>
      </c>
      <c r="C902" s="688" t="s">
        <v>3088</v>
      </c>
      <c r="D902" s="760"/>
      <c r="E902" s="928">
        <v>220747</v>
      </c>
      <c r="F902" s="638" t="s">
        <v>2071</v>
      </c>
      <c r="G902" s="638"/>
      <c r="H902" s="638"/>
      <c r="I902" s="638"/>
      <c r="J902" s="638" t="s">
        <v>812</v>
      </c>
      <c r="K902" s="666" t="s">
        <v>812</v>
      </c>
      <c r="L902" s="666" t="s">
        <v>812</v>
      </c>
      <c r="M902" s="638" t="s">
        <v>312</v>
      </c>
      <c r="N902" s="638">
        <v>21.153581620000001</v>
      </c>
      <c r="O902" s="638">
        <v>92.250885010000005</v>
      </c>
      <c r="P902" s="638" t="s">
        <v>813</v>
      </c>
      <c r="Q902" s="638"/>
      <c r="R902" s="931"/>
      <c r="S902" s="932"/>
      <c r="T902" s="641">
        <v>43294</v>
      </c>
      <c r="U902" s="640" t="s">
        <v>2068</v>
      </c>
      <c r="V902" s="638"/>
      <c r="W902" s="666"/>
      <c r="X902" s="17"/>
      <c r="Z902" s="17"/>
    </row>
    <row r="903" spans="1:26" ht="14.25" customHeight="1">
      <c r="A903" s="666" t="s">
        <v>3013</v>
      </c>
      <c r="B903" s="960" t="s">
        <v>323</v>
      </c>
      <c r="C903" s="688" t="s">
        <v>2117</v>
      </c>
      <c r="D903" s="761"/>
      <c r="E903" s="928">
        <v>197957</v>
      </c>
      <c r="F903" s="928"/>
      <c r="G903" s="928"/>
      <c r="H903" s="928"/>
      <c r="I903" s="928"/>
      <c r="J903" s="928" t="s">
        <v>812</v>
      </c>
      <c r="K903" s="928" t="s">
        <v>812</v>
      </c>
      <c r="L903" s="928" t="s">
        <v>812</v>
      </c>
      <c r="M903" s="928" t="s">
        <v>809</v>
      </c>
      <c r="N903" s="928">
        <v>20.900329589999998</v>
      </c>
      <c r="O903" s="928">
        <v>92.362213130000001</v>
      </c>
      <c r="P903" s="638"/>
      <c r="Q903" s="928"/>
      <c r="R903" s="940"/>
      <c r="S903" s="936"/>
      <c r="T903" s="952">
        <v>43300</v>
      </c>
      <c r="U903" s="937"/>
      <c r="V903" s="928"/>
      <c r="W903" s="666"/>
      <c r="X903" s="17"/>
      <c r="Z903" s="17"/>
    </row>
    <row r="904" spans="1:26" ht="14.25" customHeight="1">
      <c r="A904" s="666" t="s">
        <v>3013</v>
      </c>
      <c r="B904" s="689" t="s">
        <v>323</v>
      </c>
      <c r="C904" s="688" t="s">
        <v>705</v>
      </c>
      <c r="D904" s="760" t="s">
        <v>1693</v>
      </c>
      <c r="E904" s="666">
        <v>220722</v>
      </c>
      <c r="F904" s="666"/>
      <c r="G904" s="638"/>
      <c r="H904" s="638"/>
      <c r="I904" s="638"/>
      <c r="J904" s="638" t="s">
        <v>812</v>
      </c>
      <c r="K904" s="666" t="s">
        <v>812</v>
      </c>
      <c r="L904" s="666" t="s">
        <v>812</v>
      </c>
      <c r="M904" s="638" t="s">
        <v>809</v>
      </c>
      <c r="N904" s="638">
        <v>21.200752260000002</v>
      </c>
      <c r="O904" s="638">
        <v>92.309303279999995</v>
      </c>
      <c r="P904" s="638" t="s">
        <v>813</v>
      </c>
      <c r="Q904" s="638" t="s">
        <v>794</v>
      </c>
      <c r="R904" s="670"/>
      <c r="S904" s="671"/>
      <c r="T904" s="641"/>
      <c r="U904" s="640"/>
      <c r="V904" s="638" t="s">
        <v>973</v>
      </c>
      <c r="W904" s="666"/>
      <c r="X904" s="17"/>
      <c r="Z904" s="17"/>
    </row>
    <row r="905" spans="1:26" ht="14.25" customHeight="1">
      <c r="A905" s="666" t="s">
        <v>3013</v>
      </c>
      <c r="B905" s="960" t="s">
        <v>323</v>
      </c>
      <c r="C905" s="961" t="s">
        <v>640</v>
      </c>
      <c r="D905" s="929" t="s">
        <v>1693</v>
      </c>
      <c r="E905" s="638" t="s">
        <v>1426</v>
      </c>
      <c r="F905" s="666"/>
      <c r="G905" s="638"/>
      <c r="H905" s="638" t="s">
        <v>43</v>
      </c>
      <c r="I905" s="638"/>
      <c r="J905" s="638" t="s">
        <v>812</v>
      </c>
      <c r="K905" s="666" t="s">
        <v>812</v>
      </c>
      <c r="L905" s="666" t="s">
        <v>1693</v>
      </c>
      <c r="M905" s="638" t="s">
        <v>809</v>
      </c>
      <c r="N905" s="638">
        <v>20.824517</v>
      </c>
      <c r="O905" s="638">
        <v>92.401293999999993</v>
      </c>
      <c r="P905" s="638" t="s">
        <v>775</v>
      </c>
      <c r="Q905" s="638"/>
      <c r="R905" s="939"/>
      <c r="S905" s="671"/>
      <c r="T905" s="641">
        <v>43248</v>
      </c>
      <c r="U905" s="640" t="s">
        <v>1943</v>
      </c>
      <c r="V905" s="638" t="s">
        <v>955</v>
      </c>
      <c r="W905" s="666"/>
      <c r="X905" s="17"/>
      <c r="Z905" s="17"/>
    </row>
    <row r="906" spans="1:26" ht="14.25" customHeight="1">
      <c r="A906" s="666" t="s">
        <v>3013</v>
      </c>
      <c r="B906" s="960" t="s">
        <v>323</v>
      </c>
      <c r="C906" s="961" t="s">
        <v>2119</v>
      </c>
      <c r="D906" s="929"/>
      <c r="E906" s="638">
        <v>197951</v>
      </c>
      <c r="F906" s="666"/>
      <c r="G906" s="638"/>
      <c r="H906" s="638"/>
      <c r="I906" s="638"/>
      <c r="J906" s="638" t="s">
        <v>812</v>
      </c>
      <c r="K906" s="666" t="s">
        <v>812</v>
      </c>
      <c r="L906" s="666" t="s">
        <v>812</v>
      </c>
      <c r="M906" s="638" t="s">
        <v>809</v>
      </c>
      <c r="N906" s="638">
        <v>20.905330660000001</v>
      </c>
      <c r="O906" s="638">
        <v>92.344802860000001</v>
      </c>
      <c r="P906" s="638"/>
      <c r="Q906" s="638"/>
      <c r="R906" s="939"/>
      <c r="S906" s="671"/>
      <c r="T906" s="641">
        <v>43300</v>
      </c>
      <c r="U906" s="640"/>
      <c r="V906" s="638"/>
      <c r="W906" s="666"/>
      <c r="X906" s="17"/>
      <c r="Z906" s="17"/>
    </row>
    <row r="907" spans="1:26" ht="14.25" customHeight="1">
      <c r="A907" s="666" t="s">
        <v>3013</v>
      </c>
      <c r="B907" s="960" t="s">
        <v>323</v>
      </c>
      <c r="C907" s="961" t="s">
        <v>2120</v>
      </c>
      <c r="D907" s="929"/>
      <c r="E907" s="638">
        <v>197952</v>
      </c>
      <c r="F907" s="638"/>
      <c r="G907" s="638"/>
      <c r="H907" s="638"/>
      <c r="I907" s="638"/>
      <c r="J907" s="638" t="s">
        <v>812</v>
      </c>
      <c r="K907" s="638" t="s">
        <v>812</v>
      </c>
      <c r="L907" s="638" t="s">
        <v>812</v>
      </c>
      <c r="M907" s="638" t="s">
        <v>809</v>
      </c>
      <c r="N907" s="638">
        <v>20.90098953</v>
      </c>
      <c r="O907" s="666">
        <v>92.355827329999997</v>
      </c>
      <c r="P907" s="638"/>
      <c r="Q907" s="638"/>
      <c r="R907" s="939"/>
      <c r="S907" s="671"/>
      <c r="T907" s="641">
        <v>43300</v>
      </c>
      <c r="U907" s="640"/>
      <c r="V907" s="638"/>
      <c r="W907" s="666"/>
      <c r="X907" s="17"/>
      <c r="Z907" s="17"/>
    </row>
    <row r="908" spans="1:26" ht="14.25" customHeight="1">
      <c r="A908" s="666" t="s">
        <v>3013</v>
      </c>
      <c r="B908" s="689" t="s">
        <v>323</v>
      </c>
      <c r="C908" s="688" t="s">
        <v>704</v>
      </c>
      <c r="D908" s="760" t="s">
        <v>1693</v>
      </c>
      <c r="E908" s="638">
        <v>197839</v>
      </c>
      <c r="F908" s="638"/>
      <c r="G908" s="638"/>
      <c r="H908" s="638"/>
      <c r="I908" s="638"/>
      <c r="J908" s="638" t="s">
        <v>812</v>
      </c>
      <c r="K908" s="638" t="s">
        <v>812</v>
      </c>
      <c r="L908" s="638" t="s">
        <v>812</v>
      </c>
      <c r="M908" s="638" t="s">
        <v>809</v>
      </c>
      <c r="N908" s="922">
        <v>21.18890953</v>
      </c>
      <c r="O908" s="922">
        <v>92.306762699999993</v>
      </c>
      <c r="P908" s="638" t="s">
        <v>813</v>
      </c>
      <c r="Q908" s="638" t="s">
        <v>794</v>
      </c>
      <c r="R908" s="670"/>
      <c r="S908" s="671"/>
      <c r="T908" s="641"/>
      <c r="U908" s="640"/>
      <c r="V908" s="638" t="s">
        <v>972</v>
      </c>
      <c r="W908" s="666"/>
      <c r="X908" s="17"/>
      <c r="Z908" s="17"/>
    </row>
    <row r="909" spans="1:26" ht="14.25" customHeight="1">
      <c r="A909" s="666" t="s">
        <v>3013</v>
      </c>
      <c r="B909" s="689" t="s">
        <v>323</v>
      </c>
      <c r="C909" s="688" t="s">
        <v>2135</v>
      </c>
      <c r="D909" s="760"/>
      <c r="E909" s="638"/>
      <c r="F909" s="666"/>
      <c r="G909" s="638"/>
      <c r="H909" s="638"/>
      <c r="I909" s="638"/>
      <c r="J909" s="638" t="s">
        <v>812</v>
      </c>
      <c r="K909" s="666" t="s">
        <v>812</v>
      </c>
      <c r="L909" s="666" t="s">
        <v>812</v>
      </c>
      <c r="M909" s="638" t="s">
        <v>2148</v>
      </c>
      <c r="N909" s="638"/>
      <c r="O909" s="638"/>
      <c r="P909" s="638"/>
      <c r="Q909" s="638"/>
      <c r="R909" s="670"/>
      <c r="S909" s="671"/>
      <c r="T909" s="641">
        <v>43300</v>
      </c>
      <c r="U909" s="640"/>
      <c r="V909" s="638"/>
      <c r="W909" s="666"/>
      <c r="X909" s="17"/>
      <c r="Z909" s="17"/>
    </row>
    <row r="910" spans="1:26" ht="14.25" customHeight="1">
      <c r="A910" s="666" t="s">
        <v>3013</v>
      </c>
      <c r="B910" s="689" t="s">
        <v>323</v>
      </c>
      <c r="C910" s="688" t="s">
        <v>3102</v>
      </c>
      <c r="D910" s="760"/>
      <c r="E910" s="638">
        <v>198101</v>
      </c>
      <c r="F910" s="666"/>
      <c r="G910" s="638"/>
      <c r="H910" s="638"/>
      <c r="I910" s="638"/>
      <c r="J910" s="638" t="s">
        <v>812</v>
      </c>
      <c r="K910" s="638" t="s">
        <v>812</v>
      </c>
      <c r="L910" s="638" t="s">
        <v>812</v>
      </c>
      <c r="M910" s="638" t="s">
        <v>2150</v>
      </c>
      <c r="N910" s="638">
        <v>21.177719119999999</v>
      </c>
      <c r="O910" s="638">
        <v>92.239547729999998</v>
      </c>
      <c r="P910" s="638"/>
      <c r="Q910" s="638"/>
      <c r="R910" s="935"/>
      <c r="S910" s="936"/>
      <c r="T910" s="641">
        <v>43300</v>
      </c>
      <c r="U910" s="640"/>
      <c r="V910" s="638"/>
      <c r="W910" s="666"/>
      <c r="X910" s="17"/>
      <c r="Z910" s="17"/>
    </row>
    <row r="911" spans="1:26" ht="14.25" customHeight="1">
      <c r="A911" s="666" t="s">
        <v>3013</v>
      </c>
      <c r="B911" s="689" t="s">
        <v>323</v>
      </c>
      <c r="C911" s="688" t="s">
        <v>2069</v>
      </c>
      <c r="D911" s="760"/>
      <c r="E911" s="638">
        <v>198101</v>
      </c>
      <c r="F911" s="638" t="s">
        <v>2071</v>
      </c>
      <c r="G911" s="638"/>
      <c r="H911" s="638"/>
      <c r="I911" s="638"/>
      <c r="J911" s="638" t="s">
        <v>812</v>
      </c>
      <c r="K911" s="638" t="s">
        <v>812</v>
      </c>
      <c r="L911" s="638" t="s">
        <v>812</v>
      </c>
      <c r="M911" s="638" t="s">
        <v>312</v>
      </c>
      <c r="N911" s="638">
        <v>21.177719119999999</v>
      </c>
      <c r="O911" s="638">
        <v>92.239547729999998</v>
      </c>
      <c r="P911" s="638" t="s">
        <v>813</v>
      </c>
      <c r="Q911" s="638"/>
      <c r="R911" s="670"/>
      <c r="S911" s="671"/>
      <c r="T911" s="641">
        <v>43294</v>
      </c>
      <c r="U911" s="640" t="s">
        <v>2068</v>
      </c>
      <c r="V911" s="638"/>
      <c r="W911" s="666"/>
      <c r="X911" s="17"/>
      <c r="Z911" s="17"/>
    </row>
    <row r="912" spans="1:26" ht="14.25" customHeight="1">
      <c r="A912" s="666" t="s">
        <v>3013</v>
      </c>
      <c r="B912" s="689" t="s">
        <v>323</v>
      </c>
      <c r="C912" s="688" t="s">
        <v>363</v>
      </c>
      <c r="D912" s="760" t="s">
        <v>1693</v>
      </c>
      <c r="E912" s="638"/>
      <c r="F912" s="638"/>
      <c r="G912" s="638"/>
      <c r="H912" s="638"/>
      <c r="I912" s="638"/>
      <c r="J912" s="638" t="s">
        <v>812</v>
      </c>
      <c r="K912" s="638" t="s">
        <v>812</v>
      </c>
      <c r="L912" s="638" t="s">
        <v>812</v>
      </c>
      <c r="M912" s="638" t="s">
        <v>312</v>
      </c>
      <c r="N912" s="666"/>
      <c r="O912" s="666"/>
      <c r="P912" s="638" t="s">
        <v>813</v>
      </c>
      <c r="Q912" s="638" t="s">
        <v>794</v>
      </c>
      <c r="R912" s="670"/>
      <c r="S912" s="671"/>
      <c r="T912" s="641"/>
      <c r="U912" s="640"/>
      <c r="V912" s="638" t="s">
        <v>363</v>
      </c>
      <c r="W912" s="666"/>
      <c r="X912" s="17"/>
      <c r="Z912" s="17"/>
    </row>
    <row r="913" spans="1:26" ht="14.25" customHeight="1">
      <c r="A913" s="666" t="s">
        <v>3013</v>
      </c>
      <c r="B913" s="689" t="s">
        <v>323</v>
      </c>
      <c r="C913" s="688" t="s">
        <v>364</v>
      </c>
      <c r="D913" s="760" t="s">
        <v>1693</v>
      </c>
      <c r="E913" s="638"/>
      <c r="F913" s="638"/>
      <c r="G913" s="638"/>
      <c r="H913" s="638"/>
      <c r="I913" s="638"/>
      <c r="J913" s="638" t="s">
        <v>812</v>
      </c>
      <c r="K913" s="638" t="s">
        <v>812</v>
      </c>
      <c r="L913" s="638" t="s">
        <v>812</v>
      </c>
      <c r="M913" s="638" t="s">
        <v>809</v>
      </c>
      <c r="N913" s="638"/>
      <c r="O913" s="638"/>
      <c r="P913" s="638" t="s">
        <v>813</v>
      </c>
      <c r="Q913" s="638" t="s">
        <v>794</v>
      </c>
      <c r="R913" s="670"/>
      <c r="S913" s="671"/>
      <c r="T913" s="641"/>
      <c r="U913" s="640"/>
      <c r="V913" s="638" t="s">
        <v>364</v>
      </c>
      <c r="W913" s="666"/>
      <c r="X913" s="17"/>
      <c r="Z913" s="17"/>
    </row>
    <row r="914" spans="1:26" ht="14.25" customHeight="1">
      <c r="A914" s="666" t="s">
        <v>3013</v>
      </c>
      <c r="B914" s="689" t="s">
        <v>323</v>
      </c>
      <c r="C914" s="688" t="s">
        <v>365</v>
      </c>
      <c r="D914" s="760" t="s">
        <v>1693</v>
      </c>
      <c r="E914" s="638"/>
      <c r="F914" s="666"/>
      <c r="G914" s="638"/>
      <c r="H914" s="638"/>
      <c r="I914" s="638"/>
      <c r="J914" s="638" t="s">
        <v>812</v>
      </c>
      <c r="K914" s="638" t="s">
        <v>812</v>
      </c>
      <c r="L914" s="638" t="s">
        <v>812</v>
      </c>
      <c r="M914" s="638" t="s">
        <v>809</v>
      </c>
      <c r="N914" s="922"/>
      <c r="O914" s="922"/>
      <c r="P914" s="638" t="s">
        <v>813</v>
      </c>
      <c r="Q914" s="638" t="s">
        <v>794</v>
      </c>
      <c r="R914" s="670"/>
      <c r="S914" s="671"/>
      <c r="T914" s="641"/>
      <c r="U914" s="640"/>
      <c r="V914" s="638" t="s">
        <v>365</v>
      </c>
      <c r="W914" s="666"/>
      <c r="X914" s="17"/>
      <c r="Z914" s="17"/>
    </row>
    <row r="915" spans="1:26" ht="14.25" customHeight="1">
      <c r="A915" s="922" t="s">
        <v>3013</v>
      </c>
      <c r="B915" s="949" t="s">
        <v>323</v>
      </c>
      <c r="C915" s="948" t="s">
        <v>2169</v>
      </c>
      <c r="D915" s="760"/>
      <c r="E915" s="922">
        <v>197825</v>
      </c>
      <c r="F915" s="922"/>
      <c r="G915" s="922"/>
      <c r="H915" s="922"/>
      <c r="I915" s="922"/>
      <c r="J915" s="922" t="s">
        <v>812</v>
      </c>
      <c r="K915" s="922" t="s">
        <v>812</v>
      </c>
      <c r="L915" s="922" t="s">
        <v>812</v>
      </c>
      <c r="M915" s="922" t="s">
        <v>2153</v>
      </c>
      <c r="N915" s="922">
        <v>21.239080430000001</v>
      </c>
      <c r="O915" s="922">
        <v>92.288932799999998</v>
      </c>
      <c r="P915" s="922"/>
      <c r="Q915" s="922"/>
      <c r="R915" s="931"/>
      <c r="S915" s="932"/>
      <c r="T915" s="951">
        <v>43300</v>
      </c>
      <c r="U915" s="933"/>
      <c r="V915" s="922"/>
      <c r="W915" s="922"/>
      <c r="X915" s="17"/>
      <c r="Z915" s="17"/>
    </row>
    <row r="916" spans="1:26" ht="14.25" customHeight="1">
      <c r="A916" s="666" t="s">
        <v>3013</v>
      </c>
      <c r="B916" s="689" t="s">
        <v>323</v>
      </c>
      <c r="C916" s="688" t="s">
        <v>366</v>
      </c>
      <c r="D916" s="760" t="s">
        <v>1693</v>
      </c>
      <c r="E916" s="666">
        <v>197826</v>
      </c>
      <c r="F916" s="638"/>
      <c r="G916" s="638"/>
      <c r="H916" s="666"/>
      <c r="I916" s="666"/>
      <c r="J916" s="666" t="s">
        <v>812</v>
      </c>
      <c r="K916" s="666" t="s">
        <v>812</v>
      </c>
      <c r="L916" s="666" t="s">
        <v>812</v>
      </c>
      <c r="M916" s="666" t="s">
        <v>2063</v>
      </c>
      <c r="N916" s="943"/>
      <c r="O916" s="943"/>
      <c r="P916" s="638" t="s">
        <v>813</v>
      </c>
      <c r="Q916" s="666" t="s">
        <v>794</v>
      </c>
      <c r="R916" s="670"/>
      <c r="S916" s="671"/>
      <c r="T916" s="690"/>
      <c r="U916" s="672"/>
      <c r="V916" s="638" t="s">
        <v>1161</v>
      </c>
      <c r="W916" s="666"/>
      <c r="X916" s="17"/>
      <c r="Z916" s="17"/>
    </row>
    <row r="917" spans="1:26" ht="14.25" customHeight="1">
      <c r="A917" s="922" t="s">
        <v>3013</v>
      </c>
      <c r="B917" s="949" t="s">
        <v>323</v>
      </c>
      <c r="C917" s="948" t="s">
        <v>2145</v>
      </c>
      <c r="D917" s="760"/>
      <c r="E917" s="922">
        <v>197930</v>
      </c>
      <c r="F917" s="922"/>
      <c r="G917" s="922"/>
      <c r="H917" s="922"/>
      <c r="I917" s="922"/>
      <c r="J917" s="638" t="s">
        <v>812</v>
      </c>
      <c r="K917" s="638" t="s">
        <v>812</v>
      </c>
      <c r="L917" s="638" t="s">
        <v>812</v>
      </c>
      <c r="M917" s="922" t="s">
        <v>809</v>
      </c>
      <c r="N917" s="922">
        <v>20.9400692</v>
      </c>
      <c r="O917" s="922">
        <v>92.337913510000007</v>
      </c>
      <c r="P917" s="922"/>
      <c r="Q917" s="922"/>
      <c r="R917" s="931"/>
      <c r="S917" s="932"/>
      <c r="T917" s="951">
        <v>43300</v>
      </c>
      <c r="U917" s="933"/>
      <c r="V917" s="922"/>
      <c r="W917" s="922"/>
      <c r="X917" s="17"/>
      <c r="Z917" s="17"/>
    </row>
    <row r="918" spans="1:26" ht="14.25" customHeight="1">
      <c r="A918" s="666" t="s">
        <v>3013</v>
      </c>
      <c r="B918" s="689" t="s">
        <v>323</v>
      </c>
      <c r="C918" s="688" t="s">
        <v>2163</v>
      </c>
      <c r="D918" s="760"/>
      <c r="E918" s="638">
        <v>220741</v>
      </c>
      <c r="F918" s="666"/>
      <c r="G918" s="638"/>
      <c r="H918" s="638"/>
      <c r="I918" s="638"/>
      <c r="J918" s="638" t="s">
        <v>812</v>
      </c>
      <c r="K918" s="638" t="s">
        <v>812</v>
      </c>
      <c r="L918" s="666" t="s">
        <v>812</v>
      </c>
      <c r="M918" s="638" t="s">
        <v>312</v>
      </c>
      <c r="N918" s="638">
        <v>20.680984500000001</v>
      </c>
      <c r="O918" s="638">
        <v>92.473495479999997</v>
      </c>
      <c r="P918" s="638"/>
      <c r="Q918" s="638"/>
      <c r="R918" s="670"/>
      <c r="S918" s="671"/>
      <c r="T918" s="641">
        <v>43300</v>
      </c>
      <c r="U918" s="640"/>
      <c r="V918" s="638"/>
      <c r="W918" s="666"/>
      <c r="X918" s="17"/>
      <c r="Z918" s="17"/>
    </row>
    <row r="919" spans="1:26" ht="14.25" customHeight="1">
      <c r="A919" s="666" t="s">
        <v>3013</v>
      </c>
      <c r="B919" s="689" t="s">
        <v>323</v>
      </c>
      <c r="C919" s="688" t="s">
        <v>369</v>
      </c>
      <c r="D919" s="760" t="s">
        <v>1693</v>
      </c>
      <c r="E919" s="666"/>
      <c r="F919" s="666"/>
      <c r="G919" s="666"/>
      <c r="H919" s="666"/>
      <c r="I919" s="666"/>
      <c r="J919" s="638" t="s">
        <v>812</v>
      </c>
      <c r="K919" s="638" t="s">
        <v>812</v>
      </c>
      <c r="L919" s="666" t="s">
        <v>812</v>
      </c>
      <c r="M919" s="638" t="s">
        <v>312</v>
      </c>
      <c r="N919" s="638"/>
      <c r="O919" s="638"/>
      <c r="P919" s="666" t="s">
        <v>813</v>
      </c>
      <c r="Q919" s="638" t="s">
        <v>794</v>
      </c>
      <c r="R919" s="670"/>
      <c r="S919" s="671"/>
      <c r="T919" s="641"/>
      <c r="U919" s="672"/>
      <c r="V919" s="666" t="s">
        <v>369</v>
      </c>
      <c r="W919" s="666"/>
      <c r="X919" s="17"/>
      <c r="Z919" s="17"/>
    </row>
    <row r="920" spans="1:26" ht="14.25" customHeight="1">
      <c r="A920" s="666" t="s">
        <v>3013</v>
      </c>
      <c r="B920" s="689" t="s">
        <v>323</v>
      </c>
      <c r="C920" s="688" t="s">
        <v>2822</v>
      </c>
      <c r="D920" s="760"/>
      <c r="E920" s="922">
        <v>220736</v>
      </c>
      <c r="F920" s="638" t="s">
        <v>2958</v>
      </c>
      <c r="G920" s="638"/>
      <c r="H920" s="638"/>
      <c r="I920" s="638"/>
      <c r="J920" s="638" t="s">
        <v>812</v>
      </c>
      <c r="K920" s="638" t="s">
        <v>812</v>
      </c>
      <c r="L920" s="638" t="s">
        <v>812</v>
      </c>
      <c r="M920" s="638" t="s">
        <v>312</v>
      </c>
      <c r="N920" s="638"/>
      <c r="O920" s="638"/>
      <c r="P920" s="638"/>
      <c r="Q920" s="638"/>
      <c r="R920" s="670"/>
      <c r="S920" s="671"/>
      <c r="T920" s="641"/>
      <c r="U920" s="640"/>
      <c r="V920" s="638"/>
      <c r="W920" s="666"/>
      <c r="X920" s="17"/>
      <c r="Z920" s="17"/>
    </row>
    <row r="921" spans="1:26" ht="14.25" customHeight="1">
      <c r="A921" s="666" t="s">
        <v>3013</v>
      </c>
      <c r="B921" s="689" t="s">
        <v>323</v>
      </c>
      <c r="C921" s="688" t="s">
        <v>650</v>
      </c>
      <c r="D921" s="760" t="s">
        <v>1693</v>
      </c>
      <c r="E921" s="922" t="s">
        <v>1430</v>
      </c>
      <c r="F921" s="666"/>
      <c r="G921" s="638"/>
      <c r="H921" s="638" t="s">
        <v>43</v>
      </c>
      <c r="I921" s="666"/>
      <c r="J921" s="638" t="s">
        <v>812</v>
      </c>
      <c r="K921" s="666" t="s">
        <v>812</v>
      </c>
      <c r="L921" s="666" t="s">
        <v>1693</v>
      </c>
      <c r="M921" s="638" t="s">
        <v>809</v>
      </c>
      <c r="N921" s="922">
        <v>20.833831</v>
      </c>
      <c r="O921" s="922">
        <v>92.416683000000006</v>
      </c>
      <c r="P921" s="638" t="s">
        <v>775</v>
      </c>
      <c r="Q921" s="638" t="s">
        <v>794</v>
      </c>
      <c r="R921" s="670"/>
      <c r="S921" s="671"/>
      <c r="T921" s="641">
        <v>43248</v>
      </c>
      <c r="U921" s="640" t="s">
        <v>1943</v>
      </c>
      <c r="V921" s="666"/>
      <c r="W921" s="666"/>
      <c r="X921" s="17"/>
      <c r="Z921" s="17"/>
    </row>
    <row r="922" spans="1:26" ht="14.25" customHeight="1">
      <c r="A922" s="666" t="s">
        <v>3013</v>
      </c>
      <c r="B922" s="689" t="s">
        <v>323</v>
      </c>
      <c r="C922" s="688" t="s">
        <v>1164</v>
      </c>
      <c r="D922" s="760" t="s">
        <v>1693</v>
      </c>
      <c r="E922" s="638"/>
      <c r="F922" s="638"/>
      <c r="G922" s="638"/>
      <c r="H922" s="638"/>
      <c r="I922" s="638"/>
      <c r="J922" s="638" t="s">
        <v>812</v>
      </c>
      <c r="K922" s="638" t="s">
        <v>812</v>
      </c>
      <c r="L922" s="638" t="s">
        <v>812</v>
      </c>
      <c r="M922" s="638" t="s">
        <v>809</v>
      </c>
      <c r="N922" s="682"/>
      <c r="O922" s="682"/>
      <c r="P922" s="666" t="s">
        <v>813</v>
      </c>
      <c r="Q922" s="638"/>
      <c r="R922" s="670"/>
      <c r="S922" s="671"/>
      <c r="T922" s="641"/>
      <c r="U922" s="640"/>
      <c r="V922" s="638" t="s">
        <v>1164</v>
      </c>
      <c r="W922" s="666"/>
      <c r="X922" s="17"/>
      <c r="Z922" s="17"/>
    </row>
    <row r="923" spans="1:26" ht="14.25" customHeight="1">
      <c r="A923" s="775" t="s">
        <v>3013</v>
      </c>
      <c r="B923" s="776" t="s">
        <v>323</v>
      </c>
      <c r="C923" s="801" t="s">
        <v>3082</v>
      </c>
      <c r="D923" s="929"/>
      <c r="E923" s="777">
        <v>197860</v>
      </c>
      <c r="F923" s="777" t="s">
        <v>3082</v>
      </c>
      <c r="G923" s="777"/>
      <c r="H923" s="777"/>
      <c r="I923" s="777"/>
      <c r="J923" s="777" t="s">
        <v>3028</v>
      </c>
      <c r="K923" s="777" t="s">
        <v>2942</v>
      </c>
      <c r="L923" s="777" t="s">
        <v>2942</v>
      </c>
      <c r="M923" s="777"/>
      <c r="N923" s="777">
        <v>21.1420993804932</v>
      </c>
      <c r="O923" s="777">
        <v>92.338172912597699</v>
      </c>
      <c r="P923" s="777"/>
      <c r="Q923" s="777" t="s">
        <v>2947</v>
      </c>
      <c r="R923" s="778"/>
      <c r="S923" s="775"/>
      <c r="T923" s="779">
        <v>43580</v>
      </c>
      <c r="U923" s="780" t="s">
        <v>3071</v>
      </c>
      <c r="V923" s="781"/>
      <c r="W923" s="931"/>
      <c r="X923" s="17"/>
      <c r="Z923" s="17"/>
    </row>
    <row r="924" spans="1:26" ht="14.25" customHeight="1">
      <c r="A924" s="666" t="s">
        <v>3013</v>
      </c>
      <c r="B924" s="689" t="s">
        <v>323</v>
      </c>
      <c r="C924" s="688" t="s">
        <v>2160</v>
      </c>
      <c r="D924" s="760"/>
      <c r="E924" s="638">
        <v>197861</v>
      </c>
      <c r="F924" s="638"/>
      <c r="G924" s="638"/>
      <c r="H924" s="638"/>
      <c r="I924" s="638"/>
      <c r="J924" s="638" t="s">
        <v>812</v>
      </c>
      <c r="K924" s="638" t="s">
        <v>812</v>
      </c>
      <c r="L924" s="638" t="s">
        <v>812</v>
      </c>
      <c r="M924" s="638" t="s">
        <v>2148</v>
      </c>
      <c r="N924" s="922">
        <v>21.131010060000001</v>
      </c>
      <c r="O924" s="922">
        <v>92.354011540000002</v>
      </c>
      <c r="P924" s="638"/>
      <c r="Q924" s="638"/>
      <c r="R924" s="670"/>
      <c r="S924" s="671"/>
      <c r="T924" s="641">
        <v>43300</v>
      </c>
      <c r="U924" s="640"/>
      <c r="V924" s="638"/>
      <c r="W924" s="666"/>
      <c r="X924" s="17"/>
      <c r="Z924" s="17"/>
    </row>
    <row r="925" spans="1:26" ht="14.25" customHeight="1">
      <c r="A925" s="775" t="s">
        <v>3013</v>
      </c>
      <c r="B925" s="776" t="s">
        <v>323</v>
      </c>
      <c r="C925" s="801" t="s">
        <v>3080</v>
      </c>
      <c r="D925" s="929"/>
      <c r="E925" s="777">
        <v>197841</v>
      </c>
      <c r="F925" s="777" t="s">
        <v>3080</v>
      </c>
      <c r="G925" s="777"/>
      <c r="H925" s="777"/>
      <c r="I925" s="777"/>
      <c r="J925" s="638" t="s">
        <v>812</v>
      </c>
      <c r="K925" s="638" t="s">
        <v>812</v>
      </c>
      <c r="L925" s="638" t="s">
        <v>812</v>
      </c>
      <c r="M925" s="777"/>
      <c r="N925" s="777">
        <v>21.2080974578857</v>
      </c>
      <c r="O925" s="777">
        <v>92.308609008789105</v>
      </c>
      <c r="P925" s="777"/>
      <c r="Q925" s="777" t="s">
        <v>2947</v>
      </c>
      <c r="R925" s="778"/>
      <c r="S925" s="775"/>
      <c r="T925" s="779">
        <v>43580</v>
      </c>
      <c r="U925" s="780" t="s">
        <v>3071</v>
      </c>
      <c r="V925" s="781"/>
      <c r="W925" s="931"/>
      <c r="X925" s="17"/>
      <c r="Z925" s="17"/>
    </row>
    <row r="926" spans="1:26" ht="14.25" customHeight="1">
      <c r="A926" s="666" t="s">
        <v>3013</v>
      </c>
      <c r="B926" s="689" t="s">
        <v>323</v>
      </c>
      <c r="C926" s="688" t="s">
        <v>2165</v>
      </c>
      <c r="D926" s="760"/>
      <c r="E926" s="638">
        <v>197842</v>
      </c>
      <c r="F926" s="922"/>
      <c r="G926" s="638"/>
      <c r="H926" s="638"/>
      <c r="I926" s="638"/>
      <c r="J926" s="638" t="s">
        <v>812</v>
      </c>
      <c r="K926" s="638" t="s">
        <v>812</v>
      </c>
      <c r="L926" s="638" t="s">
        <v>812</v>
      </c>
      <c r="M926" s="638" t="s">
        <v>2150</v>
      </c>
      <c r="N926" s="638">
        <v>21.210039139999999</v>
      </c>
      <c r="O926" s="638">
        <v>92.297286990000003</v>
      </c>
      <c r="P926" s="638"/>
      <c r="Q926" s="638"/>
      <c r="R926" s="670"/>
      <c r="S926" s="639"/>
      <c r="T926" s="641">
        <v>43300</v>
      </c>
      <c r="U926" s="640"/>
      <c r="V926" s="638"/>
      <c r="W926" s="666"/>
      <c r="X926" s="17"/>
      <c r="Z926" s="17"/>
    </row>
    <row r="927" spans="1:26" ht="14.25" customHeight="1">
      <c r="A927" s="666" t="s">
        <v>3013</v>
      </c>
      <c r="B927" s="689" t="s">
        <v>323</v>
      </c>
      <c r="C927" s="688" t="s">
        <v>700</v>
      </c>
      <c r="D927" s="760" t="s">
        <v>1693</v>
      </c>
      <c r="E927" s="638">
        <v>197867</v>
      </c>
      <c r="F927" s="638"/>
      <c r="G927" s="638"/>
      <c r="H927" s="638"/>
      <c r="I927" s="638"/>
      <c r="J927" s="638" t="s">
        <v>812</v>
      </c>
      <c r="K927" s="638" t="s">
        <v>812</v>
      </c>
      <c r="L927" s="638" t="s">
        <v>812</v>
      </c>
      <c r="M927" s="638" t="s">
        <v>809</v>
      </c>
      <c r="N927" s="638">
        <v>21.057630540000002</v>
      </c>
      <c r="O927" s="638">
        <v>92.340232850000007</v>
      </c>
      <c r="P927" s="638" t="s">
        <v>813</v>
      </c>
      <c r="Q927" s="638" t="s">
        <v>794</v>
      </c>
      <c r="R927" s="670"/>
      <c r="S927" s="671"/>
      <c r="T927" s="641"/>
      <c r="U927" s="640"/>
      <c r="V927" s="638" t="s">
        <v>700</v>
      </c>
      <c r="W927" s="666"/>
      <c r="X927" s="17"/>
      <c r="Z927" s="17"/>
    </row>
    <row r="928" spans="1:26" ht="14.25" customHeight="1">
      <c r="A928" s="922" t="s">
        <v>3013</v>
      </c>
      <c r="B928" s="949" t="s">
        <v>323</v>
      </c>
      <c r="C928" s="948" t="s">
        <v>691</v>
      </c>
      <c r="D928" s="760" t="s">
        <v>1693</v>
      </c>
      <c r="E928" s="928">
        <v>197893</v>
      </c>
      <c r="F928" s="922"/>
      <c r="G928" s="922"/>
      <c r="H928" s="922"/>
      <c r="I928" s="922"/>
      <c r="J928" s="638" t="s">
        <v>812</v>
      </c>
      <c r="K928" s="638" t="s">
        <v>812</v>
      </c>
      <c r="L928" s="638" t="s">
        <v>812</v>
      </c>
      <c r="M928" s="638" t="s">
        <v>312</v>
      </c>
      <c r="N928" s="638">
        <v>21.009420389999999</v>
      </c>
      <c r="O928" s="638">
        <v>92.318077090000003</v>
      </c>
      <c r="P928" s="638" t="s">
        <v>813</v>
      </c>
      <c r="Q928" s="922" t="s">
        <v>816</v>
      </c>
      <c r="R928" s="931"/>
      <c r="S928" s="932"/>
      <c r="T928" s="951">
        <v>42926</v>
      </c>
      <c r="U928" s="933" t="s">
        <v>817</v>
      </c>
      <c r="V928" s="638"/>
      <c r="W928" s="922"/>
      <c r="X928" s="17"/>
      <c r="Z928" s="17"/>
    </row>
    <row r="929" spans="1:26" ht="14.25" customHeight="1">
      <c r="A929" s="666" t="s">
        <v>3013</v>
      </c>
      <c r="B929" s="689" t="s">
        <v>323</v>
      </c>
      <c r="C929" s="688" t="s">
        <v>641</v>
      </c>
      <c r="D929" s="760" t="s">
        <v>1693</v>
      </c>
      <c r="E929" s="928">
        <v>197990</v>
      </c>
      <c r="F929" s="638"/>
      <c r="G929" s="638"/>
      <c r="H929" s="638"/>
      <c r="I929" s="638"/>
      <c r="J929" s="638" t="s">
        <v>812</v>
      </c>
      <c r="K929" s="638" t="s">
        <v>812</v>
      </c>
      <c r="L929" s="638" t="s">
        <v>812</v>
      </c>
      <c r="M929" s="638" t="s">
        <v>809</v>
      </c>
      <c r="N929" s="943">
        <v>20.824769969999998</v>
      </c>
      <c r="O929" s="943">
        <v>92.398788449999998</v>
      </c>
      <c r="P929" s="638" t="s">
        <v>813</v>
      </c>
      <c r="Q929" s="638" t="s">
        <v>794</v>
      </c>
      <c r="R929" s="670"/>
      <c r="S929" s="639"/>
      <c r="T929" s="641"/>
      <c r="U929" s="640"/>
      <c r="V929" s="638" t="s">
        <v>956</v>
      </c>
      <c r="W929" s="666"/>
      <c r="X929" s="17"/>
      <c r="Z929" s="17"/>
    </row>
    <row r="930" spans="1:26" ht="14.25" customHeight="1">
      <c r="A930" s="666" t="s">
        <v>3013</v>
      </c>
      <c r="B930" s="689" t="s">
        <v>323</v>
      </c>
      <c r="C930" s="688" t="s">
        <v>642</v>
      </c>
      <c r="D930" s="760" t="s">
        <v>1693</v>
      </c>
      <c r="E930" s="638">
        <v>197990</v>
      </c>
      <c r="F930" s="638"/>
      <c r="G930" s="638"/>
      <c r="H930" s="638"/>
      <c r="I930" s="638"/>
      <c r="J930" s="638" t="s">
        <v>812</v>
      </c>
      <c r="K930" s="638" t="s">
        <v>812</v>
      </c>
      <c r="L930" s="638" t="s">
        <v>812</v>
      </c>
      <c r="M930" s="638" t="s">
        <v>809</v>
      </c>
      <c r="N930" s="943">
        <v>20.824769969999998</v>
      </c>
      <c r="O930" s="943">
        <v>92.398788449999998</v>
      </c>
      <c r="P930" s="638" t="s">
        <v>813</v>
      </c>
      <c r="Q930" s="638" t="s">
        <v>794</v>
      </c>
      <c r="R930" s="670"/>
      <c r="S930" s="639"/>
      <c r="T930" s="641"/>
      <c r="U930" s="640"/>
      <c r="V930" s="638" t="s">
        <v>956</v>
      </c>
      <c r="W930" s="666"/>
      <c r="X930" s="17"/>
      <c r="Z930" s="17"/>
    </row>
    <row r="931" spans="1:26" ht="14.25" customHeight="1">
      <c r="A931" s="666" t="s">
        <v>3013</v>
      </c>
      <c r="B931" s="689" t="s">
        <v>323</v>
      </c>
      <c r="C931" s="688" t="s">
        <v>370</v>
      </c>
      <c r="D931" s="760" t="s">
        <v>1693</v>
      </c>
      <c r="E931" s="638"/>
      <c r="F931" s="638"/>
      <c r="G931" s="638"/>
      <c r="H931" s="638"/>
      <c r="I931" s="638"/>
      <c r="J931" s="638" t="s">
        <v>812</v>
      </c>
      <c r="K931" s="666" t="s">
        <v>812</v>
      </c>
      <c r="L931" s="638" t="s">
        <v>812</v>
      </c>
      <c r="M931" s="638" t="s">
        <v>809</v>
      </c>
      <c r="N931" s="943"/>
      <c r="O931" s="943"/>
      <c r="P931" s="638" t="s">
        <v>813</v>
      </c>
      <c r="Q931" s="638" t="s">
        <v>794</v>
      </c>
      <c r="R931" s="670"/>
      <c r="S931" s="671"/>
      <c r="T931" s="641"/>
      <c r="U931" s="640"/>
      <c r="V931" s="638" t="s">
        <v>370</v>
      </c>
      <c r="W931" s="666"/>
      <c r="X931" s="17"/>
      <c r="Z931" s="17"/>
    </row>
    <row r="932" spans="1:26" ht="14.25" customHeight="1">
      <c r="A932" s="666" t="s">
        <v>3013</v>
      </c>
      <c r="B932" s="689" t="s">
        <v>323</v>
      </c>
      <c r="C932" s="688" t="s">
        <v>371</v>
      </c>
      <c r="D932" s="760" t="s">
        <v>1693</v>
      </c>
      <c r="E932" s="638"/>
      <c r="F932" s="638"/>
      <c r="G932" s="638"/>
      <c r="H932" s="638"/>
      <c r="I932" s="638"/>
      <c r="J932" s="638" t="s">
        <v>812</v>
      </c>
      <c r="K932" s="666" t="s">
        <v>812</v>
      </c>
      <c r="L932" s="666" t="s">
        <v>812</v>
      </c>
      <c r="M932" s="638" t="s">
        <v>312</v>
      </c>
      <c r="N932" s="943"/>
      <c r="O932" s="943"/>
      <c r="P932" s="638" t="s">
        <v>813</v>
      </c>
      <c r="Q932" s="638" t="s">
        <v>794</v>
      </c>
      <c r="R932" s="670"/>
      <c r="S932" s="639"/>
      <c r="T932" s="641"/>
      <c r="U932" s="640"/>
      <c r="V932" s="638" t="s">
        <v>371</v>
      </c>
      <c r="W932" s="666"/>
      <c r="X932" s="17"/>
      <c r="Z932" s="17"/>
    </row>
    <row r="933" spans="1:26" ht="14.25" customHeight="1">
      <c r="A933" s="666" t="s">
        <v>3013</v>
      </c>
      <c r="B933" s="689" t="s">
        <v>323</v>
      </c>
      <c r="C933" s="688" t="s">
        <v>644</v>
      </c>
      <c r="D933" s="760" t="s">
        <v>1693</v>
      </c>
      <c r="E933" s="638" t="s">
        <v>1428</v>
      </c>
      <c r="F933" s="928"/>
      <c r="G933" s="638"/>
      <c r="H933" s="638" t="s">
        <v>43</v>
      </c>
      <c r="I933" s="638"/>
      <c r="J933" s="638" t="s">
        <v>812</v>
      </c>
      <c r="K933" s="638" t="s">
        <v>812</v>
      </c>
      <c r="L933" s="638" t="s">
        <v>1693</v>
      </c>
      <c r="M933" s="638" t="s">
        <v>809</v>
      </c>
      <c r="N933" s="943">
        <v>20.825306000000001</v>
      </c>
      <c r="O933" s="943">
        <v>92.367852999999997</v>
      </c>
      <c r="P933" s="638" t="s">
        <v>775</v>
      </c>
      <c r="Q933" s="638" t="s">
        <v>794</v>
      </c>
      <c r="R933" s="670"/>
      <c r="S933" s="671"/>
      <c r="T933" s="641">
        <v>43248</v>
      </c>
      <c r="U933" s="640" t="s">
        <v>1943</v>
      </c>
      <c r="V933" s="638"/>
      <c r="W933" s="666"/>
      <c r="X933" s="17"/>
      <c r="Z933" s="17"/>
    </row>
    <row r="934" spans="1:26" ht="14.25" customHeight="1">
      <c r="A934" s="666" t="s">
        <v>3013</v>
      </c>
      <c r="B934" s="689" t="s">
        <v>323</v>
      </c>
      <c r="C934" s="688" t="s">
        <v>629</v>
      </c>
      <c r="D934" s="760" t="s">
        <v>1693</v>
      </c>
      <c r="E934" s="638">
        <v>197996</v>
      </c>
      <c r="F934" s="957" t="s">
        <v>2123</v>
      </c>
      <c r="G934" s="638"/>
      <c r="H934" s="638"/>
      <c r="I934" s="638"/>
      <c r="J934" s="638" t="s">
        <v>812</v>
      </c>
      <c r="K934" s="638" t="s">
        <v>812</v>
      </c>
      <c r="L934" s="638" t="s">
        <v>812</v>
      </c>
      <c r="M934" s="638" t="s">
        <v>809</v>
      </c>
      <c r="N934" s="638">
        <v>20.805980680000001</v>
      </c>
      <c r="O934" s="638">
        <v>92.383308409999998</v>
      </c>
      <c r="P934" s="638" t="s">
        <v>813</v>
      </c>
      <c r="Q934" s="638" t="s">
        <v>794</v>
      </c>
      <c r="R934" s="670"/>
      <c r="S934" s="639"/>
      <c r="T934" s="641"/>
      <c r="U934" s="640"/>
      <c r="V934" s="638" t="s">
        <v>951</v>
      </c>
      <c r="W934" s="922"/>
      <c r="X934" s="17"/>
      <c r="Z934" s="17"/>
    </row>
    <row r="935" spans="1:26" ht="14.25" customHeight="1">
      <c r="A935" s="666" t="s">
        <v>3013</v>
      </c>
      <c r="B935" s="949" t="s">
        <v>323</v>
      </c>
      <c r="C935" s="948" t="s">
        <v>630</v>
      </c>
      <c r="D935" s="760" t="s">
        <v>1693</v>
      </c>
      <c r="E935" s="638">
        <v>197996</v>
      </c>
      <c r="F935" s="922"/>
      <c r="G935" s="638"/>
      <c r="H935" s="638"/>
      <c r="I935" s="638"/>
      <c r="J935" s="638" t="s">
        <v>812</v>
      </c>
      <c r="K935" s="638" t="s">
        <v>812</v>
      </c>
      <c r="L935" s="638" t="s">
        <v>812</v>
      </c>
      <c r="M935" s="638" t="s">
        <v>809</v>
      </c>
      <c r="N935" s="638">
        <v>20.805980680000001</v>
      </c>
      <c r="O935" s="638">
        <v>92.383308409999998</v>
      </c>
      <c r="P935" s="638" t="s">
        <v>813</v>
      </c>
      <c r="Q935" s="638" t="s">
        <v>794</v>
      </c>
      <c r="R935" s="931"/>
      <c r="S935" s="639"/>
      <c r="T935" s="641"/>
      <c r="U935" s="640"/>
      <c r="V935" s="638" t="s">
        <v>952</v>
      </c>
      <c r="W935" s="922"/>
      <c r="X935" s="17"/>
      <c r="Z935" s="17"/>
    </row>
    <row r="936" spans="1:26" ht="14.25" customHeight="1">
      <c r="A936" s="775" t="s">
        <v>3013</v>
      </c>
      <c r="B936" s="776" t="s">
        <v>323</v>
      </c>
      <c r="C936" s="801" t="s">
        <v>581</v>
      </c>
      <c r="D936" s="760" t="s">
        <v>1693</v>
      </c>
      <c r="E936" s="638">
        <v>198045</v>
      </c>
      <c r="F936" s="777"/>
      <c r="G936" s="777"/>
      <c r="H936" s="777"/>
      <c r="I936" s="777"/>
      <c r="J936" s="638" t="s">
        <v>812</v>
      </c>
      <c r="K936" s="638" t="s">
        <v>812</v>
      </c>
      <c r="L936" s="638" t="s">
        <v>812</v>
      </c>
      <c r="M936" s="638" t="s">
        <v>809</v>
      </c>
      <c r="N936" s="638">
        <v>20.71759033</v>
      </c>
      <c r="O936" s="638">
        <v>92.426422119999998</v>
      </c>
      <c r="P936" s="638" t="s">
        <v>813</v>
      </c>
      <c r="Q936" s="777" t="s">
        <v>2947</v>
      </c>
      <c r="R936" s="778"/>
      <c r="S936" s="775"/>
      <c r="T936" s="779">
        <v>43580</v>
      </c>
      <c r="U936" s="780" t="s">
        <v>3071</v>
      </c>
      <c r="V936" s="638" t="s">
        <v>581</v>
      </c>
      <c r="W936" s="670"/>
      <c r="X936" s="17"/>
      <c r="Z936" s="17"/>
    </row>
    <row r="937" spans="1:26" ht="14.25" customHeight="1">
      <c r="A937" s="666" t="s">
        <v>3013</v>
      </c>
      <c r="B937" s="689" t="s">
        <v>323</v>
      </c>
      <c r="C937" s="688" t="s">
        <v>2125</v>
      </c>
      <c r="D937" s="760"/>
      <c r="E937" s="666">
        <v>220744</v>
      </c>
      <c r="F937" s="638"/>
      <c r="G937" s="638"/>
      <c r="H937" s="638"/>
      <c r="I937" s="638"/>
      <c r="J937" s="638" t="s">
        <v>812</v>
      </c>
      <c r="K937" s="666" t="s">
        <v>812</v>
      </c>
      <c r="L937" s="666" t="s">
        <v>812</v>
      </c>
      <c r="M937" s="638" t="s">
        <v>312</v>
      </c>
      <c r="N937" s="638">
        <v>20.71612167</v>
      </c>
      <c r="O937" s="638">
        <v>92.442459110000001</v>
      </c>
      <c r="P937" s="638"/>
      <c r="Q937" s="638"/>
      <c r="R937" s="670"/>
      <c r="S937" s="639"/>
      <c r="T937" s="641">
        <v>43300</v>
      </c>
      <c r="U937" s="640"/>
      <c r="V937" s="638"/>
      <c r="W937" s="922"/>
      <c r="X937" s="17"/>
      <c r="Z937" s="17"/>
    </row>
    <row r="938" spans="1:26" ht="14.25" customHeight="1">
      <c r="A938" s="666" t="s">
        <v>3013</v>
      </c>
      <c r="B938" s="689" t="s">
        <v>323</v>
      </c>
      <c r="C938" s="688" t="s">
        <v>2126</v>
      </c>
      <c r="D938" s="760"/>
      <c r="E938" s="666"/>
      <c r="F938" s="666"/>
      <c r="G938" s="666"/>
      <c r="H938" s="638"/>
      <c r="I938" s="638"/>
      <c r="J938" s="638" t="s">
        <v>812</v>
      </c>
      <c r="K938" s="666" t="s">
        <v>812</v>
      </c>
      <c r="L938" s="666" t="s">
        <v>812</v>
      </c>
      <c r="M938" s="638" t="s">
        <v>2148</v>
      </c>
      <c r="N938" s="638"/>
      <c r="O938" s="666"/>
      <c r="P938" s="666"/>
      <c r="Q938" s="638"/>
      <c r="R938" s="931"/>
      <c r="S938" s="932"/>
      <c r="T938" s="641">
        <v>43300</v>
      </c>
      <c r="U938" s="672"/>
      <c r="V938" s="666"/>
      <c r="W938" s="922"/>
      <c r="X938" s="17"/>
      <c r="Z938" s="17"/>
    </row>
    <row r="939" spans="1:26" ht="14.25" customHeight="1">
      <c r="A939" s="666" t="s">
        <v>3013</v>
      </c>
      <c r="B939" s="689" t="s">
        <v>323</v>
      </c>
      <c r="C939" s="688" t="s">
        <v>922</v>
      </c>
      <c r="D939" s="760"/>
      <c r="E939" s="922">
        <v>197938</v>
      </c>
      <c r="F939" s="638"/>
      <c r="G939" s="638"/>
      <c r="H939" s="638"/>
      <c r="I939" s="638"/>
      <c r="J939" s="638" t="s">
        <v>812</v>
      </c>
      <c r="K939" s="638" t="s">
        <v>812</v>
      </c>
      <c r="L939" s="638" t="s">
        <v>812</v>
      </c>
      <c r="M939" s="638" t="s">
        <v>809</v>
      </c>
      <c r="N939" s="638">
        <v>20.84098053</v>
      </c>
      <c r="O939" s="638">
        <v>92.35720062</v>
      </c>
      <c r="P939" s="638"/>
      <c r="Q939" s="638"/>
      <c r="R939" s="670"/>
      <c r="S939" s="671"/>
      <c r="T939" s="641">
        <v>43300</v>
      </c>
      <c r="U939" s="640"/>
      <c r="V939" s="666"/>
      <c r="W939" s="922"/>
      <c r="X939" s="17"/>
      <c r="Z939" s="17"/>
    </row>
    <row r="940" spans="1:26" ht="14.25" customHeight="1">
      <c r="A940" s="922" t="s">
        <v>3013</v>
      </c>
      <c r="B940" s="949" t="s">
        <v>323</v>
      </c>
      <c r="C940" s="948" t="s">
        <v>688</v>
      </c>
      <c r="D940" s="760" t="s">
        <v>1693</v>
      </c>
      <c r="E940" s="638">
        <v>197903</v>
      </c>
      <c r="F940" s="638"/>
      <c r="G940" s="638"/>
      <c r="H940" s="638"/>
      <c r="I940" s="638"/>
      <c r="J940" s="638" t="s">
        <v>812</v>
      </c>
      <c r="K940" s="638" t="s">
        <v>812</v>
      </c>
      <c r="L940" s="638" t="s">
        <v>812</v>
      </c>
      <c r="M940" s="638" t="s">
        <v>809</v>
      </c>
      <c r="N940" s="666">
        <v>21.000970840000001</v>
      </c>
      <c r="O940" s="666">
        <v>92.334213259999999</v>
      </c>
      <c r="P940" s="638" t="s">
        <v>813</v>
      </c>
      <c r="Q940" s="638" t="s">
        <v>816</v>
      </c>
      <c r="R940" s="931"/>
      <c r="S940" s="639"/>
      <c r="T940" s="641">
        <v>42926</v>
      </c>
      <c r="U940" s="933" t="s">
        <v>817</v>
      </c>
      <c r="V940" s="948"/>
      <c r="W940" s="922"/>
      <c r="X940" s="17"/>
      <c r="Z940" s="17"/>
    </row>
    <row r="941" spans="1:26" ht="14.25" customHeight="1">
      <c r="A941" s="666" t="s">
        <v>3013</v>
      </c>
      <c r="B941" s="689" t="s">
        <v>323</v>
      </c>
      <c r="C941" s="688" t="s">
        <v>546</v>
      </c>
      <c r="D941" s="760" t="s">
        <v>1693</v>
      </c>
      <c r="E941" s="666">
        <v>198026</v>
      </c>
      <c r="F941" s="666"/>
      <c r="G941" s="666"/>
      <c r="H941" s="666"/>
      <c r="I941" s="666"/>
      <c r="J941" s="638" t="s">
        <v>812</v>
      </c>
      <c r="K941" s="666" t="s">
        <v>812</v>
      </c>
      <c r="L941" s="666" t="s">
        <v>812</v>
      </c>
      <c r="M941" s="638" t="s">
        <v>809</v>
      </c>
      <c r="N941" s="666">
        <v>20.671619419999999</v>
      </c>
      <c r="O941" s="666">
        <v>92.473846440000003</v>
      </c>
      <c r="P941" s="638" t="s">
        <v>813</v>
      </c>
      <c r="Q941" s="638" t="s">
        <v>794</v>
      </c>
      <c r="R941" s="670"/>
      <c r="S941" s="671"/>
      <c r="T941" s="641"/>
      <c r="U941" s="672"/>
      <c r="V941" s="666" t="s">
        <v>939</v>
      </c>
      <c r="W941" s="922"/>
      <c r="X941" s="17"/>
      <c r="Z941" s="17"/>
    </row>
    <row r="942" spans="1:26" ht="14.25" customHeight="1">
      <c r="A942" s="666" t="s">
        <v>3013</v>
      </c>
      <c r="B942" s="689" t="s">
        <v>355</v>
      </c>
      <c r="C942" s="688" t="s">
        <v>513</v>
      </c>
      <c r="D942" s="760" t="s">
        <v>1693</v>
      </c>
      <c r="E942" s="638">
        <v>197602</v>
      </c>
      <c r="F942" s="638"/>
      <c r="G942" s="638"/>
      <c r="H942" s="666"/>
      <c r="I942" s="638"/>
      <c r="J942" s="638" t="s">
        <v>812</v>
      </c>
      <c r="K942" s="638" t="s">
        <v>812</v>
      </c>
      <c r="L942" s="638" t="s">
        <v>812</v>
      </c>
      <c r="M942" s="638" t="s">
        <v>809</v>
      </c>
      <c r="N942" s="666">
        <v>20.547620770000002</v>
      </c>
      <c r="O942" s="666">
        <v>92.671058650000006</v>
      </c>
      <c r="P942" s="638" t="s">
        <v>813</v>
      </c>
      <c r="Q942" s="638" t="s">
        <v>794</v>
      </c>
      <c r="R942" s="670"/>
      <c r="S942" s="671"/>
      <c r="T942" s="641"/>
      <c r="U942" s="640"/>
      <c r="V942" s="638" t="s">
        <v>513</v>
      </c>
      <c r="W942" s="670"/>
      <c r="X942" s="17"/>
      <c r="Z942" s="17"/>
    </row>
    <row r="943" spans="1:26" ht="14.25" customHeight="1">
      <c r="A943" s="922" t="s">
        <v>3013</v>
      </c>
      <c r="B943" s="695" t="s">
        <v>355</v>
      </c>
      <c r="C943" s="696" t="s">
        <v>519</v>
      </c>
      <c r="D943" s="669" t="s">
        <v>1693</v>
      </c>
      <c r="E943" s="638" t="s">
        <v>1413</v>
      </c>
      <c r="F943" s="957"/>
      <c r="G943" s="638"/>
      <c r="H943" s="638" t="s">
        <v>43</v>
      </c>
      <c r="I943" s="638"/>
      <c r="J943" s="638" t="s">
        <v>812</v>
      </c>
      <c r="K943" s="638" t="s">
        <v>812</v>
      </c>
      <c r="L943" s="638" t="s">
        <v>1693</v>
      </c>
      <c r="M943" s="638" t="s">
        <v>809</v>
      </c>
      <c r="N943" s="638">
        <v>20.569219</v>
      </c>
      <c r="O943" s="638">
        <v>92.640022000000002</v>
      </c>
      <c r="P943" s="638" t="s">
        <v>775</v>
      </c>
      <c r="Q943" s="638" t="s">
        <v>794</v>
      </c>
      <c r="R943" s="678"/>
      <c r="S943" s="639"/>
      <c r="T943" s="641"/>
      <c r="U943" s="933"/>
      <c r="V943" s="638" t="s">
        <v>519</v>
      </c>
      <c r="W943" s="670"/>
      <c r="X943" s="17"/>
      <c r="Z943" s="17"/>
    </row>
    <row r="944" spans="1:26" ht="14.25" customHeight="1">
      <c r="A944" s="666" t="s">
        <v>3013</v>
      </c>
      <c r="B944" s="689" t="s">
        <v>355</v>
      </c>
      <c r="C944" s="688" t="s">
        <v>516</v>
      </c>
      <c r="D944" s="760" t="s">
        <v>1693</v>
      </c>
      <c r="E944" s="638">
        <v>197593</v>
      </c>
      <c r="F944" s="638"/>
      <c r="G944" s="638"/>
      <c r="H944" s="638"/>
      <c r="I944" s="638"/>
      <c r="J944" s="638" t="s">
        <v>812</v>
      </c>
      <c r="K944" s="638" t="s">
        <v>812</v>
      </c>
      <c r="L944" s="638" t="s">
        <v>812</v>
      </c>
      <c r="M944" s="638" t="s">
        <v>809</v>
      </c>
      <c r="N944" s="638">
        <v>20.555610659999999</v>
      </c>
      <c r="O944" s="638">
        <v>92.643516539999993</v>
      </c>
      <c r="P944" s="638" t="s">
        <v>813</v>
      </c>
      <c r="Q944" s="638" t="s">
        <v>816</v>
      </c>
      <c r="R944" s="670"/>
      <c r="S944" s="639"/>
      <c r="T944" s="641">
        <v>42926</v>
      </c>
      <c r="U944" s="640" t="s">
        <v>817</v>
      </c>
      <c r="V944" s="638"/>
      <c r="W944" s="670"/>
      <c r="X944" s="17"/>
      <c r="Z944" s="17"/>
    </row>
    <row r="945" spans="1:26" ht="14.25" customHeight="1">
      <c r="A945" s="666" t="s">
        <v>3013</v>
      </c>
      <c r="B945" s="689" t="s">
        <v>355</v>
      </c>
      <c r="C945" s="688" t="s">
        <v>517</v>
      </c>
      <c r="D945" s="760" t="s">
        <v>1693</v>
      </c>
      <c r="E945" s="638">
        <v>197593</v>
      </c>
      <c r="F945" s="638"/>
      <c r="G945" s="638"/>
      <c r="H945" s="638"/>
      <c r="I945" s="666"/>
      <c r="J945" s="638" t="s">
        <v>812</v>
      </c>
      <c r="K945" s="638" t="s">
        <v>812</v>
      </c>
      <c r="L945" s="638" t="s">
        <v>812</v>
      </c>
      <c r="M945" s="638" t="s">
        <v>312</v>
      </c>
      <c r="N945" s="666">
        <v>20.555610659999999</v>
      </c>
      <c r="O945" s="666">
        <v>92.643516539999993</v>
      </c>
      <c r="P945" s="638" t="s">
        <v>813</v>
      </c>
      <c r="Q945" s="638" t="s">
        <v>794</v>
      </c>
      <c r="R945" s="670"/>
      <c r="S945" s="671"/>
      <c r="T945" s="641" t="s">
        <v>819</v>
      </c>
      <c r="U945" s="640"/>
      <c r="V945" s="638"/>
      <c r="W945" s="670"/>
      <c r="X945" s="17"/>
      <c r="Z945" s="17"/>
    </row>
    <row r="946" spans="1:26" ht="14.25" customHeight="1">
      <c r="A946" s="666" t="s">
        <v>3013</v>
      </c>
      <c r="B946" s="689" t="s">
        <v>355</v>
      </c>
      <c r="C946" s="688" t="s">
        <v>538</v>
      </c>
      <c r="D946" s="760" t="s">
        <v>1693</v>
      </c>
      <c r="E946" s="638">
        <v>197691</v>
      </c>
      <c r="F946" s="638"/>
      <c r="G946" s="638"/>
      <c r="H946" s="638"/>
      <c r="I946" s="638"/>
      <c r="J946" s="666" t="s">
        <v>812</v>
      </c>
      <c r="K946" s="638" t="s">
        <v>812</v>
      </c>
      <c r="L946" s="638" t="s">
        <v>812</v>
      </c>
      <c r="M946" s="638" t="s">
        <v>312</v>
      </c>
      <c r="N946" s="638">
        <v>20.65517998</v>
      </c>
      <c r="O946" s="638">
        <v>92.720321659999996</v>
      </c>
      <c r="P946" s="638" t="s">
        <v>813</v>
      </c>
      <c r="Q946" s="638" t="s">
        <v>794</v>
      </c>
      <c r="R946" s="935"/>
      <c r="S946" s="936"/>
      <c r="T946" s="641" t="s">
        <v>819</v>
      </c>
      <c r="U946" s="640"/>
      <c r="V946" s="638"/>
      <c r="W946" s="670"/>
      <c r="X946" s="17"/>
      <c r="Z946" s="17"/>
    </row>
    <row r="947" spans="1:26" ht="14.25" customHeight="1">
      <c r="A947" s="666" t="s">
        <v>3013</v>
      </c>
      <c r="B947" s="689" t="s">
        <v>355</v>
      </c>
      <c r="C947" s="688" t="s">
        <v>484</v>
      </c>
      <c r="D947" s="760" t="s">
        <v>2383</v>
      </c>
      <c r="E947" s="928" t="s">
        <v>1405</v>
      </c>
      <c r="F947" s="638" t="s">
        <v>484</v>
      </c>
      <c r="G947" s="638" t="s">
        <v>484</v>
      </c>
      <c r="H947" s="638"/>
      <c r="I947" s="638"/>
      <c r="J947" s="666" t="s">
        <v>812</v>
      </c>
      <c r="K947" s="638" t="s">
        <v>812</v>
      </c>
      <c r="L947" s="638" t="s">
        <v>897</v>
      </c>
      <c r="M947" s="638" t="s">
        <v>809</v>
      </c>
      <c r="N947" s="638">
        <v>20.399269</v>
      </c>
      <c r="O947" s="638">
        <v>92.781294000000003</v>
      </c>
      <c r="P947" s="638" t="s">
        <v>813</v>
      </c>
      <c r="Q947" s="638" t="s">
        <v>794</v>
      </c>
      <c r="R947" s="670">
        <v>32</v>
      </c>
      <c r="S947" s="671">
        <v>157</v>
      </c>
      <c r="T947" s="641"/>
      <c r="U947" s="640"/>
      <c r="V947" s="638" t="s">
        <v>484</v>
      </c>
      <c r="W947" s="670"/>
      <c r="X947" s="17"/>
      <c r="Z947" s="17"/>
    </row>
    <row r="948" spans="1:26" ht="14.25" customHeight="1">
      <c r="A948" s="935" t="s">
        <v>3013</v>
      </c>
      <c r="B948" s="960" t="s">
        <v>355</v>
      </c>
      <c r="C948" s="961" t="s">
        <v>3263</v>
      </c>
      <c r="D948" s="929"/>
      <c r="E948" s="638" t="s">
        <v>3264</v>
      </c>
      <c r="F948" s="638"/>
      <c r="G948" s="638"/>
      <c r="H948" s="638"/>
      <c r="I948" s="666"/>
      <c r="J948" s="638" t="s">
        <v>3028</v>
      </c>
      <c r="K948" s="638" t="s">
        <v>2942</v>
      </c>
      <c r="L948" s="638" t="s">
        <v>2942</v>
      </c>
      <c r="M948" s="638"/>
      <c r="N948" s="666"/>
      <c r="O948" s="666"/>
      <c r="P948" s="638"/>
      <c r="Q948" s="638"/>
      <c r="R948" s="939"/>
      <c r="S948" s="671"/>
      <c r="T948" s="641">
        <v>43591</v>
      </c>
      <c r="U948" s="939"/>
      <c r="V948" s="936" t="s">
        <v>3210</v>
      </c>
      <c r="W948" s="670"/>
      <c r="X948" s="17"/>
      <c r="Z948" s="17"/>
    </row>
    <row r="949" spans="1:26" ht="14.25" customHeight="1">
      <c r="A949" s="666" t="s">
        <v>3013</v>
      </c>
      <c r="B949" s="689" t="s">
        <v>355</v>
      </c>
      <c r="C949" s="688" t="s">
        <v>553</v>
      </c>
      <c r="D949" s="760" t="s">
        <v>1693</v>
      </c>
      <c r="E949" s="638">
        <v>197674</v>
      </c>
      <c r="F949" s="638"/>
      <c r="G949" s="638"/>
      <c r="H949" s="666"/>
      <c r="I949" s="666"/>
      <c r="J949" s="638" t="s">
        <v>812</v>
      </c>
      <c r="K949" s="666" t="s">
        <v>812</v>
      </c>
      <c r="L949" s="666" t="s">
        <v>812</v>
      </c>
      <c r="M949" s="638" t="s">
        <v>809</v>
      </c>
      <c r="N949" s="666">
        <v>20.67845917</v>
      </c>
      <c r="O949" s="666">
        <v>92.663757320000002</v>
      </c>
      <c r="P949" s="638" t="s">
        <v>813</v>
      </c>
      <c r="Q949" s="638" t="s">
        <v>794</v>
      </c>
      <c r="R949" s="670"/>
      <c r="S949" s="671"/>
      <c r="T949" s="641" t="s">
        <v>819</v>
      </c>
      <c r="U949" s="640"/>
      <c r="V949" s="638"/>
      <c r="W949" s="670"/>
      <c r="X949" s="17"/>
      <c r="Z949" s="17"/>
    </row>
    <row r="950" spans="1:26" ht="14.25" customHeight="1">
      <c r="A950" s="666" t="s">
        <v>3013</v>
      </c>
      <c r="B950" s="949" t="s">
        <v>355</v>
      </c>
      <c r="C950" s="948" t="s">
        <v>921</v>
      </c>
      <c r="D950" s="760" t="s">
        <v>1693</v>
      </c>
      <c r="E950" s="922">
        <v>197603</v>
      </c>
      <c r="F950" s="922"/>
      <c r="G950" s="922"/>
      <c r="H950" s="922"/>
      <c r="I950" s="922"/>
      <c r="J950" s="638" t="s">
        <v>812</v>
      </c>
      <c r="K950" s="638" t="s">
        <v>812</v>
      </c>
      <c r="L950" s="638" t="s">
        <v>812</v>
      </c>
      <c r="M950" s="922" t="s">
        <v>809</v>
      </c>
      <c r="N950" s="922">
        <v>20.55364037</v>
      </c>
      <c r="O950" s="922">
        <v>92.674217220000003</v>
      </c>
      <c r="P950" s="638" t="s">
        <v>813</v>
      </c>
      <c r="Q950" s="922"/>
      <c r="R950" s="931"/>
      <c r="S950" s="932"/>
      <c r="T950" s="951"/>
      <c r="U950" s="933"/>
      <c r="V950" s="922" t="s">
        <v>921</v>
      </c>
      <c r="W950" s="670"/>
      <c r="X950" s="17"/>
      <c r="Z950" s="17"/>
    </row>
    <row r="951" spans="1:26" ht="14.25" customHeight="1">
      <c r="A951" s="666" t="s">
        <v>3013</v>
      </c>
      <c r="B951" s="949" t="s">
        <v>355</v>
      </c>
      <c r="C951" s="948" t="s">
        <v>388</v>
      </c>
      <c r="D951" s="760" t="s">
        <v>1693</v>
      </c>
      <c r="E951" s="638">
        <v>220977</v>
      </c>
      <c r="F951" s="638" t="s">
        <v>3094</v>
      </c>
      <c r="G951" s="638"/>
      <c r="H951" s="638"/>
      <c r="I951" s="638"/>
      <c r="J951" s="638" t="s">
        <v>812</v>
      </c>
      <c r="K951" s="638" t="s">
        <v>812</v>
      </c>
      <c r="L951" s="638" t="s">
        <v>812</v>
      </c>
      <c r="M951" s="638" t="s">
        <v>312</v>
      </c>
      <c r="N951" s="638"/>
      <c r="O951" s="922"/>
      <c r="P951" s="638" t="s">
        <v>813</v>
      </c>
      <c r="Q951" s="638" t="s">
        <v>816</v>
      </c>
      <c r="R951" s="931"/>
      <c r="S951" s="671"/>
      <c r="T951" s="641">
        <v>42926</v>
      </c>
      <c r="U951" s="640" t="s">
        <v>817</v>
      </c>
      <c r="V951" s="638"/>
      <c r="W951" s="670"/>
      <c r="X951" s="17"/>
      <c r="Z951" s="17"/>
    </row>
    <row r="952" spans="1:26" ht="14.25" customHeight="1">
      <c r="A952" s="935" t="s">
        <v>3013</v>
      </c>
      <c r="B952" s="695" t="s">
        <v>355</v>
      </c>
      <c r="C952" s="696" t="s">
        <v>3262</v>
      </c>
      <c r="D952" s="669"/>
      <c r="E952" s="638">
        <v>220693</v>
      </c>
      <c r="F952" s="638"/>
      <c r="G952" s="638"/>
      <c r="H952" s="666"/>
      <c r="I952" s="666"/>
      <c r="J952" s="638" t="s">
        <v>3028</v>
      </c>
      <c r="K952" s="638" t="s">
        <v>2942</v>
      </c>
      <c r="L952" s="638" t="s">
        <v>2942</v>
      </c>
      <c r="M952" s="638"/>
      <c r="N952" s="666">
        <v>20.586620330810501</v>
      </c>
      <c r="O952" s="666">
        <v>92.689620971679702</v>
      </c>
      <c r="P952" s="638"/>
      <c r="Q952" s="638"/>
      <c r="R952" s="678"/>
      <c r="S952" s="671"/>
      <c r="T952" s="641">
        <v>43591</v>
      </c>
      <c r="U952" s="939"/>
      <c r="V952" s="638" t="s">
        <v>3209</v>
      </c>
      <c r="W952" s="670"/>
      <c r="X952" s="17"/>
      <c r="Z952" s="17"/>
    </row>
    <row r="953" spans="1:26" ht="14.25" customHeight="1">
      <c r="A953" s="666" t="s">
        <v>3013</v>
      </c>
      <c r="B953" s="689" t="s">
        <v>355</v>
      </c>
      <c r="C953" s="688" t="s">
        <v>496</v>
      </c>
      <c r="D953" s="760" t="s">
        <v>1693</v>
      </c>
      <c r="E953" s="638">
        <v>197631</v>
      </c>
      <c r="F953" s="638" t="s">
        <v>491</v>
      </c>
      <c r="G953" s="638"/>
      <c r="H953" s="666"/>
      <c r="I953" s="666"/>
      <c r="J953" s="638" t="s">
        <v>812</v>
      </c>
      <c r="K953" s="638" t="s">
        <v>812</v>
      </c>
      <c r="L953" s="638" t="s">
        <v>812</v>
      </c>
      <c r="M953" s="638" t="s">
        <v>312</v>
      </c>
      <c r="N953" s="666">
        <v>20.473930360000001</v>
      </c>
      <c r="O953" s="666">
        <v>92.668853760000005</v>
      </c>
      <c r="P953" s="638" t="s">
        <v>813</v>
      </c>
      <c r="Q953" s="638" t="s">
        <v>816</v>
      </c>
      <c r="R953" s="931"/>
      <c r="S953" s="932"/>
      <c r="T953" s="641">
        <v>42926</v>
      </c>
      <c r="U953" s="640" t="s">
        <v>817</v>
      </c>
      <c r="V953" s="638"/>
      <c r="W953" s="670"/>
      <c r="X953" s="17"/>
      <c r="Z953" s="17"/>
    </row>
    <row r="954" spans="1:26" ht="14.25" customHeight="1">
      <c r="A954" s="666" t="s">
        <v>3013</v>
      </c>
      <c r="B954" s="689" t="s">
        <v>355</v>
      </c>
      <c r="C954" s="688" t="s">
        <v>512</v>
      </c>
      <c r="D954" s="760" t="s">
        <v>1693</v>
      </c>
      <c r="E954" s="666">
        <v>197601</v>
      </c>
      <c r="F954" s="922"/>
      <c r="G954" s="638"/>
      <c r="H954" s="666"/>
      <c r="I954" s="638"/>
      <c r="J954" s="638" t="s">
        <v>812</v>
      </c>
      <c r="K954" s="638" t="s">
        <v>812</v>
      </c>
      <c r="L954" s="638" t="s">
        <v>812</v>
      </c>
      <c r="M954" s="638" t="s">
        <v>809</v>
      </c>
      <c r="N954" s="666">
        <v>20.54644012</v>
      </c>
      <c r="O954" s="666">
        <v>92.648399350000005</v>
      </c>
      <c r="P954" s="638" t="s">
        <v>813</v>
      </c>
      <c r="Q954" s="638" t="s">
        <v>794</v>
      </c>
      <c r="R954" s="931"/>
      <c r="S954" s="932"/>
      <c r="T954" s="641"/>
      <c r="U954" s="640"/>
      <c r="V954" s="638" t="s">
        <v>512</v>
      </c>
      <c r="W954" s="670"/>
      <c r="X954" s="17"/>
      <c r="Z954" s="17"/>
    </row>
    <row r="955" spans="1:26" ht="14.25" customHeight="1">
      <c r="A955" s="666" t="s">
        <v>3013</v>
      </c>
      <c r="B955" s="689" t="s">
        <v>355</v>
      </c>
      <c r="C955" s="688" t="s">
        <v>485</v>
      </c>
      <c r="D955" s="760" t="s">
        <v>1693</v>
      </c>
      <c r="E955" s="638" t="s">
        <v>1407</v>
      </c>
      <c r="F955" s="638"/>
      <c r="G955" s="638"/>
      <c r="H955" s="638" t="s">
        <v>43</v>
      </c>
      <c r="I955" s="638"/>
      <c r="J955" s="638" t="s">
        <v>812</v>
      </c>
      <c r="K955" s="638" t="s">
        <v>812</v>
      </c>
      <c r="L955" s="638" t="s">
        <v>1693</v>
      </c>
      <c r="M955" s="638" t="s">
        <v>809</v>
      </c>
      <c r="N955" s="638">
        <v>20.408453000000002</v>
      </c>
      <c r="O955" s="638">
        <v>92.660360999999995</v>
      </c>
      <c r="P955" s="638" t="s">
        <v>775</v>
      </c>
      <c r="Q955" s="638" t="s">
        <v>794</v>
      </c>
      <c r="R955" s="670"/>
      <c r="S955" s="932"/>
      <c r="T955" s="641"/>
      <c r="U955" s="640" t="s">
        <v>1943</v>
      </c>
      <c r="V955" s="638" t="s">
        <v>485</v>
      </c>
      <c r="W955" s="670"/>
      <c r="X955" s="17"/>
      <c r="Z955" s="17"/>
    </row>
    <row r="956" spans="1:26" ht="14.25" customHeight="1">
      <c r="A956" s="666" t="s">
        <v>3013</v>
      </c>
      <c r="B956" s="689" t="s">
        <v>355</v>
      </c>
      <c r="C956" s="688" t="s">
        <v>906</v>
      </c>
      <c r="D956" s="760" t="s">
        <v>1693</v>
      </c>
      <c r="E956" s="638">
        <v>197650</v>
      </c>
      <c r="F956" s="638"/>
      <c r="G956" s="638"/>
      <c r="H956" s="666"/>
      <c r="I956" s="666"/>
      <c r="J956" s="638" t="s">
        <v>893</v>
      </c>
      <c r="K956" s="638" t="s">
        <v>812</v>
      </c>
      <c r="L956" s="638" t="s">
        <v>812</v>
      </c>
      <c r="M956" s="638" t="s">
        <v>312</v>
      </c>
      <c r="N956" s="666">
        <v>20.397039410000001</v>
      </c>
      <c r="O956" s="666">
        <v>92.664451600000007</v>
      </c>
      <c r="P956" s="638" t="s">
        <v>813</v>
      </c>
      <c r="Q956" s="638"/>
      <c r="R956" s="931"/>
      <c r="S956" s="932"/>
      <c r="T956" s="641">
        <v>42849</v>
      </c>
      <c r="U956" s="640" t="s">
        <v>907</v>
      </c>
      <c r="V956" s="666"/>
      <c r="W956" s="670"/>
      <c r="X956" s="17"/>
      <c r="Z956" s="17"/>
    </row>
    <row r="957" spans="1:26" ht="14.25" customHeight="1">
      <c r="A957" s="666" t="s">
        <v>3013</v>
      </c>
      <c r="B957" s="689" t="s">
        <v>355</v>
      </c>
      <c r="C957" s="688" t="s">
        <v>521</v>
      </c>
      <c r="D957" s="760" t="s">
        <v>1693</v>
      </c>
      <c r="E957" s="638">
        <v>197591</v>
      </c>
      <c r="F957" s="638"/>
      <c r="G957" s="638"/>
      <c r="H957" s="638"/>
      <c r="I957" s="666"/>
      <c r="J957" s="638" t="s">
        <v>812</v>
      </c>
      <c r="K957" s="638" t="s">
        <v>812</v>
      </c>
      <c r="L957" s="638" t="s">
        <v>812</v>
      </c>
      <c r="M957" s="638" t="s">
        <v>809</v>
      </c>
      <c r="N957" s="666">
        <v>20.581470490000001</v>
      </c>
      <c r="O957" s="666">
        <v>92.643272400000001</v>
      </c>
      <c r="P957" s="638" t="s">
        <v>813</v>
      </c>
      <c r="Q957" s="638" t="s">
        <v>794</v>
      </c>
      <c r="R957" s="931"/>
      <c r="S957" s="932"/>
      <c r="T957" s="641"/>
      <c r="U957" s="640" t="s">
        <v>817</v>
      </c>
      <c r="V957" s="638" t="s">
        <v>521</v>
      </c>
      <c r="W957" s="670"/>
      <c r="X957" s="17"/>
      <c r="Z957" s="17"/>
    </row>
    <row r="958" spans="1:26" ht="14.25" customHeight="1">
      <c r="A958" s="666" t="s">
        <v>3013</v>
      </c>
      <c r="B958" s="246" t="s">
        <v>355</v>
      </c>
      <c r="C958" s="247" t="s">
        <v>1111</v>
      </c>
      <c r="D958" s="929" t="s">
        <v>1693</v>
      </c>
      <c r="E958" s="240"/>
      <c r="F958" s="240"/>
      <c r="G958" s="240"/>
      <c r="H958" s="240"/>
      <c r="I958" s="240"/>
      <c r="J958" s="638" t="s">
        <v>812</v>
      </c>
      <c r="K958" s="638" t="s">
        <v>812</v>
      </c>
      <c r="L958" s="638" t="s">
        <v>812</v>
      </c>
      <c r="M958" s="240" t="s">
        <v>825</v>
      </c>
      <c r="N958" s="240"/>
      <c r="O958" s="240"/>
      <c r="P958" s="638" t="s">
        <v>813</v>
      </c>
      <c r="Q958" s="240" t="s">
        <v>816</v>
      </c>
      <c r="R958" s="241"/>
      <c r="S958" s="239"/>
      <c r="T958" s="242">
        <v>42926</v>
      </c>
      <c r="U958" s="243" t="s">
        <v>817</v>
      </c>
      <c r="V958" s="240"/>
      <c r="W958" s="670"/>
      <c r="X958" s="17"/>
      <c r="Z958" s="17"/>
    </row>
    <row r="959" spans="1:26" ht="14.25" customHeight="1">
      <c r="A959" s="666" t="s">
        <v>3013</v>
      </c>
      <c r="B959" s="960" t="s">
        <v>355</v>
      </c>
      <c r="C959" s="961" t="s">
        <v>520</v>
      </c>
      <c r="D959" s="929" t="s">
        <v>1693</v>
      </c>
      <c r="E959" s="638">
        <v>197590</v>
      </c>
      <c r="F959" s="638"/>
      <c r="G959" s="638"/>
      <c r="H959" s="638"/>
      <c r="I959" s="922"/>
      <c r="J959" s="638" t="s">
        <v>812</v>
      </c>
      <c r="K959" s="638" t="s">
        <v>812</v>
      </c>
      <c r="L959" s="922" t="s">
        <v>812</v>
      </c>
      <c r="M959" s="638" t="s">
        <v>312</v>
      </c>
      <c r="N959" s="666">
        <v>20.56975937</v>
      </c>
      <c r="O959" s="958">
        <v>92.641799930000005</v>
      </c>
      <c r="P959" s="638" t="s">
        <v>813</v>
      </c>
      <c r="Q959" s="638" t="s">
        <v>794</v>
      </c>
      <c r="R959" s="939"/>
      <c r="S959" s="932"/>
      <c r="T959" s="641"/>
      <c r="U959" s="640" t="s">
        <v>817</v>
      </c>
      <c r="V959" s="638" t="s">
        <v>520</v>
      </c>
      <c r="W959" s="931"/>
      <c r="X959" s="17"/>
      <c r="Z959" s="17"/>
    </row>
    <row r="960" spans="1:26" ht="14.25" customHeight="1">
      <c r="A960" s="666" t="s">
        <v>3013</v>
      </c>
      <c r="B960" s="960" t="s">
        <v>355</v>
      </c>
      <c r="C960" s="961" t="s">
        <v>927</v>
      </c>
      <c r="D960" s="929" t="s">
        <v>1693</v>
      </c>
      <c r="E960" s="922">
        <v>197585</v>
      </c>
      <c r="F960" s="922"/>
      <c r="G960" s="922"/>
      <c r="H960" s="922"/>
      <c r="I960" s="922"/>
      <c r="J960" s="922" t="s">
        <v>812</v>
      </c>
      <c r="K960" s="922" t="s">
        <v>812</v>
      </c>
      <c r="L960" s="922" t="s">
        <v>812</v>
      </c>
      <c r="M960" s="922" t="s">
        <v>312</v>
      </c>
      <c r="N960" s="922">
        <v>20.585840229999999</v>
      </c>
      <c r="O960" s="922">
        <v>92.670722960000006</v>
      </c>
      <c r="P960" s="922" t="s">
        <v>813</v>
      </c>
      <c r="Q960" s="922"/>
      <c r="R960" s="939"/>
      <c r="S960" s="932"/>
      <c r="T960" s="951"/>
      <c r="U960" s="933"/>
      <c r="V960" s="922" t="s">
        <v>927</v>
      </c>
      <c r="W960" s="931"/>
      <c r="X960" s="17"/>
      <c r="Z960" s="17"/>
    </row>
    <row r="961" spans="1:26" ht="14.25" customHeight="1">
      <c r="A961" s="935" t="s">
        <v>3013</v>
      </c>
      <c r="B961" s="960" t="s">
        <v>355</v>
      </c>
      <c r="C961" s="961" t="s">
        <v>3261</v>
      </c>
      <c r="D961" s="929"/>
      <c r="E961" s="638">
        <v>197581</v>
      </c>
      <c r="F961" s="638"/>
      <c r="G961" s="638"/>
      <c r="H961" s="666"/>
      <c r="I961" s="666"/>
      <c r="J961" s="638" t="s">
        <v>3028</v>
      </c>
      <c r="K961" s="638" t="s">
        <v>2942</v>
      </c>
      <c r="L961" s="638" t="s">
        <v>2942</v>
      </c>
      <c r="M961" s="638"/>
      <c r="N961" s="666">
        <v>20.631229400634801</v>
      </c>
      <c r="O961" s="666">
        <v>92.641532897949205</v>
      </c>
      <c r="P961" s="638"/>
      <c r="Q961" s="638"/>
      <c r="R961" s="939"/>
      <c r="S961" s="932"/>
      <c r="T961" s="641">
        <v>43591</v>
      </c>
      <c r="U961" s="939"/>
      <c r="V961" s="638" t="s">
        <v>3208</v>
      </c>
      <c r="W961" s="670"/>
      <c r="X961" s="17"/>
      <c r="Z961" s="17"/>
    </row>
    <row r="962" spans="1:26" ht="14.25" customHeight="1">
      <c r="A962" s="666" t="s">
        <v>3013</v>
      </c>
      <c r="B962" s="689" t="s">
        <v>355</v>
      </c>
      <c r="C962" s="688" t="s">
        <v>596</v>
      </c>
      <c r="D962" s="929" t="s">
        <v>1693</v>
      </c>
      <c r="E962" s="638">
        <v>197616</v>
      </c>
      <c r="F962" s="638" t="s">
        <v>500</v>
      </c>
      <c r="G962" s="638"/>
      <c r="H962" s="666"/>
      <c r="I962" s="666"/>
      <c r="J962" s="638" t="s">
        <v>812</v>
      </c>
      <c r="K962" s="638" t="s">
        <v>812</v>
      </c>
      <c r="L962" s="638" t="s">
        <v>812</v>
      </c>
      <c r="M962" s="638" t="s">
        <v>312</v>
      </c>
      <c r="N962" s="666">
        <v>20.495670319999999</v>
      </c>
      <c r="O962" s="666">
        <v>92.651496890000004</v>
      </c>
      <c r="P962" s="638" t="s">
        <v>813</v>
      </c>
      <c r="Q962" s="638" t="s">
        <v>816</v>
      </c>
      <c r="R962" s="928"/>
      <c r="S962" s="928"/>
      <c r="T962" s="641">
        <v>42926</v>
      </c>
      <c r="U962" s="640" t="s">
        <v>817</v>
      </c>
      <c r="V962" s="638"/>
      <c r="W962" s="670"/>
      <c r="X962" s="17"/>
      <c r="Z962" s="17"/>
    </row>
    <row r="963" spans="1:26" ht="14.25" customHeight="1">
      <c r="A963" s="666" t="s">
        <v>3013</v>
      </c>
      <c r="B963" s="689" t="s">
        <v>355</v>
      </c>
      <c r="C963" s="688" t="s">
        <v>555</v>
      </c>
      <c r="D963" s="760" t="s">
        <v>1693</v>
      </c>
      <c r="E963" s="638">
        <v>197670</v>
      </c>
      <c r="F963" s="668"/>
      <c r="G963" s="638"/>
      <c r="H963" s="638"/>
      <c r="I963" s="666"/>
      <c r="J963" s="638" t="s">
        <v>812</v>
      </c>
      <c r="K963" s="638" t="s">
        <v>812</v>
      </c>
      <c r="L963" s="638" t="s">
        <v>812</v>
      </c>
      <c r="M963" s="638" t="s">
        <v>809</v>
      </c>
      <c r="N963" s="666">
        <v>20.6833992</v>
      </c>
      <c r="O963" s="666">
        <v>92.656608579999997</v>
      </c>
      <c r="P963" s="638" t="s">
        <v>813</v>
      </c>
      <c r="Q963" s="638" t="s">
        <v>794</v>
      </c>
      <c r="R963" s="935"/>
      <c r="S963" s="936"/>
      <c r="T963" s="641" t="s">
        <v>819</v>
      </c>
      <c r="U963" s="640"/>
      <c r="V963" s="638"/>
      <c r="W963" s="670"/>
      <c r="X963" s="17"/>
      <c r="Z963" s="17"/>
    </row>
    <row r="964" spans="1:26" ht="14.25" customHeight="1">
      <c r="A964" s="666" t="s">
        <v>3013</v>
      </c>
      <c r="B964" s="689" t="s">
        <v>355</v>
      </c>
      <c r="C964" s="688" t="s">
        <v>487</v>
      </c>
      <c r="D964" s="760" t="s">
        <v>1693</v>
      </c>
      <c r="E964" s="638" t="s">
        <v>1409</v>
      </c>
      <c r="F964" s="638"/>
      <c r="G964" s="638"/>
      <c r="H964" s="666" t="s">
        <v>43</v>
      </c>
      <c r="I964" s="666"/>
      <c r="J964" s="638" t="s">
        <v>812</v>
      </c>
      <c r="K964" s="638" t="s">
        <v>812</v>
      </c>
      <c r="L964" s="638" t="s">
        <v>1693</v>
      </c>
      <c r="M964" s="638" t="s">
        <v>809</v>
      </c>
      <c r="N964" s="666">
        <v>20.447261000000001</v>
      </c>
      <c r="O964" s="666">
        <v>92.639589000000001</v>
      </c>
      <c r="P964" s="638" t="s">
        <v>775</v>
      </c>
      <c r="Q964" s="638" t="s">
        <v>794</v>
      </c>
      <c r="R964" s="670"/>
      <c r="S964" s="670"/>
      <c r="T964" s="641"/>
      <c r="U964" s="640" t="s">
        <v>1943</v>
      </c>
      <c r="V964" s="638" t="s">
        <v>487</v>
      </c>
      <c r="W964" s="670"/>
      <c r="X964" s="17"/>
      <c r="Z964" s="17"/>
    </row>
    <row r="965" spans="1:26" ht="14.25" customHeight="1">
      <c r="A965" s="666" t="s">
        <v>3013</v>
      </c>
      <c r="B965" s="689" t="s">
        <v>355</v>
      </c>
      <c r="C965" s="688" t="s">
        <v>911</v>
      </c>
      <c r="D965" s="760" t="s">
        <v>1693</v>
      </c>
      <c r="E965" s="638">
        <v>197654</v>
      </c>
      <c r="F965" s="638"/>
      <c r="G965" s="638"/>
      <c r="H965" s="666"/>
      <c r="I965" s="666"/>
      <c r="J965" s="638" t="s">
        <v>893</v>
      </c>
      <c r="K965" s="638" t="s">
        <v>812</v>
      </c>
      <c r="L965" s="638" t="s">
        <v>812</v>
      </c>
      <c r="M965" s="638" t="s">
        <v>312</v>
      </c>
      <c r="N965" s="666">
        <v>20.447399140000002</v>
      </c>
      <c r="O965" s="666">
        <v>92.630462649999998</v>
      </c>
      <c r="P965" s="638" t="s">
        <v>813</v>
      </c>
      <c r="Q965" s="638"/>
      <c r="R965" s="935"/>
      <c r="S965" s="936"/>
      <c r="T965" s="641">
        <v>42849</v>
      </c>
      <c r="U965" s="640" t="s">
        <v>907</v>
      </c>
      <c r="V965" s="638" t="s">
        <v>487</v>
      </c>
      <c r="W965" s="670"/>
      <c r="X965" s="17"/>
      <c r="Z965" s="17"/>
    </row>
    <row r="966" spans="1:26" ht="14.25" customHeight="1">
      <c r="A966" s="666" t="s">
        <v>3013</v>
      </c>
      <c r="B966" s="689" t="s">
        <v>355</v>
      </c>
      <c r="C966" s="688" t="s">
        <v>536</v>
      </c>
      <c r="D966" s="760" t="s">
        <v>1693</v>
      </c>
      <c r="E966" s="638">
        <v>197695</v>
      </c>
      <c r="F966" s="638" t="s">
        <v>3095</v>
      </c>
      <c r="G966" s="638"/>
      <c r="H966" s="666"/>
      <c r="I966" s="666"/>
      <c r="J966" s="638" t="s">
        <v>812</v>
      </c>
      <c r="K966" s="638" t="s">
        <v>812</v>
      </c>
      <c r="L966" s="666" t="s">
        <v>812</v>
      </c>
      <c r="M966" s="638" t="s">
        <v>312</v>
      </c>
      <c r="N966" s="666">
        <v>20.651939389999999</v>
      </c>
      <c r="O966" s="666">
        <v>92.684577939999997</v>
      </c>
      <c r="P966" s="638" t="s">
        <v>813</v>
      </c>
      <c r="Q966" s="638" t="s">
        <v>816</v>
      </c>
      <c r="R966" s="674"/>
      <c r="S966" s="675"/>
      <c r="T966" s="641">
        <v>42926</v>
      </c>
      <c r="U966" s="640" t="s">
        <v>817</v>
      </c>
      <c r="V966" s="638"/>
      <c r="W966" s="670"/>
      <c r="X966" s="17"/>
      <c r="Z966" s="17"/>
    </row>
    <row r="967" spans="1:26" ht="14.25" customHeight="1">
      <c r="A967" s="666" t="s">
        <v>3013</v>
      </c>
      <c r="B967" s="689" t="s">
        <v>355</v>
      </c>
      <c r="C967" s="688" t="s">
        <v>491</v>
      </c>
      <c r="D967" s="760" t="s">
        <v>1693</v>
      </c>
      <c r="E967" s="638">
        <v>197629</v>
      </c>
      <c r="F967" s="928" t="s">
        <v>491</v>
      </c>
      <c r="G967" s="638"/>
      <c r="H967" s="666"/>
      <c r="I967" s="666"/>
      <c r="J967" s="638" t="s">
        <v>812</v>
      </c>
      <c r="K967" s="638" t="s">
        <v>812</v>
      </c>
      <c r="L967" s="666" t="s">
        <v>812</v>
      </c>
      <c r="M967" s="638" t="s">
        <v>312</v>
      </c>
      <c r="N967" s="666">
        <v>20.463909149999999</v>
      </c>
      <c r="O967" s="666">
        <v>92.675468440000003</v>
      </c>
      <c r="P967" s="666" t="s">
        <v>813</v>
      </c>
      <c r="Q967" s="638" t="s">
        <v>816</v>
      </c>
      <c r="R967" s="670"/>
      <c r="S967" s="670"/>
      <c r="T967" s="641">
        <v>42926</v>
      </c>
      <c r="U967" s="640" t="s">
        <v>817</v>
      </c>
      <c r="V967" s="638"/>
      <c r="W967" s="670"/>
      <c r="X967" s="17"/>
      <c r="Z967" s="17"/>
    </row>
    <row r="968" spans="1:26" ht="14.25" customHeight="1">
      <c r="A968" s="666" t="s">
        <v>3013</v>
      </c>
      <c r="B968" s="689" t="s">
        <v>355</v>
      </c>
      <c r="C968" s="970" t="s">
        <v>531</v>
      </c>
      <c r="D968" s="760" t="s">
        <v>1693</v>
      </c>
      <c r="E968" s="638">
        <v>197706</v>
      </c>
      <c r="F968" s="922" t="s">
        <v>531</v>
      </c>
      <c r="G968" s="638"/>
      <c r="H968" s="666"/>
      <c r="I968" s="941"/>
      <c r="J968" s="638" t="s">
        <v>812</v>
      </c>
      <c r="K968" s="638" t="s">
        <v>812</v>
      </c>
      <c r="L968" s="941" t="s">
        <v>812</v>
      </c>
      <c r="M968" s="638" t="s">
        <v>312</v>
      </c>
      <c r="N968" s="666">
        <v>20.643590929999998</v>
      </c>
      <c r="O968" s="666">
        <v>92.722618100000005</v>
      </c>
      <c r="P968" s="638" t="s">
        <v>813</v>
      </c>
      <c r="Q968" s="638" t="s">
        <v>794</v>
      </c>
      <c r="R968" s="670"/>
      <c r="S968" s="670"/>
      <c r="T968" s="641" t="s">
        <v>819</v>
      </c>
      <c r="U968" s="640"/>
      <c r="V968" s="638"/>
      <c r="W968" s="963"/>
      <c r="X968" s="17"/>
      <c r="Z968" s="17"/>
    </row>
    <row r="969" spans="1:26" ht="14.25" customHeight="1">
      <c r="A969" s="666" t="s">
        <v>3013</v>
      </c>
      <c r="B969" s="966" t="s">
        <v>355</v>
      </c>
      <c r="C969" s="971" t="s">
        <v>929</v>
      </c>
      <c r="D969" s="760" t="s">
        <v>1693</v>
      </c>
      <c r="E969" s="964">
        <v>197583</v>
      </c>
      <c r="F969" s="967"/>
      <c r="G969" s="967"/>
      <c r="H969" s="967"/>
      <c r="I969" s="941"/>
      <c r="J969" s="967" t="s">
        <v>812</v>
      </c>
      <c r="K969" s="967" t="s">
        <v>812</v>
      </c>
      <c r="L969" s="941" t="s">
        <v>812</v>
      </c>
      <c r="M969" s="967"/>
      <c r="N969" s="967">
        <v>20.598709110000001</v>
      </c>
      <c r="O969" s="967">
        <v>92.664337160000002</v>
      </c>
      <c r="P969" s="967" t="s">
        <v>813</v>
      </c>
      <c r="Q969" s="967"/>
      <c r="R969" s="670"/>
      <c r="S969" s="670"/>
      <c r="T969" s="968"/>
      <c r="U969" s="969"/>
      <c r="V969" s="967" t="s">
        <v>929</v>
      </c>
      <c r="W969" s="963"/>
      <c r="X969" s="17"/>
      <c r="Z969" s="17"/>
    </row>
    <row r="970" spans="1:26" ht="14.25" customHeight="1">
      <c r="A970" s="666" t="s">
        <v>3013</v>
      </c>
      <c r="B970" s="689" t="s">
        <v>355</v>
      </c>
      <c r="C970" s="688" t="s">
        <v>503</v>
      </c>
      <c r="D970" s="760" t="s">
        <v>1693</v>
      </c>
      <c r="E970" s="638">
        <v>197615</v>
      </c>
      <c r="F970" s="638"/>
      <c r="G970" s="638"/>
      <c r="H970" s="638"/>
      <c r="I970" s="638"/>
      <c r="J970" s="666" t="s">
        <v>812</v>
      </c>
      <c r="K970" s="666" t="s">
        <v>812</v>
      </c>
      <c r="L970" s="666" t="s">
        <v>812</v>
      </c>
      <c r="M970" s="638" t="s">
        <v>312</v>
      </c>
      <c r="N970" s="666">
        <v>20.502599719999999</v>
      </c>
      <c r="O970" s="666">
        <v>92.6474762</v>
      </c>
      <c r="P970" s="638" t="s">
        <v>813</v>
      </c>
      <c r="Q970" s="638" t="s">
        <v>816</v>
      </c>
      <c r="R970" s="674"/>
      <c r="S970" s="675"/>
      <c r="T970" s="641">
        <v>42926</v>
      </c>
      <c r="U970" s="640" t="s">
        <v>817</v>
      </c>
      <c r="V970" s="638"/>
      <c r="W970" s="670"/>
      <c r="X970" s="17"/>
      <c r="Z970" s="17"/>
    </row>
    <row r="971" spans="1:26" ht="14.25" customHeight="1">
      <c r="A971" s="666" t="s">
        <v>3013</v>
      </c>
      <c r="B971" s="689" t="s">
        <v>355</v>
      </c>
      <c r="C971" s="688" t="s">
        <v>920</v>
      </c>
      <c r="D971" s="760" t="s">
        <v>1693</v>
      </c>
      <c r="E971" s="638">
        <v>197608</v>
      </c>
      <c r="F971" s="666"/>
      <c r="G971" s="638"/>
      <c r="H971" s="638"/>
      <c r="I971" s="638"/>
      <c r="J971" s="638" t="s">
        <v>812</v>
      </c>
      <c r="K971" s="638" t="s">
        <v>812</v>
      </c>
      <c r="L971" s="638" t="s">
        <v>812</v>
      </c>
      <c r="M971" s="638" t="s">
        <v>312</v>
      </c>
      <c r="N971" s="666">
        <v>20.521270749999999</v>
      </c>
      <c r="O971" s="666">
        <v>92.686096190000001</v>
      </c>
      <c r="P971" s="638" t="s">
        <v>813</v>
      </c>
      <c r="Q971" s="638"/>
      <c r="R971" s="935"/>
      <c r="S971" s="936"/>
      <c r="T971" s="641"/>
      <c r="U971" s="640"/>
      <c r="V971" s="638" t="s">
        <v>920</v>
      </c>
      <c r="W971" s="670"/>
      <c r="X971" s="17"/>
      <c r="Z971" s="17"/>
    </row>
    <row r="972" spans="1:26" ht="14.25" customHeight="1">
      <c r="A972" s="666" t="s">
        <v>3013</v>
      </c>
      <c r="B972" s="689" t="s">
        <v>355</v>
      </c>
      <c r="C972" s="688" t="s">
        <v>498</v>
      </c>
      <c r="D972" s="760" t="s">
        <v>1693</v>
      </c>
      <c r="E972" s="638">
        <v>197618</v>
      </c>
      <c r="F972" s="668"/>
      <c r="G972" s="638"/>
      <c r="H972" s="638"/>
      <c r="I972" s="638"/>
      <c r="J972" s="638" t="s">
        <v>812</v>
      </c>
      <c r="K972" s="638" t="s">
        <v>812</v>
      </c>
      <c r="L972" s="638" t="s">
        <v>812</v>
      </c>
      <c r="M972" s="638" t="s">
        <v>312</v>
      </c>
      <c r="N972" s="666">
        <v>20.480100629999999</v>
      </c>
      <c r="O972" s="666">
        <v>92.70481873</v>
      </c>
      <c r="P972" s="638" t="s">
        <v>813</v>
      </c>
      <c r="Q972" s="638" t="s">
        <v>816</v>
      </c>
      <c r="R972" s="670"/>
      <c r="S972" s="670"/>
      <c r="T972" s="641">
        <v>42926</v>
      </c>
      <c r="U972" s="640" t="s">
        <v>817</v>
      </c>
      <c r="V972" s="638"/>
      <c r="W972" s="670"/>
      <c r="X972" s="17"/>
      <c r="Z972" s="17"/>
    </row>
    <row r="973" spans="1:26" ht="14.25" customHeight="1">
      <c r="A973" s="666" t="s">
        <v>3013</v>
      </c>
      <c r="B973" s="689" t="s">
        <v>355</v>
      </c>
      <c r="C973" s="688" t="s">
        <v>530</v>
      </c>
      <c r="D973" s="760" t="s">
        <v>1693</v>
      </c>
      <c r="E973" s="638">
        <v>197707</v>
      </c>
      <c r="F973" s="638"/>
      <c r="G973" s="638"/>
      <c r="H973" s="666"/>
      <c r="I973" s="666"/>
      <c r="J973" s="638" t="s">
        <v>812</v>
      </c>
      <c r="K973" s="638" t="s">
        <v>812</v>
      </c>
      <c r="L973" s="638" t="s">
        <v>812</v>
      </c>
      <c r="M973" s="638" t="s">
        <v>312</v>
      </c>
      <c r="N973" s="666">
        <v>20.639530180000001</v>
      </c>
      <c r="O973" s="666">
        <v>92.721908569999997</v>
      </c>
      <c r="P973" s="638" t="s">
        <v>813</v>
      </c>
      <c r="Q973" s="638" t="s">
        <v>794</v>
      </c>
      <c r="R973" s="670"/>
      <c r="S973" s="931"/>
      <c r="T973" s="641" t="s">
        <v>819</v>
      </c>
      <c r="U973" s="640"/>
      <c r="V973" s="638"/>
      <c r="W973" s="670"/>
      <c r="X973" s="17"/>
      <c r="Z973" s="17"/>
    </row>
    <row r="974" spans="1:26" ht="14.25" customHeight="1">
      <c r="A974" s="666" t="s">
        <v>3013</v>
      </c>
      <c r="B974" s="689" t="s">
        <v>355</v>
      </c>
      <c r="C974" s="688" t="s">
        <v>522</v>
      </c>
      <c r="D974" s="760" t="s">
        <v>1693</v>
      </c>
      <c r="E974" s="666">
        <v>197580</v>
      </c>
      <c r="F974" s="666"/>
      <c r="G974" s="666"/>
      <c r="H974" s="666"/>
      <c r="I974" s="666"/>
      <c r="J974" s="638" t="s">
        <v>812</v>
      </c>
      <c r="K974" s="638" t="s">
        <v>812</v>
      </c>
      <c r="L974" s="638" t="s">
        <v>812</v>
      </c>
      <c r="M974" s="638" t="s">
        <v>312</v>
      </c>
      <c r="N974" s="666">
        <v>20.582699999999999</v>
      </c>
      <c r="O974" s="666">
        <v>92.664699999999996</v>
      </c>
      <c r="P974" s="638" t="s">
        <v>813</v>
      </c>
      <c r="Q974" s="638" t="s">
        <v>794</v>
      </c>
      <c r="R974" s="931"/>
      <c r="S974" s="931"/>
      <c r="T974" s="641"/>
      <c r="U974" s="640"/>
      <c r="V974" s="638" t="s">
        <v>522</v>
      </c>
      <c r="W974" s="670"/>
      <c r="X974" s="17"/>
      <c r="Z974" s="17"/>
    </row>
    <row r="975" spans="1:26" ht="14.25" customHeight="1">
      <c r="A975" s="666" t="s">
        <v>3013</v>
      </c>
      <c r="B975" s="689" t="s">
        <v>355</v>
      </c>
      <c r="C975" s="688" t="s">
        <v>495</v>
      </c>
      <c r="D975" s="760" t="s">
        <v>1693</v>
      </c>
      <c r="E975" s="638">
        <v>197630</v>
      </c>
      <c r="F975" s="638"/>
      <c r="G975" s="638"/>
      <c r="H975" s="638"/>
      <c r="I975" s="638"/>
      <c r="J975" s="638" t="s">
        <v>812</v>
      </c>
      <c r="K975" s="638" t="s">
        <v>812</v>
      </c>
      <c r="L975" s="638" t="s">
        <v>812</v>
      </c>
      <c r="M975" s="638" t="s">
        <v>312</v>
      </c>
      <c r="N975" s="666">
        <v>20.470119480000001</v>
      </c>
      <c r="O975" s="666">
        <v>92.672653199999999</v>
      </c>
      <c r="P975" s="638" t="s">
        <v>813</v>
      </c>
      <c r="Q975" s="638" t="s">
        <v>816</v>
      </c>
      <c r="R975" s="935"/>
      <c r="S975" s="936"/>
      <c r="T975" s="641">
        <v>42926</v>
      </c>
      <c r="U975" s="640" t="s">
        <v>817</v>
      </c>
      <c r="V975" s="638"/>
      <c r="W975" s="670"/>
      <c r="X975" s="17"/>
      <c r="Z975" s="17"/>
    </row>
    <row r="976" spans="1:26" ht="14.25" customHeight="1">
      <c r="A976" s="666" t="s">
        <v>3013</v>
      </c>
      <c r="B976" s="689" t="s">
        <v>355</v>
      </c>
      <c r="C976" s="688" t="s">
        <v>1953</v>
      </c>
      <c r="D976" s="760"/>
      <c r="E976" s="638">
        <v>197611</v>
      </c>
      <c r="F976" s="638" t="s">
        <v>1953</v>
      </c>
      <c r="G976" s="638"/>
      <c r="H976" s="638"/>
      <c r="I976" s="638"/>
      <c r="J976" s="638" t="s">
        <v>812</v>
      </c>
      <c r="K976" s="638" t="s">
        <v>812</v>
      </c>
      <c r="L976" s="638" t="s">
        <v>812</v>
      </c>
      <c r="M976" s="638" t="s">
        <v>312</v>
      </c>
      <c r="N976" s="638">
        <v>20.504730219999999</v>
      </c>
      <c r="O976" s="638">
        <v>92.6831131</v>
      </c>
      <c r="P976" s="638" t="s">
        <v>813</v>
      </c>
      <c r="Q976" s="638" t="s">
        <v>1950</v>
      </c>
      <c r="R976" s="670"/>
      <c r="S976" s="670"/>
      <c r="T976" s="641">
        <v>43245</v>
      </c>
      <c r="U976" s="640"/>
      <c r="V976" s="638"/>
      <c r="W976" s="670"/>
      <c r="X976" s="17"/>
      <c r="Z976" s="17"/>
    </row>
    <row r="977" spans="1:26" ht="14.25" customHeight="1">
      <c r="A977" s="666" t="s">
        <v>3013</v>
      </c>
      <c r="B977" s="689" t="s">
        <v>355</v>
      </c>
      <c r="C977" s="688" t="s">
        <v>1954</v>
      </c>
      <c r="D977" s="760"/>
      <c r="E977" s="638">
        <v>197613</v>
      </c>
      <c r="F977" s="668"/>
      <c r="G977" s="638"/>
      <c r="H977" s="638"/>
      <c r="I977" s="666"/>
      <c r="J977" s="666" t="s">
        <v>812</v>
      </c>
      <c r="K977" s="666" t="s">
        <v>812</v>
      </c>
      <c r="L977" s="666" t="s">
        <v>812</v>
      </c>
      <c r="M977" s="638" t="s">
        <v>312</v>
      </c>
      <c r="N977" s="666">
        <v>20.49729919</v>
      </c>
      <c r="O977" s="666">
        <v>92.683097840000002</v>
      </c>
      <c r="P977" s="638" t="s">
        <v>813</v>
      </c>
      <c r="Q977" s="638" t="s">
        <v>1950</v>
      </c>
      <c r="R977" s="670"/>
      <c r="S977" s="670"/>
      <c r="T977" s="641">
        <v>43245</v>
      </c>
      <c r="U977" s="640"/>
      <c r="V977" s="638"/>
      <c r="W977" s="670"/>
      <c r="X977" s="17"/>
      <c r="Z977" s="17"/>
    </row>
    <row r="978" spans="1:26" ht="14.25" customHeight="1">
      <c r="A978" s="666" t="s">
        <v>3013</v>
      </c>
      <c r="B978" s="949" t="s">
        <v>355</v>
      </c>
      <c r="C978" s="948" t="s">
        <v>506</v>
      </c>
      <c r="D978" s="760" t="s">
        <v>1693</v>
      </c>
      <c r="E978" s="922">
        <v>197596</v>
      </c>
      <c r="F978" s="638"/>
      <c r="G978" s="638"/>
      <c r="H978" s="922"/>
      <c r="I978" s="922"/>
      <c r="J978" s="922" t="s">
        <v>812</v>
      </c>
      <c r="K978" s="922" t="s">
        <v>812</v>
      </c>
      <c r="L978" s="922" t="s">
        <v>812</v>
      </c>
      <c r="M978" s="922" t="s">
        <v>312</v>
      </c>
      <c r="N978" s="922">
        <v>20.511900000000001</v>
      </c>
      <c r="O978" s="922">
        <v>92.645300000000006</v>
      </c>
      <c r="P978" s="638" t="s">
        <v>813</v>
      </c>
      <c r="Q978" s="922" t="s">
        <v>794</v>
      </c>
      <c r="R978" s="670"/>
      <c r="S978" s="670"/>
      <c r="T978" s="951"/>
      <c r="U978" s="933"/>
      <c r="V978" s="638" t="s">
        <v>506</v>
      </c>
      <c r="W978" s="670"/>
      <c r="X978" s="17"/>
      <c r="Z978" s="17"/>
    </row>
    <row r="979" spans="1:26" ht="14.25" customHeight="1">
      <c r="A979" s="666" t="s">
        <v>3013</v>
      </c>
      <c r="B979" s="689" t="s">
        <v>355</v>
      </c>
      <c r="C979" s="688" t="s">
        <v>488</v>
      </c>
      <c r="D979" s="760" t="s">
        <v>1693</v>
      </c>
      <c r="E979" s="638">
        <v>197621</v>
      </c>
      <c r="F979" s="638"/>
      <c r="G979" s="638"/>
      <c r="H979" s="638"/>
      <c r="I979" s="638"/>
      <c r="J979" s="638" t="s">
        <v>812</v>
      </c>
      <c r="K979" s="638" t="s">
        <v>812</v>
      </c>
      <c r="L979" s="638" t="s">
        <v>812</v>
      </c>
      <c r="M979" s="638" t="s">
        <v>312</v>
      </c>
      <c r="N979" s="666">
        <v>20.453830719999999</v>
      </c>
      <c r="O979" s="666">
        <v>92.683090210000003</v>
      </c>
      <c r="P979" s="638" t="s">
        <v>813</v>
      </c>
      <c r="Q979" s="638" t="s">
        <v>816</v>
      </c>
      <c r="R979" s="935"/>
      <c r="S979" s="936"/>
      <c r="T979" s="641">
        <v>42926</v>
      </c>
      <c r="U979" s="640" t="s">
        <v>817</v>
      </c>
      <c r="V979" s="638"/>
      <c r="W979" s="670"/>
      <c r="X979" s="17"/>
      <c r="Z979" s="17"/>
    </row>
    <row r="980" spans="1:26" ht="14.25" customHeight="1">
      <c r="A980" s="666" t="s">
        <v>3013</v>
      </c>
      <c r="B980" s="689" t="s">
        <v>355</v>
      </c>
      <c r="C980" s="688" t="s">
        <v>529</v>
      </c>
      <c r="D980" s="760" t="s">
        <v>1693</v>
      </c>
      <c r="E980" s="638">
        <v>197690</v>
      </c>
      <c r="F980" s="922"/>
      <c r="G980" s="638"/>
      <c r="H980" s="638"/>
      <c r="I980" s="638"/>
      <c r="J980" s="638" t="s">
        <v>812</v>
      </c>
      <c r="K980" s="638" t="s">
        <v>812</v>
      </c>
      <c r="L980" s="638" t="s">
        <v>812</v>
      </c>
      <c r="M980" s="638" t="s">
        <v>312</v>
      </c>
      <c r="N980" s="666">
        <v>20.636510850000001</v>
      </c>
      <c r="O980" s="666">
        <v>92.713378910000003</v>
      </c>
      <c r="P980" s="638" t="s">
        <v>813</v>
      </c>
      <c r="Q980" s="638" t="s">
        <v>794</v>
      </c>
      <c r="R980" s="931"/>
      <c r="S980" s="931"/>
      <c r="T980" s="641" t="s">
        <v>819</v>
      </c>
      <c r="U980" s="640"/>
      <c r="V980" s="638"/>
      <c r="W980" s="670"/>
      <c r="X980" s="17"/>
      <c r="Z980" s="17"/>
    </row>
    <row r="981" spans="1:26" ht="14.25" customHeight="1">
      <c r="A981" s="922" t="s">
        <v>3013</v>
      </c>
      <c r="B981" s="949" t="s">
        <v>355</v>
      </c>
      <c r="C981" s="948" t="s">
        <v>515</v>
      </c>
      <c r="D981" s="760" t="s">
        <v>1693</v>
      </c>
      <c r="E981" s="638">
        <v>197597</v>
      </c>
      <c r="F981" s="928"/>
      <c r="G981" s="638"/>
      <c r="H981" s="638"/>
      <c r="I981" s="638"/>
      <c r="J981" s="638" t="s">
        <v>812</v>
      </c>
      <c r="K981" s="638" t="s">
        <v>812</v>
      </c>
      <c r="L981" s="638" t="s">
        <v>812</v>
      </c>
      <c r="M981" s="638" t="s">
        <v>809</v>
      </c>
      <c r="N981" s="666">
        <v>20.550769809999998</v>
      </c>
      <c r="O981" s="666">
        <v>92.650512699999993</v>
      </c>
      <c r="P981" s="638" t="s">
        <v>813</v>
      </c>
      <c r="Q981" s="638" t="s">
        <v>794</v>
      </c>
      <c r="R981" s="931"/>
      <c r="S981" s="931"/>
      <c r="T981" s="641"/>
      <c r="U981" s="933"/>
      <c r="V981" s="638" t="s">
        <v>515</v>
      </c>
      <c r="W981" s="670"/>
      <c r="X981" s="17"/>
      <c r="Z981" s="17"/>
    </row>
    <row r="982" spans="1:26" ht="14.25" customHeight="1">
      <c r="A982" s="666" t="s">
        <v>3013</v>
      </c>
      <c r="B982" s="949" t="s">
        <v>355</v>
      </c>
      <c r="C982" s="948" t="s">
        <v>475</v>
      </c>
      <c r="D982" s="760" t="s">
        <v>2383</v>
      </c>
      <c r="E982" s="638" t="s">
        <v>1401</v>
      </c>
      <c r="F982" s="638"/>
      <c r="G982" s="638"/>
      <c r="H982" s="638"/>
      <c r="I982" s="638"/>
      <c r="J982" s="638" t="s">
        <v>812</v>
      </c>
      <c r="K982" s="638" t="s">
        <v>812</v>
      </c>
      <c r="L982" s="922" t="s">
        <v>897</v>
      </c>
      <c r="M982" s="638" t="s">
        <v>809</v>
      </c>
      <c r="N982" s="666">
        <v>20.335864000000001</v>
      </c>
      <c r="O982" s="666">
        <v>92.785706000000005</v>
      </c>
      <c r="P982" s="638" t="s">
        <v>813</v>
      </c>
      <c r="Q982" s="638" t="s">
        <v>794</v>
      </c>
      <c r="R982" s="931">
        <v>56</v>
      </c>
      <c r="S982" s="671">
        <v>332</v>
      </c>
      <c r="T982" s="641"/>
      <c r="U982" s="640"/>
      <c r="V982" s="638" t="s">
        <v>898</v>
      </c>
      <c r="W982" s="670"/>
      <c r="X982" s="17"/>
      <c r="Z982" s="17"/>
    </row>
    <row r="983" spans="1:26" ht="14.25" customHeight="1">
      <c r="A983" s="666" t="s">
        <v>3013</v>
      </c>
      <c r="B983" s="689" t="s">
        <v>355</v>
      </c>
      <c r="C983" s="688" t="s">
        <v>476</v>
      </c>
      <c r="D983" s="760" t="s">
        <v>1693</v>
      </c>
      <c r="E983" s="638">
        <v>197779</v>
      </c>
      <c r="F983" s="638"/>
      <c r="G983" s="638"/>
      <c r="H983" s="638"/>
      <c r="I983" s="638"/>
      <c r="J983" s="638" t="s">
        <v>812</v>
      </c>
      <c r="K983" s="638" t="s">
        <v>812</v>
      </c>
      <c r="L983" s="666" t="s">
        <v>812</v>
      </c>
      <c r="M983" s="638" t="s">
        <v>312</v>
      </c>
      <c r="N983" s="666">
        <v>20.339799880000001</v>
      </c>
      <c r="O983" s="666">
        <v>92.782653809999999</v>
      </c>
      <c r="P983" s="638" t="s">
        <v>813</v>
      </c>
      <c r="Q983" s="638" t="s">
        <v>794</v>
      </c>
      <c r="R983" s="674"/>
      <c r="S983" s="675"/>
      <c r="T983" s="641"/>
      <c r="U983" s="640"/>
      <c r="V983" s="638"/>
      <c r="W983" s="670"/>
      <c r="X983" s="17"/>
      <c r="Z983" s="17"/>
    </row>
    <row r="984" spans="1:26" ht="14.25" customHeight="1">
      <c r="A984" s="666" t="s">
        <v>3013</v>
      </c>
      <c r="B984" s="689" t="s">
        <v>355</v>
      </c>
      <c r="C984" s="688" t="s">
        <v>564</v>
      </c>
      <c r="D984" s="760" t="s">
        <v>1693</v>
      </c>
      <c r="E984" s="638">
        <v>197671</v>
      </c>
      <c r="F984" s="638"/>
      <c r="G984" s="638"/>
      <c r="H984" s="638"/>
      <c r="I984" s="666"/>
      <c r="J984" s="638" t="s">
        <v>812</v>
      </c>
      <c r="K984" s="638" t="s">
        <v>812</v>
      </c>
      <c r="L984" s="666" t="s">
        <v>812</v>
      </c>
      <c r="M984" s="638" t="s">
        <v>312</v>
      </c>
      <c r="N984" s="666">
        <v>20.694499969999999</v>
      </c>
      <c r="O984" s="666">
        <v>92.647750849999994</v>
      </c>
      <c r="P984" s="638" t="s">
        <v>813</v>
      </c>
      <c r="Q984" s="638" t="s">
        <v>794</v>
      </c>
      <c r="R984" s="670"/>
      <c r="S984" s="670"/>
      <c r="T984" s="641" t="s">
        <v>794</v>
      </c>
      <c r="U984" s="640"/>
      <c r="V984" s="638"/>
      <c r="W984" s="931"/>
      <c r="X984" s="17"/>
      <c r="Z984" s="17"/>
    </row>
    <row r="985" spans="1:26" ht="14.25" customHeight="1">
      <c r="A985" s="922" t="s">
        <v>3013</v>
      </c>
      <c r="B985" s="949" t="s">
        <v>355</v>
      </c>
      <c r="C985" s="948" t="s">
        <v>557</v>
      </c>
      <c r="D985" s="760" t="s">
        <v>1693</v>
      </c>
      <c r="E985" s="638">
        <v>197672</v>
      </c>
      <c r="F985" s="638" t="s">
        <v>557</v>
      </c>
      <c r="G985" s="638"/>
      <c r="H985" s="666"/>
      <c r="I985" s="666"/>
      <c r="J985" s="638" t="s">
        <v>812</v>
      </c>
      <c r="K985" s="638" t="s">
        <v>812</v>
      </c>
      <c r="L985" s="638" t="s">
        <v>812</v>
      </c>
      <c r="M985" s="638" t="s">
        <v>312</v>
      </c>
      <c r="N985" s="666">
        <v>20.686460490000002</v>
      </c>
      <c r="O985" s="666">
        <v>92.682327270000002</v>
      </c>
      <c r="P985" s="638" t="s">
        <v>813</v>
      </c>
      <c r="Q985" s="638" t="s">
        <v>794</v>
      </c>
      <c r="R985" s="931"/>
      <c r="S985" s="931"/>
      <c r="T985" s="641" t="s">
        <v>794</v>
      </c>
      <c r="U985" s="933"/>
      <c r="V985" s="948"/>
      <c r="W985" s="670"/>
      <c r="X985" s="17"/>
      <c r="Z985" s="17"/>
    </row>
    <row r="986" spans="1:26" ht="14.25" customHeight="1">
      <c r="A986" s="666" t="s">
        <v>3013</v>
      </c>
      <c r="B986" s="689" t="s">
        <v>355</v>
      </c>
      <c r="C986" s="688" t="s">
        <v>561</v>
      </c>
      <c r="D986" s="760" t="s">
        <v>1693</v>
      </c>
      <c r="E986" s="638">
        <v>197669</v>
      </c>
      <c r="F986" s="928"/>
      <c r="G986" s="638"/>
      <c r="H986" s="638"/>
      <c r="I986" s="638"/>
      <c r="J986" s="638" t="s">
        <v>3028</v>
      </c>
      <c r="K986" s="638" t="s">
        <v>2942</v>
      </c>
      <c r="L986" s="638" t="s">
        <v>2942</v>
      </c>
      <c r="M986" s="638" t="s">
        <v>312</v>
      </c>
      <c r="N986" s="638">
        <v>20.688629150000001</v>
      </c>
      <c r="O986" s="638">
        <v>92.652481080000001</v>
      </c>
      <c r="P986" s="638" t="s">
        <v>813</v>
      </c>
      <c r="Q986" s="638" t="s">
        <v>794</v>
      </c>
      <c r="R986" s="670"/>
      <c r="S986" s="670"/>
      <c r="T986" s="641" t="s">
        <v>819</v>
      </c>
      <c r="U986" s="640"/>
      <c r="V986" s="638"/>
      <c r="W986" s="670"/>
      <c r="X986" s="17"/>
      <c r="Z986" s="17"/>
    </row>
    <row r="987" spans="1:26" ht="14.25" customHeight="1">
      <c r="A987" s="922" t="s">
        <v>3013</v>
      </c>
      <c r="B987" s="956" t="s">
        <v>355</v>
      </c>
      <c r="C987" s="962" t="s">
        <v>507</v>
      </c>
      <c r="D987" s="760" t="s">
        <v>1693</v>
      </c>
      <c r="E987" s="941">
        <v>197609</v>
      </c>
      <c r="F987" s="638"/>
      <c r="G987" s="638"/>
      <c r="H987" s="941"/>
      <c r="I987" s="941"/>
      <c r="J987" s="941" t="s">
        <v>812</v>
      </c>
      <c r="K987" s="941" t="s">
        <v>812</v>
      </c>
      <c r="L987" s="941" t="s">
        <v>812</v>
      </c>
      <c r="M987" s="941" t="s">
        <v>312</v>
      </c>
      <c r="N987" s="941">
        <v>20.5177002</v>
      </c>
      <c r="O987" s="941">
        <v>92.660263060000005</v>
      </c>
      <c r="P987" s="638" t="s">
        <v>813</v>
      </c>
      <c r="Q987" s="942" t="s">
        <v>794</v>
      </c>
      <c r="R987" s="931"/>
      <c r="S987" s="931"/>
      <c r="T987" s="953"/>
      <c r="U987" s="941"/>
      <c r="V987" s="666" t="s">
        <v>507</v>
      </c>
      <c r="W987" s="670"/>
      <c r="X987" s="17"/>
      <c r="Z987" s="17"/>
    </row>
    <row r="988" spans="1:26" ht="14.25" customHeight="1">
      <c r="A988" s="666" t="s">
        <v>3013</v>
      </c>
      <c r="B988" s="689" t="s">
        <v>355</v>
      </c>
      <c r="C988" s="688" t="s">
        <v>511</v>
      </c>
      <c r="D988" s="760" t="s">
        <v>1693</v>
      </c>
      <c r="E988" s="666">
        <v>197599</v>
      </c>
      <c r="F988" s="666"/>
      <c r="G988" s="638"/>
      <c r="H988" s="638"/>
      <c r="I988" s="638"/>
      <c r="J988" s="638" t="s">
        <v>812</v>
      </c>
      <c r="K988" s="666" t="s">
        <v>812</v>
      </c>
      <c r="L988" s="666" t="s">
        <v>812</v>
      </c>
      <c r="M988" s="638" t="s">
        <v>312</v>
      </c>
      <c r="N988" s="638">
        <v>20.543479919999999</v>
      </c>
      <c r="O988" s="666">
        <v>92.676979059999994</v>
      </c>
      <c r="P988" s="638" t="s">
        <v>813</v>
      </c>
      <c r="Q988" s="638" t="s">
        <v>794</v>
      </c>
      <c r="R988" s="931"/>
      <c r="S988" s="931"/>
      <c r="T988" s="641"/>
      <c r="U988" s="640"/>
      <c r="V988" s="638" t="s">
        <v>511</v>
      </c>
      <c r="W988" s="670"/>
      <c r="X988" s="17"/>
      <c r="Z988" s="17"/>
    </row>
    <row r="989" spans="1:26" ht="14.25" customHeight="1">
      <c r="A989" s="666" t="s">
        <v>3013</v>
      </c>
      <c r="B989" s="689" t="s">
        <v>355</v>
      </c>
      <c r="C989" s="688" t="s">
        <v>552</v>
      </c>
      <c r="D989" s="929" t="s">
        <v>1693</v>
      </c>
      <c r="E989" s="638">
        <v>197683</v>
      </c>
      <c r="F989" s="928"/>
      <c r="G989" s="638"/>
      <c r="H989" s="638"/>
      <c r="I989" s="638"/>
      <c r="J989" s="638" t="s">
        <v>3028</v>
      </c>
      <c r="K989" s="638" t="s">
        <v>2942</v>
      </c>
      <c r="L989" s="638" t="s">
        <v>2942</v>
      </c>
      <c r="M989" s="638" t="s">
        <v>312</v>
      </c>
      <c r="N989" s="638">
        <v>20.678159709999999</v>
      </c>
      <c r="O989" s="638">
        <v>92.713821409999994</v>
      </c>
      <c r="P989" s="638" t="s">
        <v>813</v>
      </c>
      <c r="Q989" s="638" t="s">
        <v>794</v>
      </c>
      <c r="R989" s="928"/>
      <c r="S989" s="928"/>
      <c r="T989" s="641" t="s">
        <v>794</v>
      </c>
      <c r="U989" s="640"/>
      <c r="V989" s="638"/>
      <c r="W989" s="670"/>
      <c r="X989" s="17"/>
      <c r="Z989" s="17"/>
    </row>
    <row r="990" spans="1:26" ht="14.25" customHeight="1">
      <c r="A990" s="666" t="s">
        <v>3013</v>
      </c>
      <c r="B990" s="960" t="s">
        <v>355</v>
      </c>
      <c r="C990" s="961" t="s">
        <v>924</v>
      </c>
      <c r="D990" s="929" t="s">
        <v>1693</v>
      </c>
      <c r="E990" s="638">
        <v>220694</v>
      </c>
      <c r="F990" s="638"/>
      <c r="G990" s="638"/>
      <c r="H990" s="638"/>
      <c r="I990" s="638"/>
      <c r="J990" s="638" t="s">
        <v>812</v>
      </c>
      <c r="K990" s="638" t="s">
        <v>812</v>
      </c>
      <c r="L990" s="928" t="s">
        <v>812</v>
      </c>
      <c r="M990" s="638" t="s">
        <v>312</v>
      </c>
      <c r="N990" s="666">
        <v>20.581470490000001</v>
      </c>
      <c r="O990" s="666">
        <v>92.643272400000001</v>
      </c>
      <c r="P990" s="638" t="s">
        <v>813</v>
      </c>
      <c r="Q990" s="638"/>
      <c r="R990" s="939"/>
      <c r="S990" s="671"/>
      <c r="T990" s="641"/>
      <c r="U990" s="640"/>
      <c r="V990" s="638" t="s">
        <v>925</v>
      </c>
      <c r="W990" s="670"/>
      <c r="X990" s="17"/>
      <c r="Z990" s="17"/>
    </row>
    <row r="991" spans="1:26" ht="14.25" customHeight="1">
      <c r="A991" s="922" t="s">
        <v>3013</v>
      </c>
      <c r="B991" s="949" t="s">
        <v>355</v>
      </c>
      <c r="C991" s="948" t="s">
        <v>356</v>
      </c>
      <c r="D991" s="760" t="s">
        <v>1693</v>
      </c>
      <c r="E991" s="638"/>
      <c r="F991" s="638"/>
      <c r="G991" s="638"/>
      <c r="H991" s="638"/>
      <c r="I991" s="666"/>
      <c r="J991" s="638" t="s">
        <v>812</v>
      </c>
      <c r="K991" s="638" t="s">
        <v>812</v>
      </c>
      <c r="L991" s="638" t="s">
        <v>812</v>
      </c>
      <c r="M991" s="638" t="s">
        <v>312</v>
      </c>
      <c r="N991" s="666"/>
      <c r="O991" s="666"/>
      <c r="P991" s="638" t="s">
        <v>813</v>
      </c>
      <c r="Q991" s="638" t="s">
        <v>794</v>
      </c>
      <c r="R991" s="935"/>
      <c r="S991" s="936"/>
      <c r="T991" s="641" t="s">
        <v>819</v>
      </c>
      <c r="U991" s="933"/>
      <c r="V991" s="638"/>
      <c r="W991" s="670"/>
      <c r="X991" s="17"/>
      <c r="Z991" s="17"/>
    </row>
    <row r="992" spans="1:26" ht="14.25" customHeight="1">
      <c r="A992" s="666" t="s">
        <v>3013</v>
      </c>
      <c r="B992" s="689" t="s">
        <v>355</v>
      </c>
      <c r="C992" s="688" t="s">
        <v>3096</v>
      </c>
      <c r="D992" s="760" t="s">
        <v>1693</v>
      </c>
      <c r="E992" s="638">
        <v>197586</v>
      </c>
      <c r="F992" s="638" t="s">
        <v>2081</v>
      </c>
      <c r="G992" s="638"/>
      <c r="H992" s="638"/>
      <c r="I992" s="638"/>
      <c r="J992" s="638" t="s">
        <v>812</v>
      </c>
      <c r="K992" s="638" t="s">
        <v>812</v>
      </c>
      <c r="L992" s="638" t="s">
        <v>812</v>
      </c>
      <c r="M992" s="638" t="s">
        <v>312</v>
      </c>
      <c r="N992" s="638">
        <v>20.58996964</v>
      </c>
      <c r="O992" s="638">
        <v>92.691757199999998</v>
      </c>
      <c r="P992" s="638" t="s">
        <v>813</v>
      </c>
      <c r="Q992" s="638" t="s">
        <v>794</v>
      </c>
      <c r="R992" s="670"/>
      <c r="S992" s="931"/>
      <c r="T992" s="641"/>
      <c r="U992" s="640"/>
      <c r="V992" s="638" t="s">
        <v>524</v>
      </c>
      <c r="W992" s="965"/>
      <c r="X992" s="17"/>
      <c r="Z992" s="17"/>
    </row>
    <row r="993" spans="1:26" ht="14.25" customHeight="1">
      <c r="A993" s="666" t="s">
        <v>3013</v>
      </c>
      <c r="B993" s="689" t="s">
        <v>355</v>
      </c>
      <c r="C993" s="688" t="s">
        <v>3260</v>
      </c>
      <c r="D993" s="760" t="s">
        <v>1693</v>
      </c>
      <c r="E993" s="638">
        <v>197589</v>
      </c>
      <c r="F993" s="638" t="s">
        <v>922</v>
      </c>
      <c r="G993" s="638"/>
      <c r="H993" s="666"/>
      <c r="I993" s="666"/>
      <c r="J993" s="638" t="s">
        <v>3028</v>
      </c>
      <c r="K993" s="638" t="s">
        <v>2942</v>
      </c>
      <c r="L993" s="638" t="s">
        <v>2942</v>
      </c>
      <c r="M993" s="638"/>
      <c r="N993" s="666">
        <v>20.575780868530298</v>
      </c>
      <c r="O993" s="666">
        <v>92.670402526855497</v>
      </c>
      <c r="P993" s="638"/>
      <c r="Q993" s="638"/>
      <c r="R993" s="670"/>
      <c r="S993" s="932"/>
      <c r="T993" s="641"/>
      <c r="U993" s="640"/>
      <c r="V993" s="638" t="s">
        <v>3206</v>
      </c>
      <c r="W993" s="670"/>
      <c r="X993" s="17"/>
      <c r="Z993" s="17"/>
    </row>
    <row r="994" spans="1:26" ht="14.25" customHeight="1">
      <c r="A994" s="935" t="s">
        <v>3013</v>
      </c>
      <c r="B994" s="960" t="s">
        <v>355</v>
      </c>
      <c r="C994" s="961" t="s">
        <v>3212</v>
      </c>
      <c r="D994" s="929"/>
      <c r="E994" s="638"/>
      <c r="F994" s="922"/>
      <c r="G994" s="638"/>
      <c r="H994" s="666"/>
      <c r="I994" s="666"/>
      <c r="J994" s="638" t="s">
        <v>3028</v>
      </c>
      <c r="K994" s="638" t="s">
        <v>2942</v>
      </c>
      <c r="L994" s="638" t="s">
        <v>2942</v>
      </c>
      <c r="M994" s="638"/>
      <c r="N994" s="666"/>
      <c r="O994" s="666"/>
      <c r="P994" s="638"/>
      <c r="Q994" s="638"/>
      <c r="R994" s="939"/>
      <c r="S994" s="671"/>
      <c r="T994" s="641">
        <v>43591</v>
      </c>
      <c r="U994" s="939"/>
      <c r="V994" s="936" t="s">
        <v>3212</v>
      </c>
      <c r="W994" s="670"/>
      <c r="X994" s="17"/>
      <c r="Z994" s="17"/>
    </row>
    <row r="995" spans="1:26" ht="14.25" customHeight="1">
      <c r="A995" s="922" t="s">
        <v>3013</v>
      </c>
      <c r="B995" s="949" t="s">
        <v>355</v>
      </c>
      <c r="C995" s="948" t="s">
        <v>901</v>
      </c>
      <c r="D995" s="760" t="s">
        <v>1693</v>
      </c>
      <c r="E995" s="638">
        <v>197765</v>
      </c>
      <c r="F995" s="638"/>
      <c r="G995" s="638"/>
      <c r="H995" s="666"/>
      <c r="I995" s="666"/>
      <c r="J995" s="638" t="s">
        <v>812</v>
      </c>
      <c r="K995" s="638" t="s">
        <v>812</v>
      </c>
      <c r="L995" s="638" t="s">
        <v>812</v>
      </c>
      <c r="M995" s="638" t="s">
        <v>312</v>
      </c>
      <c r="N995" s="666">
        <v>20.3917</v>
      </c>
      <c r="O995" s="666">
        <v>92.770899999999997</v>
      </c>
      <c r="P995" s="638" t="s">
        <v>813</v>
      </c>
      <c r="Q995" s="638"/>
      <c r="R995" s="931"/>
      <c r="S995" s="931"/>
      <c r="T995" s="641"/>
      <c r="U995" s="933"/>
      <c r="V995" s="638" t="s">
        <v>901</v>
      </c>
      <c r="W995" s="670"/>
      <c r="X995" s="17"/>
      <c r="Z995" s="17"/>
    </row>
    <row r="996" spans="1:26" ht="14.25" customHeight="1">
      <c r="A996" s="935" t="s">
        <v>3013</v>
      </c>
      <c r="B996" s="960" t="s">
        <v>355</v>
      </c>
      <c r="C996" s="961" t="s">
        <v>3213</v>
      </c>
      <c r="D996" s="929"/>
      <c r="E996" s="638"/>
      <c r="F996" s="638"/>
      <c r="G996" s="638"/>
      <c r="H996" s="638"/>
      <c r="I996" s="638"/>
      <c r="J996" s="666" t="s">
        <v>3028</v>
      </c>
      <c r="K996" s="666" t="s">
        <v>2942</v>
      </c>
      <c r="L996" s="666" t="s">
        <v>2942</v>
      </c>
      <c r="M996" s="638"/>
      <c r="N996" s="638"/>
      <c r="O996" s="638"/>
      <c r="P996" s="638"/>
      <c r="Q996" s="638"/>
      <c r="R996" s="939"/>
      <c r="S996" s="639"/>
      <c r="T996" s="641">
        <v>43591</v>
      </c>
      <c r="U996" s="939"/>
      <c r="V996" s="638"/>
      <c r="W996" s="670"/>
      <c r="X996" s="17"/>
      <c r="Z996" s="17"/>
    </row>
    <row r="997" spans="1:26" ht="14.25" customHeight="1">
      <c r="A997" s="666" t="s">
        <v>3013</v>
      </c>
      <c r="B997" s="689" t="s">
        <v>355</v>
      </c>
      <c r="C997" s="688" t="s">
        <v>579</v>
      </c>
      <c r="D997" s="760" t="s">
        <v>1693</v>
      </c>
      <c r="E997" s="638">
        <v>197666</v>
      </c>
      <c r="F997" s="638"/>
      <c r="G997" s="638"/>
      <c r="H997" s="666"/>
      <c r="I997" s="666"/>
      <c r="J997" s="666" t="s">
        <v>812</v>
      </c>
      <c r="K997" s="666" t="s">
        <v>812</v>
      </c>
      <c r="L997" s="666" t="s">
        <v>812</v>
      </c>
      <c r="M997" s="638" t="s">
        <v>809</v>
      </c>
      <c r="N997" s="666">
        <v>20.716560359999999</v>
      </c>
      <c r="O997" s="666">
        <v>92.645408630000006</v>
      </c>
      <c r="P997" s="638" t="s">
        <v>813</v>
      </c>
      <c r="Q997" s="638" t="s">
        <v>794</v>
      </c>
      <c r="R997" s="935"/>
      <c r="S997" s="936"/>
      <c r="T997" s="641" t="s">
        <v>819</v>
      </c>
      <c r="U997" s="640"/>
      <c r="V997" s="666"/>
      <c r="W997" s="670"/>
      <c r="X997" s="17"/>
      <c r="Z997" s="17"/>
    </row>
    <row r="998" spans="1:26" ht="14.25" customHeight="1">
      <c r="A998" s="922" t="s">
        <v>3013</v>
      </c>
      <c r="B998" s="949" t="s">
        <v>355</v>
      </c>
      <c r="C998" s="948" t="s">
        <v>589</v>
      </c>
      <c r="D998" s="760" t="s">
        <v>1693</v>
      </c>
      <c r="E998" s="638">
        <v>197665</v>
      </c>
      <c r="F998" s="638"/>
      <c r="G998" s="638"/>
      <c r="H998" s="638"/>
      <c r="I998" s="638"/>
      <c r="J998" s="638" t="s">
        <v>812</v>
      </c>
      <c r="K998" s="638" t="s">
        <v>812</v>
      </c>
      <c r="L998" s="638" t="s">
        <v>812</v>
      </c>
      <c r="M998" s="638" t="s">
        <v>312</v>
      </c>
      <c r="N998" s="638">
        <v>20.72533035</v>
      </c>
      <c r="O998" s="638">
        <v>92.64795685</v>
      </c>
      <c r="P998" s="638" t="s">
        <v>813</v>
      </c>
      <c r="Q998" s="638" t="s">
        <v>794</v>
      </c>
      <c r="R998" s="935"/>
      <c r="S998" s="936"/>
      <c r="T998" s="641" t="s">
        <v>819</v>
      </c>
      <c r="U998" s="933"/>
      <c r="V998" s="638"/>
      <c r="W998" s="670"/>
      <c r="X998" s="17"/>
      <c r="Z998" s="17"/>
    </row>
    <row r="999" spans="1:26" ht="14.25" customHeight="1">
      <c r="A999" s="666" t="s">
        <v>3013</v>
      </c>
      <c r="B999" s="689" t="s">
        <v>355</v>
      </c>
      <c r="C999" s="688" t="s">
        <v>509</v>
      </c>
      <c r="D999" s="760" t="s">
        <v>1693</v>
      </c>
      <c r="E999" s="638">
        <v>197595</v>
      </c>
      <c r="F999" s="638" t="s">
        <v>519</v>
      </c>
      <c r="G999" s="638"/>
      <c r="H999" s="666"/>
      <c r="I999" s="666"/>
      <c r="J999" s="638" t="s">
        <v>812</v>
      </c>
      <c r="K999" s="666" t="s">
        <v>812</v>
      </c>
      <c r="L999" s="666" t="s">
        <v>812</v>
      </c>
      <c r="M999" s="638" t="s">
        <v>312</v>
      </c>
      <c r="N999" s="666">
        <v>20.523090360000001</v>
      </c>
      <c r="O999" s="666">
        <v>92.637947080000004</v>
      </c>
      <c r="P999" s="638" t="s">
        <v>813</v>
      </c>
      <c r="Q999" s="638" t="s">
        <v>794</v>
      </c>
      <c r="R999" s="670"/>
      <c r="S999" s="671"/>
      <c r="T999" s="641"/>
      <c r="U999" s="640"/>
      <c r="V999" s="638" t="s">
        <v>509</v>
      </c>
      <c r="W999" s="670"/>
      <c r="X999" s="17"/>
      <c r="Z999" s="17"/>
    </row>
    <row r="1000" spans="1:26" ht="14.25" customHeight="1">
      <c r="A1000" s="935" t="s">
        <v>3013</v>
      </c>
      <c r="B1000" s="960" t="s">
        <v>355</v>
      </c>
      <c r="C1000" s="961" t="s">
        <v>3211</v>
      </c>
      <c r="D1000" s="929"/>
      <c r="E1000" s="638">
        <v>197677</v>
      </c>
      <c r="F1000" s="638"/>
      <c r="G1000" s="638"/>
      <c r="H1000" s="638"/>
      <c r="I1000" s="666"/>
      <c r="J1000" s="638" t="s">
        <v>3028</v>
      </c>
      <c r="K1000" s="638" t="s">
        <v>2942</v>
      </c>
      <c r="L1000" s="666" t="s">
        <v>2942</v>
      </c>
      <c r="M1000" s="638"/>
      <c r="N1000" s="666">
        <v>20.660871505737301</v>
      </c>
      <c r="O1000" s="666">
        <v>92.683090209960895</v>
      </c>
      <c r="P1000" s="638"/>
      <c r="Q1000" s="638"/>
      <c r="R1000" s="939"/>
      <c r="S1000" s="671"/>
      <c r="T1000" s="641">
        <v>43591</v>
      </c>
      <c r="U1000" s="939"/>
      <c r="V1000" s="638"/>
      <c r="W1000" s="931"/>
      <c r="X1000" s="17"/>
      <c r="Z1000" s="17"/>
    </row>
    <row r="1001" spans="1:26" ht="14.25" customHeight="1">
      <c r="A1001" s="666" t="s">
        <v>3013</v>
      </c>
      <c r="B1001" s="689" t="s">
        <v>355</v>
      </c>
      <c r="C1001" s="688" t="s">
        <v>514</v>
      </c>
      <c r="D1001" s="760" t="s">
        <v>1693</v>
      </c>
      <c r="E1001" s="638">
        <v>197600</v>
      </c>
      <c r="F1001" s="638"/>
      <c r="G1001" s="638"/>
      <c r="H1001" s="666"/>
      <c r="I1001" s="666"/>
      <c r="J1001" s="638" t="s">
        <v>812</v>
      </c>
      <c r="K1001" s="638" t="s">
        <v>812</v>
      </c>
      <c r="L1001" s="638" t="s">
        <v>812</v>
      </c>
      <c r="M1001" s="638" t="s">
        <v>809</v>
      </c>
      <c r="N1001" s="666">
        <v>20.550130840000001</v>
      </c>
      <c r="O1001" s="666">
        <v>92.656723020000001</v>
      </c>
      <c r="P1001" s="638" t="s">
        <v>813</v>
      </c>
      <c r="Q1001" s="638" t="s">
        <v>794</v>
      </c>
      <c r="R1001" s="670"/>
      <c r="S1001" s="671"/>
      <c r="T1001" s="641"/>
      <c r="U1001" s="640"/>
      <c r="V1001" s="638" t="s">
        <v>514</v>
      </c>
      <c r="W1001" s="931"/>
      <c r="X1001" s="17"/>
      <c r="Z1001" s="17"/>
    </row>
    <row r="1002" spans="1:26" ht="14.25" customHeight="1">
      <c r="A1002" s="666" t="s">
        <v>3013</v>
      </c>
      <c r="B1002" s="689" t="s">
        <v>355</v>
      </c>
      <c r="C1002" s="688" t="s">
        <v>500</v>
      </c>
      <c r="D1002" s="760" t="s">
        <v>1693</v>
      </c>
      <c r="E1002" s="638">
        <v>197614</v>
      </c>
      <c r="F1002" s="638" t="s">
        <v>500</v>
      </c>
      <c r="G1002" s="638"/>
      <c r="H1002" s="638"/>
      <c r="I1002" s="638"/>
      <c r="J1002" s="638" t="s">
        <v>812</v>
      </c>
      <c r="K1002" s="638" t="s">
        <v>812</v>
      </c>
      <c r="L1002" s="638" t="s">
        <v>812</v>
      </c>
      <c r="M1002" s="638" t="s">
        <v>312</v>
      </c>
      <c r="N1002" s="638">
        <v>20.48693085</v>
      </c>
      <c r="O1002" s="638">
        <v>92.662757869999993</v>
      </c>
      <c r="P1002" s="638" t="s">
        <v>813</v>
      </c>
      <c r="Q1002" s="638" t="s">
        <v>816</v>
      </c>
      <c r="R1002" s="670"/>
      <c r="S1002" s="931"/>
      <c r="T1002" s="641">
        <v>42926</v>
      </c>
      <c r="U1002" s="640" t="s">
        <v>817</v>
      </c>
      <c r="V1002" s="638"/>
      <c r="W1002" s="931"/>
      <c r="X1002" s="17"/>
      <c r="Z1002" s="17"/>
    </row>
    <row r="1003" spans="1:26" ht="14.25" customHeight="1">
      <c r="A1003" s="666" t="s">
        <v>3013</v>
      </c>
      <c r="B1003" s="689" t="s">
        <v>355</v>
      </c>
      <c r="C1003" s="688" t="s">
        <v>497</v>
      </c>
      <c r="D1003" s="760" t="s">
        <v>1693</v>
      </c>
      <c r="E1003" s="638">
        <v>197617</v>
      </c>
      <c r="F1003" s="928" t="s">
        <v>497</v>
      </c>
      <c r="G1003" s="638"/>
      <c r="H1003" s="638"/>
      <c r="I1003" s="638"/>
      <c r="J1003" s="638" t="s">
        <v>812</v>
      </c>
      <c r="K1003" s="638" t="s">
        <v>812</v>
      </c>
      <c r="L1003" s="638" t="s">
        <v>812</v>
      </c>
      <c r="M1003" s="638" t="s">
        <v>312</v>
      </c>
      <c r="N1003" s="638">
        <v>20.47896957</v>
      </c>
      <c r="O1003" s="638">
        <v>92.683746339999999</v>
      </c>
      <c r="P1003" s="638" t="s">
        <v>813</v>
      </c>
      <c r="Q1003" s="638" t="s">
        <v>816</v>
      </c>
      <c r="R1003" s="670"/>
      <c r="S1003" s="639"/>
      <c r="T1003" s="641">
        <v>42926</v>
      </c>
      <c r="U1003" s="640" t="s">
        <v>817</v>
      </c>
      <c r="V1003" s="638"/>
      <c r="W1003" s="931"/>
      <c r="X1003" s="17"/>
      <c r="Z1003" s="17"/>
    </row>
    <row r="1004" spans="1:26" ht="14.25" customHeight="1">
      <c r="A1004" s="935" t="s">
        <v>3013</v>
      </c>
      <c r="B1004" s="960" t="s">
        <v>355</v>
      </c>
      <c r="C1004" s="961" t="s">
        <v>3207</v>
      </c>
      <c r="D1004" s="929"/>
      <c r="E1004" s="638"/>
      <c r="F1004" s="638"/>
      <c r="G1004" s="638"/>
      <c r="H1004" s="638"/>
      <c r="I1004" s="638"/>
      <c r="J1004" s="638" t="s">
        <v>3028</v>
      </c>
      <c r="K1004" s="638" t="s">
        <v>2942</v>
      </c>
      <c r="L1004" s="638" t="s">
        <v>2942</v>
      </c>
      <c r="M1004" s="638"/>
      <c r="N1004" s="638"/>
      <c r="O1004" s="638"/>
      <c r="P1004" s="638"/>
      <c r="Q1004" s="638"/>
      <c r="R1004" s="939"/>
      <c r="S1004" s="639"/>
      <c r="T1004" s="641">
        <v>43591</v>
      </c>
      <c r="U1004" s="939"/>
      <c r="V1004" s="638"/>
      <c r="W1004" s="931"/>
      <c r="X1004" s="17"/>
      <c r="Z1004" s="17"/>
    </row>
    <row r="1005" spans="1:26" ht="14.25" customHeight="1">
      <c r="A1005" s="666" t="s">
        <v>3013</v>
      </c>
      <c r="B1005" s="689" t="s">
        <v>355</v>
      </c>
      <c r="C1005" s="688" t="s">
        <v>541</v>
      </c>
      <c r="D1005" s="760" t="s">
        <v>1693</v>
      </c>
      <c r="E1005" s="638">
        <v>197673</v>
      </c>
      <c r="F1005" s="638"/>
      <c r="G1005" s="638"/>
      <c r="H1005" s="638"/>
      <c r="I1005" s="638"/>
      <c r="J1005" s="638" t="s">
        <v>3028</v>
      </c>
      <c r="K1005" s="638" t="s">
        <v>2942</v>
      </c>
      <c r="L1005" s="638" t="s">
        <v>2942</v>
      </c>
      <c r="M1005" s="638" t="s">
        <v>312</v>
      </c>
      <c r="N1005" s="638">
        <v>20.66592979</v>
      </c>
      <c r="O1005" s="638">
        <v>92.672691349999994</v>
      </c>
      <c r="P1005" s="638" t="s">
        <v>813</v>
      </c>
      <c r="Q1005" s="638" t="s">
        <v>794</v>
      </c>
      <c r="R1005" s="670"/>
      <c r="S1005" s="639"/>
      <c r="T1005" s="641" t="s">
        <v>794</v>
      </c>
      <c r="U1005" s="640"/>
      <c r="V1005" s="638"/>
      <c r="W1005" s="931"/>
      <c r="X1005" s="17"/>
      <c r="Z1005" s="17"/>
    </row>
    <row r="1006" spans="1:26" ht="14.25" customHeight="1">
      <c r="A1006" s="935" t="s">
        <v>3013</v>
      </c>
      <c r="B1006" s="960" t="s">
        <v>355</v>
      </c>
      <c r="C1006" s="961" t="s">
        <v>545</v>
      </c>
      <c r="D1006" s="929"/>
      <c r="E1006" s="638">
        <v>197675</v>
      </c>
      <c r="F1006" s="666"/>
      <c r="G1006" s="638"/>
      <c r="H1006" s="638"/>
      <c r="I1006" s="666"/>
      <c r="J1006" s="666" t="s">
        <v>3028</v>
      </c>
      <c r="K1006" s="666" t="s">
        <v>2942</v>
      </c>
      <c r="L1006" s="666" t="s">
        <v>2942</v>
      </c>
      <c r="M1006" s="638" t="s">
        <v>312</v>
      </c>
      <c r="N1006" s="666">
        <v>20.670539860000002</v>
      </c>
      <c r="O1006" s="666">
        <v>92.703033450000007</v>
      </c>
      <c r="P1006" s="638" t="s">
        <v>813</v>
      </c>
      <c r="Q1006" s="638"/>
      <c r="R1006" s="939"/>
      <c r="S1006" s="671"/>
      <c r="T1006" s="641">
        <v>43591</v>
      </c>
      <c r="U1006" s="939"/>
      <c r="V1006" s="922"/>
      <c r="W1006" s="931"/>
      <c r="X1006" s="17"/>
      <c r="Z1006" s="17"/>
    </row>
    <row r="1007" spans="1:26" ht="14.25" customHeight="1">
      <c r="A1007" s="666" t="s">
        <v>3013</v>
      </c>
      <c r="B1007" s="689" t="s">
        <v>355</v>
      </c>
      <c r="C1007" s="688" t="s">
        <v>494</v>
      </c>
      <c r="D1007" s="760" t="s">
        <v>1693</v>
      </c>
      <c r="E1007" s="638">
        <v>197632</v>
      </c>
      <c r="F1007" s="638"/>
      <c r="G1007" s="638"/>
      <c r="H1007" s="638"/>
      <c r="I1007" s="666"/>
      <c r="J1007" s="638" t="s">
        <v>812</v>
      </c>
      <c r="K1007" s="638" t="s">
        <v>812</v>
      </c>
      <c r="L1007" s="638" t="s">
        <v>812</v>
      </c>
      <c r="M1007" s="638" t="s">
        <v>312</v>
      </c>
      <c r="N1007" s="666">
        <v>20.469949719999999</v>
      </c>
      <c r="O1007" s="666">
        <v>92.676437379999996</v>
      </c>
      <c r="P1007" s="638" t="s">
        <v>813</v>
      </c>
      <c r="Q1007" s="638" t="s">
        <v>816</v>
      </c>
      <c r="R1007" s="670"/>
      <c r="S1007" s="671"/>
      <c r="T1007" s="641">
        <v>42926</v>
      </c>
      <c r="U1007" s="640" t="s">
        <v>817</v>
      </c>
      <c r="V1007" s="638"/>
      <c r="W1007" s="931"/>
      <c r="X1007" s="17"/>
      <c r="Z1007" s="17"/>
    </row>
    <row r="1008" spans="1:26" ht="14.25" customHeight="1">
      <c r="A1008" s="666" t="s">
        <v>312</v>
      </c>
      <c r="B1008" s="689" t="s">
        <v>343</v>
      </c>
      <c r="C1008" s="688" t="s">
        <v>402</v>
      </c>
      <c r="D1008" s="760" t="s">
        <v>1693</v>
      </c>
      <c r="E1008" s="638">
        <v>199157</v>
      </c>
      <c r="F1008" s="638"/>
      <c r="G1008" s="638"/>
      <c r="H1008" s="638"/>
      <c r="I1008" s="638"/>
      <c r="J1008" s="638" t="s">
        <v>818</v>
      </c>
      <c r="K1008" s="638" t="s">
        <v>812</v>
      </c>
      <c r="L1008" s="638" t="s">
        <v>818</v>
      </c>
      <c r="M1008" s="638" t="s">
        <v>821</v>
      </c>
      <c r="N1008" s="638">
        <v>19.726810459999999</v>
      </c>
      <c r="O1008" s="638">
        <v>94.028686519999994</v>
      </c>
      <c r="P1008" s="638" t="s">
        <v>937</v>
      </c>
      <c r="Q1008" s="638" t="s">
        <v>794</v>
      </c>
      <c r="R1008" s="670"/>
      <c r="S1008" s="639"/>
      <c r="T1008" s="641" t="s">
        <v>819</v>
      </c>
      <c r="U1008" s="640"/>
      <c r="V1008" s="638" t="s">
        <v>402</v>
      </c>
      <c r="W1008" s="666"/>
      <c r="X1008" s="17"/>
      <c r="Z1008" s="17"/>
    </row>
    <row r="1009" spans="1:26" ht="14.25" customHeight="1">
      <c r="A1009" s="666" t="s">
        <v>312</v>
      </c>
      <c r="B1009" s="689" t="s">
        <v>343</v>
      </c>
      <c r="C1009" s="688" t="s">
        <v>414</v>
      </c>
      <c r="D1009" s="760" t="s">
        <v>1693</v>
      </c>
      <c r="E1009" s="666">
        <v>199233</v>
      </c>
      <c r="F1009" s="666"/>
      <c r="G1009" s="666"/>
      <c r="H1009" s="666"/>
      <c r="I1009" s="666"/>
      <c r="J1009" s="666" t="s">
        <v>818</v>
      </c>
      <c r="K1009" s="666" t="s">
        <v>812</v>
      </c>
      <c r="L1009" s="666" t="s">
        <v>818</v>
      </c>
      <c r="M1009" s="666" t="s">
        <v>312</v>
      </c>
      <c r="N1009" s="666">
        <v>19.994710919999999</v>
      </c>
      <c r="O1009" s="666">
        <v>93.836921689999997</v>
      </c>
      <c r="P1009" s="666" t="s">
        <v>937</v>
      </c>
      <c r="Q1009" s="666" t="s">
        <v>794</v>
      </c>
      <c r="R1009" s="670"/>
      <c r="S1009" s="671"/>
      <c r="T1009" s="690" t="s">
        <v>819</v>
      </c>
      <c r="U1009" s="672"/>
      <c r="V1009" s="666" t="s">
        <v>414</v>
      </c>
      <c r="W1009" s="666"/>
      <c r="X1009" s="17"/>
      <c r="Z1009" s="17"/>
    </row>
    <row r="1010" spans="1:26" ht="14.25" customHeight="1">
      <c r="A1010" s="666" t="s">
        <v>312</v>
      </c>
      <c r="B1010" s="689" t="s">
        <v>343</v>
      </c>
      <c r="C1010" s="688" t="s">
        <v>409</v>
      </c>
      <c r="D1010" s="760" t="s">
        <v>1693</v>
      </c>
      <c r="E1010" s="638">
        <v>199235</v>
      </c>
      <c r="F1010" s="638"/>
      <c r="G1010" s="638"/>
      <c r="H1010" s="638"/>
      <c r="I1010" s="638"/>
      <c r="J1010" s="638" t="s">
        <v>818</v>
      </c>
      <c r="K1010" s="638" t="s">
        <v>812</v>
      </c>
      <c r="L1010" s="638" t="s">
        <v>818</v>
      </c>
      <c r="M1010" s="638" t="s">
        <v>312</v>
      </c>
      <c r="N1010" s="666">
        <v>19.98567963</v>
      </c>
      <c r="O1010" s="666">
        <v>93.843322749999999</v>
      </c>
      <c r="P1010" s="638" t="s">
        <v>937</v>
      </c>
      <c r="Q1010" s="638" t="s">
        <v>794</v>
      </c>
      <c r="R1010" s="670"/>
      <c r="S1010" s="671"/>
      <c r="T1010" s="641" t="s">
        <v>819</v>
      </c>
      <c r="U1010" s="640"/>
      <c r="V1010" s="638" t="s">
        <v>409</v>
      </c>
      <c r="W1010" s="666"/>
      <c r="X1010" s="17"/>
      <c r="Z1010" s="17"/>
    </row>
    <row r="1011" spans="1:26" ht="14.25" customHeight="1">
      <c r="A1011" s="666" t="s">
        <v>312</v>
      </c>
      <c r="B1011" s="689" t="s">
        <v>343</v>
      </c>
      <c r="C1011" s="688" t="s">
        <v>411</v>
      </c>
      <c r="D1011" s="760" t="s">
        <v>1693</v>
      </c>
      <c r="E1011" s="638">
        <v>199236</v>
      </c>
      <c r="F1011" s="638"/>
      <c r="G1011" s="638"/>
      <c r="H1011" s="638"/>
      <c r="I1011" s="638"/>
      <c r="J1011" s="638" t="s">
        <v>818</v>
      </c>
      <c r="K1011" s="638" t="s">
        <v>812</v>
      </c>
      <c r="L1011" s="638" t="s">
        <v>818</v>
      </c>
      <c r="M1011" s="638" t="s">
        <v>312</v>
      </c>
      <c r="N1011" s="666">
        <v>19.98868942</v>
      </c>
      <c r="O1011" s="666">
        <v>93.842460630000005</v>
      </c>
      <c r="P1011" s="638" t="s">
        <v>937</v>
      </c>
      <c r="Q1011" s="638" t="s">
        <v>794</v>
      </c>
      <c r="R1011" s="670"/>
      <c r="S1011" s="671"/>
      <c r="T1011" s="641" t="s">
        <v>819</v>
      </c>
      <c r="U1011" s="640"/>
      <c r="V1011" s="638" t="s">
        <v>411</v>
      </c>
      <c r="W1011" s="666"/>
      <c r="X1011" s="17"/>
      <c r="Z1011" s="17"/>
    </row>
    <row r="1012" spans="1:26" ht="14.25" customHeight="1">
      <c r="A1012" s="666" t="s">
        <v>312</v>
      </c>
      <c r="B1012" s="689" t="s">
        <v>343</v>
      </c>
      <c r="C1012" s="688" t="s">
        <v>391</v>
      </c>
      <c r="D1012" s="760" t="s">
        <v>1693</v>
      </c>
      <c r="E1012" s="666">
        <v>199264</v>
      </c>
      <c r="F1012" s="666"/>
      <c r="G1012" s="666"/>
      <c r="H1012" s="666"/>
      <c r="I1012" s="666"/>
      <c r="J1012" s="666" t="s">
        <v>818</v>
      </c>
      <c r="K1012" s="666" t="s">
        <v>812</v>
      </c>
      <c r="L1012" s="666" t="s">
        <v>818</v>
      </c>
      <c r="M1012" s="666" t="s">
        <v>312</v>
      </c>
      <c r="N1012" s="666">
        <v>19.61097908</v>
      </c>
      <c r="O1012" s="666">
        <v>93.984741209999996</v>
      </c>
      <c r="P1012" s="666" t="s">
        <v>937</v>
      </c>
      <c r="Q1012" s="666" t="s">
        <v>794</v>
      </c>
      <c r="R1012" s="670"/>
      <c r="S1012" s="671"/>
      <c r="T1012" s="690" t="s">
        <v>819</v>
      </c>
      <c r="U1012" s="672"/>
      <c r="V1012" s="666" t="s">
        <v>391</v>
      </c>
      <c r="W1012" s="666"/>
      <c r="X1012" s="17"/>
      <c r="Z1012" s="17"/>
    </row>
    <row r="1013" spans="1:26" ht="14.25" customHeight="1">
      <c r="A1013" s="666" t="s">
        <v>312</v>
      </c>
      <c r="B1013" s="689" t="s">
        <v>343</v>
      </c>
      <c r="C1013" s="688" t="s">
        <v>400</v>
      </c>
      <c r="D1013" s="760" t="s">
        <v>1693</v>
      </c>
      <c r="E1013" s="666">
        <v>199159</v>
      </c>
      <c r="F1013" s="666"/>
      <c r="G1013" s="666"/>
      <c r="H1013" s="666"/>
      <c r="I1013" s="666"/>
      <c r="J1013" s="666" t="s">
        <v>818</v>
      </c>
      <c r="K1013" s="666" t="s">
        <v>812</v>
      </c>
      <c r="L1013" s="666" t="s">
        <v>818</v>
      </c>
      <c r="M1013" s="666" t="s">
        <v>312</v>
      </c>
      <c r="N1013" s="666">
        <v>19.721389769999998</v>
      </c>
      <c r="O1013" s="666">
        <v>94.019851680000002</v>
      </c>
      <c r="P1013" s="666" t="s">
        <v>937</v>
      </c>
      <c r="Q1013" s="666" t="s">
        <v>794</v>
      </c>
      <c r="R1013" s="670"/>
      <c r="S1013" s="671"/>
      <c r="T1013" s="690" t="s">
        <v>819</v>
      </c>
      <c r="U1013" s="672"/>
      <c r="V1013" s="666" t="s">
        <v>400</v>
      </c>
      <c r="W1013" s="666"/>
      <c r="X1013" s="17"/>
      <c r="Z1013" s="17"/>
    </row>
    <row r="1014" spans="1:26" ht="14.25" customHeight="1">
      <c r="A1014" s="666" t="s">
        <v>312</v>
      </c>
      <c r="B1014" s="689" t="s">
        <v>343</v>
      </c>
      <c r="C1014" s="756" t="s">
        <v>415</v>
      </c>
      <c r="D1014" s="760" t="s">
        <v>1693</v>
      </c>
      <c r="E1014" s="666">
        <v>199240</v>
      </c>
      <c r="F1014" s="666"/>
      <c r="G1014" s="666"/>
      <c r="H1014" s="666"/>
      <c r="I1014" s="666"/>
      <c r="J1014" s="666" t="s">
        <v>818</v>
      </c>
      <c r="K1014" s="666" t="s">
        <v>812</v>
      </c>
      <c r="L1014" s="666" t="s">
        <v>818</v>
      </c>
      <c r="M1014" s="666" t="s">
        <v>312</v>
      </c>
      <c r="N1014" s="666">
        <v>20.008769990000001</v>
      </c>
      <c r="O1014" s="666">
        <v>93.816879270000001</v>
      </c>
      <c r="P1014" s="666" t="s">
        <v>937</v>
      </c>
      <c r="Q1014" s="666" t="s">
        <v>794</v>
      </c>
      <c r="R1014" s="670"/>
      <c r="S1014" s="671"/>
      <c r="T1014" s="690" t="s">
        <v>819</v>
      </c>
      <c r="U1014" s="672"/>
      <c r="V1014" s="659" t="s">
        <v>415</v>
      </c>
      <c r="W1014" s="666"/>
      <c r="X1014" s="17"/>
      <c r="Z1014" s="17"/>
    </row>
    <row r="1015" spans="1:26" ht="14.25" customHeight="1">
      <c r="A1015" s="666" t="s">
        <v>312</v>
      </c>
      <c r="B1015" s="689" t="s">
        <v>343</v>
      </c>
      <c r="C1015" s="688" t="s">
        <v>407</v>
      </c>
      <c r="D1015" s="760" t="s">
        <v>1693</v>
      </c>
      <c r="E1015" s="666">
        <v>199134</v>
      </c>
      <c r="F1015" s="666"/>
      <c r="G1015" s="666"/>
      <c r="H1015" s="666"/>
      <c r="I1015" s="666"/>
      <c r="J1015" s="666" t="s">
        <v>818</v>
      </c>
      <c r="K1015" s="666" t="s">
        <v>812</v>
      </c>
      <c r="L1015" s="666" t="s">
        <v>818</v>
      </c>
      <c r="M1015" s="666" t="s">
        <v>825</v>
      </c>
      <c r="N1015" s="666">
        <v>19.95569038</v>
      </c>
      <c r="O1015" s="666">
        <v>93.80155182</v>
      </c>
      <c r="P1015" s="666" t="s">
        <v>937</v>
      </c>
      <c r="Q1015" s="666" t="s">
        <v>794</v>
      </c>
      <c r="R1015" s="670"/>
      <c r="S1015" s="671"/>
      <c r="T1015" s="690" t="s">
        <v>819</v>
      </c>
      <c r="U1015" s="672"/>
      <c r="V1015" s="666" t="s">
        <v>826</v>
      </c>
      <c r="W1015" s="666"/>
      <c r="X1015" s="135"/>
      <c r="Z1015" s="17"/>
    </row>
    <row r="1016" spans="1:26" ht="14.25" customHeight="1">
      <c r="A1016" s="666" t="s">
        <v>312</v>
      </c>
      <c r="B1016" s="689" t="s">
        <v>343</v>
      </c>
      <c r="C1016" s="949" t="s">
        <v>399</v>
      </c>
      <c r="D1016" s="760" t="s">
        <v>1693</v>
      </c>
      <c r="E1016" s="666">
        <v>199161</v>
      </c>
      <c r="F1016" s="666"/>
      <c r="G1016" s="666"/>
      <c r="H1016" s="666"/>
      <c r="I1016" s="666"/>
      <c r="J1016" s="666" t="s">
        <v>818</v>
      </c>
      <c r="K1016" s="666" t="s">
        <v>812</v>
      </c>
      <c r="L1016" s="666" t="s">
        <v>818</v>
      </c>
      <c r="M1016" s="666" t="s">
        <v>821</v>
      </c>
      <c r="N1016" s="666">
        <v>19.70627975</v>
      </c>
      <c r="O1016" s="666">
        <v>94.016433719999995</v>
      </c>
      <c r="P1016" s="666" t="s">
        <v>937</v>
      </c>
      <c r="Q1016" s="666" t="s">
        <v>794</v>
      </c>
      <c r="R1016" s="670"/>
      <c r="S1016" s="671"/>
      <c r="T1016" s="690" t="s">
        <v>819</v>
      </c>
      <c r="U1016" s="672"/>
      <c r="V1016" s="666" t="s">
        <v>399</v>
      </c>
      <c r="W1016" s="666"/>
      <c r="X1016" s="135"/>
      <c r="Z1016" s="17"/>
    </row>
    <row r="1017" spans="1:26" ht="14.25" customHeight="1">
      <c r="A1017" s="666" t="s">
        <v>312</v>
      </c>
      <c r="B1017" s="689" t="s">
        <v>343</v>
      </c>
      <c r="C1017" s="949" t="s">
        <v>394</v>
      </c>
      <c r="D1017" s="760" t="s">
        <v>1693</v>
      </c>
      <c r="E1017" s="666">
        <v>199266</v>
      </c>
      <c r="F1017" s="666"/>
      <c r="G1017" s="666"/>
      <c r="H1017" s="666"/>
      <c r="I1017" s="666"/>
      <c r="J1017" s="666" t="s">
        <v>818</v>
      </c>
      <c r="K1017" s="666" t="s">
        <v>812</v>
      </c>
      <c r="L1017" s="666" t="s">
        <v>818</v>
      </c>
      <c r="M1017" s="666" t="s">
        <v>821</v>
      </c>
      <c r="N1017" s="666">
        <v>19.6192894</v>
      </c>
      <c r="O1017" s="666">
        <v>93.95968628</v>
      </c>
      <c r="P1017" s="666" t="s">
        <v>937</v>
      </c>
      <c r="Q1017" s="666" t="s">
        <v>794</v>
      </c>
      <c r="R1017" s="931"/>
      <c r="S1017" s="932"/>
      <c r="T1017" s="690" t="s">
        <v>819</v>
      </c>
      <c r="U1017" s="672"/>
      <c r="V1017" s="666" t="s">
        <v>394</v>
      </c>
      <c r="W1017" s="666"/>
      <c r="X1017" s="135"/>
      <c r="Z1017" s="17"/>
    </row>
    <row r="1018" spans="1:26" ht="14.25" customHeight="1">
      <c r="A1018" s="666" t="s">
        <v>312</v>
      </c>
      <c r="B1018" s="689" t="s">
        <v>343</v>
      </c>
      <c r="C1018" s="949" t="s">
        <v>389</v>
      </c>
      <c r="D1018" s="760" t="s">
        <v>1693</v>
      </c>
      <c r="E1018" s="666">
        <v>199191</v>
      </c>
      <c r="F1018" s="666"/>
      <c r="G1018" s="666"/>
      <c r="H1018" s="666"/>
      <c r="I1018" s="666"/>
      <c r="J1018" s="666" t="s">
        <v>818</v>
      </c>
      <c r="K1018" s="922" t="s">
        <v>812</v>
      </c>
      <c r="L1018" s="922" t="s">
        <v>818</v>
      </c>
      <c r="M1018" s="666" t="s">
        <v>312</v>
      </c>
      <c r="N1018" s="666">
        <v>19.484790799999999</v>
      </c>
      <c r="O1018" s="666">
        <v>94.007926940000004</v>
      </c>
      <c r="P1018" s="666" t="s">
        <v>937</v>
      </c>
      <c r="Q1018" s="666" t="s">
        <v>794</v>
      </c>
      <c r="R1018" s="670"/>
      <c r="S1018" s="671"/>
      <c r="T1018" s="690" t="s">
        <v>819</v>
      </c>
      <c r="U1018" s="672"/>
      <c r="V1018" s="666" t="s">
        <v>389</v>
      </c>
      <c r="W1018" s="666"/>
      <c r="X1018" s="135"/>
      <c r="Z1018" s="17"/>
    </row>
    <row r="1019" spans="1:26" ht="14.25" customHeight="1">
      <c r="A1019" s="666" t="s">
        <v>312</v>
      </c>
      <c r="B1019" s="689" t="s">
        <v>343</v>
      </c>
      <c r="C1019" s="949" t="s">
        <v>344</v>
      </c>
      <c r="D1019" s="760" t="s">
        <v>1693</v>
      </c>
      <c r="E1019" s="666"/>
      <c r="F1019" s="934"/>
      <c r="G1019" s="666"/>
      <c r="H1019" s="666"/>
      <c r="I1019" s="666"/>
      <c r="J1019" s="666" t="s">
        <v>818</v>
      </c>
      <c r="K1019" s="666" t="s">
        <v>812</v>
      </c>
      <c r="L1019" s="666" t="s">
        <v>818</v>
      </c>
      <c r="M1019" s="666" t="s">
        <v>825</v>
      </c>
      <c r="N1019" s="666"/>
      <c r="O1019" s="666"/>
      <c r="P1019" s="666" t="s">
        <v>937</v>
      </c>
      <c r="Q1019" s="666" t="s">
        <v>794</v>
      </c>
      <c r="R1019" s="670"/>
      <c r="S1019" s="671"/>
      <c r="T1019" s="690" t="s">
        <v>819</v>
      </c>
      <c r="U1019" s="672"/>
      <c r="V1019" s="666" t="s">
        <v>344</v>
      </c>
      <c r="W1019" s="666"/>
      <c r="X1019" s="135"/>
      <c r="Z1019" s="17"/>
    </row>
    <row r="1020" spans="1:26" ht="14.25" customHeight="1">
      <c r="A1020" s="666" t="s">
        <v>312</v>
      </c>
      <c r="B1020" s="689" t="s">
        <v>343</v>
      </c>
      <c r="C1020" s="949" t="s">
        <v>412</v>
      </c>
      <c r="D1020" s="760" t="s">
        <v>1693</v>
      </c>
      <c r="E1020" s="666">
        <v>199250</v>
      </c>
      <c r="F1020" s="666"/>
      <c r="G1020" s="666"/>
      <c r="H1020" s="666"/>
      <c r="I1020" s="666"/>
      <c r="J1020" s="666" t="s">
        <v>818</v>
      </c>
      <c r="K1020" s="666" t="s">
        <v>812</v>
      </c>
      <c r="L1020" s="666" t="s">
        <v>818</v>
      </c>
      <c r="M1020" s="666" t="s">
        <v>312</v>
      </c>
      <c r="N1020" s="666">
        <v>19.989589689999999</v>
      </c>
      <c r="O1020" s="666">
        <v>93.823867800000002</v>
      </c>
      <c r="P1020" s="666" t="s">
        <v>937</v>
      </c>
      <c r="Q1020" s="666" t="s">
        <v>794</v>
      </c>
      <c r="R1020" s="670"/>
      <c r="S1020" s="671"/>
      <c r="T1020" s="690" t="s">
        <v>819</v>
      </c>
      <c r="U1020" s="672"/>
      <c r="V1020" s="666" t="s">
        <v>828</v>
      </c>
      <c r="W1020" s="666"/>
      <c r="X1020" s="135"/>
      <c r="Z1020" s="17"/>
    </row>
    <row r="1021" spans="1:26" ht="14.25" customHeight="1">
      <c r="A1021" s="666" t="s">
        <v>312</v>
      </c>
      <c r="B1021" s="689" t="s">
        <v>343</v>
      </c>
      <c r="C1021" s="949" t="s">
        <v>401</v>
      </c>
      <c r="D1021" s="760" t="s">
        <v>1693</v>
      </c>
      <c r="E1021" s="666">
        <v>199158</v>
      </c>
      <c r="F1021" s="666"/>
      <c r="G1021" s="666"/>
      <c r="H1021" s="666"/>
      <c r="I1021" s="666"/>
      <c r="J1021" s="666" t="s">
        <v>818</v>
      </c>
      <c r="K1021" s="666" t="s">
        <v>812</v>
      </c>
      <c r="L1021" s="666" t="s">
        <v>818</v>
      </c>
      <c r="M1021" s="666" t="s">
        <v>312</v>
      </c>
      <c r="N1021" s="666">
        <v>19.725629810000001</v>
      </c>
      <c r="O1021" s="666">
        <v>94.03105927</v>
      </c>
      <c r="P1021" s="666" t="s">
        <v>937</v>
      </c>
      <c r="Q1021" s="666" t="s">
        <v>794</v>
      </c>
      <c r="R1021" s="670"/>
      <c r="S1021" s="671"/>
      <c r="T1021" s="690" t="s">
        <v>819</v>
      </c>
      <c r="U1021" s="672"/>
      <c r="V1021" s="666" t="s">
        <v>822</v>
      </c>
      <c r="W1021" s="666"/>
      <c r="X1021" s="135"/>
      <c r="Z1021" s="17"/>
    </row>
    <row r="1022" spans="1:26" ht="14.25" customHeight="1">
      <c r="A1022" s="666" t="s">
        <v>312</v>
      </c>
      <c r="B1022" s="689" t="s">
        <v>343</v>
      </c>
      <c r="C1022" s="949" t="s">
        <v>390</v>
      </c>
      <c r="D1022" s="760" t="s">
        <v>1693</v>
      </c>
      <c r="E1022" s="666">
        <v>199195</v>
      </c>
      <c r="F1022" s="666"/>
      <c r="G1022" s="666"/>
      <c r="H1022" s="666"/>
      <c r="I1022" s="666"/>
      <c r="J1022" s="666" t="s">
        <v>818</v>
      </c>
      <c r="K1022" s="666" t="s">
        <v>812</v>
      </c>
      <c r="L1022" s="666" t="s">
        <v>818</v>
      </c>
      <c r="M1022" s="666" t="s">
        <v>312</v>
      </c>
      <c r="N1022" s="666">
        <v>19.591590879999998</v>
      </c>
      <c r="O1022" s="666">
        <v>93.80825806</v>
      </c>
      <c r="P1022" s="666" t="s">
        <v>937</v>
      </c>
      <c r="Q1022" s="666" t="s">
        <v>794</v>
      </c>
      <c r="R1022" s="670"/>
      <c r="S1022" s="671"/>
      <c r="T1022" s="690">
        <v>42745</v>
      </c>
      <c r="U1022" s="672"/>
      <c r="V1022" s="666"/>
      <c r="W1022" s="666"/>
      <c r="X1022" s="135"/>
      <c r="Z1022" s="17"/>
    </row>
    <row r="1023" spans="1:26" ht="14.25" customHeight="1">
      <c r="A1023" s="666" t="s">
        <v>312</v>
      </c>
      <c r="B1023" s="689" t="s">
        <v>343</v>
      </c>
      <c r="C1023" s="949" t="s">
        <v>396</v>
      </c>
      <c r="D1023" s="760" t="s">
        <v>1693</v>
      </c>
      <c r="E1023" s="922">
        <v>199223</v>
      </c>
      <c r="F1023" s="666"/>
      <c r="G1023" s="666"/>
      <c r="H1023" s="666"/>
      <c r="I1023" s="666"/>
      <c r="J1023" s="666" t="s">
        <v>818</v>
      </c>
      <c r="K1023" s="666" t="s">
        <v>812</v>
      </c>
      <c r="L1023" s="666" t="s">
        <v>818</v>
      </c>
      <c r="M1023" s="666" t="s">
        <v>821</v>
      </c>
      <c r="N1023" s="666">
        <v>19.639009479999999</v>
      </c>
      <c r="O1023" s="666">
        <v>94.036079409999999</v>
      </c>
      <c r="P1023" s="666" t="s">
        <v>937</v>
      </c>
      <c r="Q1023" s="666" t="s">
        <v>794</v>
      </c>
      <c r="R1023" s="670"/>
      <c r="S1023" s="671"/>
      <c r="T1023" s="690" t="s">
        <v>819</v>
      </c>
      <c r="U1023" s="672"/>
      <c r="V1023" s="666" t="s">
        <v>396</v>
      </c>
      <c r="W1023" s="666"/>
      <c r="X1023" s="135"/>
      <c r="Z1023" s="17"/>
    </row>
    <row r="1024" spans="1:26" ht="14.25" customHeight="1">
      <c r="A1024" s="666" t="s">
        <v>312</v>
      </c>
      <c r="B1024" s="689" t="s">
        <v>343</v>
      </c>
      <c r="C1024" s="689" t="s">
        <v>403</v>
      </c>
      <c r="D1024" s="760" t="s">
        <v>1693</v>
      </c>
      <c r="E1024" s="666">
        <v>199160</v>
      </c>
      <c r="F1024" s="666"/>
      <c r="G1024" s="666"/>
      <c r="H1024" s="666"/>
      <c r="I1024" s="666"/>
      <c r="J1024" s="666" t="s">
        <v>818</v>
      </c>
      <c r="K1024" s="666" t="s">
        <v>812</v>
      </c>
      <c r="L1024" s="666" t="s">
        <v>818</v>
      </c>
      <c r="M1024" s="666" t="s">
        <v>312</v>
      </c>
      <c r="N1024" s="666">
        <v>19.738719939999999</v>
      </c>
      <c r="O1024" s="666">
        <v>94.03549194</v>
      </c>
      <c r="P1024" s="666" t="s">
        <v>937</v>
      </c>
      <c r="Q1024" s="666" t="s">
        <v>794</v>
      </c>
      <c r="R1024" s="670"/>
      <c r="S1024" s="671"/>
      <c r="T1024" s="690" t="s">
        <v>819</v>
      </c>
      <c r="U1024" s="672"/>
      <c r="V1024" s="666" t="s">
        <v>403</v>
      </c>
      <c r="W1024" s="666"/>
      <c r="X1024" s="135"/>
      <c r="Z1024" s="17"/>
    </row>
    <row r="1025" spans="1:26" ht="14.25" customHeight="1">
      <c r="A1025" s="666" t="s">
        <v>312</v>
      </c>
      <c r="B1025" s="689" t="s">
        <v>343</v>
      </c>
      <c r="C1025" s="689" t="s">
        <v>397</v>
      </c>
      <c r="D1025" s="760" t="s">
        <v>1693</v>
      </c>
      <c r="E1025" s="666">
        <v>199218</v>
      </c>
      <c r="F1025" s="666"/>
      <c r="G1025" s="666"/>
      <c r="H1025" s="666"/>
      <c r="I1025" s="666"/>
      <c r="J1025" s="666" t="s">
        <v>818</v>
      </c>
      <c r="K1025" s="666" t="s">
        <v>812</v>
      </c>
      <c r="L1025" s="666" t="s">
        <v>818</v>
      </c>
      <c r="M1025" s="666" t="s">
        <v>312</v>
      </c>
      <c r="N1025" s="666">
        <v>19.646549220000001</v>
      </c>
      <c r="O1025" s="666">
        <v>94.004188540000001</v>
      </c>
      <c r="P1025" s="666" t="s">
        <v>937</v>
      </c>
      <c r="Q1025" s="666" t="s">
        <v>794</v>
      </c>
      <c r="R1025" s="935"/>
      <c r="S1025" s="936"/>
      <c r="T1025" s="690" t="s">
        <v>819</v>
      </c>
      <c r="U1025" s="672"/>
      <c r="V1025" s="922" t="s">
        <v>397</v>
      </c>
      <c r="W1025" s="666"/>
      <c r="X1025" s="135"/>
      <c r="Z1025" s="17"/>
    </row>
    <row r="1026" spans="1:26" ht="14.25" customHeight="1">
      <c r="A1026" s="666" t="s">
        <v>312</v>
      </c>
      <c r="B1026" s="689" t="s">
        <v>343</v>
      </c>
      <c r="C1026" s="689" t="s">
        <v>413</v>
      </c>
      <c r="D1026" s="760" t="s">
        <v>1693</v>
      </c>
      <c r="E1026" s="666">
        <v>199248</v>
      </c>
      <c r="F1026" s="666"/>
      <c r="G1026" s="666"/>
      <c r="H1026" s="666"/>
      <c r="I1026" s="666"/>
      <c r="J1026" s="666" t="s">
        <v>818</v>
      </c>
      <c r="K1026" s="928" t="s">
        <v>812</v>
      </c>
      <c r="L1026" s="928" t="s">
        <v>818</v>
      </c>
      <c r="M1026" s="666" t="s">
        <v>821</v>
      </c>
      <c r="N1026" s="922">
        <v>19.991359710000001</v>
      </c>
      <c r="O1026" s="922">
        <v>93.834663390000003</v>
      </c>
      <c r="P1026" s="666" t="s">
        <v>937</v>
      </c>
      <c r="Q1026" s="666" t="s">
        <v>794</v>
      </c>
      <c r="R1026" s="670"/>
      <c r="S1026" s="671"/>
      <c r="T1026" s="690" t="s">
        <v>819</v>
      </c>
      <c r="U1026" s="672"/>
      <c r="V1026" s="666" t="s">
        <v>413</v>
      </c>
      <c r="W1026" s="666"/>
      <c r="X1026" s="135"/>
      <c r="Z1026" s="17"/>
    </row>
    <row r="1027" spans="1:26" ht="14.25" customHeight="1">
      <c r="A1027" s="666" t="s">
        <v>312</v>
      </c>
      <c r="B1027" s="689" t="s">
        <v>343</v>
      </c>
      <c r="C1027" s="689" t="s">
        <v>404</v>
      </c>
      <c r="D1027" s="760" t="s">
        <v>1693</v>
      </c>
      <c r="E1027" s="666">
        <v>199137</v>
      </c>
      <c r="F1027" s="928"/>
      <c r="G1027" s="666"/>
      <c r="H1027" s="666"/>
      <c r="I1027" s="666"/>
      <c r="J1027" s="666" t="s">
        <v>818</v>
      </c>
      <c r="K1027" s="666" t="s">
        <v>812</v>
      </c>
      <c r="L1027" s="666" t="s">
        <v>818</v>
      </c>
      <c r="M1027" s="666" t="s">
        <v>312</v>
      </c>
      <c r="N1027" s="666">
        <v>19.904430390000002</v>
      </c>
      <c r="O1027" s="666">
        <v>93.79277802</v>
      </c>
      <c r="P1027" s="666" t="s">
        <v>937</v>
      </c>
      <c r="Q1027" s="666" t="s">
        <v>794</v>
      </c>
      <c r="R1027" s="670"/>
      <c r="S1027" s="671"/>
      <c r="T1027" s="690" t="s">
        <v>819</v>
      </c>
      <c r="U1027" s="672"/>
      <c r="V1027" s="666" t="s">
        <v>404</v>
      </c>
      <c r="W1027" s="666"/>
      <c r="X1027" s="135"/>
      <c r="Z1027" s="17"/>
    </row>
    <row r="1028" spans="1:26" ht="14.25" customHeight="1">
      <c r="A1028" s="922" t="s">
        <v>312</v>
      </c>
      <c r="B1028" s="949" t="s">
        <v>343</v>
      </c>
      <c r="C1028" s="949" t="s">
        <v>406</v>
      </c>
      <c r="D1028" s="760" t="s">
        <v>1693</v>
      </c>
      <c r="E1028" s="666">
        <v>199135</v>
      </c>
      <c r="F1028" s="666"/>
      <c r="G1028" s="666"/>
      <c r="H1028" s="666"/>
      <c r="I1028" s="666"/>
      <c r="J1028" s="666" t="s">
        <v>818</v>
      </c>
      <c r="K1028" s="666" t="s">
        <v>812</v>
      </c>
      <c r="L1028" s="666" t="s">
        <v>818</v>
      </c>
      <c r="M1028" s="666" t="s">
        <v>821</v>
      </c>
      <c r="N1028" s="666">
        <v>19.930080409999999</v>
      </c>
      <c r="O1028" s="666">
        <v>93.787002560000005</v>
      </c>
      <c r="P1028" s="666" t="s">
        <v>937</v>
      </c>
      <c r="Q1028" s="666" t="s">
        <v>794</v>
      </c>
      <c r="R1028" s="670"/>
      <c r="S1028" s="932"/>
      <c r="T1028" s="690" t="s">
        <v>819</v>
      </c>
      <c r="U1028" s="672"/>
      <c r="V1028" s="666" t="s">
        <v>406</v>
      </c>
      <c r="W1028" s="922"/>
      <c r="X1028" s="135"/>
      <c r="Z1028" s="17"/>
    </row>
    <row r="1029" spans="1:26" ht="14.25" customHeight="1">
      <c r="A1029" s="922" t="s">
        <v>312</v>
      </c>
      <c r="B1029" s="949" t="s">
        <v>343</v>
      </c>
      <c r="C1029" s="949" t="s">
        <v>392</v>
      </c>
      <c r="D1029" s="760" t="s">
        <v>1693</v>
      </c>
      <c r="E1029" s="666">
        <v>199261</v>
      </c>
      <c r="F1029" s="666"/>
      <c r="G1029" s="666"/>
      <c r="H1029" s="666"/>
      <c r="I1029" s="666"/>
      <c r="J1029" s="666" t="s">
        <v>818</v>
      </c>
      <c r="K1029" s="666" t="s">
        <v>812</v>
      </c>
      <c r="L1029" s="666" t="s">
        <v>818</v>
      </c>
      <c r="M1029" s="666" t="s">
        <v>312</v>
      </c>
      <c r="N1029" s="666">
        <v>19.61120987</v>
      </c>
      <c r="O1029" s="666">
        <v>93.995933530000002</v>
      </c>
      <c r="P1029" s="666" t="s">
        <v>937</v>
      </c>
      <c r="Q1029" s="666" t="s">
        <v>794</v>
      </c>
      <c r="R1029" s="931"/>
      <c r="S1029" s="671"/>
      <c r="T1029" s="690" t="s">
        <v>819</v>
      </c>
      <c r="U1029" s="672"/>
      <c r="V1029" s="666" t="s">
        <v>820</v>
      </c>
      <c r="W1029" s="922"/>
      <c r="X1029" s="135"/>
      <c r="Z1029" s="17"/>
    </row>
    <row r="1030" spans="1:26" ht="14.25" customHeight="1">
      <c r="A1030" s="949" t="s">
        <v>312</v>
      </c>
      <c r="B1030" s="949" t="s">
        <v>343</v>
      </c>
      <c r="C1030" s="949" t="s">
        <v>398</v>
      </c>
      <c r="D1030" s="760" t="s">
        <v>1693</v>
      </c>
      <c r="E1030" s="666">
        <v>199156</v>
      </c>
      <c r="F1030" s="666"/>
      <c r="G1030" s="666"/>
      <c r="H1030" s="666"/>
      <c r="I1030" s="666"/>
      <c r="J1030" s="666" t="s">
        <v>818</v>
      </c>
      <c r="K1030" s="666" t="s">
        <v>812</v>
      </c>
      <c r="L1030" s="666" t="s">
        <v>818</v>
      </c>
      <c r="M1030" s="666" t="s">
        <v>821</v>
      </c>
      <c r="N1030" s="666">
        <v>19.686580660000001</v>
      </c>
      <c r="O1030" s="666">
        <v>94.048843379999994</v>
      </c>
      <c r="P1030" s="666" t="s">
        <v>937</v>
      </c>
      <c r="Q1030" s="666" t="s">
        <v>794</v>
      </c>
      <c r="R1030" s="931"/>
      <c r="S1030" s="671"/>
      <c r="T1030" s="690" t="s">
        <v>819</v>
      </c>
      <c r="U1030" s="672"/>
      <c r="V1030" s="666" t="s">
        <v>398</v>
      </c>
      <c r="W1030" s="922"/>
    </row>
    <row r="1031" spans="1:26" ht="14.25" customHeight="1">
      <c r="A1031" s="949" t="s">
        <v>312</v>
      </c>
      <c r="B1031" s="949" t="s">
        <v>343</v>
      </c>
      <c r="C1031" s="949" t="s">
        <v>395</v>
      </c>
      <c r="D1031" s="760" t="s">
        <v>1693</v>
      </c>
      <c r="E1031" s="928">
        <v>199265</v>
      </c>
      <c r="F1031" s="666"/>
      <c r="G1031" s="666"/>
      <c r="H1031" s="666"/>
      <c r="I1031" s="666"/>
      <c r="J1031" s="666" t="s">
        <v>818</v>
      </c>
      <c r="K1031" s="666" t="s">
        <v>812</v>
      </c>
      <c r="L1031" s="666" t="s">
        <v>818</v>
      </c>
      <c r="M1031" s="666" t="s">
        <v>312</v>
      </c>
      <c r="N1031" s="666">
        <v>19.627199170000001</v>
      </c>
      <c r="O1031" s="666">
        <v>93.962989809999996</v>
      </c>
      <c r="P1031" s="666" t="s">
        <v>937</v>
      </c>
      <c r="Q1031" s="666" t="s">
        <v>794</v>
      </c>
      <c r="R1031" s="931"/>
      <c r="S1031" s="671"/>
      <c r="T1031" s="690" t="s">
        <v>819</v>
      </c>
      <c r="U1031" s="672"/>
      <c r="V1031" s="666" t="s">
        <v>395</v>
      </c>
      <c r="W1031" s="922"/>
    </row>
    <row r="1032" spans="1:26" ht="14.25" customHeight="1">
      <c r="A1032" s="949" t="s">
        <v>312</v>
      </c>
      <c r="B1032" s="949" t="s">
        <v>343</v>
      </c>
      <c r="C1032" s="949" t="s">
        <v>393</v>
      </c>
      <c r="D1032" s="760" t="s">
        <v>1693</v>
      </c>
      <c r="E1032" s="666">
        <v>199262</v>
      </c>
      <c r="F1032" s="666"/>
      <c r="G1032" s="666"/>
      <c r="H1032" s="666"/>
      <c r="I1032" s="922"/>
      <c r="J1032" s="666" t="s">
        <v>818</v>
      </c>
      <c r="K1032" s="666" t="s">
        <v>812</v>
      </c>
      <c r="L1032" s="666" t="s">
        <v>818</v>
      </c>
      <c r="M1032" s="666" t="s">
        <v>312</v>
      </c>
      <c r="N1032" s="666">
        <v>19.61580086</v>
      </c>
      <c r="O1032" s="666">
        <v>94.000473020000001</v>
      </c>
      <c r="P1032" s="666" t="s">
        <v>937</v>
      </c>
      <c r="Q1032" s="666" t="s">
        <v>794</v>
      </c>
      <c r="R1032" s="670"/>
      <c r="S1032" s="932"/>
      <c r="T1032" s="690" t="s">
        <v>819</v>
      </c>
      <c r="U1032" s="672"/>
      <c r="V1032" s="666" t="s">
        <v>393</v>
      </c>
      <c r="W1032" s="922"/>
    </row>
    <row r="1033" spans="1:26" ht="14.25" customHeight="1">
      <c r="A1033" s="949" t="s">
        <v>312</v>
      </c>
      <c r="B1033" s="949" t="s">
        <v>343</v>
      </c>
      <c r="C1033" s="949" t="s">
        <v>410</v>
      </c>
      <c r="D1033" s="760" t="s">
        <v>1693</v>
      </c>
      <c r="E1033" s="666">
        <v>199241</v>
      </c>
      <c r="F1033" s="666"/>
      <c r="G1033" s="666"/>
      <c r="H1033" s="666"/>
      <c r="I1033" s="666"/>
      <c r="J1033" s="666" t="s">
        <v>818</v>
      </c>
      <c r="K1033" s="666" t="s">
        <v>812</v>
      </c>
      <c r="L1033" s="666" t="s">
        <v>818</v>
      </c>
      <c r="M1033" s="666" t="s">
        <v>821</v>
      </c>
      <c r="N1033" s="666">
        <v>19.988599780000001</v>
      </c>
      <c r="O1033" s="666">
        <v>93.803939819999997</v>
      </c>
      <c r="P1033" s="666" t="s">
        <v>937</v>
      </c>
      <c r="Q1033" s="666" t="s">
        <v>794</v>
      </c>
      <c r="R1033" s="931"/>
      <c r="S1033" s="671"/>
      <c r="T1033" s="690" t="s">
        <v>819</v>
      </c>
      <c r="U1033" s="672"/>
      <c r="V1033" s="659" t="s">
        <v>827</v>
      </c>
      <c r="W1033" s="922"/>
    </row>
    <row r="1034" spans="1:26" ht="14.25" customHeight="1">
      <c r="A1034" s="949" t="s">
        <v>312</v>
      </c>
      <c r="B1034" s="949" t="s">
        <v>343</v>
      </c>
      <c r="C1034" s="949" t="s">
        <v>408</v>
      </c>
      <c r="D1034" s="760" t="s">
        <v>1693</v>
      </c>
      <c r="E1034" s="666">
        <v>220838</v>
      </c>
      <c r="F1034" s="666"/>
      <c r="G1034" s="666"/>
      <c r="H1034" s="666"/>
      <c r="I1034" s="666"/>
      <c r="J1034" s="666" t="s">
        <v>818</v>
      </c>
      <c r="K1034" s="666" t="s">
        <v>812</v>
      </c>
      <c r="L1034" s="666" t="s">
        <v>818</v>
      </c>
      <c r="M1034" s="666" t="s">
        <v>821</v>
      </c>
      <c r="N1034" s="943">
        <v>19.962713239999999</v>
      </c>
      <c r="O1034" s="943">
        <v>93.885574340000005</v>
      </c>
      <c r="P1034" s="666" t="s">
        <v>937</v>
      </c>
      <c r="Q1034" s="666" t="s">
        <v>794</v>
      </c>
      <c r="R1034" s="931"/>
      <c r="S1034" s="671"/>
      <c r="T1034" s="690" t="s">
        <v>819</v>
      </c>
      <c r="U1034" s="672"/>
      <c r="V1034" s="666" t="s">
        <v>408</v>
      </c>
      <c r="W1034" s="922"/>
    </row>
    <row r="1035" spans="1:26" ht="14.25" customHeight="1">
      <c r="A1035" s="949" t="s">
        <v>312</v>
      </c>
      <c r="B1035" s="949" t="s">
        <v>343</v>
      </c>
      <c r="C1035" s="949" t="s">
        <v>405</v>
      </c>
      <c r="D1035" s="760" t="s">
        <v>1693</v>
      </c>
      <c r="E1035" s="666">
        <v>199133</v>
      </c>
      <c r="F1035" s="666"/>
      <c r="G1035" s="666"/>
      <c r="H1035" s="666"/>
      <c r="I1035" s="922"/>
      <c r="J1035" s="666" t="s">
        <v>818</v>
      </c>
      <c r="K1035" s="666" t="s">
        <v>812</v>
      </c>
      <c r="L1035" s="666" t="s">
        <v>818</v>
      </c>
      <c r="M1035" s="666" t="s">
        <v>312</v>
      </c>
      <c r="N1035" s="666">
        <v>19.925739289999999</v>
      </c>
      <c r="O1035" s="666">
        <v>93.792991639999997</v>
      </c>
      <c r="P1035" s="666" t="s">
        <v>937</v>
      </c>
      <c r="Q1035" s="666" t="s">
        <v>794</v>
      </c>
      <c r="R1035" s="670"/>
      <c r="S1035" s="932"/>
      <c r="T1035" s="690" t="s">
        <v>819</v>
      </c>
      <c r="U1035" s="672"/>
      <c r="V1035" s="666" t="s">
        <v>823</v>
      </c>
      <c r="W1035" s="922"/>
    </row>
    <row r="1036" spans="1:26" ht="14.25" customHeight="1">
      <c r="A1036" s="802" t="s">
        <v>716</v>
      </c>
      <c r="B1036" s="695" t="s">
        <v>735</v>
      </c>
      <c r="C1036" s="802" t="s">
        <v>736</v>
      </c>
      <c r="D1036" s="760" t="s">
        <v>3047</v>
      </c>
      <c r="E1036" s="666" t="s">
        <v>1446</v>
      </c>
      <c r="F1036" s="666" t="s">
        <v>736</v>
      </c>
      <c r="G1036" s="666" t="s">
        <v>736</v>
      </c>
      <c r="H1036" s="666" t="s">
        <v>43</v>
      </c>
      <c r="I1036" s="666" t="s">
        <v>3050</v>
      </c>
      <c r="J1036" s="666" t="s">
        <v>45</v>
      </c>
      <c r="K1036" s="666" t="s">
        <v>45</v>
      </c>
      <c r="L1036" s="666" t="s">
        <v>45</v>
      </c>
      <c r="M1036" s="666" t="s">
        <v>46</v>
      </c>
      <c r="N1036" s="666">
        <v>23.354268999999999</v>
      </c>
      <c r="O1036" s="666">
        <v>98.218626999999998</v>
      </c>
      <c r="P1036" s="666" t="s">
        <v>775</v>
      </c>
      <c r="Q1036" s="666" t="s">
        <v>794</v>
      </c>
      <c r="R1036" s="670">
        <v>35</v>
      </c>
      <c r="S1036" s="670">
        <v>183</v>
      </c>
      <c r="T1036" s="690"/>
      <c r="U1036" s="672"/>
      <c r="V1036" s="666" t="s">
        <v>736</v>
      </c>
      <c r="W1036" s="660" t="s">
        <v>2256</v>
      </c>
    </row>
    <row r="1037" spans="1:26" ht="14.25" customHeight="1">
      <c r="A1037" s="802" t="s">
        <v>716</v>
      </c>
      <c r="B1037" s="695" t="s">
        <v>735</v>
      </c>
      <c r="C1037" s="802" t="s">
        <v>759</v>
      </c>
      <c r="D1037" s="669" t="s">
        <v>1771</v>
      </c>
      <c r="E1037" s="666" t="s">
        <v>1447</v>
      </c>
      <c r="F1037" s="666" t="s">
        <v>1798</v>
      </c>
      <c r="G1037" s="666" t="s">
        <v>1798</v>
      </c>
      <c r="H1037" s="666"/>
      <c r="I1037" s="666" t="s">
        <v>2205</v>
      </c>
      <c r="J1037" s="666" t="s">
        <v>45</v>
      </c>
      <c r="K1037" s="666" t="s">
        <v>982</v>
      </c>
      <c r="L1037" s="666" t="s">
        <v>774</v>
      </c>
      <c r="M1037" s="666" t="s">
        <v>792</v>
      </c>
      <c r="N1037" s="666">
        <v>23.372409999999999</v>
      </c>
      <c r="O1037" s="666">
        <v>98.352670000000003</v>
      </c>
      <c r="P1037" s="666" t="s">
        <v>787</v>
      </c>
      <c r="Q1037" s="666" t="s">
        <v>794</v>
      </c>
      <c r="R1037" s="678"/>
      <c r="S1037" s="671"/>
      <c r="T1037" s="690">
        <v>43276</v>
      </c>
      <c r="U1037" s="672" t="s">
        <v>2036</v>
      </c>
      <c r="V1037" s="666" t="s">
        <v>759</v>
      </c>
      <c r="W1037" s="660" t="s">
        <v>2257</v>
      </c>
    </row>
    <row r="1038" spans="1:26" ht="14.25" customHeight="1">
      <c r="A1038" s="802" t="s">
        <v>716</v>
      </c>
      <c r="B1038" s="695" t="s">
        <v>735</v>
      </c>
      <c r="C1038" s="802" t="s">
        <v>765</v>
      </c>
      <c r="D1038" s="669" t="s">
        <v>1694</v>
      </c>
      <c r="E1038" s="666" t="s">
        <v>1445</v>
      </c>
      <c r="F1038" s="666" t="s">
        <v>1705</v>
      </c>
      <c r="G1038" s="666" t="s">
        <v>1705</v>
      </c>
      <c r="H1038" s="666"/>
      <c r="I1038" s="666">
        <v>0</v>
      </c>
      <c r="J1038" s="666" t="s">
        <v>45</v>
      </c>
      <c r="K1038" s="666" t="s">
        <v>45</v>
      </c>
      <c r="L1038" s="666" t="s">
        <v>774</v>
      </c>
      <c r="M1038" s="666" t="s">
        <v>46</v>
      </c>
      <c r="N1038" s="666">
        <v>23.353999999999999</v>
      </c>
      <c r="O1038" s="666">
        <v>98.221000000000004</v>
      </c>
      <c r="P1038" s="666" t="s">
        <v>775</v>
      </c>
      <c r="Q1038" s="666" t="s">
        <v>776</v>
      </c>
      <c r="R1038" s="678"/>
      <c r="S1038" s="671"/>
      <c r="T1038" s="690"/>
      <c r="U1038" s="672"/>
      <c r="V1038" s="666"/>
      <c r="W1038" s="660" t="s">
        <v>2258</v>
      </c>
    </row>
    <row r="1039" spans="1:26" ht="14.25" customHeight="1">
      <c r="A1039" s="802" t="s">
        <v>716</v>
      </c>
      <c r="B1039" s="695" t="s">
        <v>757</v>
      </c>
      <c r="C1039" s="802" t="s">
        <v>3000</v>
      </c>
      <c r="D1039" s="929"/>
      <c r="E1039" s="666"/>
      <c r="F1039" s="666"/>
      <c r="G1039" s="666"/>
      <c r="H1039" s="666"/>
      <c r="I1039" s="666"/>
      <c r="J1039" s="666" t="s">
        <v>3028</v>
      </c>
      <c r="K1039" s="666" t="s">
        <v>2942</v>
      </c>
      <c r="L1039" s="666" t="s">
        <v>2942</v>
      </c>
      <c r="M1039" s="666" t="s">
        <v>46</v>
      </c>
      <c r="N1039" s="666"/>
      <c r="O1039" s="666"/>
      <c r="P1039" s="666" t="s">
        <v>2046</v>
      </c>
      <c r="Q1039" s="666"/>
      <c r="R1039" s="939"/>
      <c r="S1039" s="932"/>
      <c r="T1039" s="690">
        <v>43567</v>
      </c>
      <c r="U1039" s="672"/>
      <c r="V1039" s="666"/>
      <c r="W1039" s="931"/>
    </row>
    <row r="1040" spans="1:26" ht="14.25" customHeight="1">
      <c r="A1040" s="802" t="s">
        <v>716</v>
      </c>
      <c r="B1040" s="695" t="s">
        <v>757</v>
      </c>
      <c r="C1040" s="802" t="s">
        <v>758</v>
      </c>
      <c r="D1040" s="760" t="s">
        <v>3047</v>
      </c>
      <c r="E1040" s="666" t="s">
        <v>1437</v>
      </c>
      <c r="F1040" s="666" t="s">
        <v>1794</v>
      </c>
      <c r="G1040" s="666" t="s">
        <v>1795</v>
      </c>
      <c r="H1040" s="666"/>
      <c r="I1040" s="928" t="s">
        <v>2205</v>
      </c>
      <c r="J1040" s="666" t="s">
        <v>45</v>
      </c>
      <c r="K1040" s="666" t="s">
        <v>45</v>
      </c>
      <c r="L1040" s="666" t="s">
        <v>790</v>
      </c>
      <c r="M1040" s="666" t="s">
        <v>46</v>
      </c>
      <c r="N1040" s="666">
        <v>22.677008000000001</v>
      </c>
      <c r="O1040" s="666">
        <v>97.314762999999999</v>
      </c>
      <c r="P1040" s="666" t="s">
        <v>775</v>
      </c>
      <c r="Q1040" s="666" t="s">
        <v>776</v>
      </c>
      <c r="R1040" s="670">
        <v>37</v>
      </c>
      <c r="S1040" s="670">
        <v>120</v>
      </c>
      <c r="T1040" s="690"/>
      <c r="U1040" s="672" t="s">
        <v>976</v>
      </c>
      <c r="V1040" s="666" t="s">
        <v>977</v>
      </c>
      <c r="W1040" s="660" t="s">
        <v>2259</v>
      </c>
    </row>
    <row r="1041" spans="1:23" ht="14.25" customHeight="1">
      <c r="A1041" s="802" t="s">
        <v>716</v>
      </c>
      <c r="B1041" s="695" t="s">
        <v>757</v>
      </c>
      <c r="C1041" s="802" t="s">
        <v>3001</v>
      </c>
      <c r="D1041" s="929"/>
      <c r="E1041" s="666"/>
      <c r="F1041" s="666"/>
      <c r="G1041" s="666"/>
      <c r="H1041" s="666"/>
      <c r="I1041" s="666"/>
      <c r="J1041" s="666" t="s">
        <v>3028</v>
      </c>
      <c r="K1041" s="666" t="s">
        <v>2942</v>
      </c>
      <c r="L1041" s="666" t="s">
        <v>2942</v>
      </c>
      <c r="M1041" s="666" t="s">
        <v>46</v>
      </c>
      <c r="N1041" s="666"/>
      <c r="O1041" s="666"/>
      <c r="P1041" s="666" t="s">
        <v>2046</v>
      </c>
      <c r="Q1041" s="666"/>
      <c r="R1041" s="939"/>
      <c r="S1041" s="932"/>
      <c r="T1041" s="690">
        <v>43567</v>
      </c>
      <c r="U1041" s="672"/>
      <c r="V1041" s="666"/>
      <c r="W1041" s="931"/>
    </row>
    <row r="1042" spans="1:23" ht="14.25" customHeight="1">
      <c r="A1042" s="802" t="s">
        <v>716</v>
      </c>
      <c r="B1042" s="695" t="s">
        <v>757</v>
      </c>
      <c r="C1042" s="802" t="s">
        <v>3002</v>
      </c>
      <c r="D1042" s="669"/>
      <c r="E1042" s="666"/>
      <c r="F1042" s="666"/>
      <c r="G1042" s="666"/>
      <c r="H1042" s="666"/>
      <c r="I1042" s="666"/>
      <c r="J1042" s="666" t="s">
        <v>3028</v>
      </c>
      <c r="K1042" s="666" t="s">
        <v>2942</v>
      </c>
      <c r="L1042" s="666" t="s">
        <v>2942</v>
      </c>
      <c r="M1042" s="666" t="s">
        <v>46</v>
      </c>
      <c r="N1042" s="666"/>
      <c r="O1042" s="666"/>
      <c r="P1042" s="666" t="s">
        <v>2046</v>
      </c>
      <c r="Q1042" s="666"/>
      <c r="R1042" s="678"/>
      <c r="S1042" s="671"/>
      <c r="T1042" s="690">
        <v>43567</v>
      </c>
      <c r="U1042" s="672"/>
      <c r="V1042" s="666"/>
      <c r="W1042" s="670"/>
    </row>
    <row r="1043" spans="1:23" ht="14.25" customHeight="1">
      <c r="A1043" s="802" t="s">
        <v>716</v>
      </c>
      <c r="B1043" s="695" t="s">
        <v>720</v>
      </c>
      <c r="C1043" s="802" t="s">
        <v>2324</v>
      </c>
      <c r="D1043" s="760" t="s">
        <v>3047</v>
      </c>
      <c r="E1043" s="666" t="s">
        <v>2325</v>
      </c>
      <c r="F1043" s="666" t="s">
        <v>2326</v>
      </c>
      <c r="G1043" s="666" t="s">
        <v>2326</v>
      </c>
      <c r="H1043" s="666"/>
      <c r="I1043" s="928" t="s">
        <v>2205</v>
      </c>
      <c r="J1043" s="666" t="s">
        <v>45</v>
      </c>
      <c r="K1043" s="666" t="s">
        <v>45</v>
      </c>
      <c r="L1043" s="666" t="s">
        <v>790</v>
      </c>
      <c r="M1043" s="666" t="s">
        <v>46</v>
      </c>
      <c r="N1043" s="666">
        <v>0</v>
      </c>
      <c r="O1043" s="666">
        <v>0</v>
      </c>
      <c r="P1043" s="666" t="s">
        <v>775</v>
      </c>
      <c r="Q1043" s="666" t="s">
        <v>2327</v>
      </c>
      <c r="R1043" s="670">
        <v>86</v>
      </c>
      <c r="S1043" s="670">
        <v>525</v>
      </c>
      <c r="T1043" s="690">
        <v>43405</v>
      </c>
      <c r="U1043" s="672" t="s">
        <v>2328</v>
      </c>
      <c r="V1043" s="666" t="s">
        <v>2324</v>
      </c>
      <c r="W1043" s="660" t="s">
        <v>2329</v>
      </c>
    </row>
    <row r="1044" spans="1:23" ht="14.25" customHeight="1">
      <c r="A1044" s="802" t="s">
        <v>716</v>
      </c>
      <c r="B1044" s="695" t="s">
        <v>720</v>
      </c>
      <c r="C1044" s="802" t="s">
        <v>2330</v>
      </c>
      <c r="D1044" s="760" t="s">
        <v>3047</v>
      </c>
      <c r="E1044" s="666" t="s">
        <v>2331</v>
      </c>
      <c r="F1044" s="666" t="s">
        <v>2332</v>
      </c>
      <c r="G1044" s="666"/>
      <c r="H1044" s="666" t="s">
        <v>43</v>
      </c>
      <c r="I1044" s="922" t="s">
        <v>1352</v>
      </c>
      <c r="J1044" s="666" t="s">
        <v>45</v>
      </c>
      <c r="K1044" s="666" t="s">
        <v>45</v>
      </c>
      <c r="L1044" s="666" t="s">
        <v>45</v>
      </c>
      <c r="M1044" s="666" t="s">
        <v>46</v>
      </c>
      <c r="N1044" s="666">
        <v>0</v>
      </c>
      <c r="O1044" s="666">
        <v>0</v>
      </c>
      <c r="P1044" s="666" t="s">
        <v>775</v>
      </c>
      <c r="Q1044" s="666" t="s">
        <v>2327</v>
      </c>
      <c r="R1044" s="670">
        <v>32</v>
      </c>
      <c r="S1044" s="670">
        <v>150</v>
      </c>
      <c r="T1044" s="690"/>
      <c r="U1044" s="672" t="s">
        <v>2333</v>
      </c>
      <c r="V1044" s="666" t="s">
        <v>2330</v>
      </c>
      <c r="W1044" s="660" t="s">
        <v>2336</v>
      </c>
    </row>
    <row r="1045" spans="1:23" ht="14.25" customHeight="1">
      <c r="A1045" s="802" t="s">
        <v>716</v>
      </c>
      <c r="B1045" s="695" t="s">
        <v>720</v>
      </c>
      <c r="C1045" s="802" t="s">
        <v>741</v>
      </c>
      <c r="D1045" s="929" t="s">
        <v>1694</v>
      </c>
      <c r="E1045" s="666" t="s">
        <v>1450</v>
      </c>
      <c r="F1045" s="666" t="s">
        <v>1706</v>
      </c>
      <c r="G1045" s="666" t="s">
        <v>1707</v>
      </c>
      <c r="H1045" s="666" t="s">
        <v>43</v>
      </c>
      <c r="I1045" s="666" t="s">
        <v>149</v>
      </c>
      <c r="J1045" s="666" t="s">
        <v>45</v>
      </c>
      <c r="K1045" s="666" t="s">
        <v>982</v>
      </c>
      <c r="L1045" s="666" t="s">
        <v>774</v>
      </c>
      <c r="M1045" s="666" t="s">
        <v>46</v>
      </c>
      <c r="N1045" s="666">
        <v>23.4008</v>
      </c>
      <c r="O1045" s="666">
        <v>97.848529999999997</v>
      </c>
      <c r="P1045" s="666" t="s">
        <v>775</v>
      </c>
      <c r="Q1045" s="666" t="s">
        <v>794</v>
      </c>
      <c r="R1045" s="939"/>
      <c r="S1045" s="932"/>
      <c r="T1045" s="690">
        <v>43049</v>
      </c>
      <c r="U1045" s="672" t="s">
        <v>984</v>
      </c>
      <c r="V1045" s="666" t="s">
        <v>741</v>
      </c>
      <c r="W1045" s="660" t="s">
        <v>2260</v>
      </c>
    </row>
    <row r="1046" spans="1:23" ht="14.25" customHeight="1">
      <c r="A1046" s="802" t="s">
        <v>716</v>
      </c>
      <c r="B1046" s="695" t="s">
        <v>720</v>
      </c>
      <c r="C1046" s="802" t="s">
        <v>1118</v>
      </c>
      <c r="D1046" s="669" t="s">
        <v>1693</v>
      </c>
      <c r="E1046" s="666"/>
      <c r="F1046" s="666"/>
      <c r="G1046" s="666"/>
      <c r="H1046" s="666"/>
      <c r="I1046" s="666"/>
      <c r="J1046" s="666" t="s">
        <v>1481</v>
      </c>
      <c r="K1046" s="666" t="s">
        <v>45</v>
      </c>
      <c r="L1046" s="666" t="s">
        <v>1113</v>
      </c>
      <c r="M1046" s="666" t="s">
        <v>46</v>
      </c>
      <c r="N1046" s="666"/>
      <c r="O1046" s="666"/>
      <c r="P1046" s="666" t="s">
        <v>775</v>
      </c>
      <c r="Q1046" s="666" t="s">
        <v>794</v>
      </c>
      <c r="R1046" s="678"/>
      <c r="S1046" s="671"/>
      <c r="T1046" s="690"/>
      <c r="U1046" s="672" t="s">
        <v>1109</v>
      </c>
      <c r="V1046" s="666" t="s">
        <v>1118</v>
      </c>
      <c r="W1046" s="670"/>
    </row>
    <row r="1047" spans="1:23" ht="14.25" customHeight="1">
      <c r="A1047" s="802" t="s">
        <v>716</v>
      </c>
      <c r="B1047" s="695" t="s">
        <v>720</v>
      </c>
      <c r="C1047" s="802" t="s">
        <v>742</v>
      </c>
      <c r="D1047" s="760" t="s">
        <v>3047</v>
      </c>
      <c r="E1047" s="666" t="s">
        <v>1452</v>
      </c>
      <c r="F1047" s="666" t="s">
        <v>1799</v>
      </c>
      <c r="G1047" s="666" t="s">
        <v>1800</v>
      </c>
      <c r="H1047" s="666" t="s">
        <v>43</v>
      </c>
      <c r="I1047" s="922" t="s">
        <v>3050</v>
      </c>
      <c r="J1047" s="666" t="s">
        <v>45</v>
      </c>
      <c r="K1047" s="666" t="s">
        <v>45</v>
      </c>
      <c r="L1047" s="666" t="s">
        <v>45</v>
      </c>
      <c r="M1047" s="666" t="s">
        <v>46</v>
      </c>
      <c r="N1047" s="666">
        <v>23.450914000000001</v>
      </c>
      <c r="O1047" s="666">
        <v>97.926813999999993</v>
      </c>
      <c r="P1047" s="666" t="s">
        <v>775</v>
      </c>
      <c r="Q1047" s="666" t="s">
        <v>794</v>
      </c>
      <c r="R1047" s="670">
        <v>53</v>
      </c>
      <c r="S1047" s="670">
        <v>261</v>
      </c>
      <c r="T1047" s="690"/>
      <c r="U1047" s="672"/>
      <c r="V1047" s="666" t="s">
        <v>742</v>
      </c>
      <c r="W1047" s="660" t="s">
        <v>2261</v>
      </c>
    </row>
    <row r="1048" spans="1:23" ht="14.25" customHeight="1">
      <c r="A1048" s="802" t="s">
        <v>716</v>
      </c>
      <c r="B1048" s="695" t="s">
        <v>720</v>
      </c>
      <c r="C1048" s="802" t="s">
        <v>747</v>
      </c>
      <c r="D1048" s="760" t="s">
        <v>3047</v>
      </c>
      <c r="E1048" s="666" t="s">
        <v>1453</v>
      </c>
      <c r="F1048" s="666" t="s">
        <v>1799</v>
      </c>
      <c r="G1048" s="666" t="s">
        <v>1698</v>
      </c>
      <c r="H1048" s="666" t="s">
        <v>43</v>
      </c>
      <c r="I1048" s="666" t="s">
        <v>3050</v>
      </c>
      <c r="J1048" s="666" t="s">
        <v>45</v>
      </c>
      <c r="K1048" s="666" t="s">
        <v>45</v>
      </c>
      <c r="L1048" s="666" t="s">
        <v>45</v>
      </c>
      <c r="M1048" s="666" t="s">
        <v>46</v>
      </c>
      <c r="N1048" s="666">
        <v>23.460349999999998</v>
      </c>
      <c r="O1048" s="666">
        <v>97.947360000000003</v>
      </c>
      <c r="P1048" s="666" t="s">
        <v>775</v>
      </c>
      <c r="Q1048" s="666" t="s">
        <v>776</v>
      </c>
      <c r="R1048" s="670">
        <v>37</v>
      </c>
      <c r="S1048" s="670">
        <v>150</v>
      </c>
      <c r="T1048" s="690">
        <v>42836</v>
      </c>
      <c r="U1048" s="672" t="s">
        <v>985</v>
      </c>
      <c r="V1048" s="666"/>
      <c r="W1048" s="660" t="s">
        <v>2262</v>
      </c>
    </row>
    <row r="1049" spans="1:23" ht="14.25" customHeight="1">
      <c r="A1049" s="802" t="s">
        <v>716</v>
      </c>
      <c r="B1049" s="695" t="s">
        <v>720</v>
      </c>
      <c r="C1049" s="802" t="s">
        <v>721</v>
      </c>
      <c r="D1049" s="760" t="s">
        <v>3047</v>
      </c>
      <c r="E1049" s="666" t="s">
        <v>1454</v>
      </c>
      <c r="F1049" s="666" t="s">
        <v>1799</v>
      </c>
      <c r="G1049" s="666" t="s">
        <v>1801</v>
      </c>
      <c r="H1049" s="666" t="s">
        <v>43</v>
      </c>
      <c r="I1049" s="666" t="s">
        <v>1352</v>
      </c>
      <c r="J1049" s="666" t="s">
        <v>45</v>
      </c>
      <c r="K1049" s="666" t="s">
        <v>45</v>
      </c>
      <c r="L1049" s="666" t="s">
        <v>45</v>
      </c>
      <c r="M1049" s="666" t="s">
        <v>46</v>
      </c>
      <c r="N1049" s="666">
        <v>23.460349999999998</v>
      </c>
      <c r="O1049" s="666">
        <v>97.947360000000003</v>
      </c>
      <c r="P1049" s="666" t="s">
        <v>775</v>
      </c>
      <c r="Q1049" s="666" t="s">
        <v>794</v>
      </c>
      <c r="R1049" s="670">
        <v>28</v>
      </c>
      <c r="S1049" s="670">
        <v>135</v>
      </c>
      <c r="T1049" s="690"/>
      <c r="U1049" s="672"/>
      <c r="V1049" s="666" t="s">
        <v>721</v>
      </c>
      <c r="W1049" s="660" t="s">
        <v>2263</v>
      </c>
    </row>
    <row r="1050" spans="1:23" ht="14.25" customHeight="1">
      <c r="A1050" s="802" t="s">
        <v>716</v>
      </c>
      <c r="B1050" s="695" t="s">
        <v>720</v>
      </c>
      <c r="C1050" s="802" t="s">
        <v>766</v>
      </c>
      <c r="D1050" s="669" t="s">
        <v>1693</v>
      </c>
      <c r="E1050" s="666"/>
      <c r="F1050" s="666"/>
      <c r="G1050" s="666"/>
      <c r="H1050" s="666"/>
      <c r="I1050" s="666"/>
      <c r="J1050" s="666" t="s">
        <v>1481</v>
      </c>
      <c r="K1050" s="666" t="s">
        <v>45</v>
      </c>
      <c r="L1050" s="666" t="s">
        <v>45</v>
      </c>
      <c r="M1050" s="666" t="s">
        <v>46</v>
      </c>
      <c r="N1050" s="666"/>
      <c r="O1050" s="666"/>
      <c r="P1050" s="666" t="s">
        <v>775</v>
      </c>
      <c r="Q1050" s="666" t="s">
        <v>794</v>
      </c>
      <c r="R1050" s="678"/>
      <c r="S1050" s="671"/>
      <c r="T1050" s="690">
        <v>42747</v>
      </c>
      <c r="U1050" s="672"/>
      <c r="V1050" s="666"/>
      <c r="W1050" s="670"/>
    </row>
    <row r="1051" spans="1:23" ht="14.25" customHeight="1">
      <c r="A1051" s="802" t="s">
        <v>716</v>
      </c>
      <c r="B1051" s="695" t="s">
        <v>720</v>
      </c>
      <c r="C1051" s="802" t="s">
        <v>2202</v>
      </c>
      <c r="D1051" s="760" t="s">
        <v>3047</v>
      </c>
      <c r="E1051" s="666" t="s">
        <v>1457</v>
      </c>
      <c r="F1051" s="666" t="s">
        <v>1804</v>
      </c>
      <c r="G1051" s="666" t="s">
        <v>1804</v>
      </c>
      <c r="H1051" s="666" t="s">
        <v>43</v>
      </c>
      <c r="I1051" s="666" t="s">
        <v>1352</v>
      </c>
      <c r="J1051" s="666" t="s">
        <v>45</v>
      </c>
      <c r="K1051" s="666" t="s">
        <v>45</v>
      </c>
      <c r="L1051" s="666" t="s">
        <v>45</v>
      </c>
      <c r="M1051" s="666" t="s">
        <v>46</v>
      </c>
      <c r="N1051" s="666">
        <v>23.591999999999999</v>
      </c>
      <c r="O1051" s="666">
        <v>97.796999999999997</v>
      </c>
      <c r="P1051" s="666" t="s">
        <v>775</v>
      </c>
      <c r="Q1051" s="666" t="s">
        <v>794</v>
      </c>
      <c r="R1051" s="670">
        <v>66</v>
      </c>
      <c r="S1051" s="670">
        <v>346</v>
      </c>
      <c r="T1051" s="690" t="s">
        <v>819</v>
      </c>
      <c r="U1051" s="672"/>
      <c r="V1051" s="666"/>
      <c r="W1051" s="660" t="s">
        <v>2264</v>
      </c>
    </row>
    <row r="1052" spans="1:23" ht="14.25" customHeight="1">
      <c r="A1052" s="802" t="s">
        <v>716</v>
      </c>
      <c r="B1052" s="695" t="s">
        <v>720</v>
      </c>
      <c r="C1052" s="802" t="s">
        <v>755</v>
      </c>
      <c r="D1052" s="760" t="s">
        <v>3047</v>
      </c>
      <c r="E1052" s="666" t="s">
        <v>1643</v>
      </c>
      <c r="F1052" s="666" t="s">
        <v>1887</v>
      </c>
      <c r="G1052" s="666" t="s">
        <v>755</v>
      </c>
      <c r="H1052" s="666"/>
      <c r="I1052" s="928" t="s">
        <v>2205</v>
      </c>
      <c r="J1052" s="666" t="s">
        <v>45</v>
      </c>
      <c r="K1052" s="666" t="s">
        <v>45</v>
      </c>
      <c r="L1052" s="666" t="s">
        <v>790</v>
      </c>
      <c r="M1052" s="666" t="s">
        <v>46</v>
      </c>
      <c r="N1052" s="666">
        <v>0</v>
      </c>
      <c r="O1052" s="666">
        <v>0</v>
      </c>
      <c r="P1052" s="666" t="s">
        <v>775</v>
      </c>
      <c r="Q1052" s="666" t="s">
        <v>816</v>
      </c>
      <c r="R1052" s="670">
        <v>24</v>
      </c>
      <c r="S1052" s="670">
        <v>84</v>
      </c>
      <c r="T1052" s="690" t="s">
        <v>1097</v>
      </c>
      <c r="U1052" s="672"/>
      <c r="V1052" s="666"/>
      <c r="W1052" s="660" t="s">
        <v>2265</v>
      </c>
    </row>
    <row r="1053" spans="1:23" ht="14.25" customHeight="1">
      <c r="A1053" s="802" t="s">
        <v>716</v>
      </c>
      <c r="B1053" s="695" t="s">
        <v>720</v>
      </c>
      <c r="C1053" s="802" t="s">
        <v>2203</v>
      </c>
      <c r="D1053" s="760" t="s">
        <v>3047</v>
      </c>
      <c r="E1053" s="666" t="s">
        <v>1456</v>
      </c>
      <c r="F1053" s="666" t="s">
        <v>1804</v>
      </c>
      <c r="G1053" s="666" t="s">
        <v>1804</v>
      </c>
      <c r="H1053" s="666" t="s">
        <v>43</v>
      </c>
      <c r="I1053" s="666" t="s">
        <v>1352</v>
      </c>
      <c r="J1053" s="666" t="s">
        <v>45</v>
      </c>
      <c r="K1053" s="666" t="s">
        <v>982</v>
      </c>
      <c r="L1053" s="666" t="s">
        <v>45</v>
      </c>
      <c r="M1053" s="666" t="s">
        <v>46</v>
      </c>
      <c r="N1053" s="666">
        <v>23.588920000000002</v>
      </c>
      <c r="O1053" s="666">
        <v>97.793019999999999</v>
      </c>
      <c r="P1053" s="666" t="s">
        <v>775</v>
      </c>
      <c r="Q1053" s="666" t="s">
        <v>794</v>
      </c>
      <c r="R1053" s="670">
        <v>76</v>
      </c>
      <c r="S1053" s="670">
        <v>344</v>
      </c>
      <c r="T1053" s="690"/>
      <c r="U1053" s="672"/>
      <c r="V1053" s="666" t="s">
        <v>750</v>
      </c>
      <c r="W1053" s="660" t="s">
        <v>2266</v>
      </c>
    </row>
    <row r="1054" spans="1:23" ht="14.25" customHeight="1">
      <c r="A1054" s="802" t="s">
        <v>716</v>
      </c>
      <c r="B1054" s="695" t="s">
        <v>720</v>
      </c>
      <c r="C1054" s="802" t="s">
        <v>1130</v>
      </c>
      <c r="D1054" s="929" t="s">
        <v>1693</v>
      </c>
      <c r="E1054" s="666"/>
      <c r="F1054" s="666"/>
      <c r="G1054" s="666"/>
      <c r="H1054" s="666"/>
      <c r="I1054" s="666"/>
      <c r="J1054" s="666" t="s">
        <v>1481</v>
      </c>
      <c r="K1054" s="666" t="s">
        <v>45</v>
      </c>
      <c r="L1054" s="666" t="s">
        <v>45</v>
      </c>
      <c r="M1054" s="666" t="s">
        <v>46</v>
      </c>
      <c r="N1054" s="666"/>
      <c r="O1054" s="666"/>
      <c r="P1054" s="666" t="s">
        <v>775</v>
      </c>
      <c r="Q1054" s="666" t="s">
        <v>794</v>
      </c>
      <c r="R1054" s="939"/>
      <c r="S1054" s="932"/>
      <c r="T1054" s="690"/>
      <c r="U1054" s="672" t="s">
        <v>1109</v>
      </c>
      <c r="V1054" s="666"/>
      <c r="W1054" s="931"/>
    </row>
    <row r="1055" spans="1:23" ht="14.25" customHeight="1">
      <c r="A1055" s="802" t="s">
        <v>716</v>
      </c>
      <c r="B1055" s="695" t="s">
        <v>720</v>
      </c>
      <c r="C1055" s="802" t="s">
        <v>746</v>
      </c>
      <c r="D1055" s="760" t="s">
        <v>3047</v>
      </c>
      <c r="E1055" s="666" t="s">
        <v>1474</v>
      </c>
      <c r="F1055" s="666" t="s">
        <v>1808</v>
      </c>
      <c r="G1055" s="666" t="s">
        <v>1809</v>
      </c>
      <c r="H1055" s="666"/>
      <c r="I1055" s="928" t="s">
        <v>2205</v>
      </c>
      <c r="J1055" s="666" t="s">
        <v>45</v>
      </c>
      <c r="K1055" s="666" t="s">
        <v>45</v>
      </c>
      <c r="L1055" s="666" t="s">
        <v>790</v>
      </c>
      <c r="M1055" s="666" t="s">
        <v>46</v>
      </c>
      <c r="N1055" s="666">
        <v>23.850999999999999</v>
      </c>
      <c r="O1055" s="666">
        <v>98.337999999999994</v>
      </c>
      <c r="P1055" s="666" t="s">
        <v>775</v>
      </c>
      <c r="Q1055" s="666" t="s">
        <v>776</v>
      </c>
      <c r="R1055" s="670">
        <v>30</v>
      </c>
      <c r="S1055" s="670">
        <v>170</v>
      </c>
      <c r="T1055" s="690"/>
      <c r="U1055" s="672" t="s">
        <v>996</v>
      </c>
      <c r="V1055" s="666"/>
      <c r="W1055" s="660" t="s">
        <v>2267</v>
      </c>
    </row>
    <row r="1056" spans="1:23" ht="14.25" customHeight="1">
      <c r="A1056" s="802" t="s">
        <v>716</v>
      </c>
      <c r="B1056" s="695" t="s">
        <v>720</v>
      </c>
      <c r="C1056" s="802" t="s">
        <v>729</v>
      </c>
      <c r="D1056" s="760" t="s">
        <v>3047</v>
      </c>
      <c r="E1056" s="666" t="s">
        <v>1449</v>
      </c>
      <c r="F1056" s="666"/>
      <c r="G1056" s="666"/>
      <c r="H1056" s="666" t="s">
        <v>43</v>
      </c>
      <c r="I1056" s="666" t="s">
        <v>3050</v>
      </c>
      <c r="J1056" s="666" t="s">
        <v>45</v>
      </c>
      <c r="K1056" s="666" t="s">
        <v>982</v>
      </c>
      <c r="L1056" s="666" t="s">
        <v>45</v>
      </c>
      <c r="M1056" s="666" t="s">
        <v>46</v>
      </c>
      <c r="N1056" s="666">
        <v>23.400155999999999</v>
      </c>
      <c r="O1056" s="666">
        <v>98.220614999999995</v>
      </c>
      <c r="P1056" s="666" t="s">
        <v>775</v>
      </c>
      <c r="Q1056" s="666" t="s">
        <v>794</v>
      </c>
      <c r="R1056" s="931">
        <v>38</v>
      </c>
      <c r="S1056" s="931">
        <v>208</v>
      </c>
      <c r="T1056" s="690"/>
      <c r="U1056" s="672"/>
      <c r="V1056" s="666" t="s">
        <v>983</v>
      </c>
      <c r="W1056" s="660" t="s">
        <v>2268</v>
      </c>
    </row>
    <row r="1057" spans="1:23" ht="14.25" customHeight="1">
      <c r="A1057" s="802" t="s">
        <v>716</v>
      </c>
      <c r="B1057" s="695" t="s">
        <v>720</v>
      </c>
      <c r="C1057" s="802" t="s">
        <v>725</v>
      </c>
      <c r="D1057" s="760" t="s">
        <v>3047</v>
      </c>
      <c r="E1057" s="666" t="s">
        <v>1455</v>
      </c>
      <c r="F1057" s="666" t="s">
        <v>1802</v>
      </c>
      <c r="G1057" s="666" t="s">
        <v>1803</v>
      </c>
      <c r="H1057" s="666" t="s">
        <v>43</v>
      </c>
      <c r="I1057" s="666" t="s">
        <v>1352</v>
      </c>
      <c r="J1057" s="666" t="s">
        <v>45</v>
      </c>
      <c r="K1057" s="666" t="s">
        <v>45</v>
      </c>
      <c r="L1057" s="666" t="s">
        <v>45</v>
      </c>
      <c r="M1057" s="666" t="s">
        <v>46</v>
      </c>
      <c r="N1057" s="666">
        <v>23.463000000000001</v>
      </c>
      <c r="O1057" s="666">
        <v>98.248999999999995</v>
      </c>
      <c r="P1057" s="666" t="s">
        <v>775</v>
      </c>
      <c r="Q1057" s="666" t="s">
        <v>794</v>
      </c>
      <c r="R1057" s="931">
        <v>19</v>
      </c>
      <c r="S1057" s="931">
        <v>89</v>
      </c>
      <c r="T1057" s="690"/>
      <c r="U1057" s="672"/>
      <c r="V1057" s="666" t="s">
        <v>986</v>
      </c>
      <c r="W1057" s="660" t="s">
        <v>2269</v>
      </c>
    </row>
    <row r="1058" spans="1:23" ht="14.25" customHeight="1">
      <c r="A1058" s="802" t="s">
        <v>716</v>
      </c>
      <c r="B1058" s="695" t="s">
        <v>720</v>
      </c>
      <c r="C1058" s="802" t="s">
        <v>1134</v>
      </c>
      <c r="D1058" s="669" t="s">
        <v>1693</v>
      </c>
      <c r="E1058" s="666"/>
      <c r="F1058" s="666"/>
      <c r="G1058" s="666"/>
      <c r="H1058" s="666"/>
      <c r="I1058" s="666"/>
      <c r="J1058" s="666" t="s">
        <v>1481</v>
      </c>
      <c r="K1058" s="666" t="s">
        <v>45</v>
      </c>
      <c r="L1058" s="666" t="s">
        <v>1113</v>
      </c>
      <c r="M1058" s="666" t="s">
        <v>46</v>
      </c>
      <c r="N1058" s="666"/>
      <c r="O1058" s="666"/>
      <c r="P1058" s="666" t="s">
        <v>775</v>
      </c>
      <c r="Q1058" s="666" t="s">
        <v>794</v>
      </c>
      <c r="R1058" s="678"/>
      <c r="S1058" s="671"/>
      <c r="T1058" s="690"/>
      <c r="U1058" s="672" t="s">
        <v>1109</v>
      </c>
      <c r="V1058" s="666" t="s">
        <v>1135</v>
      </c>
      <c r="W1058" s="670"/>
    </row>
    <row r="1059" spans="1:23" ht="14.25" customHeight="1">
      <c r="A1059" s="802" t="s">
        <v>716</v>
      </c>
      <c r="B1059" s="695" t="s">
        <v>720</v>
      </c>
      <c r="C1059" s="802" t="s">
        <v>732</v>
      </c>
      <c r="D1059" s="760" t="s">
        <v>3047</v>
      </c>
      <c r="E1059" s="666" t="s">
        <v>1461</v>
      </c>
      <c r="F1059" s="666" t="s">
        <v>1805</v>
      </c>
      <c r="G1059" s="666" t="s">
        <v>1806</v>
      </c>
      <c r="H1059" s="666" t="s">
        <v>43</v>
      </c>
      <c r="I1059" s="666" t="s">
        <v>3050</v>
      </c>
      <c r="J1059" s="666" t="s">
        <v>45</v>
      </c>
      <c r="K1059" s="666" t="s">
        <v>45</v>
      </c>
      <c r="L1059" s="666" t="s">
        <v>45</v>
      </c>
      <c r="M1059" s="666" t="s">
        <v>46</v>
      </c>
      <c r="N1059" s="666">
        <v>23.694130000000001</v>
      </c>
      <c r="O1059" s="666">
        <v>97.818979999999996</v>
      </c>
      <c r="P1059" s="666" t="s">
        <v>775</v>
      </c>
      <c r="Q1059" s="666" t="s">
        <v>794</v>
      </c>
      <c r="R1059" s="931">
        <v>56</v>
      </c>
      <c r="S1059" s="931">
        <v>263</v>
      </c>
      <c r="T1059" s="690"/>
      <c r="U1059" s="672"/>
      <c r="V1059" s="666" t="s">
        <v>732</v>
      </c>
      <c r="W1059" s="660" t="s">
        <v>2270</v>
      </c>
    </row>
    <row r="1060" spans="1:23" ht="14.25" customHeight="1">
      <c r="A1060" s="802" t="s">
        <v>716</v>
      </c>
      <c r="B1060" s="695" t="s">
        <v>720</v>
      </c>
      <c r="C1060" s="802" t="s">
        <v>2204</v>
      </c>
      <c r="D1060" s="760" t="s">
        <v>3047</v>
      </c>
      <c r="E1060" s="666" t="s">
        <v>1460</v>
      </c>
      <c r="F1060" s="666"/>
      <c r="G1060" s="666"/>
      <c r="H1060" s="666" t="s">
        <v>43</v>
      </c>
      <c r="I1060" s="666" t="s">
        <v>1352</v>
      </c>
      <c r="J1060" s="666" t="s">
        <v>45</v>
      </c>
      <c r="K1060" s="666" t="s">
        <v>45</v>
      </c>
      <c r="L1060" s="666" t="s">
        <v>45</v>
      </c>
      <c r="M1060" s="666" t="s">
        <v>46</v>
      </c>
      <c r="N1060" s="666">
        <v>23.682887999999998</v>
      </c>
      <c r="O1060" s="666">
        <v>97.810101000000003</v>
      </c>
      <c r="P1060" s="666" t="s">
        <v>775</v>
      </c>
      <c r="Q1060" s="666" t="s">
        <v>794</v>
      </c>
      <c r="R1060" s="670">
        <v>36</v>
      </c>
      <c r="S1060" s="670">
        <v>120</v>
      </c>
      <c r="T1060" s="690" t="s">
        <v>819</v>
      </c>
      <c r="U1060" s="672"/>
      <c r="V1060" s="666"/>
      <c r="W1060" s="660" t="s">
        <v>2271</v>
      </c>
    </row>
    <row r="1061" spans="1:23" ht="14.25" customHeight="1">
      <c r="A1061" s="802" t="s">
        <v>716</v>
      </c>
      <c r="B1061" s="695" t="s">
        <v>720</v>
      </c>
      <c r="C1061" s="802" t="s">
        <v>743</v>
      </c>
      <c r="D1061" s="760" t="s">
        <v>3047</v>
      </c>
      <c r="E1061" s="666" t="s">
        <v>1451</v>
      </c>
      <c r="F1061" s="666" t="s">
        <v>1706</v>
      </c>
      <c r="G1061" s="666">
        <v>0</v>
      </c>
      <c r="H1061" s="666" t="s">
        <v>43</v>
      </c>
      <c r="I1061" s="666" t="s">
        <v>1352</v>
      </c>
      <c r="J1061" s="666" t="s">
        <v>45</v>
      </c>
      <c r="K1061" s="666" t="s">
        <v>982</v>
      </c>
      <c r="L1061" s="666" t="s">
        <v>45</v>
      </c>
      <c r="M1061" s="666" t="s">
        <v>46</v>
      </c>
      <c r="N1061" s="666">
        <v>23.447111</v>
      </c>
      <c r="O1061" s="666">
        <v>97.868876999999998</v>
      </c>
      <c r="P1061" s="666" t="s">
        <v>775</v>
      </c>
      <c r="Q1061" s="666" t="s">
        <v>776</v>
      </c>
      <c r="R1061" s="670">
        <v>105</v>
      </c>
      <c r="S1061" s="670">
        <v>631</v>
      </c>
      <c r="T1061" s="690"/>
      <c r="U1061" s="672"/>
      <c r="V1061" s="666"/>
      <c r="W1061" s="660" t="s">
        <v>2272</v>
      </c>
    </row>
    <row r="1062" spans="1:23" ht="14.25" customHeight="1">
      <c r="A1062" s="802" t="s">
        <v>716</v>
      </c>
      <c r="B1062" s="695" t="s">
        <v>720</v>
      </c>
      <c r="C1062" s="802" t="s">
        <v>763</v>
      </c>
      <c r="D1062" s="760" t="s">
        <v>3047</v>
      </c>
      <c r="E1062" s="666" t="s">
        <v>1942</v>
      </c>
      <c r="F1062" s="666" t="s">
        <v>763</v>
      </c>
      <c r="G1062" s="666" t="s">
        <v>763</v>
      </c>
      <c r="H1062" s="666" t="s">
        <v>43</v>
      </c>
      <c r="I1062" s="666" t="s">
        <v>1352</v>
      </c>
      <c r="J1062" s="666" t="s">
        <v>45</v>
      </c>
      <c r="K1062" s="666" t="s">
        <v>45</v>
      </c>
      <c r="L1062" s="666" t="s">
        <v>45</v>
      </c>
      <c r="M1062" s="666" t="s">
        <v>46</v>
      </c>
      <c r="N1062" s="666">
        <v>0</v>
      </c>
      <c r="O1062" s="666">
        <v>0</v>
      </c>
      <c r="P1062" s="666" t="s">
        <v>775</v>
      </c>
      <c r="Q1062" s="666"/>
      <c r="R1062" s="931">
        <v>36</v>
      </c>
      <c r="S1062" s="931">
        <v>192</v>
      </c>
      <c r="T1062" s="690"/>
      <c r="U1062" s="672" t="s">
        <v>1167</v>
      </c>
      <c r="V1062" s="666"/>
      <c r="W1062" s="660" t="s">
        <v>2273</v>
      </c>
    </row>
    <row r="1063" spans="1:23" ht="14.25" customHeight="1">
      <c r="A1063" s="802" t="s">
        <v>716</v>
      </c>
      <c r="B1063" s="695" t="s">
        <v>720</v>
      </c>
      <c r="C1063" s="802" t="s">
        <v>739</v>
      </c>
      <c r="D1063" s="760" t="s">
        <v>3047</v>
      </c>
      <c r="E1063" s="666" t="s">
        <v>1448</v>
      </c>
      <c r="F1063" s="666" t="s">
        <v>1706</v>
      </c>
      <c r="G1063" s="666" t="s">
        <v>1707</v>
      </c>
      <c r="H1063" s="666" t="s">
        <v>43</v>
      </c>
      <c r="I1063" s="666" t="s">
        <v>3050</v>
      </c>
      <c r="J1063" s="666" t="s">
        <v>45</v>
      </c>
      <c r="K1063" s="666" t="s">
        <v>982</v>
      </c>
      <c r="L1063" s="666" t="s">
        <v>45</v>
      </c>
      <c r="M1063" s="666" t="s">
        <v>46</v>
      </c>
      <c r="N1063" s="666">
        <v>23.38503</v>
      </c>
      <c r="O1063" s="666">
        <v>97.837040000000002</v>
      </c>
      <c r="P1063" s="666" t="s">
        <v>775</v>
      </c>
      <c r="Q1063" s="666" t="s">
        <v>794</v>
      </c>
      <c r="R1063" s="931">
        <v>205</v>
      </c>
      <c r="S1063" s="931">
        <v>1053</v>
      </c>
      <c r="T1063" s="690"/>
      <c r="U1063" s="672"/>
      <c r="V1063" s="666" t="s">
        <v>739</v>
      </c>
      <c r="W1063" s="660" t="s">
        <v>2274</v>
      </c>
    </row>
    <row r="1064" spans="1:23" ht="14.25" customHeight="1">
      <c r="A1064" s="802" t="s">
        <v>716</v>
      </c>
      <c r="B1064" s="695" t="s">
        <v>1272</v>
      </c>
      <c r="C1064" s="802" t="s">
        <v>1334</v>
      </c>
      <c r="D1064" s="669" t="s">
        <v>1913</v>
      </c>
      <c r="E1064" s="666"/>
      <c r="F1064" s="666" t="s">
        <v>1914</v>
      </c>
      <c r="G1064" s="666"/>
      <c r="H1064" s="666"/>
      <c r="I1064" s="666"/>
      <c r="J1064" s="666" t="s">
        <v>1481</v>
      </c>
      <c r="K1064" s="666"/>
      <c r="L1064" s="666"/>
      <c r="M1064" s="666"/>
      <c r="N1064" s="666"/>
      <c r="O1064" s="666"/>
      <c r="P1064" s="666" t="s">
        <v>775</v>
      </c>
      <c r="Q1064" s="666"/>
      <c r="R1064" s="678"/>
      <c r="S1064" s="671"/>
      <c r="T1064" s="690"/>
      <c r="U1064" s="672"/>
      <c r="V1064" s="666"/>
      <c r="W1064" s="931"/>
    </row>
    <row r="1065" spans="1:23" ht="14.25" customHeight="1">
      <c r="A1065" s="802" t="s">
        <v>716</v>
      </c>
      <c r="B1065" s="695" t="s">
        <v>1272</v>
      </c>
      <c r="C1065" s="802" t="s">
        <v>2632</v>
      </c>
      <c r="D1065" s="669"/>
      <c r="E1065" s="666"/>
      <c r="F1065" s="666"/>
      <c r="G1065" s="666"/>
      <c r="H1065" s="666"/>
      <c r="I1065" s="666"/>
      <c r="J1065" s="666" t="s">
        <v>3028</v>
      </c>
      <c r="K1065" s="666" t="s">
        <v>2942</v>
      </c>
      <c r="L1065" s="666" t="s">
        <v>2942</v>
      </c>
      <c r="M1065" s="666" t="s">
        <v>46</v>
      </c>
      <c r="N1065" s="666"/>
      <c r="O1065" s="666"/>
      <c r="P1065" s="666" t="s">
        <v>2046</v>
      </c>
      <c r="Q1065" s="666"/>
      <c r="R1065" s="678"/>
      <c r="S1065" s="671"/>
      <c r="T1065" s="690"/>
      <c r="U1065" s="672"/>
      <c r="V1065" s="666"/>
      <c r="W1065" s="931"/>
    </row>
    <row r="1066" spans="1:23" ht="14.25" customHeight="1">
      <c r="A1066" s="802" t="s">
        <v>716</v>
      </c>
      <c r="B1066" s="695" t="s">
        <v>723</v>
      </c>
      <c r="C1066" s="802" t="s">
        <v>1098</v>
      </c>
      <c r="D1066" s="929" t="s">
        <v>1693</v>
      </c>
      <c r="E1066" s="666"/>
      <c r="F1066" s="666"/>
      <c r="G1066" s="666"/>
      <c r="H1066" s="666"/>
      <c r="I1066" s="666"/>
      <c r="J1066" s="666" t="s">
        <v>812</v>
      </c>
      <c r="K1066" s="666" t="s">
        <v>812</v>
      </c>
      <c r="L1066" s="666" t="s">
        <v>812</v>
      </c>
      <c r="M1066" s="666"/>
      <c r="N1066" s="666"/>
      <c r="O1066" s="666"/>
      <c r="P1066" s="666" t="s">
        <v>813</v>
      </c>
      <c r="Q1066" s="666"/>
      <c r="R1066" s="939"/>
      <c r="S1066" s="932"/>
      <c r="T1066" s="690"/>
      <c r="U1066" s="672"/>
      <c r="V1066" s="666" t="s">
        <v>1099</v>
      </c>
      <c r="W1066" s="931"/>
    </row>
    <row r="1067" spans="1:23" ht="14.25" customHeight="1">
      <c r="A1067" s="802" t="s">
        <v>716</v>
      </c>
      <c r="B1067" s="695" t="s">
        <v>723</v>
      </c>
      <c r="C1067" s="802" t="s">
        <v>761</v>
      </c>
      <c r="D1067" s="669" t="s">
        <v>2334</v>
      </c>
      <c r="E1067" s="666" t="s">
        <v>1353</v>
      </c>
      <c r="F1067" s="666">
        <v>0</v>
      </c>
      <c r="G1067" s="666">
        <v>0</v>
      </c>
      <c r="H1067" s="666"/>
      <c r="I1067" s="666" t="s">
        <v>2205</v>
      </c>
      <c r="J1067" s="666" t="s">
        <v>45</v>
      </c>
      <c r="K1067" s="666" t="s">
        <v>45</v>
      </c>
      <c r="L1067" s="666" t="s">
        <v>774</v>
      </c>
      <c r="M1067" s="666" t="s">
        <v>46</v>
      </c>
      <c r="N1067" s="666"/>
      <c r="O1067" s="666"/>
      <c r="P1067" s="666" t="s">
        <v>775</v>
      </c>
      <c r="Q1067" s="666" t="s">
        <v>776</v>
      </c>
      <c r="R1067" s="678"/>
      <c r="S1067" s="671"/>
      <c r="T1067" s="690"/>
      <c r="U1067" s="672" t="s">
        <v>3059</v>
      </c>
      <c r="V1067" s="666"/>
      <c r="W1067" s="660" t="s">
        <v>2335</v>
      </c>
    </row>
    <row r="1068" spans="1:23" ht="14.25" customHeight="1">
      <c r="A1068" s="802" t="s">
        <v>716</v>
      </c>
      <c r="B1068" s="695" t="s">
        <v>723</v>
      </c>
      <c r="C1068" s="802" t="s">
        <v>749</v>
      </c>
      <c r="D1068" s="760" t="s">
        <v>3047</v>
      </c>
      <c r="E1068" s="666" t="s">
        <v>1444</v>
      </c>
      <c r="F1068" s="666" t="s">
        <v>1723</v>
      </c>
      <c r="G1068" s="666" t="s">
        <v>1743</v>
      </c>
      <c r="H1068" s="666" t="s">
        <v>43</v>
      </c>
      <c r="I1068" s="666" t="s">
        <v>3050</v>
      </c>
      <c r="J1068" s="666" t="s">
        <v>45</v>
      </c>
      <c r="K1068" s="666" t="s">
        <v>45</v>
      </c>
      <c r="L1068" s="666" t="s">
        <v>45</v>
      </c>
      <c r="M1068" s="666" t="s">
        <v>46</v>
      </c>
      <c r="N1068" s="666">
        <v>23.250678000000001</v>
      </c>
      <c r="O1068" s="666">
        <v>97.124403000000001</v>
      </c>
      <c r="P1068" s="666" t="s">
        <v>775</v>
      </c>
      <c r="Q1068" s="666" t="s">
        <v>794</v>
      </c>
      <c r="R1068" s="931">
        <v>29</v>
      </c>
      <c r="S1068" s="931">
        <v>158</v>
      </c>
      <c r="T1068" s="690"/>
      <c r="U1068" s="672"/>
      <c r="V1068" s="666" t="s">
        <v>749</v>
      </c>
      <c r="W1068" s="660" t="s">
        <v>2275</v>
      </c>
    </row>
    <row r="1069" spans="1:23" ht="14.25" customHeight="1">
      <c r="A1069" s="802" t="s">
        <v>716</v>
      </c>
      <c r="B1069" s="695" t="s">
        <v>723</v>
      </c>
      <c r="C1069" s="802" t="s">
        <v>724</v>
      </c>
      <c r="D1069" s="760" t="s">
        <v>3047</v>
      </c>
      <c r="E1069" s="666" t="s">
        <v>1443</v>
      </c>
      <c r="F1069" s="666" t="s">
        <v>1723</v>
      </c>
      <c r="G1069" s="666" t="s">
        <v>1743</v>
      </c>
      <c r="H1069" s="666" t="s">
        <v>43</v>
      </c>
      <c r="I1069" s="666" t="s">
        <v>1352</v>
      </c>
      <c r="J1069" s="666" t="s">
        <v>45</v>
      </c>
      <c r="K1069" s="666" t="s">
        <v>45</v>
      </c>
      <c r="L1069" s="666" t="s">
        <v>45</v>
      </c>
      <c r="M1069" s="666" t="s">
        <v>46</v>
      </c>
      <c r="N1069" s="666">
        <v>23.24661</v>
      </c>
      <c r="O1069" s="666">
        <v>97.116680000000002</v>
      </c>
      <c r="P1069" s="666" t="s">
        <v>775</v>
      </c>
      <c r="Q1069" s="666" t="s">
        <v>794</v>
      </c>
      <c r="R1069" s="931">
        <v>30</v>
      </c>
      <c r="S1069" s="931">
        <v>155</v>
      </c>
      <c r="T1069" s="690"/>
      <c r="U1069" s="672"/>
      <c r="V1069" s="666" t="s">
        <v>724</v>
      </c>
      <c r="W1069" s="660" t="s">
        <v>2276</v>
      </c>
    </row>
    <row r="1070" spans="1:23" ht="14.25" customHeight="1">
      <c r="A1070" s="802" t="s">
        <v>716</v>
      </c>
      <c r="B1070" s="695" t="s">
        <v>726</v>
      </c>
      <c r="C1070" s="802" t="s">
        <v>773</v>
      </c>
      <c r="D1070" s="669" t="s">
        <v>1694</v>
      </c>
      <c r="E1070" s="666" t="s">
        <v>1338</v>
      </c>
      <c r="F1070" s="666" t="s">
        <v>1712</v>
      </c>
      <c r="G1070" s="666" t="s">
        <v>1713</v>
      </c>
      <c r="H1070" s="666"/>
      <c r="I1070" s="666">
        <v>0</v>
      </c>
      <c r="J1070" s="666" t="s">
        <v>45</v>
      </c>
      <c r="K1070" s="666" t="s">
        <v>45</v>
      </c>
      <c r="L1070" s="666" t="s">
        <v>774</v>
      </c>
      <c r="M1070" s="666" t="s">
        <v>46</v>
      </c>
      <c r="N1070" s="666"/>
      <c r="O1070" s="666"/>
      <c r="P1070" s="666" t="s">
        <v>775</v>
      </c>
      <c r="Q1070" s="666" t="s">
        <v>776</v>
      </c>
      <c r="R1070" s="678"/>
      <c r="S1070" s="671"/>
      <c r="T1070" s="690">
        <v>42832</v>
      </c>
      <c r="U1070" s="672"/>
      <c r="V1070" s="666"/>
      <c r="W1070" s="660" t="s">
        <v>2277</v>
      </c>
    </row>
    <row r="1071" spans="1:23" ht="14.25" customHeight="1">
      <c r="A1071" s="802" t="s">
        <v>716</v>
      </c>
      <c r="B1071" s="695" t="s">
        <v>726</v>
      </c>
      <c r="C1071" s="802" t="s">
        <v>777</v>
      </c>
      <c r="D1071" s="669" t="s">
        <v>1694</v>
      </c>
      <c r="E1071" s="666" t="s">
        <v>1339</v>
      </c>
      <c r="F1071" s="666" t="s">
        <v>1712</v>
      </c>
      <c r="G1071" s="666" t="s">
        <v>1714</v>
      </c>
      <c r="H1071" s="666"/>
      <c r="I1071" s="666">
        <v>0</v>
      </c>
      <c r="J1071" s="666" t="s">
        <v>45</v>
      </c>
      <c r="K1071" s="666" t="s">
        <v>45</v>
      </c>
      <c r="L1071" s="666" t="s">
        <v>774</v>
      </c>
      <c r="M1071" s="666" t="s">
        <v>46</v>
      </c>
      <c r="N1071" s="666"/>
      <c r="O1071" s="666"/>
      <c r="P1071" s="666" t="s">
        <v>775</v>
      </c>
      <c r="Q1071" s="666" t="s">
        <v>776</v>
      </c>
      <c r="R1071" s="678"/>
      <c r="S1071" s="671"/>
      <c r="T1071" s="690"/>
      <c r="U1071" s="672"/>
      <c r="V1071" s="666">
        <v>42920</v>
      </c>
      <c r="W1071" s="660" t="s">
        <v>2277</v>
      </c>
    </row>
    <row r="1072" spans="1:23" ht="14.25" customHeight="1">
      <c r="A1072" s="802" t="s">
        <v>716</v>
      </c>
      <c r="B1072" s="695" t="s">
        <v>726</v>
      </c>
      <c r="C1072" s="802" t="s">
        <v>778</v>
      </c>
      <c r="D1072" s="929" t="s">
        <v>1694</v>
      </c>
      <c r="E1072" s="666" t="s">
        <v>1340</v>
      </c>
      <c r="F1072" s="666" t="s">
        <v>1712</v>
      </c>
      <c r="G1072" s="666" t="s">
        <v>1714</v>
      </c>
      <c r="H1072" s="666"/>
      <c r="I1072" s="922">
        <v>0</v>
      </c>
      <c r="J1072" s="666" t="s">
        <v>45</v>
      </c>
      <c r="K1072" s="666" t="s">
        <v>45</v>
      </c>
      <c r="L1072" s="666" t="s">
        <v>774</v>
      </c>
      <c r="M1072" s="666" t="s">
        <v>46</v>
      </c>
      <c r="N1072" s="666"/>
      <c r="O1072" s="666"/>
      <c r="P1072" s="666" t="s">
        <v>775</v>
      </c>
      <c r="Q1072" s="666" t="s">
        <v>776</v>
      </c>
      <c r="R1072" s="939"/>
      <c r="S1072" s="932"/>
      <c r="T1072" s="690"/>
      <c r="U1072" s="672"/>
      <c r="V1072" s="666">
        <v>42920</v>
      </c>
      <c r="W1072" s="660" t="s">
        <v>2277</v>
      </c>
    </row>
    <row r="1073" spans="1:23" ht="14.25" customHeight="1">
      <c r="A1073" s="802" t="s">
        <v>716</v>
      </c>
      <c r="B1073" s="695" t="s">
        <v>726</v>
      </c>
      <c r="C1073" s="802" t="s">
        <v>999</v>
      </c>
      <c r="D1073" s="929" t="s">
        <v>1694</v>
      </c>
      <c r="E1073" s="666" t="s">
        <v>1477</v>
      </c>
      <c r="F1073" s="666" t="s">
        <v>1730</v>
      </c>
      <c r="G1073" s="666" t="s">
        <v>1731</v>
      </c>
      <c r="H1073" s="666"/>
      <c r="I1073" s="666">
        <v>0</v>
      </c>
      <c r="J1073" s="666" t="s">
        <v>45</v>
      </c>
      <c r="K1073" s="666" t="s">
        <v>45</v>
      </c>
      <c r="L1073" s="666" t="s">
        <v>774</v>
      </c>
      <c r="M1073" s="666" t="s">
        <v>46</v>
      </c>
      <c r="N1073" s="666">
        <v>23.917631</v>
      </c>
      <c r="O1073" s="666">
        <v>98.116817999999995</v>
      </c>
      <c r="P1073" s="666" t="s">
        <v>775</v>
      </c>
      <c r="Q1073" s="666" t="s">
        <v>776</v>
      </c>
      <c r="R1073" s="939"/>
      <c r="S1073" s="932"/>
      <c r="T1073" s="690">
        <v>42836</v>
      </c>
      <c r="U1073" s="672"/>
      <c r="V1073" s="666"/>
      <c r="W1073" s="660" t="s">
        <v>2278</v>
      </c>
    </row>
    <row r="1074" spans="1:23" ht="14.25" customHeight="1">
      <c r="A1074" s="802" t="s">
        <v>716</v>
      </c>
      <c r="B1074" s="695" t="s">
        <v>726</v>
      </c>
      <c r="C1074" s="802" t="s">
        <v>756</v>
      </c>
      <c r="D1074" s="760" t="s">
        <v>3047</v>
      </c>
      <c r="E1074" s="666" t="s">
        <v>1641</v>
      </c>
      <c r="F1074" s="666" t="s">
        <v>1885</v>
      </c>
      <c r="G1074" s="666" t="s">
        <v>756</v>
      </c>
      <c r="H1074" s="666" t="s">
        <v>43</v>
      </c>
      <c r="I1074" s="666" t="s">
        <v>3050</v>
      </c>
      <c r="J1074" s="666" t="s">
        <v>45</v>
      </c>
      <c r="K1074" s="666" t="s">
        <v>45</v>
      </c>
      <c r="L1074" s="666" t="s">
        <v>45</v>
      </c>
      <c r="M1074" s="666" t="s">
        <v>46</v>
      </c>
      <c r="N1074" s="666">
        <v>24.08738</v>
      </c>
      <c r="O1074" s="666">
        <v>98.115809999999996</v>
      </c>
      <c r="P1074" s="666" t="s">
        <v>775</v>
      </c>
      <c r="Q1074" s="666" t="s">
        <v>816</v>
      </c>
      <c r="R1074" s="931">
        <v>152</v>
      </c>
      <c r="S1074" s="931">
        <v>788</v>
      </c>
      <c r="T1074" s="690" t="s">
        <v>1097</v>
      </c>
      <c r="U1074" s="672"/>
      <c r="V1074" s="666"/>
      <c r="W1074" s="660" t="s">
        <v>2262</v>
      </c>
    </row>
    <row r="1075" spans="1:23" ht="14.25" customHeight="1">
      <c r="A1075" s="802" t="s">
        <v>716</v>
      </c>
      <c r="B1075" s="695" t="s">
        <v>726</v>
      </c>
      <c r="C1075" s="802" t="s">
        <v>760</v>
      </c>
      <c r="D1075" s="669" t="s">
        <v>1771</v>
      </c>
      <c r="E1075" s="666" t="s">
        <v>1488</v>
      </c>
      <c r="F1075" s="666" t="s">
        <v>756</v>
      </c>
      <c r="G1075" s="666" t="s">
        <v>756</v>
      </c>
      <c r="H1075" s="666"/>
      <c r="I1075" s="666">
        <v>0</v>
      </c>
      <c r="J1075" s="666" t="s">
        <v>45</v>
      </c>
      <c r="K1075" s="666" t="s">
        <v>45</v>
      </c>
      <c r="L1075" s="666" t="s">
        <v>774</v>
      </c>
      <c r="M1075" s="666" t="s">
        <v>46</v>
      </c>
      <c r="N1075" s="666">
        <v>24.08738</v>
      </c>
      <c r="O1075" s="666">
        <v>98.115809999999996</v>
      </c>
      <c r="P1075" s="666" t="s">
        <v>775</v>
      </c>
      <c r="Q1075" s="666" t="s">
        <v>794</v>
      </c>
      <c r="R1075" s="678"/>
      <c r="S1075" s="671"/>
      <c r="T1075" s="690">
        <v>43276</v>
      </c>
      <c r="U1075" s="672" t="s">
        <v>2037</v>
      </c>
      <c r="V1075" s="666" t="s">
        <v>760</v>
      </c>
      <c r="W1075" s="660" t="s">
        <v>2037</v>
      </c>
    </row>
    <row r="1076" spans="1:23" ht="14.25" customHeight="1">
      <c r="A1076" s="802" t="s">
        <v>716</v>
      </c>
      <c r="B1076" s="695" t="s">
        <v>726</v>
      </c>
      <c r="C1076" s="802" t="s">
        <v>767</v>
      </c>
      <c r="D1076" s="669" t="s">
        <v>1694</v>
      </c>
      <c r="E1076" s="666" t="s">
        <v>1347</v>
      </c>
      <c r="F1076" s="666">
        <v>0</v>
      </c>
      <c r="G1076" s="666">
        <v>0</v>
      </c>
      <c r="H1076" s="666"/>
      <c r="I1076" s="666">
        <v>0</v>
      </c>
      <c r="J1076" s="666" t="s">
        <v>45</v>
      </c>
      <c r="K1076" s="666" t="s">
        <v>45</v>
      </c>
      <c r="L1076" s="666" t="s">
        <v>774</v>
      </c>
      <c r="M1076" s="666" t="s">
        <v>46</v>
      </c>
      <c r="N1076" s="666"/>
      <c r="O1076" s="666"/>
      <c r="P1076" s="666" t="s">
        <v>775</v>
      </c>
      <c r="Q1076" s="666" t="s">
        <v>776</v>
      </c>
      <c r="R1076" s="678"/>
      <c r="S1076" s="671"/>
      <c r="T1076" s="690"/>
      <c r="U1076" s="672"/>
      <c r="V1076" s="666">
        <v>42920</v>
      </c>
      <c r="W1076" s="660" t="s">
        <v>2277</v>
      </c>
    </row>
    <row r="1077" spans="1:23" ht="14.25" customHeight="1">
      <c r="A1077" s="802" t="s">
        <v>716</v>
      </c>
      <c r="B1077" s="695" t="s">
        <v>726</v>
      </c>
      <c r="C1077" s="802" t="s">
        <v>784</v>
      </c>
      <c r="D1077" s="669" t="s">
        <v>1694</v>
      </c>
      <c r="E1077" s="666" t="s">
        <v>1348</v>
      </c>
      <c r="F1077" s="666" t="s">
        <v>1712</v>
      </c>
      <c r="G1077" s="666" t="s">
        <v>1714</v>
      </c>
      <c r="H1077" s="666"/>
      <c r="I1077" s="666">
        <v>0</v>
      </c>
      <c r="J1077" s="666" t="s">
        <v>45</v>
      </c>
      <c r="K1077" s="666" t="s">
        <v>45</v>
      </c>
      <c r="L1077" s="666" t="s">
        <v>774</v>
      </c>
      <c r="M1077" s="666" t="s">
        <v>46</v>
      </c>
      <c r="N1077" s="666"/>
      <c r="O1077" s="666"/>
      <c r="P1077" s="666" t="s">
        <v>775</v>
      </c>
      <c r="Q1077" s="666" t="s">
        <v>776</v>
      </c>
      <c r="R1077" s="678"/>
      <c r="S1077" s="671"/>
      <c r="T1077" s="690"/>
      <c r="U1077" s="672"/>
      <c r="V1077" s="666">
        <v>42920</v>
      </c>
      <c r="W1077" s="660" t="s">
        <v>2277</v>
      </c>
    </row>
    <row r="1078" spans="1:23" ht="14.25" customHeight="1">
      <c r="A1078" s="802" t="s">
        <v>716</v>
      </c>
      <c r="B1078" s="695" t="s">
        <v>726</v>
      </c>
      <c r="C1078" s="802" t="s">
        <v>1007</v>
      </c>
      <c r="D1078" s="669" t="s">
        <v>1693</v>
      </c>
      <c r="E1078" s="666" t="s">
        <v>1489</v>
      </c>
      <c r="F1078" s="666"/>
      <c r="G1078" s="666"/>
      <c r="H1078" s="666" t="s">
        <v>43</v>
      </c>
      <c r="I1078" s="666" t="s">
        <v>149</v>
      </c>
      <c r="J1078" s="666" t="s">
        <v>45</v>
      </c>
      <c r="K1078" s="666" t="s">
        <v>45</v>
      </c>
      <c r="L1078" s="666" t="s">
        <v>774</v>
      </c>
      <c r="M1078" s="666" t="s">
        <v>792</v>
      </c>
      <c r="N1078" s="666">
        <v>24.101320999999999</v>
      </c>
      <c r="O1078" s="666">
        <v>98.320651999999995</v>
      </c>
      <c r="P1078" s="666" t="s">
        <v>775</v>
      </c>
      <c r="Q1078" s="666"/>
      <c r="R1078" s="678"/>
      <c r="S1078" s="671"/>
      <c r="T1078" s="690"/>
      <c r="U1078" s="672"/>
      <c r="V1078" s="666" t="s">
        <v>1008</v>
      </c>
      <c r="W1078" s="660" t="s">
        <v>2279</v>
      </c>
    </row>
    <row r="1079" spans="1:23" ht="14.25" customHeight="1">
      <c r="A1079" s="802" t="s">
        <v>716</v>
      </c>
      <c r="B1079" s="695" t="s">
        <v>726</v>
      </c>
      <c r="C1079" s="802" t="s">
        <v>1006</v>
      </c>
      <c r="D1079" s="929" t="s">
        <v>1694</v>
      </c>
      <c r="E1079" s="666" t="s">
        <v>1486</v>
      </c>
      <c r="F1079" s="666" t="s">
        <v>1006</v>
      </c>
      <c r="G1079" s="666" t="s">
        <v>1006</v>
      </c>
      <c r="H1079" s="666"/>
      <c r="I1079" s="922">
        <v>0</v>
      </c>
      <c r="J1079" s="666" t="s">
        <v>45</v>
      </c>
      <c r="K1079" s="666" t="s">
        <v>45</v>
      </c>
      <c r="L1079" s="666" t="s">
        <v>774</v>
      </c>
      <c r="M1079" s="666" t="s">
        <v>792</v>
      </c>
      <c r="N1079" s="666">
        <v>24.008452999999999</v>
      </c>
      <c r="O1079" s="666">
        <v>98.054946000000001</v>
      </c>
      <c r="P1079" s="666" t="s">
        <v>775</v>
      </c>
      <c r="Q1079" s="666" t="s">
        <v>794</v>
      </c>
      <c r="R1079" s="939"/>
      <c r="S1079" s="932"/>
      <c r="T1079" s="690"/>
      <c r="U1079" s="672"/>
      <c r="V1079" s="666" t="s">
        <v>1006</v>
      </c>
      <c r="W1079" s="660" t="s">
        <v>2280</v>
      </c>
    </row>
    <row r="1080" spans="1:23" ht="14.25" customHeight="1">
      <c r="A1080" s="802" t="s">
        <v>716</v>
      </c>
      <c r="B1080" s="695" t="s">
        <v>726</v>
      </c>
      <c r="C1080" s="802" t="s">
        <v>751</v>
      </c>
      <c r="D1080" s="760" t="s">
        <v>3047</v>
      </c>
      <c r="E1080" s="666" t="s">
        <v>1484</v>
      </c>
      <c r="F1080" s="666" t="s">
        <v>1712</v>
      </c>
      <c r="G1080" s="666" t="s">
        <v>1714</v>
      </c>
      <c r="H1080" s="666"/>
      <c r="I1080" s="928" t="s">
        <v>2205</v>
      </c>
      <c r="J1080" s="666" t="s">
        <v>45</v>
      </c>
      <c r="K1080" s="666" t="s">
        <v>45</v>
      </c>
      <c r="L1080" s="666" t="s">
        <v>45</v>
      </c>
      <c r="M1080" s="666" t="s">
        <v>46</v>
      </c>
      <c r="N1080" s="666">
        <v>24.006319999999999</v>
      </c>
      <c r="O1080" s="666">
        <v>97.909400000000005</v>
      </c>
      <c r="P1080" s="666" t="s">
        <v>775</v>
      </c>
      <c r="Q1080" s="666" t="s">
        <v>794</v>
      </c>
      <c r="R1080" s="931">
        <v>40</v>
      </c>
      <c r="S1080" s="931">
        <v>180</v>
      </c>
      <c r="T1080" s="690"/>
      <c r="U1080" s="672"/>
      <c r="V1080" s="666" t="s">
        <v>1004</v>
      </c>
      <c r="W1080" s="660" t="s">
        <v>2281</v>
      </c>
    </row>
    <row r="1081" spans="1:23" ht="14.25" customHeight="1">
      <c r="A1081" s="802" t="s">
        <v>716</v>
      </c>
      <c r="B1081" s="695" t="s">
        <v>726</v>
      </c>
      <c r="C1081" s="802" t="s">
        <v>727</v>
      </c>
      <c r="D1081" s="760" t="s">
        <v>3047</v>
      </c>
      <c r="E1081" s="666" t="s">
        <v>1485</v>
      </c>
      <c r="F1081" s="666" t="s">
        <v>1712</v>
      </c>
      <c r="G1081" s="666" t="s">
        <v>1714</v>
      </c>
      <c r="H1081" s="666" t="s">
        <v>43</v>
      </c>
      <c r="I1081" s="666" t="s">
        <v>1352</v>
      </c>
      <c r="J1081" s="666" t="s">
        <v>45</v>
      </c>
      <c r="K1081" s="666" t="s">
        <v>45</v>
      </c>
      <c r="L1081" s="666" t="s">
        <v>45</v>
      </c>
      <c r="M1081" s="666" t="s">
        <v>46</v>
      </c>
      <c r="N1081" s="666">
        <v>24.006789000000001</v>
      </c>
      <c r="O1081" s="666">
        <v>97.911647000000002</v>
      </c>
      <c r="P1081" s="666" t="s">
        <v>775</v>
      </c>
      <c r="Q1081" s="666" t="s">
        <v>794</v>
      </c>
      <c r="R1081" s="670">
        <v>17</v>
      </c>
      <c r="S1081" s="670">
        <v>80</v>
      </c>
      <c r="T1081" s="690"/>
      <c r="U1081" s="672"/>
      <c r="V1081" s="666" t="s">
        <v>1005</v>
      </c>
      <c r="W1081" s="660" t="s">
        <v>2282</v>
      </c>
    </row>
    <row r="1082" spans="1:23" ht="14.25" customHeight="1">
      <c r="A1082" s="802" t="s">
        <v>716</v>
      </c>
      <c r="B1082" s="695" t="s">
        <v>726</v>
      </c>
      <c r="C1082" s="802" t="s">
        <v>731</v>
      </c>
      <c r="D1082" s="929" t="s">
        <v>1694</v>
      </c>
      <c r="E1082" s="666" t="s">
        <v>1356</v>
      </c>
      <c r="F1082" s="666" t="s">
        <v>1695</v>
      </c>
      <c r="G1082" s="666" t="s">
        <v>1696</v>
      </c>
      <c r="H1082" s="666"/>
      <c r="I1082" s="666">
        <v>0</v>
      </c>
      <c r="J1082" s="666" t="s">
        <v>45</v>
      </c>
      <c r="K1082" s="666" t="s">
        <v>45</v>
      </c>
      <c r="L1082" s="666" t="s">
        <v>774</v>
      </c>
      <c r="M1082" s="666" t="s">
        <v>792</v>
      </c>
      <c r="N1082" s="666">
        <v>23.933098999999999</v>
      </c>
      <c r="O1082" s="666">
        <v>98.139397000000002</v>
      </c>
      <c r="P1082" s="666" t="s">
        <v>775</v>
      </c>
      <c r="Q1082" s="666" t="s">
        <v>794</v>
      </c>
      <c r="R1082" s="939"/>
      <c r="S1082" s="932"/>
      <c r="T1082" s="690"/>
      <c r="U1082" s="672"/>
      <c r="V1082" s="666" t="s">
        <v>731</v>
      </c>
      <c r="W1082" s="931" t="s">
        <v>2283</v>
      </c>
    </row>
    <row r="1083" spans="1:23" ht="14.25" customHeight="1">
      <c r="A1083" s="802" t="s">
        <v>716</v>
      </c>
      <c r="B1083" s="695" t="s">
        <v>726</v>
      </c>
      <c r="C1083" s="802" t="s">
        <v>1000</v>
      </c>
      <c r="D1083" s="929" t="s">
        <v>1694</v>
      </c>
      <c r="E1083" s="666" t="s">
        <v>1480</v>
      </c>
      <c r="F1083" s="666" t="s">
        <v>1732</v>
      </c>
      <c r="G1083" s="666" t="s">
        <v>1733</v>
      </c>
      <c r="H1083" s="666"/>
      <c r="I1083" s="666">
        <v>0</v>
      </c>
      <c r="J1083" s="666" t="s">
        <v>45</v>
      </c>
      <c r="K1083" s="666" t="s">
        <v>45</v>
      </c>
      <c r="L1083" s="666" t="s">
        <v>774</v>
      </c>
      <c r="M1083" s="666" t="s">
        <v>46</v>
      </c>
      <c r="N1083" s="666">
        <v>23.978088</v>
      </c>
      <c r="O1083" s="666">
        <v>98.129380999999995</v>
      </c>
      <c r="P1083" s="666" t="s">
        <v>775</v>
      </c>
      <c r="Q1083" s="666" t="s">
        <v>776</v>
      </c>
      <c r="R1083" s="939"/>
      <c r="S1083" s="932"/>
      <c r="T1083" s="690">
        <v>42836</v>
      </c>
      <c r="U1083" s="672"/>
      <c r="V1083" s="666"/>
      <c r="W1083" s="660" t="s">
        <v>2278</v>
      </c>
    </row>
    <row r="1084" spans="1:23" ht="14.25" customHeight="1">
      <c r="A1084" s="802" t="s">
        <v>716</v>
      </c>
      <c r="B1084" s="695" t="s">
        <v>726</v>
      </c>
      <c r="C1084" s="802" t="s">
        <v>796</v>
      </c>
      <c r="D1084" s="929" t="s">
        <v>1694</v>
      </c>
      <c r="E1084" s="666" t="s">
        <v>1358</v>
      </c>
      <c r="F1084" s="666" t="s">
        <v>1718</v>
      </c>
      <c r="G1084" s="666" t="s">
        <v>1719</v>
      </c>
      <c r="H1084" s="666"/>
      <c r="I1084" s="666">
        <v>0</v>
      </c>
      <c r="J1084" s="666" t="s">
        <v>45</v>
      </c>
      <c r="K1084" s="666" t="s">
        <v>45</v>
      </c>
      <c r="L1084" s="666" t="s">
        <v>774</v>
      </c>
      <c r="M1084" s="666" t="s">
        <v>46</v>
      </c>
      <c r="N1084" s="666"/>
      <c r="O1084" s="666"/>
      <c r="P1084" s="666" t="s">
        <v>775</v>
      </c>
      <c r="Q1084" s="666" t="s">
        <v>776</v>
      </c>
      <c r="R1084" s="939"/>
      <c r="S1084" s="932"/>
      <c r="T1084" s="690">
        <v>42832</v>
      </c>
      <c r="U1084" s="672"/>
      <c r="V1084" s="666"/>
      <c r="W1084" s="660" t="s">
        <v>2277</v>
      </c>
    </row>
    <row r="1085" spans="1:23" ht="14.25" customHeight="1">
      <c r="A1085" s="802" t="s">
        <v>716</v>
      </c>
      <c r="B1085" s="695" t="s">
        <v>726</v>
      </c>
      <c r="C1085" s="802" t="s">
        <v>804</v>
      </c>
      <c r="D1085" s="669" t="s">
        <v>1694</v>
      </c>
      <c r="E1085" s="666" t="s">
        <v>1363</v>
      </c>
      <c r="F1085" s="666" t="s">
        <v>1712</v>
      </c>
      <c r="G1085" s="666" t="s">
        <v>1714</v>
      </c>
      <c r="H1085" s="666"/>
      <c r="I1085" s="666">
        <v>0</v>
      </c>
      <c r="J1085" s="666" t="s">
        <v>45</v>
      </c>
      <c r="K1085" s="666" t="s">
        <v>45</v>
      </c>
      <c r="L1085" s="666" t="s">
        <v>774</v>
      </c>
      <c r="M1085" s="666" t="s">
        <v>46</v>
      </c>
      <c r="N1085" s="666"/>
      <c r="O1085" s="666"/>
      <c r="P1085" s="666" t="s">
        <v>775</v>
      </c>
      <c r="Q1085" s="666" t="s">
        <v>776</v>
      </c>
      <c r="R1085" s="678"/>
      <c r="S1085" s="671"/>
      <c r="T1085" s="690">
        <v>42832</v>
      </c>
      <c r="U1085" s="672"/>
      <c r="V1085" s="666"/>
      <c r="W1085" s="660" t="s">
        <v>2277</v>
      </c>
    </row>
    <row r="1086" spans="1:23" ht="14.25" customHeight="1">
      <c r="A1086" s="802" t="s">
        <v>716</v>
      </c>
      <c r="B1086" s="695" t="s">
        <v>726</v>
      </c>
      <c r="C1086" s="802" t="s">
        <v>806</v>
      </c>
      <c r="D1086" s="929" t="s">
        <v>1694</v>
      </c>
      <c r="E1086" s="666" t="s">
        <v>1365</v>
      </c>
      <c r="F1086" s="666">
        <v>0</v>
      </c>
      <c r="G1086" s="666">
        <v>0</v>
      </c>
      <c r="H1086" s="666"/>
      <c r="I1086" s="666">
        <v>0</v>
      </c>
      <c r="J1086" s="666" t="s">
        <v>45</v>
      </c>
      <c r="K1086" s="666" t="s">
        <v>45</v>
      </c>
      <c r="L1086" s="666" t="s">
        <v>774</v>
      </c>
      <c r="M1086" s="666" t="s">
        <v>46</v>
      </c>
      <c r="N1086" s="666"/>
      <c r="O1086" s="666"/>
      <c r="P1086" s="666" t="s">
        <v>775</v>
      </c>
      <c r="Q1086" s="666" t="s">
        <v>776</v>
      </c>
      <c r="R1086" s="939"/>
      <c r="S1086" s="932"/>
      <c r="T1086" s="690">
        <v>42832</v>
      </c>
      <c r="U1086" s="672"/>
      <c r="V1086" s="666"/>
      <c r="W1086" s="660" t="s">
        <v>2277</v>
      </c>
    </row>
    <row r="1087" spans="1:23" ht="14.25" customHeight="1">
      <c r="A1087" s="802" t="s">
        <v>716</v>
      </c>
      <c r="B1087" s="695" t="s">
        <v>717</v>
      </c>
      <c r="C1087" s="802" t="s">
        <v>762</v>
      </c>
      <c r="D1087" s="760" t="s">
        <v>3047</v>
      </c>
      <c r="E1087" s="666" t="s">
        <v>1458</v>
      </c>
      <c r="F1087" s="666" t="s">
        <v>1727</v>
      </c>
      <c r="G1087" s="666" t="s">
        <v>1727</v>
      </c>
      <c r="H1087" s="666"/>
      <c r="I1087" s="928" t="s">
        <v>2205</v>
      </c>
      <c r="J1087" s="666" t="s">
        <v>45</v>
      </c>
      <c r="K1087" s="666" t="s">
        <v>45</v>
      </c>
      <c r="L1087" s="666" t="s">
        <v>790</v>
      </c>
      <c r="M1087" s="666" t="s">
        <v>46</v>
      </c>
      <c r="N1087" s="666">
        <v>23.611999999999998</v>
      </c>
      <c r="O1087" s="666">
        <v>97.506</v>
      </c>
      <c r="P1087" s="666" t="s">
        <v>775</v>
      </c>
      <c r="Q1087" s="666" t="s">
        <v>776</v>
      </c>
      <c r="R1087" s="670">
        <v>62</v>
      </c>
      <c r="S1087" s="670">
        <v>328</v>
      </c>
      <c r="T1087" s="690"/>
      <c r="U1087" s="672" t="s">
        <v>987</v>
      </c>
      <c r="V1087" s="666"/>
      <c r="W1087" s="660" t="s">
        <v>2284</v>
      </c>
    </row>
    <row r="1088" spans="1:23" ht="14.25" customHeight="1">
      <c r="A1088" s="802" t="s">
        <v>716</v>
      </c>
      <c r="B1088" s="695" t="s">
        <v>717</v>
      </c>
      <c r="C1088" s="802" t="s">
        <v>988</v>
      </c>
      <c r="D1088" s="669" t="s">
        <v>1694</v>
      </c>
      <c r="E1088" s="666" t="s">
        <v>1459</v>
      </c>
      <c r="F1088" s="666" t="s">
        <v>1727</v>
      </c>
      <c r="G1088" s="666" t="s">
        <v>1727</v>
      </c>
      <c r="H1088" s="666"/>
      <c r="I1088" s="666">
        <v>0</v>
      </c>
      <c r="J1088" s="666" t="s">
        <v>45</v>
      </c>
      <c r="K1088" s="666" t="s">
        <v>45</v>
      </c>
      <c r="L1088" s="666" t="s">
        <v>774</v>
      </c>
      <c r="M1088" s="666" t="s">
        <v>46</v>
      </c>
      <c r="N1088" s="666">
        <v>23.611999999999998</v>
      </c>
      <c r="O1088" s="666">
        <v>97.504999999999995</v>
      </c>
      <c r="P1088" s="666" t="s">
        <v>775</v>
      </c>
      <c r="Q1088" s="666" t="s">
        <v>776</v>
      </c>
      <c r="R1088" s="678"/>
      <c r="S1088" s="671"/>
      <c r="T1088" s="690"/>
      <c r="U1088" s="672"/>
      <c r="V1088" s="666"/>
      <c r="W1088" s="660" t="s">
        <v>2285</v>
      </c>
    </row>
    <row r="1089" spans="1:23" ht="14.25" customHeight="1">
      <c r="A1089" s="802" t="s">
        <v>716</v>
      </c>
      <c r="B1089" s="695" t="s">
        <v>717</v>
      </c>
      <c r="C1089" s="802" t="s">
        <v>728</v>
      </c>
      <c r="D1089" s="760" t="s">
        <v>3047</v>
      </c>
      <c r="E1089" s="666" t="s">
        <v>1464</v>
      </c>
      <c r="F1089" s="666" t="s">
        <v>1716</v>
      </c>
      <c r="G1089" s="666" t="s">
        <v>1716</v>
      </c>
      <c r="H1089" s="666" t="s">
        <v>43</v>
      </c>
      <c r="I1089" s="666" t="s">
        <v>3050</v>
      </c>
      <c r="J1089" s="666" t="s">
        <v>45</v>
      </c>
      <c r="K1089" s="666" t="s">
        <v>45</v>
      </c>
      <c r="L1089" s="666" t="s">
        <v>45</v>
      </c>
      <c r="M1089" s="666" t="s">
        <v>46</v>
      </c>
      <c r="N1089" s="666">
        <v>23.821380000000001</v>
      </c>
      <c r="O1089" s="666">
        <v>97.681970000000007</v>
      </c>
      <c r="P1089" s="666" t="s">
        <v>775</v>
      </c>
      <c r="Q1089" s="666" t="s">
        <v>794</v>
      </c>
      <c r="R1089" s="670">
        <v>76</v>
      </c>
      <c r="S1089" s="670">
        <v>385</v>
      </c>
      <c r="T1089" s="690"/>
      <c r="U1089" s="672"/>
      <c r="V1089" s="666" t="s">
        <v>728</v>
      </c>
      <c r="W1089" s="660" t="s">
        <v>2286</v>
      </c>
    </row>
    <row r="1090" spans="1:23" ht="14.25" customHeight="1">
      <c r="A1090" s="802" t="s">
        <v>716</v>
      </c>
      <c r="B1090" s="695" t="s">
        <v>717</v>
      </c>
      <c r="C1090" s="802" t="s">
        <v>764</v>
      </c>
      <c r="D1090" s="760" t="s">
        <v>3047</v>
      </c>
      <c r="E1090" s="666" t="s">
        <v>1467</v>
      </c>
      <c r="F1090" s="666" t="s">
        <v>1716</v>
      </c>
      <c r="G1090" s="666" t="s">
        <v>1716</v>
      </c>
      <c r="H1090" s="666" t="s">
        <v>43</v>
      </c>
      <c r="I1090" s="666" t="s">
        <v>3050</v>
      </c>
      <c r="J1090" s="666" t="s">
        <v>45</v>
      </c>
      <c r="K1090" s="666" t="s">
        <v>45</v>
      </c>
      <c r="L1090" s="666" t="s">
        <v>45</v>
      </c>
      <c r="M1090" s="666" t="s">
        <v>46</v>
      </c>
      <c r="N1090" s="666">
        <v>23.828520000000001</v>
      </c>
      <c r="O1090" s="666">
        <v>97.669557999999995</v>
      </c>
      <c r="P1090" s="666" t="s">
        <v>775</v>
      </c>
      <c r="Q1090" s="666" t="s">
        <v>794</v>
      </c>
      <c r="R1090" s="931">
        <v>64</v>
      </c>
      <c r="S1090" s="931">
        <v>349</v>
      </c>
      <c r="T1090" s="690"/>
      <c r="U1090" s="672"/>
      <c r="V1090" s="666" t="s">
        <v>764</v>
      </c>
      <c r="W1090" s="660" t="s">
        <v>2287</v>
      </c>
    </row>
    <row r="1091" spans="1:23" ht="14.25" customHeight="1">
      <c r="A1091" s="802" t="s">
        <v>716</v>
      </c>
      <c r="B1091" s="695" t="s">
        <v>717</v>
      </c>
      <c r="C1091" s="802" t="s">
        <v>752</v>
      </c>
      <c r="D1091" s="760" t="s">
        <v>3047</v>
      </c>
      <c r="E1091" s="666" t="s">
        <v>1473</v>
      </c>
      <c r="F1091" s="922" t="s">
        <v>1716</v>
      </c>
      <c r="G1091" s="666" t="s">
        <v>1716</v>
      </c>
      <c r="H1091" s="666" t="s">
        <v>43</v>
      </c>
      <c r="I1091" s="666" t="s">
        <v>3050</v>
      </c>
      <c r="J1091" s="666" t="s">
        <v>45</v>
      </c>
      <c r="K1091" s="666" t="s">
        <v>45</v>
      </c>
      <c r="L1091" s="666" t="s">
        <v>45</v>
      </c>
      <c r="M1091" s="666" t="s">
        <v>46</v>
      </c>
      <c r="N1091" s="666">
        <v>23.841646999999998</v>
      </c>
      <c r="O1091" s="666">
        <v>97.700940000000003</v>
      </c>
      <c r="P1091" s="666" t="s">
        <v>775</v>
      </c>
      <c r="Q1091" s="666" t="s">
        <v>794</v>
      </c>
      <c r="R1091" s="670">
        <v>36</v>
      </c>
      <c r="S1091" s="670">
        <v>193</v>
      </c>
      <c r="T1091" s="690"/>
      <c r="U1091" s="672"/>
      <c r="V1091" s="666" t="s">
        <v>995</v>
      </c>
      <c r="W1091" s="660" t="s">
        <v>2288</v>
      </c>
    </row>
    <row r="1092" spans="1:23" ht="14.25" customHeight="1">
      <c r="A1092" s="802" t="s">
        <v>716</v>
      </c>
      <c r="B1092" s="695" t="s">
        <v>717</v>
      </c>
      <c r="C1092" s="802" t="s">
        <v>718</v>
      </c>
      <c r="D1092" s="760" t="s">
        <v>3047</v>
      </c>
      <c r="E1092" s="666" t="s">
        <v>1466</v>
      </c>
      <c r="F1092" s="666" t="s">
        <v>1716</v>
      </c>
      <c r="G1092" s="666" t="s">
        <v>1716</v>
      </c>
      <c r="H1092" s="666" t="s">
        <v>43</v>
      </c>
      <c r="I1092" s="666" t="s">
        <v>1352</v>
      </c>
      <c r="J1092" s="666" t="s">
        <v>45</v>
      </c>
      <c r="K1092" s="666" t="s">
        <v>45</v>
      </c>
      <c r="L1092" s="666" t="s">
        <v>45</v>
      </c>
      <c r="M1092" s="666" t="s">
        <v>46</v>
      </c>
      <c r="N1092" s="666">
        <v>23.828150000000001</v>
      </c>
      <c r="O1092" s="666">
        <v>97.670360000000002</v>
      </c>
      <c r="P1092" s="666" t="s">
        <v>775</v>
      </c>
      <c r="Q1092" s="666" t="s">
        <v>794</v>
      </c>
      <c r="R1092" s="931">
        <v>43</v>
      </c>
      <c r="S1092" s="931">
        <v>218</v>
      </c>
      <c r="T1092" s="690"/>
      <c r="U1092" s="672"/>
      <c r="V1092" s="666" t="s">
        <v>718</v>
      </c>
      <c r="W1092" s="660" t="s">
        <v>2289</v>
      </c>
    </row>
    <row r="1093" spans="1:23" ht="14.25" customHeight="1">
      <c r="A1093" s="802" t="s">
        <v>716</v>
      </c>
      <c r="B1093" s="695" t="s">
        <v>717</v>
      </c>
      <c r="C1093" s="802" t="s">
        <v>793</v>
      </c>
      <c r="D1093" s="669" t="s">
        <v>1694</v>
      </c>
      <c r="E1093" s="666" t="s">
        <v>1355</v>
      </c>
      <c r="F1093" s="666" t="s">
        <v>1716</v>
      </c>
      <c r="G1093" s="666" t="s">
        <v>1716</v>
      </c>
      <c r="H1093" s="666"/>
      <c r="I1093" s="666">
        <v>0</v>
      </c>
      <c r="J1093" s="666" t="s">
        <v>45</v>
      </c>
      <c r="K1093" s="666" t="s">
        <v>45</v>
      </c>
      <c r="L1093" s="666" t="s">
        <v>774</v>
      </c>
      <c r="M1093" s="666" t="s">
        <v>792</v>
      </c>
      <c r="N1093" s="666"/>
      <c r="O1093" s="666"/>
      <c r="P1093" s="666" t="s">
        <v>775</v>
      </c>
      <c r="Q1093" s="666"/>
      <c r="R1093" s="678"/>
      <c r="S1093" s="671"/>
      <c r="T1093" s="690"/>
      <c r="U1093" s="672"/>
      <c r="V1093" s="666" t="s">
        <v>793</v>
      </c>
      <c r="W1093" s="931" t="s">
        <v>2290</v>
      </c>
    </row>
    <row r="1094" spans="1:23" ht="14.25" customHeight="1">
      <c r="A1094" s="802" t="s">
        <v>716</v>
      </c>
      <c r="B1094" s="695" t="s">
        <v>717</v>
      </c>
      <c r="C1094" s="802" t="s">
        <v>754</v>
      </c>
      <c r="D1094" s="760" t="s">
        <v>3047</v>
      </c>
      <c r="E1094" s="666" t="s">
        <v>1472</v>
      </c>
      <c r="F1094" s="666" t="s">
        <v>1807</v>
      </c>
      <c r="G1094" s="666" t="s">
        <v>1796</v>
      </c>
      <c r="H1094" s="666" t="s">
        <v>43</v>
      </c>
      <c r="I1094" s="666" t="s">
        <v>3050</v>
      </c>
      <c r="J1094" s="666" t="s">
        <v>45</v>
      </c>
      <c r="K1094" s="666" t="s">
        <v>45</v>
      </c>
      <c r="L1094" s="666" t="s">
        <v>45</v>
      </c>
      <c r="M1094" s="666" t="s">
        <v>46</v>
      </c>
      <c r="N1094" s="666">
        <v>23.838190000000001</v>
      </c>
      <c r="O1094" s="666">
        <v>97.709879999999998</v>
      </c>
      <c r="P1094" s="666" t="s">
        <v>775</v>
      </c>
      <c r="Q1094" s="666" t="s">
        <v>794</v>
      </c>
      <c r="R1094" s="931">
        <v>114</v>
      </c>
      <c r="S1094" s="931">
        <v>545</v>
      </c>
      <c r="T1094" s="690"/>
      <c r="U1094" s="672"/>
      <c r="V1094" s="666" t="s">
        <v>994</v>
      </c>
      <c r="W1094" s="660" t="s">
        <v>2291</v>
      </c>
    </row>
    <row r="1095" spans="1:23" ht="14.25" customHeight="1">
      <c r="A1095" s="802" t="s">
        <v>716</v>
      </c>
      <c r="B1095" s="695" t="s">
        <v>737</v>
      </c>
      <c r="C1095" s="802" t="s">
        <v>744</v>
      </c>
      <c r="D1095" s="760" t="s">
        <v>3047</v>
      </c>
      <c r="E1095" s="666" t="s">
        <v>1441</v>
      </c>
      <c r="F1095" s="666" t="s">
        <v>1720</v>
      </c>
      <c r="G1095" s="666" t="s">
        <v>1721</v>
      </c>
      <c r="H1095" s="666" t="s">
        <v>43</v>
      </c>
      <c r="I1095" s="666" t="s">
        <v>1352</v>
      </c>
      <c r="J1095" s="666" t="s">
        <v>45</v>
      </c>
      <c r="K1095" s="666" t="s">
        <v>45</v>
      </c>
      <c r="L1095" s="666" t="s">
        <v>45</v>
      </c>
      <c r="M1095" s="666" t="s">
        <v>46</v>
      </c>
      <c r="N1095" s="666">
        <v>23.099304</v>
      </c>
      <c r="O1095" s="666">
        <v>97.400671000000003</v>
      </c>
      <c r="P1095" s="666" t="s">
        <v>775</v>
      </c>
      <c r="Q1095" s="666" t="s">
        <v>940</v>
      </c>
      <c r="R1095" s="931">
        <v>61</v>
      </c>
      <c r="S1095" s="931">
        <v>279</v>
      </c>
      <c r="T1095" s="690">
        <v>42983</v>
      </c>
      <c r="U1095" s="672"/>
      <c r="V1095" s="666"/>
      <c r="W1095" s="660" t="s">
        <v>2292</v>
      </c>
    </row>
    <row r="1096" spans="1:23" ht="14.25" customHeight="1">
      <c r="A1096" s="936" t="s">
        <v>716</v>
      </c>
      <c r="B1096" s="695" t="s">
        <v>737</v>
      </c>
      <c r="C1096" s="802" t="s">
        <v>1120</v>
      </c>
      <c r="D1096" s="929" t="s">
        <v>1693</v>
      </c>
      <c r="E1096" s="666"/>
      <c r="F1096" s="666"/>
      <c r="G1096" s="666"/>
      <c r="H1096" s="666"/>
      <c r="I1096" s="922"/>
      <c r="J1096" s="666" t="s">
        <v>1481</v>
      </c>
      <c r="K1096" s="666" t="s">
        <v>45</v>
      </c>
      <c r="L1096" s="666" t="s">
        <v>45</v>
      </c>
      <c r="M1096" s="666" t="s">
        <v>46</v>
      </c>
      <c r="N1096" s="666"/>
      <c r="O1096" s="666"/>
      <c r="P1096" s="666" t="s">
        <v>775</v>
      </c>
      <c r="Q1096" s="666" t="s">
        <v>794</v>
      </c>
      <c r="R1096" s="939"/>
      <c r="S1096" s="932"/>
      <c r="T1096" s="690">
        <v>42747</v>
      </c>
      <c r="U1096" s="672"/>
      <c r="V1096" s="666"/>
      <c r="W1096" s="931"/>
    </row>
    <row r="1097" spans="1:23" ht="14.25" customHeight="1">
      <c r="A1097" s="936" t="s">
        <v>716</v>
      </c>
      <c r="B1097" s="695" t="s">
        <v>737</v>
      </c>
      <c r="C1097" s="802" t="s">
        <v>745</v>
      </c>
      <c r="D1097" s="760" t="s">
        <v>3047</v>
      </c>
      <c r="E1097" s="666" t="s">
        <v>1351</v>
      </c>
      <c r="F1097" s="666" t="s">
        <v>1720</v>
      </c>
      <c r="G1097" s="666" t="s">
        <v>1721</v>
      </c>
      <c r="H1097" s="666" t="s">
        <v>43</v>
      </c>
      <c r="I1097" s="666" t="s">
        <v>1352</v>
      </c>
      <c r="J1097" s="666" t="s">
        <v>45</v>
      </c>
      <c r="K1097" s="666" t="s">
        <v>45</v>
      </c>
      <c r="L1097" s="666" t="s">
        <v>45</v>
      </c>
      <c r="M1097" s="666" t="s">
        <v>46</v>
      </c>
      <c r="N1097" s="666">
        <v>0</v>
      </c>
      <c r="O1097" s="666">
        <v>0</v>
      </c>
      <c r="P1097" s="666" t="s">
        <v>775</v>
      </c>
      <c r="Q1097" s="666" t="s">
        <v>776</v>
      </c>
      <c r="R1097" s="931">
        <v>28</v>
      </c>
      <c r="S1097" s="931">
        <v>144</v>
      </c>
      <c r="T1097" s="690"/>
      <c r="U1097" s="672"/>
      <c r="V1097" s="666"/>
      <c r="W1097" s="660" t="s">
        <v>2292</v>
      </c>
    </row>
    <row r="1098" spans="1:23" ht="14.25" customHeight="1">
      <c r="A1098" s="936" t="s">
        <v>716</v>
      </c>
      <c r="B1098" s="695" t="s">
        <v>737</v>
      </c>
      <c r="C1098" s="802" t="s">
        <v>2009</v>
      </c>
      <c r="D1098" s="669"/>
      <c r="E1098" s="666"/>
      <c r="F1098" s="666"/>
      <c r="G1098" s="666"/>
      <c r="H1098" s="666"/>
      <c r="I1098" s="666"/>
      <c r="J1098" s="666" t="s">
        <v>1481</v>
      </c>
      <c r="K1098" s="666" t="s">
        <v>45</v>
      </c>
      <c r="L1098" s="666" t="s">
        <v>45</v>
      </c>
      <c r="M1098" s="666" t="s">
        <v>46</v>
      </c>
      <c r="N1098" s="666"/>
      <c r="O1098" s="666"/>
      <c r="P1098" s="666" t="s">
        <v>775</v>
      </c>
      <c r="Q1098" s="666" t="s">
        <v>2001</v>
      </c>
      <c r="R1098" s="678"/>
      <c r="S1098" s="671"/>
      <c r="T1098" s="690">
        <v>43270</v>
      </c>
      <c r="U1098" s="672"/>
      <c r="V1098" s="666"/>
      <c r="W1098" s="670"/>
    </row>
    <row r="1099" spans="1:23" ht="14.25" customHeight="1">
      <c r="A1099" s="936" t="s">
        <v>716</v>
      </c>
      <c r="B1099" s="695" t="s">
        <v>737</v>
      </c>
      <c r="C1099" s="802" t="s">
        <v>748</v>
      </c>
      <c r="D1099" s="760" t="s">
        <v>3047</v>
      </c>
      <c r="E1099" s="666" t="s">
        <v>1440</v>
      </c>
      <c r="F1099" s="928" t="s">
        <v>1720</v>
      </c>
      <c r="G1099" s="666" t="s">
        <v>1721</v>
      </c>
      <c r="H1099" s="666" t="s">
        <v>43</v>
      </c>
      <c r="I1099" s="666" t="s">
        <v>3050</v>
      </c>
      <c r="J1099" s="666" t="s">
        <v>45</v>
      </c>
      <c r="K1099" s="666" t="s">
        <v>45</v>
      </c>
      <c r="L1099" s="666" t="s">
        <v>45</v>
      </c>
      <c r="M1099" s="666" t="s">
        <v>46</v>
      </c>
      <c r="N1099" s="666">
        <v>23.094290000000001</v>
      </c>
      <c r="O1099" s="666">
        <v>97.404089999999997</v>
      </c>
      <c r="P1099" s="666" t="s">
        <v>775</v>
      </c>
      <c r="Q1099" s="666" t="s">
        <v>794</v>
      </c>
      <c r="R1099" s="931">
        <v>38</v>
      </c>
      <c r="S1099" s="931">
        <v>159</v>
      </c>
      <c r="T1099" s="690"/>
      <c r="U1099" s="672"/>
      <c r="V1099" s="666" t="s">
        <v>748</v>
      </c>
      <c r="W1099" s="660" t="s">
        <v>2293</v>
      </c>
    </row>
    <row r="1100" spans="1:23" ht="14.25" customHeight="1">
      <c r="A1100" s="936" t="s">
        <v>716</v>
      </c>
      <c r="B1100" s="695" t="s">
        <v>737</v>
      </c>
      <c r="C1100" s="802" t="s">
        <v>979</v>
      </c>
      <c r="D1100" s="669" t="s">
        <v>1694</v>
      </c>
      <c r="E1100" s="666" t="s">
        <v>1439</v>
      </c>
      <c r="F1100" s="666" t="s">
        <v>1720</v>
      </c>
      <c r="G1100" s="666" t="s">
        <v>1721</v>
      </c>
      <c r="H1100" s="666"/>
      <c r="I1100" s="666">
        <v>0</v>
      </c>
      <c r="J1100" s="666" t="s">
        <v>45</v>
      </c>
      <c r="K1100" s="666" t="s">
        <v>45</v>
      </c>
      <c r="L1100" s="666" t="s">
        <v>774</v>
      </c>
      <c r="M1100" s="666" t="s">
        <v>46</v>
      </c>
      <c r="N1100" s="666">
        <v>23.088058</v>
      </c>
      <c r="O1100" s="666">
        <v>97.398989</v>
      </c>
      <c r="P1100" s="666" t="s">
        <v>787</v>
      </c>
      <c r="Q1100" s="666" t="s">
        <v>794</v>
      </c>
      <c r="R1100" s="678"/>
      <c r="S1100" s="671"/>
      <c r="T1100" s="690"/>
      <c r="U1100" s="672"/>
      <c r="V1100" s="666" t="s">
        <v>801</v>
      </c>
      <c r="W1100" s="670" t="s">
        <v>2294</v>
      </c>
    </row>
    <row r="1101" spans="1:23" ht="14.25" customHeight="1">
      <c r="A1101" s="936" t="s">
        <v>716</v>
      </c>
      <c r="B1101" s="695" t="s">
        <v>737</v>
      </c>
      <c r="C1101" s="802" t="s">
        <v>797</v>
      </c>
      <c r="D1101" s="669" t="s">
        <v>1694</v>
      </c>
      <c r="E1101" s="666" t="s">
        <v>1359</v>
      </c>
      <c r="F1101" s="666" t="s">
        <v>1720</v>
      </c>
      <c r="G1101" s="666" t="s">
        <v>1721</v>
      </c>
      <c r="H1101" s="666"/>
      <c r="I1101" s="666">
        <v>0</v>
      </c>
      <c r="J1101" s="666" t="s">
        <v>45</v>
      </c>
      <c r="K1101" s="666" t="s">
        <v>45</v>
      </c>
      <c r="L1101" s="666" t="s">
        <v>774</v>
      </c>
      <c r="M1101" s="666" t="s">
        <v>46</v>
      </c>
      <c r="N1101" s="666"/>
      <c r="O1101" s="666"/>
      <c r="P1101" s="666" t="s">
        <v>775</v>
      </c>
      <c r="Q1101" s="666" t="s">
        <v>776</v>
      </c>
      <c r="R1101" s="678"/>
      <c r="S1101" s="671"/>
      <c r="T1101" s="690">
        <v>43019</v>
      </c>
      <c r="U1101" s="672" t="s">
        <v>798</v>
      </c>
      <c r="V1101" s="666"/>
      <c r="W1101" s="660" t="s">
        <v>798</v>
      </c>
    </row>
    <row r="1102" spans="1:23" ht="14.25" customHeight="1">
      <c r="A1102" s="936" t="s">
        <v>716</v>
      </c>
      <c r="B1102" s="960" t="s">
        <v>737</v>
      </c>
      <c r="C1102" s="802" t="s">
        <v>799</v>
      </c>
      <c r="D1102" s="929" t="s">
        <v>1694</v>
      </c>
      <c r="E1102" s="922" t="s">
        <v>1360</v>
      </c>
      <c r="F1102" s="922" t="s">
        <v>1720</v>
      </c>
      <c r="G1102" s="922" t="s">
        <v>1721</v>
      </c>
      <c r="H1102" s="922"/>
      <c r="I1102" s="922">
        <v>0</v>
      </c>
      <c r="J1102" s="922" t="s">
        <v>45</v>
      </c>
      <c r="K1102" s="922" t="s">
        <v>45</v>
      </c>
      <c r="L1102" s="922" t="s">
        <v>774</v>
      </c>
      <c r="M1102" s="922" t="s">
        <v>46</v>
      </c>
      <c r="N1102" s="922"/>
      <c r="O1102" s="922"/>
      <c r="P1102" s="922" t="s">
        <v>775</v>
      </c>
      <c r="Q1102" s="922" t="s">
        <v>776</v>
      </c>
      <c r="R1102" s="939"/>
      <c r="S1102" s="932"/>
      <c r="T1102" s="951">
        <v>42927</v>
      </c>
      <c r="U1102" s="933" t="s">
        <v>800</v>
      </c>
      <c r="V1102" s="922"/>
      <c r="W1102" s="660" t="s">
        <v>798</v>
      </c>
    </row>
    <row r="1103" spans="1:23" ht="14.25" customHeight="1">
      <c r="A1103" s="936" t="s">
        <v>716</v>
      </c>
      <c r="B1103" s="960" t="s">
        <v>737</v>
      </c>
      <c r="C1103" s="802" t="s">
        <v>801</v>
      </c>
      <c r="D1103" s="929" t="s">
        <v>1694</v>
      </c>
      <c r="E1103" s="922" t="s">
        <v>1361</v>
      </c>
      <c r="F1103" s="922" t="s">
        <v>1720</v>
      </c>
      <c r="G1103" s="922" t="s">
        <v>1721</v>
      </c>
      <c r="H1103" s="922"/>
      <c r="I1103" s="922">
        <v>0</v>
      </c>
      <c r="J1103" s="922" t="s">
        <v>45</v>
      </c>
      <c r="K1103" s="922" t="s">
        <v>45</v>
      </c>
      <c r="L1103" s="922" t="s">
        <v>774</v>
      </c>
      <c r="M1103" s="922" t="s">
        <v>46</v>
      </c>
      <c r="N1103" s="922"/>
      <c r="O1103" s="922"/>
      <c r="P1103" s="922" t="s">
        <v>775</v>
      </c>
      <c r="Q1103" s="922" t="s">
        <v>776</v>
      </c>
      <c r="R1103" s="939"/>
      <c r="S1103" s="932"/>
      <c r="T1103" s="951">
        <v>42927</v>
      </c>
      <c r="U1103" s="933" t="s">
        <v>802</v>
      </c>
      <c r="V1103" s="922"/>
      <c r="W1103" s="931" t="s">
        <v>2283</v>
      </c>
    </row>
    <row r="1104" spans="1:23" ht="14.25" customHeight="1">
      <c r="A1104" s="932" t="s">
        <v>716</v>
      </c>
      <c r="B1104" s="960" t="s">
        <v>737</v>
      </c>
      <c r="C1104" s="802" t="s">
        <v>738</v>
      </c>
      <c r="D1104" s="760" t="s">
        <v>3047</v>
      </c>
      <c r="E1104" s="922" t="s">
        <v>1438</v>
      </c>
      <c r="F1104" s="922" t="s">
        <v>1796</v>
      </c>
      <c r="G1104" s="922" t="s">
        <v>1797</v>
      </c>
      <c r="H1104" s="922"/>
      <c r="I1104" s="928" t="s">
        <v>2205</v>
      </c>
      <c r="J1104" s="922" t="s">
        <v>45</v>
      </c>
      <c r="K1104" s="922" t="s">
        <v>45</v>
      </c>
      <c r="L1104" s="922" t="s">
        <v>790</v>
      </c>
      <c r="M1104" s="922" t="s">
        <v>46</v>
      </c>
      <c r="N1104" s="922">
        <v>22.765999999999998</v>
      </c>
      <c r="O1104" s="922">
        <v>97.358999999999995</v>
      </c>
      <c r="P1104" s="922" t="s">
        <v>775</v>
      </c>
      <c r="Q1104" s="922" t="s">
        <v>776</v>
      </c>
      <c r="R1104" s="931">
        <v>6</v>
      </c>
      <c r="S1104" s="931">
        <v>27</v>
      </c>
      <c r="T1104" s="951"/>
      <c r="U1104" s="933" t="s">
        <v>978</v>
      </c>
      <c r="V1104" s="922"/>
      <c r="W1104" s="660" t="s">
        <v>2295</v>
      </c>
    </row>
    <row r="1105" spans="1:23" ht="14.25" customHeight="1">
      <c r="A1105" s="932" t="s">
        <v>716</v>
      </c>
      <c r="B1105" s="960" t="s">
        <v>737</v>
      </c>
      <c r="C1105" s="802" t="s">
        <v>980</v>
      </c>
      <c r="D1105" s="929" t="s">
        <v>1693</v>
      </c>
      <c r="E1105" s="922" t="s">
        <v>1442</v>
      </c>
      <c r="F1105" s="922"/>
      <c r="G1105" s="922"/>
      <c r="H1105" s="922"/>
      <c r="I1105" s="922">
        <v>0</v>
      </c>
      <c r="J1105" s="922" t="s">
        <v>45</v>
      </c>
      <c r="K1105" s="922" t="s">
        <v>45</v>
      </c>
      <c r="L1105" s="922" t="s">
        <v>774</v>
      </c>
      <c r="M1105" s="922" t="s">
        <v>46</v>
      </c>
      <c r="N1105" s="922">
        <v>23.099304</v>
      </c>
      <c r="O1105" s="922">
        <v>97.400671000000003</v>
      </c>
      <c r="P1105" s="922" t="s">
        <v>775</v>
      </c>
      <c r="Q1105" s="922" t="s">
        <v>776</v>
      </c>
      <c r="R1105" s="939"/>
      <c r="S1105" s="932"/>
      <c r="T1105" s="951">
        <v>42747</v>
      </c>
      <c r="U1105" s="933" t="s">
        <v>981</v>
      </c>
      <c r="V1105" s="922"/>
      <c r="W1105" s="660" t="s">
        <v>2296</v>
      </c>
    </row>
    <row r="1106" spans="1:23" ht="14.25" customHeight="1">
      <c r="A1106" s="932" t="s">
        <v>716</v>
      </c>
      <c r="B1106" s="960" t="s">
        <v>737</v>
      </c>
      <c r="C1106" s="802" t="s">
        <v>1162</v>
      </c>
      <c r="D1106" s="929" t="s">
        <v>1693</v>
      </c>
      <c r="E1106" s="922"/>
      <c r="F1106" s="922"/>
      <c r="G1106" s="922"/>
      <c r="H1106" s="922"/>
      <c r="I1106" s="922"/>
      <c r="J1106" s="922" t="s">
        <v>1481</v>
      </c>
      <c r="K1106" s="922" t="s">
        <v>45</v>
      </c>
      <c r="L1106" s="922" t="s">
        <v>774</v>
      </c>
      <c r="M1106" s="922" t="s">
        <v>46</v>
      </c>
      <c r="N1106" s="922"/>
      <c r="O1106" s="922"/>
      <c r="P1106" s="922" t="s">
        <v>775</v>
      </c>
      <c r="Q1106" s="922" t="s">
        <v>794</v>
      </c>
      <c r="R1106" s="939"/>
      <c r="S1106" s="932"/>
      <c r="T1106" s="951">
        <v>42747</v>
      </c>
      <c r="U1106" s="933"/>
      <c r="V1106" s="922"/>
      <c r="W1106" s="931"/>
    </row>
    <row r="1107" spans="1:23" ht="14.25" customHeight="1">
      <c r="A1107" s="932" t="s">
        <v>716</v>
      </c>
      <c r="B1107" s="960" t="s">
        <v>1141</v>
      </c>
      <c r="C1107" s="802" t="s">
        <v>2319</v>
      </c>
      <c r="D1107" s="929"/>
      <c r="E1107" s="922"/>
      <c r="F1107" s="934"/>
      <c r="G1107" s="922"/>
      <c r="H1107" s="922"/>
      <c r="I1107" s="922"/>
      <c r="J1107" s="922" t="s">
        <v>3028</v>
      </c>
      <c r="K1107" s="922" t="s">
        <v>2942</v>
      </c>
      <c r="L1107" s="922" t="s">
        <v>2942</v>
      </c>
      <c r="M1107" s="922" t="s">
        <v>46</v>
      </c>
      <c r="N1107" s="922"/>
      <c r="O1107" s="922"/>
      <c r="P1107" s="922" t="s">
        <v>2046</v>
      </c>
      <c r="Q1107" s="922" t="s">
        <v>940</v>
      </c>
      <c r="R1107" s="939"/>
      <c r="S1107" s="932"/>
      <c r="T1107" s="951">
        <v>43392</v>
      </c>
      <c r="U1107" s="933"/>
      <c r="V1107" s="922"/>
      <c r="W1107" s="931"/>
    </row>
    <row r="1108" spans="1:23" ht="14.25" customHeight="1">
      <c r="A1108" s="932" t="s">
        <v>716</v>
      </c>
      <c r="B1108" s="960" t="s">
        <v>1141</v>
      </c>
      <c r="C1108" s="802" t="s">
        <v>1140</v>
      </c>
      <c r="D1108" s="929" t="s">
        <v>1693</v>
      </c>
      <c r="E1108" s="922"/>
      <c r="F1108" s="922"/>
      <c r="G1108" s="922"/>
      <c r="H1108" s="922"/>
      <c r="I1108" s="922"/>
      <c r="J1108" s="922" t="s">
        <v>1481</v>
      </c>
      <c r="K1108" s="922" t="s">
        <v>45</v>
      </c>
      <c r="L1108" s="922" t="s">
        <v>774</v>
      </c>
      <c r="M1108" s="922" t="s">
        <v>46</v>
      </c>
      <c r="N1108" s="922"/>
      <c r="O1108" s="922"/>
      <c r="P1108" s="922" t="s">
        <v>775</v>
      </c>
      <c r="Q1108" s="922" t="s">
        <v>794</v>
      </c>
      <c r="R1108" s="939"/>
      <c r="S1108" s="932"/>
      <c r="T1108" s="951">
        <v>42747</v>
      </c>
      <c r="U1108" s="933"/>
      <c r="V1108" s="922"/>
      <c r="W1108" s="931"/>
    </row>
    <row r="1109" spans="1:23" ht="14.25" customHeight="1">
      <c r="A1109" s="932" t="s">
        <v>716</v>
      </c>
      <c r="B1109" s="960" t="s">
        <v>1293</v>
      </c>
      <c r="C1109" s="802" t="s">
        <v>1335</v>
      </c>
      <c r="D1109" s="929" t="s">
        <v>1913</v>
      </c>
      <c r="E1109" s="922"/>
      <c r="F1109" s="922"/>
      <c r="G1109" s="922"/>
      <c r="H1109" s="922"/>
      <c r="I1109" s="922"/>
      <c r="J1109" s="922" t="s">
        <v>1481</v>
      </c>
      <c r="K1109" s="922" t="s">
        <v>45</v>
      </c>
      <c r="L1109" s="922" t="s">
        <v>790</v>
      </c>
      <c r="M1109" s="922" t="s">
        <v>2075</v>
      </c>
      <c r="N1109" s="922"/>
      <c r="O1109" s="922"/>
      <c r="P1109" s="922" t="s">
        <v>775</v>
      </c>
      <c r="Q1109" s="922"/>
      <c r="R1109" s="939"/>
      <c r="S1109" s="932"/>
      <c r="T1109" s="951">
        <v>43298</v>
      </c>
      <c r="U1109" s="933"/>
      <c r="V1109" s="948"/>
      <c r="W1109" s="931"/>
    </row>
  </sheetData>
  <conditionalFormatting sqref="C1">
    <cfRule type="duplicateValues" dxfId="1356" priority="14"/>
    <cfRule type="duplicateValues" priority="15"/>
  </conditionalFormatting>
  <conditionalFormatting sqref="V226">
    <cfRule type="duplicateValues" dxfId="1355" priority="4"/>
  </conditionalFormatting>
  <conditionalFormatting sqref="V940">
    <cfRule type="duplicateValues" dxfId="1354" priority="3"/>
  </conditionalFormatting>
  <conditionalFormatting sqref="V985">
    <cfRule type="duplicateValues" dxfId="1353" priority="2"/>
  </conditionalFormatting>
  <conditionalFormatting sqref="V1109">
    <cfRule type="duplicateValues" dxfId="1352" priority="1"/>
  </conditionalFormatting>
  <conditionalFormatting sqref="C3:C1109">
    <cfRule type="duplicateValues" dxfId="1351" priority="12140"/>
  </conditionalFormatting>
  <conditionalFormatting sqref="E3:E1109">
    <cfRule type="duplicateValues" dxfId="1350" priority="12142"/>
  </conditionalFormatting>
  <dataValidations count="1">
    <dataValidation type="list" allowBlank="1" showInputMessage="1" showErrorMessage="1" sqref="C769" xr:uid="{00000000-0002-0000-0300-000001000000}">
      <formula1>OFFSET(Township_start,MATCH(B769,Township_list, 0),1, COUNTIF(Township_list,B769),1)</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FD38936-373B-417A-A0E8-D7A498D0E585}">
          <x14:formula1>
            <xm:f>'C:\Users\mthaw\Mee Mee\2. Information Management\C_Camp Info\2. CCCM Camp list\Kachin\2019\[shelter-nfi-cccm_kachin_northern_shan_cluster_analysis_report_march_2019.xlsx]Definition'!#REF!</xm:f>
          </x14:formula1>
          <xm:sqref>L531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I75"/>
  <sheetViews>
    <sheetView zoomScale="120" zoomScaleNormal="120" zoomScaleSheetLayoutView="50" workbookViewId="0">
      <pane xSplit="1" ySplit="2" topLeftCell="B48" activePane="bottomRight" state="frozen"/>
      <selection activeCell="F61" sqref="F61"/>
      <selection pane="topRight" activeCell="F61" sqref="F61"/>
      <selection pane="bottomLeft" activeCell="F61" sqref="F61"/>
      <selection pane="bottomRight" activeCell="A52" sqref="A52:B53"/>
    </sheetView>
  </sheetViews>
  <sheetFormatPr defaultColWidth="8" defaultRowHeight="45" customHeight="1"/>
  <cols>
    <col min="1" max="1" width="7.625" style="441" bestFit="1" customWidth="1"/>
    <col min="2" max="2" width="42.75" style="493" bestFit="1" customWidth="1"/>
    <col min="3" max="3" width="11.625" style="493" customWidth="1"/>
    <col min="4" max="4" width="16.625" style="493" hidden="1" customWidth="1"/>
    <col min="5" max="5" width="13.25" style="493" bestFit="1" customWidth="1"/>
    <col min="6" max="6" width="61.5" style="493" bestFit="1" customWidth="1"/>
    <col min="7" max="7" width="21.125" style="440" customWidth="1"/>
    <col min="8" max="8" width="20.875" style="440" customWidth="1"/>
    <col min="9" max="9" width="57.375" style="441" bestFit="1" customWidth="1"/>
    <col min="10" max="16381" width="8" style="440"/>
    <col min="16382" max="16384" width="21.25" style="440" customWidth="1"/>
  </cols>
  <sheetData>
    <row r="1" spans="1:9" ht="45" customHeight="1">
      <c r="A1" s="1097"/>
      <c r="B1" s="1097"/>
      <c r="C1" s="1097"/>
      <c r="D1" s="1097"/>
      <c r="E1" s="1097"/>
      <c r="F1" s="1097"/>
      <c r="G1" s="440" t="s">
        <v>47</v>
      </c>
      <c r="H1" s="440" t="s">
        <v>47</v>
      </c>
    </row>
    <row r="2" spans="1:9" s="447" customFormat="1" ht="45" customHeight="1">
      <c r="A2" s="442" t="s">
        <v>48</v>
      </c>
      <c r="B2" s="443" t="s">
        <v>2402</v>
      </c>
      <c r="C2" s="443" t="s">
        <v>2403</v>
      </c>
      <c r="D2" s="443" t="s">
        <v>2404</v>
      </c>
      <c r="E2" s="443" t="s">
        <v>2405</v>
      </c>
      <c r="F2" s="443" t="s">
        <v>49</v>
      </c>
      <c r="G2" s="444" t="s">
        <v>50</v>
      </c>
      <c r="H2" s="445" t="s">
        <v>51</v>
      </c>
      <c r="I2" s="446" t="s">
        <v>2531</v>
      </c>
    </row>
    <row r="3" spans="1:9" ht="45" customHeight="1">
      <c r="A3" s="448" t="s">
        <v>0</v>
      </c>
      <c r="B3" s="449" t="s">
        <v>2406</v>
      </c>
      <c r="C3" s="449" t="s">
        <v>16</v>
      </c>
      <c r="D3" s="449"/>
      <c r="E3" s="449" t="s">
        <v>2407</v>
      </c>
      <c r="F3" s="450"/>
      <c r="G3" s="451"/>
      <c r="H3" s="452"/>
      <c r="I3" s="453"/>
    </row>
    <row r="4" spans="1:9" ht="62.45" customHeight="1">
      <c r="A4" s="448" t="s">
        <v>1</v>
      </c>
      <c r="B4" s="449" t="s">
        <v>2408</v>
      </c>
      <c r="C4" s="449" t="s">
        <v>16</v>
      </c>
      <c r="D4" s="449"/>
      <c r="E4" s="449" t="s">
        <v>2407</v>
      </c>
      <c r="F4" s="450" t="s">
        <v>2409</v>
      </c>
      <c r="G4" s="451"/>
      <c r="H4" s="452"/>
      <c r="I4" s="453"/>
    </row>
    <row r="5" spans="1:9" ht="45" customHeight="1">
      <c r="A5" s="448" t="s">
        <v>2</v>
      </c>
      <c r="B5" s="449" t="s">
        <v>2410</v>
      </c>
      <c r="C5" s="449" t="s">
        <v>16</v>
      </c>
      <c r="D5" s="449"/>
      <c r="E5" s="449" t="s">
        <v>2407</v>
      </c>
      <c r="F5" s="450" t="s">
        <v>2411</v>
      </c>
      <c r="G5" s="451"/>
      <c r="H5" s="452"/>
      <c r="I5" s="453"/>
    </row>
    <row r="6" spans="1:9" ht="45" customHeight="1">
      <c r="A6" s="448" t="s">
        <v>3</v>
      </c>
      <c r="B6" s="449" t="s">
        <v>2412</v>
      </c>
      <c r="C6" s="449" t="s">
        <v>18</v>
      </c>
      <c r="D6" s="449"/>
      <c r="E6" s="449" t="s">
        <v>2407</v>
      </c>
      <c r="F6" s="450" t="s">
        <v>2647</v>
      </c>
      <c r="G6" s="451"/>
      <c r="H6" s="452"/>
      <c r="I6" s="453"/>
    </row>
    <row r="7" spans="1:9" ht="45" customHeight="1">
      <c r="A7" s="448" t="s">
        <v>4</v>
      </c>
      <c r="B7" s="449" t="s">
        <v>22</v>
      </c>
      <c r="C7" s="449" t="s">
        <v>16</v>
      </c>
      <c r="D7" s="449"/>
      <c r="E7" s="449" t="s">
        <v>2407</v>
      </c>
      <c r="F7" s="450" t="s">
        <v>2413</v>
      </c>
      <c r="G7" s="451"/>
      <c r="H7" s="452"/>
      <c r="I7" s="453"/>
    </row>
    <row r="8" spans="1:9" ht="45" customHeight="1">
      <c r="A8" s="448" t="s">
        <v>1168</v>
      </c>
      <c r="B8" s="449" t="s">
        <v>23</v>
      </c>
      <c r="C8" s="449" t="s">
        <v>16</v>
      </c>
      <c r="D8" s="449"/>
      <c r="E8" s="449" t="s">
        <v>2407</v>
      </c>
      <c r="F8" s="450" t="s">
        <v>2413</v>
      </c>
      <c r="G8" s="451"/>
      <c r="H8" s="452"/>
      <c r="I8" s="453"/>
    </row>
    <row r="9" spans="1:9" ht="45" customHeight="1">
      <c r="A9" s="448" t="s">
        <v>5</v>
      </c>
      <c r="B9" s="449" t="s">
        <v>2414</v>
      </c>
      <c r="C9" s="449" t="s">
        <v>2633</v>
      </c>
      <c r="D9" s="449"/>
      <c r="E9" s="449" t="s">
        <v>2407</v>
      </c>
      <c r="F9" s="450" t="s">
        <v>2415</v>
      </c>
      <c r="G9" s="451"/>
      <c r="H9" s="452"/>
      <c r="I9" s="453"/>
    </row>
    <row r="10" spans="1:9" ht="45" customHeight="1">
      <c r="A10" s="448" t="s">
        <v>6</v>
      </c>
      <c r="B10" s="449" t="s">
        <v>2416</v>
      </c>
      <c r="C10" s="449" t="s">
        <v>16</v>
      </c>
      <c r="D10" s="449"/>
      <c r="E10" s="449" t="s">
        <v>2407</v>
      </c>
      <c r="F10" s="450" t="s">
        <v>2417</v>
      </c>
      <c r="G10" s="451"/>
      <c r="H10" s="452"/>
      <c r="I10" s="453"/>
    </row>
    <row r="11" spans="1:9" ht="75" customHeight="1">
      <c r="A11" s="448" t="s">
        <v>52</v>
      </c>
      <c r="B11" s="449" t="s">
        <v>25</v>
      </c>
      <c r="C11" s="449" t="s">
        <v>17</v>
      </c>
      <c r="D11" s="449"/>
      <c r="E11" s="449" t="s">
        <v>2407</v>
      </c>
      <c r="F11" s="450" t="s">
        <v>2521</v>
      </c>
      <c r="G11" s="451"/>
      <c r="H11" s="452"/>
      <c r="I11" s="453"/>
    </row>
    <row r="12" spans="1:9" ht="85.15" customHeight="1">
      <c r="A12" s="448" t="s">
        <v>53</v>
      </c>
      <c r="B12" s="449" t="s">
        <v>1937</v>
      </c>
      <c r="C12" s="449" t="s">
        <v>17</v>
      </c>
      <c r="D12" s="449"/>
      <c r="E12" s="449" t="s">
        <v>2407</v>
      </c>
      <c r="F12" s="450" t="s">
        <v>2521</v>
      </c>
      <c r="G12" s="451"/>
      <c r="H12" s="452"/>
      <c r="I12" s="453"/>
    </row>
    <row r="13" spans="1:9" ht="45" customHeight="1">
      <c r="A13" s="448" t="s">
        <v>56</v>
      </c>
      <c r="B13" s="449" t="s">
        <v>2418</v>
      </c>
      <c r="C13" s="449" t="s">
        <v>19</v>
      </c>
      <c r="D13" s="449"/>
      <c r="E13" s="449" t="s">
        <v>2407</v>
      </c>
      <c r="F13" s="450" t="s">
        <v>2419</v>
      </c>
      <c r="G13" s="451"/>
      <c r="H13" s="452"/>
      <c r="I13" s="453"/>
    </row>
    <row r="14" spans="1:9" ht="45" customHeight="1">
      <c r="A14" s="448" t="s">
        <v>58</v>
      </c>
      <c r="B14" s="449" t="s">
        <v>2420</v>
      </c>
      <c r="C14" s="449" t="s">
        <v>19</v>
      </c>
      <c r="D14" s="449"/>
      <c r="E14" s="449" t="s">
        <v>2407</v>
      </c>
      <c r="F14" s="450" t="s">
        <v>2421</v>
      </c>
      <c r="G14" s="451"/>
      <c r="H14" s="452"/>
      <c r="I14" s="453"/>
    </row>
    <row r="15" spans="1:9" ht="45" customHeight="1">
      <c r="A15" s="448" t="s">
        <v>60</v>
      </c>
      <c r="B15" s="449" t="s">
        <v>2679</v>
      </c>
      <c r="C15" s="449" t="s">
        <v>17</v>
      </c>
      <c r="D15" s="449"/>
      <c r="E15" s="449" t="s">
        <v>2631</v>
      </c>
      <c r="F15" s="450"/>
      <c r="G15" s="451"/>
      <c r="H15" s="452"/>
      <c r="I15" s="453"/>
    </row>
    <row r="16" spans="1:9" ht="45" customHeight="1">
      <c r="A16" s="448" t="s">
        <v>123</v>
      </c>
      <c r="B16" s="449" t="s">
        <v>2041</v>
      </c>
      <c r="C16" s="449" t="s">
        <v>17</v>
      </c>
      <c r="D16" s="449"/>
      <c r="E16" s="449" t="s">
        <v>312</v>
      </c>
      <c r="F16" s="450" t="s">
        <v>2680</v>
      </c>
      <c r="G16" s="451"/>
      <c r="H16" s="452"/>
      <c r="I16" s="453"/>
    </row>
    <row r="17" spans="1:9" ht="45" customHeight="1">
      <c r="A17" s="448" t="s">
        <v>124</v>
      </c>
      <c r="B17" s="449" t="s">
        <v>2043</v>
      </c>
      <c r="C17" s="449" t="s">
        <v>17</v>
      </c>
      <c r="D17" s="449"/>
      <c r="E17" s="449" t="s">
        <v>312</v>
      </c>
      <c r="F17" s="450" t="s">
        <v>2681</v>
      </c>
      <c r="G17" s="451"/>
      <c r="H17" s="452"/>
      <c r="I17" s="453"/>
    </row>
    <row r="18" spans="1:9" ht="45" customHeight="1">
      <c r="A18" s="448" t="s">
        <v>65</v>
      </c>
      <c r="B18" s="449" t="s">
        <v>2422</v>
      </c>
      <c r="C18" s="449" t="s">
        <v>17</v>
      </c>
      <c r="D18" s="449" t="s">
        <v>2682</v>
      </c>
      <c r="E18" s="449" t="s">
        <v>2407</v>
      </c>
      <c r="F18" s="450" t="s">
        <v>2683</v>
      </c>
      <c r="G18" s="451"/>
      <c r="H18" s="452"/>
      <c r="I18" s="453"/>
    </row>
    <row r="19" spans="1:9" ht="45" customHeight="1">
      <c r="A19" s="448" t="s">
        <v>63</v>
      </c>
      <c r="B19" s="449" t="s">
        <v>2423</v>
      </c>
      <c r="C19" s="449" t="s">
        <v>2424</v>
      </c>
      <c r="D19" s="449"/>
      <c r="E19" s="449" t="s">
        <v>2407</v>
      </c>
      <c r="F19" s="450" t="s">
        <v>2684</v>
      </c>
      <c r="G19" s="451"/>
      <c r="H19" s="452"/>
      <c r="I19" s="453"/>
    </row>
    <row r="20" spans="1:9" ht="45" customHeight="1">
      <c r="A20" s="448" t="s">
        <v>67</v>
      </c>
      <c r="B20" s="449" t="s">
        <v>2425</v>
      </c>
      <c r="C20" s="449" t="s">
        <v>17</v>
      </c>
      <c r="D20" s="449"/>
      <c r="E20" s="449" t="s">
        <v>2407</v>
      </c>
      <c r="F20" s="450" t="s">
        <v>2685</v>
      </c>
      <c r="G20" s="451"/>
      <c r="H20" s="452"/>
      <c r="I20" s="453"/>
    </row>
    <row r="21" spans="1:9" ht="45" customHeight="1">
      <c r="A21" s="448" t="s">
        <v>1169</v>
      </c>
      <c r="B21" s="449" t="s">
        <v>2426</v>
      </c>
      <c r="C21" s="449" t="s">
        <v>17</v>
      </c>
      <c r="D21" s="449"/>
      <c r="E21" s="449" t="s">
        <v>2407</v>
      </c>
      <c r="F21" s="450" t="s">
        <v>2685</v>
      </c>
      <c r="G21" s="451"/>
      <c r="H21" s="452"/>
      <c r="I21" s="453"/>
    </row>
    <row r="22" spans="1:9" ht="45" customHeight="1">
      <c r="A22" s="454" t="s">
        <v>69</v>
      </c>
      <c r="B22" s="338" t="s">
        <v>2639</v>
      </c>
      <c r="C22" s="338" t="s">
        <v>17</v>
      </c>
      <c r="D22" s="338"/>
      <c r="E22" s="338" t="s">
        <v>2407</v>
      </c>
      <c r="F22" s="421" t="s">
        <v>2428</v>
      </c>
      <c r="G22" s="455" t="s">
        <v>59</v>
      </c>
      <c r="H22" s="456" t="s">
        <v>59</v>
      </c>
      <c r="I22" s="457" t="s">
        <v>2429</v>
      </c>
    </row>
    <row r="23" spans="1:9" ht="45" customHeight="1">
      <c r="A23" s="454" t="s">
        <v>70</v>
      </c>
      <c r="B23" s="338" t="s">
        <v>2592</v>
      </c>
      <c r="C23" s="338" t="s">
        <v>17</v>
      </c>
      <c r="D23" s="338"/>
      <c r="E23" s="338" t="s">
        <v>2407</v>
      </c>
      <c r="F23" s="421" t="s">
        <v>2593</v>
      </c>
      <c r="G23" s="451"/>
      <c r="H23" s="452"/>
      <c r="I23" s="453"/>
    </row>
    <row r="24" spans="1:9" ht="45" customHeight="1">
      <c r="A24" s="454" t="s">
        <v>71</v>
      </c>
      <c r="B24" s="338" t="s">
        <v>2594</v>
      </c>
      <c r="C24" s="338" t="s">
        <v>17</v>
      </c>
      <c r="D24" s="338"/>
      <c r="E24" s="338" t="s">
        <v>2407</v>
      </c>
      <c r="F24" s="421" t="s">
        <v>2634</v>
      </c>
      <c r="G24" s="451"/>
      <c r="H24" s="452"/>
      <c r="I24" s="453"/>
    </row>
    <row r="25" spans="1:9" ht="45" customHeight="1">
      <c r="A25" s="454" t="s">
        <v>73</v>
      </c>
      <c r="B25" s="342" t="s">
        <v>2635</v>
      </c>
      <c r="C25" s="342" t="s">
        <v>17</v>
      </c>
      <c r="D25" s="338"/>
      <c r="E25" s="342" t="s">
        <v>2407</v>
      </c>
      <c r="F25" s="421" t="s">
        <v>61</v>
      </c>
      <c r="G25" s="455" t="s">
        <v>59</v>
      </c>
      <c r="H25" s="456" t="s">
        <v>59</v>
      </c>
      <c r="I25" s="457" t="s">
        <v>2429</v>
      </c>
    </row>
    <row r="26" spans="1:9" ht="45" customHeight="1">
      <c r="A26" s="454" t="s">
        <v>1170</v>
      </c>
      <c r="B26" s="342" t="s">
        <v>2640</v>
      </c>
      <c r="C26" s="342" t="s">
        <v>17</v>
      </c>
      <c r="D26" s="338"/>
      <c r="E26" s="342" t="s">
        <v>2407</v>
      </c>
      <c r="F26" s="421" t="s">
        <v>2641</v>
      </c>
      <c r="G26" s="451"/>
      <c r="H26" s="452"/>
      <c r="I26" s="453"/>
    </row>
    <row r="27" spans="1:9" ht="45" customHeight="1">
      <c r="A27" s="454" t="s">
        <v>74</v>
      </c>
      <c r="B27" s="342" t="s">
        <v>2686</v>
      </c>
      <c r="C27" s="342" t="s">
        <v>17</v>
      </c>
      <c r="D27" s="338"/>
      <c r="E27" s="342" t="s">
        <v>2407</v>
      </c>
      <c r="F27" s="421" t="s">
        <v>2687</v>
      </c>
      <c r="G27" s="451"/>
      <c r="H27" s="452"/>
      <c r="I27" s="453"/>
    </row>
    <row r="28" spans="1:9" ht="45" customHeight="1">
      <c r="A28" s="454" t="s">
        <v>75</v>
      </c>
      <c r="B28" s="342" t="s">
        <v>2688</v>
      </c>
      <c r="C28" s="342" t="s">
        <v>17</v>
      </c>
      <c r="D28" s="338"/>
      <c r="E28" s="342" t="s">
        <v>2407</v>
      </c>
      <c r="F28" s="421" t="s">
        <v>2689</v>
      </c>
      <c r="G28" s="451"/>
      <c r="H28" s="452"/>
      <c r="I28" s="453"/>
    </row>
    <row r="29" spans="1:9" ht="45" customHeight="1">
      <c r="A29" s="454" t="s">
        <v>76</v>
      </c>
      <c r="B29" s="342" t="s">
        <v>2690</v>
      </c>
      <c r="C29" s="342" t="s">
        <v>2691</v>
      </c>
      <c r="D29" s="342" t="s">
        <v>2615</v>
      </c>
      <c r="E29" s="342" t="s">
        <v>2407</v>
      </c>
      <c r="F29" s="421" t="s">
        <v>2690</v>
      </c>
      <c r="G29" s="455" t="s">
        <v>59</v>
      </c>
      <c r="H29" s="455" t="s">
        <v>59</v>
      </c>
      <c r="I29" s="457" t="s">
        <v>2429</v>
      </c>
    </row>
    <row r="30" spans="1:9" ht="45" customHeight="1">
      <c r="A30" s="454" t="s">
        <v>77</v>
      </c>
      <c r="B30" s="342" t="s">
        <v>2648</v>
      </c>
      <c r="C30" s="342" t="s">
        <v>2691</v>
      </c>
      <c r="D30" s="342"/>
      <c r="E30" s="342" t="s">
        <v>2407</v>
      </c>
      <c r="F30" s="421" t="s">
        <v>2650</v>
      </c>
      <c r="G30" s="458"/>
      <c r="H30" s="452"/>
      <c r="I30" s="453"/>
    </row>
    <row r="31" spans="1:9" ht="45" customHeight="1">
      <c r="A31" s="454" t="s">
        <v>1322</v>
      </c>
      <c r="B31" s="342" t="s">
        <v>2649</v>
      </c>
      <c r="C31" s="342" t="s">
        <v>2691</v>
      </c>
      <c r="D31" s="342"/>
      <c r="E31" s="342" t="s">
        <v>2407</v>
      </c>
      <c r="F31" s="421" t="s">
        <v>2651</v>
      </c>
      <c r="G31" s="459"/>
      <c r="H31" s="460"/>
      <c r="I31" s="461"/>
    </row>
    <row r="32" spans="1:9" s="465" customFormat="1" ht="45" customHeight="1">
      <c r="A32" s="454" t="s">
        <v>1323</v>
      </c>
      <c r="B32" s="342" t="s">
        <v>2430</v>
      </c>
      <c r="C32" s="342" t="s">
        <v>2589</v>
      </c>
      <c r="D32" s="338" t="s">
        <v>2692</v>
      </c>
      <c r="E32" s="342" t="s">
        <v>2631</v>
      </c>
      <c r="F32" s="421" t="s">
        <v>2431</v>
      </c>
      <c r="G32" s="462" t="s">
        <v>59</v>
      </c>
      <c r="H32" s="463" t="s">
        <v>59</v>
      </c>
      <c r="I32" s="464" t="s">
        <v>2429</v>
      </c>
    </row>
    <row r="33" spans="1:9" s="465" customFormat="1" ht="45" customHeight="1">
      <c r="A33" s="454" t="s">
        <v>1324</v>
      </c>
      <c r="B33" s="342" t="s">
        <v>2616</v>
      </c>
      <c r="C33" s="426" t="s">
        <v>17</v>
      </c>
      <c r="D33" s="338" t="s">
        <v>2427</v>
      </c>
      <c r="E33" s="426" t="s">
        <v>312</v>
      </c>
      <c r="F33" s="421" t="s">
        <v>62</v>
      </c>
      <c r="G33" s="462" t="s">
        <v>2432</v>
      </c>
      <c r="H33" s="463" t="s">
        <v>2432</v>
      </c>
      <c r="I33" s="464" t="s">
        <v>2429</v>
      </c>
    </row>
    <row r="34" spans="1:9" s="465" customFormat="1" ht="45" customHeight="1">
      <c r="A34" s="454" t="s">
        <v>1325</v>
      </c>
      <c r="B34" s="342" t="s">
        <v>2693</v>
      </c>
      <c r="C34" s="426" t="s">
        <v>2589</v>
      </c>
      <c r="D34" s="338" t="s">
        <v>2427</v>
      </c>
      <c r="E34" s="426" t="s">
        <v>2407</v>
      </c>
      <c r="F34" s="421" t="s">
        <v>2694</v>
      </c>
      <c r="G34" s="462" t="s">
        <v>2432</v>
      </c>
      <c r="H34" s="463" t="s">
        <v>2433</v>
      </c>
      <c r="I34" s="464" t="s">
        <v>2429</v>
      </c>
    </row>
    <row r="35" spans="1:9" s="465" customFormat="1" ht="45" customHeight="1">
      <c r="A35" s="454" t="s">
        <v>1326</v>
      </c>
      <c r="B35" s="342" t="s">
        <v>2695</v>
      </c>
      <c r="C35" s="466" t="s">
        <v>17</v>
      </c>
      <c r="D35" s="467"/>
      <c r="E35" s="468" t="s">
        <v>312</v>
      </c>
      <c r="F35" s="469" t="s">
        <v>2696</v>
      </c>
      <c r="G35" s="470"/>
      <c r="H35" s="471"/>
      <c r="I35" s="472"/>
    </row>
    <row r="36" spans="1:9" ht="45" customHeight="1">
      <c r="A36" s="454" t="s">
        <v>1327</v>
      </c>
      <c r="B36" s="342" t="s">
        <v>2434</v>
      </c>
      <c r="C36" s="468" t="s">
        <v>17</v>
      </c>
      <c r="D36" s="468"/>
      <c r="E36" s="468" t="s">
        <v>312</v>
      </c>
      <c r="F36" s="469" t="s">
        <v>64</v>
      </c>
      <c r="G36" s="470"/>
      <c r="H36" s="471"/>
      <c r="I36" s="472"/>
    </row>
    <row r="37" spans="1:9" ht="45" customHeight="1">
      <c r="A37" s="454" t="s">
        <v>1328</v>
      </c>
      <c r="B37" s="345" t="s">
        <v>2585</v>
      </c>
      <c r="C37" s="345" t="s">
        <v>17</v>
      </c>
      <c r="D37" s="345"/>
      <c r="E37" s="345" t="s">
        <v>2407</v>
      </c>
      <c r="F37" s="421" t="s">
        <v>2435</v>
      </c>
      <c r="G37" s="451"/>
      <c r="H37" s="452"/>
      <c r="I37" s="453"/>
    </row>
    <row r="38" spans="1:9" ht="45" customHeight="1">
      <c r="A38" s="454" t="s">
        <v>1329</v>
      </c>
      <c r="B38" s="345" t="s">
        <v>2586</v>
      </c>
      <c r="C38" s="345" t="s">
        <v>17</v>
      </c>
      <c r="D38" s="345"/>
      <c r="E38" s="345" t="s">
        <v>2407</v>
      </c>
      <c r="F38" s="421" t="s">
        <v>2436</v>
      </c>
      <c r="G38" s="451"/>
      <c r="H38" s="452"/>
      <c r="I38" s="453"/>
    </row>
    <row r="39" spans="1:9" ht="45" customHeight="1">
      <c r="A39" s="454" t="s">
        <v>1330</v>
      </c>
      <c r="B39" s="345" t="s">
        <v>2587</v>
      </c>
      <c r="C39" s="346" t="s">
        <v>17</v>
      </c>
      <c r="D39" s="346"/>
      <c r="E39" s="345" t="s">
        <v>2407</v>
      </c>
      <c r="F39" s="421" t="s">
        <v>2437</v>
      </c>
      <c r="G39" s="451"/>
      <c r="H39" s="452"/>
      <c r="I39" s="453"/>
    </row>
    <row r="40" spans="1:9" ht="45" customHeight="1">
      <c r="A40" s="454" t="s">
        <v>1331</v>
      </c>
      <c r="B40" s="345" t="s">
        <v>2697</v>
      </c>
      <c r="C40" s="346" t="s">
        <v>17</v>
      </c>
      <c r="D40" s="346"/>
      <c r="E40" s="345" t="s">
        <v>2407</v>
      </c>
      <c r="F40" s="421" t="s">
        <v>2698</v>
      </c>
      <c r="G40" s="451"/>
      <c r="H40" s="452"/>
      <c r="I40" s="453"/>
    </row>
    <row r="41" spans="1:9" ht="45" customHeight="1">
      <c r="A41" s="454" t="s">
        <v>2040</v>
      </c>
      <c r="B41" s="420" t="s">
        <v>2699</v>
      </c>
      <c r="C41" s="342" t="s">
        <v>17</v>
      </c>
      <c r="D41" s="342"/>
      <c r="E41" s="345" t="s">
        <v>2631</v>
      </c>
      <c r="F41" s="421" t="s">
        <v>2700</v>
      </c>
      <c r="G41" s="451"/>
      <c r="H41" s="452"/>
      <c r="I41" s="453"/>
    </row>
    <row r="42" spans="1:9" ht="45" customHeight="1">
      <c r="A42" s="454" t="s">
        <v>2042</v>
      </c>
      <c r="B42" s="420" t="s">
        <v>2701</v>
      </c>
      <c r="C42" s="420" t="s">
        <v>17</v>
      </c>
      <c r="D42" s="342"/>
      <c r="E42" s="345" t="s">
        <v>2631</v>
      </c>
      <c r="F42" s="421" t="s">
        <v>2702</v>
      </c>
      <c r="G42" s="451"/>
      <c r="H42" s="452"/>
      <c r="I42" s="453"/>
    </row>
    <row r="43" spans="1:9" ht="45" customHeight="1">
      <c r="A43" s="454" t="s">
        <v>2300</v>
      </c>
      <c r="B43" s="420" t="s">
        <v>66</v>
      </c>
      <c r="C43" s="420" t="s">
        <v>18</v>
      </c>
      <c r="D43" s="420"/>
      <c r="E43" s="420" t="s">
        <v>2407</v>
      </c>
      <c r="F43" s="421"/>
      <c r="G43" s="451"/>
      <c r="H43" s="452"/>
      <c r="I43" s="453"/>
    </row>
    <row r="44" spans="1:9" ht="87.6" customHeight="1">
      <c r="A44" s="473" t="s">
        <v>2441</v>
      </c>
      <c r="B44" s="350" t="s">
        <v>2642</v>
      </c>
      <c r="C44" s="350" t="s">
        <v>17</v>
      </c>
      <c r="D44" s="350"/>
      <c r="E44" s="350" t="s">
        <v>2407</v>
      </c>
      <c r="F44" s="474" t="s">
        <v>1321</v>
      </c>
      <c r="G44" s="475" t="s">
        <v>2438</v>
      </c>
      <c r="H44" s="476" t="s">
        <v>2439</v>
      </c>
      <c r="I44" s="457" t="s">
        <v>2440</v>
      </c>
    </row>
    <row r="45" spans="1:9" ht="51">
      <c r="A45" s="473" t="s">
        <v>2443</v>
      </c>
      <c r="B45" s="350" t="s">
        <v>2643</v>
      </c>
      <c r="C45" s="350" t="s">
        <v>17</v>
      </c>
      <c r="D45" s="350"/>
      <c r="E45" s="350" t="s">
        <v>2407</v>
      </c>
      <c r="F45" s="474" t="s">
        <v>2644</v>
      </c>
      <c r="G45" s="475" t="s">
        <v>2438</v>
      </c>
      <c r="H45" s="476" t="s">
        <v>2439</v>
      </c>
      <c r="I45" s="457" t="s">
        <v>2440</v>
      </c>
    </row>
    <row r="46" spans="1:9" ht="25.5">
      <c r="A46" s="473" t="s">
        <v>2444</v>
      </c>
      <c r="B46" s="350" t="s">
        <v>2703</v>
      </c>
      <c r="C46" s="350" t="s">
        <v>18</v>
      </c>
      <c r="D46" s="350"/>
      <c r="E46" s="350" t="s">
        <v>2407</v>
      </c>
      <c r="F46" s="474" t="s">
        <v>2703</v>
      </c>
      <c r="G46" s="451"/>
      <c r="H46" s="452"/>
      <c r="I46" s="453"/>
    </row>
    <row r="47" spans="1:9" ht="45" customHeight="1">
      <c r="A47" s="473" t="s">
        <v>2445</v>
      </c>
      <c r="B47" s="350" t="s">
        <v>2704</v>
      </c>
      <c r="C47" s="350" t="s">
        <v>17</v>
      </c>
      <c r="D47" s="350"/>
      <c r="E47" s="350" t="s">
        <v>2407</v>
      </c>
      <c r="F47" s="474" t="s">
        <v>2442</v>
      </c>
      <c r="G47" s="451"/>
      <c r="H47" s="452"/>
      <c r="I47" s="453"/>
    </row>
    <row r="48" spans="1:9" ht="51">
      <c r="A48" s="473" t="s">
        <v>2447</v>
      </c>
      <c r="B48" s="350" t="s">
        <v>2705</v>
      </c>
      <c r="C48" s="350" t="s">
        <v>17</v>
      </c>
      <c r="D48" s="350"/>
      <c r="E48" s="350" t="s">
        <v>2407</v>
      </c>
      <c r="F48" s="474" t="s">
        <v>2706</v>
      </c>
      <c r="G48" s="451"/>
      <c r="H48" s="452"/>
      <c r="I48" s="453"/>
    </row>
    <row r="49" spans="1:9" ht="51">
      <c r="A49" s="473" t="s">
        <v>2448</v>
      </c>
      <c r="B49" s="350" t="s">
        <v>2707</v>
      </c>
      <c r="C49" s="350" t="s">
        <v>17</v>
      </c>
      <c r="D49" s="350"/>
      <c r="E49" s="350" t="s">
        <v>2407</v>
      </c>
      <c r="F49" s="474" t="s">
        <v>2708</v>
      </c>
      <c r="G49" s="475" t="s">
        <v>2446</v>
      </c>
      <c r="H49" s="476" t="s">
        <v>68</v>
      </c>
      <c r="I49" s="457" t="s">
        <v>2440</v>
      </c>
    </row>
    <row r="50" spans="1:9" ht="51">
      <c r="A50" s="473" t="s">
        <v>2449</v>
      </c>
      <c r="B50" s="477" t="s">
        <v>2588</v>
      </c>
      <c r="C50" s="477" t="s">
        <v>2691</v>
      </c>
      <c r="D50" s="477"/>
      <c r="E50" s="477" t="s">
        <v>312</v>
      </c>
      <c r="F50" s="474" t="s">
        <v>2709</v>
      </c>
      <c r="G50" s="475" t="s">
        <v>2438</v>
      </c>
      <c r="H50" s="476" t="s">
        <v>68</v>
      </c>
      <c r="I50" s="457" t="s">
        <v>2440</v>
      </c>
    </row>
    <row r="51" spans="1:9" ht="45" customHeight="1">
      <c r="A51" s="473" t="s">
        <v>2451</v>
      </c>
      <c r="B51" s="350" t="s">
        <v>2710</v>
      </c>
      <c r="C51" s="350" t="s">
        <v>17</v>
      </c>
      <c r="D51" s="350"/>
      <c r="E51" s="350" t="s">
        <v>312</v>
      </c>
      <c r="F51" s="474" t="s">
        <v>2711</v>
      </c>
      <c r="G51" s="451"/>
      <c r="H51" s="452"/>
      <c r="I51" s="453"/>
    </row>
    <row r="52" spans="1:9" ht="45" customHeight="1">
      <c r="A52" s="473" t="s">
        <v>2453</v>
      </c>
      <c r="B52" s="478" t="s">
        <v>2495</v>
      </c>
      <c r="C52" s="350" t="s">
        <v>2595</v>
      </c>
      <c r="D52" s="479"/>
      <c r="E52" s="479" t="s">
        <v>2407</v>
      </c>
      <c r="F52" s="474" t="s">
        <v>2450</v>
      </c>
      <c r="G52" s="451"/>
      <c r="H52" s="452"/>
      <c r="I52" s="453"/>
    </row>
    <row r="53" spans="1:9" ht="51.75" customHeight="1">
      <c r="A53" s="473" t="s">
        <v>2454</v>
      </c>
      <c r="B53" s="480" t="s">
        <v>2496</v>
      </c>
      <c r="C53" s="350" t="s">
        <v>2591</v>
      </c>
      <c r="D53" s="481"/>
      <c r="E53" s="481" t="s">
        <v>2407</v>
      </c>
      <c r="F53" s="474" t="s">
        <v>2452</v>
      </c>
      <c r="G53" s="451"/>
      <c r="H53" s="452"/>
      <c r="I53" s="453"/>
    </row>
    <row r="54" spans="1:9" ht="45" customHeight="1">
      <c r="A54" s="473" t="s">
        <v>2455</v>
      </c>
      <c r="B54" s="481" t="s">
        <v>2617</v>
      </c>
      <c r="C54" s="481" t="s">
        <v>17</v>
      </c>
      <c r="D54" s="481"/>
      <c r="E54" s="481" t="s">
        <v>2407</v>
      </c>
      <c r="F54" s="474" t="s">
        <v>1320</v>
      </c>
      <c r="G54" s="451"/>
      <c r="H54" s="452"/>
      <c r="I54" s="453"/>
    </row>
    <row r="55" spans="1:9" ht="45" customHeight="1">
      <c r="A55" s="473" t="s">
        <v>2456</v>
      </c>
      <c r="B55" s="481" t="s">
        <v>2618</v>
      </c>
      <c r="C55" s="481" t="s">
        <v>17</v>
      </c>
      <c r="D55" s="481"/>
      <c r="E55" s="481" t="s">
        <v>2407</v>
      </c>
      <c r="F55" s="474" t="s">
        <v>1320</v>
      </c>
      <c r="G55" s="451"/>
      <c r="H55" s="452"/>
      <c r="I55" s="453"/>
    </row>
    <row r="56" spans="1:9" ht="51">
      <c r="A56" s="473" t="s">
        <v>2457</v>
      </c>
      <c r="B56" s="481" t="s">
        <v>2712</v>
      </c>
      <c r="C56" s="481" t="s">
        <v>17</v>
      </c>
      <c r="D56" s="481"/>
      <c r="E56" s="481" t="s">
        <v>2631</v>
      </c>
      <c r="F56" s="474" t="s">
        <v>1320</v>
      </c>
      <c r="G56" s="475" t="s">
        <v>2438</v>
      </c>
      <c r="H56" s="476" t="s">
        <v>68</v>
      </c>
      <c r="I56" s="457" t="s">
        <v>2440</v>
      </c>
    </row>
    <row r="57" spans="1:9" ht="45" customHeight="1">
      <c r="A57" s="473" t="s">
        <v>2459</v>
      </c>
      <c r="B57" s="481" t="s">
        <v>72</v>
      </c>
      <c r="C57" s="481" t="s">
        <v>18</v>
      </c>
      <c r="D57" s="481"/>
      <c r="E57" s="481" t="s">
        <v>2407</v>
      </c>
      <c r="F57" s="474"/>
      <c r="G57" s="451"/>
      <c r="H57" s="452"/>
      <c r="I57" s="453"/>
    </row>
    <row r="58" spans="1:9" ht="45" customHeight="1">
      <c r="A58" s="482" t="s">
        <v>2461</v>
      </c>
      <c r="B58" s="483" t="s">
        <v>2619</v>
      </c>
      <c r="C58" s="483" t="s">
        <v>17</v>
      </c>
      <c r="D58" s="483"/>
      <c r="E58" s="483" t="s">
        <v>2713</v>
      </c>
      <c r="F58" s="484" t="s">
        <v>2458</v>
      </c>
      <c r="G58" s="451"/>
      <c r="H58" s="452"/>
      <c r="I58" s="453"/>
    </row>
    <row r="59" spans="1:9" ht="45" customHeight="1">
      <c r="A59" s="482" t="s">
        <v>2463</v>
      </c>
      <c r="B59" s="483" t="s">
        <v>2652</v>
      </c>
      <c r="C59" s="483" t="s">
        <v>17</v>
      </c>
      <c r="D59" s="483"/>
      <c r="E59" s="483" t="s">
        <v>2713</v>
      </c>
      <c r="F59" s="484" t="s">
        <v>2653</v>
      </c>
      <c r="G59" s="451"/>
      <c r="H59" s="452"/>
      <c r="I59" s="453"/>
    </row>
    <row r="60" spans="1:9" ht="45" customHeight="1">
      <c r="A60" s="482" t="s">
        <v>2469</v>
      </c>
      <c r="B60" s="485" t="s">
        <v>2620</v>
      </c>
      <c r="C60" s="485" t="s">
        <v>17</v>
      </c>
      <c r="D60" s="485"/>
      <c r="E60" s="485" t="s">
        <v>312</v>
      </c>
      <c r="F60" s="484" t="s">
        <v>2462</v>
      </c>
      <c r="G60" s="451"/>
      <c r="H60" s="452"/>
      <c r="I60" s="453"/>
    </row>
    <row r="61" spans="1:9" ht="45" customHeight="1">
      <c r="A61" s="482" t="s">
        <v>2472</v>
      </c>
      <c r="B61" s="485" t="s">
        <v>2621</v>
      </c>
      <c r="C61" s="485" t="s">
        <v>17</v>
      </c>
      <c r="D61" s="485"/>
      <c r="E61" s="483" t="s">
        <v>2713</v>
      </c>
      <c r="F61" s="484" t="s">
        <v>2460</v>
      </c>
      <c r="G61" s="451"/>
      <c r="H61" s="452"/>
      <c r="I61" s="453"/>
    </row>
    <row r="62" spans="1:9" ht="45" customHeight="1">
      <c r="A62" s="482" t="s">
        <v>2475</v>
      </c>
      <c r="B62" s="485" t="s">
        <v>2654</v>
      </c>
      <c r="C62" s="485" t="s">
        <v>17</v>
      </c>
      <c r="D62" s="485"/>
      <c r="E62" s="483" t="s">
        <v>2713</v>
      </c>
      <c r="F62" s="484" t="s">
        <v>2655</v>
      </c>
      <c r="G62" s="451"/>
      <c r="H62" s="452"/>
      <c r="I62" s="453"/>
    </row>
    <row r="63" spans="1:9" ht="38.25">
      <c r="A63" s="482" t="s">
        <v>2478</v>
      </c>
      <c r="B63" s="485" t="s">
        <v>2464</v>
      </c>
      <c r="C63" s="485" t="s">
        <v>17</v>
      </c>
      <c r="D63" s="485"/>
      <c r="E63" s="485" t="s">
        <v>2407</v>
      </c>
      <c r="F63" s="486" t="s">
        <v>2465</v>
      </c>
      <c r="G63" s="487" t="s">
        <v>2466</v>
      </c>
      <c r="H63" s="488" t="s">
        <v>2467</v>
      </c>
      <c r="I63" s="457" t="s">
        <v>2468</v>
      </c>
    </row>
    <row r="64" spans="1:9" ht="38.25">
      <c r="A64" s="482" t="s">
        <v>2479</v>
      </c>
      <c r="B64" s="485" t="s">
        <v>2470</v>
      </c>
      <c r="C64" s="485" t="s">
        <v>17</v>
      </c>
      <c r="D64" s="485"/>
      <c r="E64" s="485" t="s">
        <v>2407</v>
      </c>
      <c r="F64" s="486" t="s">
        <v>2471</v>
      </c>
      <c r="G64" s="487" t="s">
        <v>2466</v>
      </c>
      <c r="H64" s="488" t="s">
        <v>2466</v>
      </c>
      <c r="I64" s="457" t="s">
        <v>2468</v>
      </c>
    </row>
    <row r="65" spans="1:9" ht="45" customHeight="1">
      <c r="A65" s="482" t="s">
        <v>2480</v>
      </c>
      <c r="B65" s="485" t="s">
        <v>2473</v>
      </c>
      <c r="C65" s="423" t="s">
        <v>17</v>
      </c>
      <c r="D65" s="423"/>
      <c r="E65" s="485" t="s">
        <v>2407</v>
      </c>
      <c r="F65" s="486" t="s">
        <v>2714</v>
      </c>
      <c r="G65" s="489" t="s">
        <v>2474</v>
      </c>
      <c r="H65" s="488" t="s">
        <v>68</v>
      </c>
      <c r="I65" s="457" t="s">
        <v>2468</v>
      </c>
    </row>
    <row r="66" spans="1:9">
      <c r="A66" s="482" t="s">
        <v>2645</v>
      </c>
      <c r="B66" s="485" t="s">
        <v>2476</v>
      </c>
      <c r="C66" s="423" t="s">
        <v>17</v>
      </c>
      <c r="D66" s="423"/>
      <c r="E66" s="485" t="s">
        <v>2407</v>
      </c>
      <c r="F66" s="486" t="s">
        <v>2715</v>
      </c>
      <c r="G66" s="489" t="s">
        <v>2477</v>
      </c>
      <c r="H66" s="488" t="s">
        <v>68</v>
      </c>
      <c r="I66" s="457" t="s">
        <v>2468</v>
      </c>
    </row>
    <row r="67" spans="1:9" ht="45" customHeight="1">
      <c r="A67" s="482" t="s">
        <v>2646</v>
      </c>
      <c r="B67" s="423" t="s">
        <v>2716</v>
      </c>
      <c r="C67" s="423" t="s">
        <v>2590</v>
      </c>
      <c r="D67" s="423"/>
      <c r="E67" s="423" t="s">
        <v>2631</v>
      </c>
      <c r="F67" s="486"/>
      <c r="G67" s="451"/>
      <c r="H67" s="452"/>
      <c r="I67" s="453"/>
    </row>
    <row r="68" spans="1:9" ht="45" customHeight="1">
      <c r="A68" s="482" t="s">
        <v>2717</v>
      </c>
      <c r="B68" s="423" t="s">
        <v>2718</v>
      </c>
      <c r="C68" s="423" t="s">
        <v>17</v>
      </c>
      <c r="D68" s="423"/>
      <c r="E68" s="423" t="s">
        <v>2631</v>
      </c>
      <c r="F68" s="486" t="s">
        <v>2719</v>
      </c>
      <c r="G68" s="451"/>
      <c r="H68" s="452"/>
      <c r="I68" s="453"/>
    </row>
    <row r="69" spans="1:9" ht="45" customHeight="1">
      <c r="A69" s="482" t="s">
        <v>2720</v>
      </c>
      <c r="B69" s="490" t="s">
        <v>2721</v>
      </c>
      <c r="C69" s="490" t="s">
        <v>57</v>
      </c>
      <c r="D69" s="490"/>
      <c r="E69" s="423" t="s">
        <v>312</v>
      </c>
      <c r="F69" s="491" t="s">
        <v>2721</v>
      </c>
      <c r="G69" s="470"/>
      <c r="H69" s="471"/>
      <c r="I69" s="472"/>
    </row>
    <row r="70" spans="1:9" ht="45" customHeight="1">
      <c r="A70" s="482" t="s">
        <v>2722</v>
      </c>
      <c r="B70" s="490" t="s">
        <v>79</v>
      </c>
      <c r="C70" s="490" t="s">
        <v>18</v>
      </c>
      <c r="D70" s="490"/>
      <c r="E70" s="490" t="s">
        <v>2407</v>
      </c>
      <c r="F70" s="491"/>
      <c r="G70" s="470"/>
      <c r="H70" s="471"/>
      <c r="I70" s="472"/>
    </row>
    <row r="75" spans="1:9" ht="45" customHeight="1">
      <c r="B75" s="492" t="s">
        <v>1664</v>
      </c>
    </row>
  </sheetData>
  <autoFilter ref="A2:I70" xr:uid="{00000000-0009-0000-0000-000004000000}"/>
  <mergeCells count="1">
    <mergeCell ref="A1:F1"/>
  </mergeCells>
  <pageMargins left="0.25" right="0.25" top="0" bottom="0" header="0.3" footer="0.3"/>
  <pageSetup scale="60" orientation="portrait" r:id="rId1"/>
  <rowBreaks count="3" manualBreakCount="3">
    <brk id="24" max="5" man="1"/>
    <brk id="49" max="5" man="1"/>
    <brk id="70"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74"/>
  <sheetViews>
    <sheetView zoomScale="110" zoomScaleNormal="110" zoomScaleSheetLayoutView="91" workbookViewId="0">
      <selection activeCell="F61" sqref="F61"/>
    </sheetView>
  </sheetViews>
  <sheetFormatPr defaultColWidth="8" defaultRowHeight="45" customHeight="1"/>
  <cols>
    <col min="1" max="1" width="6.125" style="441" customWidth="1"/>
    <col min="2" max="2" width="40.25" style="500" customWidth="1"/>
    <col min="3" max="3" width="11.625" style="493" customWidth="1"/>
    <col min="4" max="4" width="16.625" style="493" hidden="1" customWidth="1"/>
    <col min="5" max="5" width="13.25" style="493" bestFit="1" customWidth="1"/>
    <col min="6" max="6" width="65.25" style="499" customWidth="1"/>
    <col min="7" max="7" width="21.125" style="331" customWidth="1"/>
    <col min="8" max="8" width="20.875" style="331" customWidth="1"/>
    <col min="9" max="9" width="57.375" style="330" bestFit="1" customWidth="1"/>
    <col min="10" max="16384" width="8" style="494"/>
  </cols>
  <sheetData>
    <row r="1" spans="1:9" ht="45" customHeight="1">
      <c r="A1" s="1098"/>
      <c r="B1" s="1098"/>
      <c r="C1" s="1098"/>
      <c r="D1" s="1098"/>
      <c r="E1" s="1098"/>
      <c r="F1" s="1098"/>
      <c r="G1" s="329" t="s">
        <v>47</v>
      </c>
      <c r="H1" s="329" t="s">
        <v>47</v>
      </c>
    </row>
    <row r="2" spans="1:9" s="495" customFormat="1" ht="56.25" customHeight="1">
      <c r="A2" s="442" t="s">
        <v>48</v>
      </c>
      <c r="B2" s="411" t="s">
        <v>2402</v>
      </c>
      <c r="C2" s="443" t="s">
        <v>2403</v>
      </c>
      <c r="D2" s="443" t="s">
        <v>2404</v>
      </c>
      <c r="E2" s="443" t="s">
        <v>2405</v>
      </c>
      <c r="F2" s="443" t="s">
        <v>49</v>
      </c>
      <c r="G2" s="332" t="s">
        <v>50</v>
      </c>
      <c r="H2" s="333" t="s">
        <v>51</v>
      </c>
      <c r="I2" s="334" t="s">
        <v>2531</v>
      </c>
    </row>
    <row r="3" spans="1:9" ht="36" customHeight="1">
      <c r="A3" s="448" t="s">
        <v>0</v>
      </c>
      <c r="B3" s="410" t="s">
        <v>2535</v>
      </c>
      <c r="C3" s="449" t="s">
        <v>16</v>
      </c>
      <c r="D3" s="449"/>
      <c r="E3" s="449" t="s">
        <v>2407</v>
      </c>
      <c r="F3" s="408" t="s">
        <v>2535</v>
      </c>
      <c r="G3" s="335"/>
      <c r="H3" s="336"/>
      <c r="I3" s="337"/>
    </row>
    <row r="4" spans="1:9" ht="36" customHeight="1">
      <c r="A4" s="448" t="s">
        <v>1</v>
      </c>
      <c r="B4" s="410" t="s">
        <v>2536</v>
      </c>
      <c r="C4" s="449" t="s">
        <v>16</v>
      </c>
      <c r="D4" s="449"/>
      <c r="E4" s="449" t="s">
        <v>2407</v>
      </c>
      <c r="F4" s="408" t="s">
        <v>2659</v>
      </c>
      <c r="G4" s="335"/>
      <c r="H4" s="336"/>
      <c r="I4" s="337"/>
    </row>
    <row r="5" spans="1:9" ht="36" customHeight="1">
      <c r="A5" s="448" t="s">
        <v>2</v>
      </c>
      <c r="B5" s="410" t="s">
        <v>2537</v>
      </c>
      <c r="C5" s="449" t="s">
        <v>16</v>
      </c>
      <c r="D5" s="449"/>
      <c r="E5" s="449" t="s">
        <v>2407</v>
      </c>
      <c r="F5" s="408" t="s">
        <v>2537</v>
      </c>
      <c r="G5" s="335"/>
      <c r="H5" s="336"/>
      <c r="I5" s="337"/>
    </row>
    <row r="6" spans="1:9" ht="36" customHeight="1">
      <c r="A6" s="448" t="s">
        <v>3</v>
      </c>
      <c r="B6" s="410" t="s">
        <v>2538</v>
      </c>
      <c r="C6" s="449" t="s">
        <v>18</v>
      </c>
      <c r="D6" s="449"/>
      <c r="E6" s="449" t="s">
        <v>2407</v>
      </c>
      <c r="F6" s="408" t="s">
        <v>2658</v>
      </c>
      <c r="G6" s="335"/>
      <c r="H6" s="336"/>
      <c r="I6" s="337"/>
    </row>
    <row r="7" spans="1:9" ht="36" customHeight="1">
      <c r="A7" s="448" t="s">
        <v>4</v>
      </c>
      <c r="B7" s="410" t="s">
        <v>2539</v>
      </c>
      <c r="C7" s="449" t="s">
        <v>16</v>
      </c>
      <c r="D7" s="449"/>
      <c r="E7" s="449" t="s">
        <v>2407</v>
      </c>
      <c r="F7" s="408" t="s">
        <v>2539</v>
      </c>
      <c r="G7" s="335"/>
      <c r="H7" s="336"/>
      <c r="I7" s="337"/>
    </row>
    <row r="8" spans="1:9" ht="36" customHeight="1">
      <c r="A8" s="448" t="s">
        <v>1168</v>
      </c>
      <c r="B8" s="410" t="s">
        <v>2540</v>
      </c>
      <c r="C8" s="449" t="s">
        <v>16</v>
      </c>
      <c r="D8" s="449"/>
      <c r="E8" s="449" t="s">
        <v>2407</v>
      </c>
      <c r="F8" s="408" t="s">
        <v>2540</v>
      </c>
      <c r="G8" s="335"/>
      <c r="H8" s="336"/>
      <c r="I8" s="337"/>
    </row>
    <row r="9" spans="1:9" ht="45" customHeight="1">
      <c r="A9" s="448" t="s">
        <v>5</v>
      </c>
      <c r="B9" s="410" t="s">
        <v>2541</v>
      </c>
      <c r="C9" s="449" t="s">
        <v>2633</v>
      </c>
      <c r="D9" s="449"/>
      <c r="E9" s="449" t="s">
        <v>2407</v>
      </c>
      <c r="F9" s="408" t="s">
        <v>2541</v>
      </c>
      <c r="G9" s="335"/>
      <c r="H9" s="336"/>
      <c r="I9" s="337"/>
    </row>
    <row r="10" spans="1:9" ht="45" customHeight="1">
      <c r="A10" s="448" t="s">
        <v>6</v>
      </c>
      <c r="B10" s="410" t="s">
        <v>2542</v>
      </c>
      <c r="C10" s="449" t="s">
        <v>16</v>
      </c>
      <c r="D10" s="449"/>
      <c r="E10" s="449" t="s">
        <v>2407</v>
      </c>
      <c r="F10" s="408" t="s">
        <v>2542</v>
      </c>
      <c r="G10" s="335"/>
      <c r="H10" s="336"/>
      <c r="I10" s="337"/>
    </row>
    <row r="11" spans="1:9" ht="37.5" customHeight="1">
      <c r="A11" s="448" t="s">
        <v>52</v>
      </c>
      <c r="B11" s="410" t="s">
        <v>2584</v>
      </c>
      <c r="C11" s="449" t="s">
        <v>17</v>
      </c>
      <c r="D11" s="449"/>
      <c r="E11" s="449" t="s">
        <v>2407</v>
      </c>
      <c r="F11" s="408" t="s">
        <v>2660</v>
      </c>
      <c r="G11" s="335"/>
      <c r="H11" s="336"/>
      <c r="I11" s="337"/>
    </row>
    <row r="12" spans="1:9" ht="37.5" customHeight="1">
      <c r="A12" s="448" t="s">
        <v>53</v>
      </c>
      <c r="B12" s="410" t="s">
        <v>2583</v>
      </c>
      <c r="C12" s="449" t="s">
        <v>17</v>
      </c>
      <c r="D12" s="449"/>
      <c r="E12" s="449" t="s">
        <v>2407</v>
      </c>
      <c r="F12" s="408" t="s">
        <v>2661</v>
      </c>
      <c r="G12" s="335"/>
      <c r="H12" s="336"/>
      <c r="I12" s="337"/>
    </row>
    <row r="13" spans="1:9" ht="37.5" customHeight="1">
      <c r="A13" s="448" t="s">
        <v>56</v>
      </c>
      <c r="B13" s="410" t="s">
        <v>2543</v>
      </c>
      <c r="C13" s="449" t="s">
        <v>19</v>
      </c>
      <c r="D13" s="449"/>
      <c r="E13" s="449" t="s">
        <v>2407</v>
      </c>
      <c r="F13" s="408" t="s">
        <v>2543</v>
      </c>
      <c r="G13" s="335"/>
      <c r="H13" s="336"/>
      <c r="I13" s="337"/>
    </row>
    <row r="14" spans="1:9" ht="37.5" customHeight="1">
      <c r="A14" s="448" t="s">
        <v>58</v>
      </c>
      <c r="B14" s="410" t="s">
        <v>2544</v>
      </c>
      <c r="C14" s="449" t="s">
        <v>19</v>
      </c>
      <c r="D14" s="449"/>
      <c r="E14" s="449" t="s">
        <v>2407</v>
      </c>
      <c r="F14" s="408" t="s">
        <v>2544</v>
      </c>
      <c r="G14" s="335"/>
      <c r="H14" s="336"/>
      <c r="I14" s="337"/>
    </row>
    <row r="15" spans="1:9" ht="45" customHeight="1">
      <c r="A15" s="448" t="s">
        <v>60</v>
      </c>
      <c r="B15" s="410" t="s">
        <v>2723</v>
      </c>
      <c r="C15" s="449" t="s">
        <v>17</v>
      </c>
      <c r="D15" s="449"/>
      <c r="E15" s="449" t="s">
        <v>2631</v>
      </c>
      <c r="F15" s="408" t="s">
        <v>2723</v>
      </c>
      <c r="G15" s="335"/>
      <c r="H15" s="336"/>
      <c r="I15" s="337"/>
    </row>
    <row r="16" spans="1:9" ht="45" customHeight="1">
      <c r="A16" s="448" t="s">
        <v>123</v>
      </c>
      <c r="B16" s="410" t="s">
        <v>2044</v>
      </c>
      <c r="C16" s="449" t="s">
        <v>17</v>
      </c>
      <c r="D16" s="449"/>
      <c r="E16" s="449" t="s">
        <v>312</v>
      </c>
      <c r="F16" s="408" t="s">
        <v>2545</v>
      </c>
      <c r="G16" s="335"/>
      <c r="H16" s="336"/>
      <c r="I16" s="337"/>
    </row>
    <row r="17" spans="1:9" ht="45" customHeight="1">
      <c r="A17" s="448" t="s">
        <v>124</v>
      </c>
      <c r="B17" s="410" t="s">
        <v>2546</v>
      </c>
      <c r="C17" s="449" t="s">
        <v>17</v>
      </c>
      <c r="D17" s="449"/>
      <c r="E17" s="449" t="s">
        <v>312</v>
      </c>
      <c r="F17" s="408" t="s">
        <v>2547</v>
      </c>
      <c r="G17" s="335"/>
      <c r="H17" s="336"/>
      <c r="I17" s="337"/>
    </row>
    <row r="18" spans="1:9" ht="40.5">
      <c r="A18" s="448" t="s">
        <v>65</v>
      </c>
      <c r="B18" s="410" t="s">
        <v>2548</v>
      </c>
      <c r="C18" s="449" t="s">
        <v>17</v>
      </c>
      <c r="D18" s="449" t="s">
        <v>2682</v>
      </c>
      <c r="E18" s="449" t="s">
        <v>2407</v>
      </c>
      <c r="F18" s="408" t="s">
        <v>2549</v>
      </c>
      <c r="G18" s="335"/>
      <c r="H18" s="336"/>
      <c r="I18" s="337"/>
    </row>
    <row r="19" spans="1:9" ht="45" customHeight="1">
      <c r="A19" s="448" t="s">
        <v>63</v>
      </c>
      <c r="B19" s="410" t="s">
        <v>2550</v>
      </c>
      <c r="C19" s="449" t="s">
        <v>2424</v>
      </c>
      <c r="D19" s="449"/>
      <c r="E19" s="449" t="s">
        <v>2407</v>
      </c>
      <c r="F19" s="408" t="s">
        <v>2662</v>
      </c>
      <c r="G19" s="335"/>
      <c r="H19" s="336"/>
      <c r="I19" s="337"/>
    </row>
    <row r="20" spans="1:9" ht="36" customHeight="1">
      <c r="A20" s="448" t="s">
        <v>67</v>
      </c>
      <c r="B20" s="410" t="s">
        <v>2551</v>
      </c>
      <c r="C20" s="449" t="s">
        <v>17</v>
      </c>
      <c r="D20" s="449"/>
      <c r="E20" s="449" t="s">
        <v>2407</v>
      </c>
      <c r="F20" s="408" t="s">
        <v>2664</v>
      </c>
      <c r="G20" s="335"/>
      <c r="H20" s="336"/>
      <c r="I20" s="337"/>
    </row>
    <row r="21" spans="1:9" ht="35.25" customHeight="1">
      <c r="A21" s="448" t="s">
        <v>1169</v>
      </c>
      <c r="B21" s="410" t="s">
        <v>2552</v>
      </c>
      <c r="C21" s="449" t="s">
        <v>17</v>
      </c>
      <c r="D21" s="449"/>
      <c r="E21" s="449" t="s">
        <v>2407</v>
      </c>
      <c r="F21" s="408" t="s">
        <v>2663</v>
      </c>
      <c r="G21" s="335"/>
      <c r="H21" s="336"/>
      <c r="I21" s="337"/>
    </row>
    <row r="22" spans="1:9" ht="52.5" customHeight="1">
      <c r="A22" s="454" t="s">
        <v>69</v>
      </c>
      <c r="B22" s="400" t="s">
        <v>2636</v>
      </c>
      <c r="C22" s="338" t="s">
        <v>17</v>
      </c>
      <c r="D22" s="338"/>
      <c r="E22" s="338" t="s">
        <v>2407</v>
      </c>
      <c r="F22" s="398" t="s">
        <v>2665</v>
      </c>
      <c r="G22" s="339" t="s">
        <v>59</v>
      </c>
      <c r="H22" s="340" t="s">
        <v>59</v>
      </c>
      <c r="I22" s="341" t="s">
        <v>2429</v>
      </c>
    </row>
    <row r="23" spans="1:9" ht="45" customHeight="1">
      <c r="A23" s="454" t="s">
        <v>70</v>
      </c>
      <c r="B23" s="400" t="s">
        <v>2596</v>
      </c>
      <c r="C23" s="338" t="s">
        <v>17</v>
      </c>
      <c r="D23" s="338"/>
      <c r="E23" s="338" t="s">
        <v>2407</v>
      </c>
      <c r="F23" s="398" t="s">
        <v>2596</v>
      </c>
      <c r="G23" s="335"/>
      <c r="H23" s="336"/>
      <c r="I23" s="337"/>
    </row>
    <row r="24" spans="1:9" ht="45" customHeight="1">
      <c r="A24" s="454" t="s">
        <v>71</v>
      </c>
      <c r="B24" s="400" t="s">
        <v>2597</v>
      </c>
      <c r="C24" s="338" t="s">
        <v>17</v>
      </c>
      <c r="D24" s="338"/>
      <c r="E24" s="338" t="s">
        <v>2407</v>
      </c>
      <c r="F24" s="401" t="s">
        <v>2598</v>
      </c>
      <c r="G24" s="335"/>
      <c r="H24" s="336"/>
      <c r="I24" s="337"/>
    </row>
    <row r="25" spans="1:9" ht="60.75">
      <c r="A25" s="454" t="s">
        <v>73</v>
      </c>
      <c r="B25" s="402" t="s">
        <v>2724</v>
      </c>
      <c r="C25" s="342" t="s">
        <v>17</v>
      </c>
      <c r="D25" s="338"/>
      <c r="E25" s="342" t="s">
        <v>2407</v>
      </c>
      <c r="F25" s="399" t="s">
        <v>2637</v>
      </c>
      <c r="G25" s="339" t="s">
        <v>59</v>
      </c>
      <c r="H25" s="340" t="s">
        <v>59</v>
      </c>
      <c r="I25" s="341" t="s">
        <v>2429</v>
      </c>
    </row>
    <row r="26" spans="1:9" ht="54" customHeight="1">
      <c r="A26" s="454" t="s">
        <v>75</v>
      </c>
      <c r="B26" s="400" t="s">
        <v>2638</v>
      </c>
      <c r="C26" s="342" t="s">
        <v>17</v>
      </c>
      <c r="D26" s="338"/>
      <c r="E26" s="342" t="s">
        <v>2407</v>
      </c>
      <c r="F26" s="401" t="s">
        <v>2577</v>
      </c>
      <c r="G26" s="335"/>
      <c r="H26" s="336"/>
      <c r="I26" s="337"/>
    </row>
    <row r="27" spans="1:9" ht="90">
      <c r="A27" s="454" t="s">
        <v>1170</v>
      </c>
      <c r="B27" s="402" t="s">
        <v>2725</v>
      </c>
      <c r="C27" s="342" t="s">
        <v>17</v>
      </c>
      <c r="D27" s="338"/>
      <c r="E27" s="342" t="s">
        <v>2407</v>
      </c>
      <c r="F27" s="402" t="s">
        <v>2725</v>
      </c>
      <c r="G27" s="335"/>
      <c r="H27" s="336"/>
      <c r="I27" s="337"/>
    </row>
    <row r="28" spans="1:9" ht="90">
      <c r="A28" s="454" t="s">
        <v>74</v>
      </c>
      <c r="B28" s="400" t="s">
        <v>2726</v>
      </c>
      <c r="C28" s="342" t="s">
        <v>17</v>
      </c>
      <c r="D28" s="338"/>
      <c r="E28" s="342" t="s">
        <v>2407</v>
      </c>
      <c r="F28" s="400" t="s">
        <v>2726</v>
      </c>
      <c r="G28" s="335"/>
      <c r="H28" s="336"/>
      <c r="I28" s="337"/>
    </row>
    <row r="29" spans="1:9" ht="55.5" customHeight="1">
      <c r="A29" s="454" t="s">
        <v>76</v>
      </c>
      <c r="B29" s="402" t="s">
        <v>2666</v>
      </c>
      <c r="C29" s="342" t="s">
        <v>2691</v>
      </c>
      <c r="D29" s="342" t="s">
        <v>2615</v>
      </c>
      <c r="E29" s="342" t="s">
        <v>2407</v>
      </c>
      <c r="F29" s="399" t="s">
        <v>2578</v>
      </c>
      <c r="G29" s="339" t="s">
        <v>59</v>
      </c>
      <c r="H29" s="339" t="s">
        <v>59</v>
      </c>
      <c r="I29" s="341" t="s">
        <v>2429</v>
      </c>
    </row>
    <row r="30" spans="1:9" ht="51.75" customHeight="1">
      <c r="A30" s="454" t="s">
        <v>77</v>
      </c>
      <c r="B30" s="402" t="s">
        <v>2671</v>
      </c>
      <c r="C30" s="342" t="s">
        <v>2691</v>
      </c>
      <c r="D30" s="342"/>
      <c r="E30" s="342" t="s">
        <v>2407</v>
      </c>
      <c r="F30" s="399" t="s">
        <v>2599</v>
      </c>
      <c r="G30" s="424"/>
      <c r="H30" s="336"/>
      <c r="I30" s="337"/>
    </row>
    <row r="31" spans="1:9" ht="69" customHeight="1">
      <c r="A31" s="454" t="s">
        <v>1322</v>
      </c>
      <c r="B31" s="402" t="s">
        <v>2727</v>
      </c>
      <c r="C31" s="342" t="s">
        <v>2691</v>
      </c>
      <c r="D31" s="342"/>
      <c r="E31" s="342" t="s">
        <v>2407</v>
      </c>
      <c r="F31" s="399" t="s">
        <v>2600</v>
      </c>
      <c r="G31" s="425"/>
      <c r="H31" s="415"/>
      <c r="I31" s="416"/>
    </row>
    <row r="32" spans="1:9" s="497" customFormat="1" ht="61.9" customHeight="1">
      <c r="A32" s="496" t="s">
        <v>1323</v>
      </c>
      <c r="B32" s="402" t="s">
        <v>2553</v>
      </c>
      <c r="C32" s="342" t="s">
        <v>2589</v>
      </c>
      <c r="D32" s="338" t="s">
        <v>2692</v>
      </c>
      <c r="E32" s="342" t="s">
        <v>2631</v>
      </c>
      <c r="F32" s="401" t="s">
        <v>2554</v>
      </c>
      <c r="G32" s="417" t="s">
        <v>59</v>
      </c>
      <c r="H32" s="418" t="s">
        <v>59</v>
      </c>
      <c r="I32" s="419" t="s">
        <v>2429</v>
      </c>
    </row>
    <row r="33" spans="1:9" s="497" customFormat="1" ht="60.75" customHeight="1">
      <c r="A33" s="496" t="s">
        <v>1324</v>
      </c>
      <c r="B33" s="402" t="s">
        <v>2613</v>
      </c>
      <c r="C33" s="426" t="s">
        <v>17</v>
      </c>
      <c r="D33" s="338" t="s">
        <v>2427</v>
      </c>
      <c r="E33" s="426" t="s">
        <v>312</v>
      </c>
      <c r="F33" s="422" t="s">
        <v>2555</v>
      </c>
      <c r="G33" s="417" t="s">
        <v>2432</v>
      </c>
      <c r="H33" s="418" t="s">
        <v>2432</v>
      </c>
      <c r="I33" s="419" t="s">
        <v>2429</v>
      </c>
    </row>
    <row r="34" spans="1:9" s="497" customFormat="1" ht="61.5" customHeight="1">
      <c r="A34" s="496" t="s">
        <v>1325</v>
      </c>
      <c r="B34" s="402" t="s">
        <v>2728</v>
      </c>
      <c r="C34" s="426" t="s">
        <v>2589</v>
      </c>
      <c r="D34" s="338" t="s">
        <v>2427</v>
      </c>
      <c r="E34" s="426" t="s">
        <v>2407</v>
      </c>
      <c r="F34" s="422" t="s">
        <v>2729</v>
      </c>
      <c r="G34" s="417" t="s">
        <v>2432</v>
      </c>
      <c r="H34" s="418" t="s">
        <v>2433</v>
      </c>
      <c r="I34" s="419" t="s">
        <v>2429</v>
      </c>
    </row>
    <row r="35" spans="1:9" s="497" customFormat="1" ht="61.5" customHeight="1">
      <c r="A35" s="496" t="s">
        <v>1326</v>
      </c>
      <c r="B35" s="402" t="s">
        <v>2730</v>
      </c>
      <c r="C35" s="466" t="s">
        <v>17</v>
      </c>
      <c r="D35" s="467"/>
      <c r="E35" s="468" t="s">
        <v>312</v>
      </c>
      <c r="F35" s="402" t="s">
        <v>2730</v>
      </c>
      <c r="G35" s="343"/>
      <c r="H35" s="344"/>
      <c r="I35" s="355"/>
    </row>
    <row r="36" spans="1:9" s="497" customFormat="1" ht="55.15" customHeight="1">
      <c r="A36" s="496" t="s">
        <v>1327</v>
      </c>
      <c r="B36" s="402" t="s">
        <v>2731</v>
      </c>
      <c r="C36" s="468" t="s">
        <v>17</v>
      </c>
      <c r="D36" s="468"/>
      <c r="E36" s="468" t="s">
        <v>312</v>
      </c>
      <c r="F36" s="422" t="s">
        <v>2732</v>
      </c>
      <c r="G36" s="343"/>
      <c r="H36" s="344"/>
      <c r="I36" s="355"/>
    </row>
    <row r="37" spans="1:9" s="497" customFormat="1" ht="45" customHeight="1">
      <c r="A37" s="496" t="s">
        <v>1328</v>
      </c>
      <c r="B37" s="402" t="s">
        <v>2602</v>
      </c>
      <c r="C37" s="345" t="s">
        <v>17</v>
      </c>
      <c r="D37" s="345"/>
      <c r="E37" s="345" t="s">
        <v>2407</v>
      </c>
      <c r="F37" s="422" t="s">
        <v>2603</v>
      </c>
      <c r="G37" s="335"/>
      <c r="H37" s="336"/>
      <c r="I37" s="337"/>
    </row>
    <row r="38" spans="1:9" s="497" customFormat="1" ht="54">
      <c r="A38" s="496" t="s">
        <v>1329</v>
      </c>
      <c r="B38" s="402" t="s">
        <v>2601</v>
      </c>
      <c r="C38" s="345" t="s">
        <v>17</v>
      </c>
      <c r="D38" s="345"/>
      <c r="E38" s="345" t="s">
        <v>2407</v>
      </c>
      <c r="F38" s="422" t="s">
        <v>2601</v>
      </c>
      <c r="G38" s="335"/>
      <c r="H38" s="336"/>
      <c r="I38" s="337"/>
    </row>
    <row r="39" spans="1:9" s="497" customFormat="1" ht="45" customHeight="1">
      <c r="A39" s="496" t="s">
        <v>1330</v>
      </c>
      <c r="B39" s="402" t="s">
        <v>2606</v>
      </c>
      <c r="C39" s="346" t="s">
        <v>17</v>
      </c>
      <c r="D39" s="346"/>
      <c r="E39" s="345" t="s">
        <v>2407</v>
      </c>
      <c r="F39" s="422" t="s">
        <v>2604</v>
      </c>
      <c r="G39" s="335"/>
      <c r="H39" s="336"/>
      <c r="I39" s="337"/>
    </row>
    <row r="40" spans="1:9" s="497" customFormat="1" ht="62.45" customHeight="1">
      <c r="A40" s="496" t="s">
        <v>1331</v>
      </c>
      <c r="B40" s="402" t="s">
        <v>2607</v>
      </c>
      <c r="C40" s="346" t="s">
        <v>17</v>
      </c>
      <c r="D40" s="346"/>
      <c r="E40" s="345" t="s">
        <v>2407</v>
      </c>
      <c r="F40" s="422" t="s">
        <v>2605</v>
      </c>
      <c r="G40" s="335"/>
      <c r="H40" s="336"/>
      <c r="I40" s="337"/>
    </row>
    <row r="41" spans="1:9" ht="45" customHeight="1">
      <c r="A41" s="496" t="s">
        <v>2040</v>
      </c>
      <c r="B41" s="402" t="s">
        <v>2733</v>
      </c>
      <c r="C41" s="342" t="s">
        <v>17</v>
      </c>
      <c r="D41" s="342"/>
      <c r="E41" s="345" t="s">
        <v>2631</v>
      </c>
      <c r="F41" s="422" t="s">
        <v>2734</v>
      </c>
      <c r="G41" s="335"/>
      <c r="H41" s="336"/>
      <c r="I41" s="337"/>
    </row>
    <row r="42" spans="1:9" ht="45" customHeight="1">
      <c r="A42" s="496" t="s">
        <v>2042</v>
      </c>
      <c r="B42" s="402" t="s">
        <v>2735</v>
      </c>
      <c r="C42" s="420" t="s">
        <v>17</v>
      </c>
      <c r="D42" s="342"/>
      <c r="E42" s="345" t="s">
        <v>2631</v>
      </c>
      <c r="F42" s="422" t="s">
        <v>2736</v>
      </c>
      <c r="G42" s="335"/>
      <c r="H42" s="336"/>
      <c r="I42" s="337"/>
    </row>
    <row r="43" spans="1:9" ht="47.25" customHeight="1">
      <c r="A43" s="496" t="s">
        <v>2300</v>
      </c>
      <c r="B43" s="402" t="s">
        <v>2556</v>
      </c>
      <c r="C43" s="420" t="s">
        <v>18</v>
      </c>
      <c r="D43" s="420"/>
      <c r="E43" s="420" t="s">
        <v>2407</v>
      </c>
      <c r="F43" s="422" t="s">
        <v>2556</v>
      </c>
      <c r="G43" s="335"/>
      <c r="H43" s="336"/>
      <c r="I43" s="337"/>
    </row>
    <row r="44" spans="1:9" ht="87.6" customHeight="1">
      <c r="A44" s="473" t="s">
        <v>2441</v>
      </c>
      <c r="B44" s="403" t="s">
        <v>2667</v>
      </c>
      <c r="C44" s="350" t="s">
        <v>17</v>
      </c>
      <c r="D44" s="350"/>
      <c r="E44" s="350" t="s">
        <v>2407</v>
      </c>
      <c r="F44" s="404" t="s">
        <v>2614</v>
      </c>
      <c r="G44" s="347" t="s">
        <v>2438</v>
      </c>
      <c r="H44" s="348" t="s">
        <v>2439</v>
      </c>
      <c r="I44" s="349" t="s">
        <v>2440</v>
      </c>
    </row>
    <row r="45" spans="1:9" ht="51">
      <c r="A45" s="473" t="s">
        <v>2443</v>
      </c>
      <c r="B45" s="403" t="s">
        <v>2737</v>
      </c>
      <c r="C45" s="350" t="s">
        <v>17</v>
      </c>
      <c r="D45" s="350"/>
      <c r="E45" s="350" t="s">
        <v>2407</v>
      </c>
      <c r="F45" s="404" t="s">
        <v>2668</v>
      </c>
      <c r="G45" s="347" t="s">
        <v>2438</v>
      </c>
      <c r="H45" s="348" t="s">
        <v>2439</v>
      </c>
      <c r="I45" s="349" t="s">
        <v>2440</v>
      </c>
    </row>
    <row r="46" spans="1:9" ht="45" customHeight="1">
      <c r="A46" s="473" t="s">
        <v>2444</v>
      </c>
      <c r="B46" s="403" t="s">
        <v>2738</v>
      </c>
      <c r="C46" s="350" t="s">
        <v>18</v>
      </c>
      <c r="D46" s="350"/>
      <c r="E46" s="350" t="s">
        <v>2407</v>
      </c>
      <c r="F46" s="404" t="s">
        <v>2739</v>
      </c>
      <c r="G46" s="335"/>
      <c r="H46" s="336"/>
      <c r="I46" s="337"/>
    </row>
    <row r="47" spans="1:9" ht="72.75" customHeight="1">
      <c r="A47" s="473" t="s">
        <v>2445</v>
      </c>
      <c r="B47" s="403" t="s">
        <v>2740</v>
      </c>
      <c r="C47" s="350" t="s">
        <v>17</v>
      </c>
      <c r="D47" s="350"/>
      <c r="E47" s="350" t="s">
        <v>2407</v>
      </c>
      <c r="F47" s="404" t="s">
        <v>2741</v>
      </c>
      <c r="G47" s="335"/>
      <c r="H47" s="336"/>
      <c r="I47" s="337"/>
    </row>
    <row r="48" spans="1:9" ht="94.5" customHeight="1">
      <c r="A48" s="473" t="s">
        <v>2447</v>
      </c>
      <c r="B48" s="403" t="s">
        <v>2742</v>
      </c>
      <c r="C48" s="350" t="s">
        <v>17</v>
      </c>
      <c r="D48" s="350"/>
      <c r="E48" s="350" t="s">
        <v>2407</v>
      </c>
      <c r="F48" s="404" t="s">
        <v>2743</v>
      </c>
      <c r="G48" s="335"/>
      <c r="H48" s="336"/>
      <c r="I48" s="337"/>
    </row>
    <row r="49" spans="1:9" ht="54" customHeight="1">
      <c r="A49" s="473" t="s">
        <v>2448</v>
      </c>
      <c r="B49" s="403" t="s">
        <v>2608</v>
      </c>
      <c r="C49" s="350" t="s">
        <v>17</v>
      </c>
      <c r="D49" s="350"/>
      <c r="E49" s="350" t="s">
        <v>2407</v>
      </c>
      <c r="F49" s="404" t="s">
        <v>2609</v>
      </c>
      <c r="G49" s="347" t="s">
        <v>2446</v>
      </c>
      <c r="H49" s="348" t="s">
        <v>68</v>
      </c>
      <c r="I49" s="349" t="s">
        <v>2440</v>
      </c>
    </row>
    <row r="50" spans="1:9" ht="51">
      <c r="A50" s="473" t="s">
        <v>2449</v>
      </c>
      <c r="B50" s="403" t="s">
        <v>2611</v>
      </c>
      <c r="C50" s="477" t="s">
        <v>2691</v>
      </c>
      <c r="D50" s="477"/>
      <c r="E50" s="477" t="s">
        <v>312</v>
      </c>
      <c r="F50" s="404" t="s">
        <v>2610</v>
      </c>
      <c r="G50" s="347" t="s">
        <v>2438</v>
      </c>
      <c r="H50" s="348" t="s">
        <v>68</v>
      </c>
      <c r="I50" s="349" t="s">
        <v>2440</v>
      </c>
    </row>
    <row r="51" spans="1:9" ht="40.5">
      <c r="A51" s="473" t="s">
        <v>2451</v>
      </c>
      <c r="B51" s="403" t="s">
        <v>2612</v>
      </c>
      <c r="C51" s="350" t="s">
        <v>17</v>
      </c>
      <c r="D51" s="350"/>
      <c r="E51" s="350" t="s">
        <v>312</v>
      </c>
      <c r="F51" s="404" t="s">
        <v>2557</v>
      </c>
      <c r="G51" s="335"/>
      <c r="H51" s="336"/>
      <c r="I51" s="337"/>
    </row>
    <row r="52" spans="1:9" ht="61.9" customHeight="1">
      <c r="A52" s="473" t="s">
        <v>2453</v>
      </c>
      <c r="B52" s="405" t="s">
        <v>2558</v>
      </c>
      <c r="C52" s="350" t="s">
        <v>2595</v>
      </c>
      <c r="D52" s="479"/>
      <c r="E52" s="479" t="s">
        <v>2407</v>
      </c>
      <c r="F52" s="404" t="s">
        <v>2559</v>
      </c>
      <c r="G52" s="335"/>
      <c r="H52" s="336"/>
      <c r="I52" s="337"/>
    </row>
    <row r="53" spans="1:9" ht="63" customHeight="1">
      <c r="A53" s="473" t="s">
        <v>2454</v>
      </c>
      <c r="B53" s="405" t="s">
        <v>2579</v>
      </c>
      <c r="C53" s="350" t="s">
        <v>2591</v>
      </c>
      <c r="D53" s="481"/>
      <c r="E53" s="481" t="s">
        <v>2407</v>
      </c>
      <c r="F53" s="404" t="s">
        <v>2560</v>
      </c>
      <c r="G53" s="335"/>
      <c r="H53" s="336"/>
      <c r="I53" s="337"/>
    </row>
    <row r="54" spans="1:9" ht="34.5" customHeight="1">
      <c r="A54" s="473" t="s">
        <v>2455</v>
      </c>
      <c r="B54" s="405" t="s">
        <v>2561</v>
      </c>
      <c r="C54" s="481" t="s">
        <v>17</v>
      </c>
      <c r="D54" s="481"/>
      <c r="E54" s="481" t="s">
        <v>2407</v>
      </c>
      <c r="F54" s="404" t="s">
        <v>2562</v>
      </c>
      <c r="G54" s="335"/>
      <c r="H54" s="336"/>
      <c r="I54" s="337"/>
    </row>
    <row r="55" spans="1:9" ht="45" customHeight="1">
      <c r="A55" s="473" t="s">
        <v>2456</v>
      </c>
      <c r="B55" s="405" t="s">
        <v>2563</v>
      </c>
      <c r="C55" s="481" t="s">
        <v>17</v>
      </c>
      <c r="D55" s="481"/>
      <c r="E55" s="481" t="s">
        <v>2407</v>
      </c>
      <c r="F55" s="404" t="s">
        <v>2564</v>
      </c>
      <c r="G55" s="335"/>
      <c r="H55" s="336"/>
      <c r="I55" s="337"/>
    </row>
    <row r="56" spans="1:9" ht="51">
      <c r="A56" s="473" t="s">
        <v>2457</v>
      </c>
      <c r="B56" s="405" t="s">
        <v>2744</v>
      </c>
      <c r="C56" s="481" t="s">
        <v>17</v>
      </c>
      <c r="D56" s="481"/>
      <c r="E56" s="481" t="s">
        <v>2631</v>
      </c>
      <c r="F56" s="404" t="s">
        <v>2745</v>
      </c>
      <c r="G56" s="347" t="s">
        <v>2438</v>
      </c>
      <c r="H56" s="348" t="s">
        <v>68</v>
      </c>
      <c r="I56" s="349" t="s">
        <v>2440</v>
      </c>
    </row>
    <row r="57" spans="1:9" ht="41.25" customHeight="1">
      <c r="A57" s="473" t="s">
        <v>2459</v>
      </c>
      <c r="B57" s="405" t="s">
        <v>2565</v>
      </c>
      <c r="C57" s="481" t="s">
        <v>18</v>
      </c>
      <c r="D57" s="481"/>
      <c r="E57" s="481" t="s">
        <v>2407</v>
      </c>
      <c r="F57" s="404" t="s">
        <v>2566</v>
      </c>
      <c r="G57" s="335"/>
      <c r="H57" s="336"/>
      <c r="I57" s="337"/>
    </row>
    <row r="58" spans="1:9" ht="40.5">
      <c r="A58" s="482" t="s">
        <v>2461</v>
      </c>
      <c r="B58" s="406" t="s">
        <v>2567</v>
      </c>
      <c r="C58" s="483" t="s">
        <v>17</v>
      </c>
      <c r="D58" s="483"/>
      <c r="E58" s="483" t="s">
        <v>2713</v>
      </c>
      <c r="F58" s="409" t="s">
        <v>2568</v>
      </c>
      <c r="G58" s="335"/>
      <c r="H58" s="336"/>
      <c r="I58" s="337"/>
    </row>
    <row r="59" spans="1:9" ht="36">
      <c r="A59" s="482" t="s">
        <v>2463</v>
      </c>
      <c r="B59" s="406" t="s">
        <v>2669</v>
      </c>
      <c r="C59" s="483" t="s">
        <v>17</v>
      </c>
      <c r="D59" s="483"/>
      <c r="E59" s="483" t="s">
        <v>2713</v>
      </c>
      <c r="F59" s="409" t="s">
        <v>2669</v>
      </c>
      <c r="G59" s="335"/>
      <c r="H59" s="336"/>
      <c r="I59" s="337"/>
    </row>
    <row r="60" spans="1:9" ht="36">
      <c r="A60" s="482" t="s">
        <v>2469</v>
      </c>
      <c r="B60" s="406" t="s">
        <v>2569</v>
      </c>
      <c r="C60" s="485" t="s">
        <v>17</v>
      </c>
      <c r="D60" s="485"/>
      <c r="E60" s="485" t="s">
        <v>312</v>
      </c>
      <c r="F60" s="409" t="s">
        <v>2569</v>
      </c>
      <c r="G60" s="335"/>
      <c r="H60" s="336"/>
      <c r="I60" s="337"/>
    </row>
    <row r="61" spans="1:9" ht="56.45" customHeight="1">
      <c r="A61" s="482" t="s">
        <v>2472</v>
      </c>
      <c r="B61" s="406" t="s">
        <v>2570</v>
      </c>
      <c r="C61" s="485" t="s">
        <v>17</v>
      </c>
      <c r="D61" s="485"/>
      <c r="E61" s="483" t="s">
        <v>2713</v>
      </c>
      <c r="F61" s="409" t="s">
        <v>2571</v>
      </c>
      <c r="G61" s="335"/>
      <c r="H61" s="336"/>
      <c r="I61" s="337"/>
    </row>
    <row r="62" spans="1:9" ht="56.45" customHeight="1">
      <c r="A62" s="482" t="s">
        <v>2475</v>
      </c>
      <c r="B62" s="406" t="s">
        <v>2670</v>
      </c>
      <c r="C62" s="485" t="s">
        <v>17</v>
      </c>
      <c r="D62" s="485"/>
      <c r="E62" s="483" t="s">
        <v>2713</v>
      </c>
      <c r="F62" s="409" t="s">
        <v>2670</v>
      </c>
      <c r="G62" s="335"/>
      <c r="H62" s="336"/>
      <c r="I62" s="337"/>
    </row>
    <row r="63" spans="1:9" ht="56.45" customHeight="1">
      <c r="A63" s="482" t="s">
        <v>2478</v>
      </c>
      <c r="B63" s="407" t="s">
        <v>2580</v>
      </c>
      <c r="C63" s="485" t="s">
        <v>17</v>
      </c>
      <c r="D63" s="485"/>
      <c r="E63" s="485" t="s">
        <v>2407</v>
      </c>
      <c r="F63" s="409" t="s">
        <v>2581</v>
      </c>
      <c r="G63" s="351" t="s">
        <v>2466</v>
      </c>
      <c r="H63" s="352" t="s">
        <v>2467</v>
      </c>
      <c r="I63" s="353" t="s">
        <v>2468</v>
      </c>
    </row>
    <row r="64" spans="1:9" ht="51" customHeight="1">
      <c r="A64" s="482" t="s">
        <v>2479</v>
      </c>
      <c r="B64" s="407" t="s">
        <v>2582</v>
      </c>
      <c r="C64" s="485" t="s">
        <v>17</v>
      </c>
      <c r="D64" s="485"/>
      <c r="E64" s="485" t="s">
        <v>2407</v>
      </c>
      <c r="F64" s="409" t="s">
        <v>2572</v>
      </c>
      <c r="G64" s="351" t="s">
        <v>2466</v>
      </c>
      <c r="H64" s="352" t="s">
        <v>2466</v>
      </c>
      <c r="I64" s="353" t="s">
        <v>2468</v>
      </c>
    </row>
    <row r="65" spans="1:9" ht="44.25" customHeight="1">
      <c r="A65" s="482" t="s">
        <v>2480</v>
      </c>
      <c r="B65" s="407" t="s">
        <v>2573</v>
      </c>
      <c r="C65" s="423" t="s">
        <v>17</v>
      </c>
      <c r="D65" s="423"/>
      <c r="E65" s="485" t="s">
        <v>2407</v>
      </c>
      <c r="F65" s="409" t="s">
        <v>2573</v>
      </c>
      <c r="G65" s="354" t="s">
        <v>2474</v>
      </c>
      <c r="H65" s="352" t="s">
        <v>68</v>
      </c>
      <c r="I65" s="353" t="s">
        <v>2468</v>
      </c>
    </row>
    <row r="66" spans="1:9" ht="64.5" customHeight="1">
      <c r="A66" s="482" t="s">
        <v>2645</v>
      </c>
      <c r="B66" s="407" t="s">
        <v>2574</v>
      </c>
      <c r="C66" s="423" t="s">
        <v>17</v>
      </c>
      <c r="D66" s="423"/>
      <c r="E66" s="485" t="s">
        <v>2407</v>
      </c>
      <c r="F66" s="409" t="s">
        <v>2574</v>
      </c>
      <c r="G66" s="354" t="s">
        <v>2477</v>
      </c>
      <c r="H66" s="352" t="s">
        <v>68</v>
      </c>
      <c r="I66" s="353" t="s">
        <v>2468</v>
      </c>
    </row>
    <row r="67" spans="1:9" ht="45" customHeight="1">
      <c r="A67" s="482" t="s">
        <v>2646</v>
      </c>
      <c r="B67" s="407" t="s">
        <v>2575</v>
      </c>
      <c r="C67" s="423" t="s">
        <v>2590</v>
      </c>
      <c r="D67" s="423"/>
      <c r="E67" s="423" t="s">
        <v>2631</v>
      </c>
      <c r="F67" s="409" t="s">
        <v>2575</v>
      </c>
      <c r="G67" s="335"/>
      <c r="H67" s="336"/>
      <c r="I67" s="337"/>
    </row>
    <row r="68" spans="1:9" ht="72">
      <c r="A68" s="482" t="s">
        <v>2717</v>
      </c>
      <c r="B68" s="407" t="s">
        <v>2746</v>
      </c>
      <c r="C68" s="423" t="s">
        <v>17</v>
      </c>
      <c r="D68" s="423"/>
      <c r="E68" s="423" t="s">
        <v>2631</v>
      </c>
      <c r="F68" s="409" t="s">
        <v>2746</v>
      </c>
      <c r="G68" s="335"/>
      <c r="H68" s="336"/>
      <c r="I68" s="337"/>
    </row>
    <row r="69" spans="1:9" ht="36">
      <c r="A69" s="482" t="s">
        <v>2720</v>
      </c>
      <c r="B69" s="407" t="s">
        <v>2747</v>
      </c>
      <c r="C69" s="490" t="s">
        <v>57</v>
      </c>
      <c r="D69" s="490"/>
      <c r="E69" s="423" t="s">
        <v>312</v>
      </c>
      <c r="F69" s="409" t="s">
        <v>2747</v>
      </c>
      <c r="G69" s="343"/>
      <c r="H69" s="344"/>
      <c r="I69" s="355"/>
    </row>
    <row r="70" spans="1:9" ht="54.75" customHeight="1">
      <c r="A70" s="482" t="s">
        <v>2722</v>
      </c>
      <c r="B70" s="407" t="s">
        <v>2576</v>
      </c>
      <c r="C70" s="490" t="s">
        <v>18</v>
      </c>
      <c r="D70" s="490"/>
      <c r="E70" s="490" t="s">
        <v>2407</v>
      </c>
      <c r="F70" s="409" t="s">
        <v>2576</v>
      </c>
      <c r="G70" s="343"/>
      <c r="H70" s="344"/>
      <c r="I70" s="355"/>
    </row>
    <row r="74" spans="1:9" ht="45" customHeight="1">
      <c r="B74" s="498" t="s">
        <v>1664</v>
      </c>
    </row>
  </sheetData>
  <mergeCells count="1">
    <mergeCell ref="A1:F1"/>
  </mergeCells>
  <pageMargins left="0" right="0" top="0.25" bottom="0.25" header="0.3" footer="0.3"/>
  <pageSetup scale="65" orientation="portrait" r:id="rId1"/>
  <rowBreaks count="3" manualBreakCount="3">
    <brk id="25" max="5" man="1"/>
    <brk id="48" max="5" man="1"/>
    <brk id="70" max="16383" man="1"/>
  </rowBreaks>
  <colBreaks count="1" manualBreakCount="1">
    <brk id="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G11"/>
  <sheetViews>
    <sheetView view="pageBreakPreview" zoomScale="89" zoomScaleNormal="85" zoomScaleSheetLayoutView="89" workbookViewId="0">
      <selection activeCell="D24" sqref="D24"/>
    </sheetView>
  </sheetViews>
  <sheetFormatPr defaultColWidth="6.75" defaultRowHeight="15.75"/>
  <cols>
    <col min="1" max="1" width="10.75" style="356" customWidth="1"/>
    <col min="2" max="2" width="39.375" style="356" customWidth="1"/>
    <col min="3" max="3" width="19" style="356" customWidth="1"/>
    <col min="4" max="4" width="63.5" style="356" customWidth="1"/>
    <col min="5" max="5" width="40.875" style="358" customWidth="1"/>
    <col min="6" max="6" width="25.375" style="358" customWidth="1"/>
    <col min="7" max="16384" width="6.75" style="358"/>
  </cols>
  <sheetData>
    <row r="1" spans="1:7">
      <c r="B1" s="357" t="s">
        <v>2481</v>
      </c>
      <c r="C1" s="357"/>
      <c r="D1" s="357"/>
    </row>
    <row r="2" spans="1:7" ht="39">
      <c r="A2" s="359" t="s">
        <v>80</v>
      </c>
      <c r="B2" s="359" t="s">
        <v>2482</v>
      </c>
      <c r="C2" s="359" t="s">
        <v>81</v>
      </c>
      <c r="D2" s="359" t="s">
        <v>82</v>
      </c>
      <c r="E2" s="359" t="s">
        <v>1319</v>
      </c>
      <c r="F2" s="359" t="s">
        <v>83</v>
      </c>
    </row>
    <row r="3" spans="1:7" ht="221.25" customHeight="1">
      <c r="A3" s="360" t="s">
        <v>1332</v>
      </c>
      <c r="B3" s="360" t="s">
        <v>2483</v>
      </c>
      <c r="C3" s="360" t="s">
        <v>2748</v>
      </c>
      <c r="D3" s="361" t="s">
        <v>2749</v>
      </c>
      <c r="E3" s="360" t="s">
        <v>2484</v>
      </c>
      <c r="F3" s="360" t="s">
        <v>2485</v>
      </c>
    </row>
    <row r="4" spans="1:7" ht="170.25" customHeight="1">
      <c r="A4" s="362" t="s">
        <v>1333</v>
      </c>
      <c r="B4" s="362" t="s">
        <v>2486</v>
      </c>
      <c r="C4" s="362" t="s">
        <v>3140</v>
      </c>
      <c r="D4" s="362" t="s">
        <v>3139</v>
      </c>
      <c r="E4" s="362" t="s">
        <v>3141</v>
      </c>
      <c r="F4" s="362" t="s">
        <v>3142</v>
      </c>
    </row>
    <row r="5" spans="1:7" ht="220.9" customHeight="1">
      <c r="A5" s="363" t="s">
        <v>1649</v>
      </c>
      <c r="B5" s="363" t="s">
        <v>2750</v>
      </c>
      <c r="C5" s="363" t="s">
        <v>2751</v>
      </c>
      <c r="D5" s="363" t="s">
        <v>2487</v>
      </c>
      <c r="E5" s="363" t="s">
        <v>2789</v>
      </c>
      <c r="F5" s="363" t="s">
        <v>2488</v>
      </c>
    </row>
    <row r="6" spans="1:7">
      <c r="E6" s="356"/>
      <c r="F6" s="356"/>
    </row>
    <row r="7" spans="1:7">
      <c r="E7" s="356"/>
      <c r="F7" s="356"/>
    </row>
    <row r="8" spans="1:7" s="356" customFormat="1">
      <c r="G8" s="364"/>
    </row>
    <row r="9" spans="1:7" s="356" customFormat="1"/>
    <row r="10" spans="1:7">
      <c r="E10" s="356"/>
      <c r="F10" s="356"/>
    </row>
    <row r="11" spans="1:7">
      <c r="E11" s="356"/>
      <c r="F11" s="356"/>
    </row>
  </sheetData>
  <pageMargins left="0" right="0" top="0.5" bottom="0.5" header="0.3" footer="0.3"/>
  <pageSetup scale="6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155"/>
  <sheetViews>
    <sheetView showGridLines="0" topLeftCell="AL80" zoomScale="80" zoomScaleNormal="80" workbookViewId="0">
      <selection activeCell="BH85" sqref="BH85"/>
    </sheetView>
  </sheetViews>
  <sheetFormatPr defaultColWidth="9" defaultRowHeight="15.75"/>
  <cols>
    <col min="1" max="1" width="9.625" style="61" customWidth="1"/>
    <col min="2" max="2" width="17.125" style="61" customWidth="1"/>
    <col min="3" max="3" width="41.125" style="61" customWidth="1"/>
    <col min="4" max="5" width="25.25" style="61" customWidth="1"/>
    <col min="6" max="6" width="27.875" style="61" customWidth="1"/>
    <col min="7" max="7" width="16.375" style="61" customWidth="1"/>
    <col min="8" max="8" width="13.125" style="61" customWidth="1"/>
    <col min="9" max="9" width="13.375" style="61" customWidth="1"/>
    <col min="10" max="12" width="9.625" style="61" customWidth="1"/>
    <col min="13" max="13" width="14.25" style="61" customWidth="1"/>
    <col min="14" max="15" width="17" style="61" customWidth="1"/>
    <col min="16" max="16" width="9.625" style="61" customWidth="1"/>
    <col min="17" max="17" width="13.25" style="61" customWidth="1"/>
    <col min="18" max="18" width="17.125" style="61" customWidth="1"/>
    <col min="19" max="19" width="19" style="61" customWidth="1"/>
    <col min="20" max="21" width="16.125" style="61" customWidth="1"/>
    <col min="22" max="22" width="21.625" style="61" customWidth="1"/>
    <col min="23" max="23" width="19.25" style="61" bestFit="1" customWidth="1"/>
    <col min="24" max="24" width="9.625" style="61" customWidth="1"/>
    <col min="25" max="25" width="30.125" style="61" bestFit="1" customWidth="1"/>
    <col min="26" max="26" width="10.75" style="61" bestFit="1" customWidth="1"/>
    <col min="27" max="37" width="9.25" style="61" customWidth="1"/>
    <col min="38" max="38" width="16.625" style="61" customWidth="1"/>
    <col min="39" max="39" width="16.875" style="61" customWidth="1"/>
    <col min="40" max="40" width="9.25" style="61" customWidth="1"/>
    <col min="41" max="41" width="24.5" style="61" customWidth="1"/>
    <col min="42" max="42" width="22.375" style="61" customWidth="1"/>
    <col min="43" max="43" width="19.25" style="61" bestFit="1" customWidth="1"/>
    <col min="44" max="44" width="9.25" style="61" customWidth="1"/>
    <col min="45" max="45" width="23" style="61" customWidth="1"/>
    <col min="46" max="46" width="9.25" style="61" customWidth="1"/>
    <col min="47" max="47" width="10.375" style="61" customWidth="1"/>
    <col min="48" max="16384" width="9" style="61"/>
  </cols>
  <sheetData>
    <row r="1" spans="2:35">
      <c r="B1"/>
      <c r="C1"/>
    </row>
    <row r="2" spans="2:35">
      <c r="B2" s="992" t="s">
        <v>20</v>
      </c>
      <c r="C2" s="993" t="s">
        <v>2525</v>
      </c>
      <c r="M2" s="992" t="s">
        <v>35</v>
      </c>
      <c r="N2" s="993" t="s">
        <v>35</v>
      </c>
      <c r="R2"/>
      <c r="S2" s="992" t="s">
        <v>35</v>
      </c>
      <c r="T2" s="993" t="s">
        <v>35</v>
      </c>
      <c r="Y2" s="992" t="s">
        <v>35</v>
      </c>
      <c r="Z2" s="993" t="s">
        <v>35</v>
      </c>
    </row>
    <row r="3" spans="2:35" s="62" customFormat="1">
      <c r="B3" s="992" t="s">
        <v>35</v>
      </c>
      <c r="C3" s="993" t="s">
        <v>35</v>
      </c>
      <c r="D3" s="61"/>
      <c r="E3" s="61"/>
      <c r="F3" s="61"/>
      <c r="G3" s="61"/>
      <c r="H3" s="61"/>
      <c r="M3" s="992" t="s">
        <v>22</v>
      </c>
      <c r="N3" s="993" t="s">
        <v>39</v>
      </c>
      <c r="O3" s="61"/>
      <c r="P3" s="61"/>
      <c r="Q3" s="61"/>
      <c r="S3" s="992" t="s">
        <v>22</v>
      </c>
      <c r="T3" s="993" t="s">
        <v>716</v>
      </c>
      <c r="U3" s="61"/>
      <c r="W3" s="61"/>
      <c r="Y3" s="992" t="s">
        <v>22</v>
      </c>
      <c r="Z3" s="993" t="s">
        <v>716</v>
      </c>
      <c r="AA3" s="61"/>
      <c r="AC3" s="61"/>
    </row>
    <row r="4" spans="2:35">
      <c r="B4" s="992" t="s">
        <v>142</v>
      </c>
      <c r="C4" s="993" t="s">
        <v>1668</v>
      </c>
      <c r="M4" s="992" t="s">
        <v>142</v>
      </c>
      <c r="N4" s="993" t="s">
        <v>1668</v>
      </c>
      <c r="S4" s="992" t="s">
        <v>142</v>
      </c>
      <c r="T4" s="993" t="s">
        <v>1668</v>
      </c>
      <c r="Y4" s="992" t="s">
        <v>142</v>
      </c>
      <c r="Z4" s="993" t="s">
        <v>1668</v>
      </c>
    </row>
    <row r="5" spans="2:35">
      <c r="B5"/>
      <c r="C5"/>
      <c r="D5" s="725" t="s">
        <v>3008</v>
      </c>
      <c r="E5"/>
      <c r="F5"/>
      <c r="G5"/>
      <c r="H5"/>
      <c r="I5"/>
      <c r="J5" s="661"/>
      <c r="K5" s="661"/>
      <c r="M5"/>
      <c r="N5"/>
      <c r="O5"/>
      <c r="P5"/>
      <c r="Q5"/>
      <c r="S5"/>
      <c r="T5"/>
      <c r="U5" s="661" t="s">
        <v>2185</v>
      </c>
      <c r="W5"/>
      <c r="Y5" s="661"/>
      <c r="Z5" s="661"/>
      <c r="AA5" s="661" t="s">
        <v>3011</v>
      </c>
      <c r="AC5" s="661"/>
    </row>
    <row r="6" spans="2:35" ht="94.5">
      <c r="B6" s="993"/>
      <c r="C6" s="1017" t="s">
        <v>1688</v>
      </c>
      <c r="D6" s="1018" t="s">
        <v>2793</v>
      </c>
      <c r="E6" s="1030" t="s">
        <v>2794</v>
      </c>
      <c r="F6" s="1031" t="s">
        <v>2795</v>
      </c>
      <c r="G6" s="1022" t="s">
        <v>3018</v>
      </c>
      <c r="H6" s="1022" t="s">
        <v>3023</v>
      </c>
      <c r="I6" s="1022" t="s">
        <v>3020</v>
      </c>
      <c r="J6" s="1023" t="s">
        <v>3017</v>
      </c>
      <c r="M6" s="993"/>
      <c r="N6" s="1009" t="s">
        <v>1688</v>
      </c>
      <c r="O6" s="1010" t="s">
        <v>2793</v>
      </c>
      <c r="P6" s="993" t="s">
        <v>2794</v>
      </c>
      <c r="Q6" s="993" t="s">
        <v>2795</v>
      </c>
      <c r="S6" s="993"/>
      <c r="T6" s="1009" t="s">
        <v>1688</v>
      </c>
      <c r="U6" s="1010" t="s">
        <v>2793</v>
      </c>
      <c r="V6" s="993" t="s">
        <v>2794</v>
      </c>
      <c r="W6" s="993" t="s">
        <v>2795</v>
      </c>
      <c r="X6"/>
      <c r="Y6" s="993"/>
      <c r="Z6" s="1009" t="s">
        <v>1688</v>
      </c>
      <c r="AA6" s="1010" t="s">
        <v>2793</v>
      </c>
      <c r="AB6" s="993" t="s">
        <v>2794</v>
      </c>
      <c r="AC6" s="993" t="s">
        <v>2795</v>
      </c>
      <c r="AD6" s="717"/>
      <c r="AE6" s="717"/>
      <c r="AF6" s="717"/>
      <c r="AG6" s="717"/>
      <c r="AH6" s="717"/>
      <c r="AI6" s="717"/>
    </row>
    <row r="7" spans="2:35">
      <c r="B7" s="994" t="s">
        <v>39</v>
      </c>
      <c r="C7" s="1016">
        <v>93164</v>
      </c>
      <c r="D7" s="1011">
        <v>52074.799999999988</v>
      </c>
      <c r="E7" s="1026">
        <v>58516</v>
      </c>
      <c r="F7" s="1029">
        <v>57182</v>
      </c>
      <c r="G7" s="1021">
        <v>22764</v>
      </c>
      <c r="H7" s="1021">
        <v>45705</v>
      </c>
      <c r="I7" s="1021">
        <v>23206</v>
      </c>
      <c r="J7" s="1021">
        <v>7291</v>
      </c>
      <c r="K7" s="64"/>
      <c r="M7" s="993" t="s">
        <v>2525</v>
      </c>
      <c r="N7" s="1008">
        <v>93164</v>
      </c>
      <c r="O7" s="995">
        <v>52074.799999999996</v>
      </c>
      <c r="P7" s="995">
        <v>58516</v>
      </c>
      <c r="Q7" s="995">
        <v>57182</v>
      </c>
      <c r="S7" s="993" t="s">
        <v>2525</v>
      </c>
      <c r="T7" s="1008">
        <v>8336</v>
      </c>
      <c r="U7" s="995">
        <v>6670.1333333333332</v>
      </c>
      <c r="V7" s="995">
        <v>7491</v>
      </c>
      <c r="W7" s="995">
        <v>7047</v>
      </c>
      <c r="X7"/>
      <c r="Y7" s="993" t="s">
        <v>1669</v>
      </c>
      <c r="Z7" s="1008"/>
      <c r="AA7" s="1011"/>
      <c r="AB7" s="995"/>
      <c r="AC7" s="995"/>
    </row>
    <row r="8" spans="2:35">
      <c r="B8" s="994" t="s">
        <v>716</v>
      </c>
      <c r="C8" s="1016">
        <v>8336</v>
      </c>
      <c r="D8" s="1011">
        <v>6670.1333333333332</v>
      </c>
      <c r="E8" s="1026">
        <v>7491</v>
      </c>
      <c r="F8" s="1029">
        <v>7047</v>
      </c>
      <c r="G8" s="1021">
        <v>4823</v>
      </c>
      <c r="H8" s="1021">
        <v>6338</v>
      </c>
      <c r="I8" s="1021">
        <v>1620</v>
      </c>
      <c r="J8" s="1021">
        <v>1348</v>
      </c>
      <c r="K8" s="64"/>
      <c r="M8" s="993" t="s">
        <v>1669</v>
      </c>
      <c r="N8" s="1008">
        <v>93164</v>
      </c>
      <c r="O8" s="1011">
        <v>52074.799999999996</v>
      </c>
      <c r="P8" s="995">
        <v>58516</v>
      </c>
      <c r="Q8" s="995">
        <v>57182</v>
      </c>
      <c r="S8" s="993" t="s">
        <v>1669</v>
      </c>
      <c r="T8" s="1008">
        <v>8336</v>
      </c>
      <c r="U8" s="1011">
        <v>6670.1333333333332</v>
      </c>
      <c r="V8" s="995">
        <v>7491</v>
      </c>
      <c r="W8" s="995">
        <v>7047</v>
      </c>
      <c r="X8"/>
      <c r="Y8"/>
      <c r="Z8"/>
      <c r="AA8"/>
      <c r="AB8"/>
      <c r="AC8"/>
    </row>
    <row r="9" spans="2:35">
      <c r="B9" s="994" t="s">
        <v>3014</v>
      </c>
      <c r="C9" s="1016">
        <v>119002</v>
      </c>
      <c r="D9" s="1011">
        <v>107578</v>
      </c>
      <c r="E9" s="1026">
        <v>78732</v>
      </c>
      <c r="F9" s="1029">
        <v>116532</v>
      </c>
      <c r="G9" s="1021">
        <v>115655</v>
      </c>
      <c r="H9" s="1021">
        <v>114482</v>
      </c>
      <c r="I9" s="1021">
        <v>2810</v>
      </c>
      <c r="J9" s="1021">
        <v>4371</v>
      </c>
      <c r="K9" s="64"/>
      <c r="M9"/>
      <c r="N9"/>
      <c r="O9"/>
      <c r="P9"/>
      <c r="Q9"/>
      <c r="S9"/>
      <c r="T9"/>
      <c r="U9"/>
      <c r="V9"/>
      <c r="W9"/>
      <c r="X9"/>
      <c r="Y9"/>
    </row>
    <row r="10" spans="2:35">
      <c r="B10" s="994" t="s">
        <v>1669</v>
      </c>
      <c r="C10" s="1016">
        <v>220502</v>
      </c>
      <c r="D10" s="1011">
        <v>166322.93333333332</v>
      </c>
      <c r="E10" s="1026">
        <v>144739</v>
      </c>
      <c r="F10" s="1029">
        <v>180761</v>
      </c>
      <c r="G10" s="1021">
        <v>143242</v>
      </c>
      <c r="H10" s="1021">
        <v>166525</v>
      </c>
      <c r="I10" s="1021">
        <v>27636</v>
      </c>
      <c r="J10" s="1021">
        <v>13010</v>
      </c>
      <c r="K10" s="64"/>
      <c r="M10"/>
      <c r="N10"/>
      <c r="O10"/>
      <c r="P10"/>
      <c r="Q10"/>
      <c r="R10"/>
      <c r="S10"/>
      <c r="T10"/>
      <c r="U10"/>
      <c r="V10"/>
      <c r="W10"/>
      <c r="X10"/>
      <c r="Y10"/>
    </row>
    <row r="11" spans="2:35">
      <c r="D11" s="248">
        <f>GETPIVOTDATA(" HRP1",$B$6)+GETPIVOTDATA(" HRP2",$B$6)+GETPIVOTDATA(" HRP3",$B$6)</f>
        <v>491822.93333333335</v>
      </c>
      <c r="M11"/>
      <c r="N11"/>
      <c r="O11"/>
      <c r="P11"/>
      <c r="Q11"/>
      <c r="R11"/>
      <c r="S11"/>
      <c r="T11"/>
      <c r="U11"/>
      <c r="V11"/>
      <c r="W11"/>
    </row>
    <row r="12" spans="2:35">
      <c r="M12"/>
      <c r="N12"/>
      <c r="O12"/>
      <c r="P12"/>
      <c r="Q12"/>
      <c r="S12"/>
      <c r="T12"/>
      <c r="U12"/>
      <c r="V12"/>
      <c r="W12"/>
    </row>
    <row r="13" spans="2:35">
      <c r="B13" s="1014" t="s">
        <v>20</v>
      </c>
      <c r="C13" s="993" t="s">
        <v>2525</v>
      </c>
      <c r="M13" s="992" t="s">
        <v>35</v>
      </c>
      <c r="N13" s="993" t="s">
        <v>35</v>
      </c>
      <c r="Q13"/>
      <c r="R13"/>
      <c r="S13" s="992" t="s">
        <v>35</v>
      </c>
      <c r="T13" s="993" t="s">
        <v>35</v>
      </c>
      <c r="V13"/>
      <c r="W13"/>
      <c r="X13"/>
      <c r="Y13" s="992" t="s">
        <v>35</v>
      </c>
      <c r="Z13" s="993" t="s">
        <v>35</v>
      </c>
      <c r="AE13" s="992" t="s">
        <v>35</v>
      </c>
      <c r="AF13" s="993" t="s">
        <v>35</v>
      </c>
    </row>
    <row r="14" spans="2:35">
      <c r="B14" s="992" t="s">
        <v>35</v>
      </c>
      <c r="C14" s="993" t="s">
        <v>35</v>
      </c>
      <c r="M14" s="992" t="s">
        <v>22</v>
      </c>
      <c r="N14" s="993" t="s">
        <v>1668</v>
      </c>
      <c r="Q14"/>
      <c r="S14" s="992" t="s">
        <v>22</v>
      </c>
      <c r="T14" s="993" t="s">
        <v>1668</v>
      </c>
      <c r="V14"/>
      <c r="Y14" s="992" t="s">
        <v>22</v>
      </c>
      <c r="Z14" s="993" t="s">
        <v>1668</v>
      </c>
      <c r="AE14" s="992" t="s">
        <v>22</v>
      </c>
      <c r="AF14" s="993" t="s">
        <v>1668</v>
      </c>
    </row>
    <row r="15" spans="2:35">
      <c r="B15" s="992" t="s">
        <v>142</v>
      </c>
      <c r="C15" s="993" t="s">
        <v>1668</v>
      </c>
      <c r="I15" s="62"/>
      <c r="J15" s="62"/>
      <c r="K15" s="62"/>
      <c r="L15" s="62"/>
      <c r="M15" s="992" t="s">
        <v>142</v>
      </c>
      <c r="N15" s="993" t="s">
        <v>1668</v>
      </c>
      <c r="Q15"/>
      <c r="S15" s="992" t="s">
        <v>142</v>
      </c>
      <c r="T15" s="993" t="s">
        <v>1668</v>
      </c>
      <c r="V15"/>
      <c r="Y15" s="992" t="s">
        <v>142</v>
      </c>
      <c r="Z15" s="993" t="s">
        <v>812</v>
      </c>
      <c r="AE15" s="992" t="s">
        <v>142</v>
      </c>
      <c r="AF15" s="993" t="s">
        <v>1668</v>
      </c>
    </row>
    <row r="16" spans="2:35">
      <c r="D16" s="725" t="s">
        <v>3009</v>
      </c>
      <c r="M16"/>
      <c r="N16"/>
      <c r="O16" t="s">
        <v>3010</v>
      </c>
      <c r="P16"/>
      <c r="Q16"/>
      <c r="S16"/>
      <c r="T16"/>
      <c r="U16" t="s">
        <v>2185</v>
      </c>
      <c r="V16"/>
      <c r="Y16"/>
      <c r="Z16"/>
      <c r="AA16" t="s">
        <v>2186</v>
      </c>
      <c r="AE16" s="661"/>
      <c r="AF16" s="661"/>
      <c r="AG16" s="661" t="s">
        <v>3011</v>
      </c>
    </row>
    <row r="17" spans="2:35" ht="94.5">
      <c r="B17" s="1013" t="s">
        <v>1667</v>
      </c>
      <c r="C17" s="1017" t="s">
        <v>1688</v>
      </c>
      <c r="D17" s="1018" t="s">
        <v>2793</v>
      </c>
      <c r="E17" s="1020" t="s">
        <v>2794</v>
      </c>
      <c r="F17" s="1019" t="s">
        <v>2795</v>
      </c>
      <c r="G17" s="1022" t="s">
        <v>3018</v>
      </c>
      <c r="H17" s="1024" t="s">
        <v>3023</v>
      </c>
      <c r="I17" s="1024" t="s">
        <v>3020</v>
      </c>
      <c r="J17" s="1023" t="s">
        <v>3017</v>
      </c>
      <c r="K17" s="661"/>
      <c r="M17" s="993"/>
      <c r="N17" s="1009" t="s">
        <v>1688</v>
      </c>
      <c r="O17" s="1010" t="s">
        <v>2793</v>
      </c>
      <c r="P17" s="993" t="s">
        <v>2794</v>
      </c>
      <c r="Q17" s="993" t="s">
        <v>2795</v>
      </c>
      <c r="S17" s="993"/>
      <c r="T17" s="1009" t="s">
        <v>1688</v>
      </c>
      <c r="U17" s="1010" t="s">
        <v>2793</v>
      </c>
      <c r="V17" s="993" t="s">
        <v>2794</v>
      </c>
      <c r="W17" s="993" t="s">
        <v>2795</v>
      </c>
      <c r="Y17" s="993"/>
      <c r="Z17" s="1009" t="s">
        <v>1688</v>
      </c>
      <c r="AA17" s="1010" t="s">
        <v>2793</v>
      </c>
      <c r="AB17" s="993" t="s">
        <v>2794</v>
      </c>
      <c r="AC17" s="993" t="s">
        <v>2795</v>
      </c>
      <c r="AE17" s="993"/>
      <c r="AF17" s="1009" t="s">
        <v>1688</v>
      </c>
      <c r="AG17" s="1010" t="s">
        <v>2793</v>
      </c>
      <c r="AH17" s="993" t="s">
        <v>2794</v>
      </c>
      <c r="AI17" s="993" t="s">
        <v>2795</v>
      </c>
    </row>
    <row r="18" spans="2:35">
      <c r="B18" s="994" t="s">
        <v>716</v>
      </c>
      <c r="C18" s="1016">
        <v>1927</v>
      </c>
      <c r="D18" s="1015">
        <v>0</v>
      </c>
      <c r="E18" s="1015">
        <v>1000</v>
      </c>
      <c r="F18" s="1015">
        <v>864</v>
      </c>
      <c r="G18" s="1021">
        <v>864</v>
      </c>
      <c r="H18" s="1021">
        <v>0</v>
      </c>
      <c r="I18" s="1021">
        <v>400</v>
      </c>
      <c r="J18" s="1021"/>
      <c r="K18" s="661"/>
      <c r="M18" s="993" t="s">
        <v>2525</v>
      </c>
      <c r="N18" s="1008">
        <v>330611</v>
      </c>
      <c r="O18" s="995">
        <v>139691</v>
      </c>
      <c r="P18" s="995">
        <v>89316</v>
      </c>
      <c r="Q18" s="995">
        <v>207683</v>
      </c>
      <c r="S18" s="993" t="s">
        <v>2525</v>
      </c>
      <c r="T18" s="1008">
        <v>119002</v>
      </c>
      <c r="U18" s="995">
        <v>107578</v>
      </c>
      <c r="V18" s="995">
        <v>78732</v>
      </c>
      <c r="W18" s="995">
        <v>116532</v>
      </c>
      <c r="Y18" s="993" t="s">
        <v>2525</v>
      </c>
      <c r="Z18" s="1008">
        <v>211609</v>
      </c>
      <c r="AA18" s="995">
        <v>32113</v>
      </c>
      <c r="AB18" s="995">
        <v>10584</v>
      </c>
      <c r="AC18" s="995">
        <v>91151</v>
      </c>
      <c r="AE18" s="993" t="s">
        <v>1669</v>
      </c>
      <c r="AF18" s="1008"/>
      <c r="AG18" s="995"/>
      <c r="AH18" s="995"/>
      <c r="AI18" s="995"/>
    </row>
    <row r="19" spans="2:35">
      <c r="B19" s="994" t="s">
        <v>3014</v>
      </c>
      <c r="C19" s="1016">
        <v>154823</v>
      </c>
      <c r="D19" s="1015">
        <v>20704</v>
      </c>
      <c r="E19" s="1015">
        <v>11852</v>
      </c>
      <c r="F19" s="1015">
        <v>30418</v>
      </c>
      <c r="G19" s="1021">
        <v>20349</v>
      </c>
      <c r="H19" s="1021">
        <v>16286</v>
      </c>
      <c r="I19" s="1021">
        <v>3200</v>
      </c>
      <c r="J19" s="1021">
        <v>390</v>
      </c>
      <c r="K19" s="661"/>
      <c r="M19" s="993" t="s">
        <v>1669</v>
      </c>
      <c r="N19" s="1008">
        <v>330611</v>
      </c>
      <c r="O19" s="1011">
        <v>139691</v>
      </c>
      <c r="P19" s="995">
        <v>89316</v>
      </c>
      <c r="Q19" s="995">
        <v>207683</v>
      </c>
      <c r="S19" s="993" t="s">
        <v>1669</v>
      </c>
      <c r="T19" s="1008">
        <v>119002</v>
      </c>
      <c r="U19" s="995">
        <v>107578</v>
      </c>
      <c r="V19" s="995">
        <v>78732</v>
      </c>
      <c r="W19" s="995">
        <v>116532</v>
      </c>
      <c r="Y19" s="993" t="s">
        <v>1669</v>
      </c>
      <c r="Z19" s="1008">
        <v>211609</v>
      </c>
      <c r="AA19" s="995">
        <v>32113</v>
      </c>
      <c r="AB19" s="995">
        <v>10584</v>
      </c>
      <c r="AC19" s="995">
        <v>91151</v>
      </c>
      <c r="AE19"/>
      <c r="AF19"/>
      <c r="AG19"/>
      <c r="AH19"/>
      <c r="AI19"/>
    </row>
    <row r="20" spans="2:35">
      <c r="B20" s="994" t="s">
        <v>3013</v>
      </c>
      <c r="C20" s="1016">
        <v>83517</v>
      </c>
      <c r="D20" s="1015">
        <v>11580.999999999998</v>
      </c>
      <c r="E20" s="1015">
        <v>6825</v>
      </c>
      <c r="F20" s="1015">
        <v>74895</v>
      </c>
      <c r="G20" s="1021">
        <v>54856</v>
      </c>
      <c r="H20" s="1021">
        <v>28321</v>
      </c>
      <c r="I20" s="1021">
        <v>0</v>
      </c>
      <c r="J20" s="1021"/>
      <c r="M20"/>
      <c r="N20"/>
      <c r="O20"/>
      <c r="P20"/>
      <c r="R20"/>
      <c r="S20"/>
      <c r="T20"/>
      <c r="U20"/>
      <c r="W20"/>
      <c r="X20"/>
      <c r="Y20"/>
      <c r="Z20"/>
    </row>
    <row r="21" spans="2:35">
      <c r="B21" s="994" t="s">
        <v>1669</v>
      </c>
      <c r="C21" s="1016">
        <v>240267</v>
      </c>
      <c r="D21" s="1015">
        <v>32285</v>
      </c>
      <c r="E21" s="1015">
        <v>19677</v>
      </c>
      <c r="F21" s="1015">
        <v>106177</v>
      </c>
      <c r="G21" s="1021">
        <v>76069</v>
      </c>
      <c r="H21" s="1021">
        <v>44607</v>
      </c>
      <c r="I21" s="1021">
        <v>3600</v>
      </c>
      <c r="J21" s="1021">
        <v>390</v>
      </c>
      <c r="M21"/>
      <c r="N21"/>
      <c r="O21"/>
      <c r="P21"/>
      <c r="R21"/>
      <c r="S21"/>
      <c r="T21"/>
      <c r="U21"/>
      <c r="W21"/>
      <c r="X21"/>
      <c r="Y21"/>
      <c r="Z21"/>
    </row>
    <row r="22" spans="2:35">
      <c r="C22" s="236"/>
      <c r="D22" s="726">
        <f>GETPIVOTDATA(" HRP1",$B$17)+GETPIVOTDATA(" HRP2",$B$17)+GETPIVOTDATA(" HRP3",$B$17)</f>
        <v>158139</v>
      </c>
      <c r="E22" s="236"/>
      <c r="F22" s="236"/>
      <c r="M22"/>
      <c r="N22"/>
      <c r="O22"/>
      <c r="P22"/>
      <c r="R22"/>
      <c r="S22"/>
      <c r="T22"/>
      <c r="U22"/>
      <c r="W22"/>
      <c r="X22"/>
      <c r="Y22"/>
      <c r="Z22"/>
    </row>
    <row r="23" spans="2:35" ht="16.5" thickBot="1">
      <c r="C23" s="236"/>
      <c r="D23" s="727">
        <f>D11+D22</f>
        <v>649961.93333333335</v>
      </c>
      <c r="E23" s="236"/>
      <c r="F23" s="236"/>
    </row>
    <row r="24" spans="2:35" ht="32.25" thickBot="1">
      <c r="G24" s="64"/>
      <c r="J24" s="216" t="s">
        <v>1958</v>
      </c>
      <c r="K24" s="217"/>
      <c r="L24" s="1099" t="s">
        <v>1959</v>
      </c>
      <c r="M24" s="1099"/>
      <c r="N24" s="1100"/>
    </row>
    <row r="25" spans="2:35" ht="60" customHeight="1">
      <c r="C25" s="111" t="s">
        <v>1670</v>
      </c>
      <c r="D25" s="112" t="s">
        <v>1671</v>
      </c>
      <c r="E25" s="112" t="s">
        <v>1672</v>
      </c>
      <c r="F25" s="113" t="s">
        <v>1689</v>
      </c>
      <c r="G25" s="114" t="s">
        <v>1673</v>
      </c>
      <c r="H25" s="114" t="s">
        <v>2065</v>
      </c>
      <c r="I25" s="114" t="s">
        <v>2066</v>
      </c>
      <c r="J25" s="102" t="s">
        <v>1674</v>
      </c>
      <c r="K25" s="103" t="s">
        <v>1675</v>
      </c>
      <c r="L25" s="103" t="s">
        <v>1676</v>
      </c>
      <c r="M25" s="103" t="s">
        <v>1677</v>
      </c>
      <c r="N25" s="104" t="s">
        <v>1678</v>
      </c>
      <c r="O25" s="114" t="s">
        <v>1680</v>
      </c>
    </row>
    <row r="26" spans="2:35" ht="25.5" customHeight="1">
      <c r="C26" s="1112" t="s">
        <v>2483</v>
      </c>
      <c r="D26" s="96" t="s">
        <v>39</v>
      </c>
      <c r="E26" s="97">
        <v>142175</v>
      </c>
      <c r="F26" s="97">
        <v>101974</v>
      </c>
      <c r="G26" s="106">
        <f>GETPIVOTDATA(" HRP1",$B$6,"State","Kachin")</f>
        <v>52074.799999999988</v>
      </c>
      <c r="H26" s="218">
        <f>G26/F26</f>
        <v>0.51066742502990947</v>
      </c>
      <c r="I26" s="218">
        <f>1-H26</f>
        <v>0.48933257497009053</v>
      </c>
      <c r="J26" s="105">
        <f t="shared" ref="J26:J37" si="0">G26*0.45</f>
        <v>23433.659999999996</v>
      </c>
      <c r="K26" s="97">
        <f t="shared" ref="K26:K37" si="1">G26*0.55</f>
        <v>28641.139999999996</v>
      </c>
      <c r="L26" s="97">
        <f t="shared" ref="L26:L37" si="2">G26*0.35</f>
        <v>18226.179999999993</v>
      </c>
      <c r="M26" s="97">
        <f t="shared" ref="M26:M37" si="3">G26*0.4</f>
        <v>20829.919999999998</v>
      </c>
      <c r="N26" s="106">
        <f t="shared" ref="N26:N37" si="4">G26*0.25</f>
        <v>13018.699999999997</v>
      </c>
      <c r="O26" s="106">
        <f t="shared" ref="O26:O37" si="5">F26-G26</f>
        <v>49899.200000000012</v>
      </c>
    </row>
    <row r="27" spans="2:35" ht="25.5" customHeight="1">
      <c r="C27" s="1112"/>
      <c r="D27" s="96" t="s">
        <v>3014</v>
      </c>
      <c r="E27" s="97">
        <v>391005</v>
      </c>
      <c r="F27" s="97">
        <v>254472</v>
      </c>
      <c r="G27" s="106">
        <f>GETPIVOTDATA(" HRP1",$B$6,"State","Central Rakhine")+GETPIVOTDATA(" HRP1",$B$17,"State","Central Rakhine")</f>
        <v>128282</v>
      </c>
      <c r="H27" s="218">
        <f t="shared" ref="H27:H37" si="6">G27/F27</f>
        <v>0.50411047187902791</v>
      </c>
      <c r="I27" s="218">
        <f t="shared" ref="I27:I37" si="7">1-H27</f>
        <v>0.49588952812097209</v>
      </c>
      <c r="J27" s="105">
        <f t="shared" si="0"/>
        <v>57726.9</v>
      </c>
      <c r="K27" s="97">
        <f t="shared" si="1"/>
        <v>70555.100000000006</v>
      </c>
      <c r="L27" s="97">
        <f t="shared" si="2"/>
        <v>44898.7</v>
      </c>
      <c r="M27" s="97">
        <f t="shared" si="3"/>
        <v>51312.800000000003</v>
      </c>
      <c r="N27" s="106">
        <f t="shared" si="4"/>
        <v>32070.5</v>
      </c>
      <c r="O27" s="106">
        <f t="shared" si="5"/>
        <v>126190</v>
      </c>
    </row>
    <row r="28" spans="2:35" ht="25.5" customHeight="1">
      <c r="C28" s="1112"/>
      <c r="D28" s="96" t="s">
        <v>3013</v>
      </c>
      <c r="E28" s="97">
        <v>324000</v>
      </c>
      <c r="F28" s="97">
        <v>116064</v>
      </c>
      <c r="G28" s="106">
        <f>GETPIVOTDATA(" HRP1",$B$17,"State","Northern Rakhine")</f>
        <v>11580.999999999998</v>
      </c>
      <c r="H28" s="218">
        <f>G28/F28</f>
        <v>9.9781155224703599E-2</v>
      </c>
      <c r="I28" s="218">
        <f>1-H28</f>
        <v>0.90021884477529635</v>
      </c>
      <c r="J28" s="105">
        <f>G28*0.45</f>
        <v>5211.4499999999989</v>
      </c>
      <c r="K28" s="97">
        <f>G28*0.55</f>
        <v>6369.5499999999993</v>
      </c>
      <c r="L28" s="97">
        <f>G28*0.35</f>
        <v>4053.349999999999</v>
      </c>
      <c r="M28" s="97">
        <f>G28*0.4</f>
        <v>4632.3999999999996</v>
      </c>
      <c r="N28" s="106">
        <f>G28*0.25</f>
        <v>2895.2499999999995</v>
      </c>
      <c r="O28" s="106">
        <f>F28-G28</f>
        <v>104483</v>
      </c>
    </row>
    <row r="29" spans="2:35" ht="25.5" customHeight="1">
      <c r="C29" s="1112"/>
      <c r="D29" s="96" t="s">
        <v>716</v>
      </c>
      <c r="E29" s="97">
        <v>48123</v>
      </c>
      <c r="F29" s="97">
        <v>15138</v>
      </c>
      <c r="G29" s="106">
        <f>GETPIVOTDATA(" HRP1",$B$6,"State","Shan (North)")+GETPIVOTDATA(" HRP1",$B$17,"State","Shan (North)")</f>
        <v>6670.1333333333332</v>
      </c>
      <c r="H29" s="218">
        <f t="shared" si="6"/>
        <v>0.44062183467653143</v>
      </c>
      <c r="I29" s="218">
        <f t="shared" si="7"/>
        <v>0.55937816532346862</v>
      </c>
      <c r="J29" s="105">
        <f t="shared" si="0"/>
        <v>3001.56</v>
      </c>
      <c r="K29" s="97">
        <f t="shared" si="1"/>
        <v>3668.5733333333337</v>
      </c>
      <c r="L29" s="97">
        <f t="shared" si="2"/>
        <v>2334.5466666666666</v>
      </c>
      <c r="M29" s="97">
        <f t="shared" si="3"/>
        <v>2668.0533333333333</v>
      </c>
      <c r="N29" s="106">
        <f t="shared" si="4"/>
        <v>1667.5333333333333</v>
      </c>
      <c r="O29" s="106">
        <f t="shared" si="5"/>
        <v>8467.8666666666668</v>
      </c>
    </row>
    <row r="30" spans="2:35" ht="25.5" customHeight="1">
      <c r="C30" s="1113" t="s">
        <v>2486</v>
      </c>
      <c r="D30" s="98" t="s">
        <v>39</v>
      </c>
      <c r="E30" s="99">
        <v>142175</v>
      </c>
      <c r="F30" s="99">
        <v>101974</v>
      </c>
      <c r="G30" s="731">
        <f>GETPIVOTDATA(" HRP2",$B$6,"State","Kachin")</f>
        <v>58516</v>
      </c>
      <c r="H30" s="219">
        <f t="shared" si="6"/>
        <v>0.57383254555082663</v>
      </c>
      <c r="I30" s="219">
        <f t="shared" si="7"/>
        <v>0.42616745444917337</v>
      </c>
      <c r="J30" s="107">
        <f t="shared" si="0"/>
        <v>26332.2</v>
      </c>
      <c r="K30" s="99">
        <f t="shared" si="1"/>
        <v>32183.800000000003</v>
      </c>
      <c r="L30" s="99">
        <f t="shared" si="2"/>
        <v>20480.599999999999</v>
      </c>
      <c r="M30" s="99">
        <f t="shared" si="3"/>
        <v>23406.400000000001</v>
      </c>
      <c r="N30" s="108">
        <f t="shared" si="4"/>
        <v>14629</v>
      </c>
      <c r="O30" s="108">
        <f t="shared" si="5"/>
        <v>43458</v>
      </c>
    </row>
    <row r="31" spans="2:35" ht="25.5" customHeight="1">
      <c r="C31" s="1113"/>
      <c r="D31" s="98" t="s">
        <v>3014</v>
      </c>
      <c r="E31" s="99">
        <v>391005</v>
      </c>
      <c r="F31" s="99">
        <v>254472</v>
      </c>
      <c r="G31" s="731">
        <f>GETPIVOTDATA(" HRP2",$B$6,"State","Central Rakhine")+GETPIVOTDATA(" HRP2",$B$17,"State","Central Rakhine")</f>
        <v>90584</v>
      </c>
      <c r="H31" s="219">
        <f t="shared" si="6"/>
        <v>0.35596843660599203</v>
      </c>
      <c r="I31" s="219">
        <f t="shared" si="7"/>
        <v>0.64403156339400791</v>
      </c>
      <c r="J31" s="107">
        <f t="shared" si="0"/>
        <v>40762.800000000003</v>
      </c>
      <c r="K31" s="99">
        <f t="shared" si="1"/>
        <v>49821.200000000004</v>
      </c>
      <c r="L31" s="99">
        <f t="shared" si="2"/>
        <v>31704.399999999998</v>
      </c>
      <c r="M31" s="99">
        <f t="shared" si="3"/>
        <v>36233.599999999999</v>
      </c>
      <c r="N31" s="108">
        <f t="shared" si="4"/>
        <v>22646</v>
      </c>
      <c r="O31" s="108">
        <f t="shared" si="5"/>
        <v>163888</v>
      </c>
    </row>
    <row r="32" spans="2:35" ht="25.5" customHeight="1">
      <c r="C32" s="1113"/>
      <c r="D32" s="98" t="s">
        <v>3013</v>
      </c>
      <c r="E32" s="99">
        <v>324000</v>
      </c>
      <c r="F32" s="99">
        <v>116064</v>
      </c>
      <c r="G32" s="731">
        <f>GETPIVOTDATA(" HRP2",$B$17,"State","Northern Rakhine")</f>
        <v>6825</v>
      </c>
      <c r="H32" s="219">
        <f>G32/F32</f>
        <v>5.8803763440860218E-2</v>
      </c>
      <c r="I32" s="219">
        <f>1-H32</f>
        <v>0.94119623655913975</v>
      </c>
      <c r="J32" s="107">
        <f>G32*0.45</f>
        <v>3071.25</v>
      </c>
      <c r="K32" s="99">
        <f>G32*0.55</f>
        <v>3753.7500000000005</v>
      </c>
      <c r="L32" s="99">
        <f>G32*0.35</f>
        <v>2388.75</v>
      </c>
      <c r="M32" s="99">
        <f>G32*0.4</f>
        <v>2730</v>
      </c>
      <c r="N32" s="108">
        <f>G32*0.25</f>
        <v>1706.25</v>
      </c>
      <c r="O32" s="108">
        <f>F32-G32</f>
        <v>109239</v>
      </c>
    </row>
    <row r="33" spans="2:15" ht="25.5" customHeight="1">
      <c r="C33" s="1113"/>
      <c r="D33" s="98" t="s">
        <v>716</v>
      </c>
      <c r="E33" s="99">
        <v>48123</v>
      </c>
      <c r="F33" s="99">
        <v>15138</v>
      </c>
      <c r="G33" s="731">
        <f>GETPIVOTDATA(" HRP2",$B$6,"State","Shan (North)")+GETPIVOTDATA(" HRP2",$B$17,"State","Shan (North)")</f>
        <v>8491</v>
      </c>
      <c r="H33" s="219">
        <f t="shared" si="6"/>
        <v>0.5609063284449729</v>
      </c>
      <c r="I33" s="219">
        <f t="shared" si="7"/>
        <v>0.4390936715550271</v>
      </c>
      <c r="J33" s="107">
        <f t="shared" si="0"/>
        <v>3820.9500000000003</v>
      </c>
      <c r="K33" s="99">
        <f t="shared" si="1"/>
        <v>4670.05</v>
      </c>
      <c r="L33" s="99">
        <f t="shared" si="2"/>
        <v>2971.85</v>
      </c>
      <c r="M33" s="99">
        <f t="shared" si="3"/>
        <v>3396.4</v>
      </c>
      <c r="N33" s="108">
        <f t="shared" si="4"/>
        <v>2122.75</v>
      </c>
      <c r="O33" s="108">
        <f t="shared" si="5"/>
        <v>6647</v>
      </c>
    </row>
    <row r="34" spans="2:15" ht="25.5" customHeight="1">
      <c r="C34" s="1109" t="s">
        <v>2750</v>
      </c>
      <c r="D34" s="100" t="s">
        <v>39</v>
      </c>
      <c r="E34" s="101">
        <v>142175</v>
      </c>
      <c r="F34" s="101">
        <v>101974</v>
      </c>
      <c r="G34" s="732">
        <f>GETPIVOTDATA(" HRP3",$B$6,"State","Kachin")</f>
        <v>57182</v>
      </c>
      <c r="H34" s="220">
        <f t="shared" si="6"/>
        <v>0.56075077961048891</v>
      </c>
      <c r="I34" s="220">
        <f t="shared" si="7"/>
        <v>0.43924922038951109</v>
      </c>
      <c r="J34" s="109">
        <f t="shared" si="0"/>
        <v>25731.9</v>
      </c>
      <c r="K34" s="101">
        <f t="shared" si="1"/>
        <v>31450.100000000002</v>
      </c>
      <c r="L34" s="101">
        <f t="shared" si="2"/>
        <v>20013.699999999997</v>
      </c>
      <c r="M34" s="101">
        <f t="shared" si="3"/>
        <v>22872.800000000003</v>
      </c>
      <c r="N34" s="110">
        <f t="shared" si="4"/>
        <v>14295.5</v>
      </c>
      <c r="O34" s="110">
        <f t="shared" si="5"/>
        <v>44792</v>
      </c>
    </row>
    <row r="35" spans="2:15" ht="25.5" customHeight="1">
      <c r="C35" s="1109"/>
      <c r="D35" s="100" t="s">
        <v>3014</v>
      </c>
      <c r="E35" s="101">
        <v>391005</v>
      </c>
      <c r="F35" s="101">
        <v>254472</v>
      </c>
      <c r="G35" s="732">
        <f>GETPIVOTDATA(" HRP3",$B$6,"State","Central Rakhine")+GETPIVOTDATA(" HRP3",$B$17,"State","Central Rakhine")</f>
        <v>146950</v>
      </c>
      <c r="H35" s="220">
        <f t="shared" si="6"/>
        <v>0.57747021283284605</v>
      </c>
      <c r="I35" s="220">
        <f t="shared" si="7"/>
        <v>0.42252978716715395</v>
      </c>
      <c r="J35" s="109">
        <f t="shared" si="0"/>
        <v>66127.5</v>
      </c>
      <c r="K35" s="101">
        <f t="shared" si="1"/>
        <v>80822.5</v>
      </c>
      <c r="L35" s="101">
        <f t="shared" si="2"/>
        <v>51432.5</v>
      </c>
      <c r="M35" s="101">
        <f t="shared" si="3"/>
        <v>58780</v>
      </c>
      <c r="N35" s="110">
        <f t="shared" si="4"/>
        <v>36737.5</v>
      </c>
      <c r="O35" s="110">
        <f t="shared" si="5"/>
        <v>107522</v>
      </c>
    </row>
    <row r="36" spans="2:15" ht="25.5" customHeight="1">
      <c r="C36" s="1109"/>
      <c r="D36" s="100" t="s">
        <v>3013</v>
      </c>
      <c r="E36" s="101">
        <v>324000</v>
      </c>
      <c r="F36" s="101">
        <v>116064</v>
      </c>
      <c r="G36" s="732">
        <f>GETPIVOTDATA(" HRP3",$B$17,"State","Northern Rakhine")</f>
        <v>74895</v>
      </c>
      <c r="H36" s="220">
        <f>G36/F36</f>
        <v>0.64529052936311004</v>
      </c>
      <c r="I36" s="220">
        <f>1-H36</f>
        <v>0.35470947063688996</v>
      </c>
      <c r="J36" s="109">
        <f>G36*0.45</f>
        <v>33702.75</v>
      </c>
      <c r="K36" s="101">
        <f>G36*0.55</f>
        <v>41192.25</v>
      </c>
      <c r="L36" s="101">
        <f>G36*0.35</f>
        <v>26213.25</v>
      </c>
      <c r="M36" s="101">
        <f>G36*0.4</f>
        <v>29958</v>
      </c>
      <c r="N36" s="110">
        <f>G36*0.25</f>
        <v>18723.75</v>
      </c>
      <c r="O36" s="110">
        <f>F36-G36</f>
        <v>41169</v>
      </c>
    </row>
    <row r="37" spans="2:15" ht="25.5" customHeight="1">
      <c r="C37" s="1109"/>
      <c r="D37" s="100" t="s">
        <v>716</v>
      </c>
      <c r="E37" s="101">
        <v>48123</v>
      </c>
      <c r="F37" s="101">
        <v>15138</v>
      </c>
      <c r="G37" s="732">
        <f>GETPIVOTDATA(" HRP3",$B$6,"State","Shan (North)")+GETPIVOTDATA(" HRP3",$B$17,"State","Shan (North)")</f>
        <v>7911</v>
      </c>
      <c r="H37" s="220">
        <f t="shared" si="6"/>
        <v>0.52259215219976218</v>
      </c>
      <c r="I37" s="220">
        <f t="shared" si="7"/>
        <v>0.47740784780023782</v>
      </c>
      <c r="J37" s="109">
        <f t="shared" si="0"/>
        <v>3559.9500000000003</v>
      </c>
      <c r="K37" s="101">
        <f t="shared" si="1"/>
        <v>4351.05</v>
      </c>
      <c r="L37" s="101">
        <f t="shared" si="2"/>
        <v>2768.85</v>
      </c>
      <c r="M37" s="101">
        <f t="shared" si="3"/>
        <v>3164.4</v>
      </c>
      <c r="N37" s="110">
        <f t="shared" si="4"/>
        <v>1977.75</v>
      </c>
      <c r="O37" s="110">
        <f t="shared" si="5"/>
        <v>7227</v>
      </c>
    </row>
    <row r="38" spans="2:15">
      <c r="B38" s="1110"/>
      <c r="C38" s="1115" t="s">
        <v>3021</v>
      </c>
      <c r="D38" s="737" t="s">
        <v>39</v>
      </c>
      <c r="E38" s="738">
        <v>142175</v>
      </c>
      <c r="F38" s="738">
        <v>101974</v>
      </c>
      <c r="G38" s="736">
        <f>GETPIVOTDATA(" # People received regular supply of hygiene items",$B$6,"State","Kachin")</f>
        <v>22764</v>
      </c>
      <c r="H38" s="739">
        <f t="shared" ref="H38:H41" si="8">G38/F38</f>
        <v>0.22323337321277972</v>
      </c>
      <c r="I38" s="739">
        <f t="shared" ref="I38:I41" si="9">1-H38</f>
        <v>0.7767666267872203</v>
      </c>
      <c r="J38" s="740">
        <f t="shared" ref="J38:J41" si="10">G38*0.45</f>
        <v>10243.800000000001</v>
      </c>
      <c r="K38" s="738">
        <f t="shared" ref="K38:K41" si="11">G38*0.55</f>
        <v>12520.2</v>
      </c>
      <c r="L38" s="738">
        <f t="shared" ref="L38:L41" si="12">G38*0.35</f>
        <v>7967.4</v>
      </c>
      <c r="M38" s="738">
        <f t="shared" ref="M38:M41" si="13">G38*0.4</f>
        <v>9105.6</v>
      </c>
      <c r="N38" s="736">
        <f t="shared" ref="N38:N41" si="14">G38*0.25</f>
        <v>5691</v>
      </c>
      <c r="O38" s="736">
        <f t="shared" ref="O38:O41" si="15">F38-G38</f>
        <v>79210</v>
      </c>
    </row>
    <row r="39" spans="2:15">
      <c r="B39" s="1110"/>
      <c r="C39" s="1115"/>
      <c r="D39" s="737" t="s">
        <v>3014</v>
      </c>
      <c r="E39" s="738">
        <v>391005</v>
      </c>
      <c r="F39" s="738">
        <v>254472</v>
      </c>
      <c r="G39" s="736">
        <f>GETPIVOTDATA(" # People received regular supply of hygiene items",$B$6,"State","Central Rakhine")+GETPIVOTDATA(" # People received regular supply of hygiene items",$B$17,"State","Central Rakhine")</f>
        <v>136004</v>
      </c>
      <c r="H39" s="739">
        <f t="shared" si="8"/>
        <v>0.53445565720393595</v>
      </c>
      <c r="I39" s="739">
        <f t="shared" si="9"/>
        <v>0.46554434279606405</v>
      </c>
      <c r="J39" s="740">
        <f t="shared" si="10"/>
        <v>61201.8</v>
      </c>
      <c r="K39" s="738">
        <f t="shared" si="11"/>
        <v>74802.200000000012</v>
      </c>
      <c r="L39" s="738">
        <f t="shared" si="12"/>
        <v>47601.399999999994</v>
      </c>
      <c r="M39" s="738">
        <f t="shared" si="13"/>
        <v>54401.600000000006</v>
      </c>
      <c r="N39" s="736">
        <f t="shared" si="14"/>
        <v>34001</v>
      </c>
      <c r="O39" s="736">
        <f t="shared" si="15"/>
        <v>118468</v>
      </c>
    </row>
    <row r="40" spans="2:15">
      <c r="B40" s="1110"/>
      <c r="C40" s="1115"/>
      <c r="D40" s="737" t="s">
        <v>3013</v>
      </c>
      <c r="E40" s="738">
        <v>324000</v>
      </c>
      <c r="F40" s="738">
        <v>116064</v>
      </c>
      <c r="G40" s="736">
        <f>GETPIVOTDATA(" # People received regular supply of hygiene items",$B$17,"State","Northern Rakhine")</f>
        <v>54856</v>
      </c>
      <c r="H40" s="739">
        <f t="shared" si="8"/>
        <v>0.47263578715191618</v>
      </c>
      <c r="I40" s="739">
        <f t="shared" si="9"/>
        <v>0.52736421284808377</v>
      </c>
      <c r="J40" s="740">
        <f t="shared" si="10"/>
        <v>24685.200000000001</v>
      </c>
      <c r="K40" s="738">
        <f t="shared" si="11"/>
        <v>30170.800000000003</v>
      </c>
      <c r="L40" s="738">
        <f t="shared" si="12"/>
        <v>19199.599999999999</v>
      </c>
      <c r="M40" s="738">
        <f t="shared" si="13"/>
        <v>21942.400000000001</v>
      </c>
      <c r="N40" s="736">
        <f t="shared" si="14"/>
        <v>13714</v>
      </c>
      <c r="O40" s="736">
        <f t="shared" si="15"/>
        <v>61208</v>
      </c>
    </row>
    <row r="41" spans="2:15">
      <c r="B41" s="1110"/>
      <c r="C41" s="1115"/>
      <c r="D41" s="737" t="s">
        <v>716</v>
      </c>
      <c r="E41" s="738">
        <v>48123</v>
      </c>
      <c r="F41" s="738">
        <v>15138</v>
      </c>
      <c r="G41" s="736">
        <f>GETPIVOTDATA(" # People received regular supply of hygiene items",$B$6,"State","Shan (North)")+GETPIVOTDATA(" # People received regular supply of hygiene items",$B$17,"State","Shan (North)")</f>
        <v>5687</v>
      </c>
      <c r="H41" s="739">
        <f t="shared" si="8"/>
        <v>0.37567710397674725</v>
      </c>
      <c r="I41" s="739">
        <f t="shared" si="9"/>
        <v>0.62432289602325275</v>
      </c>
      <c r="J41" s="740">
        <f t="shared" si="10"/>
        <v>2559.15</v>
      </c>
      <c r="K41" s="738">
        <f t="shared" si="11"/>
        <v>3127.8500000000004</v>
      </c>
      <c r="L41" s="738">
        <f t="shared" si="12"/>
        <v>1990.4499999999998</v>
      </c>
      <c r="M41" s="738">
        <f t="shared" si="13"/>
        <v>2274.8000000000002</v>
      </c>
      <c r="N41" s="736">
        <f t="shared" si="14"/>
        <v>1421.75</v>
      </c>
      <c r="O41" s="736">
        <f t="shared" si="15"/>
        <v>9451</v>
      </c>
    </row>
    <row r="42" spans="2:15">
      <c r="B42" s="1110"/>
      <c r="C42" s="1115" t="s">
        <v>3022</v>
      </c>
      <c r="D42" s="737" t="s">
        <v>39</v>
      </c>
      <c r="E42" s="738">
        <v>142175</v>
      </c>
      <c r="F42" s="738">
        <v>101974</v>
      </c>
      <c r="G42" s="736">
        <f>GETPIVOTDATA(" #_students at TLS_CFS",$B$6,"State","Kachin")</f>
        <v>7291</v>
      </c>
      <c r="H42" s="739">
        <f t="shared" ref="H42:H45" si="16">G42/F42</f>
        <v>7.1498617294604508E-2</v>
      </c>
      <c r="I42" s="739">
        <f t="shared" ref="I42:I45" si="17">1-H42</f>
        <v>0.92850138270539551</v>
      </c>
      <c r="J42" s="740">
        <f t="shared" ref="J42:J45" si="18">G42*0.45</f>
        <v>3280.9500000000003</v>
      </c>
      <c r="K42" s="738">
        <f t="shared" ref="K42:K45" si="19">G42*0.55</f>
        <v>4010.05</v>
      </c>
      <c r="L42" s="738">
        <f t="shared" ref="L42:L45" si="20">G42*0.35</f>
        <v>2551.85</v>
      </c>
      <c r="M42" s="738">
        <f t="shared" ref="M42:M45" si="21">G42*0.4</f>
        <v>2916.4</v>
      </c>
      <c r="N42" s="736">
        <f t="shared" ref="N42:N45" si="22">G42*0.25</f>
        <v>1822.75</v>
      </c>
      <c r="O42" s="736">
        <f t="shared" ref="O42:O45" si="23">F42-G42</f>
        <v>94683</v>
      </c>
    </row>
    <row r="43" spans="2:15">
      <c r="B43" s="1110"/>
      <c r="C43" s="1115"/>
      <c r="D43" s="737" t="s">
        <v>3014</v>
      </c>
      <c r="E43" s="738">
        <v>391005</v>
      </c>
      <c r="F43" s="738">
        <v>254472</v>
      </c>
      <c r="G43" s="736">
        <f>GETPIVOTDATA(" #_students at TLS_CFS",$B$6,"State","Central Rakhine")+GETPIVOTDATA(" #_students at TLS_CFS",$B$17,"State","Central Rakhine")</f>
        <v>4761</v>
      </c>
      <c r="H43" s="739">
        <f t="shared" si="16"/>
        <v>1.8709327548806942E-2</v>
      </c>
      <c r="I43" s="739">
        <f t="shared" si="17"/>
        <v>0.98129067245119306</v>
      </c>
      <c r="J43" s="740">
        <f t="shared" si="18"/>
        <v>2142.4500000000003</v>
      </c>
      <c r="K43" s="738">
        <f t="shared" si="19"/>
        <v>2618.5500000000002</v>
      </c>
      <c r="L43" s="738">
        <f t="shared" si="20"/>
        <v>1666.35</v>
      </c>
      <c r="M43" s="738">
        <f t="shared" si="21"/>
        <v>1904.4</v>
      </c>
      <c r="N43" s="736">
        <f t="shared" si="22"/>
        <v>1190.25</v>
      </c>
      <c r="O43" s="736">
        <f t="shared" si="23"/>
        <v>249711</v>
      </c>
    </row>
    <row r="44" spans="2:15">
      <c r="B44" s="1110"/>
      <c r="C44" s="1115"/>
      <c r="D44" s="737" t="s">
        <v>3013</v>
      </c>
      <c r="E44" s="738">
        <v>324000</v>
      </c>
      <c r="F44" s="738">
        <v>116064</v>
      </c>
      <c r="G44" s="736">
        <f>GETPIVOTDATA(" #_students at TLS_CFS",$B$17,"State","Northern Rakhine")</f>
        <v>0</v>
      </c>
      <c r="H44" s="739">
        <f t="shared" si="16"/>
        <v>0</v>
      </c>
      <c r="I44" s="739">
        <f t="shared" si="17"/>
        <v>1</v>
      </c>
      <c r="J44" s="740">
        <f t="shared" si="18"/>
        <v>0</v>
      </c>
      <c r="K44" s="738">
        <f t="shared" si="19"/>
        <v>0</v>
      </c>
      <c r="L44" s="738">
        <f t="shared" si="20"/>
        <v>0</v>
      </c>
      <c r="M44" s="738">
        <f t="shared" si="21"/>
        <v>0</v>
      </c>
      <c r="N44" s="736">
        <f t="shared" si="22"/>
        <v>0</v>
      </c>
      <c r="O44" s="736">
        <f t="shared" si="23"/>
        <v>116064</v>
      </c>
    </row>
    <row r="45" spans="2:15">
      <c r="B45" s="1110"/>
      <c r="C45" s="1115"/>
      <c r="D45" s="737" t="s">
        <v>716</v>
      </c>
      <c r="E45" s="738">
        <v>48123</v>
      </c>
      <c r="F45" s="738">
        <v>15138</v>
      </c>
      <c r="G45" s="736">
        <f>GETPIVOTDATA(" #_students at TLS_CFS",$B$6,"State","Shan (North)")+GETPIVOTDATA(" #_students at TLS_CFS",$B$17,"State","Shan (North)")</f>
        <v>1348</v>
      </c>
      <c r="H45" s="739">
        <f t="shared" si="16"/>
        <v>8.9047430307834588E-2</v>
      </c>
      <c r="I45" s="739">
        <f t="shared" si="17"/>
        <v>0.91095256969216543</v>
      </c>
      <c r="J45" s="740">
        <f t="shared" si="18"/>
        <v>606.6</v>
      </c>
      <c r="K45" s="738">
        <f t="shared" si="19"/>
        <v>741.40000000000009</v>
      </c>
      <c r="L45" s="738">
        <f t="shared" si="20"/>
        <v>471.79999999999995</v>
      </c>
      <c r="M45" s="738">
        <f t="shared" si="21"/>
        <v>539.20000000000005</v>
      </c>
      <c r="N45" s="736">
        <f t="shared" si="22"/>
        <v>337</v>
      </c>
      <c r="O45" s="736">
        <f t="shared" si="23"/>
        <v>13790</v>
      </c>
    </row>
    <row r="46" spans="2:15">
      <c r="G46" s="64"/>
    </row>
    <row r="47" spans="2:15">
      <c r="G47" s="64"/>
    </row>
    <row r="48" spans="2:15">
      <c r="G48" s="64"/>
    </row>
    <row r="49" spans="2:18">
      <c r="G49" s="64"/>
    </row>
    <row r="50" spans="2:18">
      <c r="G50" s="64"/>
    </row>
    <row r="52" spans="2:18">
      <c r="C52" s="93" t="s">
        <v>45</v>
      </c>
      <c r="D52" s="94"/>
      <c r="E52" s="94"/>
      <c r="F52" s="94"/>
      <c r="G52" s="94"/>
      <c r="H52" s="94"/>
      <c r="I52" s="94"/>
      <c r="J52" s="94"/>
      <c r="K52" s="94"/>
      <c r="L52" s="94"/>
      <c r="M52" s="94"/>
      <c r="N52" s="94"/>
      <c r="O52" s="94"/>
      <c r="P52" s="94"/>
      <c r="Q52" s="94"/>
      <c r="R52" s="95"/>
    </row>
    <row r="53" spans="2:18" s="236" customFormat="1"/>
    <row r="54" spans="2:18" ht="39" customHeight="1">
      <c r="C54" s="1103" t="s">
        <v>2796</v>
      </c>
      <c r="D54" s="1104"/>
      <c r="E54" s="1104"/>
    </row>
    <row r="55" spans="2:18">
      <c r="C55" s="89" t="s">
        <v>1686</v>
      </c>
      <c r="D55" s="221" t="s">
        <v>1679</v>
      </c>
      <c r="E55" s="223" t="s">
        <v>1680</v>
      </c>
    </row>
    <row r="56" spans="2:18" ht="15.75" customHeight="1">
      <c r="B56" s="92" t="s">
        <v>39</v>
      </c>
      <c r="C56" s="63">
        <v>101974</v>
      </c>
      <c r="D56" s="222">
        <f>G26</f>
        <v>52074.799999999988</v>
      </c>
      <c r="E56" s="223">
        <f>C56-D56</f>
        <v>49899.200000000012</v>
      </c>
      <c r="F56" s="71"/>
    </row>
    <row r="57" spans="2:18" ht="15.75" customHeight="1">
      <c r="B57" s="92" t="s">
        <v>3014</v>
      </c>
      <c r="C57" s="63">
        <v>254472</v>
      </c>
      <c r="D57" s="222">
        <f>G27</f>
        <v>128282</v>
      </c>
      <c r="E57" s="223">
        <f>C57-D57</f>
        <v>126190</v>
      </c>
      <c r="F57" s="71"/>
    </row>
    <row r="58" spans="2:18" ht="15.75" customHeight="1">
      <c r="B58" s="92" t="s">
        <v>3013</v>
      </c>
      <c r="C58" s="63">
        <v>116064</v>
      </c>
      <c r="D58" s="222">
        <f>G28</f>
        <v>11580.999999999998</v>
      </c>
      <c r="E58" s="223">
        <f>C58-D58</f>
        <v>104483</v>
      </c>
      <c r="F58" s="71"/>
    </row>
    <row r="59" spans="2:18" ht="15.75" customHeight="1">
      <c r="B59" s="92" t="s">
        <v>716</v>
      </c>
      <c r="C59" s="63">
        <v>15138</v>
      </c>
      <c r="D59" s="222">
        <f>G29</f>
        <v>6670.1333333333332</v>
      </c>
      <c r="E59" s="223">
        <f>C59-D59</f>
        <v>8467.8666666666668</v>
      </c>
      <c r="F59" s="71"/>
    </row>
    <row r="60" spans="2:18" ht="15.75" customHeight="1">
      <c r="E60" s="64"/>
      <c r="F60" s="71"/>
    </row>
    <row r="61" spans="2:18" ht="15.75" customHeight="1">
      <c r="E61" s="64"/>
      <c r="F61" s="71"/>
    </row>
    <row r="62" spans="2:18" ht="15.75" customHeight="1">
      <c r="E62" s="64"/>
      <c r="F62" s="71"/>
    </row>
    <row r="63" spans="2:18" ht="15.75" customHeight="1">
      <c r="E63" s="64"/>
      <c r="F63" s="71"/>
    </row>
    <row r="64" spans="2:18" ht="15.75" customHeight="1">
      <c r="E64" s="64"/>
      <c r="F64" s="71"/>
    </row>
    <row r="65" spans="2:6" ht="15.75" customHeight="1">
      <c r="E65" s="64"/>
      <c r="F65" s="71"/>
    </row>
    <row r="66" spans="2:6" ht="35.25" customHeight="1">
      <c r="C66" s="1105" t="s">
        <v>2797</v>
      </c>
      <c r="D66" s="1106"/>
      <c r="E66" s="1106"/>
      <c r="F66" s="71"/>
    </row>
    <row r="67" spans="2:6">
      <c r="C67" s="90" t="s">
        <v>1686</v>
      </c>
      <c r="D67" s="225" t="s">
        <v>1679</v>
      </c>
      <c r="E67" s="90" t="s">
        <v>1680</v>
      </c>
      <c r="F67" s="71"/>
    </row>
    <row r="68" spans="2:6" ht="15.75" customHeight="1">
      <c r="B68" s="92" t="s">
        <v>39</v>
      </c>
      <c r="C68" s="63">
        <v>101974</v>
      </c>
      <c r="D68" s="226">
        <f>G30</f>
        <v>58516</v>
      </c>
      <c r="E68" s="224">
        <f>C68-D68</f>
        <v>43458</v>
      </c>
      <c r="F68" s="71"/>
    </row>
    <row r="69" spans="2:6">
      <c r="B69" s="92" t="s">
        <v>3014</v>
      </c>
      <c r="C69" s="63">
        <v>254472</v>
      </c>
      <c r="D69" s="226">
        <f>G31</f>
        <v>90584</v>
      </c>
      <c r="E69" s="224">
        <f>C69-D69</f>
        <v>163888</v>
      </c>
      <c r="F69" s="71"/>
    </row>
    <row r="70" spans="2:6">
      <c r="B70" s="92" t="s">
        <v>3013</v>
      </c>
      <c r="C70" s="63">
        <v>116064</v>
      </c>
      <c r="D70" s="226">
        <f>G32</f>
        <v>6825</v>
      </c>
      <c r="E70" s="224">
        <f>C70-D70</f>
        <v>109239</v>
      </c>
      <c r="F70" s="71"/>
    </row>
    <row r="71" spans="2:6" ht="15.75" customHeight="1">
      <c r="B71" s="92" t="s">
        <v>716</v>
      </c>
      <c r="C71" s="63">
        <v>15138</v>
      </c>
      <c r="D71" s="226">
        <f>G33</f>
        <v>8491</v>
      </c>
      <c r="E71" s="224">
        <f>C71-D71</f>
        <v>6647</v>
      </c>
      <c r="F71" s="71"/>
    </row>
    <row r="72" spans="2:6" ht="15.75" customHeight="1">
      <c r="E72" s="64"/>
      <c r="F72" s="71"/>
    </row>
    <row r="73" spans="2:6">
      <c r="E73" s="64"/>
      <c r="F73" s="71"/>
    </row>
    <row r="74" spans="2:6">
      <c r="E74" s="64"/>
      <c r="F74" s="71"/>
    </row>
    <row r="75" spans="2:6">
      <c r="E75" s="64"/>
      <c r="F75" s="71"/>
    </row>
    <row r="76" spans="2:6">
      <c r="E76" s="64"/>
      <c r="F76" s="71"/>
    </row>
    <row r="77" spans="2:6" ht="42.75" customHeight="1">
      <c r="C77" s="1107" t="s">
        <v>2798</v>
      </c>
      <c r="D77" s="1108"/>
      <c r="E77" s="1108"/>
      <c r="F77" s="71"/>
    </row>
    <row r="78" spans="2:6">
      <c r="C78" s="91" t="s">
        <v>1686</v>
      </c>
      <c r="D78" s="227" t="s">
        <v>1679</v>
      </c>
      <c r="E78" s="91" t="s">
        <v>1680</v>
      </c>
      <c r="F78" s="71"/>
    </row>
    <row r="79" spans="2:6">
      <c r="B79" s="92" t="s">
        <v>39</v>
      </c>
      <c r="C79" s="63">
        <v>101974</v>
      </c>
      <c r="D79" s="228">
        <f>G34</f>
        <v>57182</v>
      </c>
      <c r="E79" s="229">
        <f>C79-D79</f>
        <v>44792</v>
      </c>
      <c r="F79" s="71"/>
    </row>
    <row r="80" spans="2:6">
      <c r="B80" s="92" t="s">
        <v>3014</v>
      </c>
      <c r="C80" s="63">
        <v>254472</v>
      </c>
      <c r="D80" s="228">
        <f>G35</f>
        <v>146950</v>
      </c>
      <c r="E80" s="229">
        <f>C80-D80</f>
        <v>107522</v>
      </c>
      <c r="F80" s="71"/>
    </row>
    <row r="81" spans="1:60">
      <c r="B81" s="92" t="s">
        <v>3013</v>
      </c>
      <c r="C81" s="63">
        <v>116064</v>
      </c>
      <c r="D81" s="228">
        <f>G36</f>
        <v>74895</v>
      </c>
      <c r="E81" s="229">
        <f>C81-D81</f>
        <v>41169</v>
      </c>
      <c r="F81" s="71"/>
    </row>
    <row r="82" spans="1:60">
      <c r="B82" s="92" t="s">
        <v>716</v>
      </c>
      <c r="C82" s="63">
        <v>15138</v>
      </c>
      <c r="D82" s="228">
        <f>G37</f>
        <v>7911</v>
      </c>
      <c r="E82" s="229">
        <f>C82-D82</f>
        <v>7227</v>
      </c>
      <c r="F82" s="71"/>
    </row>
    <row r="83" spans="1:60">
      <c r="E83" s="64"/>
      <c r="F83" s="71"/>
    </row>
    <row r="85" spans="1:60">
      <c r="D85" s="64"/>
    </row>
    <row r="86" spans="1:60">
      <c r="D86" s="64"/>
    </row>
    <row r="87" spans="1:60" hidden="1">
      <c r="B87" s="1101" t="s">
        <v>1925</v>
      </c>
      <c r="C87" s="1102"/>
      <c r="D87" s="1102"/>
      <c r="E87" s="1102"/>
      <c r="F87" s="1102"/>
      <c r="G87" s="1102"/>
      <c r="H87" s="1102"/>
      <c r="J87" s="1101" t="s">
        <v>1936</v>
      </c>
      <c r="K87" s="1102"/>
      <c r="L87" s="1102"/>
      <c r="M87" s="1102"/>
      <c r="N87" s="1102"/>
      <c r="O87" s="1102"/>
      <c r="P87" s="1102"/>
    </row>
    <row r="88" spans="1:60" ht="79.5" hidden="1" customHeight="1">
      <c r="B88" s="92" t="s">
        <v>22</v>
      </c>
      <c r="C88" s="89" t="s">
        <v>1681</v>
      </c>
      <c r="D88" s="89" t="s">
        <v>1682</v>
      </c>
      <c r="E88" s="90" t="s">
        <v>85</v>
      </c>
      <c r="F88" s="90" t="s">
        <v>1684</v>
      </c>
      <c r="G88" s="91" t="s">
        <v>86</v>
      </c>
      <c r="H88" s="91" t="s">
        <v>1683</v>
      </c>
      <c r="J88" s="92" t="s">
        <v>22</v>
      </c>
      <c r="K88" s="221" t="s">
        <v>1681</v>
      </c>
      <c r="L88" s="221" t="s">
        <v>1682</v>
      </c>
      <c r="M88" s="225" t="s">
        <v>85</v>
      </c>
      <c r="N88" s="225" t="s">
        <v>1684</v>
      </c>
      <c r="O88" s="227" t="s">
        <v>86</v>
      </c>
      <c r="P88" s="227" t="s">
        <v>1683</v>
      </c>
    </row>
    <row r="89" spans="1:60" hidden="1">
      <c r="B89" s="92" t="s">
        <v>39</v>
      </c>
      <c r="C89" s="230">
        <f>$E$56/$C$56</f>
        <v>0.48933257497009053</v>
      </c>
      <c r="D89" s="230" t="e">
        <f>#REF!/#REF!</f>
        <v>#REF!</v>
      </c>
      <c r="E89" s="231">
        <f>$E$68/$C$68</f>
        <v>0.42616745444917331</v>
      </c>
      <c r="F89" s="231" t="e">
        <f>#REF!/#REF!</f>
        <v>#REF!</v>
      </c>
      <c r="G89" s="232">
        <f>$E$79/$C$79</f>
        <v>0.43924922038951103</v>
      </c>
      <c r="H89" s="232" t="e">
        <f>#REF!/#REF!</f>
        <v>#REF!</v>
      </c>
      <c r="J89" s="92" t="s">
        <v>39</v>
      </c>
      <c r="K89" s="233">
        <f>D56/C56</f>
        <v>0.51066742502990947</v>
      </c>
      <c r="L89" s="233" t="e">
        <f>#REF!/#REF!</f>
        <v>#REF!</v>
      </c>
      <c r="M89" s="234">
        <f>D68/C68</f>
        <v>0.57383254555082663</v>
      </c>
      <c r="N89" s="234" t="e">
        <f>#REF!/#REF!</f>
        <v>#REF!</v>
      </c>
      <c r="O89" s="235">
        <f>D79/C79</f>
        <v>0.56075077961048891</v>
      </c>
      <c r="P89" s="235" t="e">
        <f>#REF!/#REF!</f>
        <v>#REF!</v>
      </c>
    </row>
    <row r="90" spans="1:60" hidden="1">
      <c r="B90" s="92" t="s">
        <v>312</v>
      </c>
      <c r="C90" s="230">
        <f>$E$57/$C$57</f>
        <v>0.49588952812097203</v>
      </c>
      <c r="D90" s="230" t="e">
        <f>#REF!/#REF!</f>
        <v>#REF!</v>
      </c>
      <c r="E90" s="231">
        <f>$E$69/$C$69</f>
        <v>0.64403156339400802</v>
      </c>
      <c r="F90" s="231" t="e">
        <f>#REF!/#REF!</f>
        <v>#REF!</v>
      </c>
      <c r="G90" s="232">
        <f>$E$80/$C$80</f>
        <v>0.42252978716715395</v>
      </c>
      <c r="H90" s="232" t="e">
        <f>#REF!/#REF!</f>
        <v>#REF!</v>
      </c>
      <c r="J90" s="92" t="s">
        <v>312</v>
      </c>
      <c r="K90" s="233">
        <f>D57/C57</f>
        <v>0.50411047187902791</v>
      </c>
      <c r="L90" s="233" t="e">
        <f>#REF!/#REF!</f>
        <v>#REF!</v>
      </c>
      <c r="M90" s="234">
        <f>D69/C69</f>
        <v>0.35596843660599203</v>
      </c>
      <c r="N90" s="234" t="e">
        <f>#REF!/#REF!</f>
        <v>#REF!</v>
      </c>
      <c r="O90" s="235">
        <f>D80/C80</f>
        <v>0.57747021283284605</v>
      </c>
      <c r="P90" s="235" t="e">
        <f>#REF!/#REF!</f>
        <v>#REF!</v>
      </c>
    </row>
    <row r="91" spans="1:60" ht="31.5" hidden="1">
      <c r="B91" s="92" t="s">
        <v>716</v>
      </c>
      <c r="C91" s="230">
        <f>$E$59/$C$59</f>
        <v>0.55937816532346851</v>
      </c>
      <c r="D91" s="230" t="e">
        <f>#REF!/#REF!</f>
        <v>#REF!</v>
      </c>
      <c r="E91" s="231">
        <f>$E$71/$C$71</f>
        <v>0.4390936715550271</v>
      </c>
      <c r="F91" s="231" t="e">
        <f>#REF!/#REF!</f>
        <v>#REF!</v>
      </c>
      <c r="G91" s="232">
        <f>$E$82/$C$82</f>
        <v>0.47740784780023782</v>
      </c>
      <c r="H91" s="232" t="e">
        <f>#REF!/#REF!</f>
        <v>#REF!</v>
      </c>
      <c r="J91" s="92" t="s">
        <v>716</v>
      </c>
      <c r="K91" s="233">
        <f>D59/C59</f>
        <v>0.44062183467653143</v>
      </c>
      <c r="L91" s="233" t="e">
        <f>#REF!/#REF!</f>
        <v>#REF!</v>
      </c>
      <c r="M91" s="234">
        <f>D71/C71</f>
        <v>0.5609063284449729</v>
      </c>
      <c r="N91" s="234" t="e">
        <f>#REF!/#REF!</f>
        <v>#REF!</v>
      </c>
      <c r="O91" s="235">
        <f>D82/C82</f>
        <v>0.52259215219976218</v>
      </c>
      <c r="P91" s="235" t="e">
        <f>#REF!/#REF!</f>
        <v>#REF!</v>
      </c>
    </row>
    <row r="94" spans="1:60">
      <c r="V94"/>
      <c r="W94"/>
    </row>
    <row r="95" spans="1:60" ht="23.25">
      <c r="A95" s="636" t="s">
        <v>2067</v>
      </c>
      <c r="B95" s="634"/>
      <c r="C95" s="634"/>
      <c r="D95" s="634"/>
      <c r="E95" s="634"/>
      <c r="F95" s="634"/>
      <c r="G95" s="634"/>
      <c r="H95" s="634"/>
      <c r="I95" s="634"/>
      <c r="J95" s="634"/>
      <c r="K95" s="634"/>
      <c r="L95" s="634"/>
      <c r="M95" s="634"/>
      <c r="N95" s="634"/>
      <c r="O95" s="634"/>
      <c r="P95" s="634"/>
      <c r="Q95" s="634"/>
      <c r="R95" s="634"/>
      <c r="S95" s="634"/>
      <c r="T95" s="634"/>
      <c r="U95" s="634"/>
      <c r="V95" s="635"/>
      <c r="W95" s="635"/>
      <c r="X95" s="634"/>
      <c r="Y95" s="634"/>
      <c r="Z95" s="634"/>
      <c r="AA95" s="634"/>
      <c r="AB95" s="634"/>
      <c r="AC95" s="634"/>
      <c r="AD95" s="634"/>
      <c r="AE95" s="634"/>
      <c r="AF95" s="634"/>
      <c r="AG95" s="634"/>
      <c r="AH95" s="634"/>
      <c r="AI95" s="634"/>
      <c r="AJ95" s="634"/>
      <c r="AK95" s="634"/>
      <c r="AL95" s="634"/>
      <c r="AM95" s="634"/>
      <c r="AN95" s="634"/>
      <c r="AO95" s="634"/>
      <c r="AP95" s="634"/>
      <c r="AQ95" s="634"/>
      <c r="AR95" s="634"/>
      <c r="AS95" s="634"/>
      <c r="AT95" s="634"/>
      <c r="AU95" s="634"/>
      <c r="AV95" s="634"/>
      <c r="AW95" s="634"/>
      <c r="AX95" s="634"/>
      <c r="AY95" s="634"/>
      <c r="AZ95" s="634"/>
      <c r="BA95" s="634"/>
      <c r="BB95" s="634"/>
      <c r="BC95" s="634"/>
      <c r="BD95" s="634"/>
      <c r="BE95" s="634"/>
      <c r="BF95" s="634"/>
      <c r="BG95" s="634"/>
      <c r="BH95" s="634"/>
    </row>
    <row r="96" spans="1:60">
      <c r="V96"/>
      <c r="W96"/>
    </row>
    <row r="97" spans="1:60">
      <c r="C97" s="1003" t="s">
        <v>20</v>
      </c>
      <c r="D97" s="1004" t="s">
        <v>2525</v>
      </c>
      <c r="J97" s="62"/>
      <c r="S97" s="992" t="s">
        <v>20</v>
      </c>
      <c r="T97" s="993" t="s">
        <v>2525</v>
      </c>
      <c r="AP97" s="992" t="s">
        <v>20</v>
      </c>
      <c r="AQ97" s="993" t="s">
        <v>2525</v>
      </c>
    </row>
    <row r="98" spans="1:60">
      <c r="C98" s="1003" t="s">
        <v>35</v>
      </c>
      <c r="D98" s="1004" t="s">
        <v>35</v>
      </c>
      <c r="S98" s="992" t="s">
        <v>35</v>
      </c>
      <c r="T98" s="993" t="s">
        <v>35</v>
      </c>
      <c r="AP98" s="992" t="s">
        <v>35</v>
      </c>
      <c r="AQ98" s="993" t="s">
        <v>35</v>
      </c>
    </row>
    <row r="99" spans="1:60">
      <c r="C99" s="1003" t="s">
        <v>142</v>
      </c>
      <c r="D99" s="1004" t="s">
        <v>1668</v>
      </c>
      <c r="E99"/>
      <c r="F99" s="237" t="s">
        <v>2067</v>
      </c>
      <c r="G99"/>
      <c r="H99"/>
      <c r="I99"/>
      <c r="J99"/>
      <c r="S99" s="992" t="s">
        <v>142</v>
      </c>
      <c r="T99" s="993" t="s">
        <v>812</v>
      </c>
      <c r="U99"/>
      <c r="V99" s="237" t="s">
        <v>2067</v>
      </c>
      <c r="W99" s="633" t="s">
        <v>3145</v>
      </c>
      <c r="X99"/>
      <c r="Y99"/>
      <c r="AP99" s="992" t="s">
        <v>142</v>
      </c>
      <c r="AQ99" s="993" t="s">
        <v>1668</v>
      </c>
      <c r="AR99"/>
      <c r="AS99" s="237" t="s">
        <v>2067</v>
      </c>
      <c r="AT99"/>
      <c r="AU99"/>
      <c r="AV99"/>
    </row>
    <row r="100" spans="1:60">
      <c r="C100"/>
      <c r="D100"/>
      <c r="E100"/>
      <c r="F100" s="119" t="s">
        <v>1670</v>
      </c>
      <c r="G100" s="120" t="s">
        <v>1978</v>
      </c>
      <c r="H100" s="122" t="s">
        <v>1679</v>
      </c>
      <c r="I100" s="122" t="s">
        <v>1680</v>
      </c>
      <c r="J100"/>
      <c r="S100" s="75"/>
      <c r="T100"/>
      <c r="U100"/>
      <c r="V100" s="119" t="s">
        <v>1670</v>
      </c>
      <c r="W100" s="120" t="s">
        <v>1978</v>
      </c>
      <c r="X100" s="122" t="s">
        <v>1679</v>
      </c>
      <c r="Y100" s="122" t="s">
        <v>1680</v>
      </c>
      <c r="AP100" s="75"/>
      <c r="AQ100"/>
      <c r="AR100"/>
      <c r="AS100" s="119" t="s">
        <v>1670</v>
      </c>
      <c r="AT100" s="120" t="s">
        <v>1978</v>
      </c>
      <c r="AU100" s="122" t="s">
        <v>1679</v>
      </c>
      <c r="AV100" s="122" t="s">
        <v>1680</v>
      </c>
    </row>
    <row r="101" spans="1:60" ht="126">
      <c r="C101" s="1005" t="s">
        <v>2793</v>
      </c>
      <c r="D101" s="1002">
        <v>166322.93333333332</v>
      </c>
      <c r="E101"/>
      <c r="F101" s="118" t="s">
        <v>2799</v>
      </c>
      <c r="G101" s="125">
        <v>203446</v>
      </c>
      <c r="H101" s="125">
        <f>GETPIVOTDATA(" HRP3",$C$101)</f>
        <v>180761</v>
      </c>
      <c r="I101" s="125">
        <f>G101-H101</f>
        <v>22685</v>
      </c>
      <c r="J101"/>
      <c r="K101"/>
      <c r="S101" s="1025" t="s">
        <v>2793</v>
      </c>
      <c r="T101" s="1033">
        <v>32113</v>
      </c>
      <c r="U101"/>
      <c r="V101" s="118" t="s">
        <v>2799</v>
      </c>
      <c r="W101" s="630">
        <f>487648-203446</f>
        <v>284202</v>
      </c>
      <c r="X101" s="630">
        <f>GETPIVOTDATA(" HRP3",$S$101)</f>
        <v>91151</v>
      </c>
      <c r="Y101" s="630">
        <f>W101-X101</f>
        <v>193051</v>
      </c>
      <c r="AP101" s="1032" t="s">
        <v>2793</v>
      </c>
      <c r="AQ101" s="1034">
        <v>198435.93333333332</v>
      </c>
      <c r="AR101"/>
      <c r="AS101" s="118" t="s">
        <v>2799</v>
      </c>
      <c r="AT101" s="127">
        <v>487648</v>
      </c>
      <c r="AU101" s="252">
        <f>GETPIVOTDATA(" HRP3",$AP$101)</f>
        <v>271912</v>
      </c>
      <c r="AV101" s="252">
        <f>AT101-AU101</f>
        <v>215736</v>
      </c>
    </row>
    <row r="102" spans="1:60" ht="94.5">
      <c r="C102" s="1006" t="s">
        <v>2794</v>
      </c>
      <c r="D102" s="1006">
        <v>144739</v>
      </c>
      <c r="E102"/>
      <c r="F102" s="117" t="s">
        <v>2800</v>
      </c>
      <c r="G102" s="124">
        <v>203446</v>
      </c>
      <c r="H102" s="124">
        <f>GETPIVOTDATA(" HRP2",$C$101)</f>
        <v>144739</v>
      </c>
      <c r="I102" s="124">
        <f>G102-H102</f>
        <v>58707</v>
      </c>
      <c r="J102"/>
      <c r="K102"/>
      <c r="S102" s="998" t="s">
        <v>2794</v>
      </c>
      <c r="T102" s="1035">
        <v>10584</v>
      </c>
      <c r="U102"/>
      <c r="V102" s="117" t="s">
        <v>2800</v>
      </c>
      <c r="W102" s="631">
        <f>487648-203446</f>
        <v>284202</v>
      </c>
      <c r="X102" s="631">
        <f>GETPIVOTDATA(" HRP2",$S$101)</f>
        <v>10584</v>
      </c>
      <c r="Y102" s="631">
        <f>W102-X102</f>
        <v>273618</v>
      </c>
      <c r="AP102" s="998" t="s">
        <v>2794</v>
      </c>
      <c r="AQ102" s="1006">
        <v>155323</v>
      </c>
      <c r="AR102"/>
      <c r="AS102" s="117" t="s">
        <v>2800</v>
      </c>
      <c r="AT102" s="255">
        <v>487648</v>
      </c>
      <c r="AU102" s="253">
        <f>GETPIVOTDATA(" HRP2",$AP$101)</f>
        <v>155323</v>
      </c>
      <c r="AV102" s="253">
        <f>AT102-AU102</f>
        <v>332325</v>
      </c>
    </row>
    <row r="103" spans="1:60" ht="94.5">
      <c r="C103" s="1007" t="s">
        <v>2795</v>
      </c>
      <c r="D103" s="1007">
        <v>180761</v>
      </c>
      <c r="E103"/>
      <c r="F103" s="121" t="s">
        <v>2801</v>
      </c>
      <c r="G103" s="123">
        <v>203446</v>
      </c>
      <c r="H103" s="123">
        <f>GETPIVOTDATA(" HRP1",$C$101)</f>
        <v>166322.93333333332</v>
      </c>
      <c r="I103" s="123">
        <f>G103-H103</f>
        <v>37123.06666666668</v>
      </c>
      <c r="J103"/>
      <c r="K103"/>
      <c r="S103" s="1000" t="s">
        <v>2795</v>
      </c>
      <c r="T103" s="1035">
        <v>91151</v>
      </c>
      <c r="U103"/>
      <c r="V103" s="121" t="s">
        <v>2801</v>
      </c>
      <c r="W103" s="632">
        <f>487648-203446</f>
        <v>284202</v>
      </c>
      <c r="X103" s="632">
        <f>GETPIVOTDATA(" HRP1",$S$101)</f>
        <v>32113</v>
      </c>
      <c r="Y103" s="632">
        <f>W103-X103</f>
        <v>252089</v>
      </c>
      <c r="AP103" s="1000" t="s">
        <v>2795</v>
      </c>
      <c r="AQ103" s="1028">
        <v>271912</v>
      </c>
      <c r="AR103"/>
      <c r="AS103" s="121" t="s">
        <v>2801</v>
      </c>
      <c r="AT103" s="126">
        <v>487648</v>
      </c>
      <c r="AU103" s="254">
        <f>GETPIVOTDATA(" HRP1",$AP$101)</f>
        <v>198435.93333333332</v>
      </c>
      <c r="AV103" s="254">
        <f>AT103-AU103</f>
        <v>289212.06666666665</v>
      </c>
    </row>
    <row r="104" spans="1:60">
      <c r="C104"/>
      <c r="D104"/>
      <c r="E104"/>
      <c r="H104" s="64">
        <f>SUM(H101:H103)</f>
        <v>491822.93333333335</v>
      </c>
      <c r="J104"/>
      <c r="K104"/>
      <c r="S104"/>
      <c r="T104"/>
      <c r="U104"/>
      <c r="X104" s="64">
        <f>SUM(X101:X103)</f>
        <v>133848</v>
      </c>
      <c r="AP104"/>
      <c r="AQ104"/>
      <c r="AR104"/>
      <c r="AU104" s="64">
        <f>SUM(AU101:AU103)</f>
        <v>625670.93333333335</v>
      </c>
    </row>
    <row r="105" spans="1:60">
      <c r="C105"/>
      <c r="D105"/>
      <c r="H105" s="64">
        <f>D11-H104</f>
        <v>0</v>
      </c>
      <c r="S105"/>
      <c r="T105"/>
      <c r="W105" s="64">
        <f>487648-203446</f>
        <v>284202</v>
      </c>
      <c r="AP105"/>
      <c r="AQ105"/>
    </row>
    <row r="106" spans="1:60">
      <c r="C106"/>
      <c r="D106"/>
      <c r="V106"/>
      <c r="W106"/>
      <c r="AP106"/>
      <c r="AQ106"/>
    </row>
    <row r="108" spans="1:60" ht="23.25">
      <c r="A108" s="636" t="s">
        <v>39</v>
      </c>
      <c r="B108" s="634"/>
      <c r="C108" s="634"/>
      <c r="D108" s="634"/>
      <c r="E108" s="634"/>
      <c r="F108" s="634"/>
      <c r="G108" s="634"/>
      <c r="H108" s="634"/>
      <c r="I108" s="634"/>
      <c r="J108" s="634"/>
      <c r="K108" s="634"/>
      <c r="L108" s="634"/>
      <c r="M108" s="634"/>
      <c r="N108" s="634"/>
      <c r="O108" s="634"/>
      <c r="P108" s="634"/>
      <c r="Q108" s="634"/>
      <c r="R108" s="634"/>
      <c r="S108" s="634"/>
      <c r="T108" s="634"/>
      <c r="U108" s="634"/>
      <c r="V108" s="635"/>
      <c r="W108" s="635"/>
      <c r="X108" s="634"/>
      <c r="Y108" s="634"/>
      <c r="Z108" s="634"/>
      <c r="AA108" s="634"/>
      <c r="AB108" s="634"/>
      <c r="AC108" s="634"/>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634"/>
      <c r="AY108" s="634"/>
      <c r="AZ108" s="634"/>
      <c r="BA108" s="634"/>
      <c r="BB108" s="634"/>
      <c r="BC108" s="634"/>
      <c r="BD108" s="634"/>
      <c r="BE108" s="634"/>
      <c r="BF108" s="634"/>
      <c r="BG108" s="634"/>
      <c r="BH108" s="634"/>
    </row>
    <row r="109" spans="1:60" s="236" customFormat="1" ht="23.25">
      <c r="A109" s="723"/>
      <c r="V109" s="677"/>
      <c r="W109" s="677"/>
    </row>
    <row r="110" spans="1:60">
      <c r="C110" s="992" t="s">
        <v>20</v>
      </c>
      <c r="D110" s="993" t="s">
        <v>2525</v>
      </c>
    </row>
    <row r="111" spans="1:60">
      <c r="C111" s="992" t="s">
        <v>35</v>
      </c>
      <c r="D111" s="993" t="s">
        <v>35</v>
      </c>
      <c r="H111" s="1114"/>
      <c r="I111" s="1114"/>
    </row>
    <row r="112" spans="1:60">
      <c r="C112" s="992" t="s">
        <v>22</v>
      </c>
      <c r="D112" s="993" t="s">
        <v>39</v>
      </c>
      <c r="H112" s="724"/>
      <c r="I112" s="724"/>
    </row>
    <row r="113" spans="1:60">
      <c r="C113" s="992" t="s">
        <v>142</v>
      </c>
      <c r="D113" s="993" t="s">
        <v>1668</v>
      </c>
      <c r="F113" s="237" t="s">
        <v>39</v>
      </c>
    </row>
    <row r="114" spans="1:60">
      <c r="C114" s="75"/>
      <c r="D114"/>
      <c r="F114" s="119" t="s">
        <v>1670</v>
      </c>
      <c r="G114" s="120" t="s">
        <v>1978</v>
      </c>
      <c r="H114" s="122" t="s">
        <v>1679</v>
      </c>
      <c r="I114" s="122" t="s">
        <v>1680</v>
      </c>
    </row>
    <row r="115" spans="1:60" ht="110.25">
      <c r="C115" s="996" t="s">
        <v>2793</v>
      </c>
      <c r="D115" s="1002">
        <v>52074.799999999996</v>
      </c>
      <c r="F115" s="118" t="s">
        <v>2799</v>
      </c>
      <c r="G115" s="125">
        <v>83733</v>
      </c>
      <c r="H115" s="125">
        <f>GETPIVOTDATA(" HRP3",$C$115)</f>
        <v>57182</v>
      </c>
      <c r="I115" s="125">
        <f>G115-H115</f>
        <v>26551</v>
      </c>
    </row>
    <row r="116" spans="1:60" ht="63">
      <c r="C116" s="998" t="s">
        <v>2794</v>
      </c>
      <c r="D116" s="1027">
        <v>58516</v>
      </c>
      <c r="F116" s="117" t="s">
        <v>2800</v>
      </c>
      <c r="G116" s="124">
        <v>83733</v>
      </c>
      <c r="H116" s="124">
        <f>GETPIVOTDATA(" HRP2",$C$115)</f>
        <v>58516</v>
      </c>
      <c r="I116" s="124">
        <f>G116-H116</f>
        <v>25217</v>
      </c>
    </row>
    <row r="117" spans="1:60" ht="63">
      <c r="C117" s="1000" t="s">
        <v>2795</v>
      </c>
      <c r="D117" s="1028">
        <v>57182</v>
      </c>
      <c r="F117" s="121" t="s">
        <v>2801</v>
      </c>
      <c r="G117" s="123">
        <v>83733</v>
      </c>
      <c r="H117" s="123">
        <f>GETPIVOTDATA(" HRP1",$C$115)</f>
        <v>52074.799999999996</v>
      </c>
      <c r="I117" s="123">
        <f>G117-H117</f>
        <v>31658.200000000004</v>
      </c>
    </row>
    <row r="118" spans="1:60">
      <c r="C118"/>
      <c r="D118"/>
      <c r="H118" s="64">
        <f>SUM(H115:H117)</f>
        <v>167772.79999999999</v>
      </c>
    </row>
    <row r="119" spans="1:60">
      <c r="C119"/>
      <c r="D119"/>
    </row>
    <row r="120" spans="1:60">
      <c r="C120"/>
      <c r="D120"/>
    </row>
    <row r="121" spans="1:60">
      <c r="C121"/>
      <c r="D121"/>
    </row>
    <row r="122" spans="1:60" ht="23.25">
      <c r="A122" s="636" t="s">
        <v>312</v>
      </c>
      <c r="B122" s="634"/>
      <c r="C122" s="634"/>
      <c r="D122" s="634"/>
      <c r="E122" s="634"/>
      <c r="F122" s="634"/>
      <c r="G122" s="634"/>
      <c r="H122" s="634"/>
      <c r="I122" s="634"/>
      <c r="J122" s="634"/>
      <c r="K122" s="634"/>
      <c r="L122" s="634"/>
      <c r="M122" s="634"/>
      <c r="N122" s="634"/>
      <c r="O122" s="634"/>
      <c r="P122" s="634"/>
      <c r="Q122" s="634"/>
      <c r="R122" s="634"/>
      <c r="S122" s="634"/>
      <c r="T122" s="634"/>
      <c r="U122" s="634"/>
      <c r="V122" s="635"/>
      <c r="W122" s="635"/>
      <c r="X122" s="634"/>
      <c r="Y122" s="634"/>
      <c r="Z122" s="634"/>
      <c r="AA122" s="634"/>
      <c r="AB122" s="634"/>
      <c r="AC122" s="634"/>
      <c r="AD122" s="634"/>
      <c r="AE122" s="634"/>
      <c r="AF122" s="634"/>
      <c r="AG122" s="634"/>
      <c r="AH122" s="634"/>
      <c r="AI122" s="634"/>
      <c r="AJ122" s="634"/>
      <c r="AK122" s="634"/>
      <c r="AL122" s="634"/>
      <c r="AM122" s="634"/>
      <c r="AN122" s="634"/>
      <c r="AO122" s="634"/>
      <c r="AP122" s="634"/>
      <c r="AQ122" s="634"/>
      <c r="AR122" s="634"/>
      <c r="AS122" s="634"/>
      <c r="AT122" s="634"/>
      <c r="AU122" s="634"/>
      <c r="AV122" s="634"/>
      <c r="AW122" s="634"/>
      <c r="AX122" s="634"/>
      <c r="AY122" s="634"/>
      <c r="AZ122" s="634"/>
      <c r="BA122" s="634"/>
      <c r="BB122" s="634"/>
      <c r="BC122" s="634"/>
      <c r="BD122" s="634"/>
      <c r="BE122" s="634"/>
      <c r="BF122" s="634"/>
      <c r="BG122" s="634"/>
      <c r="BH122" s="634"/>
    </row>
    <row r="124" spans="1:60">
      <c r="C124" s="992" t="s">
        <v>20</v>
      </c>
      <c r="D124" s="993" t="s">
        <v>2525</v>
      </c>
      <c r="S124" s="992" t="s">
        <v>20</v>
      </c>
      <c r="T124" s="993" t="s">
        <v>2525</v>
      </c>
      <c r="AL124" s="992" t="s">
        <v>20</v>
      </c>
      <c r="AM124" s="993" t="s">
        <v>2525</v>
      </c>
    </row>
    <row r="125" spans="1:60">
      <c r="C125" s="992" t="s">
        <v>35</v>
      </c>
      <c r="D125" s="993" t="s">
        <v>35</v>
      </c>
      <c r="S125" s="992" t="s">
        <v>35</v>
      </c>
      <c r="T125" s="993" t="s">
        <v>35</v>
      </c>
      <c r="AL125" s="992" t="s">
        <v>35</v>
      </c>
      <c r="AM125" s="993" t="s">
        <v>35</v>
      </c>
    </row>
    <row r="126" spans="1:60">
      <c r="C126" s="992" t="s">
        <v>22</v>
      </c>
      <c r="D126" s="993" t="s">
        <v>1668</v>
      </c>
      <c r="S126" s="992" t="s">
        <v>22</v>
      </c>
      <c r="T126" s="993" t="s">
        <v>1668</v>
      </c>
      <c r="AL126" s="992" t="s">
        <v>22</v>
      </c>
      <c r="AM126" s="993" t="s">
        <v>1668</v>
      </c>
    </row>
    <row r="127" spans="1:60">
      <c r="C127" s="992" t="s">
        <v>142</v>
      </c>
      <c r="D127" s="993" t="s">
        <v>1668</v>
      </c>
      <c r="F127" s="237" t="s">
        <v>312</v>
      </c>
      <c r="G127" s="237" t="s">
        <v>3012</v>
      </c>
      <c r="S127" s="992" t="s">
        <v>142</v>
      </c>
      <c r="T127" s="993" t="s">
        <v>812</v>
      </c>
      <c r="V127" s="237" t="s">
        <v>2067</v>
      </c>
      <c r="W127" s="633" t="s">
        <v>812</v>
      </c>
      <c r="AL127" s="992" t="s">
        <v>142</v>
      </c>
      <c r="AM127" s="993" t="s">
        <v>3028</v>
      </c>
      <c r="AO127" s="237" t="s">
        <v>2067</v>
      </c>
      <c r="AP127" s="633" t="s">
        <v>3105</v>
      </c>
    </row>
    <row r="128" spans="1:60">
      <c r="C128" s="75"/>
      <c r="D128"/>
      <c r="F128" s="119" t="s">
        <v>1670</v>
      </c>
      <c r="G128" s="120" t="s">
        <v>1978</v>
      </c>
      <c r="H128" s="122" t="s">
        <v>1679</v>
      </c>
      <c r="I128" s="122" t="s">
        <v>1680</v>
      </c>
      <c r="S128" s="75"/>
      <c r="T128"/>
      <c r="V128" s="119" t="s">
        <v>1670</v>
      </c>
      <c r="W128" s="120" t="s">
        <v>1978</v>
      </c>
      <c r="X128" s="122" t="s">
        <v>1679</v>
      </c>
      <c r="Y128" s="122" t="s">
        <v>1680</v>
      </c>
      <c r="AL128" s="665"/>
      <c r="AM128" s="665"/>
      <c r="AN128" s="717"/>
      <c r="AO128" s="728" t="s">
        <v>1670</v>
      </c>
      <c r="AP128" s="729" t="s">
        <v>1978</v>
      </c>
      <c r="AQ128" s="730" t="s">
        <v>1679</v>
      </c>
      <c r="AR128" s="730" t="s">
        <v>1680</v>
      </c>
      <c r="AS128" s="717"/>
      <c r="AT128" s="717"/>
      <c r="AU128" s="717"/>
      <c r="AV128" s="717"/>
      <c r="AW128" s="717"/>
      <c r="AX128" s="717"/>
      <c r="AY128" s="717"/>
      <c r="AZ128" s="717"/>
      <c r="BA128" s="717"/>
      <c r="BB128" s="717"/>
      <c r="BC128" s="717"/>
      <c r="BD128" s="717"/>
      <c r="BE128" s="717"/>
      <c r="BF128" s="717"/>
      <c r="BG128" s="717"/>
      <c r="BH128" s="717"/>
    </row>
    <row r="129" spans="1:60" ht="126">
      <c r="C129" s="996" t="s">
        <v>2793</v>
      </c>
      <c r="D129" s="1002">
        <v>107578</v>
      </c>
      <c r="F129" s="118" t="s">
        <v>2799</v>
      </c>
      <c r="G129" s="125">
        <v>111059</v>
      </c>
      <c r="H129" s="125">
        <f>GETPIVOTDATA(" HRP3",$C$129)</f>
        <v>116532</v>
      </c>
      <c r="I129" s="125">
        <v>5473</v>
      </c>
      <c r="S129" s="996" t="s">
        <v>2793</v>
      </c>
      <c r="T129" s="1001">
        <v>32113</v>
      </c>
      <c r="V129" s="118" t="s">
        <v>2799</v>
      </c>
      <c r="W129" s="125">
        <f>370536-111059</f>
        <v>259477</v>
      </c>
      <c r="X129" s="125">
        <f>GETPIVOTDATA(" HRP3",$S$129)</f>
        <v>91151</v>
      </c>
      <c r="Y129" s="125">
        <f>W129-X129</f>
        <v>168326</v>
      </c>
      <c r="AL129" s="998" t="s">
        <v>2794</v>
      </c>
      <c r="AM129" s="997">
        <v>8093</v>
      </c>
      <c r="AO129" s="118" t="s">
        <v>2799</v>
      </c>
      <c r="AP129" s="125">
        <v>63274</v>
      </c>
      <c r="AQ129" s="125">
        <f>GETPIVOTDATA(" HRP3",$AL$129)</f>
        <v>14162</v>
      </c>
      <c r="AR129" s="125">
        <f>AP129-AQ129</f>
        <v>49112</v>
      </c>
      <c r="AS129" s="717"/>
      <c r="AT129" s="717"/>
      <c r="AU129" s="717"/>
      <c r="AV129" s="717"/>
      <c r="AW129" s="717"/>
      <c r="AX129" s="717"/>
      <c r="AY129" s="717"/>
      <c r="AZ129" s="717"/>
      <c r="BA129" s="717"/>
      <c r="BB129" s="717"/>
      <c r="BC129" s="717"/>
      <c r="BD129" s="717"/>
      <c r="BE129" s="717"/>
      <c r="BF129" s="717"/>
      <c r="BG129" s="717"/>
      <c r="BH129" s="717"/>
    </row>
    <row r="130" spans="1:60" ht="94.5">
      <c r="C130" s="998" t="s">
        <v>2794</v>
      </c>
      <c r="D130" s="1036">
        <v>78732</v>
      </c>
      <c r="F130" s="117" t="s">
        <v>2800</v>
      </c>
      <c r="G130" s="124">
        <v>111059</v>
      </c>
      <c r="H130" s="124">
        <f>GETPIVOTDATA(" HRP2",$C$129)</f>
        <v>78732</v>
      </c>
      <c r="I130" s="124">
        <f>G130-H130</f>
        <v>32327</v>
      </c>
      <c r="S130" s="998" t="s">
        <v>2794</v>
      </c>
      <c r="T130" s="997">
        <v>10584</v>
      </c>
      <c r="V130" s="117" t="s">
        <v>2800</v>
      </c>
      <c r="W130" s="124">
        <f>370536-111059</f>
        <v>259477</v>
      </c>
      <c r="X130" s="124">
        <f>GETPIVOTDATA(" HRP2",$S$129)</f>
        <v>10584</v>
      </c>
      <c r="Y130" s="124">
        <f>W130-X130</f>
        <v>248893</v>
      </c>
      <c r="AL130" s="1000" t="s">
        <v>2795</v>
      </c>
      <c r="AM130" s="1012">
        <v>14162</v>
      </c>
      <c r="AO130" s="117" t="s">
        <v>2800</v>
      </c>
      <c r="AP130" s="124">
        <v>63274</v>
      </c>
      <c r="AQ130" s="124">
        <f>GETPIVOTDATA(" HRP2",$AL$129)</f>
        <v>8093</v>
      </c>
      <c r="AR130" s="124">
        <f>AP130-AQ130</f>
        <v>55181</v>
      </c>
    </row>
    <row r="131" spans="1:60" ht="94.5">
      <c r="C131" s="1000" t="s">
        <v>2795</v>
      </c>
      <c r="D131" s="1028">
        <v>116532</v>
      </c>
      <c r="F131" s="121" t="s">
        <v>2801</v>
      </c>
      <c r="G131" s="123">
        <v>111059</v>
      </c>
      <c r="H131" s="123">
        <f>GETPIVOTDATA(" HRP1",$C$129)</f>
        <v>107578</v>
      </c>
      <c r="I131" s="123">
        <f>G131-H131</f>
        <v>3481</v>
      </c>
      <c r="S131" s="1000" t="s">
        <v>2795</v>
      </c>
      <c r="T131" s="1012">
        <v>91151</v>
      </c>
      <c r="V131" s="121" t="s">
        <v>2801</v>
      </c>
      <c r="W131" s="123">
        <f>370536-111059</f>
        <v>259477</v>
      </c>
      <c r="X131" s="123">
        <f>GETPIVOTDATA(" HRP1",$S$129)</f>
        <v>32113</v>
      </c>
      <c r="Y131" s="123">
        <f>W131-X131</f>
        <v>227364</v>
      </c>
      <c r="AL131"/>
      <c r="AM131"/>
      <c r="AP131" s="61">
        <v>35755</v>
      </c>
    </row>
    <row r="132" spans="1:60">
      <c r="H132" s="64">
        <f>SUM(H129:H131)</f>
        <v>302842</v>
      </c>
      <c r="X132" s="64">
        <f>SUM(X129:X131)</f>
        <v>133848</v>
      </c>
      <c r="AP132" s="64">
        <f>AP130-AP131</f>
        <v>27519</v>
      </c>
    </row>
    <row r="134" spans="1:60">
      <c r="C134"/>
      <c r="D134"/>
      <c r="V134"/>
      <c r="W134"/>
    </row>
    <row r="135" spans="1:60" ht="23.25">
      <c r="A135" s="636" t="s">
        <v>716</v>
      </c>
      <c r="B135" s="634"/>
      <c r="C135" s="634"/>
      <c r="D135" s="634"/>
      <c r="E135" s="634"/>
      <c r="F135" s="634"/>
      <c r="G135" s="634"/>
      <c r="H135" s="634"/>
      <c r="I135" s="634"/>
      <c r="J135" s="634"/>
      <c r="K135" s="634"/>
      <c r="L135" s="634"/>
      <c r="M135" s="634"/>
      <c r="N135" s="634"/>
      <c r="O135" s="634"/>
      <c r="P135" s="634"/>
      <c r="Q135" s="634"/>
      <c r="R135" s="634"/>
      <c r="S135" s="634"/>
      <c r="T135" s="634"/>
      <c r="U135" s="634"/>
      <c r="V135" s="635"/>
      <c r="W135" s="635"/>
      <c r="X135" s="634"/>
      <c r="Y135" s="634"/>
      <c r="Z135" s="634"/>
      <c r="AA135" s="634"/>
      <c r="AB135" s="634"/>
      <c r="AC135" s="634"/>
      <c r="AD135" s="634"/>
      <c r="AE135" s="634"/>
      <c r="AF135" s="634"/>
      <c r="AG135" s="634"/>
      <c r="AH135" s="634"/>
      <c r="AI135" s="634"/>
      <c r="AJ135" s="634"/>
      <c r="AK135" s="634"/>
      <c r="AL135" s="634"/>
      <c r="AM135" s="634"/>
      <c r="AN135" s="634"/>
      <c r="AO135" s="634"/>
      <c r="AP135" s="634"/>
      <c r="AQ135" s="634"/>
      <c r="AR135" s="634"/>
      <c r="AS135" s="634"/>
      <c r="AT135" s="634"/>
      <c r="AU135" s="634"/>
      <c r="AV135" s="634"/>
      <c r="AW135" s="634"/>
      <c r="AX135" s="634"/>
      <c r="AY135" s="634"/>
      <c r="AZ135" s="634"/>
      <c r="BA135" s="634"/>
      <c r="BB135" s="634"/>
      <c r="BC135" s="634"/>
      <c r="BD135" s="634"/>
      <c r="BE135" s="634"/>
      <c r="BF135" s="634"/>
      <c r="BG135" s="634"/>
      <c r="BH135" s="634"/>
    </row>
    <row r="136" spans="1:60" s="236" customFormat="1" ht="23.25">
      <c r="A136" s="723"/>
      <c r="V136" s="677"/>
      <c r="W136" s="677"/>
    </row>
    <row r="137" spans="1:60">
      <c r="C137" s="992" t="s">
        <v>20</v>
      </c>
      <c r="D137" s="993" t="s">
        <v>2525</v>
      </c>
      <c r="S137" s="992" t="s">
        <v>20</v>
      </c>
      <c r="T137" s="993" t="s">
        <v>2525</v>
      </c>
    </row>
    <row r="138" spans="1:60">
      <c r="C138" s="992" t="s">
        <v>35</v>
      </c>
      <c r="D138" s="993" t="s">
        <v>35</v>
      </c>
      <c r="S138" s="992" t="s">
        <v>35</v>
      </c>
      <c r="T138" s="993" t="s">
        <v>35</v>
      </c>
    </row>
    <row r="139" spans="1:60">
      <c r="C139" s="992" t="s">
        <v>22</v>
      </c>
      <c r="D139" s="993" t="s">
        <v>716</v>
      </c>
      <c r="S139" s="992" t="s">
        <v>22</v>
      </c>
      <c r="T139" s="993" t="s">
        <v>716</v>
      </c>
    </row>
    <row r="140" spans="1:60">
      <c r="C140" s="992" t="s">
        <v>142</v>
      </c>
      <c r="D140" s="993" t="s">
        <v>1668</v>
      </c>
      <c r="F140" s="237" t="s">
        <v>716</v>
      </c>
      <c r="G140" s="237" t="s">
        <v>3012</v>
      </c>
      <c r="H140" s="1111"/>
      <c r="I140" s="1111"/>
      <c r="S140" s="992" t="s">
        <v>142</v>
      </c>
      <c r="T140" s="993" t="s">
        <v>3028</v>
      </c>
      <c r="V140" s="237" t="s">
        <v>716</v>
      </c>
      <c r="W140" s="237" t="s">
        <v>3012</v>
      </c>
      <c r="X140" s="1111"/>
      <c r="Y140" s="1111"/>
    </row>
    <row r="141" spans="1:60">
      <c r="C141" s="75"/>
      <c r="D141"/>
      <c r="F141" s="119" t="s">
        <v>1670</v>
      </c>
      <c r="G141" s="120" t="s">
        <v>1978</v>
      </c>
      <c r="H141" s="122" t="s">
        <v>1679</v>
      </c>
      <c r="I141" s="122" t="s">
        <v>1680</v>
      </c>
      <c r="S141" s="665"/>
      <c r="T141" s="665"/>
      <c r="U141" s="717"/>
      <c r="V141" s="728" t="s">
        <v>1670</v>
      </c>
      <c r="W141" s="729" t="s">
        <v>1978</v>
      </c>
      <c r="X141" s="730" t="s">
        <v>1679</v>
      </c>
      <c r="Y141" s="730" t="s">
        <v>1680</v>
      </c>
      <c r="AC141" s="717"/>
      <c r="AD141" s="717"/>
      <c r="AE141" s="717"/>
      <c r="AF141" s="717"/>
      <c r="AG141" s="717"/>
      <c r="AH141" s="717"/>
      <c r="AI141" s="717"/>
      <c r="AJ141" s="717"/>
      <c r="AK141" s="717"/>
      <c r="AL141" s="717"/>
      <c r="AM141" s="717"/>
      <c r="AN141" s="717"/>
      <c r="AO141" s="717"/>
      <c r="AP141" s="717"/>
      <c r="AQ141" s="717"/>
      <c r="AR141" s="717"/>
      <c r="AS141" s="717"/>
      <c r="AT141" s="717"/>
      <c r="AU141" s="717"/>
      <c r="AV141" s="717"/>
      <c r="AW141" s="717"/>
      <c r="AX141" s="717"/>
      <c r="AY141" s="717"/>
      <c r="AZ141" s="717"/>
      <c r="BA141" s="717"/>
      <c r="BB141" s="717"/>
      <c r="BC141" s="717"/>
      <c r="BD141" s="717"/>
      <c r="BE141" s="717"/>
      <c r="BF141" s="717"/>
      <c r="BG141" s="717"/>
      <c r="BH141" s="717"/>
    </row>
    <row r="142" spans="1:60" ht="126">
      <c r="C142" s="996" t="s">
        <v>2793</v>
      </c>
      <c r="D142" s="1001">
        <v>6670.1333333333332</v>
      </c>
      <c r="F142" s="118" t="s">
        <v>2799</v>
      </c>
      <c r="G142" s="125">
        <v>8654</v>
      </c>
      <c r="H142" s="125">
        <f>GETPIVOTDATA(" HRP3",$C$142)</f>
        <v>7047</v>
      </c>
      <c r="I142" s="125">
        <f>G142-H142</f>
        <v>1607</v>
      </c>
      <c r="S142" s="996" t="s">
        <v>2793</v>
      </c>
      <c r="T142" s="995">
        <v>0</v>
      </c>
      <c r="V142" s="118" t="s">
        <v>2799</v>
      </c>
      <c r="W142" s="125">
        <v>1927</v>
      </c>
      <c r="X142" s="125">
        <f>GETPIVOTDATA(" HRP3",$S$142)</f>
        <v>864</v>
      </c>
      <c r="Y142" s="125">
        <f>W142-X142</f>
        <v>1063</v>
      </c>
    </row>
    <row r="143" spans="1:60" ht="94.5">
      <c r="C143" s="998" t="s">
        <v>2794</v>
      </c>
      <c r="D143" s="997">
        <v>7491</v>
      </c>
      <c r="F143" s="117" t="s">
        <v>2800</v>
      </c>
      <c r="G143" s="124">
        <v>8654</v>
      </c>
      <c r="H143" s="124">
        <f>GETPIVOTDATA(" HRP2",$C$142)</f>
        <v>7491</v>
      </c>
      <c r="I143" s="124">
        <f>G143-H143</f>
        <v>1163</v>
      </c>
      <c r="S143" s="998" t="s">
        <v>2794</v>
      </c>
      <c r="T143" s="995">
        <v>1000</v>
      </c>
      <c r="V143" s="117" t="s">
        <v>2800</v>
      </c>
      <c r="W143" s="124">
        <v>1927</v>
      </c>
      <c r="X143" s="124">
        <f>GETPIVOTDATA(" HRP2",$S$142)</f>
        <v>1000</v>
      </c>
      <c r="Y143" s="124">
        <f>W143-X143</f>
        <v>927</v>
      </c>
    </row>
    <row r="144" spans="1:60" ht="94.5">
      <c r="C144" s="1000" t="s">
        <v>2795</v>
      </c>
      <c r="D144" s="999">
        <v>7047</v>
      </c>
      <c r="F144" s="121" t="s">
        <v>2801</v>
      </c>
      <c r="G144" s="123">
        <v>8654</v>
      </c>
      <c r="H144" s="123">
        <f>GETPIVOTDATA(" HRP1",$C$142)</f>
        <v>6670.1333333333332</v>
      </c>
      <c r="I144" s="123">
        <f>G144-H144</f>
        <v>1983.8666666666668</v>
      </c>
      <c r="S144" s="1000" t="s">
        <v>2795</v>
      </c>
      <c r="T144" s="995">
        <v>864</v>
      </c>
      <c r="V144" s="121" t="s">
        <v>2801</v>
      </c>
      <c r="W144" s="123">
        <v>1927</v>
      </c>
      <c r="X144" s="123">
        <f>GETPIVOTDATA(" HRP1",$S$142)</f>
        <v>0</v>
      </c>
      <c r="Y144" s="123">
        <f>W144-X144</f>
        <v>1927</v>
      </c>
    </row>
    <row r="145" spans="3:4">
      <c r="C145"/>
      <c r="D145"/>
    </row>
    <row r="152" spans="3:4">
      <c r="C152"/>
      <c r="D152"/>
    </row>
    <row r="153" spans="3:4">
      <c r="C153"/>
      <c r="D153"/>
    </row>
    <row r="154" spans="3:4">
      <c r="C154"/>
      <c r="D154"/>
    </row>
    <row r="155" spans="3:4">
      <c r="C155"/>
      <c r="D155"/>
    </row>
  </sheetData>
  <mergeCells count="15">
    <mergeCell ref="X140:Y140"/>
    <mergeCell ref="C26:C29"/>
    <mergeCell ref="C30:C33"/>
    <mergeCell ref="H111:I111"/>
    <mergeCell ref="H140:I140"/>
    <mergeCell ref="C38:C41"/>
    <mergeCell ref="C42:C45"/>
    <mergeCell ref="L24:N24"/>
    <mergeCell ref="B87:H87"/>
    <mergeCell ref="J87:P87"/>
    <mergeCell ref="C54:E54"/>
    <mergeCell ref="C66:E66"/>
    <mergeCell ref="C77:E77"/>
    <mergeCell ref="C34:C37"/>
    <mergeCell ref="B38:B45"/>
  </mergeCells>
  <pageMargins left="0.7" right="0.7" top="0.75" bottom="0.75" header="0.3" footer="0.3"/>
  <pageSetup orientation="portrait" r:id="rId19"/>
  <drawing r:id="rId2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61"/>
  <sheetViews>
    <sheetView topLeftCell="D1" workbookViewId="0">
      <selection activeCell="P22" sqref="P22:P26"/>
    </sheetView>
  </sheetViews>
  <sheetFormatPr defaultRowHeight="15.75"/>
  <cols>
    <col min="1" max="1" width="29.5" customWidth="1"/>
    <col min="2" max="2" width="15" bestFit="1" customWidth="1"/>
    <col min="3" max="3" width="20.25" customWidth="1"/>
    <col min="6" max="6" width="11" bestFit="1" customWidth="1"/>
    <col min="8" max="8" width="45.75" bestFit="1" customWidth="1"/>
    <col min="9" max="9" width="11.625" bestFit="1" customWidth="1"/>
    <col min="12" max="12" width="17.125" customWidth="1"/>
    <col min="13" max="13" width="9" style="661"/>
    <col min="14" max="14" width="13.25" bestFit="1" customWidth="1"/>
    <col min="16" max="16" width="28.625" bestFit="1" customWidth="1"/>
  </cols>
  <sheetData>
    <row r="2" spans="1:16">
      <c r="A2" s="1037" t="s">
        <v>20</v>
      </c>
      <c r="B2" s="1038" t="s">
        <v>2525</v>
      </c>
    </row>
    <row r="3" spans="1:16">
      <c r="A3" s="1037" t="s">
        <v>35</v>
      </c>
      <c r="B3" s="1038" t="s">
        <v>35</v>
      </c>
    </row>
    <row r="4" spans="1:16">
      <c r="A4" s="1037" t="s">
        <v>142</v>
      </c>
      <c r="B4" s="1038" t="s">
        <v>3028</v>
      </c>
    </row>
    <row r="5" spans="1:16">
      <c r="A5" s="1040" t="s">
        <v>22</v>
      </c>
      <c r="B5" s="1038" t="s">
        <v>1668</v>
      </c>
      <c r="E5" s="282" t="s">
        <v>22</v>
      </c>
      <c r="F5" s="282" t="s">
        <v>23</v>
      </c>
      <c r="G5" s="282" t="s">
        <v>21</v>
      </c>
      <c r="I5" s="282" t="s">
        <v>22</v>
      </c>
      <c r="J5" s="282" t="s">
        <v>23</v>
      </c>
      <c r="K5" s="282" t="s">
        <v>21</v>
      </c>
      <c r="N5" s="282" t="s">
        <v>22</v>
      </c>
      <c r="O5" s="282" t="s">
        <v>23</v>
      </c>
      <c r="P5" s="282" t="s">
        <v>21</v>
      </c>
    </row>
    <row r="6" spans="1:16">
      <c r="A6" s="147"/>
      <c r="B6" s="140"/>
      <c r="E6" s="733" t="s">
        <v>39</v>
      </c>
      <c r="F6" s="812" t="s">
        <v>203</v>
      </c>
      <c r="G6" s="808" t="s">
        <v>149</v>
      </c>
      <c r="H6" t="str">
        <f>G6&amp;", "&amp;G7&amp;", "&amp;G8</f>
        <v>KBC, Metta, SI</v>
      </c>
      <c r="I6" s="810" t="s">
        <v>716</v>
      </c>
      <c r="J6" s="812" t="s">
        <v>735</v>
      </c>
      <c r="K6" s="808" t="s">
        <v>200</v>
      </c>
      <c r="L6" t="str">
        <f>K7</f>
        <v>SCI, Metta</v>
      </c>
      <c r="N6" s="810" t="s">
        <v>3014</v>
      </c>
      <c r="O6" s="812" t="s">
        <v>375</v>
      </c>
      <c r="P6" s="808" t="s">
        <v>2361</v>
      </c>
    </row>
    <row r="7" spans="1:16">
      <c r="A7" s="1039" t="s">
        <v>23</v>
      </c>
      <c r="B7" s="1037" t="s">
        <v>2410</v>
      </c>
      <c r="D7" s="665"/>
      <c r="E7" s="733" t="s">
        <v>39</v>
      </c>
      <c r="F7" s="812" t="s">
        <v>203</v>
      </c>
      <c r="G7" s="808" t="s">
        <v>200</v>
      </c>
      <c r="H7" s="661"/>
      <c r="I7" s="810" t="s">
        <v>716</v>
      </c>
      <c r="J7" s="812" t="s">
        <v>735</v>
      </c>
      <c r="K7" s="808" t="s">
        <v>1957</v>
      </c>
      <c r="L7" s="661"/>
      <c r="N7" s="810" t="s">
        <v>3014</v>
      </c>
      <c r="O7" s="812" t="s">
        <v>320</v>
      </c>
      <c r="P7" s="808" t="s">
        <v>311</v>
      </c>
    </row>
    <row r="8" spans="1:16">
      <c r="A8" s="1038" t="s">
        <v>337</v>
      </c>
      <c r="B8" s="1038" t="s">
        <v>387</v>
      </c>
      <c r="E8" s="733" t="s">
        <v>39</v>
      </c>
      <c r="F8" s="812" t="s">
        <v>203</v>
      </c>
      <c r="G8" s="808" t="s">
        <v>284</v>
      </c>
      <c r="I8" s="810" t="s">
        <v>716</v>
      </c>
      <c r="J8" s="812" t="s">
        <v>720</v>
      </c>
      <c r="K8" s="808" t="s">
        <v>149</v>
      </c>
      <c r="L8" t="str">
        <f>K8&amp;", "&amp;K9&amp;", "&amp;K12</f>
        <v>KBC, KMSS, SCI, Metta</v>
      </c>
      <c r="N8" s="810" t="s">
        <v>3014</v>
      </c>
      <c r="O8" s="812" t="s">
        <v>417</v>
      </c>
      <c r="P8" s="808" t="s">
        <v>416</v>
      </c>
    </row>
    <row r="9" spans="1:16">
      <c r="A9" s="1038" t="s">
        <v>337</v>
      </c>
      <c r="B9" s="1038" t="s">
        <v>249</v>
      </c>
      <c r="E9" s="733" t="s">
        <v>39</v>
      </c>
      <c r="F9" s="812" t="s">
        <v>154</v>
      </c>
      <c r="G9" s="808" t="s">
        <v>149</v>
      </c>
      <c r="H9" t="str">
        <f>G9&amp;", "&amp;G10&amp;", "&amp;G11</f>
        <v>KBC, KMSS, Shalom</v>
      </c>
      <c r="I9" s="810" t="s">
        <v>716</v>
      </c>
      <c r="J9" s="812" t="s">
        <v>720</v>
      </c>
      <c r="K9" s="808" t="s">
        <v>38</v>
      </c>
      <c r="N9" s="810" t="s">
        <v>3014</v>
      </c>
      <c r="O9" s="812" t="s">
        <v>420</v>
      </c>
      <c r="P9" s="808" t="s">
        <v>3110</v>
      </c>
    </row>
    <row r="10" spans="1:16">
      <c r="A10" s="1038" t="s">
        <v>337</v>
      </c>
      <c r="B10" s="1038" t="s">
        <v>3161</v>
      </c>
      <c r="E10" s="733" t="s">
        <v>39</v>
      </c>
      <c r="F10" s="812" t="s">
        <v>154</v>
      </c>
      <c r="G10" s="808" t="s">
        <v>38</v>
      </c>
      <c r="I10" s="810" t="s">
        <v>716</v>
      </c>
      <c r="J10" s="812" t="s">
        <v>720</v>
      </c>
      <c r="K10" s="808" t="s">
        <v>200</v>
      </c>
      <c r="N10" s="811" t="s">
        <v>3014</v>
      </c>
      <c r="O10" s="813" t="s">
        <v>313</v>
      </c>
      <c r="P10" s="807" t="s">
        <v>3111</v>
      </c>
    </row>
    <row r="11" spans="1:16">
      <c r="A11" s="1038" t="s">
        <v>320</v>
      </c>
      <c r="B11" s="1038" t="s">
        <v>249</v>
      </c>
      <c r="E11" s="733" t="s">
        <v>39</v>
      </c>
      <c r="F11" s="812" t="s">
        <v>154</v>
      </c>
      <c r="G11" s="808" t="s">
        <v>250</v>
      </c>
      <c r="I11" s="810" t="s">
        <v>716</v>
      </c>
      <c r="J11" s="812" t="s">
        <v>720</v>
      </c>
      <c r="K11" s="808" t="s">
        <v>305</v>
      </c>
    </row>
    <row r="12" spans="1:16">
      <c r="A12" s="1038" t="s">
        <v>320</v>
      </c>
      <c r="B12" s="1038" t="s">
        <v>3153</v>
      </c>
      <c r="E12" s="733" t="s">
        <v>39</v>
      </c>
      <c r="F12" s="812" t="s">
        <v>156</v>
      </c>
      <c r="G12" s="808" t="s">
        <v>149</v>
      </c>
      <c r="H12" t="str">
        <f>G12&amp;", "&amp;G13&amp;", "&amp;G14</f>
        <v>KBC, KMSS, Shalom</v>
      </c>
      <c r="I12" s="810" t="s">
        <v>716</v>
      </c>
      <c r="J12" s="812" t="s">
        <v>720</v>
      </c>
      <c r="K12" s="808" t="s">
        <v>1957</v>
      </c>
      <c r="N12" s="810" t="s">
        <v>337</v>
      </c>
      <c r="O12" s="808" t="s">
        <v>387</v>
      </c>
      <c r="P12" t="s">
        <v>3114</v>
      </c>
    </row>
    <row r="13" spans="1:16">
      <c r="A13" s="1038" t="s">
        <v>320</v>
      </c>
      <c r="B13" s="1038" t="s">
        <v>3237</v>
      </c>
      <c r="E13" s="733" t="s">
        <v>39</v>
      </c>
      <c r="F13" s="812" t="s">
        <v>156</v>
      </c>
      <c r="G13" s="808" t="s">
        <v>38</v>
      </c>
      <c r="I13" s="810" t="s">
        <v>716</v>
      </c>
      <c r="J13" s="812" t="s">
        <v>723</v>
      </c>
      <c r="K13" s="808" t="s">
        <v>38</v>
      </c>
      <c r="L13" t="str">
        <f>K13&amp;", "&amp;K14</f>
        <v>KMSS, Metta</v>
      </c>
      <c r="N13" s="811" t="s">
        <v>375</v>
      </c>
      <c r="O13" s="808" t="s">
        <v>2361</v>
      </c>
      <c r="P13" t="s">
        <v>2361</v>
      </c>
    </row>
    <row r="14" spans="1:16">
      <c r="A14" s="1038" t="s">
        <v>330</v>
      </c>
      <c r="B14" s="1038" t="s">
        <v>332</v>
      </c>
      <c r="E14" s="733" t="s">
        <v>39</v>
      </c>
      <c r="F14" s="812" t="s">
        <v>156</v>
      </c>
      <c r="G14" s="808" t="s">
        <v>250</v>
      </c>
      <c r="I14" s="810" t="s">
        <v>716</v>
      </c>
      <c r="J14" s="812" t="s">
        <v>723</v>
      </c>
      <c r="K14" s="808" t="s">
        <v>200</v>
      </c>
      <c r="N14" s="811" t="s">
        <v>320</v>
      </c>
      <c r="O14" s="808" t="s">
        <v>336</v>
      </c>
      <c r="P14" t="s">
        <v>336</v>
      </c>
    </row>
    <row r="15" spans="1:16">
      <c r="A15" s="1038" t="s">
        <v>330</v>
      </c>
      <c r="B15" s="1038" t="s">
        <v>3163</v>
      </c>
      <c r="E15" s="733" t="s">
        <v>39</v>
      </c>
      <c r="F15" s="812" t="s">
        <v>40</v>
      </c>
      <c r="G15" s="808" t="s">
        <v>149</v>
      </c>
      <c r="H15" t="str">
        <f>G15&amp;", "&amp;G16&amp;", "&amp;G17&amp;", "&amp;G18</f>
        <v>KBC, KMSS, Metta, WPN</v>
      </c>
      <c r="I15" s="810" t="s">
        <v>716</v>
      </c>
      <c r="J15" s="812" t="s">
        <v>726</v>
      </c>
      <c r="K15" s="808" t="s">
        <v>38</v>
      </c>
      <c r="L15" t="str">
        <f>K15&amp;", "&amp;K17</f>
        <v>KMSS, SCI, Metta</v>
      </c>
      <c r="N15" s="810" t="s">
        <v>323</v>
      </c>
      <c r="O15" s="808" t="s">
        <v>326</v>
      </c>
      <c r="P15" t="s">
        <v>2184</v>
      </c>
    </row>
    <row r="16" spans="1:16">
      <c r="A16" s="1038" t="s">
        <v>330</v>
      </c>
      <c r="B16" s="1038" t="s">
        <v>3153</v>
      </c>
      <c r="E16" s="733" t="s">
        <v>39</v>
      </c>
      <c r="F16" s="812" t="s">
        <v>40</v>
      </c>
      <c r="G16" s="808" t="s">
        <v>38</v>
      </c>
      <c r="I16" s="810" t="s">
        <v>716</v>
      </c>
      <c r="J16" s="812" t="s">
        <v>726</v>
      </c>
      <c r="K16" s="808" t="s">
        <v>200</v>
      </c>
      <c r="N16" s="811" t="s">
        <v>330</v>
      </c>
      <c r="O16" s="808" t="s">
        <v>332</v>
      </c>
      <c r="P16" t="s">
        <v>332</v>
      </c>
    </row>
    <row r="17" spans="1:16">
      <c r="A17" s="1038" t="s">
        <v>330</v>
      </c>
      <c r="B17" s="1038" t="s">
        <v>3241</v>
      </c>
      <c r="E17" s="733" t="s">
        <v>39</v>
      </c>
      <c r="F17" s="812" t="s">
        <v>40</v>
      </c>
      <c r="G17" s="808" t="s">
        <v>200</v>
      </c>
      <c r="I17" s="810" t="s">
        <v>716</v>
      </c>
      <c r="J17" s="812" t="s">
        <v>726</v>
      </c>
      <c r="K17" s="808" t="s">
        <v>1957</v>
      </c>
      <c r="N17" s="811" t="s">
        <v>417</v>
      </c>
      <c r="O17" s="808" t="s">
        <v>416</v>
      </c>
      <c r="P17" t="s">
        <v>416</v>
      </c>
    </row>
    <row r="18" spans="1:16">
      <c r="A18" s="1038" t="s">
        <v>489</v>
      </c>
      <c r="B18" s="1038" t="s">
        <v>2871</v>
      </c>
      <c r="E18" s="733" t="s">
        <v>39</v>
      </c>
      <c r="F18" s="812" t="s">
        <v>40</v>
      </c>
      <c r="G18" s="808" t="s">
        <v>299</v>
      </c>
      <c r="I18" s="810" t="s">
        <v>716</v>
      </c>
      <c r="J18" s="812" t="s">
        <v>717</v>
      </c>
      <c r="K18" s="808" t="s">
        <v>38</v>
      </c>
      <c r="L18" t="str">
        <f>K18&amp;", "&amp;K19</f>
        <v>KMSS, SCI</v>
      </c>
      <c r="N18" s="810" t="s">
        <v>420</v>
      </c>
      <c r="O18" s="808" t="s">
        <v>352</v>
      </c>
      <c r="P18" t="s">
        <v>3115</v>
      </c>
    </row>
    <row r="19" spans="1:16">
      <c r="A19" s="1038" t="s">
        <v>489</v>
      </c>
      <c r="B19" s="1038" t="s">
        <v>3167</v>
      </c>
      <c r="E19" s="733" t="s">
        <v>39</v>
      </c>
      <c r="F19" s="812" t="s">
        <v>160</v>
      </c>
      <c r="G19" s="808" t="s">
        <v>149</v>
      </c>
      <c r="H19" t="str">
        <f>G19&amp;", "&amp;G20</f>
        <v>KBC, KMSS</v>
      </c>
      <c r="I19" s="810" t="s">
        <v>716</v>
      </c>
      <c r="J19" s="812" t="s">
        <v>717</v>
      </c>
      <c r="K19" s="808" t="s">
        <v>305</v>
      </c>
      <c r="N19" s="811" t="s">
        <v>355</v>
      </c>
      <c r="O19" s="808" t="s">
        <v>1270</v>
      </c>
      <c r="P19" t="s">
        <v>1270</v>
      </c>
    </row>
    <row r="20" spans="1:16">
      <c r="A20" s="1038" t="s">
        <v>489</v>
      </c>
      <c r="B20" s="1038" t="s">
        <v>3152</v>
      </c>
      <c r="E20" s="733" t="s">
        <v>39</v>
      </c>
      <c r="F20" s="812" t="s">
        <v>160</v>
      </c>
      <c r="G20" s="808" t="s">
        <v>38</v>
      </c>
      <c r="I20" s="811" t="s">
        <v>716</v>
      </c>
      <c r="J20" s="812" t="s">
        <v>737</v>
      </c>
      <c r="K20" s="808" t="s">
        <v>200</v>
      </c>
      <c r="L20" t="str">
        <f>K20</f>
        <v>Metta</v>
      </c>
      <c r="N20" s="810" t="s">
        <v>313</v>
      </c>
      <c r="O20" s="808" t="s">
        <v>332</v>
      </c>
      <c r="P20" t="s">
        <v>3116</v>
      </c>
    </row>
    <row r="21" spans="1:16">
      <c r="A21" s="1038" t="s">
        <v>489</v>
      </c>
      <c r="B21" s="1038" t="s">
        <v>3153</v>
      </c>
      <c r="E21" s="733" t="s">
        <v>39</v>
      </c>
      <c r="F21" s="812" t="s">
        <v>165</v>
      </c>
      <c r="G21" s="808" t="s">
        <v>149</v>
      </c>
      <c r="H21" t="str">
        <f>G21&amp;", "&amp;G22</f>
        <v>KBC, KMSS</v>
      </c>
      <c r="I21" s="249"/>
      <c r="J21" s="661"/>
      <c r="K21" s="661"/>
    </row>
    <row r="22" spans="1:16">
      <c r="A22" s="1038" t="s">
        <v>489</v>
      </c>
      <c r="B22" s="1038" t="s">
        <v>3234</v>
      </c>
      <c r="E22" s="733" t="s">
        <v>39</v>
      </c>
      <c r="F22" s="812" t="s">
        <v>165</v>
      </c>
      <c r="G22" s="808" t="s">
        <v>38</v>
      </c>
      <c r="I22" s="249"/>
      <c r="J22" s="661"/>
      <c r="K22" s="661"/>
      <c r="N22" s="810" t="s">
        <v>337</v>
      </c>
      <c r="O22" s="808" t="s">
        <v>387</v>
      </c>
      <c r="P22" t="s">
        <v>3118</v>
      </c>
    </row>
    <row r="23" spans="1:16">
      <c r="A23" s="1038" t="s">
        <v>489</v>
      </c>
      <c r="B23" s="1038" t="s">
        <v>3239</v>
      </c>
      <c r="E23" s="733" t="s">
        <v>39</v>
      </c>
      <c r="F23" s="812" t="s">
        <v>213</v>
      </c>
      <c r="G23" s="808" t="s">
        <v>149</v>
      </c>
      <c r="H23" t="str">
        <f>G23&amp;", "&amp;G26&amp;", "&amp;G27&amp;", "&amp;G28</f>
        <v>KBC, Metta, KMSS, SI, WPN</v>
      </c>
      <c r="I23" s="249" t="s">
        <v>22</v>
      </c>
      <c r="J23" s="661" t="s">
        <v>23</v>
      </c>
      <c r="K23" s="661" t="s">
        <v>21</v>
      </c>
      <c r="N23" s="811" t="s">
        <v>320</v>
      </c>
      <c r="O23" s="808" t="s">
        <v>1270</v>
      </c>
      <c r="P23" s="808" t="s">
        <v>1270</v>
      </c>
    </row>
    <row r="24" spans="1:16">
      <c r="A24" s="1038" t="s">
        <v>489</v>
      </c>
      <c r="B24" s="1038" t="s">
        <v>3240</v>
      </c>
      <c r="E24" s="733" t="s">
        <v>39</v>
      </c>
      <c r="F24" s="812" t="s">
        <v>213</v>
      </c>
      <c r="G24" s="808" t="s">
        <v>38</v>
      </c>
      <c r="I24" s="249" t="s">
        <v>716</v>
      </c>
      <c r="J24" s="249" t="s">
        <v>735</v>
      </c>
      <c r="K24" t="s">
        <v>1957</v>
      </c>
      <c r="L24" s="661"/>
      <c r="M24"/>
      <c r="N24" s="811" t="s">
        <v>323</v>
      </c>
      <c r="O24" s="808" t="s">
        <v>3085</v>
      </c>
      <c r="P24" s="808" t="s">
        <v>3085</v>
      </c>
    </row>
    <row r="25" spans="1:16">
      <c r="A25" s="1038" t="s">
        <v>470</v>
      </c>
      <c r="B25" s="1038" t="s">
        <v>2871</v>
      </c>
      <c r="E25" s="733" t="s">
        <v>39</v>
      </c>
      <c r="F25" s="812" t="s">
        <v>213</v>
      </c>
      <c r="G25" s="808" t="s">
        <v>200</v>
      </c>
      <c r="I25" t="s">
        <v>716</v>
      </c>
      <c r="J25" t="s">
        <v>720</v>
      </c>
      <c r="K25" t="s">
        <v>3108</v>
      </c>
      <c r="L25" s="661"/>
      <c r="M25"/>
      <c r="N25" s="811" t="s">
        <v>489</v>
      </c>
      <c r="O25" s="808" t="s">
        <v>2871</v>
      </c>
      <c r="P25" s="808" t="s">
        <v>2871</v>
      </c>
    </row>
    <row r="26" spans="1:16">
      <c r="A26" s="1038" t="s">
        <v>470</v>
      </c>
      <c r="B26" s="1038" t="s">
        <v>249</v>
      </c>
      <c r="E26" s="733" t="s">
        <v>39</v>
      </c>
      <c r="F26" s="812" t="s">
        <v>213</v>
      </c>
      <c r="G26" s="808" t="s">
        <v>2982</v>
      </c>
      <c r="I26" t="s">
        <v>716</v>
      </c>
      <c r="J26" t="s">
        <v>723</v>
      </c>
      <c r="K26" t="s">
        <v>1233</v>
      </c>
      <c r="L26" s="661"/>
      <c r="M26"/>
      <c r="N26" s="811" t="s">
        <v>420</v>
      </c>
      <c r="O26" s="807" t="s">
        <v>1270</v>
      </c>
      <c r="P26" s="807" t="s">
        <v>1270</v>
      </c>
    </row>
    <row r="27" spans="1:16">
      <c r="A27" s="1038" t="s">
        <v>470</v>
      </c>
      <c r="B27" s="1038" t="s">
        <v>3167</v>
      </c>
      <c r="E27" s="733" t="s">
        <v>39</v>
      </c>
      <c r="F27" s="812" t="s">
        <v>213</v>
      </c>
      <c r="G27" s="808" t="s">
        <v>284</v>
      </c>
      <c r="I27" t="s">
        <v>716</v>
      </c>
      <c r="J27" t="s">
        <v>726</v>
      </c>
      <c r="K27" t="s">
        <v>3109</v>
      </c>
      <c r="L27" s="661"/>
      <c r="M27"/>
    </row>
    <row r="28" spans="1:16">
      <c r="A28" s="1038" t="s">
        <v>470</v>
      </c>
      <c r="B28" s="1038" t="s">
        <v>3216</v>
      </c>
      <c r="E28" s="733" t="s">
        <v>39</v>
      </c>
      <c r="F28" s="812" t="s">
        <v>213</v>
      </c>
      <c r="G28" s="808" t="s">
        <v>299</v>
      </c>
      <c r="I28" t="s">
        <v>716</v>
      </c>
      <c r="J28" t="s">
        <v>717</v>
      </c>
      <c r="K28" t="s">
        <v>1235</v>
      </c>
      <c r="L28" s="661"/>
      <c r="M28"/>
    </row>
    <row r="29" spans="1:16">
      <c r="A29" s="1038" t="s">
        <v>470</v>
      </c>
      <c r="B29" s="1038" t="s">
        <v>3237</v>
      </c>
      <c r="E29" s="733" t="s">
        <v>39</v>
      </c>
      <c r="F29" s="812" t="s">
        <v>167</v>
      </c>
      <c r="G29" s="808" t="s">
        <v>149</v>
      </c>
      <c r="H29" t="str">
        <f>G29&amp;", "&amp;G30&amp;", "&amp;G31</f>
        <v>KBC, KMSS, Shalom</v>
      </c>
      <c r="I29" t="s">
        <v>716</v>
      </c>
      <c r="J29" t="s">
        <v>737</v>
      </c>
      <c r="K29" t="s">
        <v>200</v>
      </c>
      <c r="L29" s="661"/>
      <c r="M29"/>
    </row>
    <row r="30" spans="1:16">
      <c r="A30" s="1038" t="s">
        <v>355</v>
      </c>
      <c r="B30" s="1038" t="s">
        <v>3167</v>
      </c>
      <c r="E30" s="733" t="s">
        <v>39</v>
      </c>
      <c r="F30" s="812" t="s">
        <v>167</v>
      </c>
      <c r="G30" s="808" t="s">
        <v>38</v>
      </c>
    </row>
    <row r="31" spans="1:16">
      <c r="A31" s="1038" t="s">
        <v>355</v>
      </c>
      <c r="B31" s="1038" t="s">
        <v>322</v>
      </c>
      <c r="E31" s="733" t="s">
        <v>39</v>
      </c>
      <c r="F31" s="812" t="s">
        <v>167</v>
      </c>
      <c r="G31" s="808" t="s">
        <v>250</v>
      </c>
    </row>
    <row r="32" spans="1:16">
      <c r="A32" s="1038" t="s">
        <v>355</v>
      </c>
      <c r="B32" s="1038" t="s">
        <v>3237</v>
      </c>
      <c r="E32" s="733" t="s">
        <v>39</v>
      </c>
      <c r="F32" s="812" t="s">
        <v>181</v>
      </c>
      <c r="G32" s="808" t="s">
        <v>149</v>
      </c>
      <c r="H32" t="str">
        <f>G32</f>
        <v>KBC</v>
      </c>
    </row>
    <row r="33" spans="1:13">
      <c r="A33" s="1038" t="s">
        <v>355</v>
      </c>
      <c r="B33" s="1038" t="s">
        <v>3238</v>
      </c>
      <c r="E33" s="733" t="s">
        <v>39</v>
      </c>
      <c r="F33" s="812" t="s">
        <v>222</v>
      </c>
      <c r="G33" s="808" t="s">
        <v>149</v>
      </c>
      <c r="H33" t="str">
        <f>G33&amp;", "&amp;G34</f>
        <v>KBC, Metta</v>
      </c>
    </row>
    <row r="34" spans="1:13">
      <c r="E34" s="733" t="s">
        <v>39</v>
      </c>
      <c r="F34" s="812" t="s">
        <v>222</v>
      </c>
      <c r="G34" s="808" t="s">
        <v>200</v>
      </c>
    </row>
    <row r="35" spans="1:13">
      <c r="E35" s="733" t="s">
        <v>39</v>
      </c>
      <c r="F35" s="812" t="s">
        <v>192</v>
      </c>
      <c r="G35" s="808" t="s">
        <v>149</v>
      </c>
      <c r="H35" t="str">
        <f>G35</f>
        <v>KBC</v>
      </c>
    </row>
    <row r="36" spans="1:13">
      <c r="E36" s="733" t="s">
        <v>39</v>
      </c>
      <c r="F36" s="812" t="s">
        <v>150</v>
      </c>
      <c r="G36" s="808" t="s">
        <v>149</v>
      </c>
      <c r="H36" t="str">
        <f>G37&amp;", "&amp;G39&amp;", "&amp;G41</f>
        <v>KBC, KMSS, Metta, Shalom</v>
      </c>
    </row>
    <row r="37" spans="1:13">
      <c r="E37" s="733" t="s">
        <v>39</v>
      </c>
      <c r="F37" s="812" t="s">
        <v>150</v>
      </c>
      <c r="G37" s="808" t="s">
        <v>2182</v>
      </c>
    </row>
    <row r="38" spans="1:13">
      <c r="E38" s="733" t="s">
        <v>39</v>
      </c>
      <c r="F38" s="812" t="s">
        <v>150</v>
      </c>
      <c r="G38" s="808" t="s">
        <v>38</v>
      </c>
    </row>
    <row r="39" spans="1:13">
      <c r="E39" s="733" t="s">
        <v>39</v>
      </c>
      <c r="F39" s="812" t="s">
        <v>150</v>
      </c>
      <c r="G39" s="808" t="s">
        <v>200</v>
      </c>
    </row>
    <row r="40" spans="1:13">
      <c r="E40" s="733" t="s">
        <v>39</v>
      </c>
      <c r="F40" s="812" t="s">
        <v>150</v>
      </c>
      <c r="G40" s="808" t="s">
        <v>2982</v>
      </c>
    </row>
    <row r="41" spans="1:13">
      <c r="E41" s="814" t="s">
        <v>39</v>
      </c>
      <c r="F41" s="812" t="s">
        <v>150</v>
      </c>
      <c r="G41" s="808" t="s">
        <v>250</v>
      </c>
    </row>
    <row r="44" spans="1:13">
      <c r="E44" t="s">
        <v>22</v>
      </c>
      <c r="F44" t="s">
        <v>23</v>
      </c>
      <c r="L44" s="661"/>
      <c r="M44"/>
    </row>
    <row r="45" spans="1:13">
      <c r="E45" t="s">
        <v>39</v>
      </c>
      <c r="F45" t="s">
        <v>203</v>
      </c>
      <c r="G45" t="s">
        <v>2179</v>
      </c>
      <c r="L45" s="661"/>
      <c r="M45"/>
    </row>
    <row r="46" spans="1:13">
      <c r="E46" t="s">
        <v>39</v>
      </c>
      <c r="F46" t="s">
        <v>154</v>
      </c>
      <c r="G46" t="s">
        <v>2180</v>
      </c>
      <c r="L46" s="661"/>
      <c r="M46"/>
    </row>
    <row r="47" spans="1:13">
      <c r="E47" t="s">
        <v>39</v>
      </c>
      <c r="F47" t="s">
        <v>156</v>
      </c>
      <c r="G47" t="s">
        <v>2180</v>
      </c>
      <c r="L47" s="661"/>
      <c r="M47"/>
    </row>
    <row r="48" spans="1:13">
      <c r="E48" t="s">
        <v>39</v>
      </c>
      <c r="F48" t="s">
        <v>40</v>
      </c>
      <c r="G48" t="s">
        <v>3106</v>
      </c>
      <c r="L48" s="661"/>
      <c r="M48"/>
    </row>
    <row r="49" spans="5:13">
      <c r="E49" t="s">
        <v>39</v>
      </c>
      <c r="F49" t="s">
        <v>160</v>
      </c>
      <c r="G49" t="s">
        <v>2182</v>
      </c>
      <c r="L49" s="661"/>
      <c r="M49"/>
    </row>
    <row r="50" spans="5:13">
      <c r="E50" t="s">
        <v>39</v>
      </c>
      <c r="F50" t="s">
        <v>165</v>
      </c>
      <c r="G50" t="s">
        <v>2182</v>
      </c>
      <c r="L50" s="661"/>
      <c r="M50"/>
    </row>
    <row r="51" spans="5:13">
      <c r="E51" t="s">
        <v>39</v>
      </c>
      <c r="F51" t="s">
        <v>213</v>
      </c>
      <c r="G51" t="s">
        <v>3107</v>
      </c>
      <c r="L51" s="661"/>
      <c r="M51"/>
    </row>
    <row r="52" spans="5:13">
      <c r="E52" s="249" t="s">
        <v>39</v>
      </c>
      <c r="F52" s="249" t="s">
        <v>167</v>
      </c>
      <c r="G52" t="s">
        <v>2180</v>
      </c>
      <c r="L52" s="661"/>
      <c r="M52"/>
    </row>
    <row r="53" spans="5:13">
      <c r="E53" s="249" t="s">
        <v>39</v>
      </c>
      <c r="F53" s="249" t="s">
        <v>181</v>
      </c>
      <c r="G53" t="s">
        <v>149</v>
      </c>
      <c r="L53" s="661"/>
      <c r="M53"/>
    </row>
    <row r="54" spans="5:13">
      <c r="E54" s="249" t="s">
        <v>39</v>
      </c>
      <c r="F54" s="249" t="s">
        <v>222</v>
      </c>
      <c r="G54" t="s">
        <v>1971</v>
      </c>
      <c r="L54" s="661"/>
      <c r="M54"/>
    </row>
    <row r="55" spans="5:13">
      <c r="E55" s="249" t="s">
        <v>39</v>
      </c>
      <c r="F55" s="249" t="s">
        <v>192</v>
      </c>
      <c r="G55" t="s">
        <v>149</v>
      </c>
      <c r="L55" s="661"/>
      <c r="M55"/>
    </row>
    <row r="56" spans="5:13">
      <c r="E56" s="249" t="s">
        <v>39</v>
      </c>
      <c r="F56" s="249" t="s">
        <v>150</v>
      </c>
      <c r="G56" t="s">
        <v>2183</v>
      </c>
      <c r="L56" s="661"/>
      <c r="M56"/>
    </row>
    <row r="57" spans="5:13">
      <c r="E57" s="249"/>
      <c r="F57" s="249"/>
    </row>
    <row r="58" spans="5:13">
      <c r="E58" s="249"/>
      <c r="F58" s="249"/>
    </row>
    <row r="59" spans="5:13">
      <c r="E59" s="249"/>
      <c r="F59" s="249"/>
    </row>
    <row r="60" spans="5:13">
      <c r="E60" s="249"/>
      <c r="F60" s="249"/>
    </row>
    <row r="61" spans="5:13">
      <c r="E61" s="281"/>
      <c r="F61" s="24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P2713"/>
  <sheetViews>
    <sheetView showGridLines="0" topLeftCell="B479" zoomScaleNormal="100" workbookViewId="0">
      <selection activeCell="J489" sqref="J489"/>
    </sheetView>
  </sheetViews>
  <sheetFormatPr defaultColWidth="9" defaultRowHeight="15"/>
  <cols>
    <col min="1" max="1" width="9.625" style="140" customWidth="1"/>
    <col min="2" max="2" width="11" style="140" customWidth="1"/>
    <col min="3" max="3" width="17.25" style="140" customWidth="1"/>
    <col min="4" max="4" width="17.875" style="140" customWidth="1"/>
    <col min="5" max="5" width="13.75" style="140" customWidth="1"/>
    <col min="6" max="6" width="17.25" style="140" customWidth="1"/>
    <col min="7" max="7" width="12.5" style="140" customWidth="1"/>
    <col min="8" max="8" width="14.5" style="140" customWidth="1"/>
    <col min="9" max="9" width="17.25" style="140" customWidth="1"/>
    <col min="10" max="10" width="15" style="140" customWidth="1"/>
    <col min="11" max="11" width="17.375" style="140" customWidth="1"/>
    <col min="12" max="12" width="9.625" style="140" customWidth="1"/>
    <col min="13" max="13" width="12.875" style="140" customWidth="1"/>
    <col min="14" max="14" width="11.25" style="140" customWidth="1"/>
    <col min="15" max="15" width="13.375" style="140" customWidth="1"/>
    <col min="16" max="18" width="9.625" style="140" customWidth="1"/>
    <col min="19" max="19" width="13.125" style="140" customWidth="1"/>
    <col min="20" max="21" width="9.625" style="140" customWidth="1"/>
    <col min="22" max="22" width="14.25" style="140" customWidth="1"/>
    <col min="23" max="23" width="14.875" style="140" customWidth="1"/>
    <col min="24" max="24" width="13.875" style="140" customWidth="1"/>
    <col min="25" max="31" width="9.625" style="140" customWidth="1"/>
    <col min="32" max="32" width="16.75" style="140" customWidth="1"/>
    <col min="33" max="33" width="9.625" style="140" customWidth="1"/>
    <col min="34" max="37" width="9" style="140"/>
    <col min="38" max="38" width="14.875" style="140" customWidth="1"/>
    <col min="39" max="16384" width="9" style="140"/>
  </cols>
  <sheetData>
    <row r="2" spans="1:42" s="177" customFormat="1" ht="18.75">
      <c r="A2" s="139" t="s">
        <v>2047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row>
    <row r="3" spans="1:42">
      <c r="C3" s="141"/>
      <c r="K3" s="141"/>
      <c r="R3" s="141"/>
    </row>
    <row r="4" spans="1:42">
      <c r="C4" s="142"/>
      <c r="D4" s="143"/>
      <c r="E4" s="143"/>
      <c r="F4" s="143"/>
      <c r="G4" s="144"/>
    </row>
    <row r="5" spans="1:42" ht="15.75">
      <c r="B5" s="1037" t="s">
        <v>20</v>
      </c>
      <c r="C5" s="1038" t="s">
        <v>2525</v>
      </c>
      <c r="H5" s="1037" t="s">
        <v>20</v>
      </c>
      <c r="I5" s="1038" t="s">
        <v>2525</v>
      </c>
      <c r="O5" s="1037" t="s">
        <v>20</v>
      </c>
      <c r="P5" s="1038" t="s">
        <v>2525</v>
      </c>
      <c r="V5" s="1037" t="s">
        <v>20</v>
      </c>
      <c r="W5" s="1038" t="s">
        <v>2525</v>
      </c>
      <c r="AL5"/>
      <c r="AM5"/>
    </row>
    <row r="6" spans="1:42" ht="15.75">
      <c r="B6" s="1037" t="s">
        <v>35</v>
      </c>
      <c r="C6" s="1038" t="s">
        <v>35</v>
      </c>
      <c r="H6" s="1037" t="s">
        <v>35</v>
      </c>
      <c r="I6" s="1038" t="s">
        <v>35</v>
      </c>
      <c r="O6" s="1037" t="s">
        <v>35</v>
      </c>
      <c r="P6" s="1038" t="s">
        <v>35</v>
      </c>
      <c r="V6" s="1037" t="s">
        <v>35</v>
      </c>
      <c r="W6" s="1038" t="s">
        <v>35</v>
      </c>
      <c r="AL6" s="661"/>
      <c r="AM6" s="661"/>
      <c r="AN6" s="661"/>
    </row>
    <row r="7" spans="1:42" ht="15.75">
      <c r="B7" s="1040" t="s">
        <v>22</v>
      </c>
      <c r="C7" s="1040" t="s">
        <v>39</v>
      </c>
      <c r="H7" s="1040" t="s">
        <v>22</v>
      </c>
      <c r="I7" s="1040" t="s">
        <v>1668</v>
      </c>
      <c r="O7" s="1040" t="s">
        <v>22</v>
      </c>
      <c r="P7" s="1040" t="s">
        <v>1668</v>
      </c>
      <c r="V7" s="1040" t="s">
        <v>22</v>
      </c>
      <c r="W7" s="1040" t="s">
        <v>716</v>
      </c>
      <c r="AL7" s="661"/>
      <c r="AM7" s="661"/>
      <c r="AN7" s="661"/>
    </row>
    <row r="8" spans="1:42" ht="15.75">
      <c r="B8" s="1037" t="s">
        <v>142</v>
      </c>
      <c r="C8" s="1038" t="s">
        <v>1668</v>
      </c>
      <c r="H8" s="1037" t="s">
        <v>142</v>
      </c>
      <c r="I8" s="1038" t="s">
        <v>1668</v>
      </c>
      <c r="O8" s="1037" t="s">
        <v>142</v>
      </c>
      <c r="P8" s="1038" t="s">
        <v>812</v>
      </c>
      <c r="V8" s="1037" t="s">
        <v>142</v>
      </c>
      <c r="W8" s="1038" t="s">
        <v>1668</v>
      </c>
      <c r="AE8" s="208" t="s">
        <v>45</v>
      </c>
      <c r="AL8" s="661"/>
      <c r="AM8" s="661"/>
      <c r="AN8" s="661"/>
    </row>
    <row r="9" spans="1:42" s="145" customFormat="1" ht="15.75">
      <c r="B9" s="147"/>
      <c r="C9" s="140"/>
      <c r="D9" s="208" t="s">
        <v>45</v>
      </c>
      <c r="E9" s="140"/>
      <c r="F9" s="140"/>
      <c r="H9" s="733" t="s">
        <v>312</v>
      </c>
      <c r="I9" s="140"/>
      <c r="J9" s="208" t="s">
        <v>45</v>
      </c>
      <c r="K9" s="140"/>
      <c r="L9" s="140"/>
      <c r="O9" s="140"/>
      <c r="P9" s="140"/>
      <c r="Q9" s="208" t="s">
        <v>812</v>
      </c>
      <c r="R9" s="140"/>
      <c r="S9" s="140"/>
      <c r="V9" s="661"/>
      <c r="W9" s="140"/>
      <c r="X9" s="208" t="s">
        <v>45</v>
      </c>
      <c r="Y9" s="140"/>
      <c r="Z9" s="140"/>
      <c r="AE9"/>
      <c r="AF9"/>
      <c r="AG9"/>
      <c r="AH9" s="809"/>
      <c r="AI9" s="741"/>
      <c r="AJ9" s="741"/>
      <c r="AK9" s="742"/>
      <c r="AL9" s="665"/>
      <c r="AM9" s="665"/>
      <c r="AN9" s="665"/>
      <c r="AO9" s="741"/>
      <c r="AP9" s="741"/>
    </row>
    <row r="10" spans="1:42" s="145" customFormat="1" ht="15.75">
      <c r="B10" s="1039" t="s">
        <v>23</v>
      </c>
      <c r="C10" s="1049" t="s">
        <v>1934</v>
      </c>
      <c r="D10" s="1038" t="s">
        <v>3221</v>
      </c>
      <c r="E10" s="1038" t="s">
        <v>3222</v>
      </c>
      <c r="F10" s="1038" t="s">
        <v>3223</v>
      </c>
      <c r="G10"/>
      <c r="H10" s="1039" t="s">
        <v>23</v>
      </c>
      <c r="I10" s="1049" t="s">
        <v>1934</v>
      </c>
      <c r="J10" s="1038" t="s">
        <v>3221</v>
      </c>
      <c r="K10" s="1038" t="s">
        <v>3222</v>
      </c>
      <c r="L10" s="1038" t="s">
        <v>3223</v>
      </c>
      <c r="O10" s="1039" t="s">
        <v>23</v>
      </c>
      <c r="P10" s="1049" t="s">
        <v>1934</v>
      </c>
      <c r="Q10" s="1038" t="s">
        <v>3221</v>
      </c>
      <c r="R10" s="1038" t="s">
        <v>3222</v>
      </c>
      <c r="S10" s="1038" t="s">
        <v>3223</v>
      </c>
      <c r="V10" s="1039" t="s">
        <v>1667</v>
      </c>
      <c r="W10" s="1049" t="s">
        <v>1934</v>
      </c>
      <c r="X10" s="1038" t="s">
        <v>3221</v>
      </c>
      <c r="Y10" s="1038" t="s">
        <v>3222</v>
      </c>
      <c r="Z10" s="1038" t="s">
        <v>3224</v>
      </c>
      <c r="AA10" s="742"/>
      <c r="AE10"/>
      <c r="AF10"/>
      <c r="AG10"/>
      <c r="AH10" s="665"/>
      <c r="AI10" s="665"/>
      <c r="AJ10" s="665"/>
      <c r="AK10" s="742"/>
      <c r="AL10" s="665"/>
      <c r="AM10" s="665"/>
      <c r="AN10" s="665"/>
      <c r="AO10" s="665"/>
      <c r="AP10" s="665"/>
    </row>
    <row r="11" spans="1:42" ht="15.75">
      <c r="B11" s="1041" t="s">
        <v>203</v>
      </c>
      <c r="C11" s="1050">
        <v>8800</v>
      </c>
      <c r="D11" s="1043">
        <v>0.1601136363636364</v>
      </c>
      <c r="E11" s="1043">
        <v>0.35761363636363641</v>
      </c>
      <c r="F11" s="1043">
        <v>0.22090909090909094</v>
      </c>
      <c r="G11"/>
      <c r="H11" s="1041" t="s">
        <v>375</v>
      </c>
      <c r="I11" s="1050">
        <v>989</v>
      </c>
      <c r="J11" s="1043">
        <v>0</v>
      </c>
      <c r="K11" s="1043">
        <v>0</v>
      </c>
      <c r="L11" s="1043">
        <v>0</v>
      </c>
      <c r="O11" s="1041" t="s">
        <v>337</v>
      </c>
      <c r="P11" s="1050">
        <v>56373</v>
      </c>
      <c r="Q11" s="1043">
        <v>0.85361786670924023</v>
      </c>
      <c r="R11" s="1043">
        <v>0.95577670161247408</v>
      </c>
      <c r="S11" s="1043">
        <v>3.5832756816206457E-3</v>
      </c>
      <c r="U11" s="249"/>
      <c r="V11" s="1041" t="s">
        <v>735</v>
      </c>
      <c r="W11" s="1050">
        <v>341</v>
      </c>
      <c r="X11" s="1043">
        <v>0</v>
      </c>
      <c r="Y11" s="1043">
        <v>0</v>
      </c>
      <c r="Z11" s="1043">
        <v>0</v>
      </c>
      <c r="AE11"/>
      <c r="AF11"/>
      <c r="AG11"/>
      <c r="AH11"/>
      <c r="AI11"/>
      <c r="AJ11"/>
      <c r="AL11" s="661"/>
      <c r="AM11" s="661"/>
      <c r="AN11" s="661"/>
      <c r="AO11"/>
      <c r="AP11"/>
    </row>
    <row r="12" spans="1:42" ht="15.75">
      <c r="B12" s="1041" t="s">
        <v>154</v>
      </c>
      <c r="C12" s="1050">
        <v>2960</v>
      </c>
      <c r="D12" s="1043">
        <v>0.93243243243243246</v>
      </c>
      <c r="E12" s="1043">
        <v>6.6554054054054013E-2</v>
      </c>
      <c r="F12" s="1043">
        <v>0</v>
      </c>
      <c r="G12"/>
      <c r="H12" s="1041" t="s">
        <v>320</v>
      </c>
      <c r="I12" s="1050">
        <v>581</v>
      </c>
      <c r="J12" s="1043">
        <v>0</v>
      </c>
      <c r="K12" s="1043">
        <v>0.55249569707401025</v>
      </c>
      <c r="L12" s="1043">
        <v>1</v>
      </c>
      <c r="O12" s="1041" t="s">
        <v>375</v>
      </c>
      <c r="P12" s="1050">
        <v>3451</v>
      </c>
      <c r="Q12" s="1043">
        <v>0.92755722978846711</v>
      </c>
      <c r="R12" s="1043">
        <v>0.90640394088669951</v>
      </c>
      <c r="S12" s="1043">
        <v>0.90640394088669951</v>
      </c>
      <c r="U12" s="661"/>
      <c r="V12" s="1041" t="s">
        <v>720</v>
      </c>
      <c r="W12" s="1050">
        <v>4557</v>
      </c>
      <c r="X12" s="1043">
        <v>3.0283080974325194E-2</v>
      </c>
      <c r="Y12" s="1043">
        <v>8.2729866140004438E-2</v>
      </c>
      <c r="Z12" s="1043">
        <v>6.0566161948650388E-2</v>
      </c>
      <c r="AE12"/>
      <c r="AF12"/>
      <c r="AG12"/>
      <c r="AH12"/>
      <c r="AI12"/>
      <c r="AJ12"/>
      <c r="AL12" s="661"/>
      <c r="AM12" s="661"/>
      <c r="AN12" s="661"/>
      <c r="AO12"/>
      <c r="AP12"/>
    </row>
    <row r="13" spans="1:42" ht="15.75">
      <c r="B13" s="1041" t="s">
        <v>156</v>
      </c>
      <c r="C13" s="1050">
        <v>3920</v>
      </c>
      <c r="D13" s="1043">
        <v>0.36391156462585028</v>
      </c>
      <c r="E13" s="1043">
        <v>0.14464285714285718</v>
      </c>
      <c r="F13" s="1043">
        <v>3.5714285714285587E-3</v>
      </c>
      <c r="G13"/>
      <c r="H13" s="1041" t="s">
        <v>417</v>
      </c>
      <c r="I13" s="1050">
        <v>2920</v>
      </c>
      <c r="J13" s="1043">
        <v>0</v>
      </c>
      <c r="K13" s="1043">
        <v>0</v>
      </c>
      <c r="L13" s="1043">
        <v>0</v>
      </c>
      <c r="O13" s="1041" t="s">
        <v>320</v>
      </c>
      <c r="P13" s="1050">
        <v>8569</v>
      </c>
      <c r="Q13" s="1043">
        <v>0.89321974559458517</v>
      </c>
      <c r="R13" s="1043">
        <v>1</v>
      </c>
      <c r="S13" s="1043">
        <v>1</v>
      </c>
      <c r="U13" s="661"/>
      <c r="V13" s="1041" t="s">
        <v>723</v>
      </c>
      <c r="W13" s="1050">
        <v>317</v>
      </c>
      <c r="X13" s="1043">
        <v>0</v>
      </c>
      <c r="Y13" s="1043">
        <v>3.1545741324921162E-2</v>
      </c>
      <c r="Z13" s="1043">
        <v>0</v>
      </c>
      <c r="AB13"/>
      <c r="AE13"/>
      <c r="AF13"/>
      <c r="AG13"/>
      <c r="AH13"/>
      <c r="AI13"/>
      <c r="AJ13"/>
      <c r="AL13" s="661"/>
      <c r="AM13" s="661"/>
      <c r="AN13" s="661"/>
      <c r="AO13"/>
      <c r="AP13"/>
    </row>
    <row r="14" spans="1:42" ht="15.75">
      <c r="B14" s="1041" t="s">
        <v>40</v>
      </c>
      <c r="C14" s="1050">
        <v>7720</v>
      </c>
      <c r="D14" s="1043">
        <v>0.14650259067357518</v>
      </c>
      <c r="E14" s="1043">
        <v>6.6062176165803121E-2</v>
      </c>
      <c r="F14" s="1043">
        <v>7.2020725388601048E-2</v>
      </c>
      <c r="G14"/>
      <c r="H14" s="1041" t="s">
        <v>420</v>
      </c>
      <c r="I14" s="1050">
        <v>22318</v>
      </c>
      <c r="J14" s="1043">
        <v>0.19692624787167312</v>
      </c>
      <c r="K14" s="1043">
        <v>0.40810108432655257</v>
      </c>
      <c r="L14" s="1043">
        <v>0</v>
      </c>
      <c r="O14" s="1041" t="s">
        <v>323</v>
      </c>
      <c r="P14" s="1050">
        <v>18755</v>
      </c>
      <c r="Q14" s="1043">
        <v>0.83167155425219941</v>
      </c>
      <c r="R14" s="1043">
        <v>0.89410823780325244</v>
      </c>
      <c r="S14" s="1043">
        <v>0.10722474006931482</v>
      </c>
      <c r="U14" s="661"/>
      <c r="V14" s="1041" t="s">
        <v>726</v>
      </c>
      <c r="W14" s="1050">
        <v>1594</v>
      </c>
      <c r="X14" s="1043">
        <v>0.61856963613550819</v>
      </c>
      <c r="Y14" s="1043">
        <v>0</v>
      </c>
      <c r="Z14" s="1043">
        <v>0.61856963613550819</v>
      </c>
      <c r="AB14"/>
      <c r="AE14"/>
      <c r="AF14"/>
      <c r="AG14"/>
      <c r="AH14"/>
      <c r="AI14"/>
      <c r="AJ14"/>
      <c r="AL14" s="661"/>
      <c r="AM14" s="661"/>
      <c r="AN14" s="661"/>
      <c r="AO14"/>
      <c r="AP14"/>
    </row>
    <row r="15" spans="1:42" ht="15.75">
      <c r="B15" s="1041" t="s">
        <v>160</v>
      </c>
      <c r="C15" s="1050">
        <v>1462</v>
      </c>
      <c r="D15" s="1043">
        <v>5.0615595075239384E-2</v>
      </c>
      <c r="E15" s="1043">
        <v>0.48084815321477425</v>
      </c>
      <c r="F15" s="1043">
        <v>0</v>
      </c>
      <c r="G15"/>
      <c r="H15" s="1041" t="s">
        <v>313</v>
      </c>
      <c r="I15" s="1050">
        <v>92194</v>
      </c>
      <c r="J15" s="1043">
        <v>7.6241403995921608E-2</v>
      </c>
      <c r="K15" s="1043">
        <v>0.33452285398182091</v>
      </c>
      <c r="L15" s="1043">
        <v>2.0489402781092014E-2</v>
      </c>
      <c r="O15" s="1041" t="s">
        <v>330</v>
      </c>
      <c r="P15" s="1050">
        <v>24963</v>
      </c>
      <c r="Q15" s="1043">
        <v>1</v>
      </c>
      <c r="R15" s="1043">
        <v>1</v>
      </c>
      <c r="S15" s="1043">
        <v>1</v>
      </c>
      <c r="U15" s="661"/>
      <c r="V15" s="1041" t="s">
        <v>717</v>
      </c>
      <c r="W15" s="1050">
        <v>1055</v>
      </c>
      <c r="X15" s="1043">
        <v>6.6350710900473953E-2</v>
      </c>
      <c r="Y15" s="1043">
        <v>0.29004739336492891</v>
      </c>
      <c r="Z15" s="1043">
        <v>0</v>
      </c>
      <c r="AA15"/>
      <c r="AB15"/>
      <c r="AE15"/>
      <c r="AF15"/>
      <c r="AG15"/>
      <c r="AH15"/>
      <c r="AI15"/>
      <c r="AJ15"/>
      <c r="AL15" s="661"/>
      <c r="AM15" s="661"/>
      <c r="AN15" s="661"/>
      <c r="AO15"/>
      <c r="AP15"/>
    </row>
    <row r="16" spans="1:42" ht="15.75">
      <c r="B16" s="1041" t="s">
        <v>165</v>
      </c>
      <c r="C16" s="1050">
        <v>286</v>
      </c>
      <c r="D16" s="1043">
        <v>0.42307692307692313</v>
      </c>
      <c r="E16" s="1043">
        <v>0.46853146853146854</v>
      </c>
      <c r="F16" s="1043">
        <v>0.42307692307692313</v>
      </c>
      <c r="G16"/>
      <c r="H16" s="1041" t="s">
        <v>1669</v>
      </c>
      <c r="I16" s="1050">
        <v>119002</v>
      </c>
      <c r="J16" s="1043">
        <v>9.5998386581738093E-2</v>
      </c>
      <c r="K16" s="1043">
        <v>0.33839767398867249</v>
      </c>
      <c r="L16" s="1043">
        <v>2.0755953681450778E-2</v>
      </c>
      <c r="O16" s="1041" t="s">
        <v>417</v>
      </c>
      <c r="P16" s="1050">
        <v>217</v>
      </c>
      <c r="Q16" s="1043">
        <v>1</v>
      </c>
      <c r="R16" s="1043">
        <v>1</v>
      </c>
      <c r="S16" s="1043">
        <v>0</v>
      </c>
      <c r="U16" s="661"/>
      <c r="V16" s="1041" t="s">
        <v>737</v>
      </c>
      <c r="W16" s="1050">
        <v>472</v>
      </c>
      <c r="X16" s="1043">
        <v>0.99971751412429377</v>
      </c>
      <c r="Y16" s="1043">
        <v>0.32203389830508478</v>
      </c>
      <c r="Z16" s="1043">
        <v>5.7203389830508433E-2</v>
      </c>
      <c r="AA16"/>
      <c r="AB16"/>
      <c r="AE16"/>
      <c r="AF16"/>
      <c r="AG16"/>
      <c r="AH16"/>
      <c r="AI16"/>
      <c r="AJ16"/>
      <c r="AL16" s="661"/>
      <c r="AM16" s="661"/>
      <c r="AN16" s="661"/>
      <c r="AO16"/>
      <c r="AP16"/>
    </row>
    <row r="17" spans="2:42" ht="15.75">
      <c r="B17" s="1041" t="s">
        <v>213</v>
      </c>
      <c r="C17" s="1050">
        <v>27758</v>
      </c>
      <c r="D17" s="1043">
        <v>0.60922977159737735</v>
      </c>
      <c r="E17" s="1043">
        <v>0.49679371712659415</v>
      </c>
      <c r="F17" s="1043">
        <v>0.60995028460263701</v>
      </c>
      <c r="G17"/>
      <c r="H17"/>
      <c r="J17"/>
      <c r="K17"/>
      <c r="L17"/>
      <c r="M17"/>
      <c r="N17"/>
      <c r="O17" s="1041" t="s">
        <v>420</v>
      </c>
      <c r="P17" s="1050">
        <v>27007</v>
      </c>
      <c r="Q17" s="1043">
        <v>0.71377790943088826</v>
      </c>
      <c r="R17" s="1043">
        <v>0.78590735735179762</v>
      </c>
      <c r="S17" s="1043">
        <v>0.66486466471655503</v>
      </c>
      <c r="V17" s="1041" t="s">
        <v>1669</v>
      </c>
      <c r="W17" s="1050">
        <v>8336</v>
      </c>
      <c r="X17" s="1043">
        <v>0.19984005118362125</v>
      </c>
      <c r="Y17" s="1043">
        <v>0.10136756238003841</v>
      </c>
      <c r="Z17" s="1043">
        <v>0.15463051823416507</v>
      </c>
      <c r="AA17"/>
      <c r="AB17"/>
      <c r="AE17"/>
      <c r="AF17"/>
      <c r="AG17"/>
      <c r="AH17"/>
      <c r="AI17"/>
      <c r="AJ17"/>
      <c r="AL17" s="661"/>
      <c r="AM17" s="661"/>
      <c r="AN17" s="661"/>
      <c r="AO17"/>
      <c r="AP17"/>
    </row>
    <row r="18" spans="2:42" ht="15.75">
      <c r="B18" s="1041" t="s">
        <v>167</v>
      </c>
      <c r="C18" s="1050">
        <v>9521</v>
      </c>
      <c r="D18" s="1043">
        <v>5.801211357350422E-2</v>
      </c>
      <c r="E18" s="1043">
        <v>0.2388404579350909</v>
      </c>
      <c r="F18" s="1043">
        <v>9.0116584392395782E-2</v>
      </c>
      <c r="G18"/>
      <c r="H18"/>
      <c r="J18"/>
      <c r="K18"/>
      <c r="L18"/>
      <c r="M18"/>
      <c r="N18"/>
      <c r="O18" s="1041" t="s">
        <v>313</v>
      </c>
      <c r="P18" s="1050">
        <v>72274</v>
      </c>
      <c r="Q18" s="1043">
        <v>0.83660790879154323</v>
      </c>
      <c r="R18" s="1043">
        <v>1</v>
      </c>
      <c r="S18" s="1043">
        <v>0.88038575421313336</v>
      </c>
      <c r="Z18"/>
      <c r="AA18"/>
      <c r="AB18"/>
      <c r="AE18"/>
      <c r="AF18"/>
      <c r="AG18"/>
      <c r="AL18" s="661"/>
      <c r="AM18" s="661"/>
      <c r="AN18" s="661"/>
      <c r="AO18"/>
      <c r="AP18"/>
    </row>
    <row r="19" spans="2:42" ht="15.75">
      <c r="B19" s="1041" t="s">
        <v>181</v>
      </c>
      <c r="C19" s="1050">
        <v>289</v>
      </c>
      <c r="D19" s="1043">
        <v>0</v>
      </c>
      <c r="E19" s="1043">
        <v>0.86159169550173009</v>
      </c>
      <c r="F19" s="1043">
        <v>0</v>
      </c>
      <c r="G19"/>
      <c r="H19"/>
      <c r="J19"/>
      <c r="K19"/>
      <c r="L19"/>
      <c r="M19"/>
      <c r="N19"/>
      <c r="O19" s="1041" t="s">
        <v>1669</v>
      </c>
      <c r="P19" s="1050">
        <v>211609</v>
      </c>
      <c r="Q19" s="1043">
        <v>0.84824369473888162</v>
      </c>
      <c r="R19" s="1043">
        <v>0.94998322377592637</v>
      </c>
      <c r="S19" s="1043">
        <v>0.56924799984877772</v>
      </c>
      <c r="Z19"/>
      <c r="AA19"/>
      <c r="AB19"/>
      <c r="AE19"/>
      <c r="AF19"/>
      <c r="AG19"/>
      <c r="AL19"/>
      <c r="AM19"/>
    </row>
    <row r="20" spans="2:42" ht="15.75">
      <c r="B20" s="1041" t="s">
        <v>222</v>
      </c>
      <c r="C20" s="1050">
        <v>2418</v>
      </c>
      <c r="D20" s="1043">
        <v>0.40322580645161288</v>
      </c>
      <c r="E20" s="1043">
        <v>0.72332506203473945</v>
      </c>
      <c r="F20" s="1043">
        <v>1</v>
      </c>
      <c r="G20"/>
      <c r="H20"/>
      <c r="P20"/>
      <c r="Q20"/>
      <c r="R20"/>
      <c r="S20"/>
      <c r="T20"/>
      <c r="Z20"/>
      <c r="AA20"/>
      <c r="AB20"/>
      <c r="AE20"/>
      <c r="AF20"/>
      <c r="AG20"/>
      <c r="AL20"/>
      <c r="AM20"/>
    </row>
    <row r="21" spans="2:42" ht="15.75">
      <c r="B21" s="1041" t="s">
        <v>192</v>
      </c>
      <c r="C21" s="1050">
        <v>872</v>
      </c>
      <c r="D21" s="1043">
        <v>1</v>
      </c>
      <c r="E21" s="1043">
        <v>0</v>
      </c>
      <c r="F21" s="1043">
        <v>0</v>
      </c>
      <c r="G21"/>
      <c r="H21" s="1037" t="s">
        <v>20</v>
      </c>
      <c r="I21" s="1038" t="s">
        <v>2525</v>
      </c>
      <c r="N21" s="661"/>
      <c r="Q21"/>
      <c r="R21"/>
      <c r="S21"/>
      <c r="T21"/>
      <c r="U21"/>
      <c r="Z21"/>
      <c r="AA21"/>
      <c r="AB21"/>
      <c r="AE21"/>
      <c r="AF21"/>
      <c r="AG21"/>
      <c r="AL21"/>
      <c r="AM21"/>
    </row>
    <row r="22" spans="2:42" ht="15.75">
      <c r="B22" s="1041" t="s">
        <v>150</v>
      </c>
      <c r="C22" s="1050">
        <v>27158</v>
      </c>
      <c r="D22" s="1043">
        <v>0.54707023099393681</v>
      </c>
      <c r="E22" s="1043">
        <v>0.41711466234626993</v>
      </c>
      <c r="F22" s="1043">
        <v>0.48383533397157374</v>
      </c>
      <c r="G22"/>
      <c r="H22" s="1037" t="s">
        <v>35</v>
      </c>
      <c r="I22" s="1038" t="s">
        <v>1924</v>
      </c>
      <c r="N22" s="661"/>
      <c r="Q22" s="661"/>
      <c r="R22" s="661"/>
      <c r="V22" s="1037" t="s">
        <v>20</v>
      </c>
      <c r="W22" s="1038" t="s">
        <v>2525</v>
      </c>
      <c r="AA22"/>
      <c r="AB22"/>
      <c r="AE22"/>
      <c r="AF22"/>
      <c r="AG22"/>
      <c r="AL22"/>
      <c r="AM22"/>
    </row>
    <row r="23" spans="2:42" ht="15.75">
      <c r="B23" s="1041" t="s">
        <v>1669</v>
      </c>
      <c r="C23" s="1050">
        <v>93164</v>
      </c>
      <c r="D23" s="1043">
        <v>0.4410416040530678</v>
      </c>
      <c r="E23" s="1043">
        <v>0.3719033102915289</v>
      </c>
      <c r="F23" s="1043">
        <v>0.38622214589326354</v>
      </c>
      <c r="G23"/>
      <c r="H23" s="1040" t="s">
        <v>22</v>
      </c>
      <c r="I23" s="1040" t="s">
        <v>1668</v>
      </c>
      <c r="N23" s="661"/>
      <c r="Q23" s="661"/>
      <c r="R23" s="661"/>
      <c r="V23" s="1037" t="s">
        <v>35</v>
      </c>
      <c r="W23" s="1038" t="s">
        <v>35</v>
      </c>
      <c r="AA23"/>
      <c r="AB23"/>
      <c r="AF23"/>
      <c r="AG23"/>
      <c r="AL23"/>
      <c r="AM23"/>
    </row>
    <row r="24" spans="2:42" ht="15.75">
      <c r="H24" s="1037" t="s">
        <v>142</v>
      </c>
      <c r="I24" s="1038" t="s">
        <v>3028</v>
      </c>
      <c r="N24" s="661"/>
      <c r="Q24" s="661"/>
      <c r="R24" s="661"/>
      <c r="V24" s="1040" t="s">
        <v>22</v>
      </c>
      <c r="W24" s="1040" t="s">
        <v>716</v>
      </c>
      <c r="AF24"/>
      <c r="AG24"/>
      <c r="AL24"/>
      <c r="AM24"/>
    </row>
    <row r="25" spans="2:42" ht="15.75">
      <c r="F25" s="661"/>
      <c r="H25" s="733" t="s">
        <v>312</v>
      </c>
      <c r="J25" s="208" t="s">
        <v>45</v>
      </c>
      <c r="N25" s="661"/>
      <c r="Q25" s="661"/>
      <c r="R25" s="661"/>
      <c r="S25" s="208"/>
      <c r="V25" s="1037" t="s">
        <v>142</v>
      </c>
      <c r="W25" s="1038" t="s">
        <v>3028</v>
      </c>
      <c r="AA25" s="741"/>
      <c r="AB25" s="741"/>
      <c r="AE25" s="741"/>
      <c r="AF25" s="665"/>
      <c r="AG25" s="665"/>
      <c r="AH25" s="741"/>
      <c r="AI25" s="741"/>
      <c r="AJ25" s="741"/>
      <c r="AK25" s="741"/>
      <c r="AL25" s="665"/>
      <c r="AM25" s="665"/>
      <c r="AN25" s="741"/>
      <c r="AO25" s="741"/>
      <c r="AP25" s="741"/>
    </row>
    <row r="26" spans="2:42" ht="15.75">
      <c r="F26" s="661"/>
      <c r="H26" s="1039" t="s">
        <v>23</v>
      </c>
      <c r="I26" s="1049" t="s">
        <v>1934</v>
      </c>
      <c r="J26" s="1038" t="s">
        <v>3221</v>
      </c>
      <c r="K26" s="1038" t="s">
        <v>3222</v>
      </c>
      <c r="L26" s="1038" t="s">
        <v>3223</v>
      </c>
      <c r="M26"/>
      <c r="N26"/>
      <c r="Q26"/>
      <c r="R26" s="665"/>
      <c r="S26" s="665"/>
      <c r="T26" s="665"/>
      <c r="U26" s="665"/>
      <c r="V26" s="665"/>
      <c r="W26" s="741"/>
      <c r="X26" s="809" t="s">
        <v>3024</v>
      </c>
      <c r="Y26" s="741"/>
      <c r="Z26" s="741"/>
      <c r="AA26" s="741"/>
      <c r="AB26" s="741"/>
      <c r="AC26" s="665"/>
      <c r="AD26" s="665"/>
      <c r="AE26" s="741"/>
      <c r="AF26" s="665"/>
      <c r="AG26" s="665"/>
      <c r="AH26" s="741"/>
      <c r="AI26" s="741"/>
      <c r="AJ26" s="741"/>
      <c r="AK26" s="741"/>
      <c r="AL26" s="665"/>
      <c r="AM26" s="665"/>
      <c r="AN26" s="741"/>
      <c r="AO26" s="741"/>
      <c r="AP26" s="741"/>
    </row>
    <row r="27" spans="2:42" ht="15.75">
      <c r="C27" s="734"/>
      <c r="D27" s="734"/>
      <c r="F27" s="661"/>
      <c r="H27" s="1041" t="s">
        <v>337</v>
      </c>
      <c r="I27" s="1050">
        <v>5649</v>
      </c>
      <c r="J27" s="1043">
        <v>0.96955213312090638</v>
      </c>
      <c r="K27" s="1043">
        <v>1</v>
      </c>
      <c r="L27" s="1043">
        <v>0.64949548592671269</v>
      </c>
      <c r="M27"/>
      <c r="N27"/>
      <c r="Q27"/>
      <c r="R27" s="661"/>
      <c r="S27"/>
      <c r="T27"/>
      <c r="U27"/>
      <c r="V27" s="1039" t="s">
        <v>1667</v>
      </c>
      <c r="W27" s="1049" t="s">
        <v>1934</v>
      </c>
      <c r="X27" s="1038" t="s">
        <v>3221</v>
      </c>
      <c r="Y27" s="1038" t="s">
        <v>3222</v>
      </c>
      <c r="Z27" s="1038" t="s">
        <v>3223</v>
      </c>
      <c r="AC27"/>
      <c r="AD27"/>
      <c r="AF27" s="661"/>
      <c r="AG27" s="661"/>
      <c r="AL27" s="661"/>
      <c r="AM27" s="661"/>
    </row>
    <row r="28" spans="2:42" ht="15.75">
      <c r="C28" s="734"/>
      <c r="D28" s="734"/>
      <c r="F28" s="661"/>
      <c r="H28" s="1041" t="s">
        <v>320</v>
      </c>
      <c r="I28" s="1050">
        <v>3966</v>
      </c>
      <c r="J28" s="1043">
        <v>1</v>
      </c>
      <c r="K28" s="1043">
        <v>0.69162884518406453</v>
      </c>
      <c r="L28" s="1043">
        <v>0.6696923852748361</v>
      </c>
      <c r="M28"/>
      <c r="N28"/>
      <c r="Q28"/>
      <c r="R28" s="665"/>
      <c r="S28" s="665"/>
      <c r="T28" s="665"/>
      <c r="U28" s="665"/>
      <c r="V28" s="1041" t="s">
        <v>757</v>
      </c>
      <c r="W28" s="1050">
        <v>1927</v>
      </c>
      <c r="X28" s="1043">
        <v>1</v>
      </c>
      <c r="Y28" s="1043">
        <v>0.48105864037363777</v>
      </c>
      <c r="Z28" s="1043">
        <v>0.55163466528282301</v>
      </c>
      <c r="AA28" s="741"/>
      <c r="AB28" s="741"/>
      <c r="AC28" s="665"/>
      <c r="AD28" s="665"/>
      <c r="AE28" s="741"/>
      <c r="AF28" s="665"/>
      <c r="AG28" s="665"/>
      <c r="AH28" s="741"/>
      <c r="AI28" s="741"/>
      <c r="AJ28" s="741"/>
      <c r="AK28" s="741"/>
      <c r="AL28" s="665"/>
      <c r="AM28" s="665"/>
      <c r="AN28" s="741"/>
      <c r="AO28" s="741"/>
      <c r="AP28" s="741"/>
    </row>
    <row r="29" spans="2:42" ht="15.75">
      <c r="F29" s="661"/>
      <c r="H29" s="1041" t="s">
        <v>330</v>
      </c>
      <c r="I29" s="1050">
        <v>5086</v>
      </c>
      <c r="J29" s="1043">
        <v>1</v>
      </c>
      <c r="K29" s="1043">
        <v>1</v>
      </c>
      <c r="L29" s="1043">
        <v>0.22198191112858823</v>
      </c>
      <c r="M29"/>
      <c r="N29"/>
      <c r="Q29"/>
      <c r="R29" s="661"/>
      <c r="S29"/>
      <c r="T29"/>
      <c r="U29"/>
      <c r="V29" s="1041" t="s">
        <v>1669</v>
      </c>
      <c r="W29" s="1050">
        <v>1927</v>
      </c>
      <c r="X29" s="1043">
        <v>1</v>
      </c>
      <c r="Y29" s="1043">
        <v>0.48105864037363777</v>
      </c>
      <c r="Z29" s="1043">
        <v>0.55163466528282301</v>
      </c>
      <c r="AC29"/>
      <c r="AD29"/>
      <c r="AF29" s="661"/>
      <c r="AG29" s="661"/>
      <c r="AL29" s="661"/>
      <c r="AM29" s="661"/>
    </row>
    <row r="30" spans="2:42" ht="15.75">
      <c r="C30" s="734"/>
      <c r="D30" s="734"/>
      <c r="F30" s="661"/>
      <c r="H30" s="1041" t="s">
        <v>489</v>
      </c>
      <c r="I30" s="1050">
        <v>14000</v>
      </c>
      <c r="J30" s="1043">
        <v>1</v>
      </c>
      <c r="K30" s="1043">
        <v>0.77149999999999996</v>
      </c>
      <c r="L30" s="1043">
        <v>0.63542857142857145</v>
      </c>
      <c r="M30"/>
      <c r="N30"/>
      <c r="Q30"/>
      <c r="R30" s="661"/>
      <c r="S30"/>
      <c r="T30"/>
      <c r="U30"/>
      <c r="AC30"/>
      <c r="AD30"/>
      <c r="AF30"/>
      <c r="AG30"/>
      <c r="AL30"/>
      <c r="AM30"/>
    </row>
    <row r="31" spans="2:42" ht="15.75">
      <c r="C31" s="661"/>
      <c r="E31" s="208"/>
      <c r="H31" s="1041" t="s">
        <v>420</v>
      </c>
      <c r="I31" s="1050">
        <v>70</v>
      </c>
      <c r="J31" s="1043">
        <v>1</v>
      </c>
      <c r="K31" s="1043">
        <v>1</v>
      </c>
      <c r="L31" s="1043">
        <v>1</v>
      </c>
      <c r="M31"/>
      <c r="N31"/>
      <c r="Q31"/>
      <c r="R31" s="661"/>
      <c r="S31"/>
      <c r="T31"/>
      <c r="U31"/>
      <c r="AC31"/>
      <c r="AD31"/>
      <c r="AF31"/>
      <c r="AG31"/>
      <c r="AL31"/>
      <c r="AM31"/>
    </row>
    <row r="32" spans="2:42" ht="15.75">
      <c r="C32"/>
      <c r="D32"/>
      <c r="E32"/>
      <c r="F32"/>
      <c r="G32"/>
      <c r="H32" s="1041" t="s">
        <v>470</v>
      </c>
      <c r="I32" s="1050">
        <v>2926</v>
      </c>
      <c r="J32" s="1043">
        <v>1</v>
      </c>
      <c r="K32" s="1043">
        <v>0.54716336295283663</v>
      </c>
      <c r="L32" s="1043">
        <v>0.38106630211893366</v>
      </c>
      <c r="M32"/>
      <c r="N32"/>
      <c r="Q32"/>
      <c r="R32" s="661"/>
      <c r="S32" s="661"/>
      <c r="T32" s="661"/>
      <c r="U32" s="661"/>
      <c r="AC32"/>
      <c r="AD32"/>
      <c r="AF32" s="661"/>
      <c r="AG32" s="661"/>
      <c r="AL32" s="661"/>
      <c r="AM32" s="661"/>
    </row>
    <row r="33" spans="1:39" ht="15.75">
      <c r="C33"/>
      <c r="D33"/>
      <c r="E33"/>
      <c r="F33"/>
      <c r="G33"/>
      <c r="H33" s="1041" t="s">
        <v>355</v>
      </c>
      <c r="I33" s="1050">
        <v>4063</v>
      </c>
      <c r="J33" s="1043">
        <v>1</v>
      </c>
      <c r="K33" s="1043">
        <v>0.42259414225941427</v>
      </c>
      <c r="L33" s="1043">
        <v>1</v>
      </c>
      <c r="M33"/>
      <c r="N33"/>
      <c r="Q33"/>
      <c r="R33" s="661"/>
      <c r="S33" s="661"/>
      <c r="T33" s="661"/>
      <c r="U33" s="661"/>
      <c r="AC33"/>
      <c r="AD33"/>
      <c r="AF33" s="661"/>
      <c r="AG33" s="661"/>
      <c r="AL33" s="661"/>
      <c r="AM33" s="661"/>
    </row>
    <row r="34" spans="1:39" ht="15.75">
      <c r="C34"/>
      <c r="D34"/>
      <c r="E34"/>
      <c r="F34"/>
      <c r="G34"/>
      <c r="H34" s="1057" t="s">
        <v>1669</v>
      </c>
      <c r="I34" s="1055">
        <v>35760</v>
      </c>
      <c r="J34" s="1056">
        <v>0.99519015659955257</v>
      </c>
      <c r="K34" s="1056">
        <v>0.77368568232662194</v>
      </c>
      <c r="L34" s="1056">
        <v>0.60397091722595087</v>
      </c>
      <c r="M34"/>
      <c r="N34"/>
      <c r="Q34"/>
      <c r="R34" s="661"/>
      <c r="S34" s="661"/>
      <c r="T34" s="661"/>
      <c r="U34" s="661"/>
      <c r="AC34"/>
      <c r="AF34" s="661"/>
      <c r="AG34" s="661"/>
      <c r="AL34" s="661"/>
      <c r="AM34" s="661"/>
    </row>
    <row r="35" spans="1:39" ht="15.75">
      <c r="C35" s="661"/>
      <c r="D35" s="661"/>
      <c r="E35" s="661"/>
      <c r="F35" s="661"/>
      <c r="G35" s="661"/>
      <c r="H35"/>
      <c r="I35"/>
      <c r="J35"/>
      <c r="K35"/>
      <c r="L35"/>
      <c r="M35" s="661"/>
      <c r="N35" s="661"/>
      <c r="O35" s="661"/>
      <c r="P35" s="661"/>
      <c r="Q35" s="661"/>
      <c r="R35" s="661"/>
      <c r="S35" s="661"/>
      <c r="AC35" s="661"/>
      <c r="AF35" s="661"/>
      <c r="AG35" s="661"/>
      <c r="AL35" s="661"/>
      <c r="AM35" s="661"/>
    </row>
    <row r="36" spans="1:39" s="159" customFormat="1" ht="18.75">
      <c r="A36" s="894" t="s">
        <v>2056</v>
      </c>
      <c r="B36" s="895"/>
      <c r="C36" s="895"/>
      <c r="D36" s="895"/>
      <c r="E36" s="895"/>
      <c r="F36" s="895"/>
      <c r="G36" s="895"/>
      <c r="H36"/>
      <c r="I36" s="900">
        <v>35510</v>
      </c>
      <c r="J36"/>
      <c r="K36"/>
      <c r="L36"/>
      <c r="M36" s="895"/>
      <c r="N36" s="895"/>
      <c r="O36" s="895"/>
      <c r="P36" s="895"/>
      <c r="Q36" s="895"/>
      <c r="R36" s="895"/>
      <c r="S36" s="895"/>
      <c r="T36" s="895"/>
      <c r="U36" s="895"/>
      <c r="V36" s="895"/>
      <c r="W36" s="895"/>
      <c r="X36" s="895"/>
      <c r="Y36" s="895"/>
      <c r="Z36" s="895"/>
      <c r="AC36" s="677"/>
      <c r="AF36" s="677"/>
      <c r="AL36" s="677"/>
      <c r="AM36" s="677"/>
    </row>
    <row r="37" spans="1:39" s="159" customFormat="1" ht="18.75">
      <c r="A37" s="894"/>
      <c r="B37" s="895"/>
      <c r="C37" s="895"/>
      <c r="D37" s="895"/>
      <c r="E37" s="895"/>
      <c r="F37" s="895"/>
      <c r="G37" s="895"/>
      <c r="H37" s="896"/>
      <c r="I37" s="897">
        <f>GETPIVOTDATA("PoP ",$H$26)-I36</f>
        <v>250</v>
      </c>
      <c r="J37" s="898"/>
      <c r="K37" s="898"/>
      <c r="L37" s="898"/>
      <c r="M37" s="895"/>
      <c r="N37" s="895"/>
      <c r="O37" s="895"/>
      <c r="P37" s="895"/>
      <c r="Q37" s="895"/>
      <c r="R37" s="895"/>
      <c r="S37" s="895"/>
      <c r="T37" s="895"/>
      <c r="U37" s="895"/>
      <c r="V37" s="895"/>
      <c r="W37" s="895"/>
      <c r="X37" s="895"/>
      <c r="Y37" s="895"/>
      <c r="Z37" s="895"/>
      <c r="AC37" s="677"/>
      <c r="AF37" s="677"/>
      <c r="AL37" s="677"/>
      <c r="AM37" s="677"/>
    </row>
    <row r="38" spans="1:39" s="159" customFormat="1" ht="18.75">
      <c r="A38" s="894"/>
      <c r="B38" s="895"/>
      <c r="C38" s="895"/>
      <c r="D38" s="895"/>
      <c r="E38" s="895"/>
      <c r="F38" s="895"/>
      <c r="G38" s="895"/>
      <c r="H38" s="896"/>
      <c r="I38" s="897">
        <f>I37-245</f>
        <v>5</v>
      </c>
      <c r="J38" s="898"/>
      <c r="K38" s="898"/>
      <c r="L38" s="898"/>
      <c r="M38" s="895"/>
      <c r="N38" s="895"/>
      <c r="O38" s="895"/>
      <c r="P38" s="895"/>
      <c r="Q38" s="895"/>
      <c r="R38" s="895"/>
      <c r="S38" s="895"/>
      <c r="T38" s="895"/>
      <c r="U38" s="895"/>
      <c r="V38" s="895"/>
      <c r="W38" s="895"/>
      <c r="X38" s="895"/>
      <c r="Y38" s="895"/>
      <c r="Z38" s="895"/>
      <c r="AC38" s="677"/>
      <c r="AF38" s="677"/>
      <c r="AL38" s="677"/>
      <c r="AM38" s="677"/>
    </row>
    <row r="39" spans="1:39" s="159" customFormat="1" ht="18.75">
      <c r="A39" s="894"/>
      <c r="B39" s="895"/>
      <c r="C39" s="895"/>
      <c r="D39" s="895"/>
      <c r="E39" s="895"/>
      <c r="F39" s="895"/>
      <c r="G39" s="895"/>
      <c r="H39" s="896"/>
      <c r="I39" s="897"/>
      <c r="J39" s="898"/>
      <c r="K39" s="898"/>
      <c r="L39" s="898"/>
      <c r="M39" s="895"/>
      <c r="N39" s="895"/>
      <c r="O39" s="895"/>
      <c r="P39" s="895"/>
      <c r="Q39" s="895"/>
      <c r="R39" s="895"/>
      <c r="S39" s="895"/>
      <c r="T39" s="895"/>
      <c r="U39" s="895"/>
      <c r="V39" s="895"/>
      <c r="W39" s="895"/>
      <c r="X39" s="895"/>
      <c r="Y39" s="895"/>
      <c r="Z39" s="895"/>
      <c r="AC39" s="677"/>
      <c r="AF39" s="677"/>
      <c r="AL39" s="677"/>
      <c r="AM39" s="677"/>
    </row>
    <row r="40" spans="1:39" s="159" customFormat="1" ht="18.75">
      <c r="A40" s="894"/>
      <c r="B40" s="895"/>
      <c r="C40" s="895"/>
      <c r="D40" s="895"/>
      <c r="E40" s="895"/>
      <c r="F40" s="895"/>
      <c r="G40" s="895"/>
      <c r="H40" s="896"/>
      <c r="I40" s="897"/>
      <c r="J40" s="898"/>
      <c r="K40" s="898"/>
      <c r="L40" s="898"/>
      <c r="M40" s="895"/>
      <c r="N40" s="895"/>
      <c r="O40" s="895"/>
      <c r="P40" s="895"/>
      <c r="Q40" s="895"/>
      <c r="R40" s="895"/>
      <c r="S40" s="895"/>
      <c r="T40" s="895"/>
      <c r="U40" s="895"/>
      <c r="V40" s="895"/>
      <c r="W40" s="895"/>
      <c r="X40" s="895"/>
      <c r="Y40" s="895"/>
      <c r="Z40" s="895"/>
      <c r="AC40" s="677"/>
      <c r="AF40" s="677"/>
      <c r="AL40" s="677"/>
      <c r="AM40" s="677"/>
    </row>
    <row r="41" spans="1:39" ht="18.75">
      <c r="A41" s="203" t="s">
        <v>2056</v>
      </c>
      <c r="B41" s="148"/>
      <c r="C41" s="148"/>
      <c r="D41" s="148"/>
      <c r="E41" s="148"/>
      <c r="F41" s="148"/>
      <c r="G41" s="148"/>
      <c r="H41" s="891"/>
      <c r="I41" s="892"/>
      <c r="J41" s="893"/>
      <c r="K41" s="893"/>
      <c r="L41" s="893"/>
      <c r="M41" s="148"/>
      <c r="N41" s="148"/>
      <c r="O41" s="148"/>
      <c r="P41" s="148"/>
      <c r="Q41" s="148"/>
      <c r="R41" s="148"/>
      <c r="S41" s="148"/>
      <c r="T41" s="148"/>
      <c r="U41" s="148"/>
      <c r="V41" s="148"/>
      <c r="W41" s="148"/>
      <c r="X41" s="148"/>
      <c r="Y41" s="148"/>
      <c r="Z41" s="148"/>
      <c r="AC41" s="661"/>
      <c r="AF41" s="661"/>
      <c r="AL41" s="661"/>
      <c r="AM41" s="661"/>
    </row>
    <row r="42" spans="1:39" ht="15.75">
      <c r="AC42"/>
      <c r="AF42"/>
      <c r="AL42"/>
      <c r="AM42"/>
    </row>
    <row r="43" spans="1:39" ht="15.75">
      <c r="AC43"/>
      <c r="AL43"/>
      <c r="AM43"/>
    </row>
    <row r="44" spans="1:39" ht="15.75">
      <c r="AC44"/>
      <c r="AL44"/>
    </row>
    <row r="45" spans="1:39" ht="15.75">
      <c r="B45" s="1037" t="s">
        <v>20</v>
      </c>
      <c r="C45" s="1038" t="s">
        <v>2525</v>
      </c>
      <c r="I45"/>
      <c r="J45"/>
      <c r="P45" s="1037" t="s">
        <v>20</v>
      </c>
      <c r="Q45" s="1038" t="s">
        <v>2525</v>
      </c>
      <c r="AC45"/>
      <c r="AL45"/>
    </row>
    <row r="46" spans="1:39" ht="15.75">
      <c r="B46" s="1040" t="s">
        <v>22</v>
      </c>
      <c r="C46" s="1040" t="s">
        <v>39</v>
      </c>
      <c r="I46" s="1037" t="s">
        <v>20</v>
      </c>
      <c r="J46" s="1038" t="s">
        <v>2525</v>
      </c>
      <c r="P46" s="1040" t="s">
        <v>22</v>
      </c>
      <c r="Q46" s="1038" t="s">
        <v>716</v>
      </c>
      <c r="AC46"/>
      <c r="AL46"/>
    </row>
    <row r="47" spans="1:39" ht="15.75">
      <c r="B47" s="1037" t="s">
        <v>35</v>
      </c>
      <c r="C47" s="1038" t="s">
        <v>35</v>
      </c>
      <c r="I47" s="1040" t="s">
        <v>22</v>
      </c>
      <c r="J47" s="1038" t="s">
        <v>1668</v>
      </c>
      <c r="P47" s="1037" t="s">
        <v>35</v>
      </c>
      <c r="Q47" s="1038" t="s">
        <v>35</v>
      </c>
      <c r="AC47"/>
      <c r="AL47"/>
    </row>
    <row r="48" spans="1:39" ht="15.75">
      <c r="B48" s="1037" t="s">
        <v>142</v>
      </c>
      <c r="C48" s="1038" t="s">
        <v>1668</v>
      </c>
      <c r="I48" s="1037" t="s">
        <v>35</v>
      </c>
      <c r="J48" s="1038" t="s">
        <v>35</v>
      </c>
      <c r="P48" s="1037" t="s">
        <v>142</v>
      </c>
      <c r="Q48" s="1038" t="s">
        <v>1668</v>
      </c>
      <c r="AL48"/>
    </row>
    <row r="49" spans="2:39" ht="15.75">
      <c r="AL49"/>
    </row>
    <row r="50" spans="2:39" ht="15.75">
      <c r="B50" s="1039" t="s">
        <v>1667</v>
      </c>
      <c r="C50" s="1049" t="s">
        <v>1679</v>
      </c>
      <c r="D50" s="1049" t="s">
        <v>1680</v>
      </c>
      <c r="E50" s="147"/>
      <c r="I50" s="1037" t="s">
        <v>1667</v>
      </c>
      <c r="J50" s="1049" t="s">
        <v>1679</v>
      </c>
      <c r="K50" s="1049" t="s">
        <v>1680</v>
      </c>
      <c r="P50" s="1039" t="s">
        <v>1667</v>
      </c>
      <c r="Q50" s="1049" t="s">
        <v>1679</v>
      </c>
      <c r="R50" s="1049" t="s">
        <v>1680</v>
      </c>
      <c r="AL50"/>
    </row>
    <row r="51" spans="2:39">
      <c r="B51" s="1041" t="s">
        <v>3025</v>
      </c>
      <c r="C51" s="1042">
        <v>77.6869333333333</v>
      </c>
      <c r="D51" s="1042">
        <v>67.857066666666668</v>
      </c>
      <c r="E51" s="147"/>
      <c r="I51" s="1041" t="s">
        <v>45</v>
      </c>
      <c r="J51" s="1042">
        <v>215.15600000000003</v>
      </c>
      <c r="K51" s="1042">
        <v>25.761999999999997</v>
      </c>
      <c r="P51" s="1041" t="s">
        <v>3025</v>
      </c>
      <c r="Q51" s="1042">
        <v>13.340266666666668</v>
      </c>
      <c r="R51" s="1042">
        <v>22.077733333333331</v>
      </c>
    </row>
    <row r="52" spans="2:39" ht="15.75">
      <c r="B52" s="1041" t="s">
        <v>3026</v>
      </c>
      <c r="C52" s="1042">
        <v>26.462666666666667</v>
      </c>
      <c r="D52" s="1042">
        <v>69.333333333333343</v>
      </c>
      <c r="E52" s="147"/>
      <c r="I52" s="1041" t="s">
        <v>812</v>
      </c>
      <c r="J52" s="1042">
        <v>64.225999999999999</v>
      </c>
      <c r="K52" s="1042">
        <v>386.80400000000003</v>
      </c>
      <c r="P52"/>
      <c r="Q52"/>
      <c r="R52"/>
    </row>
    <row r="53" spans="2:39" ht="15.75">
      <c r="B53"/>
      <c r="C53"/>
      <c r="D53"/>
      <c r="E53" s="147"/>
      <c r="F53" s="147"/>
      <c r="G53" s="147"/>
      <c r="H53" s="147"/>
      <c r="I53"/>
      <c r="J53"/>
      <c r="K53"/>
    </row>
    <row r="54" spans="2:39" ht="15.75">
      <c r="F54" s="147"/>
      <c r="G54" s="147"/>
      <c r="H54" s="147"/>
      <c r="I54"/>
      <c r="J54"/>
      <c r="K54"/>
    </row>
    <row r="58" spans="2:39">
      <c r="B58" s="147"/>
      <c r="C58" s="147"/>
      <c r="D58" s="147"/>
      <c r="F58" s="147"/>
      <c r="G58" s="147"/>
      <c r="H58" s="147"/>
      <c r="J58" s="147"/>
      <c r="K58" s="147"/>
      <c r="L58" s="147"/>
    </row>
    <row r="59" spans="2:39">
      <c r="B59" s="147"/>
      <c r="C59" s="147"/>
      <c r="D59" s="147"/>
      <c r="F59" s="147"/>
      <c r="G59" s="147"/>
      <c r="H59" s="147"/>
      <c r="J59" s="147"/>
      <c r="K59" s="147"/>
      <c r="L59" s="147"/>
    </row>
    <row r="60" spans="2:39">
      <c r="B60" s="1037" t="s">
        <v>20</v>
      </c>
      <c r="C60" s="1038" t="s">
        <v>2525</v>
      </c>
      <c r="D60" s="147"/>
      <c r="E60" s="260" t="s">
        <v>2303</v>
      </c>
      <c r="F60" s="147"/>
      <c r="G60" s="147"/>
      <c r="P60" s="1037" t="s">
        <v>20</v>
      </c>
      <c r="Q60" s="1038" t="s">
        <v>2525</v>
      </c>
      <c r="R60" s="147"/>
      <c r="S60" s="260" t="s">
        <v>2303</v>
      </c>
      <c r="T60" s="147"/>
    </row>
    <row r="61" spans="2:39">
      <c r="B61" s="1037" t="s">
        <v>35</v>
      </c>
      <c r="C61" s="1038" t="s">
        <v>35</v>
      </c>
      <c r="D61" s="147"/>
      <c r="F61" s="147"/>
      <c r="G61" s="147"/>
      <c r="P61" s="1037" t="s">
        <v>35</v>
      </c>
      <c r="Q61" s="1038" t="s">
        <v>35</v>
      </c>
      <c r="R61" s="147"/>
      <c r="T61" s="147"/>
    </row>
    <row r="62" spans="2:39">
      <c r="B62" s="1037" t="s">
        <v>142</v>
      </c>
      <c r="C62" s="1038" t="s">
        <v>1668</v>
      </c>
      <c r="D62" s="147"/>
      <c r="F62" s="147"/>
      <c r="G62" s="147"/>
      <c r="P62" s="1037" t="s">
        <v>142</v>
      </c>
      <c r="Q62" s="1038" t="s">
        <v>1668</v>
      </c>
      <c r="R62" s="147"/>
      <c r="T62" s="147"/>
    </row>
    <row r="63" spans="2:39" ht="15.75" thickBot="1">
      <c r="B63" s="147"/>
      <c r="C63" s="147"/>
      <c r="D63" s="147"/>
      <c r="F63" s="147"/>
      <c r="G63" s="147"/>
      <c r="P63" s="147"/>
      <c r="Q63" s="147"/>
      <c r="R63" s="147"/>
      <c r="S63" s="1116" t="s">
        <v>146</v>
      </c>
      <c r="T63" s="1117"/>
    </row>
    <row r="64" spans="2:39" ht="30.75" thickBot="1">
      <c r="B64" s="1039" t="s">
        <v>22</v>
      </c>
      <c r="C64" s="1049" t="s">
        <v>1929</v>
      </c>
      <c r="D64" s="1038" t="s">
        <v>3278</v>
      </c>
      <c r="E64" s="1038" t="s">
        <v>3277</v>
      </c>
      <c r="F64" s="1038" t="s">
        <v>3282</v>
      </c>
      <c r="G64" s="147"/>
      <c r="H64" s="989" t="s">
        <v>22</v>
      </c>
      <c r="I64" s="886" t="s">
        <v>1929</v>
      </c>
      <c r="J64" s="887" t="s">
        <v>1980</v>
      </c>
      <c r="K64" s="887" t="s">
        <v>1979</v>
      </c>
      <c r="L64" s="887" t="s">
        <v>3283</v>
      </c>
      <c r="M64" s="888" t="s">
        <v>3284</v>
      </c>
      <c r="P64" s="1039" t="s">
        <v>22</v>
      </c>
      <c r="Q64" s="1049" t="s">
        <v>1929</v>
      </c>
      <c r="R64" s="1038" t="s">
        <v>3280</v>
      </c>
      <c r="S64" s="1038" t="s">
        <v>3279</v>
      </c>
      <c r="T64" s="1038" t="s">
        <v>3281</v>
      </c>
      <c r="U64" s="741"/>
      <c r="V64" s="989" t="s">
        <v>22</v>
      </c>
      <c r="W64" s="886" t="s">
        <v>1929</v>
      </c>
      <c r="X64" s="887" t="s">
        <v>1980</v>
      </c>
      <c r="Y64" s="887" t="s">
        <v>3285</v>
      </c>
      <c r="Z64" s="887" t="s">
        <v>3286</v>
      </c>
      <c r="AA64" s="888" t="s">
        <v>3287</v>
      </c>
      <c r="AB64" s="741"/>
      <c r="AC64" s="741"/>
      <c r="AD64" s="741"/>
      <c r="AE64" s="741"/>
      <c r="AF64" s="741"/>
      <c r="AG64" s="741"/>
      <c r="AH64" s="741"/>
      <c r="AI64" s="741"/>
      <c r="AJ64" s="741"/>
      <c r="AK64" s="741"/>
      <c r="AL64" s="741"/>
      <c r="AM64" s="741"/>
    </row>
    <row r="65" spans="2:27">
      <c r="B65" s="1041" t="s">
        <v>39</v>
      </c>
      <c r="C65" s="1048">
        <v>134</v>
      </c>
      <c r="D65" s="1048">
        <v>12</v>
      </c>
      <c r="E65" s="1048">
        <v>32</v>
      </c>
      <c r="F65" s="1048">
        <v>30</v>
      </c>
      <c r="G65" s="147"/>
      <c r="H65" s="171" t="s">
        <v>39</v>
      </c>
      <c r="I65" s="889">
        <v>134</v>
      </c>
      <c r="J65" s="889">
        <v>12</v>
      </c>
      <c r="K65" s="990">
        <f>I65-J65</f>
        <v>122</v>
      </c>
      <c r="L65" s="889">
        <v>32</v>
      </c>
      <c r="M65" s="889">
        <v>30</v>
      </c>
      <c r="P65" s="1041" t="s">
        <v>39</v>
      </c>
      <c r="Q65" s="1048">
        <v>134</v>
      </c>
      <c r="R65" s="1048">
        <v>16</v>
      </c>
      <c r="S65" s="1048">
        <v>251</v>
      </c>
      <c r="T65" s="1048">
        <v>30</v>
      </c>
      <c r="V65" s="171" t="s">
        <v>39</v>
      </c>
      <c r="W65" s="889">
        <v>134</v>
      </c>
      <c r="X65" s="889">
        <v>16</v>
      </c>
      <c r="Y65" s="889">
        <f>W65-X65</f>
        <v>118</v>
      </c>
      <c r="Z65" s="889">
        <v>251</v>
      </c>
      <c r="AA65" s="889">
        <v>30</v>
      </c>
    </row>
    <row r="66" spans="2:27">
      <c r="B66" s="1041" t="s">
        <v>716</v>
      </c>
      <c r="C66" s="1048">
        <v>28</v>
      </c>
      <c r="D66" s="1048">
        <v>14</v>
      </c>
      <c r="E66" s="1048">
        <v>14</v>
      </c>
      <c r="F66" s="1048">
        <v>0</v>
      </c>
      <c r="G66" s="147"/>
      <c r="H66" s="172" t="s">
        <v>716</v>
      </c>
      <c r="I66" s="890">
        <v>28</v>
      </c>
      <c r="J66" s="890">
        <v>14</v>
      </c>
      <c r="K66" s="990">
        <f t="shared" ref="K66:K68" si="0">I66-J66</f>
        <v>14</v>
      </c>
      <c r="L66" s="890">
        <v>14</v>
      </c>
      <c r="M66" s="986">
        <v>0</v>
      </c>
      <c r="P66" s="1041" t="s">
        <v>716</v>
      </c>
      <c r="Q66" s="1048">
        <v>28</v>
      </c>
      <c r="R66" s="1048">
        <v>14</v>
      </c>
      <c r="S66" s="1048">
        <v>210</v>
      </c>
      <c r="T66" s="1048">
        <v>0</v>
      </c>
      <c r="V66" s="172" t="s">
        <v>716</v>
      </c>
      <c r="W66" s="890">
        <v>28</v>
      </c>
      <c r="X66" s="890">
        <v>14</v>
      </c>
      <c r="Y66" s="889">
        <f t="shared" ref="Y66:Y67" si="1">W66-X66</f>
        <v>14</v>
      </c>
      <c r="Z66" s="890">
        <v>210</v>
      </c>
      <c r="AA66" s="986">
        <v>0</v>
      </c>
    </row>
    <row r="67" spans="2:27" ht="15.75" thickBot="1">
      <c r="B67" s="1041" t="s">
        <v>3014</v>
      </c>
      <c r="C67" s="1048">
        <v>25</v>
      </c>
      <c r="D67" s="1048">
        <v>17</v>
      </c>
      <c r="E67" s="1048">
        <v>654</v>
      </c>
      <c r="F67" s="1048">
        <v>27</v>
      </c>
      <c r="G67" s="147"/>
      <c r="H67" s="171" t="s">
        <v>3014</v>
      </c>
      <c r="I67" s="889">
        <v>25</v>
      </c>
      <c r="J67" s="889">
        <v>16</v>
      </c>
      <c r="K67" s="990">
        <f t="shared" si="0"/>
        <v>9</v>
      </c>
      <c r="L67" s="889">
        <v>653</v>
      </c>
      <c r="M67" s="889">
        <v>27</v>
      </c>
      <c r="P67" s="1041" t="s">
        <v>3014</v>
      </c>
      <c r="Q67" s="1048">
        <v>25</v>
      </c>
      <c r="R67" s="1048">
        <v>16</v>
      </c>
      <c r="S67" s="1048">
        <v>1023</v>
      </c>
      <c r="T67" s="1048">
        <v>134</v>
      </c>
      <c r="V67" s="171" t="s">
        <v>3014</v>
      </c>
      <c r="W67" s="889">
        <v>25</v>
      </c>
      <c r="X67" s="889">
        <v>16</v>
      </c>
      <c r="Y67" s="889">
        <f t="shared" si="1"/>
        <v>9</v>
      </c>
      <c r="Z67" s="889">
        <v>1023</v>
      </c>
      <c r="AA67" s="889">
        <v>134</v>
      </c>
    </row>
    <row r="68" spans="2:27" ht="15.75" thickBot="1">
      <c r="B68" s="1041" t="s">
        <v>1669</v>
      </c>
      <c r="C68" s="1048">
        <v>187</v>
      </c>
      <c r="D68" s="1048">
        <v>43</v>
      </c>
      <c r="E68" s="1048">
        <v>700</v>
      </c>
      <c r="F68" s="1048">
        <v>57</v>
      </c>
      <c r="H68" s="885" t="s">
        <v>1669</v>
      </c>
      <c r="I68" s="987">
        <v>187</v>
      </c>
      <c r="J68" s="987">
        <v>42</v>
      </c>
      <c r="K68" s="990">
        <f t="shared" si="0"/>
        <v>145</v>
      </c>
      <c r="L68" s="987">
        <v>699</v>
      </c>
      <c r="M68" s="988">
        <v>57</v>
      </c>
      <c r="P68" s="1041" t="s">
        <v>1669</v>
      </c>
      <c r="Q68" s="1048">
        <v>187</v>
      </c>
      <c r="R68" s="1048">
        <v>46</v>
      </c>
      <c r="S68" s="1048">
        <v>1484</v>
      </c>
      <c r="T68" s="1048">
        <v>164</v>
      </c>
    </row>
    <row r="69" spans="2:27">
      <c r="B69" s="147"/>
      <c r="C69" s="147"/>
      <c r="D69" s="147"/>
    </row>
    <row r="70" spans="2:27">
      <c r="B70" s="1037" t="s">
        <v>20</v>
      </c>
      <c r="C70" s="1038" t="s">
        <v>2525</v>
      </c>
      <c r="D70" s="147"/>
    </row>
    <row r="71" spans="2:27">
      <c r="B71" s="1037" t="s">
        <v>35</v>
      </c>
      <c r="C71" s="1038" t="s">
        <v>35</v>
      </c>
      <c r="D71" s="147"/>
      <c r="E71" s="260" t="s">
        <v>2303</v>
      </c>
    </row>
    <row r="72" spans="2:27">
      <c r="B72" s="1037" t="s">
        <v>142</v>
      </c>
      <c r="C72" s="1038" t="s">
        <v>1668</v>
      </c>
      <c r="D72" s="147"/>
    </row>
    <row r="73" spans="2:27">
      <c r="B73" s="147"/>
      <c r="C73" s="147"/>
      <c r="D73" s="147"/>
    </row>
    <row r="74" spans="2:27">
      <c r="B74" s="1037" t="s">
        <v>3029</v>
      </c>
      <c r="C74" s="1037" t="s">
        <v>1996</v>
      </c>
      <c r="D74" s="1038"/>
    </row>
    <row r="75" spans="2:27">
      <c r="B75" s="1039" t="s">
        <v>22</v>
      </c>
      <c r="C75" s="1038" t="s">
        <v>1979</v>
      </c>
      <c r="D75" s="1038" t="s">
        <v>1980</v>
      </c>
    </row>
    <row r="76" spans="2:27">
      <c r="B76" s="1041" t="s">
        <v>39</v>
      </c>
      <c r="C76" s="1048">
        <v>118</v>
      </c>
      <c r="D76" s="1048">
        <v>16</v>
      </c>
    </row>
    <row r="77" spans="2:27">
      <c r="B77" s="1041" t="s">
        <v>716</v>
      </c>
      <c r="C77" s="1048">
        <v>14</v>
      </c>
      <c r="D77" s="1048">
        <v>14</v>
      </c>
    </row>
    <row r="78" spans="2:27">
      <c r="B78" s="1041" t="s">
        <v>3014</v>
      </c>
      <c r="C78" s="1048">
        <v>7</v>
      </c>
      <c r="D78" s="1048">
        <v>18</v>
      </c>
    </row>
    <row r="79" spans="2:27" ht="15.75" thickBot="1">
      <c r="B79" s="147"/>
      <c r="C79" s="147"/>
      <c r="D79" s="147"/>
    </row>
    <row r="80" spans="2:27">
      <c r="B80" s="150"/>
      <c r="C80" s="153" t="s">
        <v>1979</v>
      </c>
      <c r="D80" s="154" t="s">
        <v>1980</v>
      </c>
      <c r="E80" s="147"/>
      <c r="F80" s="147"/>
      <c r="G80" s="147"/>
    </row>
    <row r="81" spans="2:15">
      <c r="B81" s="151" t="s">
        <v>39</v>
      </c>
      <c r="C81" s="155">
        <f>GETPIVOTDATA("Warter quality test done",$B$74,"State","Kachin","Warter quality test done","No Test")</f>
        <v>118</v>
      </c>
      <c r="D81" s="156">
        <f>GETPIVOTDATA("Warter quality test done",$B$74,"State","Kachin","Warter quality test done","Tested")</f>
        <v>16</v>
      </c>
      <c r="E81" s="147"/>
      <c r="F81" s="147"/>
      <c r="G81" s="147"/>
    </row>
    <row r="82" spans="2:15">
      <c r="B82" s="151" t="s">
        <v>312</v>
      </c>
      <c r="C82" s="155">
        <f>GETPIVOTDATA("Warter quality test done",$B$74,"State","Central Rakhine","Warter quality test done","No Test")</f>
        <v>7</v>
      </c>
      <c r="D82" s="156">
        <f>GETPIVOTDATA("Warter quality test done",$B$74,"State","Central Rakhine","Warter quality test done","Tested")</f>
        <v>18</v>
      </c>
      <c r="E82" s="147"/>
      <c r="F82" s="147"/>
      <c r="G82" s="147"/>
    </row>
    <row r="83" spans="2:15" ht="15.75" thickBot="1">
      <c r="B83" s="152" t="s">
        <v>716</v>
      </c>
      <c r="C83" s="157">
        <f>GETPIVOTDATA("Warter quality test done",$B$74,"State","Shan (North)","Warter quality test done","No Test")</f>
        <v>14</v>
      </c>
      <c r="D83" s="158">
        <f>GETPIVOTDATA("Warter quality test done",$B$74,"State","Shan (North)","Warter quality test done","Tested")</f>
        <v>14</v>
      </c>
      <c r="E83" s="143"/>
      <c r="F83" s="143"/>
      <c r="G83" s="144"/>
    </row>
    <row r="84" spans="2:15" s="159" customFormat="1">
      <c r="B84" s="160"/>
      <c r="C84" s="161"/>
      <c r="D84" s="161"/>
      <c r="E84" s="162"/>
      <c r="F84" s="162"/>
      <c r="G84" s="163"/>
    </row>
    <row r="85" spans="2:15" s="159" customFormat="1">
      <c r="B85" s="160"/>
      <c r="C85" s="161"/>
      <c r="D85" s="161"/>
      <c r="E85" s="162"/>
      <c r="F85" s="162"/>
      <c r="G85" s="163"/>
    </row>
    <row r="86" spans="2:15" s="159" customFormat="1">
      <c r="B86" s="160"/>
      <c r="C86" s="161"/>
      <c r="D86" s="161"/>
      <c r="E86" s="162"/>
      <c r="F86" s="162"/>
      <c r="G86" s="163"/>
    </row>
    <row r="87" spans="2:15" s="159" customFormat="1">
      <c r="B87" s="1037" t="s">
        <v>20</v>
      </c>
      <c r="C87" s="1038" t="s">
        <v>2525</v>
      </c>
      <c r="D87" s="161"/>
      <c r="E87" s="162"/>
      <c r="F87" s="162"/>
      <c r="G87" s="163"/>
      <c r="M87" s="748"/>
      <c r="N87" s="748"/>
      <c r="O87" s="161"/>
    </row>
    <row r="88" spans="2:15" s="159" customFormat="1">
      <c r="B88" s="1037" t="s">
        <v>35</v>
      </c>
      <c r="C88" s="1038" t="s">
        <v>35</v>
      </c>
      <c r="D88" s="147"/>
      <c r="E88" s="162"/>
      <c r="F88" s="162"/>
      <c r="G88" s="163"/>
      <c r="M88" s="748"/>
      <c r="N88" s="748"/>
      <c r="O88" s="749"/>
    </row>
    <row r="89" spans="2:15" s="159" customFormat="1">
      <c r="B89" s="1039" t="s">
        <v>22</v>
      </c>
      <c r="C89" s="1038" t="s">
        <v>39</v>
      </c>
      <c r="D89" s="147"/>
      <c r="E89" s="162"/>
      <c r="F89" s="162"/>
      <c r="G89" s="163"/>
      <c r="M89" s="750"/>
      <c r="N89" s="748"/>
      <c r="O89" s="749"/>
    </row>
    <row r="90" spans="2:15" s="159" customFormat="1">
      <c r="B90" s="1037" t="s">
        <v>142</v>
      </c>
      <c r="C90" s="1038" t="s">
        <v>1668</v>
      </c>
      <c r="D90" s="147"/>
      <c r="E90" s="162"/>
      <c r="F90" s="162"/>
      <c r="G90" s="163"/>
      <c r="M90" s="748"/>
      <c r="N90" s="748"/>
      <c r="O90" s="749"/>
    </row>
    <row r="91" spans="2:15" s="159" customFormat="1">
      <c r="B91" s="743"/>
      <c r="C91" s="147"/>
      <c r="D91" s="147"/>
      <c r="E91" s="162"/>
      <c r="F91" s="162"/>
      <c r="G91" s="163"/>
      <c r="M91" s="751"/>
      <c r="N91" s="749"/>
      <c r="O91" s="749"/>
    </row>
    <row r="92" spans="2:15" s="159" customFormat="1" ht="15.75">
      <c r="B92" s="1044" t="s">
        <v>22</v>
      </c>
      <c r="C92" s="1038" t="s">
        <v>3225</v>
      </c>
      <c r="D92" s="1038" t="s">
        <v>3221</v>
      </c>
      <c r="E92"/>
      <c r="F92" s="162"/>
      <c r="G92" s="163"/>
      <c r="M92" s="677"/>
      <c r="N92" s="677"/>
      <c r="O92" s="677"/>
    </row>
    <row r="93" spans="2:15" s="159" customFormat="1" ht="15.75">
      <c r="B93" s="1041" t="s">
        <v>203</v>
      </c>
      <c r="C93" s="1043">
        <v>0.8398863636363636</v>
      </c>
      <c r="D93" s="1043">
        <v>0.1601136363636364</v>
      </c>
      <c r="E93"/>
      <c r="F93" s="162"/>
      <c r="G93" s="163"/>
      <c r="M93" s="677"/>
      <c r="N93" s="677"/>
      <c r="O93" s="677"/>
    </row>
    <row r="94" spans="2:15" s="159" customFormat="1" ht="15.75">
      <c r="B94" s="1041" t="s">
        <v>154</v>
      </c>
      <c r="C94" s="1043">
        <v>6.7567567567567571E-2</v>
      </c>
      <c r="D94" s="1043">
        <v>0.93243243243243246</v>
      </c>
      <c r="E94"/>
      <c r="F94" s="162"/>
      <c r="G94" s="163"/>
      <c r="M94" s="677"/>
      <c r="N94" s="677"/>
      <c r="O94" s="677"/>
    </row>
    <row r="95" spans="2:15" s="159" customFormat="1" ht="15.75">
      <c r="B95" s="1041" t="s">
        <v>156</v>
      </c>
      <c r="C95" s="1043">
        <v>0.63608843537414972</v>
      </c>
      <c r="D95" s="1043">
        <v>0.36391156462585028</v>
      </c>
      <c r="E95"/>
      <c r="F95" s="162"/>
      <c r="G95" s="163"/>
      <c r="M95" s="677"/>
      <c r="N95" s="677"/>
      <c r="O95" s="677"/>
    </row>
    <row r="96" spans="2:15" s="159" customFormat="1" ht="15.75">
      <c r="B96" s="1041" t="s">
        <v>40</v>
      </c>
      <c r="C96" s="1043">
        <v>0.85349740932642482</v>
      </c>
      <c r="D96" s="1043">
        <v>0.14650259067357518</v>
      </c>
      <c r="E96"/>
      <c r="F96" s="162"/>
      <c r="G96" s="163"/>
      <c r="M96"/>
      <c r="N96"/>
      <c r="O96"/>
    </row>
    <row r="97" spans="2:24" s="159" customFormat="1" ht="15.75">
      <c r="B97" s="1041" t="s">
        <v>160</v>
      </c>
      <c r="C97" s="1043">
        <v>0.94938440492476062</v>
      </c>
      <c r="D97" s="1043">
        <v>5.0615595075239384E-2</v>
      </c>
      <c r="E97"/>
      <c r="F97" s="162"/>
      <c r="G97" s="163"/>
      <c r="M97"/>
      <c r="N97"/>
      <c r="O97"/>
    </row>
    <row r="98" spans="2:24" s="159" customFormat="1" ht="15.75">
      <c r="B98" s="1041" t="s">
        <v>165</v>
      </c>
      <c r="C98" s="1043">
        <v>0.57692307692307687</v>
      </c>
      <c r="D98" s="1043">
        <v>0.42307692307692313</v>
      </c>
      <c r="E98"/>
      <c r="F98" s="162"/>
      <c r="G98" s="163"/>
      <c r="M98"/>
      <c r="N98"/>
      <c r="O98"/>
    </row>
    <row r="99" spans="2:24" s="159" customFormat="1" ht="15.75">
      <c r="B99" s="1041" t="s">
        <v>213</v>
      </c>
      <c r="C99" s="1043">
        <v>0.39077022840262265</v>
      </c>
      <c r="D99" s="1043">
        <v>0.60922977159737735</v>
      </c>
      <c r="E99"/>
      <c r="F99" s="162"/>
      <c r="G99" s="163"/>
      <c r="M99"/>
      <c r="N99"/>
      <c r="O99"/>
    </row>
    <row r="100" spans="2:24" s="159" customFormat="1" ht="15.75">
      <c r="B100" s="1041" t="s">
        <v>167</v>
      </c>
      <c r="C100" s="1043">
        <v>0.94198788642649578</v>
      </c>
      <c r="D100" s="1043">
        <v>5.801211357350422E-2</v>
      </c>
      <c r="E100"/>
      <c r="F100" s="162"/>
      <c r="G100" s="163"/>
      <c r="M100"/>
      <c r="N100"/>
      <c r="O100"/>
    </row>
    <row r="101" spans="2:24" s="159" customFormat="1" ht="15.75">
      <c r="B101" s="1041" t="s">
        <v>181</v>
      </c>
      <c r="C101" s="1043">
        <v>1</v>
      </c>
      <c r="D101" s="1043">
        <v>0</v>
      </c>
      <c r="E101"/>
      <c r="F101" s="162"/>
      <c r="G101" s="163"/>
      <c r="M101"/>
      <c r="N101"/>
      <c r="O101"/>
    </row>
    <row r="102" spans="2:24" s="159" customFormat="1" ht="15.75">
      <c r="B102" s="1041" t="s">
        <v>222</v>
      </c>
      <c r="C102" s="1043">
        <v>0.59677419354838712</v>
      </c>
      <c r="D102" s="1043">
        <v>0.40322580645161288</v>
      </c>
      <c r="E102"/>
      <c r="F102" s="162"/>
      <c r="G102" s="163"/>
    </row>
    <row r="103" spans="2:24" s="159" customFormat="1" ht="15.75">
      <c r="B103" s="1041" t="s">
        <v>192</v>
      </c>
      <c r="C103" s="1043">
        <v>0</v>
      </c>
      <c r="D103" s="1043">
        <v>1</v>
      </c>
      <c r="E103"/>
      <c r="F103" s="162"/>
      <c r="G103" s="163"/>
      <c r="M103"/>
      <c r="N103"/>
      <c r="O103"/>
    </row>
    <row r="104" spans="2:24" s="159" customFormat="1" ht="15.75">
      <c r="B104" s="1041" t="s">
        <v>150</v>
      </c>
      <c r="C104" s="1043">
        <v>0.45292976900606324</v>
      </c>
      <c r="D104" s="1043">
        <v>0.54707023099393681</v>
      </c>
      <c r="E104"/>
      <c r="F104" s="162"/>
      <c r="G104" s="163"/>
      <c r="M104"/>
      <c r="N104"/>
      <c r="O104"/>
    </row>
    <row r="105" spans="2:24" s="159" customFormat="1" ht="15.75">
      <c r="B105"/>
      <c r="C105"/>
      <c r="D105"/>
      <c r="E105" s="162"/>
      <c r="F105" s="162"/>
      <c r="G105" s="163"/>
      <c r="M105"/>
      <c r="N105"/>
      <c r="O105"/>
    </row>
    <row r="106" spans="2:24" s="159" customFormat="1" ht="15.75">
      <c r="B106"/>
      <c r="C106"/>
      <c r="D106"/>
      <c r="E106" s="162"/>
      <c r="F106" s="162"/>
      <c r="G106" s="163"/>
    </row>
    <row r="107" spans="2:24" s="159" customFormat="1" ht="15.75">
      <c r="B107"/>
      <c r="C107"/>
      <c r="D107"/>
      <c r="E107" s="162"/>
      <c r="F107" s="162"/>
      <c r="G107" s="163"/>
      <c r="K107" s="1037" t="s">
        <v>20</v>
      </c>
      <c r="L107" s="1038" t="s">
        <v>2525</v>
      </c>
      <c r="M107" s="161"/>
      <c r="V107" s="1037" t="s">
        <v>20</v>
      </c>
      <c r="W107" s="1038" t="s">
        <v>2525</v>
      </c>
      <c r="X107" s="161"/>
    </row>
    <row r="108" spans="2:24" s="159" customFormat="1">
      <c r="B108" s="1037" t="s">
        <v>20</v>
      </c>
      <c r="C108" s="1038" t="s">
        <v>2525</v>
      </c>
      <c r="D108" s="161"/>
      <c r="E108" s="162"/>
      <c r="F108" s="162"/>
      <c r="G108" s="163"/>
      <c r="K108" s="1037" t="s">
        <v>35</v>
      </c>
      <c r="L108" s="1038" t="s">
        <v>35</v>
      </c>
      <c r="M108" s="147"/>
      <c r="V108" s="1037" t="s">
        <v>35</v>
      </c>
      <c r="W108" s="1038" t="s">
        <v>35</v>
      </c>
      <c r="X108" s="147"/>
    </row>
    <row r="109" spans="2:24" s="159" customFormat="1">
      <c r="B109" s="1037" t="s">
        <v>35</v>
      </c>
      <c r="C109" s="1038" t="s">
        <v>35</v>
      </c>
      <c r="D109" s="147"/>
      <c r="E109" s="162"/>
      <c r="F109" s="162"/>
      <c r="G109" s="163"/>
      <c r="K109" s="1045" t="s">
        <v>22</v>
      </c>
      <c r="L109" s="1038" t="s">
        <v>1668</v>
      </c>
      <c r="M109" s="147"/>
      <c r="V109" s="1045" t="s">
        <v>22</v>
      </c>
      <c r="W109" s="1038" t="s">
        <v>716</v>
      </c>
      <c r="X109" s="147"/>
    </row>
    <row r="110" spans="2:24" s="159" customFormat="1">
      <c r="B110" s="1045" t="s">
        <v>22</v>
      </c>
      <c r="C110" s="1038" t="s">
        <v>1668</v>
      </c>
      <c r="D110" s="147"/>
      <c r="E110" s="162"/>
      <c r="F110" s="162"/>
      <c r="G110" s="163"/>
      <c r="K110" s="1037" t="s">
        <v>142</v>
      </c>
      <c r="L110" s="1038" t="s">
        <v>812</v>
      </c>
      <c r="M110" s="147"/>
      <c r="V110" s="1037" t="s">
        <v>142</v>
      </c>
      <c r="W110" s="1038" t="s">
        <v>1668</v>
      </c>
      <c r="X110" s="147"/>
    </row>
    <row r="111" spans="2:24" s="159" customFormat="1">
      <c r="B111" s="1037" t="s">
        <v>142</v>
      </c>
      <c r="C111" s="1038" t="s">
        <v>1668</v>
      </c>
      <c r="D111" s="147"/>
      <c r="E111" s="162"/>
      <c r="F111" s="162"/>
      <c r="G111" s="163"/>
      <c r="K111" s="718" t="s">
        <v>312</v>
      </c>
      <c r="L111" s="147"/>
      <c r="M111" s="147"/>
      <c r="V111" s="744"/>
      <c r="W111" s="147"/>
      <c r="X111" s="147"/>
    </row>
    <row r="112" spans="2:24" s="159" customFormat="1">
      <c r="B112" s="718" t="s">
        <v>312</v>
      </c>
      <c r="C112" s="147"/>
      <c r="D112" s="147"/>
      <c r="E112" s="162"/>
      <c r="F112" s="162"/>
      <c r="G112" s="163"/>
      <c r="K112" s="1044" t="s">
        <v>22</v>
      </c>
      <c r="L112" s="1038" t="s">
        <v>3225</v>
      </c>
      <c r="M112" s="1038" t="s">
        <v>3221</v>
      </c>
      <c r="V112" s="1044" t="s">
        <v>22</v>
      </c>
      <c r="W112" s="1038" t="s">
        <v>3225</v>
      </c>
      <c r="X112" s="1038" t="s">
        <v>3221</v>
      </c>
    </row>
    <row r="113" spans="1:26" s="159" customFormat="1">
      <c r="B113" s="1044" t="s">
        <v>22</v>
      </c>
      <c r="C113" s="1038" t="s">
        <v>3225</v>
      </c>
      <c r="D113" s="1038" t="s">
        <v>3221</v>
      </c>
      <c r="E113" s="162"/>
      <c r="F113" s="162"/>
      <c r="G113" s="163"/>
      <c r="K113" s="1041" t="s">
        <v>337</v>
      </c>
      <c r="L113" s="1043">
        <v>0.14638213329075975</v>
      </c>
      <c r="M113" s="1043">
        <v>0.85361786670924023</v>
      </c>
      <c r="V113" s="1041" t="s">
        <v>735</v>
      </c>
      <c r="W113" s="1043">
        <v>1</v>
      </c>
      <c r="X113" s="1043">
        <v>0</v>
      </c>
    </row>
    <row r="114" spans="1:26" s="159" customFormat="1">
      <c r="B114" s="1041" t="s">
        <v>375</v>
      </c>
      <c r="C114" s="1043">
        <v>1</v>
      </c>
      <c r="D114" s="1043">
        <v>0</v>
      </c>
      <c r="E114" s="162"/>
      <c r="F114" s="162"/>
      <c r="G114" s="163"/>
      <c r="K114" s="1041" t="s">
        <v>375</v>
      </c>
      <c r="L114" s="1043">
        <v>7.2442770211532892E-2</v>
      </c>
      <c r="M114" s="1043">
        <v>0.92755722978846711</v>
      </c>
      <c r="V114" s="1041" t="s">
        <v>720</v>
      </c>
      <c r="W114" s="1043">
        <v>0.96971691902567481</v>
      </c>
      <c r="X114" s="1043">
        <v>3.0283080974325194E-2</v>
      </c>
    </row>
    <row r="115" spans="1:26" s="159" customFormat="1">
      <c r="B115" s="1041" t="s">
        <v>320</v>
      </c>
      <c r="C115" s="1043">
        <v>1</v>
      </c>
      <c r="D115" s="1043">
        <v>0</v>
      </c>
      <c r="E115" s="162"/>
      <c r="F115" s="162"/>
      <c r="G115" s="163"/>
      <c r="K115" s="1041" t="s">
        <v>320</v>
      </c>
      <c r="L115" s="1043">
        <v>0.10678025440541487</v>
      </c>
      <c r="M115" s="1043">
        <v>0.89321974559458517</v>
      </c>
      <c r="V115" s="1041" t="s">
        <v>723</v>
      </c>
      <c r="W115" s="1043">
        <v>1</v>
      </c>
      <c r="X115" s="1043">
        <v>0</v>
      </c>
    </row>
    <row r="116" spans="1:26" s="159" customFormat="1">
      <c r="B116" s="1041" t="s">
        <v>417</v>
      </c>
      <c r="C116" s="1043">
        <v>1</v>
      </c>
      <c r="D116" s="1043">
        <v>0</v>
      </c>
      <c r="E116" s="162"/>
      <c r="F116" s="162"/>
      <c r="G116" s="163"/>
      <c r="K116" s="1041" t="s">
        <v>323</v>
      </c>
      <c r="L116" s="1043">
        <v>0.16832844574780059</v>
      </c>
      <c r="M116" s="1043">
        <v>0.83167155425219941</v>
      </c>
      <c r="V116" s="1041" t="s">
        <v>726</v>
      </c>
      <c r="W116" s="1043">
        <v>0.38143036386449186</v>
      </c>
      <c r="X116" s="1043">
        <v>0.61856963613550819</v>
      </c>
    </row>
    <row r="117" spans="1:26" s="159" customFormat="1">
      <c r="B117" s="1041" t="s">
        <v>420</v>
      </c>
      <c r="C117" s="1043">
        <v>0.80307375212832688</v>
      </c>
      <c r="D117" s="1043">
        <v>0.19692624787167312</v>
      </c>
      <c r="E117" s="162"/>
      <c r="F117" s="162"/>
      <c r="G117" s="163"/>
      <c r="K117" s="1041" t="s">
        <v>330</v>
      </c>
      <c r="L117" s="1043">
        <v>0</v>
      </c>
      <c r="M117" s="1043">
        <v>1</v>
      </c>
      <c r="V117" s="1041" t="s">
        <v>717</v>
      </c>
      <c r="W117" s="1043">
        <v>0.93364928909952605</v>
      </c>
      <c r="X117" s="1043">
        <v>6.6350710900473953E-2</v>
      </c>
    </row>
    <row r="118" spans="1:26" s="159" customFormat="1">
      <c r="B118" s="1041" t="s">
        <v>313</v>
      </c>
      <c r="C118" s="1043">
        <v>0.92375859600407839</v>
      </c>
      <c r="D118" s="1043">
        <v>7.6241403995921608E-2</v>
      </c>
      <c r="E118" s="162"/>
      <c r="F118" s="162"/>
      <c r="G118" s="163"/>
      <c r="K118" s="1041" t="s">
        <v>417</v>
      </c>
      <c r="L118" s="1043">
        <v>0</v>
      </c>
      <c r="M118" s="1043">
        <v>1</v>
      </c>
      <c r="V118" s="1041" t="s">
        <v>737</v>
      </c>
      <c r="W118" s="1043">
        <v>2.824858757062147E-4</v>
      </c>
      <c r="X118" s="1043">
        <v>0.99971751412429377</v>
      </c>
    </row>
    <row r="119" spans="1:26" s="159" customFormat="1" ht="15.75">
      <c r="B119"/>
      <c r="C119"/>
      <c r="D119" s="161"/>
      <c r="E119" s="162"/>
      <c r="F119" s="162"/>
      <c r="G119" s="163"/>
      <c r="K119" s="1041" t="s">
        <v>420</v>
      </c>
      <c r="L119" s="1043">
        <v>0.28622209056911169</v>
      </c>
      <c r="M119" s="1043">
        <v>0.71377790943088826</v>
      </c>
      <c r="T119"/>
      <c r="U119"/>
      <c r="V119"/>
      <c r="W119"/>
      <c r="X119"/>
      <c r="Y119"/>
    </row>
    <row r="120" spans="1:26" s="159" customFormat="1" ht="15.75">
      <c r="B120"/>
      <c r="C120"/>
      <c r="D120" s="161"/>
      <c r="E120" s="162"/>
      <c r="F120" s="162"/>
      <c r="G120" s="163"/>
      <c r="K120" s="1041" t="s">
        <v>313</v>
      </c>
      <c r="L120" s="1043">
        <v>0.16339209120845671</v>
      </c>
      <c r="M120" s="1043">
        <v>0.83660790879154323</v>
      </c>
      <c r="T120"/>
      <c r="U120"/>
      <c r="V120"/>
    </row>
    <row r="121" spans="1:26" s="159" customFormat="1" ht="15.75">
      <c r="B121"/>
      <c r="C121"/>
      <c r="D121" s="161"/>
      <c r="E121" s="162"/>
      <c r="F121" s="162"/>
      <c r="G121" s="163"/>
      <c r="K121"/>
      <c r="L121"/>
      <c r="M121"/>
      <c r="T121"/>
      <c r="U121"/>
      <c r="V121"/>
    </row>
    <row r="122" spans="1:26" s="159" customFormat="1" ht="15.75">
      <c r="B122"/>
      <c r="C122"/>
      <c r="D122" s="161"/>
      <c r="E122" s="162"/>
      <c r="F122" s="162"/>
      <c r="G122" s="163"/>
      <c r="K122"/>
      <c r="L122"/>
      <c r="M122"/>
      <c r="T122"/>
      <c r="U122"/>
      <c r="V122"/>
    </row>
    <row r="123" spans="1:26" s="159" customFormat="1" ht="15.75">
      <c r="B123" s="160"/>
      <c r="C123" s="161"/>
      <c r="D123" s="161"/>
      <c r="E123" s="162"/>
      <c r="F123" s="162"/>
      <c r="G123" s="163"/>
      <c r="K123"/>
      <c r="L123"/>
      <c r="M123"/>
      <c r="T123"/>
      <c r="U123"/>
    </row>
    <row r="124" spans="1:26" s="159" customFormat="1" ht="15.75">
      <c r="B124" s="160"/>
      <c r="C124" s="161"/>
      <c r="D124" s="161"/>
      <c r="E124" s="162"/>
      <c r="F124" s="162"/>
      <c r="G124" s="163"/>
      <c r="T124"/>
      <c r="U124"/>
    </row>
    <row r="125" spans="1:26" s="176" customFormat="1" ht="18.75">
      <c r="A125" s="138" t="s">
        <v>2057</v>
      </c>
      <c r="B125" s="138"/>
      <c r="C125" s="173"/>
      <c r="D125" s="174"/>
      <c r="E125" s="174"/>
      <c r="F125" s="174"/>
      <c r="G125" s="175"/>
      <c r="H125" s="138"/>
      <c r="I125" s="138"/>
      <c r="J125" s="138"/>
      <c r="K125" s="138"/>
      <c r="L125" s="138"/>
      <c r="M125" s="138"/>
      <c r="N125" s="138"/>
      <c r="O125" s="138"/>
      <c r="P125" s="138"/>
      <c r="Q125" s="138"/>
      <c r="R125" s="138"/>
      <c r="S125" s="138"/>
      <c r="T125" s="138"/>
      <c r="U125" s="138"/>
      <c r="V125" s="138"/>
      <c r="W125" s="138"/>
      <c r="X125" s="138"/>
      <c r="Y125" s="138"/>
      <c r="Z125" s="138"/>
    </row>
    <row r="126" spans="1:26">
      <c r="C126" s="142"/>
      <c r="D126" s="143"/>
      <c r="E126" s="143"/>
      <c r="F126" s="143"/>
      <c r="G126" s="144"/>
    </row>
    <row r="127" spans="1:26" ht="15.75">
      <c r="F127" s="143"/>
      <c r="G127" s="144"/>
      <c r="K127"/>
      <c r="L127"/>
    </row>
    <row r="128" spans="1:26">
      <c r="C128" s="1037" t="s">
        <v>20</v>
      </c>
      <c r="D128" s="1038" t="s">
        <v>2525</v>
      </c>
      <c r="E128" s="143"/>
      <c r="K128" s="1037" t="s">
        <v>20</v>
      </c>
      <c r="L128" s="1038" t="s">
        <v>2525</v>
      </c>
      <c r="S128" s="1037" t="s">
        <v>20</v>
      </c>
      <c r="T128" s="1038" t="s">
        <v>2525</v>
      </c>
    </row>
    <row r="129" spans="1:30" ht="30">
      <c r="C129" s="1039" t="s">
        <v>22</v>
      </c>
      <c r="D129" s="1038" t="s">
        <v>39</v>
      </c>
      <c r="K129" s="1058" t="s">
        <v>22</v>
      </c>
      <c r="L129" s="1038" t="s">
        <v>1668</v>
      </c>
      <c r="S129" s="1058" t="s">
        <v>22</v>
      </c>
      <c r="T129" s="1058" t="s">
        <v>716</v>
      </c>
    </row>
    <row r="130" spans="1:30">
      <c r="C130" s="1037" t="s">
        <v>35</v>
      </c>
      <c r="D130" s="1038" t="s">
        <v>35</v>
      </c>
      <c r="K130" s="1037" t="s">
        <v>35</v>
      </c>
      <c r="L130" s="1038" t="s">
        <v>35</v>
      </c>
      <c r="S130" s="1037" t="s">
        <v>35</v>
      </c>
      <c r="T130" s="1038" t="s">
        <v>35</v>
      </c>
    </row>
    <row r="131" spans="1:30" s="145" customFormat="1">
      <c r="C131" s="140"/>
      <c r="D131" s="140"/>
      <c r="E131" s="140"/>
      <c r="F131" s="147"/>
      <c r="G131" s="147"/>
      <c r="H131" s="140"/>
      <c r="I131" s="140"/>
      <c r="K131" s="140"/>
      <c r="L131" s="140"/>
      <c r="M131" s="140"/>
      <c r="S131" s="140"/>
      <c r="T131" s="140"/>
      <c r="U131" s="140"/>
      <c r="V131" s="140"/>
      <c r="W131" s="140"/>
      <c r="Y131" s="140"/>
      <c r="AC131" s="140"/>
      <c r="AD131" s="140"/>
    </row>
    <row r="132" spans="1:30" ht="15.75">
      <c r="C132" s="1038"/>
      <c r="D132" s="1037" t="s">
        <v>1926</v>
      </c>
      <c r="E132" s="1038"/>
      <c r="F132"/>
      <c r="G132"/>
      <c r="K132" s="1038"/>
      <c r="L132" s="1037" t="s">
        <v>1926</v>
      </c>
      <c r="M132" s="1038"/>
      <c r="Q132" s="147"/>
      <c r="S132" s="1038"/>
      <c r="T132" s="1037" t="s">
        <v>1926</v>
      </c>
      <c r="U132"/>
    </row>
    <row r="133" spans="1:30" ht="15.75">
      <c r="C133" s="1037" t="s">
        <v>1927</v>
      </c>
      <c r="D133" s="1038" t="s">
        <v>1974</v>
      </c>
      <c r="E133" s="1038" t="s">
        <v>1975</v>
      </c>
      <c r="F133"/>
      <c r="G133"/>
      <c r="K133" s="1037" t="s">
        <v>1927</v>
      </c>
      <c r="L133" s="1038" t="s">
        <v>1976</v>
      </c>
      <c r="M133" s="1038" t="s">
        <v>1977</v>
      </c>
      <c r="Q133" s="147"/>
      <c r="S133" s="1037" t="s">
        <v>1927</v>
      </c>
      <c r="T133" s="1038" t="s">
        <v>1974</v>
      </c>
      <c r="U133"/>
    </row>
    <row r="134" spans="1:30" ht="15.75">
      <c r="C134" s="1041" t="s">
        <v>1972</v>
      </c>
      <c r="D134" s="1048">
        <v>2378</v>
      </c>
      <c r="E134" s="1048">
        <v>2597</v>
      </c>
      <c r="F134"/>
      <c r="G134"/>
      <c r="K134" s="1041" t="s">
        <v>1972</v>
      </c>
      <c r="L134" s="1050">
        <v>5951</v>
      </c>
      <c r="M134" s="1050">
        <v>35284</v>
      </c>
      <c r="Q134" s="147"/>
      <c r="S134" s="1041" t="s">
        <v>1972</v>
      </c>
      <c r="T134" s="1048">
        <v>747</v>
      </c>
      <c r="U134"/>
    </row>
    <row r="135" spans="1:30" ht="15.75">
      <c r="C135" s="1041" t="s">
        <v>3031</v>
      </c>
      <c r="D135" s="1048">
        <v>108</v>
      </c>
      <c r="E135" s="1048">
        <v>52</v>
      </c>
      <c r="F135"/>
      <c r="G135"/>
      <c r="K135" s="1041" t="s">
        <v>3031</v>
      </c>
      <c r="L135" s="1050">
        <v>2546</v>
      </c>
      <c r="M135" s="1050">
        <v>0</v>
      </c>
      <c r="Q135" s="147"/>
      <c r="S135" s="1041" t="s">
        <v>3031</v>
      </c>
      <c r="T135" s="1048">
        <v>57</v>
      </c>
      <c r="U135"/>
    </row>
    <row r="136" spans="1:30" ht="15.75">
      <c r="C136" s="1041" t="s">
        <v>3032</v>
      </c>
      <c r="D136" s="1048">
        <v>594</v>
      </c>
      <c r="E136" s="1048">
        <v>7</v>
      </c>
      <c r="F136"/>
      <c r="G136"/>
      <c r="K136" s="1041" t="s">
        <v>3032</v>
      </c>
      <c r="L136" s="1050">
        <v>2977</v>
      </c>
      <c r="M136" s="1050">
        <v>0</v>
      </c>
      <c r="Q136" s="147"/>
      <c r="S136" s="1041" t="s">
        <v>3032</v>
      </c>
      <c r="T136" s="1048">
        <v>10</v>
      </c>
      <c r="U136"/>
    </row>
    <row r="137" spans="1:30" ht="15.75">
      <c r="C137" s="1041" t="s">
        <v>3033</v>
      </c>
      <c r="D137" s="1048">
        <v>755</v>
      </c>
      <c r="E137" s="1048">
        <v>800</v>
      </c>
      <c r="F137"/>
      <c r="G137"/>
      <c r="K137" s="1041" t="s">
        <v>3033</v>
      </c>
      <c r="L137" s="1050">
        <v>4097</v>
      </c>
      <c r="M137" s="1050">
        <v>1593</v>
      </c>
      <c r="Q137" s="147"/>
      <c r="S137" s="1041" t="s">
        <v>3033</v>
      </c>
      <c r="T137" s="1048"/>
      <c r="U137"/>
    </row>
    <row r="138" spans="1:30" ht="15.75">
      <c r="B138" s="147"/>
      <c r="C138" s="1041" t="s">
        <v>3034</v>
      </c>
      <c r="D138" s="1048">
        <v>1985</v>
      </c>
      <c r="E138" s="1048">
        <v>2379</v>
      </c>
      <c r="F138"/>
      <c r="G138"/>
      <c r="K138" s="1041" t="s">
        <v>3034</v>
      </c>
      <c r="L138" s="1050">
        <v>4556</v>
      </c>
      <c r="M138" s="1050">
        <v>2102</v>
      </c>
      <c r="Q138" s="147"/>
      <c r="S138" s="1041" t="s">
        <v>3034</v>
      </c>
      <c r="T138" s="1048">
        <v>915</v>
      </c>
      <c r="U138"/>
    </row>
    <row r="139" spans="1:30" ht="15.75">
      <c r="B139" s="147"/>
      <c r="C139" s="1041" t="s">
        <v>3035</v>
      </c>
      <c r="D139" s="1048">
        <v>2147</v>
      </c>
      <c r="E139" s="1048">
        <v>2724</v>
      </c>
      <c r="F139"/>
      <c r="G139"/>
      <c r="K139" s="1041" t="s">
        <v>3035</v>
      </c>
      <c r="L139" s="1050">
        <v>5955</v>
      </c>
      <c r="M139" s="1050">
        <v>2102</v>
      </c>
      <c r="Q139" s="147"/>
      <c r="S139" s="1041" t="s">
        <v>3035</v>
      </c>
      <c r="T139" s="1048">
        <v>929</v>
      </c>
      <c r="U139"/>
    </row>
    <row r="140" spans="1:30" ht="15.75">
      <c r="B140" s="147"/>
      <c r="C140"/>
      <c r="D140"/>
      <c r="E140"/>
      <c r="F140"/>
      <c r="G140"/>
      <c r="J140" s="142"/>
      <c r="K140"/>
      <c r="L140"/>
      <c r="M140"/>
      <c r="Q140" s="147"/>
      <c r="R140" s="147"/>
      <c r="S140"/>
      <c r="T140"/>
      <c r="U140"/>
    </row>
    <row r="141" spans="1:30" ht="15.75" thickBot="1">
      <c r="B141" s="147"/>
      <c r="C141" s="142"/>
      <c r="D141" s="144"/>
      <c r="E141" s="144"/>
      <c r="F141" s="147"/>
      <c r="G141" s="147"/>
      <c r="S141" s="147"/>
    </row>
    <row r="142" spans="1:30">
      <c r="B142" s="178" t="s">
        <v>39</v>
      </c>
      <c r="C142" s="180" t="s">
        <v>1974</v>
      </c>
      <c r="D142" s="181" t="s">
        <v>1975</v>
      </c>
      <c r="F142" s="147"/>
      <c r="G142" s="147"/>
      <c r="K142" s="179" t="s">
        <v>312</v>
      </c>
      <c r="L142" s="180" t="s">
        <v>1976</v>
      </c>
      <c r="M142" s="181" t="s">
        <v>1977</v>
      </c>
      <c r="S142" s="188" t="s">
        <v>716</v>
      </c>
      <c r="T142" s="180" t="s">
        <v>1974</v>
      </c>
      <c r="U142" s="181" t="s">
        <v>1975</v>
      </c>
    </row>
    <row r="143" spans="1:30">
      <c r="A143" s="752" t="s">
        <v>3038</v>
      </c>
      <c r="B143" s="182" t="s">
        <v>1679</v>
      </c>
      <c r="C143" s="183">
        <f>GETPIVOTDATA("Sum of # Existing functional latrines",$C$132,"Ethnic or GCA/NGCA","# in GCA (20:1)")</f>
        <v>1985</v>
      </c>
      <c r="D143" s="184">
        <f>GETPIVOTDATA("Sum of # Existing functional latrines",$C$132,"Ethnic or GCA/NGCA","# in NGCA (20:1)")</f>
        <v>2379</v>
      </c>
      <c r="F143" s="147" t="s">
        <v>1994</v>
      </c>
      <c r="G143" s="147">
        <f>SUM(C143:D143)</f>
        <v>4364</v>
      </c>
      <c r="K143" s="182" t="s">
        <v>1679</v>
      </c>
      <c r="L143" s="183">
        <f>GETPIVOTDATA("Sum of # Existing functional latrines",$K$132,"Location Type","# in active camps (20:1)")</f>
        <v>4556</v>
      </c>
      <c r="M143" s="184">
        <f>GETPIVOTDATA("Sum of # Existing functional latrines",$K$132,"Location Type","# in villages (6:1)")</f>
        <v>2102</v>
      </c>
      <c r="O143" s="147" t="s">
        <v>1994</v>
      </c>
      <c r="P143" s="146">
        <f>L143</f>
        <v>4556</v>
      </c>
      <c r="S143" s="182" t="s">
        <v>1679</v>
      </c>
      <c r="T143" s="183">
        <f>GETPIVOTDATA("Sum of # Existing functional latrines",$S$132,"Ethnic or GCA/NGCA","# in GCA (20:1)")</f>
        <v>915</v>
      </c>
      <c r="U143" s="184" t="e">
        <f>GETPIVOTDATA("Sum of # Existing functional latrines",$S$132,"Ethnic or GCA/NGCA","# in NGCA (20:1)")</f>
        <v>#REF!</v>
      </c>
      <c r="W143" s="147" t="s">
        <v>1994</v>
      </c>
      <c r="X143" s="146">
        <f>T143</f>
        <v>915</v>
      </c>
    </row>
    <row r="144" spans="1:30">
      <c r="A144" s="752" t="s">
        <v>3037</v>
      </c>
      <c r="B144" s="182" t="s">
        <v>1989</v>
      </c>
      <c r="C144" s="183">
        <f>GETPIVOTDATA("# latrines (target)",$C$132,"Ethnic or GCA/NGCA","# in GCA (20:1)")-GETPIVOTDATA("Sum of # Existing functional latrines",$C$132,"Ethnic or GCA/NGCA","# in GCA (20:1)")</f>
        <v>393</v>
      </c>
      <c r="D144" s="184">
        <f>IF(GETPIVOTDATA("# latrines (target)",$C$132,"Ethnic or GCA/NGCA","# in NGCA (20:1)")-GETPIVOTDATA("Sum of # Existing functional latrines",$C$132,"Ethnic or GCA/NGCA","# in NGCA (20:1)")&lt;0,0,GETPIVOTDATA("# latrines (target)",$C$132,"Ethnic or GCA/NGCA","# in NGCA (20:1)")-GETPIVOTDATA("Sum of # Existing functional latrines",$C$132,"Ethnic or GCA/NGCA","# in NGCA (20:1)"))</f>
        <v>218</v>
      </c>
      <c r="F144" s="147" t="s">
        <v>3036</v>
      </c>
      <c r="G144" s="165">
        <f>SUM(C147:D147)</f>
        <v>160</v>
      </c>
      <c r="K144" s="182" t="s">
        <v>1989</v>
      </c>
      <c r="L144" s="183">
        <f>GETPIVOTDATA("# latrines (target)",$K$132,"Location Type","# in active camps (20:1)")-GETPIVOTDATA("Sum of # Existing functional latrines",$K$132,"Location Type","# in active camps (20:1)")</f>
        <v>1395</v>
      </c>
      <c r="M144" s="184">
        <f>GETPIVOTDATA("# latrines (target)",$K$132,"Location Type","# in villages (6:1)")-GETPIVOTDATA("Sum of # Existing functional latrines",$K$132,"Location Type","# in villages (6:1)")</f>
        <v>33182</v>
      </c>
      <c r="O144" s="147" t="s">
        <v>3036</v>
      </c>
      <c r="P144" s="146">
        <f>L147</f>
        <v>2546</v>
      </c>
      <c r="S144" s="182" t="s">
        <v>1989</v>
      </c>
      <c r="T144" s="183">
        <f>GETPIVOTDATA("  Total # of latrine",$S$132,"Ethnic or GCA/NGCA","# in GCA (20:1)")-GETPIVOTDATA("Sum of # Existing functional latrines",$S$132,"Ethnic or GCA/NGCA","# in GCA (20:1)")</f>
        <v>14</v>
      </c>
      <c r="U144" s="184">
        <v>0</v>
      </c>
      <c r="W144" s="147" t="s">
        <v>3039</v>
      </c>
      <c r="X144" s="146">
        <f>T147</f>
        <v>57</v>
      </c>
    </row>
    <row r="145" spans="2:24" ht="30">
      <c r="B145" s="182" t="s">
        <v>1990</v>
      </c>
      <c r="C145" s="183">
        <f>GETPIVOTDATA("# handed over",$C$132,"Ethnic or GCA/NGCA","# in GCA (20:1)")</f>
        <v>755</v>
      </c>
      <c r="D145" s="184">
        <f>GETPIVOTDATA("# handed over",$C$132,"Ethnic or GCA/NGCA","# in NGCA (20:1)")</f>
        <v>800</v>
      </c>
      <c r="F145" s="147" t="s">
        <v>1995</v>
      </c>
      <c r="G145" s="147">
        <f>SUM(C148:D148)</f>
        <v>601</v>
      </c>
      <c r="K145" s="182" t="s">
        <v>1990</v>
      </c>
      <c r="L145" s="183">
        <f>GETPIVOTDATA("# handed over",$K$132,"Location Type","# in active camps (20:1)")</f>
        <v>4097</v>
      </c>
      <c r="M145" s="184">
        <f>GETPIVOTDATA("# handed over",$K$132,"Location Type","# in villages (6:1)")</f>
        <v>1593</v>
      </c>
      <c r="O145" s="147" t="s">
        <v>1995</v>
      </c>
      <c r="P145" s="146">
        <f>L148</f>
        <v>2977</v>
      </c>
      <c r="S145" s="182" t="s">
        <v>1990</v>
      </c>
      <c r="T145" s="183">
        <f>GETPIVOTDATA("# handed over",$S$132,"Ethnic or GCA/NGCA","# in GCA (20:1)")</f>
        <v>0</v>
      </c>
      <c r="U145" s="184" t="e">
        <f>GETPIVOTDATA("# handed over",$S$132,"Ethnic or GCA/NGCA","# in NGCA (20:1)")</f>
        <v>#REF!</v>
      </c>
      <c r="W145" s="147" t="s">
        <v>1995</v>
      </c>
      <c r="X145" s="146">
        <f>T148</f>
        <v>10</v>
      </c>
    </row>
    <row r="146" spans="2:24" ht="30">
      <c r="B146" s="182" t="s">
        <v>1991</v>
      </c>
      <c r="C146" s="183">
        <f>GETPIVOTDATA("# latrines (target)",$C$132,"Ethnic or GCA/NGCA","# in GCA (20:1)")-GETPIVOTDATA("# handed over",$C$132,"Ethnic or GCA/NGCA","# in GCA (20:1)")</f>
        <v>1623</v>
      </c>
      <c r="D146" s="184">
        <f>D143-D145</f>
        <v>1579</v>
      </c>
      <c r="G146" s="147"/>
      <c r="H146" s="147"/>
      <c r="K146" s="182" t="s">
        <v>1991</v>
      </c>
      <c r="L146" s="183">
        <f>GETPIVOTDATA("# latrines (target)",$K$132,"Location Type","# in active camps (20:1)")-GETPIVOTDATA("# handed over",$K$132,"Location Type","# in active camps (20:1)")</f>
        <v>1854</v>
      </c>
      <c r="M146" s="184">
        <f>GETPIVOTDATA("# latrines (target)",$K$132,"Location Type","# in villages (6:1)")-GETPIVOTDATA("# handed over",$K$132,"Location Type","# in villages (6:1)")</f>
        <v>33691</v>
      </c>
      <c r="S146" s="182" t="s">
        <v>1991</v>
      </c>
      <c r="T146" s="183">
        <f>GETPIVOTDATA("  Total # of latrine",$S$132,"Ethnic or GCA/NGCA","# in GCA (20:1)")-GETPIVOTDATA("# handed over",$S$132,"Ethnic or GCA/NGCA","# in GCA (20:1)")</f>
        <v>929</v>
      </c>
      <c r="U146" s="184" t="e">
        <f>GETPIVOTDATA("Sum of # Existing functional latrines",$S$132,"Ethnic or GCA/NGCA","# in NGCA (20:1)")-GETPIVOTDATA("# handed over",$S$132,"Ethnic or GCA/NGCA","# in NGCA (20:1)")</f>
        <v>#REF!</v>
      </c>
    </row>
    <row r="147" spans="2:24" ht="60">
      <c r="B147" s="182" t="s">
        <v>3031</v>
      </c>
      <c r="C147" s="183">
        <f>GETPIVOTDATA("# Operation &amp; maintenance of latrines",$C$132,"Ethnic or GCA/NGCA","# in GCA (20:1)")</f>
        <v>108</v>
      </c>
      <c r="D147" s="184">
        <f>GETPIVOTDATA("# Operation &amp; maintenance of latrines",$C$132,"Ethnic or GCA/NGCA","# in NGCA (20:1)")</f>
        <v>52</v>
      </c>
      <c r="G147" s="147"/>
      <c r="K147" s="182" t="s">
        <v>3039</v>
      </c>
      <c r="L147" s="183">
        <f>GETPIVOTDATA("# Operation &amp; maintenance of latrines",$K$132,"Location Type","# in active camps (20:1)")</f>
        <v>2546</v>
      </c>
      <c r="M147" s="184">
        <f>GETPIVOTDATA("# Operation &amp; maintenance of latrines",$K$132,"Location Type","# in villages (6:1)")</f>
        <v>0</v>
      </c>
      <c r="S147" s="182" t="s">
        <v>3039</v>
      </c>
      <c r="T147" s="183">
        <f>GETPIVOTDATA("# Operation &amp; maintenance of latrines",$S$132,"Ethnic or GCA/NGCA","# in GCA (20:1)")</f>
        <v>57</v>
      </c>
      <c r="U147" s="184" t="e">
        <f>GETPIVOTDATA("#latrines dysfunctional",$S$132,"Ethnic or GCA/NGCA","# in NGCA (20:1)")</f>
        <v>#REF!</v>
      </c>
    </row>
    <row r="148" spans="2:24" ht="30">
      <c r="B148" s="182" t="s">
        <v>1973</v>
      </c>
      <c r="C148" s="183">
        <f>GETPIVOTDATA("# latrines desludged",$C$132,"Ethnic or GCA/NGCA","# in GCA (20:1)")</f>
        <v>594</v>
      </c>
      <c r="D148" s="184">
        <f>GETPIVOTDATA("# latrines desludged",$C$132,"Ethnic or GCA/NGCA","# in NGCA (20:1)")</f>
        <v>7</v>
      </c>
      <c r="G148" s="147"/>
      <c r="K148" s="182" t="s">
        <v>1973</v>
      </c>
      <c r="L148" s="183">
        <f>GETPIVOTDATA("# latrines desludged",$K$132,"Location Type","# in active camps (20:1)")</f>
        <v>2977</v>
      </c>
      <c r="M148" s="184">
        <f>GETPIVOTDATA("# latrines desludged",$K$132,"Location Type","# in villages (6:1)")</f>
        <v>0</v>
      </c>
      <c r="S148" s="182" t="s">
        <v>1973</v>
      </c>
      <c r="T148" s="183">
        <f>GETPIVOTDATA("# Latrines desludged",$S$132,"Ethnic or GCA/NGCA","# in GCA (20:1)")</f>
        <v>10</v>
      </c>
      <c r="U148" s="184" t="e">
        <f>GETPIVOTDATA("# latrines desludged.",$S$132,"Ethnic or GCA/NGCA","# in NGCA (20:1)")</f>
        <v>#REF!</v>
      </c>
    </row>
    <row r="149" spans="2:24" ht="15.75" thickBot="1">
      <c r="B149" s="185" t="s">
        <v>1972</v>
      </c>
      <c r="C149" s="186">
        <f>GETPIVOTDATA("# latrines (target)",$C$132,"Ethnic or GCA/NGCA","# in GCA (20:1)")</f>
        <v>2378</v>
      </c>
      <c r="D149" s="187">
        <f>GETPIVOTDATA("# latrines (target)",$C$132,"Ethnic or GCA/NGCA","# in NGCA (20:1)")</f>
        <v>2597</v>
      </c>
      <c r="G149" s="147"/>
      <c r="K149" s="185" t="s">
        <v>1972</v>
      </c>
      <c r="L149" s="754">
        <f>GETPIVOTDATA("# latrines (target)",$K$132,"Location Type","# in active camps (20:1)")</f>
        <v>5951</v>
      </c>
      <c r="M149" s="755">
        <f>GETPIVOTDATA("# latrines (target)",$K$132,"Location Type","# in villages (6:1)")</f>
        <v>35284</v>
      </c>
      <c r="Q149" s="147"/>
      <c r="R149" s="147"/>
      <c r="S149" s="185" t="s">
        <v>1972</v>
      </c>
      <c r="T149" s="186">
        <f>GETPIVOTDATA("# latrines (target)",$S$132,"Ethnic or GCA/NGCA","# in GCA (20:1)")</f>
        <v>747</v>
      </c>
      <c r="U149" s="187" t="e">
        <f>GETPIVOTDATA("# latrines (target)",$S$132,"Ethnic or GCA/NGCA","# in NGCA (20:1)")</f>
        <v>#REF!</v>
      </c>
    </row>
    <row r="150" spans="2:24">
      <c r="B150" s="147"/>
      <c r="C150" s="189"/>
      <c r="D150" s="190"/>
      <c r="E150" s="190"/>
      <c r="G150" s="147"/>
      <c r="K150" s="189"/>
      <c r="L150" s="190"/>
      <c r="M150" s="190"/>
      <c r="Q150" s="147"/>
      <c r="R150" s="147"/>
      <c r="S150" s="189"/>
      <c r="T150" s="190"/>
      <c r="U150" s="190"/>
    </row>
    <row r="151" spans="2:24">
      <c r="B151" s="147"/>
      <c r="C151" s="189"/>
      <c r="D151" s="190"/>
      <c r="E151" s="190"/>
      <c r="G151" s="147"/>
      <c r="K151" s="189"/>
      <c r="L151" s="190"/>
      <c r="M151" s="190"/>
      <c r="Q151" s="147"/>
      <c r="R151" s="147"/>
      <c r="S151" s="189"/>
      <c r="T151" s="190"/>
      <c r="U151" s="190"/>
    </row>
    <row r="152" spans="2:24">
      <c r="B152" s="147"/>
      <c r="C152" s="189"/>
      <c r="D152" s="190"/>
      <c r="E152" s="190"/>
      <c r="G152" s="147"/>
      <c r="K152" s="189"/>
      <c r="L152" s="190"/>
      <c r="M152" s="190"/>
      <c r="Q152" s="147"/>
      <c r="R152" s="147"/>
      <c r="S152" s="189"/>
      <c r="T152" s="190"/>
      <c r="U152" s="190"/>
    </row>
    <row r="153" spans="2:24">
      <c r="B153" s="147"/>
      <c r="C153" s="142"/>
      <c r="D153" s="144"/>
      <c r="E153" s="144"/>
      <c r="F153" s="147"/>
      <c r="G153" s="147"/>
      <c r="J153" s="147"/>
      <c r="K153" s="147"/>
      <c r="L153" s="147"/>
      <c r="Q153" s="147"/>
      <c r="R153" s="147"/>
      <c r="S153" s="147"/>
    </row>
    <row r="154" spans="2:24">
      <c r="B154" s="147"/>
      <c r="C154" s="142"/>
      <c r="D154" s="144"/>
      <c r="E154" s="144"/>
      <c r="F154" s="147"/>
      <c r="G154" s="147"/>
      <c r="J154" s="147"/>
      <c r="K154" s="147"/>
      <c r="L154" s="147"/>
      <c r="Q154" s="147"/>
      <c r="R154" s="147"/>
      <c r="S154" s="147"/>
    </row>
    <row r="155" spans="2:24">
      <c r="B155" s="147"/>
      <c r="C155" s="142"/>
      <c r="D155" s="144"/>
      <c r="E155" s="144"/>
      <c r="F155" s="147"/>
      <c r="G155" s="147"/>
      <c r="J155" s="147"/>
      <c r="K155" s="147"/>
      <c r="L155" s="147"/>
      <c r="Q155" s="147"/>
      <c r="R155" s="147"/>
      <c r="S155" s="147"/>
    </row>
    <row r="156" spans="2:24">
      <c r="B156" s="147"/>
      <c r="C156" s="142"/>
      <c r="D156" s="144"/>
      <c r="E156" s="144"/>
      <c r="F156" s="147"/>
      <c r="G156" s="147"/>
      <c r="J156" s="147"/>
      <c r="K156" s="147"/>
      <c r="L156" s="147"/>
      <c r="Q156" s="147"/>
      <c r="R156" s="147"/>
      <c r="S156" s="147"/>
    </row>
    <row r="157" spans="2:24">
      <c r="B157" s="147"/>
      <c r="C157" s="142"/>
      <c r="D157" s="144"/>
      <c r="E157" s="144"/>
      <c r="F157" s="147"/>
      <c r="G157" s="147"/>
      <c r="J157" s="147"/>
      <c r="K157" s="147"/>
      <c r="L157" s="147"/>
      <c r="Q157" s="147"/>
      <c r="R157" s="147"/>
      <c r="S157" s="147"/>
    </row>
    <row r="158" spans="2:24">
      <c r="B158" s="147"/>
      <c r="C158" s="142"/>
      <c r="D158" s="144"/>
      <c r="E158" s="144"/>
      <c r="F158" s="147"/>
      <c r="G158" s="147"/>
      <c r="J158" s="147"/>
      <c r="K158" s="147"/>
      <c r="L158" s="147"/>
      <c r="Q158" s="147"/>
      <c r="R158" s="147"/>
      <c r="S158" s="147"/>
    </row>
    <row r="159" spans="2:24">
      <c r="B159" s="147"/>
      <c r="C159" s="142"/>
      <c r="D159" s="144"/>
      <c r="E159" s="144"/>
      <c r="F159" s="147"/>
      <c r="G159" s="147"/>
      <c r="J159" s="147"/>
      <c r="K159" s="147"/>
      <c r="L159" s="147"/>
      <c r="Q159" s="147"/>
      <c r="R159" s="147"/>
      <c r="S159" s="147"/>
    </row>
    <row r="160" spans="2:24">
      <c r="B160" s="147"/>
      <c r="C160" s="142"/>
      <c r="D160" s="144"/>
      <c r="E160" s="144"/>
      <c r="F160" s="147"/>
      <c r="G160" s="147"/>
      <c r="J160" s="147"/>
      <c r="K160" s="147"/>
      <c r="L160" s="147"/>
      <c r="Q160" s="147"/>
      <c r="R160" s="147"/>
      <c r="S160" s="147"/>
    </row>
    <row r="161" spans="2:19">
      <c r="B161" s="1037" t="s">
        <v>20</v>
      </c>
      <c r="C161" s="1038" t="s">
        <v>2525</v>
      </c>
      <c r="D161" s="144"/>
      <c r="E161" s="144"/>
      <c r="F161" s="147"/>
      <c r="G161" s="147"/>
      <c r="J161" s="147"/>
      <c r="K161" s="147"/>
      <c r="L161" s="147"/>
      <c r="Q161" s="147"/>
      <c r="R161" s="147"/>
      <c r="S161" s="147"/>
    </row>
    <row r="162" spans="2:19">
      <c r="B162" s="1037" t="s">
        <v>35</v>
      </c>
      <c r="C162" s="1038" t="s">
        <v>35</v>
      </c>
      <c r="D162" s="144"/>
      <c r="E162" s="144"/>
      <c r="F162" s="147"/>
      <c r="G162" s="147"/>
      <c r="J162" s="147"/>
      <c r="K162" s="147"/>
      <c r="L162" s="147"/>
      <c r="Q162" s="147"/>
      <c r="R162" s="147"/>
      <c r="S162" s="147"/>
    </row>
    <row r="163" spans="2:19">
      <c r="B163" s="1037" t="s">
        <v>142</v>
      </c>
      <c r="C163" s="1038" t="s">
        <v>1668</v>
      </c>
    </row>
    <row r="165" spans="2:19">
      <c r="B165" s="1037" t="s">
        <v>3040</v>
      </c>
      <c r="C165" s="1037" t="s">
        <v>1926</v>
      </c>
      <c r="D165" s="1038"/>
      <c r="E165" s="1038"/>
      <c r="F165" s="1038"/>
      <c r="G165" s="1038"/>
    </row>
    <row r="166" spans="2:19">
      <c r="B166" s="1037" t="s">
        <v>22</v>
      </c>
      <c r="C166" s="1038" t="s">
        <v>145</v>
      </c>
      <c r="D166" s="1038" t="s">
        <v>148</v>
      </c>
      <c r="E166" s="1038" t="s">
        <v>144</v>
      </c>
      <c r="F166" s="1038" t="s">
        <v>1200</v>
      </c>
      <c r="G166" s="1038" t="s">
        <v>3134</v>
      </c>
    </row>
    <row r="167" spans="2:19">
      <c r="B167" s="1041" t="s">
        <v>39</v>
      </c>
      <c r="C167" s="1048">
        <v>95</v>
      </c>
      <c r="D167" s="1048">
        <v>8</v>
      </c>
      <c r="E167" s="1048">
        <v>12</v>
      </c>
      <c r="F167" s="1048">
        <v>18</v>
      </c>
      <c r="G167" s="1048"/>
    </row>
    <row r="168" spans="2:19">
      <c r="B168" s="1041" t="s">
        <v>716</v>
      </c>
      <c r="C168" s="1048">
        <v>16</v>
      </c>
      <c r="D168" s="1048"/>
      <c r="E168" s="1048">
        <v>6</v>
      </c>
      <c r="F168" s="1048">
        <v>6</v>
      </c>
      <c r="G168" s="1048"/>
    </row>
    <row r="169" spans="2:19">
      <c r="B169" s="1041" t="s">
        <v>3014</v>
      </c>
      <c r="C169" s="1048">
        <v>17</v>
      </c>
      <c r="D169" s="1048">
        <v>7</v>
      </c>
      <c r="E169" s="1048"/>
      <c r="F169" s="1048">
        <v>1</v>
      </c>
      <c r="G169" s="1048"/>
    </row>
    <row r="170" spans="2:19">
      <c r="B170" s="147"/>
      <c r="C170" s="147"/>
      <c r="D170" s="147"/>
      <c r="E170" s="147"/>
      <c r="F170" s="147"/>
      <c r="G170" s="147"/>
      <c r="Q170" s="147"/>
      <c r="R170" s="147"/>
      <c r="S170" s="147"/>
    </row>
    <row r="171" spans="2:19">
      <c r="B171" s="191"/>
      <c r="C171" s="191" t="s">
        <v>145</v>
      </c>
      <c r="D171" s="191" t="s">
        <v>148</v>
      </c>
      <c r="E171" s="191" t="s">
        <v>1200</v>
      </c>
      <c r="F171" s="191" t="s">
        <v>194</v>
      </c>
    </row>
    <row r="172" spans="2:19">
      <c r="B172" s="192" t="s">
        <v>39</v>
      </c>
      <c r="C172" s="193">
        <f>GETPIVOTDATA("Is there constructed surface water drainage system?
",$B$165,"State","Kachin","Is there constructed surface water drainage system?
","Functional")</f>
        <v>95</v>
      </c>
      <c r="D172" s="193">
        <f>GETPIVOTDATA("Is there constructed surface water drainage system?
",$B$165,"State","Kachin","Is there constructed surface water drainage system?
","NA")</f>
        <v>8</v>
      </c>
      <c r="E172" s="193">
        <f>GETPIVOTDATA("Is there constructed surface water drainage system?
",$B$165,"State","Kachin","Is there constructed surface water drainage system?
","Not_Functional")</f>
        <v>18</v>
      </c>
      <c r="F172" s="193">
        <f>GETPIVOTDATA("Is there constructed surface water drainage system?
",$B$165,"State","Kachin","Is there constructed surface water drainage system?
","No")</f>
        <v>12</v>
      </c>
    </row>
    <row r="173" spans="2:19">
      <c r="B173" s="192" t="s">
        <v>312</v>
      </c>
      <c r="C173" s="193">
        <f>GETPIVOTDATA("Is there constructed surface water drainage system?
",$B$165,"State","Central Rakhine","Is there constructed surface water drainage system?
","Functional")</f>
        <v>17</v>
      </c>
      <c r="D173" s="193">
        <f>GETPIVOTDATA("Is there constructed surface water drainage system?
",$B$165,"State","Central Rakhine","Is there constructed surface water drainage system?
","NA")</f>
        <v>7</v>
      </c>
      <c r="E173" s="193">
        <f>GETPIVOTDATA("Is there constructed surface water drainage system?
",$B$165,"State","Central Rakhine","Is there constructed surface water drainage system?
","Not_Functional")</f>
        <v>1</v>
      </c>
      <c r="F173" s="193">
        <f>GETPIVOTDATA("Is there constructed surface water drainage system?
",$B$165,"State","Central Rakhine","Is there constructed surface water drainage system?
","No")</f>
        <v>0</v>
      </c>
    </row>
    <row r="174" spans="2:19">
      <c r="B174" s="192" t="s">
        <v>716</v>
      </c>
      <c r="C174" s="193">
        <f>GETPIVOTDATA("Is there constructed surface water drainage system?
",$B$165,"State","Shan (North)","Is there constructed surface water drainage system?
","Functional")</f>
        <v>16</v>
      </c>
      <c r="D174" s="193">
        <f>GETPIVOTDATA("Is there constructed surface water drainage system?
",$B$165,"State","Shan (North)","Is there constructed surface water drainage system?
","NA")</f>
        <v>0</v>
      </c>
      <c r="E174" s="193">
        <f>GETPIVOTDATA("Is there constructed surface water drainage system?
",$B$165,"State","Shan (North)","Is there constructed surface water drainage system?
","Not_Functional")</f>
        <v>6</v>
      </c>
      <c r="F174" s="193">
        <f>GETPIVOTDATA("Is there constructed surface water drainage system?
",$B$165,"State","Shan (North)","Is there constructed surface water drainage system?
","No")</f>
        <v>6</v>
      </c>
    </row>
    <row r="175" spans="2:19">
      <c r="B175" s="189"/>
      <c r="C175" s="190"/>
      <c r="D175" s="190"/>
      <c r="E175" s="190"/>
      <c r="F175" s="190"/>
    </row>
    <row r="176" spans="2:19">
      <c r="B176" s="189"/>
      <c r="C176" s="190"/>
      <c r="D176" s="190"/>
      <c r="E176" s="190"/>
      <c r="F176" s="190"/>
    </row>
    <row r="177" spans="2:11">
      <c r="B177" s="1037" t="s">
        <v>20</v>
      </c>
      <c r="C177" s="1038" t="s">
        <v>2525</v>
      </c>
    </row>
    <row r="178" spans="2:11">
      <c r="B178" s="1037" t="s">
        <v>35</v>
      </c>
      <c r="C178" s="1038" t="s">
        <v>35</v>
      </c>
    </row>
    <row r="179" spans="2:11">
      <c r="B179" s="1037" t="s">
        <v>142</v>
      </c>
      <c r="C179" s="1038" t="s">
        <v>1668</v>
      </c>
    </row>
    <row r="181" spans="2:11" ht="15.75">
      <c r="B181" s="1037" t="s">
        <v>3041</v>
      </c>
      <c r="C181" s="1037" t="s">
        <v>1926</v>
      </c>
      <c r="D181" s="1038"/>
      <c r="E181" s="1038"/>
      <c r="F181" s="1038"/>
      <c r="G181"/>
      <c r="H181" s="147"/>
      <c r="I181" s="147"/>
      <c r="J181" s="147"/>
      <c r="K181" s="147"/>
    </row>
    <row r="182" spans="2:11" ht="15.75">
      <c r="B182" s="1037" t="s">
        <v>22</v>
      </c>
      <c r="C182" s="1038" t="s">
        <v>148</v>
      </c>
      <c r="D182" s="1038" t="s">
        <v>144</v>
      </c>
      <c r="E182" s="1038" t="s">
        <v>43</v>
      </c>
      <c r="F182" s="1038" t="s">
        <v>3134</v>
      </c>
      <c r="G182"/>
      <c r="H182" s="147"/>
      <c r="I182" s="147"/>
      <c r="J182" s="147"/>
      <c r="K182" s="147"/>
    </row>
    <row r="183" spans="2:11" ht="15.75">
      <c r="B183" s="1041" t="s">
        <v>39</v>
      </c>
      <c r="C183" s="1048"/>
      <c r="D183" s="1048">
        <v>16</v>
      </c>
      <c r="E183" s="1048">
        <v>117</v>
      </c>
      <c r="F183" s="1048"/>
      <c r="G183"/>
      <c r="H183" s="147"/>
      <c r="I183" s="147"/>
      <c r="J183" s="147"/>
      <c r="K183" s="147"/>
    </row>
    <row r="184" spans="2:11" ht="15.75">
      <c r="B184" s="1041" t="s">
        <v>716</v>
      </c>
      <c r="C184" s="1048">
        <v>3</v>
      </c>
      <c r="D184" s="1048">
        <v>7</v>
      </c>
      <c r="E184" s="1048">
        <v>18</v>
      </c>
      <c r="F184" s="1048"/>
      <c r="G184"/>
      <c r="H184" s="147"/>
      <c r="I184" s="147"/>
      <c r="J184" s="147"/>
      <c r="K184" s="147"/>
    </row>
    <row r="185" spans="2:11" ht="15.75">
      <c r="B185" s="1041" t="s">
        <v>3014</v>
      </c>
      <c r="C185" s="1048"/>
      <c r="D185" s="1048">
        <v>1</v>
      </c>
      <c r="E185" s="1048">
        <v>24</v>
      </c>
      <c r="F185" s="1048"/>
      <c r="G185"/>
      <c r="H185" s="147"/>
      <c r="I185" s="147"/>
      <c r="J185" s="147"/>
      <c r="K185" s="147"/>
    </row>
    <row r="186" spans="2:11">
      <c r="B186" s="147"/>
      <c r="C186" s="147"/>
      <c r="D186" s="147"/>
      <c r="E186" s="147"/>
      <c r="F186" s="147"/>
      <c r="G186" s="147"/>
      <c r="H186" s="147"/>
      <c r="I186" s="147"/>
    </row>
    <row r="187" spans="2:11">
      <c r="B187" s="200" t="s">
        <v>1667</v>
      </c>
      <c r="C187" s="757" t="s">
        <v>148</v>
      </c>
      <c r="D187" s="757" t="s">
        <v>144</v>
      </c>
      <c r="E187" s="757" t="s">
        <v>43</v>
      </c>
    </row>
    <row r="188" spans="2:11">
      <c r="B188" s="196" t="s">
        <v>39</v>
      </c>
      <c r="C188" s="198">
        <f>GETPIVOTDATA("Is there provision of solid waste management equipment?",$B$181,"State","Kachin","Is there provision of solid waste management equipment?","NA")</f>
        <v>0</v>
      </c>
      <c r="D188" s="197">
        <f>GETPIVOTDATA("Is there provision of solid waste management equipment?",$B$181,"State","Kachin","Is there provision of solid waste management equipment?","No")</f>
        <v>16</v>
      </c>
      <c r="E188" s="198">
        <f>GETPIVOTDATA("Is there provision of solid waste management equipment?",$B$181,"State","Kachin","Is there provision of solid waste management equipment?","Yes")</f>
        <v>117</v>
      </c>
    </row>
    <row r="189" spans="2:11">
      <c r="B189" s="194" t="s">
        <v>312</v>
      </c>
      <c r="C189" s="199">
        <f>GETPIVOTDATA("Is there provision of solid waste management equipment?",$B$181,"State","Central Rakhine","Is there provision of solid waste management equipment?","NA")</f>
        <v>0</v>
      </c>
      <c r="D189" s="195">
        <f>GETPIVOTDATA("Is there provision of solid waste management equipment?",$B$181,"State","Central Rakhine","Is there provision of solid waste management equipment?","No")</f>
        <v>1</v>
      </c>
      <c r="E189" s="199">
        <f>GETPIVOTDATA("Is there provision of solid waste management equipment?",$B$181,"State","Central Rakhine","Is there provision of solid waste management equipment?","Yes")</f>
        <v>24</v>
      </c>
    </row>
    <row r="190" spans="2:11">
      <c r="B190" s="196" t="s">
        <v>716</v>
      </c>
      <c r="C190" s="198">
        <f>GETPIVOTDATA("Is there provision of solid waste management equipment?",$B$181,"State","Shan (North)","Is there provision of solid waste management equipment?","NA")</f>
        <v>3</v>
      </c>
      <c r="D190" s="197">
        <f>GETPIVOTDATA("Is there provision of solid waste management equipment?",$B$181,"State","Shan (North)","Is there provision of solid waste management equipment?","No")</f>
        <v>7</v>
      </c>
      <c r="E190" s="198">
        <f>GETPIVOTDATA("Is there provision of solid waste management equipment?",$B$181,"State","Shan (North)","Is there provision of solid waste management equipment?","Yes")</f>
        <v>18</v>
      </c>
    </row>
    <row r="194" spans="2:24">
      <c r="B194" s="1037" t="s">
        <v>20</v>
      </c>
      <c r="C194" s="1038" t="s">
        <v>2525</v>
      </c>
      <c r="D194" s="161"/>
    </row>
    <row r="195" spans="2:24">
      <c r="B195" s="1037" t="s">
        <v>35</v>
      </c>
      <c r="C195" s="1038" t="s">
        <v>35</v>
      </c>
      <c r="D195" s="147"/>
      <c r="L195" s="1037" t="s">
        <v>20</v>
      </c>
      <c r="M195" s="1038" t="s">
        <v>2525</v>
      </c>
      <c r="N195" s="161"/>
      <c r="V195" s="1037" t="s">
        <v>20</v>
      </c>
      <c r="W195" s="1038" t="s">
        <v>2525</v>
      </c>
      <c r="X195" s="161"/>
    </row>
    <row r="196" spans="2:24">
      <c r="B196" s="1046" t="s">
        <v>22</v>
      </c>
      <c r="C196" s="1047" t="s">
        <v>39</v>
      </c>
      <c r="D196" s="147"/>
      <c r="L196" s="1037" t="s">
        <v>35</v>
      </c>
      <c r="M196" s="1038" t="s">
        <v>35</v>
      </c>
      <c r="N196" s="147"/>
      <c r="V196" s="1037" t="s">
        <v>35</v>
      </c>
      <c r="W196" s="1038" t="s">
        <v>35</v>
      </c>
      <c r="X196" s="147"/>
    </row>
    <row r="197" spans="2:24">
      <c r="B197" s="1037" t="s">
        <v>142</v>
      </c>
      <c r="C197" s="1038" t="s">
        <v>1668</v>
      </c>
      <c r="D197" s="147"/>
      <c r="L197" s="1046" t="s">
        <v>22</v>
      </c>
      <c r="M197" s="1047" t="s">
        <v>716</v>
      </c>
      <c r="N197" s="147"/>
      <c r="V197" s="1046" t="s">
        <v>22</v>
      </c>
      <c r="W197" s="1047" t="s">
        <v>716</v>
      </c>
      <c r="X197" s="147"/>
    </row>
    <row r="198" spans="2:24">
      <c r="B198" s="745"/>
      <c r="C198" s="147"/>
      <c r="D198" s="147"/>
      <c r="L198" s="1037" t="s">
        <v>142</v>
      </c>
      <c r="M198" s="1038" t="s">
        <v>1668</v>
      </c>
      <c r="N198" s="147"/>
      <c r="V198" s="1037" t="s">
        <v>142</v>
      </c>
      <c r="W198" s="1038" t="s">
        <v>3028</v>
      </c>
      <c r="X198" s="147"/>
    </row>
    <row r="199" spans="2:24">
      <c r="B199" s="1044" t="s">
        <v>22</v>
      </c>
      <c r="C199" s="1038" t="s">
        <v>3230</v>
      </c>
      <c r="D199" s="1038" t="s">
        <v>3229</v>
      </c>
      <c r="L199" s="745"/>
      <c r="M199" s="147"/>
      <c r="N199" s="147"/>
      <c r="V199" s="745"/>
      <c r="W199" s="147"/>
      <c r="X199" s="147"/>
    </row>
    <row r="200" spans="2:24">
      <c r="B200" s="1041" t="s">
        <v>203</v>
      </c>
      <c r="C200" s="1043">
        <v>0.64238636363636359</v>
      </c>
      <c r="D200" s="1043">
        <v>0.35761363636363641</v>
      </c>
      <c r="L200" s="1044" t="s">
        <v>22</v>
      </c>
      <c r="M200" s="1038" t="s">
        <v>3228</v>
      </c>
      <c r="N200" s="1038" t="s">
        <v>3229</v>
      </c>
      <c r="V200" s="1044" t="s">
        <v>22</v>
      </c>
      <c r="W200" s="1038" t="s">
        <v>3228</v>
      </c>
      <c r="X200" s="1038" t="s">
        <v>3229</v>
      </c>
    </row>
    <row r="201" spans="2:24">
      <c r="B201" s="1041" t="s">
        <v>154</v>
      </c>
      <c r="C201" s="1043">
        <v>0.93344594594594599</v>
      </c>
      <c r="D201" s="1043">
        <v>6.6554054054054013E-2</v>
      </c>
      <c r="L201" s="1041" t="s">
        <v>735</v>
      </c>
      <c r="M201" s="1043">
        <v>1</v>
      </c>
      <c r="N201" s="1043">
        <v>0</v>
      </c>
      <c r="V201" s="1041" t="s">
        <v>757</v>
      </c>
      <c r="W201" s="1043">
        <v>0.51894135962636223</v>
      </c>
      <c r="X201" s="1043">
        <v>0.48105864037363777</v>
      </c>
    </row>
    <row r="202" spans="2:24" ht="15.75">
      <c r="B202" s="1041" t="s">
        <v>156</v>
      </c>
      <c r="C202" s="1043">
        <v>0.85535714285714282</v>
      </c>
      <c r="D202" s="1043">
        <v>0.14464285714285718</v>
      </c>
      <c r="L202" s="1041" t="s">
        <v>720</v>
      </c>
      <c r="M202" s="1043">
        <v>0.91727013385999556</v>
      </c>
      <c r="N202" s="1043">
        <v>8.2729866140004438E-2</v>
      </c>
      <c r="V202"/>
      <c r="W202"/>
      <c r="X202"/>
    </row>
    <row r="203" spans="2:24" ht="15.75">
      <c r="B203" s="1041" t="s">
        <v>40</v>
      </c>
      <c r="C203" s="1043">
        <v>0.93393782383419688</v>
      </c>
      <c r="D203" s="1043">
        <v>6.6062176165803121E-2</v>
      </c>
      <c r="L203" s="1041" t="s">
        <v>723</v>
      </c>
      <c r="M203" s="1043">
        <v>0.96845425867507884</v>
      </c>
      <c r="N203" s="1043">
        <v>3.1545741324921162E-2</v>
      </c>
      <c r="V203"/>
      <c r="W203"/>
      <c r="X203"/>
    </row>
    <row r="204" spans="2:24" ht="15.75">
      <c r="B204" s="1041" t="s">
        <v>160</v>
      </c>
      <c r="C204" s="1043">
        <v>0.51915184678522575</v>
      </c>
      <c r="D204" s="1043">
        <v>0.48084815321477425</v>
      </c>
      <c r="L204" s="1041" t="s">
        <v>726</v>
      </c>
      <c r="M204" s="1043">
        <v>1</v>
      </c>
      <c r="N204" s="1043">
        <v>0</v>
      </c>
      <c r="V204"/>
      <c r="W204"/>
      <c r="X204"/>
    </row>
    <row r="205" spans="2:24" ht="15.75">
      <c r="B205" s="1041" t="s">
        <v>165</v>
      </c>
      <c r="C205" s="1043">
        <v>0.53146853146853146</v>
      </c>
      <c r="D205" s="1043">
        <v>0.46853146853146854</v>
      </c>
      <c r="L205" s="1041" t="s">
        <v>717</v>
      </c>
      <c r="M205" s="1043">
        <v>0.70995260663507109</v>
      </c>
      <c r="N205" s="1043">
        <v>0.29004739336492891</v>
      </c>
      <c r="V205"/>
      <c r="W205"/>
      <c r="X205"/>
    </row>
    <row r="206" spans="2:24" ht="15.75">
      <c r="B206" s="1041" t="s">
        <v>213</v>
      </c>
      <c r="C206" s="1043">
        <v>0.50320628287340585</v>
      </c>
      <c r="D206" s="1043">
        <v>0.49679371712659415</v>
      </c>
      <c r="L206" s="1041" t="s">
        <v>737</v>
      </c>
      <c r="M206" s="1043">
        <v>0.67796610169491522</v>
      </c>
      <c r="N206" s="1043">
        <v>0.32203389830508478</v>
      </c>
      <c r="V206"/>
      <c r="W206"/>
      <c r="X206"/>
    </row>
    <row r="207" spans="2:24" ht="15.75">
      <c r="B207" s="1041" t="s">
        <v>167</v>
      </c>
      <c r="C207" s="1043">
        <v>0.7611595420649091</v>
      </c>
      <c r="D207" s="1043">
        <v>0.2388404579350909</v>
      </c>
      <c r="L207"/>
      <c r="M207"/>
      <c r="N207"/>
    </row>
    <row r="208" spans="2:24" ht="15.75">
      <c r="B208" s="1041" t="s">
        <v>181</v>
      </c>
      <c r="C208" s="1043">
        <v>0.13840830449826991</v>
      </c>
      <c r="D208" s="1043">
        <v>0.86159169550173009</v>
      </c>
      <c r="L208"/>
      <c r="M208"/>
      <c r="N208"/>
    </row>
    <row r="209" spans="2:21" ht="15.75">
      <c r="B209" s="1041" t="s">
        <v>222</v>
      </c>
      <c r="C209" s="1043">
        <v>0.27667493796526055</v>
      </c>
      <c r="D209" s="1043">
        <v>0.72332506203473945</v>
      </c>
      <c r="L209"/>
      <c r="M209"/>
      <c r="N209"/>
    </row>
    <row r="210" spans="2:21" ht="15.75">
      <c r="B210" s="1041" t="s">
        <v>192</v>
      </c>
      <c r="C210" s="1043">
        <v>1</v>
      </c>
      <c r="D210" s="1043">
        <v>0</v>
      </c>
      <c r="L210"/>
      <c r="M210"/>
      <c r="N210"/>
    </row>
    <row r="211" spans="2:21" ht="15.75">
      <c r="B211" s="1041" t="s">
        <v>150</v>
      </c>
      <c r="C211" s="1043">
        <v>0.58288533765373007</v>
      </c>
      <c r="D211" s="1043">
        <v>0.41711466234626993</v>
      </c>
      <c r="L211"/>
      <c r="M211"/>
      <c r="N211"/>
    </row>
    <row r="212" spans="2:21" ht="15.75">
      <c r="B212"/>
      <c r="C212"/>
      <c r="D212"/>
      <c r="L212"/>
      <c r="M212"/>
      <c r="N212"/>
    </row>
    <row r="213" spans="2:21" ht="15.75">
      <c r="B213"/>
      <c r="C213"/>
      <c r="D213"/>
      <c r="L213"/>
      <c r="M213"/>
      <c r="N213"/>
    </row>
    <row r="214" spans="2:21" ht="15.75">
      <c r="B214" s="142"/>
      <c r="C214" s="143"/>
      <c r="D214" s="143"/>
      <c r="L214"/>
      <c r="M214"/>
      <c r="N214"/>
    </row>
    <row r="215" spans="2:21" ht="15.75">
      <c r="L215"/>
      <c r="M215"/>
      <c r="N215"/>
    </row>
    <row r="216" spans="2:21" ht="15.75">
      <c r="L216"/>
      <c r="M216"/>
      <c r="N216"/>
    </row>
    <row r="217" spans="2:21" ht="15.75">
      <c r="B217" s="1037" t="s">
        <v>20</v>
      </c>
      <c r="C217" s="1038" t="s">
        <v>2525</v>
      </c>
      <c r="D217" s="161"/>
      <c r="J217" s="1037" t="s">
        <v>20</v>
      </c>
      <c r="K217" s="1038" t="s">
        <v>2525</v>
      </c>
      <c r="L217" s="161"/>
      <c r="M217"/>
      <c r="N217"/>
      <c r="S217" s="1037" t="s">
        <v>20</v>
      </c>
      <c r="T217" s="1038" t="s">
        <v>2525</v>
      </c>
      <c r="U217" s="161"/>
    </row>
    <row r="218" spans="2:21" ht="15.75">
      <c r="B218" s="1037" t="s">
        <v>35</v>
      </c>
      <c r="C218" s="1038" t="s">
        <v>35</v>
      </c>
      <c r="D218" s="147"/>
      <c r="J218" s="1037" t="s">
        <v>35</v>
      </c>
      <c r="K218" s="1038" t="s">
        <v>35</v>
      </c>
      <c r="L218" s="147"/>
      <c r="M218"/>
      <c r="N218"/>
      <c r="S218" s="1037" t="s">
        <v>35</v>
      </c>
      <c r="T218" s="1038" t="s">
        <v>35</v>
      </c>
      <c r="U218" s="147"/>
    </row>
    <row r="219" spans="2:21" ht="15.75">
      <c r="B219" s="1045" t="s">
        <v>22</v>
      </c>
      <c r="C219" s="1038" t="s">
        <v>1668</v>
      </c>
      <c r="D219" s="147"/>
      <c r="J219" s="1045" t="s">
        <v>22</v>
      </c>
      <c r="K219" s="1038" t="s">
        <v>1668</v>
      </c>
      <c r="L219" s="147"/>
      <c r="M219"/>
      <c r="N219"/>
      <c r="S219" s="1045" t="s">
        <v>22</v>
      </c>
      <c r="T219" s="1038" t="s">
        <v>1668</v>
      </c>
      <c r="U219" s="147"/>
    </row>
    <row r="220" spans="2:21" ht="15.75">
      <c r="B220" s="1037" t="s">
        <v>142</v>
      </c>
      <c r="C220" s="1038" t="s">
        <v>1668</v>
      </c>
      <c r="D220" s="147"/>
      <c r="J220" s="1037" t="s">
        <v>142</v>
      </c>
      <c r="K220" s="1038" t="s">
        <v>812</v>
      </c>
      <c r="L220" s="147"/>
      <c r="M220"/>
      <c r="N220"/>
      <c r="S220" s="1037" t="s">
        <v>142</v>
      </c>
      <c r="T220" s="1038" t="s">
        <v>3028</v>
      </c>
      <c r="U220" s="147"/>
    </row>
    <row r="221" spans="2:21" ht="15.75">
      <c r="B221" s="744"/>
      <c r="C221" s="147"/>
      <c r="D221" s="147"/>
      <c r="J221" s="744"/>
      <c r="K221" s="147"/>
      <c r="L221" s="147"/>
      <c r="M221"/>
      <c r="N221"/>
      <c r="S221" s="744"/>
      <c r="T221" s="147"/>
      <c r="U221" s="147"/>
    </row>
    <row r="222" spans="2:21" ht="15.75">
      <c r="B222" s="1044" t="s">
        <v>22</v>
      </c>
      <c r="C222" s="1038" t="s">
        <v>3227</v>
      </c>
      <c r="D222" s="1038" t="s">
        <v>3226</v>
      </c>
      <c r="J222" s="1044" t="s">
        <v>22</v>
      </c>
      <c r="K222" s="1038" t="s">
        <v>3228</v>
      </c>
      <c r="L222" s="1038" t="s">
        <v>3229</v>
      </c>
      <c r="M222"/>
      <c r="N222"/>
      <c r="S222" s="1044" t="s">
        <v>22</v>
      </c>
      <c r="T222" s="1038" t="s">
        <v>3228</v>
      </c>
      <c r="U222" s="1038" t="s">
        <v>3229</v>
      </c>
    </row>
    <row r="223" spans="2:21" ht="15.75">
      <c r="B223" s="1041" t="s">
        <v>375</v>
      </c>
      <c r="C223" s="1043">
        <v>1</v>
      </c>
      <c r="D223" s="1043">
        <v>0</v>
      </c>
      <c r="J223" s="1041" t="s">
        <v>337</v>
      </c>
      <c r="K223" s="1043">
        <v>4.4223298387525943E-2</v>
      </c>
      <c r="L223" s="1043">
        <v>0.95577670161247408</v>
      </c>
      <c r="M223"/>
      <c r="N223"/>
      <c r="S223" s="1041" t="s">
        <v>337</v>
      </c>
      <c r="T223" s="1043">
        <v>0</v>
      </c>
      <c r="U223" s="1043">
        <v>1</v>
      </c>
    </row>
    <row r="224" spans="2:21" ht="15.75">
      <c r="B224" s="1041" t="s">
        <v>320</v>
      </c>
      <c r="C224" s="1043">
        <v>0.44750430292598969</v>
      </c>
      <c r="D224" s="1043">
        <v>0.55249569707401025</v>
      </c>
      <c r="J224" s="1041" t="s">
        <v>375</v>
      </c>
      <c r="K224" s="1043">
        <v>9.3596059113300489E-2</v>
      </c>
      <c r="L224" s="1043">
        <v>0.90640394088669951</v>
      </c>
      <c r="M224"/>
      <c r="N224"/>
      <c r="S224" s="1041" t="s">
        <v>320</v>
      </c>
      <c r="T224" s="1043">
        <v>0.48282668772206871</v>
      </c>
      <c r="U224" s="1043">
        <v>0.51717331227793129</v>
      </c>
    </row>
    <row r="225" spans="1:26" ht="15.75">
      <c r="B225" s="1041" t="s">
        <v>417</v>
      </c>
      <c r="C225" s="1043">
        <v>1</v>
      </c>
      <c r="D225" s="1043">
        <v>0</v>
      </c>
      <c r="J225" s="1041" t="s">
        <v>320</v>
      </c>
      <c r="K225" s="1043">
        <v>0</v>
      </c>
      <c r="L225" s="1043">
        <v>1</v>
      </c>
      <c r="M225"/>
      <c r="N225"/>
      <c r="S225" s="1041" t="s">
        <v>330</v>
      </c>
      <c r="T225" s="1043">
        <v>0</v>
      </c>
      <c r="U225" s="1043">
        <v>1</v>
      </c>
    </row>
    <row r="226" spans="1:26" ht="15.75">
      <c r="B226" s="1041" t="s">
        <v>420</v>
      </c>
      <c r="C226" s="1043">
        <v>0.59189891567344743</v>
      </c>
      <c r="D226" s="1043">
        <v>0.40810108432655257</v>
      </c>
      <c r="J226" s="1041" t="s">
        <v>323</v>
      </c>
      <c r="K226" s="1043">
        <v>0.10589176219674754</v>
      </c>
      <c r="L226" s="1043">
        <v>0.89410823780325244</v>
      </c>
      <c r="M226"/>
      <c r="N226"/>
      <c r="S226" s="1041" t="s">
        <v>489</v>
      </c>
      <c r="T226" s="1043">
        <v>0.33098810139679258</v>
      </c>
      <c r="U226" s="1043">
        <v>0.66901189860320742</v>
      </c>
    </row>
    <row r="227" spans="1:26" ht="15.75">
      <c r="B227" s="1041" t="s">
        <v>313</v>
      </c>
      <c r="C227" s="1043">
        <v>0.66547714601817909</v>
      </c>
      <c r="D227" s="1043">
        <v>0.33452285398182091</v>
      </c>
      <c r="J227" s="1041" t="s">
        <v>330</v>
      </c>
      <c r="K227" s="1043">
        <v>0</v>
      </c>
      <c r="L227" s="1043">
        <v>1</v>
      </c>
      <c r="M227"/>
      <c r="N227"/>
      <c r="S227" s="1041" t="s">
        <v>470</v>
      </c>
      <c r="T227" s="1043">
        <v>0.60585276634659346</v>
      </c>
      <c r="U227" s="1043">
        <v>0.39414723365340654</v>
      </c>
    </row>
    <row r="228" spans="1:26" ht="15.75">
      <c r="B228"/>
      <c r="C228"/>
      <c r="D228"/>
      <c r="J228" s="1041" t="s">
        <v>417</v>
      </c>
      <c r="K228" s="1043">
        <v>0</v>
      </c>
      <c r="L228" s="1043">
        <v>1</v>
      </c>
      <c r="M228"/>
      <c r="N228"/>
      <c r="S228" s="1041" t="s">
        <v>355</v>
      </c>
      <c r="T228" s="1043">
        <v>0.746658179503501</v>
      </c>
      <c r="U228" s="1043">
        <v>0.253341820496499</v>
      </c>
    </row>
    <row r="229" spans="1:26" ht="15.75">
      <c r="B229"/>
      <c r="C229"/>
      <c r="D229"/>
      <c r="J229" s="1041" t="s">
        <v>420</v>
      </c>
      <c r="K229" s="1043">
        <v>0.21409264264820232</v>
      </c>
      <c r="L229" s="1043">
        <v>0.78590735735179762</v>
      </c>
      <c r="M229"/>
      <c r="N229"/>
      <c r="S229"/>
      <c r="T229"/>
      <c r="U229"/>
    </row>
    <row r="230" spans="1:26" ht="15.75">
      <c r="B230"/>
      <c r="C230"/>
      <c r="D230"/>
      <c r="J230" s="1041" t="s">
        <v>313</v>
      </c>
      <c r="K230" s="1043">
        <v>0</v>
      </c>
      <c r="L230" s="1043">
        <v>1</v>
      </c>
      <c r="M230"/>
      <c r="N230"/>
      <c r="S230"/>
      <c r="T230"/>
      <c r="U230"/>
    </row>
    <row r="231" spans="1:26" ht="15.75">
      <c r="B231"/>
      <c r="C231"/>
      <c r="D231"/>
      <c r="J231"/>
      <c r="K231"/>
      <c r="L231"/>
      <c r="M231"/>
      <c r="N231"/>
      <c r="S231"/>
      <c r="T231"/>
      <c r="U231"/>
    </row>
    <row r="232" spans="1:26" ht="15.75">
      <c r="J232"/>
      <c r="K232"/>
      <c r="L232"/>
      <c r="S232"/>
      <c r="T232"/>
    </row>
    <row r="233" spans="1:26" ht="15.75">
      <c r="B233" s="147"/>
      <c r="C233" s="147"/>
      <c r="D233" s="147"/>
      <c r="S233"/>
      <c r="T233"/>
    </row>
    <row r="234" spans="1:26" ht="18.75">
      <c r="A234" s="204" t="s">
        <v>2058</v>
      </c>
      <c r="B234" s="201"/>
      <c r="C234" s="201"/>
      <c r="D234" s="201"/>
      <c r="E234" s="201"/>
      <c r="F234" s="201"/>
      <c r="G234" s="201"/>
      <c r="H234" s="201"/>
      <c r="I234" s="201"/>
      <c r="J234" s="201"/>
      <c r="K234" s="201"/>
      <c r="L234" s="201"/>
      <c r="M234" s="201"/>
      <c r="N234" s="201"/>
      <c r="O234" s="201"/>
      <c r="P234" s="201"/>
      <c r="Q234" s="201"/>
      <c r="R234" s="201"/>
      <c r="S234" s="201"/>
      <c r="T234" s="201"/>
      <c r="U234" s="201"/>
      <c r="V234" s="201"/>
      <c r="W234" s="201"/>
      <c r="X234" s="201"/>
      <c r="Y234" s="201"/>
      <c r="Z234" s="201"/>
    </row>
    <row r="235" spans="1:26" ht="15.75">
      <c r="S235"/>
      <c r="T235"/>
    </row>
    <row r="237" spans="1:26">
      <c r="B237" s="1037" t="s">
        <v>20</v>
      </c>
      <c r="C237" s="1038" t="s">
        <v>2525</v>
      </c>
      <c r="D237" s="147"/>
    </row>
    <row r="238" spans="1:26">
      <c r="B238" s="1037" t="s">
        <v>35</v>
      </c>
      <c r="C238" s="1038" t="s">
        <v>35</v>
      </c>
      <c r="J238" s="166" t="s">
        <v>39</v>
      </c>
      <c r="K238" s="143"/>
      <c r="L238" s="143"/>
      <c r="M238" s="144"/>
      <c r="Q238" s="166" t="s">
        <v>312</v>
      </c>
      <c r="X238" s="166" t="s">
        <v>1928</v>
      </c>
    </row>
    <row r="239" spans="1:26">
      <c r="B239" s="1037" t="s">
        <v>142</v>
      </c>
      <c r="C239" s="1038" t="s">
        <v>1668</v>
      </c>
      <c r="D239" s="147"/>
      <c r="I239" s="164" t="s">
        <v>25</v>
      </c>
      <c r="K239" s="140">
        <f>GETPIVOTDATA("Sum of Total HH",$B$241,"State","Kachin")</f>
        <v>18456</v>
      </c>
      <c r="P239" s="164" t="s">
        <v>25</v>
      </c>
      <c r="R239" s="140">
        <f>GETPIVOTDATA("Sum of Total HH",$B$241,"State","Central Rakhine")</f>
        <v>23691</v>
      </c>
      <c r="W239" s="164" t="s">
        <v>25</v>
      </c>
      <c r="Y239" s="140">
        <f>GETPIVOTDATA("Sum of Total HH",$B$241,"State","Shan (North)")</f>
        <v>1743</v>
      </c>
    </row>
    <row r="241" spans="2:42">
      <c r="B241" s="1037" t="s">
        <v>1667</v>
      </c>
      <c r="C241" s="1038" t="s">
        <v>1931</v>
      </c>
      <c r="D241" s="1038" t="s">
        <v>1965</v>
      </c>
      <c r="E241" s="1038" t="s">
        <v>1932</v>
      </c>
      <c r="F241" s="1038" t="s">
        <v>3054</v>
      </c>
      <c r="G241" s="1038" t="s">
        <v>3055</v>
      </c>
      <c r="J241" s="166" t="s">
        <v>35</v>
      </c>
      <c r="K241" s="166" t="s">
        <v>1680</v>
      </c>
      <c r="Q241" s="166" t="s">
        <v>35</v>
      </c>
      <c r="R241" s="166" t="s">
        <v>1680</v>
      </c>
      <c r="X241" s="166" t="s">
        <v>35</v>
      </c>
      <c r="Y241" s="166" t="s">
        <v>1680</v>
      </c>
    </row>
    <row r="242" spans="2:42">
      <c r="B242" s="1041" t="s">
        <v>39</v>
      </c>
      <c r="C242" s="1051">
        <v>18456</v>
      </c>
      <c r="D242" s="1048">
        <v>45705</v>
      </c>
      <c r="E242" s="1051">
        <v>4574</v>
      </c>
      <c r="F242" s="1048">
        <v>4188</v>
      </c>
      <c r="G242" s="1048">
        <v>2004</v>
      </c>
      <c r="I242" s="164" t="s">
        <v>1933</v>
      </c>
      <c r="J242" s="167">
        <f>GETPIVOTDATA("Sum of # people reached by regular dedicated hygiene promotion_5",$B$241,"State","Kachin")/5</f>
        <v>9141</v>
      </c>
      <c r="K242" s="167">
        <f>$K$239-J242</f>
        <v>9315</v>
      </c>
      <c r="P242" s="164" t="s">
        <v>1933</v>
      </c>
      <c r="Q242" s="168">
        <f>GETPIVOTDATA("Sum of # people reached by regular dedicated hygiene promotion_5",$B$241,"State","Central Rakhine")/5</f>
        <v>22896.400000000001</v>
      </c>
      <c r="R242" s="168">
        <f>$R$239-Q242</f>
        <v>794.59999999999854</v>
      </c>
      <c r="W242" s="164" t="s">
        <v>1933</v>
      </c>
      <c r="X242" s="149">
        <f>GETPIVOTDATA("Sum of # people reached by regular dedicated hygiene promotion_5",$B$241,"State","Shan (North)")/5</f>
        <v>1267.5999999999999</v>
      </c>
      <c r="Y242" s="149">
        <f>$Y$239-X242</f>
        <v>475.40000000000009</v>
      </c>
    </row>
    <row r="243" spans="2:42">
      <c r="B243" s="1041" t="s">
        <v>716</v>
      </c>
      <c r="C243" s="1051">
        <v>1743</v>
      </c>
      <c r="D243" s="1048">
        <v>6338</v>
      </c>
      <c r="E243" s="1051">
        <v>349</v>
      </c>
      <c r="F243" s="1048">
        <v>1021</v>
      </c>
      <c r="G243" s="1048">
        <v>0</v>
      </c>
      <c r="I243" s="164" t="s">
        <v>1663</v>
      </c>
      <c r="J243" s="167">
        <f>GETPIVOTDATA("Sum of #HH with access to Hand Washing Station",$B$241,"State","Kachin")</f>
        <v>4574</v>
      </c>
      <c r="K243" s="167">
        <f>$K$239-J243</f>
        <v>13882</v>
      </c>
      <c r="P243" s="164" t="s">
        <v>1663</v>
      </c>
      <c r="Q243" s="168" t="e">
        <f>GETPIVOTDATA("Sum of #HH with access to Hand Washing Station",$B$241,"State","Rakhine")</f>
        <v>#REF!</v>
      </c>
      <c r="R243" s="168" t="e">
        <f>$R$239-Q243</f>
        <v>#REF!</v>
      </c>
      <c r="W243" s="164" t="s">
        <v>1663</v>
      </c>
      <c r="X243" s="149">
        <f>GETPIVOTDATA("Sum of #HH with access to Hand Washing Station",$B$241,"State","Shan (North)")</f>
        <v>349</v>
      </c>
      <c r="Y243" s="149">
        <f>$Y$239-X243</f>
        <v>1394</v>
      </c>
    </row>
    <row r="244" spans="2:42">
      <c r="B244" s="1041" t="s">
        <v>3014</v>
      </c>
      <c r="C244" s="1051">
        <v>23691</v>
      </c>
      <c r="D244" s="1048">
        <v>114482</v>
      </c>
      <c r="E244" s="1051">
        <v>744</v>
      </c>
      <c r="F244" s="1048">
        <v>23929</v>
      </c>
      <c r="G244" s="1048">
        <v>23828</v>
      </c>
      <c r="I244" s="164" t="s">
        <v>1651</v>
      </c>
      <c r="J244" s="167">
        <f>GETPIVOTDATA("Sum of #_households that received standard amount of soap for this quarter",$B$241,"State","Kachin")</f>
        <v>4188</v>
      </c>
      <c r="K244" s="167">
        <f>$K$239-J244</f>
        <v>14268</v>
      </c>
      <c r="P244" s="164" t="s">
        <v>1651</v>
      </c>
      <c r="Q244" s="168">
        <f>(GETPIVOTDATA("Sum of #_households that received standard amount of soap for this quarter",$B$241,"State","Central Rakhine"))</f>
        <v>23929</v>
      </c>
      <c r="R244" s="168">
        <f>$R$239-Q244</f>
        <v>-238</v>
      </c>
      <c r="W244" s="164" t="s">
        <v>1651</v>
      </c>
      <c r="X244" s="149">
        <f>GETPIVOTDATA("Sum of #_households that received standard amount of soap for this quarter",$B$241,"State","Shan (North)")</f>
        <v>1021</v>
      </c>
      <c r="Y244" s="149">
        <f>$Y$239-X244</f>
        <v>722</v>
      </c>
    </row>
    <row r="245" spans="2:42">
      <c r="B245" s="1041" t="s">
        <v>1669</v>
      </c>
      <c r="C245" s="1051">
        <v>43890</v>
      </c>
      <c r="D245" s="1048">
        <v>166525</v>
      </c>
      <c r="E245" s="1051">
        <v>5667</v>
      </c>
      <c r="F245" s="1048">
        <v>29138</v>
      </c>
      <c r="G245" s="1048">
        <v>25832</v>
      </c>
      <c r="I245" s="164" t="s">
        <v>1650</v>
      </c>
      <c r="J245" s="167">
        <f>GETPIVOTDATA("Sum of #_households that received standard amount of sanitary pads for this quarter",$B$241,"State","Kachin")</f>
        <v>2004</v>
      </c>
      <c r="K245" s="167">
        <f>$K$239-J245</f>
        <v>16452</v>
      </c>
      <c r="P245" s="164" t="s">
        <v>1650</v>
      </c>
      <c r="Q245" s="168">
        <f>GETPIVOTDATA("Sum of #_households that received standard amount of sanitary pads for this quarter",$B$241,"State","Central Rakhine")</f>
        <v>23828</v>
      </c>
      <c r="R245" s="168">
        <f>$R$239-Q245</f>
        <v>-137</v>
      </c>
      <c r="W245" s="164" t="s">
        <v>1650</v>
      </c>
      <c r="X245" s="149">
        <f>GETPIVOTDATA("Sum of #_households that received standard amount of sanitary pads for this quarter",$B$241,"State","Shan (North)")</f>
        <v>0</v>
      </c>
      <c r="Y245" s="149">
        <f>$Y$239-X245</f>
        <v>1743</v>
      </c>
    </row>
    <row r="246" spans="2:42" ht="15.75">
      <c r="B246"/>
      <c r="C246"/>
      <c r="D246"/>
      <c r="E246"/>
      <c r="F246"/>
      <c r="G246"/>
      <c r="Q246" s="149"/>
      <c r="R246" s="149"/>
    </row>
    <row r="247" spans="2:42">
      <c r="B247" s="147"/>
      <c r="C247" s="147"/>
      <c r="D247" s="147"/>
    </row>
    <row r="248" spans="2:42">
      <c r="B248" s="147"/>
      <c r="C248" s="147"/>
      <c r="D248" s="147"/>
    </row>
    <row r="249" spans="2:42">
      <c r="B249" s="147"/>
      <c r="C249" s="147"/>
      <c r="D249" s="147"/>
    </row>
    <row r="250" spans="2:42">
      <c r="B250" s="147"/>
      <c r="C250" s="147"/>
      <c r="D250" s="147"/>
    </row>
    <row r="251" spans="2:42" ht="15.75">
      <c r="B251" s="1037" t="s">
        <v>20</v>
      </c>
      <c r="C251" s="1038" t="s">
        <v>2525</v>
      </c>
      <c r="D251" s="147"/>
      <c r="J251" s="769" t="s">
        <v>312</v>
      </c>
      <c r="K251" s="143"/>
      <c r="L251"/>
      <c r="M251" s="161"/>
      <c r="P251" s="166" t="s">
        <v>1928</v>
      </c>
    </row>
    <row r="252" spans="2:42" ht="15.75">
      <c r="B252" s="1037" t="s">
        <v>35</v>
      </c>
      <c r="C252" s="1038" t="s">
        <v>1924</v>
      </c>
      <c r="I252" s="164" t="s">
        <v>25</v>
      </c>
      <c r="K252" s="140">
        <f>GETPIVOTDATA("Sum of Total HH",$B$255,"State","Central Rakhine")+GETPIVOTDATA("Sum of Total HH",$B$255,"State","Northern Rakhine")</f>
        <v>8333</v>
      </c>
      <c r="L252" s="661"/>
      <c r="M252" s="161"/>
      <c r="O252" s="164" t="s">
        <v>25</v>
      </c>
      <c r="Q252" s="140">
        <f>GETPIVOTDATA("Sum of Total HH",$B$255,"State","Shan (North)")</f>
        <v>311</v>
      </c>
    </row>
    <row r="253" spans="2:42" ht="15.75">
      <c r="B253" s="1037" t="s">
        <v>142</v>
      </c>
      <c r="C253" s="1038" t="s">
        <v>3028</v>
      </c>
      <c r="D253" s="147"/>
      <c r="L253" s="661"/>
      <c r="M253" s="161"/>
    </row>
    <row r="254" spans="2:42" ht="15.75">
      <c r="J254" s="166" t="s">
        <v>35</v>
      </c>
      <c r="K254" s="166" t="s">
        <v>1680</v>
      </c>
      <c r="L254" s="661"/>
      <c r="M254" s="161"/>
      <c r="P254" s="166" t="s">
        <v>35</v>
      </c>
      <c r="Q254" s="166" t="s">
        <v>1680</v>
      </c>
    </row>
    <row r="255" spans="2:42" ht="15.75">
      <c r="B255" s="1037" t="s">
        <v>1667</v>
      </c>
      <c r="C255" s="1038" t="s">
        <v>1931</v>
      </c>
      <c r="D255" s="1038" t="s">
        <v>1965</v>
      </c>
      <c r="E255" s="1038" t="s">
        <v>1932</v>
      </c>
      <c r="F255" s="1038" t="s">
        <v>3054</v>
      </c>
      <c r="G255" s="1038" t="s">
        <v>3055</v>
      </c>
      <c r="H255" s="741"/>
      <c r="I255" s="164" t="s">
        <v>1933</v>
      </c>
      <c r="J255" s="167">
        <f>(GETPIVOTDATA("Sum of # people reached by regular dedicated hygiene promotion_5",$B$255,"State","Central Rakhine")+GETPIVOTDATA("Sum of # people reached by regular dedicated hygiene promotion_5",$B$255,"State","Northern Rakhine"))/5</f>
        <v>59</v>
      </c>
      <c r="K255" s="167">
        <f>K252-J255</f>
        <v>8274</v>
      </c>
      <c r="L255" s="665"/>
      <c r="M255" s="768"/>
      <c r="N255" s="741"/>
      <c r="O255" s="770" t="s">
        <v>3056</v>
      </c>
      <c r="P255" s="149">
        <f>GETPIVOTDATA("Sum of # people reached by regular dedicated hygiene promotion_5",$B$255,"State","Shan (North)")</f>
        <v>0</v>
      </c>
      <c r="Q255" s="149">
        <f>Q252-P255</f>
        <v>311</v>
      </c>
      <c r="R255" s="741"/>
      <c r="S255" s="741"/>
      <c r="T255" s="741"/>
      <c r="U255" s="741"/>
      <c r="V255" s="741"/>
      <c r="W255" s="741"/>
      <c r="X255" s="741"/>
      <c r="Y255" s="741"/>
      <c r="Z255" s="741"/>
      <c r="AA255" s="741"/>
      <c r="AB255" s="741"/>
      <c r="AC255" s="741"/>
      <c r="AD255" s="741"/>
      <c r="AE255" s="741"/>
      <c r="AF255" s="741"/>
      <c r="AG255" s="741"/>
      <c r="AH255" s="741"/>
      <c r="AI255" s="741"/>
      <c r="AJ255" s="741"/>
      <c r="AK255" s="741"/>
      <c r="AL255" s="741"/>
      <c r="AM255" s="741"/>
      <c r="AN255" s="741"/>
      <c r="AO255" s="741"/>
      <c r="AP255" s="741"/>
    </row>
    <row r="256" spans="2:42" ht="15.75">
      <c r="B256" s="1041" t="s">
        <v>716</v>
      </c>
      <c r="C256" s="1051">
        <v>311</v>
      </c>
      <c r="D256" s="1048">
        <v>0</v>
      </c>
      <c r="E256" s="1051">
        <v>80</v>
      </c>
      <c r="F256" s="1048">
        <v>187</v>
      </c>
      <c r="G256" s="1048">
        <v>187</v>
      </c>
      <c r="I256" s="164" t="s">
        <v>1663</v>
      </c>
      <c r="J256" s="167"/>
      <c r="K256" s="167"/>
      <c r="L256" s="661"/>
      <c r="M256" s="161"/>
      <c r="O256" s="164" t="s">
        <v>1663</v>
      </c>
      <c r="P256" s="149"/>
      <c r="Q256" s="149"/>
    </row>
    <row r="257" spans="2:42" ht="15.75">
      <c r="B257" s="1041" t="s">
        <v>3014</v>
      </c>
      <c r="C257" s="1051">
        <v>6322</v>
      </c>
      <c r="D257" s="1048">
        <v>0</v>
      </c>
      <c r="E257" s="1051" t="e">
        <v>#REF!</v>
      </c>
      <c r="F257" s="1048">
        <v>4646</v>
      </c>
      <c r="G257" s="1048">
        <v>4646</v>
      </c>
      <c r="I257" s="164" t="s">
        <v>1651</v>
      </c>
      <c r="J257" s="167">
        <f>GETPIVOTDATA("Sum of #_households that received standard amount of soap for this quarter",$B$255,"State","Central Rakhine")+GETPIVOTDATA("Sum of #_households that received standard amount of soap for this quarter",$B$255,"State","Northern Rakhine")</f>
        <v>5027</v>
      </c>
      <c r="K257" s="167">
        <f>K252-J257</f>
        <v>3306</v>
      </c>
      <c r="L257" s="661"/>
      <c r="M257" s="161"/>
      <c r="O257" s="164" t="s">
        <v>1651</v>
      </c>
      <c r="P257" s="149">
        <f>GETPIVOTDATA("Sum of #_households that received standard amount of soap for this quarter",$B$255,"State","Shan (North)")</f>
        <v>187</v>
      </c>
      <c r="Q257" s="149">
        <f>Q252-P257</f>
        <v>124</v>
      </c>
    </row>
    <row r="258" spans="2:42" ht="15.75">
      <c r="B258" s="1041" t="s">
        <v>3013</v>
      </c>
      <c r="C258" s="1051">
        <v>2011</v>
      </c>
      <c r="D258" s="1048">
        <v>295</v>
      </c>
      <c r="E258" s="1051" t="e">
        <v>#REF!</v>
      </c>
      <c r="F258" s="1048">
        <v>381</v>
      </c>
      <c r="G258" s="1048">
        <v>340</v>
      </c>
      <c r="I258" s="164" t="s">
        <v>1650</v>
      </c>
      <c r="J258" s="167">
        <f>GETPIVOTDATA("Sum of #_households that received standard amount of sanitary pads for this quarter",$B$255,"State","Central Rakhine")+GETPIVOTDATA("Sum of #_households that received standard amount of sanitary pads for this quarter",$B$255,"State","Northern Rakhine")</f>
        <v>4986</v>
      </c>
      <c r="K258" s="167">
        <f>K252-J258</f>
        <v>3347</v>
      </c>
      <c r="L258" s="661"/>
      <c r="M258" s="161"/>
      <c r="O258" s="164" t="s">
        <v>1650</v>
      </c>
      <c r="P258" s="149">
        <f>GETPIVOTDATA("Sum of #_households that received standard amount of sanitary pads for this quarter",$B$255,"State","Shan (North)")</f>
        <v>187</v>
      </c>
      <c r="Q258" s="149">
        <f>Q252-P258</f>
        <v>124</v>
      </c>
    </row>
    <row r="259" spans="2:42" ht="15.75">
      <c r="B259" s="1041" t="s">
        <v>1669</v>
      </c>
      <c r="C259" s="1051">
        <v>8644</v>
      </c>
      <c r="D259" s="1048">
        <v>295</v>
      </c>
      <c r="E259" s="1051" t="e">
        <v>#REF!</v>
      </c>
      <c r="F259" s="1048">
        <v>5214</v>
      </c>
      <c r="G259" s="1048">
        <v>5173</v>
      </c>
      <c r="K259" s="661"/>
      <c r="L259" s="661"/>
      <c r="M259" s="161"/>
    </row>
    <row r="260" spans="2:42" ht="15.75">
      <c r="B260" s="661"/>
      <c r="C260" s="661"/>
      <c r="D260" s="661"/>
      <c r="E260" s="661"/>
      <c r="F260" s="661"/>
      <c r="G260" s="661"/>
      <c r="K260" s="661"/>
      <c r="L260" s="661"/>
      <c r="M260" s="161"/>
    </row>
    <row r="261" spans="2:42" ht="15.75">
      <c r="B261" s="661"/>
      <c r="C261" s="661"/>
      <c r="D261" s="661"/>
      <c r="E261" s="661"/>
      <c r="F261" s="661"/>
      <c r="G261" s="661"/>
      <c r="K261" s="661"/>
      <c r="L261" s="661"/>
      <c r="M261" s="161"/>
    </row>
    <row r="262" spans="2:42" ht="15.75">
      <c r="B262" s="1037" t="s">
        <v>20</v>
      </c>
      <c r="C262" s="1038" t="s">
        <v>2525</v>
      </c>
      <c r="D262" s="661"/>
      <c r="E262" s="661"/>
      <c r="F262" s="661"/>
      <c r="G262" s="661"/>
      <c r="K262" s="661"/>
      <c r="L262" s="661"/>
      <c r="M262" s="161"/>
    </row>
    <row r="263" spans="2:42" ht="15.75">
      <c r="B263" s="1037" t="s">
        <v>35</v>
      </c>
      <c r="C263" s="1038" t="s">
        <v>35</v>
      </c>
      <c r="D263" s="147"/>
      <c r="K263" s="661"/>
      <c r="L263" s="661"/>
      <c r="M263" s="161"/>
    </row>
    <row r="264" spans="2:42" ht="15.75">
      <c r="B264" s="1037" t="s">
        <v>142</v>
      </c>
      <c r="C264" s="1038" t="s">
        <v>3028</v>
      </c>
      <c r="K264" s="661"/>
      <c r="L264" s="661"/>
      <c r="M264" s="161"/>
    </row>
    <row r="265" spans="2:42" ht="15.75">
      <c r="B265" s="1037" t="s">
        <v>22</v>
      </c>
      <c r="C265" s="1038" t="s">
        <v>1668</v>
      </c>
      <c r="D265" s="147"/>
      <c r="K265" s="661"/>
      <c r="L265" s="661"/>
      <c r="M265" s="161"/>
    </row>
    <row r="266" spans="2:42" ht="15.75">
      <c r="K266" s="661"/>
      <c r="L266" s="661"/>
      <c r="M266" s="161"/>
    </row>
    <row r="267" spans="2:42" ht="15.75">
      <c r="B267" s="1038" t="s">
        <v>1931</v>
      </c>
      <c r="C267" s="1038" t="s">
        <v>3054</v>
      </c>
      <c r="D267" s="1038" t="s">
        <v>3055</v>
      </c>
      <c r="E267"/>
      <c r="F267"/>
      <c r="G267"/>
      <c r="H267" s="741"/>
      <c r="I267" s="741"/>
      <c r="J267" s="741"/>
      <c r="K267" s="665"/>
      <c r="L267" s="665"/>
      <c r="M267" s="768"/>
      <c r="N267" s="741"/>
      <c r="O267" s="741"/>
      <c r="P267" s="741"/>
      <c r="Q267" s="741"/>
      <c r="R267" s="741"/>
      <c r="S267" s="741"/>
      <c r="T267" s="741"/>
      <c r="U267" s="741"/>
      <c r="V267" s="741"/>
      <c r="W267" s="741"/>
      <c r="X267" s="741"/>
      <c r="Y267" s="741"/>
      <c r="Z267" s="741"/>
      <c r="AA267" s="741"/>
      <c r="AB267" s="741"/>
      <c r="AC267" s="741"/>
      <c r="AD267" s="741"/>
      <c r="AE267" s="741"/>
      <c r="AF267" s="741"/>
      <c r="AG267" s="741"/>
      <c r="AH267" s="741"/>
      <c r="AI267" s="741"/>
      <c r="AJ267" s="741"/>
      <c r="AK267" s="741"/>
      <c r="AL267" s="741"/>
      <c r="AM267" s="741"/>
      <c r="AN267" s="741"/>
      <c r="AO267" s="741"/>
      <c r="AP267" s="741"/>
    </row>
    <row r="268" spans="2:42" ht="15.75">
      <c r="B268" s="1051">
        <v>5974</v>
      </c>
      <c r="C268" s="1048">
        <v>5027</v>
      </c>
      <c r="D268" s="1048">
        <v>4986</v>
      </c>
      <c r="E268"/>
      <c r="F268"/>
      <c r="G268"/>
      <c r="K268" s="661"/>
      <c r="L268" s="661"/>
      <c r="M268" s="161"/>
    </row>
    <row r="269" spans="2:42" ht="15.75">
      <c r="B269"/>
      <c r="C269"/>
      <c r="D269"/>
      <c r="E269"/>
      <c r="F269"/>
      <c r="G269"/>
      <c r="K269" s="661"/>
      <c r="L269" s="661"/>
      <c r="M269" s="161"/>
    </row>
    <row r="270" spans="2:42" ht="15.75">
      <c r="B270" t="s">
        <v>25</v>
      </c>
      <c r="C270" t="s">
        <v>3146</v>
      </c>
      <c r="D270" t="s">
        <v>1679</v>
      </c>
      <c r="E270" t="s">
        <v>1680</v>
      </c>
      <c r="F270"/>
      <c r="G270"/>
      <c r="K270" s="661"/>
      <c r="L270" s="661"/>
      <c r="M270" s="161"/>
    </row>
    <row r="271" spans="2:42" ht="15.75">
      <c r="B271">
        <f>GETPIVOTDATA("Sum of Total HH",$B$267)</f>
        <v>5974</v>
      </c>
      <c r="C271">
        <f>IF(GETPIVOTDATA("Sum of #_households that received standard amount of soap for this quarter",$B$267)&gt;GETPIVOTDATA("Sum of #_households that received standard amount of sanitary pads for this quarter",$B$267),GETPIVOTDATA("Sum of #_households that received standard amount of soap for this quarter",$B$267),GETPIVOTDATA("Sum of #_households that received standard amount of sanitary pads for this quarter",$B$267))</f>
        <v>5027</v>
      </c>
      <c r="D271" s="849">
        <f>C271/B271</f>
        <v>0.8414797455641112</v>
      </c>
      <c r="E271" s="849">
        <f>1-D271</f>
        <v>0.1585202544358888</v>
      </c>
      <c r="F271"/>
      <c r="G271"/>
      <c r="K271" s="661"/>
      <c r="L271" s="661"/>
      <c r="M271" s="161"/>
    </row>
    <row r="272" spans="2:42" ht="15.75">
      <c r="B272" s="661"/>
      <c r="C272" s="661"/>
      <c r="D272" s="661"/>
      <c r="E272" s="661"/>
      <c r="F272" s="661"/>
      <c r="G272" s="661"/>
      <c r="K272" s="661"/>
      <c r="L272" s="661"/>
      <c r="M272" s="161"/>
    </row>
    <row r="273" spans="2:23" ht="15.75">
      <c r="B273" s="661"/>
      <c r="C273" s="661"/>
      <c r="D273" s="661"/>
      <c r="E273" s="661"/>
      <c r="F273" s="661"/>
      <c r="G273" s="661"/>
      <c r="K273" s="661"/>
      <c r="L273" s="661"/>
      <c r="M273" s="161"/>
    </row>
    <row r="274" spans="2:23" ht="15.75">
      <c r="B274" s="661"/>
      <c r="C274" s="661"/>
      <c r="D274" s="661"/>
      <c r="E274" s="661"/>
      <c r="F274" s="661"/>
      <c r="G274" s="661"/>
      <c r="K274" s="661"/>
      <c r="L274" s="661"/>
      <c r="M274" s="161"/>
    </row>
    <row r="275" spans="2:23" ht="15.75">
      <c r="B275" s="661"/>
      <c r="C275" s="661"/>
      <c r="D275" s="661"/>
      <c r="E275" s="661"/>
      <c r="F275" s="661"/>
      <c r="G275" s="661"/>
      <c r="K275" s="661"/>
      <c r="L275" s="661"/>
      <c r="M275" s="161"/>
    </row>
    <row r="276" spans="2:23" ht="15.75">
      <c r="B276" s="661"/>
      <c r="C276" s="661"/>
      <c r="D276" s="661"/>
      <c r="E276" s="661"/>
      <c r="F276" s="661"/>
      <c r="G276" s="661"/>
      <c r="K276" s="661"/>
      <c r="L276" s="661"/>
      <c r="M276" s="161"/>
    </row>
    <row r="277" spans="2:23" ht="15.75">
      <c r="B277" s="661"/>
      <c r="C277" s="661"/>
      <c r="D277" s="661"/>
      <c r="E277" s="661"/>
      <c r="F277" s="661"/>
      <c r="G277" s="661"/>
      <c r="K277" s="661"/>
      <c r="L277" s="661"/>
      <c r="M277" s="161"/>
    </row>
    <row r="278" spans="2:23" ht="15.75">
      <c r="B278" s="661"/>
      <c r="C278" s="661"/>
      <c r="D278" s="661"/>
      <c r="E278" s="661"/>
      <c r="F278" s="661"/>
      <c r="G278" s="661"/>
      <c r="K278" s="661"/>
      <c r="L278" s="661"/>
      <c r="M278" s="161"/>
    </row>
    <row r="279" spans="2:23" ht="15.75">
      <c r="B279" s="661"/>
      <c r="C279" s="661"/>
      <c r="D279" s="661"/>
      <c r="E279" s="661"/>
      <c r="F279" s="661"/>
      <c r="G279" s="661"/>
      <c r="K279" s="661"/>
      <c r="L279" s="661"/>
      <c r="M279" s="161"/>
    </row>
    <row r="280" spans="2:23" ht="15.75">
      <c r="B280" s="661"/>
      <c r="C280" s="661"/>
      <c r="D280" s="661"/>
      <c r="E280" s="661"/>
      <c r="F280" s="661"/>
      <c r="G280" s="661"/>
      <c r="K280" s="1037" t="s">
        <v>20</v>
      </c>
      <c r="L280" s="1038" t="s">
        <v>2525</v>
      </c>
    </row>
    <row r="281" spans="2:23">
      <c r="B281" s="1037" t="s">
        <v>20</v>
      </c>
      <c r="C281" s="1038" t="s">
        <v>2525</v>
      </c>
      <c r="D281" s="161"/>
      <c r="K281" s="1037" t="s">
        <v>35</v>
      </c>
      <c r="L281" s="1038" t="s">
        <v>35</v>
      </c>
      <c r="M281" s="147"/>
      <c r="U281" s="1037" t="s">
        <v>20</v>
      </c>
      <c r="V281" s="1038" t="s">
        <v>2525</v>
      </c>
      <c r="W281" s="161"/>
    </row>
    <row r="282" spans="2:23">
      <c r="B282" s="1037" t="s">
        <v>35</v>
      </c>
      <c r="C282" s="1038" t="s">
        <v>35</v>
      </c>
      <c r="D282" s="147"/>
      <c r="K282" s="1046" t="s">
        <v>22</v>
      </c>
      <c r="L282" s="1047" t="s">
        <v>716</v>
      </c>
      <c r="M282" s="147"/>
      <c r="U282" s="1037" t="s">
        <v>35</v>
      </c>
      <c r="V282" s="1038" t="s">
        <v>35</v>
      </c>
      <c r="W282" s="147"/>
    </row>
    <row r="283" spans="2:23">
      <c r="B283" s="1046" t="s">
        <v>22</v>
      </c>
      <c r="C283" s="1047" t="s">
        <v>39</v>
      </c>
      <c r="D283" s="147"/>
      <c r="K283" s="1037" t="s">
        <v>142</v>
      </c>
      <c r="L283" s="1038" t="s">
        <v>1668</v>
      </c>
      <c r="M283" s="147"/>
      <c r="U283" s="1046" t="s">
        <v>22</v>
      </c>
      <c r="V283" s="1038" t="s">
        <v>716</v>
      </c>
      <c r="W283" s="147"/>
    </row>
    <row r="284" spans="2:23">
      <c r="B284" s="1037" t="s">
        <v>142</v>
      </c>
      <c r="C284" s="1038" t="s">
        <v>1668</v>
      </c>
      <c r="D284" s="147"/>
      <c r="K284" s="745"/>
      <c r="L284" s="147"/>
      <c r="M284" s="147"/>
      <c r="U284" s="1037" t="s">
        <v>142</v>
      </c>
      <c r="V284" s="1038" t="s">
        <v>3028</v>
      </c>
      <c r="W284" s="147"/>
    </row>
    <row r="285" spans="2:23">
      <c r="B285" s="745"/>
      <c r="C285" s="147"/>
      <c r="D285" s="147"/>
      <c r="K285" s="1044" t="s">
        <v>22</v>
      </c>
      <c r="L285" s="1038" t="s">
        <v>3231</v>
      </c>
      <c r="M285" s="1038" t="s">
        <v>3224</v>
      </c>
      <c r="U285" s="745"/>
      <c r="V285" s="147"/>
      <c r="W285" s="147"/>
    </row>
    <row r="286" spans="2:23">
      <c r="B286" s="1044" t="s">
        <v>22</v>
      </c>
      <c r="C286" s="1038" t="s">
        <v>3231</v>
      </c>
      <c r="D286" s="1038" t="s">
        <v>3224</v>
      </c>
      <c r="K286" s="1041" t="s">
        <v>735</v>
      </c>
      <c r="L286" s="1043">
        <v>1</v>
      </c>
      <c r="M286" s="1043">
        <v>0</v>
      </c>
      <c r="U286" s="1044" t="s">
        <v>22</v>
      </c>
      <c r="V286" s="1038" t="s">
        <v>3231</v>
      </c>
      <c r="W286" s="1038" t="s">
        <v>3224</v>
      </c>
    </row>
    <row r="287" spans="2:23">
      <c r="B287" s="1041" t="s">
        <v>203</v>
      </c>
      <c r="C287" s="1043">
        <v>0.77909090909090906</v>
      </c>
      <c r="D287" s="1043">
        <v>0.22090909090909094</v>
      </c>
      <c r="K287" s="1041" t="s">
        <v>720</v>
      </c>
      <c r="L287" s="1043">
        <v>0.93943383805134961</v>
      </c>
      <c r="M287" s="1043">
        <v>6.0566161948650388E-2</v>
      </c>
      <c r="U287" s="1041" t="s">
        <v>757</v>
      </c>
      <c r="V287" s="1043">
        <v>0.44836533471717693</v>
      </c>
      <c r="W287" s="1043">
        <v>0.55163466528282301</v>
      </c>
    </row>
    <row r="288" spans="2:23">
      <c r="B288" s="1041" t="s">
        <v>154</v>
      </c>
      <c r="C288" s="1043">
        <v>1</v>
      </c>
      <c r="D288" s="1043">
        <v>0</v>
      </c>
      <c r="K288" s="1041" t="s">
        <v>723</v>
      </c>
      <c r="L288" s="1043">
        <v>1</v>
      </c>
      <c r="M288" s="1043">
        <v>0</v>
      </c>
    </row>
    <row r="289" spans="2:25">
      <c r="B289" s="1041" t="s">
        <v>156</v>
      </c>
      <c r="C289" s="1043">
        <v>0.99642857142857144</v>
      </c>
      <c r="D289" s="1043">
        <v>3.5714285714285587E-3</v>
      </c>
      <c r="K289" s="1041" t="s">
        <v>726</v>
      </c>
      <c r="L289" s="1043">
        <v>0.38143036386449186</v>
      </c>
      <c r="M289" s="1043">
        <v>0.61856963613550819</v>
      </c>
    </row>
    <row r="290" spans="2:25">
      <c r="B290" s="1041" t="s">
        <v>40</v>
      </c>
      <c r="C290" s="1043">
        <v>0.92797927461139895</v>
      </c>
      <c r="D290" s="1043">
        <v>7.2020725388601048E-2</v>
      </c>
      <c r="K290" s="1041" t="s">
        <v>717</v>
      </c>
      <c r="L290" s="1043">
        <v>1</v>
      </c>
      <c r="M290" s="1043">
        <v>0</v>
      </c>
    </row>
    <row r="291" spans="2:25">
      <c r="B291" s="1041" t="s">
        <v>160</v>
      </c>
      <c r="C291" s="1043">
        <v>1</v>
      </c>
      <c r="D291" s="1043">
        <v>0</v>
      </c>
      <c r="K291" s="1041" t="s">
        <v>737</v>
      </c>
      <c r="L291" s="1043">
        <v>0.94279661016949157</v>
      </c>
      <c r="M291" s="1043">
        <v>5.7203389830508433E-2</v>
      </c>
    </row>
    <row r="292" spans="2:25" ht="15.75">
      <c r="B292" s="1041" t="s">
        <v>165</v>
      </c>
      <c r="C292" s="1043">
        <v>0.57692307692307687</v>
      </c>
      <c r="D292" s="1043">
        <v>0.42307692307692313</v>
      </c>
      <c r="K292"/>
      <c r="L292"/>
      <c r="M292"/>
    </row>
    <row r="293" spans="2:25" ht="15.75">
      <c r="B293" s="1041" t="s">
        <v>213</v>
      </c>
      <c r="C293" s="1043">
        <v>0.39004971539736294</v>
      </c>
      <c r="D293" s="1043">
        <v>0.60995028460263701</v>
      </c>
      <c r="K293"/>
      <c r="L293"/>
      <c r="M293"/>
    </row>
    <row r="294" spans="2:25" ht="15.75">
      <c r="B294" s="1041" t="s">
        <v>167</v>
      </c>
      <c r="C294" s="1043">
        <v>0.90988341560760422</v>
      </c>
      <c r="D294" s="1043">
        <v>9.0116584392395782E-2</v>
      </c>
      <c r="K294"/>
      <c r="L294"/>
      <c r="M294"/>
    </row>
    <row r="295" spans="2:25" ht="15.75">
      <c r="B295" s="1041" t="s">
        <v>181</v>
      </c>
      <c r="C295" s="1043">
        <v>1</v>
      </c>
      <c r="D295" s="1043">
        <v>0</v>
      </c>
      <c r="K295"/>
      <c r="L295"/>
      <c r="M295"/>
    </row>
    <row r="296" spans="2:25" ht="15.75">
      <c r="B296" s="1041" t="s">
        <v>222</v>
      </c>
      <c r="C296" s="1043">
        <v>0</v>
      </c>
      <c r="D296" s="1043">
        <v>1</v>
      </c>
      <c r="K296"/>
      <c r="L296"/>
      <c r="M296"/>
    </row>
    <row r="297" spans="2:25" ht="15.75">
      <c r="B297" s="1041" t="s">
        <v>192</v>
      </c>
      <c r="C297" s="1043">
        <v>1</v>
      </c>
      <c r="D297" s="1043">
        <v>0</v>
      </c>
      <c r="K297"/>
      <c r="L297"/>
      <c r="M297"/>
    </row>
    <row r="298" spans="2:25" ht="15.75">
      <c r="B298" s="1041" t="s">
        <v>150</v>
      </c>
      <c r="C298" s="1043">
        <v>0.51616466602842626</v>
      </c>
      <c r="D298" s="1043">
        <v>0.48383533397157374</v>
      </c>
      <c r="K298"/>
      <c r="L298"/>
      <c r="M298"/>
    </row>
    <row r="299" spans="2:25" ht="15.75">
      <c r="B299"/>
      <c r="C299"/>
      <c r="D299"/>
      <c r="K299"/>
      <c r="L299"/>
      <c r="M299"/>
    </row>
    <row r="300" spans="2:25" ht="15.75">
      <c r="B300"/>
      <c r="C300"/>
      <c r="D300"/>
    </row>
    <row r="301" spans="2:25">
      <c r="B301" s="147"/>
      <c r="C301" s="147"/>
      <c r="D301" s="147"/>
    </row>
    <row r="302" spans="2:25">
      <c r="B302" s="147"/>
      <c r="C302" s="147"/>
      <c r="D302" s="147"/>
    </row>
    <row r="303" spans="2:25" ht="15.75">
      <c r="B303" s="1037" t="s">
        <v>20</v>
      </c>
      <c r="C303" s="1038" t="s">
        <v>2525</v>
      </c>
      <c r="D303" s="161"/>
      <c r="K303" s="1037" t="s">
        <v>20</v>
      </c>
      <c r="L303" s="1038" t="s">
        <v>2525</v>
      </c>
      <c r="M303" s="161"/>
      <c r="T303"/>
      <c r="W303" s="1037" t="s">
        <v>20</v>
      </c>
      <c r="X303" s="1038" t="s">
        <v>2525</v>
      </c>
      <c r="Y303" s="161"/>
    </row>
    <row r="304" spans="2:25">
      <c r="B304" s="1037" t="s">
        <v>35</v>
      </c>
      <c r="C304" s="1038" t="s">
        <v>35</v>
      </c>
      <c r="D304" s="147"/>
      <c r="K304" s="1037" t="s">
        <v>35</v>
      </c>
      <c r="L304" s="1038" t="s">
        <v>35</v>
      </c>
      <c r="M304" s="147"/>
      <c r="W304" s="1037" t="s">
        <v>35</v>
      </c>
      <c r="X304" s="1038" t="s">
        <v>35</v>
      </c>
      <c r="Y304" s="147"/>
    </row>
    <row r="305" spans="2:25">
      <c r="B305" s="1046" t="s">
        <v>22</v>
      </c>
      <c r="C305" s="1047" t="s">
        <v>1668</v>
      </c>
      <c r="D305" s="147"/>
      <c r="K305" s="1046" t="s">
        <v>22</v>
      </c>
      <c r="L305" s="1047" t="s">
        <v>1668</v>
      </c>
      <c r="M305" s="147"/>
      <c r="W305" s="1046" t="s">
        <v>22</v>
      </c>
      <c r="X305" s="1047" t="s">
        <v>1668</v>
      </c>
      <c r="Y305" s="147"/>
    </row>
    <row r="306" spans="2:25">
      <c r="B306" s="1037" t="s">
        <v>142</v>
      </c>
      <c r="C306" s="1038" t="s">
        <v>1668</v>
      </c>
      <c r="D306" s="147"/>
      <c r="K306" s="1037" t="s">
        <v>142</v>
      </c>
      <c r="L306" s="1038" t="s">
        <v>812</v>
      </c>
      <c r="M306" s="147"/>
      <c r="W306" s="1037" t="s">
        <v>142</v>
      </c>
      <c r="X306" s="1038" t="s">
        <v>3028</v>
      </c>
      <c r="Y306" s="147"/>
    </row>
    <row r="307" spans="2:25">
      <c r="B307" s="763" t="s">
        <v>312</v>
      </c>
      <c r="C307" s="147"/>
      <c r="D307" s="147"/>
      <c r="K307" s="763" t="s">
        <v>312</v>
      </c>
      <c r="L307" s="147"/>
      <c r="M307" s="147"/>
      <c r="W307" s="763" t="s">
        <v>312</v>
      </c>
      <c r="X307" s="147"/>
      <c r="Y307" s="147"/>
    </row>
    <row r="308" spans="2:25">
      <c r="B308" s="1044" t="s">
        <v>22</v>
      </c>
      <c r="C308" s="1038" t="s">
        <v>3231</v>
      </c>
      <c r="D308" s="1038" t="s">
        <v>3224</v>
      </c>
      <c r="K308" s="1044" t="s">
        <v>22</v>
      </c>
      <c r="L308" s="1038" t="s">
        <v>3231</v>
      </c>
      <c r="M308" s="1038" t="s">
        <v>3224</v>
      </c>
      <c r="W308" s="1044" t="s">
        <v>22</v>
      </c>
      <c r="X308" s="1038" t="s">
        <v>3231</v>
      </c>
      <c r="Y308" s="1038" t="s">
        <v>3224</v>
      </c>
    </row>
    <row r="309" spans="2:25" ht="15.75">
      <c r="B309" s="1041" t="s">
        <v>375</v>
      </c>
      <c r="C309" s="1043">
        <v>1</v>
      </c>
      <c r="D309" s="1043">
        <v>0</v>
      </c>
      <c r="K309" s="1041" t="s">
        <v>337</v>
      </c>
      <c r="L309" s="1043">
        <v>0.99641672431837935</v>
      </c>
      <c r="M309" s="1043">
        <v>3.5832756816206457E-3</v>
      </c>
      <c r="T309"/>
      <c r="W309" s="1041" t="s">
        <v>337</v>
      </c>
      <c r="X309" s="1043">
        <v>0.37735849056603776</v>
      </c>
      <c r="Y309" s="1043">
        <v>0.62264150943396224</v>
      </c>
    </row>
    <row r="310" spans="2:25" ht="15.75">
      <c r="B310" s="1041" t="s">
        <v>320</v>
      </c>
      <c r="C310" s="1043">
        <v>0</v>
      </c>
      <c r="D310" s="1043">
        <v>1</v>
      </c>
      <c r="K310" s="1041" t="s">
        <v>375</v>
      </c>
      <c r="L310" s="1043">
        <v>9.3596059113300489E-2</v>
      </c>
      <c r="M310" s="1043">
        <v>0.90640394088669951</v>
      </c>
      <c r="T310"/>
      <c r="W310" s="1041" t="s">
        <v>320</v>
      </c>
      <c r="X310" s="1043">
        <v>0.51717331227793129</v>
      </c>
      <c r="Y310" s="1043">
        <v>0.48282668772206871</v>
      </c>
    </row>
    <row r="311" spans="2:25" ht="15.75">
      <c r="B311" s="1041" t="s">
        <v>417</v>
      </c>
      <c r="C311" s="1043">
        <v>1</v>
      </c>
      <c r="D311" s="1043">
        <v>0</v>
      </c>
      <c r="K311" s="1041" t="s">
        <v>320</v>
      </c>
      <c r="L311" s="1043">
        <v>0</v>
      </c>
      <c r="M311" s="1043">
        <v>1</v>
      </c>
      <c r="T311"/>
      <c r="W311" s="1041" t="s">
        <v>330</v>
      </c>
      <c r="X311" s="1043">
        <v>1</v>
      </c>
      <c r="Y311" s="1043">
        <v>0</v>
      </c>
    </row>
    <row r="312" spans="2:25" ht="15.75">
      <c r="B312" s="1041" t="s">
        <v>420</v>
      </c>
      <c r="C312" s="1043">
        <v>1</v>
      </c>
      <c r="D312" s="1043">
        <v>0</v>
      </c>
      <c r="K312" s="1041" t="s">
        <v>323</v>
      </c>
      <c r="L312" s="1043">
        <v>0.89277525993068518</v>
      </c>
      <c r="M312" s="1043">
        <v>0.10722474006931482</v>
      </c>
      <c r="T312"/>
      <c r="W312" s="1041" t="s">
        <v>489</v>
      </c>
      <c r="X312" s="1043">
        <v>0.52809105018106572</v>
      </c>
      <c r="Y312" s="1043">
        <v>0.47190894981893428</v>
      </c>
    </row>
    <row r="313" spans="2:25" ht="15.75">
      <c r="B313" s="1041" t="s">
        <v>313</v>
      </c>
      <c r="C313" s="1043">
        <v>0.97951059721890799</v>
      </c>
      <c r="D313" s="1043">
        <v>2.0489402781092014E-2</v>
      </c>
      <c r="K313" s="1041" t="s">
        <v>330</v>
      </c>
      <c r="L313" s="1043">
        <v>0</v>
      </c>
      <c r="M313" s="1043">
        <v>1</v>
      </c>
      <c r="T313"/>
      <c r="W313" s="1041" t="s">
        <v>470</v>
      </c>
      <c r="X313" s="1043">
        <v>0.82807498856881578</v>
      </c>
      <c r="Y313" s="1043">
        <v>0.17192501143118422</v>
      </c>
    </row>
    <row r="314" spans="2:25" ht="15.75">
      <c r="B314"/>
      <c r="C314"/>
      <c r="D314"/>
      <c r="K314" s="1041" t="s">
        <v>417</v>
      </c>
      <c r="L314" s="1043">
        <v>1</v>
      </c>
      <c r="M314" s="1043">
        <v>0</v>
      </c>
      <c r="T314"/>
      <c r="W314" s="1041" t="s">
        <v>355</v>
      </c>
      <c r="X314" s="1043">
        <v>0</v>
      </c>
      <c r="Y314" s="1043">
        <v>1</v>
      </c>
    </row>
    <row r="315" spans="2:25" ht="15.75">
      <c r="B315"/>
      <c r="C315"/>
      <c r="D315"/>
      <c r="K315" s="1041" t="s">
        <v>420</v>
      </c>
      <c r="L315" s="1043">
        <v>0.33513533528344502</v>
      </c>
      <c r="M315" s="1043">
        <v>0.66486466471655503</v>
      </c>
      <c r="T315"/>
      <c r="U315"/>
      <c r="V315"/>
      <c r="W315"/>
      <c r="X315"/>
      <c r="Y315"/>
    </row>
    <row r="316" spans="2:25" ht="15.75">
      <c r="B316"/>
      <c r="C316"/>
      <c r="D316"/>
      <c r="K316" s="1041" t="s">
        <v>313</v>
      </c>
      <c r="L316" s="1043">
        <v>0.11961424578686665</v>
      </c>
      <c r="M316" s="1043">
        <v>0.88038575421313336</v>
      </c>
      <c r="U316"/>
      <c r="V316"/>
      <c r="W316"/>
      <c r="X316"/>
      <c r="Y316"/>
    </row>
    <row r="317" spans="2:25" ht="15.75">
      <c r="B317"/>
      <c r="C317"/>
      <c r="D317"/>
      <c r="K317"/>
      <c r="L317"/>
      <c r="M317"/>
      <c r="U317"/>
      <c r="V317"/>
      <c r="W317"/>
      <c r="X317"/>
      <c r="Y317"/>
    </row>
    <row r="318" spans="2:25" ht="15.75">
      <c r="B318" s="147"/>
      <c r="C318" s="147"/>
      <c r="D318" s="147"/>
      <c r="K318"/>
      <c r="L318"/>
      <c r="M318"/>
      <c r="U318"/>
      <c r="V318"/>
      <c r="W318"/>
    </row>
    <row r="319" spans="2:25" ht="15.75">
      <c r="B319" s="147"/>
      <c r="C319" s="147"/>
      <c r="D319" s="147"/>
      <c r="K319"/>
      <c r="L319"/>
      <c r="M319"/>
      <c r="U319"/>
      <c r="V319"/>
      <c r="W319"/>
    </row>
    <row r="320" spans="2:25" ht="15.75">
      <c r="B320" s="147"/>
      <c r="C320" s="147"/>
      <c r="D320" s="147"/>
      <c r="K320" s="847"/>
      <c r="L320" s="848"/>
      <c r="M320" s="848"/>
      <c r="U320" s="661"/>
      <c r="V320" s="661"/>
      <c r="W320" s="661"/>
    </row>
    <row r="321" spans="1:26" ht="15.75">
      <c r="B321" s="147"/>
      <c r="C321" s="147"/>
      <c r="D321" s="147"/>
      <c r="K321" s="847"/>
      <c r="L321" s="848"/>
      <c r="M321" s="848"/>
      <c r="U321" s="661"/>
      <c r="V321" s="661"/>
      <c r="W321" s="661"/>
    </row>
    <row r="322" spans="1:26" ht="15.75">
      <c r="B322" s="147"/>
      <c r="C322" s="147"/>
      <c r="D322" s="147"/>
      <c r="K322" s="847"/>
      <c r="L322" s="848"/>
      <c r="M322" s="848"/>
      <c r="U322" s="661"/>
      <c r="V322" s="661"/>
      <c r="W322" s="661"/>
    </row>
    <row r="323" spans="1:26" ht="15.75">
      <c r="B323" s="147"/>
      <c r="C323" s="147"/>
      <c r="D323" s="147"/>
      <c r="K323" s="847"/>
      <c r="L323" s="848"/>
      <c r="M323" s="848"/>
      <c r="U323" s="661"/>
      <c r="V323" s="661"/>
      <c r="W323" s="661"/>
    </row>
    <row r="324" spans="1:26" ht="18.75">
      <c r="A324" s="205" t="s">
        <v>1679</v>
      </c>
      <c r="B324" s="169"/>
      <c r="C324" s="169"/>
      <c r="D324" s="169"/>
      <c r="E324" s="169"/>
      <c r="F324" s="169"/>
      <c r="G324" s="169"/>
      <c r="H324" s="169"/>
      <c r="I324" s="169"/>
      <c r="J324" s="169"/>
      <c r="K324" s="169"/>
      <c r="L324" s="169"/>
      <c r="M324" s="169"/>
      <c r="N324" s="169"/>
      <c r="O324" s="169"/>
      <c r="P324" s="169"/>
      <c r="Q324" s="169"/>
      <c r="R324" s="169"/>
      <c r="S324" s="169"/>
      <c r="T324" s="169"/>
      <c r="U324" s="169"/>
      <c r="V324" s="169"/>
      <c r="W324" s="169"/>
      <c r="X324" s="169"/>
      <c r="Y324" s="169"/>
      <c r="Z324" s="169"/>
    </row>
    <row r="325" spans="1:26">
      <c r="B325" s="147"/>
      <c r="C325" s="147"/>
      <c r="D325" s="147"/>
    </row>
    <row r="326" spans="1:26">
      <c r="B326" s="147"/>
      <c r="C326" s="147"/>
      <c r="D326" s="147"/>
    </row>
    <row r="327" spans="1:26">
      <c r="C327" s="1037" t="s">
        <v>20</v>
      </c>
      <c r="D327" s="1038" t="s">
        <v>2525</v>
      </c>
      <c r="H327" s="1037" t="s">
        <v>20</v>
      </c>
      <c r="I327" s="1038" t="s">
        <v>2525</v>
      </c>
      <c r="N327" s="1037" t="s">
        <v>20</v>
      </c>
      <c r="O327" s="1038" t="s">
        <v>2525</v>
      </c>
    </row>
    <row r="328" spans="1:26">
      <c r="C328" s="1047" t="s">
        <v>22</v>
      </c>
      <c r="D328" s="1038" t="s">
        <v>39</v>
      </c>
      <c r="H328" s="1047" t="s">
        <v>22</v>
      </c>
      <c r="I328" s="1038" t="s">
        <v>1668</v>
      </c>
      <c r="N328" s="1047" t="s">
        <v>22</v>
      </c>
      <c r="O328" s="1047" t="s">
        <v>716</v>
      </c>
    </row>
    <row r="330" spans="1:26">
      <c r="C330" s="1037" t="s">
        <v>1929</v>
      </c>
      <c r="D330" s="1037" t="s">
        <v>1926</v>
      </c>
      <c r="E330" s="1038"/>
      <c r="H330" s="1037" t="s">
        <v>1929</v>
      </c>
      <c r="I330" s="1037" t="s">
        <v>1926</v>
      </c>
      <c r="J330" s="1038"/>
      <c r="N330" s="1037" t="s">
        <v>1929</v>
      </c>
      <c r="O330" s="1037" t="s">
        <v>1926</v>
      </c>
      <c r="P330" s="1038"/>
    </row>
    <row r="331" spans="1:26">
      <c r="C331" s="1037" t="s">
        <v>1667</v>
      </c>
      <c r="D331" s="1038" t="s">
        <v>35</v>
      </c>
      <c r="E331" s="1038" t="s">
        <v>1680</v>
      </c>
      <c r="H331" s="1037" t="s">
        <v>1667</v>
      </c>
      <c r="I331" s="1038" t="s">
        <v>35</v>
      </c>
      <c r="J331" s="1038" t="s">
        <v>1680</v>
      </c>
      <c r="N331" s="1037" t="s">
        <v>1667</v>
      </c>
      <c r="O331" s="1038" t="s">
        <v>35</v>
      </c>
      <c r="P331" s="1038" t="s">
        <v>1680</v>
      </c>
    </row>
    <row r="332" spans="1:26">
      <c r="C332" s="1041" t="s">
        <v>45</v>
      </c>
      <c r="D332" s="1048">
        <v>112</v>
      </c>
      <c r="E332" s="1048">
        <v>27</v>
      </c>
      <c r="H332" s="1041" t="s">
        <v>45</v>
      </c>
      <c r="I332" s="1048">
        <v>25</v>
      </c>
      <c r="J332" s="1048"/>
      <c r="N332" s="1041" t="s">
        <v>45</v>
      </c>
      <c r="O332" s="1048">
        <v>28</v>
      </c>
      <c r="P332" s="1048">
        <v>8</v>
      </c>
    </row>
    <row r="333" spans="1:26">
      <c r="C333" s="1041" t="s">
        <v>1481</v>
      </c>
      <c r="D333" s="1048">
        <v>22</v>
      </c>
      <c r="E333" s="1048"/>
      <c r="H333" s="1041" t="s">
        <v>812</v>
      </c>
      <c r="I333" s="1048">
        <v>186</v>
      </c>
      <c r="J333" s="1048">
        <v>8</v>
      </c>
      <c r="N333" s="1041" t="s">
        <v>1481</v>
      </c>
      <c r="O333" s="1048"/>
      <c r="P333" s="1048">
        <v>1</v>
      </c>
    </row>
    <row r="334" spans="1:26" ht="15.75">
      <c r="C334"/>
      <c r="D334"/>
      <c r="E334"/>
      <c r="H334" s="1041" t="s">
        <v>818</v>
      </c>
      <c r="I334" s="1048">
        <v>22</v>
      </c>
      <c r="J334" s="1048"/>
      <c r="N334" s="1041" t="s">
        <v>3028</v>
      </c>
      <c r="O334" s="1048">
        <v>3</v>
      </c>
      <c r="P334" s="1048"/>
    </row>
    <row r="335" spans="1:26" ht="15.75">
      <c r="C335"/>
      <c r="D335"/>
      <c r="E335"/>
      <c r="H335" s="1041" t="s">
        <v>3028</v>
      </c>
      <c r="I335" s="1048">
        <v>49</v>
      </c>
      <c r="J335" s="1048">
        <v>46</v>
      </c>
    </row>
    <row r="336" spans="1:26" ht="15.75">
      <c r="H336"/>
      <c r="I336"/>
      <c r="J336"/>
    </row>
    <row r="348" spans="1:26" ht="18.75">
      <c r="A348" s="206" t="s">
        <v>2059</v>
      </c>
      <c r="B348" s="202"/>
      <c r="C348" s="202"/>
      <c r="D348" s="202"/>
      <c r="E348" s="202"/>
      <c r="F348" s="202"/>
      <c r="G348" s="202"/>
      <c r="H348" s="202"/>
      <c r="I348" s="202"/>
      <c r="J348" s="202"/>
      <c r="K348" s="202"/>
      <c r="L348" s="202"/>
      <c r="M348" s="202"/>
      <c r="N348" s="202"/>
      <c r="O348" s="202"/>
      <c r="P348" s="202"/>
      <c r="Q348" s="202"/>
      <c r="R348" s="202"/>
      <c r="S348" s="202"/>
      <c r="T348" s="202"/>
      <c r="U348" s="202"/>
      <c r="V348" s="202"/>
      <c r="W348" s="202"/>
      <c r="X348" s="202"/>
      <c r="Y348" s="202"/>
      <c r="Z348" s="202"/>
    </row>
    <row r="351" spans="1:26">
      <c r="C351" s="1037" t="s">
        <v>20</v>
      </c>
      <c r="D351" s="1038" t="s">
        <v>2525</v>
      </c>
    </row>
    <row r="352" spans="1:26">
      <c r="C352" s="1037" t="s">
        <v>35</v>
      </c>
      <c r="D352" s="1038" t="s">
        <v>1680</v>
      </c>
    </row>
    <row r="354" spans="3:12">
      <c r="C354" s="1037" t="s">
        <v>22</v>
      </c>
      <c r="D354" s="1037" t="s">
        <v>23</v>
      </c>
      <c r="E354" s="1037" t="s">
        <v>24</v>
      </c>
      <c r="F354" s="1037" t="s">
        <v>30</v>
      </c>
      <c r="G354" s="1038" t="s">
        <v>1929</v>
      </c>
      <c r="H354" s="1038" t="s">
        <v>1981</v>
      </c>
      <c r="I354" s="1038" t="s">
        <v>1982</v>
      </c>
      <c r="J354" s="1038" t="s">
        <v>1983</v>
      </c>
      <c r="K354" s="1038" t="s">
        <v>1984</v>
      </c>
      <c r="L354" s="1038" t="s">
        <v>1985</v>
      </c>
    </row>
    <row r="355" spans="3:12">
      <c r="C355" s="1038" t="s">
        <v>39</v>
      </c>
      <c r="D355" s="1038" t="s">
        <v>203</v>
      </c>
      <c r="E355" s="1038" t="s">
        <v>1023</v>
      </c>
      <c r="F355" s="1038" t="s">
        <v>786</v>
      </c>
      <c r="G355" s="1048">
        <v>1</v>
      </c>
      <c r="H355" s="1050">
        <v>190</v>
      </c>
      <c r="I355" s="1050">
        <v>928</v>
      </c>
      <c r="J355" s="1043">
        <v>1</v>
      </c>
      <c r="K355" s="1043">
        <v>1</v>
      </c>
      <c r="L355" s="1043">
        <v>1</v>
      </c>
    </row>
    <row r="356" spans="3:12">
      <c r="C356" s="1038"/>
      <c r="D356" s="1038" t="s">
        <v>156</v>
      </c>
      <c r="E356" s="1038" t="s">
        <v>238</v>
      </c>
      <c r="F356" s="1038" t="s">
        <v>1101</v>
      </c>
      <c r="G356" s="1048">
        <v>1</v>
      </c>
      <c r="H356" s="1050">
        <v>70</v>
      </c>
      <c r="I356" s="1050">
        <v>350</v>
      </c>
      <c r="J356" s="1043">
        <v>1</v>
      </c>
      <c r="K356" s="1043">
        <v>1</v>
      </c>
      <c r="L356" s="1043">
        <v>1</v>
      </c>
    </row>
    <row r="357" spans="3:12">
      <c r="C357" s="1038"/>
      <c r="D357" s="1038"/>
      <c r="E357" s="1038" t="s">
        <v>265</v>
      </c>
      <c r="F357" s="1038" t="s">
        <v>790</v>
      </c>
      <c r="G357" s="1048">
        <v>1</v>
      </c>
      <c r="H357" s="1050">
        <v>3</v>
      </c>
      <c r="I357" s="1050">
        <v>15</v>
      </c>
      <c r="J357" s="1043">
        <v>0</v>
      </c>
      <c r="K357" s="1043">
        <v>1</v>
      </c>
      <c r="L357" s="1043">
        <v>1</v>
      </c>
    </row>
    <row r="358" spans="3:12">
      <c r="C358" s="1038"/>
      <c r="D358" s="1038"/>
      <c r="E358" s="1038" t="s">
        <v>198</v>
      </c>
      <c r="F358" s="1038" t="s">
        <v>1101</v>
      </c>
      <c r="G358" s="1048">
        <v>1</v>
      </c>
      <c r="H358" s="1050">
        <v>10</v>
      </c>
      <c r="I358" s="1050">
        <v>18</v>
      </c>
      <c r="J358" s="1043">
        <v>1</v>
      </c>
      <c r="K358" s="1043">
        <v>1</v>
      </c>
      <c r="L358" s="1043">
        <v>1</v>
      </c>
    </row>
    <row r="359" spans="3:12">
      <c r="C359" s="1038"/>
      <c r="D359" s="1038" t="s">
        <v>40</v>
      </c>
      <c r="E359" s="1038" t="s">
        <v>306</v>
      </c>
      <c r="F359" s="1038" t="s">
        <v>1101</v>
      </c>
      <c r="G359" s="1048">
        <v>1</v>
      </c>
      <c r="H359" s="1050">
        <v>127</v>
      </c>
      <c r="I359" s="1050">
        <v>647</v>
      </c>
      <c r="J359" s="1043">
        <v>1</v>
      </c>
      <c r="K359" s="1043">
        <v>1</v>
      </c>
      <c r="L359" s="1043">
        <v>1</v>
      </c>
    </row>
    <row r="360" spans="3:12">
      <c r="C360" s="1038"/>
      <c r="D360" s="1038"/>
      <c r="E360" s="1038" t="s">
        <v>308</v>
      </c>
      <c r="F360" s="1038" t="s">
        <v>1101</v>
      </c>
      <c r="G360" s="1048">
        <v>1</v>
      </c>
      <c r="H360" s="1050">
        <v>117</v>
      </c>
      <c r="I360" s="1050">
        <v>524</v>
      </c>
      <c r="J360" s="1043">
        <v>1</v>
      </c>
      <c r="K360" s="1043">
        <v>1</v>
      </c>
      <c r="L360" s="1043">
        <v>1</v>
      </c>
    </row>
    <row r="361" spans="3:12">
      <c r="C361" s="1038"/>
      <c r="D361" s="1038"/>
      <c r="E361" s="1038" t="s">
        <v>309</v>
      </c>
      <c r="F361" s="1038" t="s">
        <v>1101</v>
      </c>
      <c r="G361" s="1048">
        <v>1</v>
      </c>
      <c r="H361" s="1050">
        <v>443</v>
      </c>
      <c r="I361" s="1050">
        <v>2338</v>
      </c>
      <c r="J361" s="1043">
        <v>1</v>
      </c>
      <c r="K361" s="1043">
        <v>1</v>
      </c>
      <c r="L361" s="1043">
        <v>1</v>
      </c>
    </row>
    <row r="362" spans="3:12">
      <c r="C362" s="1038"/>
      <c r="D362" s="1038"/>
      <c r="E362" s="1038" t="s">
        <v>310</v>
      </c>
      <c r="F362" s="1038" t="s">
        <v>1101</v>
      </c>
      <c r="G362" s="1048">
        <v>1</v>
      </c>
      <c r="H362" s="1050">
        <v>119</v>
      </c>
      <c r="I362" s="1050">
        <v>637</v>
      </c>
      <c r="J362" s="1043">
        <v>1</v>
      </c>
      <c r="K362" s="1043">
        <v>1</v>
      </c>
      <c r="L362" s="1043">
        <v>1</v>
      </c>
    </row>
    <row r="363" spans="3:12">
      <c r="C363" s="1038"/>
      <c r="D363" s="1038"/>
      <c r="E363" s="1038" t="s">
        <v>991</v>
      </c>
      <c r="F363" s="1038" t="s">
        <v>786</v>
      </c>
      <c r="G363" s="1048">
        <v>1</v>
      </c>
      <c r="H363" s="1050">
        <v>175</v>
      </c>
      <c r="I363" s="1050">
        <v>834</v>
      </c>
      <c r="J363" s="1043">
        <v>1</v>
      </c>
      <c r="K363" s="1043">
        <v>1</v>
      </c>
      <c r="L363" s="1043">
        <v>1</v>
      </c>
    </row>
    <row r="364" spans="3:12">
      <c r="C364" s="1038"/>
      <c r="D364" s="1038"/>
      <c r="E364" s="1038" t="s">
        <v>1009</v>
      </c>
      <c r="F364" s="1038" t="s">
        <v>786</v>
      </c>
      <c r="G364" s="1048">
        <v>1</v>
      </c>
      <c r="H364" s="1050">
        <v>80</v>
      </c>
      <c r="I364" s="1050">
        <v>290</v>
      </c>
      <c r="J364" s="1043">
        <v>1</v>
      </c>
      <c r="K364" s="1043">
        <v>1</v>
      </c>
      <c r="L364" s="1043">
        <v>1</v>
      </c>
    </row>
    <row r="365" spans="3:12">
      <c r="C365" s="1038"/>
      <c r="D365" s="1038" t="s">
        <v>160</v>
      </c>
      <c r="E365" s="1038" t="s">
        <v>2017</v>
      </c>
      <c r="F365" s="1038" t="s">
        <v>790</v>
      </c>
      <c r="G365" s="1048">
        <v>1</v>
      </c>
      <c r="H365" s="1050">
        <v>6</v>
      </c>
      <c r="I365" s="1050">
        <v>32</v>
      </c>
      <c r="J365" s="1043">
        <v>1</v>
      </c>
      <c r="K365" s="1043">
        <v>1</v>
      </c>
      <c r="L365" s="1043">
        <v>1</v>
      </c>
    </row>
    <row r="366" spans="3:12">
      <c r="C366" s="1038"/>
      <c r="D366" s="1038" t="s">
        <v>165</v>
      </c>
      <c r="E366" s="1038" t="s">
        <v>1048</v>
      </c>
      <c r="F366" s="1038" t="s">
        <v>786</v>
      </c>
      <c r="G366" s="1048">
        <v>1</v>
      </c>
      <c r="H366" s="1050">
        <v>27</v>
      </c>
      <c r="I366" s="1050">
        <v>121</v>
      </c>
      <c r="J366" s="1043">
        <v>1</v>
      </c>
      <c r="K366" s="1043">
        <v>1</v>
      </c>
      <c r="L366" s="1043">
        <v>1</v>
      </c>
    </row>
    <row r="367" spans="3:12">
      <c r="C367" s="1038"/>
      <c r="D367" s="1038"/>
      <c r="E367" s="1038" t="s">
        <v>1044</v>
      </c>
      <c r="F367" s="1038" t="s">
        <v>786</v>
      </c>
      <c r="G367" s="1048">
        <v>1</v>
      </c>
      <c r="H367" s="1050">
        <v>14</v>
      </c>
      <c r="I367" s="1050">
        <v>63</v>
      </c>
      <c r="J367" s="1043">
        <v>1</v>
      </c>
      <c r="K367" s="1043">
        <v>1</v>
      </c>
      <c r="L367" s="1043">
        <v>1</v>
      </c>
    </row>
    <row r="368" spans="3:12">
      <c r="C368" s="1038"/>
      <c r="D368" s="1038" t="s">
        <v>213</v>
      </c>
      <c r="E368" s="1038" t="s">
        <v>1026</v>
      </c>
      <c r="F368" s="1038" t="s">
        <v>786</v>
      </c>
      <c r="G368" s="1048">
        <v>1</v>
      </c>
      <c r="H368" s="1050">
        <v>3</v>
      </c>
      <c r="I368" s="1050">
        <v>18</v>
      </c>
      <c r="J368" s="1043">
        <v>1</v>
      </c>
      <c r="K368" s="1043">
        <v>1</v>
      </c>
      <c r="L368" s="1043">
        <v>1</v>
      </c>
    </row>
    <row r="369" spans="3:12">
      <c r="C369" s="1038"/>
      <c r="D369" s="1038"/>
      <c r="E369" s="1038" t="s">
        <v>1018</v>
      </c>
      <c r="F369" s="1038" t="s">
        <v>786</v>
      </c>
      <c r="G369" s="1048">
        <v>1</v>
      </c>
      <c r="H369" s="1050">
        <v>223</v>
      </c>
      <c r="I369" s="1050">
        <v>1067</v>
      </c>
      <c r="J369" s="1043">
        <v>1</v>
      </c>
      <c r="K369" s="1043">
        <v>1</v>
      </c>
      <c r="L369" s="1043">
        <v>1</v>
      </c>
    </row>
    <row r="370" spans="3:12">
      <c r="C370" s="1038"/>
      <c r="D370" s="1038"/>
      <c r="E370" s="1038" t="s">
        <v>1028</v>
      </c>
      <c r="F370" s="1038" t="s">
        <v>786</v>
      </c>
      <c r="G370" s="1048">
        <v>1</v>
      </c>
      <c r="H370" s="1050">
        <v>47</v>
      </c>
      <c r="I370" s="1050">
        <v>153</v>
      </c>
      <c r="J370" s="1043">
        <v>1</v>
      </c>
      <c r="K370" s="1043">
        <v>1</v>
      </c>
      <c r="L370" s="1043">
        <v>1</v>
      </c>
    </row>
    <row r="371" spans="3:12">
      <c r="C371" s="1038"/>
      <c r="D371" s="1038" t="s">
        <v>167</v>
      </c>
      <c r="E371" s="1038" t="s">
        <v>785</v>
      </c>
      <c r="F371" s="1038" t="s">
        <v>786</v>
      </c>
      <c r="G371" s="1048">
        <v>1</v>
      </c>
      <c r="H371" s="1050">
        <v>375</v>
      </c>
      <c r="I371" s="1050">
        <v>1691</v>
      </c>
      <c r="J371" s="1043">
        <v>1</v>
      </c>
      <c r="K371" s="1043">
        <v>1</v>
      </c>
      <c r="L371" s="1043">
        <v>1</v>
      </c>
    </row>
    <row r="372" spans="3:12">
      <c r="C372" s="1038"/>
      <c r="D372" s="1038"/>
      <c r="E372" s="1038" t="s">
        <v>2191</v>
      </c>
      <c r="F372" s="1038" t="s">
        <v>1101</v>
      </c>
      <c r="G372" s="1048">
        <v>1</v>
      </c>
      <c r="H372" s="1050">
        <v>255</v>
      </c>
      <c r="I372" s="1050">
        <v>1374</v>
      </c>
      <c r="J372" s="1043">
        <v>1</v>
      </c>
      <c r="K372" s="1043">
        <v>1</v>
      </c>
      <c r="L372" s="1043">
        <v>1</v>
      </c>
    </row>
    <row r="373" spans="3:12">
      <c r="C373" s="1038"/>
      <c r="D373" s="1038" t="s">
        <v>181</v>
      </c>
      <c r="E373" s="1038" t="s">
        <v>1088</v>
      </c>
      <c r="F373" s="1038" t="s">
        <v>786</v>
      </c>
      <c r="G373" s="1048">
        <v>1</v>
      </c>
      <c r="H373" s="1050">
        <v>10</v>
      </c>
      <c r="I373" s="1050">
        <v>56</v>
      </c>
      <c r="J373" s="1043">
        <v>1</v>
      </c>
      <c r="K373" s="1043">
        <v>1</v>
      </c>
      <c r="L373" s="1043">
        <v>1</v>
      </c>
    </row>
    <row r="374" spans="3:12">
      <c r="C374" s="1038"/>
      <c r="D374" s="1038"/>
      <c r="E374" s="1038" t="s">
        <v>1094</v>
      </c>
      <c r="F374" s="1038" t="s">
        <v>786</v>
      </c>
      <c r="G374" s="1048">
        <v>1</v>
      </c>
      <c r="H374" s="1050">
        <v>14</v>
      </c>
      <c r="I374" s="1050">
        <v>75</v>
      </c>
      <c r="J374" s="1043">
        <v>1</v>
      </c>
      <c r="K374" s="1043">
        <v>1</v>
      </c>
      <c r="L374" s="1043">
        <v>1</v>
      </c>
    </row>
    <row r="375" spans="3:12">
      <c r="C375" s="1038"/>
      <c r="D375" s="1038" t="s">
        <v>192</v>
      </c>
      <c r="E375" s="1038" t="s">
        <v>192</v>
      </c>
      <c r="F375" s="1038" t="s">
        <v>790</v>
      </c>
      <c r="G375" s="1048">
        <v>1</v>
      </c>
      <c r="H375" s="1050">
        <v>5</v>
      </c>
      <c r="I375" s="1050">
        <v>32</v>
      </c>
      <c r="J375" s="1043">
        <v>1</v>
      </c>
      <c r="K375" s="1043">
        <v>1</v>
      </c>
      <c r="L375" s="1043">
        <v>1</v>
      </c>
    </row>
    <row r="376" spans="3:12">
      <c r="C376" s="1038"/>
      <c r="D376" s="1038"/>
      <c r="E376" s="1038" t="s">
        <v>3045</v>
      </c>
      <c r="F376" s="1038" t="s">
        <v>790</v>
      </c>
      <c r="G376" s="1048">
        <v>1</v>
      </c>
      <c r="H376" s="1050">
        <v>29</v>
      </c>
      <c r="I376" s="1050">
        <v>140</v>
      </c>
      <c r="J376" s="1043">
        <v>1</v>
      </c>
      <c r="K376" s="1043">
        <v>1</v>
      </c>
      <c r="L376" s="1043">
        <v>1</v>
      </c>
    </row>
    <row r="377" spans="3:12">
      <c r="C377" s="1038"/>
      <c r="D377" s="1038" t="s">
        <v>1153</v>
      </c>
      <c r="E377" s="1038" t="s">
        <v>1155</v>
      </c>
      <c r="F377" s="1038" t="s">
        <v>1101</v>
      </c>
      <c r="G377" s="1048">
        <v>1</v>
      </c>
      <c r="H377" s="1050">
        <v>36</v>
      </c>
      <c r="I377" s="1050">
        <v>152</v>
      </c>
      <c r="J377" s="1043">
        <v>1</v>
      </c>
      <c r="K377" s="1043">
        <v>1</v>
      </c>
      <c r="L377" s="1043">
        <v>1</v>
      </c>
    </row>
    <row r="378" spans="3:12">
      <c r="C378" s="1038"/>
      <c r="D378" s="1038"/>
      <c r="E378" s="1038" t="s">
        <v>2201</v>
      </c>
      <c r="F378" s="1038" t="s">
        <v>1101</v>
      </c>
      <c r="G378" s="1048">
        <v>1</v>
      </c>
      <c r="H378" s="1050">
        <v>127</v>
      </c>
      <c r="I378" s="1050">
        <v>450</v>
      </c>
      <c r="J378" s="1043">
        <v>1</v>
      </c>
      <c r="K378" s="1043">
        <v>1</v>
      </c>
      <c r="L378" s="1043">
        <v>1</v>
      </c>
    </row>
    <row r="379" spans="3:12">
      <c r="C379" s="1038"/>
      <c r="D379" s="1038"/>
      <c r="E379" s="1038" t="s">
        <v>2321</v>
      </c>
      <c r="F379" s="1038" t="s">
        <v>1101</v>
      </c>
      <c r="G379" s="1048">
        <v>1</v>
      </c>
      <c r="H379" s="1050">
        <v>31</v>
      </c>
      <c r="I379" s="1050">
        <v>129</v>
      </c>
      <c r="J379" s="1043">
        <v>1</v>
      </c>
      <c r="K379" s="1043">
        <v>1</v>
      </c>
      <c r="L379" s="1043">
        <v>1</v>
      </c>
    </row>
    <row r="380" spans="3:12">
      <c r="C380" s="1038"/>
      <c r="D380" s="1038" t="s">
        <v>150</v>
      </c>
      <c r="E380" s="1038" t="s">
        <v>1057</v>
      </c>
      <c r="F380" s="1038" t="s">
        <v>790</v>
      </c>
      <c r="G380" s="1048">
        <v>1</v>
      </c>
      <c r="H380" s="1050">
        <v>62</v>
      </c>
      <c r="I380" s="1050">
        <v>410</v>
      </c>
      <c r="J380" s="1043">
        <v>1</v>
      </c>
      <c r="K380" s="1043">
        <v>1</v>
      </c>
      <c r="L380" s="1043">
        <v>1</v>
      </c>
    </row>
    <row r="381" spans="3:12">
      <c r="C381" s="1038"/>
      <c r="D381" s="1038"/>
      <c r="E381" s="1038" t="s">
        <v>1064</v>
      </c>
      <c r="F381" s="1038" t="s">
        <v>790</v>
      </c>
      <c r="G381" s="1048">
        <v>1</v>
      </c>
      <c r="H381" s="1050">
        <v>80</v>
      </c>
      <c r="I381" s="1050">
        <v>449</v>
      </c>
      <c r="J381" s="1043">
        <v>1</v>
      </c>
      <c r="K381" s="1043">
        <v>1</v>
      </c>
      <c r="L381" s="1043">
        <v>1</v>
      </c>
    </row>
    <row r="382" spans="3:12">
      <c r="C382" s="1038" t="s">
        <v>1939</v>
      </c>
      <c r="D382" s="1038"/>
      <c r="E382" s="1038"/>
      <c r="F382" s="1038"/>
      <c r="G382" s="1048">
        <v>27</v>
      </c>
      <c r="H382" s="1050">
        <v>2678</v>
      </c>
      <c r="I382" s="1050">
        <v>12993</v>
      </c>
      <c r="J382" s="1043">
        <v>0.96296296296296291</v>
      </c>
      <c r="K382" s="1043">
        <v>1</v>
      </c>
      <c r="L382" s="1043">
        <v>1</v>
      </c>
    </row>
    <row r="383" spans="3:12">
      <c r="C383" s="1038" t="s">
        <v>716</v>
      </c>
      <c r="D383" s="1038" t="s">
        <v>757</v>
      </c>
      <c r="E383" s="1038" t="s">
        <v>758</v>
      </c>
      <c r="F383" s="1038" t="s">
        <v>790</v>
      </c>
      <c r="G383" s="1048">
        <v>1</v>
      </c>
      <c r="H383" s="1050">
        <v>37</v>
      </c>
      <c r="I383" s="1050">
        <v>120</v>
      </c>
      <c r="J383" s="1043">
        <v>1</v>
      </c>
      <c r="K383" s="1043">
        <v>1</v>
      </c>
      <c r="L383" s="1043">
        <v>1</v>
      </c>
    </row>
    <row r="384" spans="3:12">
      <c r="C384" s="1038"/>
      <c r="D384" s="1038" t="s">
        <v>720</v>
      </c>
      <c r="E384" s="1038" t="s">
        <v>755</v>
      </c>
      <c r="F384" s="1038" t="s">
        <v>790</v>
      </c>
      <c r="G384" s="1048">
        <v>1</v>
      </c>
      <c r="H384" s="1050">
        <v>24</v>
      </c>
      <c r="I384" s="1050">
        <v>86</v>
      </c>
      <c r="J384" s="1043">
        <v>1</v>
      </c>
      <c r="K384" s="1043">
        <v>1</v>
      </c>
      <c r="L384" s="1043">
        <v>1</v>
      </c>
    </row>
    <row r="385" spans="3:12">
      <c r="C385" s="1038"/>
      <c r="D385" s="1038"/>
      <c r="E385" s="1038" t="s">
        <v>729</v>
      </c>
      <c r="F385" s="1038" t="s">
        <v>1101</v>
      </c>
      <c r="G385" s="1048">
        <v>1</v>
      </c>
      <c r="H385" s="1050">
        <v>44</v>
      </c>
      <c r="I385" s="1050">
        <v>265</v>
      </c>
      <c r="J385" s="1043">
        <v>1</v>
      </c>
      <c r="K385" s="1043">
        <v>1</v>
      </c>
      <c r="L385" s="1043">
        <v>1</v>
      </c>
    </row>
    <row r="386" spans="3:12">
      <c r="C386" s="1038"/>
      <c r="D386" s="1038"/>
      <c r="E386" s="1038" t="s">
        <v>2324</v>
      </c>
      <c r="F386" s="1038" t="s">
        <v>790</v>
      </c>
      <c r="G386" s="1048">
        <v>1</v>
      </c>
      <c r="H386" s="1050">
        <v>86</v>
      </c>
      <c r="I386" s="1050">
        <v>496</v>
      </c>
      <c r="J386" s="1043">
        <v>1</v>
      </c>
      <c r="K386" s="1043">
        <v>1</v>
      </c>
      <c r="L386" s="1043">
        <v>1</v>
      </c>
    </row>
    <row r="387" spans="3:12">
      <c r="C387" s="1038"/>
      <c r="D387" s="1038" t="s">
        <v>717</v>
      </c>
      <c r="E387" s="1038" t="s">
        <v>764</v>
      </c>
      <c r="F387" s="1038" t="s">
        <v>1101</v>
      </c>
      <c r="G387" s="1048">
        <v>1</v>
      </c>
      <c r="H387" s="1050">
        <v>68</v>
      </c>
      <c r="I387" s="1050">
        <v>350</v>
      </c>
      <c r="J387" s="1043">
        <v>1</v>
      </c>
      <c r="K387" s="1043">
        <v>1</v>
      </c>
      <c r="L387" s="1043">
        <v>1</v>
      </c>
    </row>
    <row r="388" spans="3:12">
      <c r="C388" s="1038"/>
      <c r="D388" s="1038"/>
      <c r="E388" s="1038" t="s">
        <v>752</v>
      </c>
      <c r="F388" s="1038" t="s">
        <v>1101</v>
      </c>
      <c r="G388" s="1048">
        <v>1</v>
      </c>
      <c r="H388" s="1050">
        <v>34</v>
      </c>
      <c r="I388" s="1050">
        <v>176</v>
      </c>
      <c r="J388" s="1043">
        <v>1</v>
      </c>
      <c r="K388" s="1043">
        <v>1</v>
      </c>
      <c r="L388" s="1043">
        <v>1</v>
      </c>
    </row>
    <row r="389" spans="3:12">
      <c r="C389" s="1038"/>
      <c r="D389" s="1038"/>
      <c r="E389" s="1038" t="s">
        <v>754</v>
      </c>
      <c r="F389" s="1038" t="s">
        <v>1101</v>
      </c>
      <c r="G389" s="1048">
        <v>1</v>
      </c>
      <c r="H389" s="1050">
        <v>118</v>
      </c>
      <c r="I389" s="1050">
        <v>568</v>
      </c>
      <c r="J389" s="1043">
        <v>1</v>
      </c>
      <c r="K389" s="1043">
        <v>1</v>
      </c>
      <c r="L389" s="1043">
        <v>1</v>
      </c>
    </row>
    <row r="390" spans="3:12">
      <c r="C390" s="1038"/>
      <c r="D390" s="1038" t="s">
        <v>737</v>
      </c>
      <c r="E390" s="1038" t="s">
        <v>744</v>
      </c>
      <c r="F390" s="1038" t="s">
        <v>1101</v>
      </c>
      <c r="G390" s="1048">
        <v>1</v>
      </c>
      <c r="H390" s="1050">
        <v>63</v>
      </c>
      <c r="I390" s="1050">
        <v>290</v>
      </c>
      <c r="J390" s="1043">
        <v>1</v>
      </c>
      <c r="K390" s="1043">
        <v>1</v>
      </c>
      <c r="L390" s="1043">
        <v>1</v>
      </c>
    </row>
    <row r="391" spans="3:12">
      <c r="C391" s="1038"/>
      <c r="D391" s="1038"/>
      <c r="E391" s="1038" t="s">
        <v>1120</v>
      </c>
      <c r="F391" s="1038" t="s">
        <v>1101</v>
      </c>
      <c r="G391" s="1048">
        <v>1</v>
      </c>
      <c r="H391" s="1050">
        <v>58</v>
      </c>
      <c r="I391" s="1050">
        <v>257</v>
      </c>
      <c r="J391" s="1043">
        <v>1</v>
      </c>
      <c r="K391" s="1043">
        <v>1</v>
      </c>
      <c r="L391" s="1043">
        <v>1</v>
      </c>
    </row>
    <row r="392" spans="3:12">
      <c r="C392" s="1038" t="s">
        <v>2990</v>
      </c>
      <c r="D392" s="1038"/>
      <c r="E392" s="1038"/>
      <c r="F392" s="1038"/>
      <c r="G392" s="1048">
        <v>9</v>
      </c>
      <c r="H392" s="1050">
        <v>532</v>
      </c>
      <c r="I392" s="1050">
        <v>2608</v>
      </c>
      <c r="J392" s="1043">
        <v>1</v>
      </c>
      <c r="K392" s="1043">
        <v>1</v>
      </c>
      <c r="L392" s="1043">
        <v>1</v>
      </c>
    </row>
    <row r="393" spans="3:12">
      <c r="C393" s="1038" t="s">
        <v>3014</v>
      </c>
      <c r="D393" s="1038" t="s">
        <v>320</v>
      </c>
      <c r="E393" s="1038" t="s">
        <v>584</v>
      </c>
      <c r="F393" s="1038" t="s">
        <v>897</v>
      </c>
      <c r="G393" s="1048">
        <v>1</v>
      </c>
      <c r="H393" s="1050">
        <v>92</v>
      </c>
      <c r="I393" s="1050">
        <v>559</v>
      </c>
      <c r="J393" s="1043">
        <v>1</v>
      </c>
      <c r="K393" s="1043">
        <v>1</v>
      </c>
      <c r="L393" s="1043">
        <v>1</v>
      </c>
    </row>
    <row r="394" spans="3:12">
      <c r="C394" s="1038"/>
      <c r="D394" s="1038"/>
      <c r="E394" s="1038" t="s">
        <v>574</v>
      </c>
      <c r="F394" s="1038" t="s">
        <v>897</v>
      </c>
      <c r="G394" s="1048">
        <v>1</v>
      </c>
      <c r="H394" s="1050">
        <v>116</v>
      </c>
      <c r="I394" s="1050">
        <v>802</v>
      </c>
      <c r="J394" s="1043">
        <v>1</v>
      </c>
      <c r="K394" s="1043">
        <v>1</v>
      </c>
      <c r="L394" s="1043">
        <v>1</v>
      </c>
    </row>
    <row r="395" spans="3:12">
      <c r="C395" s="1038"/>
      <c r="D395" s="1038"/>
      <c r="E395" s="1038" t="s">
        <v>663</v>
      </c>
      <c r="F395" s="1038" t="s">
        <v>835</v>
      </c>
      <c r="G395" s="1048">
        <v>1</v>
      </c>
      <c r="H395" s="1050">
        <v>97</v>
      </c>
      <c r="I395" s="1050">
        <v>557</v>
      </c>
      <c r="J395" s="1043">
        <v>1</v>
      </c>
      <c r="K395" s="1043">
        <v>1</v>
      </c>
      <c r="L395" s="1043">
        <v>1</v>
      </c>
    </row>
    <row r="396" spans="3:12">
      <c r="C396" s="1038"/>
      <c r="D396" s="1038"/>
      <c r="E396" s="1038" t="s">
        <v>628</v>
      </c>
      <c r="F396" s="1038" t="s">
        <v>897</v>
      </c>
      <c r="G396" s="1048">
        <v>1</v>
      </c>
      <c r="H396" s="1050">
        <v>18</v>
      </c>
      <c r="I396" s="1050">
        <v>157</v>
      </c>
      <c r="J396" s="1043">
        <v>1</v>
      </c>
      <c r="K396" s="1043">
        <v>1</v>
      </c>
      <c r="L396" s="1043">
        <v>1</v>
      </c>
    </row>
    <row r="397" spans="3:12">
      <c r="C397" s="1038"/>
      <c r="D397" s="1038"/>
      <c r="E397" s="1038" t="s">
        <v>611</v>
      </c>
      <c r="F397" s="1038" t="s">
        <v>897</v>
      </c>
      <c r="G397" s="1048">
        <v>1</v>
      </c>
      <c r="H397" s="1050">
        <v>144</v>
      </c>
      <c r="I397" s="1050">
        <v>1006</v>
      </c>
      <c r="J397" s="1043">
        <v>1</v>
      </c>
      <c r="K397" s="1043">
        <v>1</v>
      </c>
      <c r="L397" s="1043">
        <v>1</v>
      </c>
    </row>
    <row r="398" spans="3:12">
      <c r="C398" s="1038"/>
      <c r="D398" s="1038"/>
      <c r="E398" s="1038" t="s">
        <v>3195</v>
      </c>
      <c r="F398" s="1038" t="s">
        <v>2942</v>
      </c>
      <c r="G398" s="1048">
        <v>1</v>
      </c>
      <c r="H398" s="1050">
        <v>22</v>
      </c>
      <c r="I398" s="1050">
        <v>42</v>
      </c>
      <c r="J398" s="1043">
        <v>1</v>
      </c>
      <c r="K398" s="1043">
        <v>1</v>
      </c>
      <c r="L398" s="1043">
        <v>1</v>
      </c>
    </row>
    <row r="399" spans="3:12">
      <c r="C399" s="1038"/>
      <c r="D399" s="1038"/>
      <c r="E399" s="1038" t="s">
        <v>3196</v>
      </c>
      <c r="F399" s="1038" t="s">
        <v>2942</v>
      </c>
      <c r="G399" s="1048">
        <v>1</v>
      </c>
      <c r="H399" s="1050">
        <v>3</v>
      </c>
      <c r="I399" s="1050">
        <v>16</v>
      </c>
      <c r="J399" s="1043">
        <v>1</v>
      </c>
      <c r="K399" s="1043">
        <v>1</v>
      </c>
      <c r="L399" s="1043">
        <v>1</v>
      </c>
    </row>
    <row r="400" spans="3:12">
      <c r="C400" s="1038"/>
      <c r="D400" s="1038"/>
      <c r="E400" s="1038" t="s">
        <v>3197</v>
      </c>
      <c r="F400" s="1038" t="s">
        <v>2942</v>
      </c>
      <c r="G400" s="1048">
        <v>1</v>
      </c>
      <c r="H400" s="1050">
        <v>28</v>
      </c>
      <c r="I400" s="1050">
        <v>116</v>
      </c>
      <c r="J400" s="1043">
        <v>1</v>
      </c>
      <c r="K400" s="1043">
        <v>1</v>
      </c>
      <c r="L400" s="1043">
        <v>1</v>
      </c>
    </row>
    <row r="401" spans="3:12">
      <c r="C401" s="1038"/>
      <c r="D401" s="1038"/>
      <c r="E401" s="1038" t="s">
        <v>3198</v>
      </c>
      <c r="F401" s="1038" t="s">
        <v>2942</v>
      </c>
      <c r="G401" s="1048">
        <v>1</v>
      </c>
      <c r="H401" s="1050">
        <v>34</v>
      </c>
      <c r="I401" s="1050">
        <v>137</v>
      </c>
      <c r="J401" s="1043">
        <v>1</v>
      </c>
      <c r="K401" s="1043">
        <v>1</v>
      </c>
      <c r="L401" s="1043">
        <v>1</v>
      </c>
    </row>
    <row r="402" spans="3:12">
      <c r="C402" s="1038"/>
      <c r="D402" s="1038"/>
      <c r="E402" s="1038" t="s">
        <v>3199</v>
      </c>
      <c r="F402" s="1038" t="s">
        <v>2942</v>
      </c>
      <c r="G402" s="1048">
        <v>1</v>
      </c>
      <c r="H402" s="1050">
        <v>49</v>
      </c>
      <c r="I402" s="1050">
        <v>148</v>
      </c>
      <c r="J402" s="1043">
        <v>1</v>
      </c>
      <c r="K402" s="1043">
        <v>1</v>
      </c>
      <c r="L402" s="1043">
        <v>1</v>
      </c>
    </row>
    <row r="403" spans="3:12">
      <c r="C403" s="1038"/>
      <c r="D403" s="1038"/>
      <c r="E403" s="1038" t="s">
        <v>3200</v>
      </c>
      <c r="F403" s="1038" t="s">
        <v>2942</v>
      </c>
      <c r="G403" s="1048">
        <v>1</v>
      </c>
      <c r="H403" s="1050">
        <v>93</v>
      </c>
      <c r="I403" s="1050">
        <v>372</v>
      </c>
      <c r="J403" s="1043">
        <v>1</v>
      </c>
      <c r="K403" s="1043">
        <v>1</v>
      </c>
      <c r="L403" s="1043">
        <v>1</v>
      </c>
    </row>
    <row r="404" spans="3:12">
      <c r="C404" s="1038"/>
      <c r="D404" s="1038"/>
      <c r="E404" s="1038" t="s">
        <v>3201</v>
      </c>
      <c r="F404" s="1038" t="s">
        <v>2942</v>
      </c>
      <c r="G404" s="1048">
        <v>1</v>
      </c>
      <c r="H404" s="1050">
        <v>97</v>
      </c>
      <c r="I404" s="1050">
        <v>281</v>
      </c>
      <c r="J404" s="1043">
        <v>1</v>
      </c>
      <c r="K404" s="1043">
        <v>1</v>
      </c>
      <c r="L404" s="1043">
        <v>1</v>
      </c>
    </row>
    <row r="405" spans="3:12">
      <c r="C405" s="1038"/>
      <c r="D405" s="1038"/>
      <c r="E405" s="1038" t="s">
        <v>3202</v>
      </c>
      <c r="F405" s="1038" t="s">
        <v>2942</v>
      </c>
      <c r="G405" s="1048">
        <v>1</v>
      </c>
      <c r="H405" s="1050">
        <v>42</v>
      </c>
      <c r="I405" s="1050">
        <v>169</v>
      </c>
      <c r="J405" s="1043">
        <v>1</v>
      </c>
      <c r="K405" s="1043">
        <v>1</v>
      </c>
      <c r="L405" s="1043">
        <v>1</v>
      </c>
    </row>
    <row r="406" spans="3:12">
      <c r="C406" s="1038"/>
      <c r="D406" s="1038"/>
      <c r="E406" s="1038" t="s">
        <v>3203</v>
      </c>
      <c r="F406" s="1038" t="s">
        <v>2942</v>
      </c>
      <c r="G406" s="1048">
        <v>1</v>
      </c>
      <c r="H406" s="1050">
        <v>4</v>
      </c>
      <c r="I406" s="1050">
        <v>20</v>
      </c>
      <c r="J406" s="1043">
        <v>1</v>
      </c>
      <c r="K406" s="1043">
        <v>1</v>
      </c>
      <c r="L406" s="1043">
        <v>1</v>
      </c>
    </row>
    <row r="407" spans="3:12">
      <c r="C407" s="1038"/>
      <c r="D407" s="1038"/>
      <c r="E407" s="1038" t="s">
        <v>3204</v>
      </c>
      <c r="F407" s="1038" t="s">
        <v>2942</v>
      </c>
      <c r="G407" s="1048">
        <v>1</v>
      </c>
      <c r="H407" s="1050">
        <v>22</v>
      </c>
      <c r="I407" s="1050">
        <v>100</v>
      </c>
      <c r="J407" s="1043">
        <v>1</v>
      </c>
      <c r="K407" s="1043">
        <v>1</v>
      </c>
      <c r="L407" s="1043">
        <v>1</v>
      </c>
    </row>
    <row r="408" spans="3:12">
      <c r="C408" s="1038"/>
      <c r="D408" s="1038"/>
      <c r="E408" s="1038" t="s">
        <v>3265</v>
      </c>
      <c r="F408" s="1038" t="s">
        <v>2942</v>
      </c>
      <c r="G408" s="1048">
        <v>1</v>
      </c>
      <c r="H408" s="1050">
        <v>15</v>
      </c>
      <c r="I408" s="1050">
        <v>32</v>
      </c>
      <c r="J408" s="1043">
        <v>1</v>
      </c>
      <c r="K408" s="1043">
        <v>1</v>
      </c>
      <c r="L408" s="1043">
        <v>1</v>
      </c>
    </row>
    <row r="409" spans="3:12">
      <c r="C409" s="1038"/>
      <c r="D409" s="1038" t="s">
        <v>330</v>
      </c>
      <c r="E409" s="1038" t="s">
        <v>478</v>
      </c>
      <c r="F409" s="1038" t="s">
        <v>897</v>
      </c>
      <c r="G409" s="1048">
        <v>1</v>
      </c>
      <c r="H409" s="1050">
        <v>280</v>
      </c>
      <c r="I409" s="1050">
        <v>1423</v>
      </c>
      <c r="J409" s="1043">
        <v>1</v>
      </c>
      <c r="K409" s="1043">
        <v>1</v>
      </c>
      <c r="L409" s="1043">
        <v>1</v>
      </c>
    </row>
    <row r="410" spans="3:12">
      <c r="C410" s="1038"/>
      <c r="D410" s="1038"/>
      <c r="E410" s="1038" t="s">
        <v>3185</v>
      </c>
      <c r="F410" s="1038" t="s">
        <v>2942</v>
      </c>
      <c r="G410" s="1048">
        <v>1</v>
      </c>
      <c r="H410" s="1050">
        <v>50</v>
      </c>
      <c r="I410" s="1050">
        <v>200</v>
      </c>
      <c r="J410" s="1043">
        <v>1</v>
      </c>
      <c r="K410" s="1043">
        <v>1</v>
      </c>
      <c r="L410" s="1043">
        <v>1</v>
      </c>
    </row>
    <row r="411" spans="3:12">
      <c r="C411" s="1038"/>
      <c r="D411" s="1038"/>
      <c r="E411" s="1038" t="s">
        <v>3186</v>
      </c>
      <c r="F411" s="1038" t="s">
        <v>2942</v>
      </c>
      <c r="G411" s="1048">
        <v>1</v>
      </c>
      <c r="H411" s="1050">
        <v>207</v>
      </c>
      <c r="I411" s="1050">
        <v>929</v>
      </c>
      <c r="J411" s="1043">
        <v>1</v>
      </c>
      <c r="K411" s="1043">
        <v>1</v>
      </c>
      <c r="L411" s="1043">
        <v>1</v>
      </c>
    </row>
    <row r="412" spans="3:12">
      <c r="C412" s="1038"/>
      <c r="D412" s="1038" t="s">
        <v>489</v>
      </c>
      <c r="E412" s="1038" t="s">
        <v>569</v>
      </c>
      <c r="F412" s="1038" t="s">
        <v>2942</v>
      </c>
      <c r="G412" s="1048">
        <v>1</v>
      </c>
      <c r="H412" s="1050">
        <v>87</v>
      </c>
      <c r="I412" s="1050">
        <v>397</v>
      </c>
      <c r="J412" s="1043">
        <v>1</v>
      </c>
      <c r="K412" s="1043">
        <v>1</v>
      </c>
      <c r="L412" s="1043">
        <v>1</v>
      </c>
    </row>
    <row r="413" spans="3:12">
      <c r="C413" s="1038"/>
      <c r="D413" s="1038"/>
      <c r="E413" s="1038" t="s">
        <v>3168</v>
      </c>
      <c r="F413" s="1038" t="s">
        <v>2942</v>
      </c>
      <c r="G413" s="1048">
        <v>1</v>
      </c>
      <c r="H413" s="1050">
        <v>11</v>
      </c>
      <c r="I413" s="1050">
        <v>46</v>
      </c>
      <c r="J413" s="1043">
        <v>1</v>
      </c>
      <c r="K413" s="1043">
        <v>1</v>
      </c>
      <c r="L413" s="1043">
        <v>1</v>
      </c>
    </row>
    <row r="414" spans="3:12">
      <c r="C414" s="1038"/>
      <c r="D414" s="1038"/>
      <c r="E414" s="1038" t="s">
        <v>3170</v>
      </c>
      <c r="F414" s="1038" t="s">
        <v>2942</v>
      </c>
      <c r="G414" s="1048">
        <v>1</v>
      </c>
      <c r="H414" s="1050">
        <v>132</v>
      </c>
      <c r="I414" s="1050">
        <v>492</v>
      </c>
      <c r="J414" s="1043">
        <v>1</v>
      </c>
      <c r="K414" s="1043">
        <v>1</v>
      </c>
      <c r="L414" s="1043">
        <v>1</v>
      </c>
    </row>
    <row r="415" spans="3:12">
      <c r="C415" s="1038"/>
      <c r="D415" s="1038"/>
      <c r="E415" s="1038" t="s">
        <v>3171</v>
      </c>
      <c r="F415" s="1038" t="s">
        <v>2942</v>
      </c>
      <c r="G415" s="1048">
        <v>1</v>
      </c>
      <c r="H415" s="1050">
        <v>261</v>
      </c>
      <c r="I415" s="1050">
        <v>798</v>
      </c>
      <c r="J415" s="1043">
        <v>1</v>
      </c>
      <c r="K415" s="1043">
        <v>1</v>
      </c>
      <c r="L415" s="1043">
        <v>1</v>
      </c>
    </row>
    <row r="416" spans="3:12">
      <c r="C416" s="1038"/>
      <c r="D416" s="1038"/>
      <c r="E416" s="1038" t="s">
        <v>3172</v>
      </c>
      <c r="F416" s="1038" t="s">
        <v>2942</v>
      </c>
      <c r="G416" s="1048">
        <v>1</v>
      </c>
      <c r="H416" s="1050">
        <v>31</v>
      </c>
      <c r="I416" s="1050">
        <v>151</v>
      </c>
      <c r="J416" s="1043">
        <v>1</v>
      </c>
      <c r="K416" s="1043">
        <v>1</v>
      </c>
      <c r="L416" s="1043">
        <v>1</v>
      </c>
    </row>
    <row r="417" spans="3:12">
      <c r="C417" s="1038"/>
      <c r="D417" s="1038"/>
      <c r="E417" s="1038" t="s">
        <v>3173</v>
      </c>
      <c r="F417" s="1038" t="s">
        <v>2942</v>
      </c>
      <c r="G417" s="1048">
        <v>1</v>
      </c>
      <c r="H417" s="1050">
        <v>120</v>
      </c>
      <c r="I417" s="1050">
        <v>472</v>
      </c>
      <c r="J417" s="1043">
        <v>1</v>
      </c>
      <c r="K417" s="1043">
        <v>1</v>
      </c>
      <c r="L417" s="1043">
        <v>1</v>
      </c>
    </row>
    <row r="418" spans="3:12">
      <c r="C418" s="1038"/>
      <c r="D418" s="1038"/>
      <c r="E418" s="1038" t="s">
        <v>3174</v>
      </c>
      <c r="F418" s="1038" t="s">
        <v>2942</v>
      </c>
      <c r="G418" s="1048">
        <v>1</v>
      </c>
      <c r="H418" s="1050">
        <v>41</v>
      </c>
      <c r="I418" s="1050">
        <v>154</v>
      </c>
      <c r="J418" s="1043">
        <v>1</v>
      </c>
      <c r="K418" s="1043">
        <v>1</v>
      </c>
      <c r="L418" s="1043">
        <v>1</v>
      </c>
    </row>
    <row r="419" spans="3:12">
      <c r="C419" s="1038"/>
      <c r="D419" s="1038"/>
      <c r="E419" s="1038" t="s">
        <v>3175</v>
      </c>
      <c r="F419" s="1038" t="s">
        <v>2942</v>
      </c>
      <c r="G419" s="1048">
        <v>1</v>
      </c>
      <c r="H419" s="1050">
        <v>147</v>
      </c>
      <c r="I419" s="1050">
        <v>455</v>
      </c>
      <c r="J419" s="1043">
        <v>1</v>
      </c>
      <c r="K419" s="1043">
        <v>1</v>
      </c>
      <c r="L419" s="1043">
        <v>1</v>
      </c>
    </row>
    <row r="420" spans="3:12">
      <c r="C420" s="1038"/>
      <c r="D420" s="1038"/>
      <c r="E420" s="1038" t="s">
        <v>3176</v>
      </c>
      <c r="F420" s="1038" t="s">
        <v>2942</v>
      </c>
      <c r="G420" s="1048">
        <v>1</v>
      </c>
      <c r="H420" s="1050">
        <v>79</v>
      </c>
      <c r="I420" s="1050">
        <v>330</v>
      </c>
      <c r="J420" s="1043">
        <v>1</v>
      </c>
      <c r="K420" s="1043">
        <v>1</v>
      </c>
      <c r="L420" s="1043">
        <v>1</v>
      </c>
    </row>
    <row r="421" spans="3:12">
      <c r="C421" s="1038"/>
      <c r="D421" s="1038"/>
      <c r="E421" s="1038" t="s">
        <v>3178</v>
      </c>
      <c r="F421" s="1038" t="s">
        <v>2942</v>
      </c>
      <c r="G421" s="1048">
        <v>1</v>
      </c>
      <c r="H421" s="1050">
        <v>27</v>
      </c>
      <c r="I421" s="1050">
        <v>119</v>
      </c>
      <c r="J421" s="1043">
        <v>1</v>
      </c>
      <c r="K421" s="1043">
        <v>1</v>
      </c>
      <c r="L421" s="1043">
        <v>1</v>
      </c>
    </row>
    <row r="422" spans="3:12">
      <c r="C422" s="1038"/>
      <c r="D422" s="1038"/>
      <c r="E422" s="1038" t="s">
        <v>3179</v>
      </c>
      <c r="F422" s="1038" t="s">
        <v>2942</v>
      </c>
      <c r="G422" s="1048">
        <v>1</v>
      </c>
      <c r="H422" s="1050">
        <v>132</v>
      </c>
      <c r="I422" s="1050">
        <v>549</v>
      </c>
      <c r="J422" s="1043">
        <v>1</v>
      </c>
      <c r="K422" s="1043">
        <v>1</v>
      </c>
      <c r="L422" s="1043">
        <v>1</v>
      </c>
    </row>
    <row r="423" spans="3:12">
      <c r="C423" s="1038"/>
      <c r="D423" s="1038"/>
      <c r="E423" s="1038" t="s">
        <v>3180</v>
      </c>
      <c r="F423" s="1038" t="s">
        <v>2942</v>
      </c>
      <c r="G423" s="1048">
        <v>1</v>
      </c>
      <c r="H423" s="1050">
        <v>39</v>
      </c>
      <c r="I423" s="1050">
        <v>139</v>
      </c>
      <c r="J423" s="1043">
        <v>1</v>
      </c>
      <c r="K423" s="1043">
        <v>1</v>
      </c>
      <c r="L423" s="1043">
        <v>1</v>
      </c>
    </row>
    <row r="424" spans="3:12">
      <c r="C424" s="1038"/>
      <c r="D424" s="1038"/>
      <c r="E424" s="1038" t="s">
        <v>3183</v>
      </c>
      <c r="F424" s="1038" t="s">
        <v>2942</v>
      </c>
      <c r="G424" s="1048">
        <v>1</v>
      </c>
      <c r="H424" s="1050">
        <v>20</v>
      </c>
      <c r="I424" s="1050">
        <v>61</v>
      </c>
      <c r="J424" s="1043">
        <v>1</v>
      </c>
      <c r="K424" s="1043">
        <v>1</v>
      </c>
      <c r="L424" s="1043">
        <v>1</v>
      </c>
    </row>
    <row r="425" spans="3:12">
      <c r="C425" s="1038"/>
      <c r="D425" s="1038"/>
      <c r="E425" s="1038" t="s">
        <v>3184</v>
      </c>
      <c r="F425" s="1038" t="s">
        <v>2942</v>
      </c>
      <c r="G425" s="1048">
        <v>1</v>
      </c>
      <c r="H425" s="1050">
        <v>17</v>
      </c>
      <c r="I425" s="1050">
        <v>103</v>
      </c>
      <c r="J425" s="1043">
        <v>1</v>
      </c>
      <c r="K425" s="1043">
        <v>1</v>
      </c>
      <c r="L425" s="1043">
        <v>1</v>
      </c>
    </row>
    <row r="426" spans="3:12">
      <c r="C426" s="1038"/>
      <c r="D426" s="1038"/>
      <c r="E426" s="1038" t="s">
        <v>3249</v>
      </c>
      <c r="F426" s="1038" t="s">
        <v>2942</v>
      </c>
      <c r="G426" s="1048">
        <v>1</v>
      </c>
      <c r="H426" s="1050">
        <v>22</v>
      </c>
      <c r="I426" s="1050">
        <v>69</v>
      </c>
      <c r="J426" s="1043">
        <v>1</v>
      </c>
      <c r="K426" s="1043">
        <v>1</v>
      </c>
      <c r="L426" s="1043">
        <v>1</v>
      </c>
    </row>
    <row r="427" spans="3:12">
      <c r="C427" s="1038"/>
      <c r="D427" s="1038" t="s">
        <v>420</v>
      </c>
      <c r="E427" s="1038" t="s">
        <v>3214</v>
      </c>
      <c r="F427" s="1038" t="s">
        <v>2942</v>
      </c>
      <c r="G427" s="1048">
        <v>1</v>
      </c>
      <c r="H427" s="1050">
        <v>10</v>
      </c>
      <c r="I427" s="1050">
        <v>25</v>
      </c>
      <c r="J427" s="1043">
        <v>1</v>
      </c>
      <c r="K427" s="1043">
        <v>1</v>
      </c>
      <c r="L427" s="1043">
        <v>1</v>
      </c>
    </row>
    <row r="428" spans="3:12">
      <c r="C428" s="1038"/>
      <c r="D428" s="1038"/>
      <c r="E428" s="1038" t="s">
        <v>3215</v>
      </c>
      <c r="F428" s="1038" t="s">
        <v>2942</v>
      </c>
      <c r="G428" s="1048">
        <v>1</v>
      </c>
      <c r="H428" s="1050">
        <v>19</v>
      </c>
      <c r="I428" s="1050">
        <v>45</v>
      </c>
      <c r="J428" s="1043">
        <v>1</v>
      </c>
      <c r="K428" s="1043">
        <v>1</v>
      </c>
      <c r="L428" s="1043">
        <v>1</v>
      </c>
    </row>
    <row r="429" spans="3:12">
      <c r="C429" s="1038"/>
      <c r="D429" s="1038" t="s">
        <v>470</v>
      </c>
      <c r="E429" s="1038" t="s">
        <v>3187</v>
      </c>
      <c r="F429" s="1038" t="s">
        <v>2942</v>
      </c>
      <c r="G429" s="1048">
        <v>1</v>
      </c>
      <c r="H429" s="1050">
        <v>36</v>
      </c>
      <c r="I429" s="1050">
        <v>207</v>
      </c>
      <c r="J429" s="1043">
        <v>1</v>
      </c>
      <c r="K429" s="1043">
        <v>1</v>
      </c>
      <c r="L429" s="1043">
        <v>1</v>
      </c>
    </row>
    <row r="430" spans="3:12">
      <c r="C430" s="1038"/>
      <c r="D430" s="1038"/>
      <c r="E430" s="1038" t="s">
        <v>3188</v>
      </c>
      <c r="F430" s="1038" t="s">
        <v>2942</v>
      </c>
      <c r="G430" s="1048">
        <v>1</v>
      </c>
      <c r="H430" s="1050">
        <v>6</v>
      </c>
      <c r="I430" s="1050">
        <v>30</v>
      </c>
      <c r="J430" s="1043">
        <v>1</v>
      </c>
      <c r="K430" s="1043">
        <v>1</v>
      </c>
      <c r="L430" s="1043">
        <v>1</v>
      </c>
    </row>
    <row r="431" spans="3:12">
      <c r="C431" s="1038"/>
      <c r="D431" s="1038"/>
      <c r="E431" s="1038" t="s">
        <v>3189</v>
      </c>
      <c r="F431" s="1038" t="s">
        <v>2942</v>
      </c>
      <c r="G431" s="1048">
        <v>1</v>
      </c>
      <c r="H431" s="1050">
        <v>10</v>
      </c>
      <c r="I431" s="1050">
        <v>45</v>
      </c>
      <c r="J431" s="1043">
        <v>1</v>
      </c>
      <c r="K431" s="1043">
        <v>1</v>
      </c>
      <c r="L431" s="1043">
        <v>1</v>
      </c>
    </row>
    <row r="432" spans="3:12">
      <c r="C432" s="1038"/>
      <c r="D432" s="1038"/>
      <c r="E432" s="1038" t="s">
        <v>1772</v>
      </c>
      <c r="F432" s="1038" t="s">
        <v>2942</v>
      </c>
      <c r="G432" s="1048">
        <v>1</v>
      </c>
      <c r="H432" s="1050">
        <v>10</v>
      </c>
      <c r="I432" s="1050">
        <v>45</v>
      </c>
      <c r="J432" s="1043">
        <v>1</v>
      </c>
      <c r="K432" s="1043">
        <v>1</v>
      </c>
      <c r="L432" s="1043">
        <v>1</v>
      </c>
    </row>
    <row r="433" spans="3:12">
      <c r="C433" s="1038"/>
      <c r="D433" s="1038"/>
      <c r="E433" s="1038" t="s">
        <v>3190</v>
      </c>
      <c r="F433" s="1038" t="s">
        <v>2942</v>
      </c>
      <c r="G433" s="1048">
        <v>1</v>
      </c>
      <c r="H433" s="1050">
        <v>17</v>
      </c>
      <c r="I433" s="1050">
        <v>65</v>
      </c>
      <c r="J433" s="1043">
        <v>1</v>
      </c>
      <c r="K433" s="1043">
        <v>1</v>
      </c>
      <c r="L433" s="1043">
        <v>1</v>
      </c>
    </row>
    <row r="434" spans="3:12">
      <c r="C434" s="1038"/>
      <c r="D434" s="1038"/>
      <c r="E434" s="1038" t="s">
        <v>3193</v>
      </c>
      <c r="F434" s="1038" t="s">
        <v>2942</v>
      </c>
      <c r="G434" s="1048">
        <v>1</v>
      </c>
      <c r="H434" s="1050">
        <v>34</v>
      </c>
      <c r="I434" s="1050">
        <v>124</v>
      </c>
      <c r="J434" s="1043">
        <v>1</v>
      </c>
      <c r="K434" s="1043">
        <v>1</v>
      </c>
      <c r="L434" s="1043">
        <v>1</v>
      </c>
    </row>
    <row r="435" spans="3:12">
      <c r="C435" s="1038"/>
      <c r="D435" s="1038"/>
      <c r="E435" s="1038" t="s">
        <v>3192</v>
      </c>
      <c r="F435" s="1038" t="s">
        <v>2942</v>
      </c>
      <c r="G435" s="1048">
        <v>1</v>
      </c>
      <c r="H435" s="1050">
        <v>28</v>
      </c>
      <c r="I435" s="1050">
        <v>143</v>
      </c>
      <c r="J435" s="1043">
        <v>1</v>
      </c>
      <c r="K435" s="1043">
        <v>1</v>
      </c>
      <c r="L435" s="1043">
        <v>1</v>
      </c>
    </row>
    <row r="436" spans="3:12">
      <c r="C436" s="1038"/>
      <c r="D436" s="1038"/>
      <c r="E436" s="1038" t="s">
        <v>3194</v>
      </c>
      <c r="F436" s="1038" t="s">
        <v>2942</v>
      </c>
      <c r="G436" s="1048">
        <v>1</v>
      </c>
      <c r="H436" s="1050">
        <v>21</v>
      </c>
      <c r="I436" s="1050">
        <v>80</v>
      </c>
      <c r="J436" s="1043">
        <v>1</v>
      </c>
      <c r="K436" s="1043">
        <v>1</v>
      </c>
      <c r="L436" s="1043">
        <v>1</v>
      </c>
    </row>
    <row r="437" spans="3:12">
      <c r="C437" s="1038" t="s">
        <v>3015</v>
      </c>
      <c r="D437" s="1038"/>
      <c r="E437" s="1038"/>
      <c r="F437" s="1038"/>
      <c r="G437" s="1048">
        <v>44</v>
      </c>
      <c r="H437" s="1050">
        <v>2770</v>
      </c>
      <c r="I437" s="1050">
        <v>12210</v>
      </c>
      <c r="J437" s="1043">
        <v>1</v>
      </c>
      <c r="K437" s="1043">
        <v>1</v>
      </c>
      <c r="L437" s="1043">
        <v>1</v>
      </c>
    </row>
    <row r="438" spans="3:12">
      <c r="C438" s="1038" t="s">
        <v>3013</v>
      </c>
      <c r="D438" s="1038" t="s">
        <v>337</v>
      </c>
      <c r="E438" s="1038" t="s">
        <v>3205</v>
      </c>
      <c r="F438" s="1038" t="s">
        <v>2942</v>
      </c>
      <c r="G438" s="1048">
        <v>1</v>
      </c>
      <c r="H438" s="1050">
        <v>58</v>
      </c>
      <c r="I438" s="1050">
        <v>302</v>
      </c>
      <c r="J438" s="1043">
        <v>1</v>
      </c>
      <c r="K438" s="1043">
        <v>1</v>
      </c>
      <c r="L438" s="1043">
        <v>1</v>
      </c>
    </row>
    <row r="439" spans="3:12">
      <c r="C439" s="1038"/>
      <c r="D439" s="1038"/>
      <c r="E439" s="1038" t="s">
        <v>3243</v>
      </c>
      <c r="F439" s="1038" t="s">
        <v>2942</v>
      </c>
      <c r="G439" s="1048">
        <v>1</v>
      </c>
      <c r="H439" s="1050">
        <v>25</v>
      </c>
      <c r="I439" s="1050">
        <v>100</v>
      </c>
      <c r="J439" s="1043">
        <v>1</v>
      </c>
      <c r="K439" s="1043">
        <v>1</v>
      </c>
      <c r="L439" s="1043">
        <v>1</v>
      </c>
    </row>
    <row r="440" spans="3:12">
      <c r="C440" s="1038"/>
      <c r="D440" s="1038" t="s">
        <v>355</v>
      </c>
      <c r="E440" s="1038" t="s">
        <v>484</v>
      </c>
      <c r="F440" s="1038" t="s">
        <v>897</v>
      </c>
      <c r="G440" s="1048">
        <v>1</v>
      </c>
      <c r="H440" s="1050">
        <v>425</v>
      </c>
      <c r="I440" s="1050">
        <v>2552</v>
      </c>
      <c r="J440" s="1043">
        <v>1</v>
      </c>
      <c r="K440" s="1043">
        <v>1</v>
      </c>
      <c r="L440" s="1043">
        <v>1</v>
      </c>
    </row>
    <row r="441" spans="3:12">
      <c r="C441" s="1038"/>
      <c r="D441" s="1038"/>
      <c r="E441" s="1038" t="s">
        <v>475</v>
      </c>
      <c r="F441" s="1038" t="s">
        <v>897</v>
      </c>
      <c r="G441" s="1048">
        <v>1</v>
      </c>
      <c r="H441" s="1050">
        <v>292</v>
      </c>
      <c r="I441" s="1050">
        <v>1751</v>
      </c>
      <c r="J441" s="1043">
        <v>1</v>
      </c>
      <c r="K441" s="1043">
        <v>1</v>
      </c>
      <c r="L441" s="1043">
        <v>1</v>
      </c>
    </row>
    <row r="442" spans="3:12">
      <c r="C442" s="1038"/>
      <c r="D442" s="1038"/>
      <c r="E442" s="1038" t="s">
        <v>541</v>
      </c>
      <c r="F442" s="1038" t="s">
        <v>2942</v>
      </c>
      <c r="G442" s="1048">
        <v>1</v>
      </c>
      <c r="H442" s="1050">
        <v>59</v>
      </c>
      <c r="I442" s="1050">
        <v>255</v>
      </c>
      <c r="J442" s="1043">
        <v>1</v>
      </c>
      <c r="K442" s="1043">
        <v>1</v>
      </c>
      <c r="L442" s="1043">
        <v>1</v>
      </c>
    </row>
    <row r="443" spans="3:12">
      <c r="C443" s="1038"/>
      <c r="D443" s="1038"/>
      <c r="E443" s="1038" t="s">
        <v>545</v>
      </c>
      <c r="F443" s="1038" t="s">
        <v>2942</v>
      </c>
      <c r="G443" s="1048">
        <v>1</v>
      </c>
      <c r="H443" s="1050">
        <v>103</v>
      </c>
      <c r="I443" s="1050">
        <v>347</v>
      </c>
      <c r="J443" s="1043">
        <v>1</v>
      </c>
      <c r="K443" s="1043">
        <v>1</v>
      </c>
      <c r="L443" s="1043">
        <v>1</v>
      </c>
    </row>
    <row r="444" spans="3:12">
      <c r="C444" s="1038"/>
      <c r="D444" s="1038"/>
      <c r="E444" s="1038" t="s">
        <v>3207</v>
      </c>
      <c r="F444" s="1038" t="s">
        <v>2942</v>
      </c>
      <c r="G444" s="1048">
        <v>1</v>
      </c>
      <c r="H444" s="1050">
        <v>16</v>
      </c>
      <c r="I444" s="1050">
        <v>54</v>
      </c>
      <c r="J444" s="1043">
        <v>1</v>
      </c>
      <c r="K444" s="1043">
        <v>1</v>
      </c>
      <c r="L444" s="1043">
        <v>1</v>
      </c>
    </row>
    <row r="445" spans="3:12">
      <c r="C445" s="1038"/>
      <c r="D445" s="1038"/>
      <c r="E445" s="1038" t="s">
        <v>3260</v>
      </c>
      <c r="F445" s="1038" t="s">
        <v>2942</v>
      </c>
      <c r="G445" s="1048">
        <v>1</v>
      </c>
      <c r="H445" s="1050">
        <v>8</v>
      </c>
      <c r="I445" s="1050">
        <v>16</v>
      </c>
      <c r="J445" s="1043">
        <v>1</v>
      </c>
      <c r="K445" s="1043">
        <v>1</v>
      </c>
      <c r="L445" s="1043">
        <v>1</v>
      </c>
    </row>
    <row r="446" spans="3:12">
      <c r="C446" s="1038"/>
      <c r="D446" s="1038"/>
      <c r="E446" s="1038" t="s">
        <v>3261</v>
      </c>
      <c r="F446" s="1038" t="s">
        <v>2942</v>
      </c>
      <c r="G446" s="1048">
        <v>1</v>
      </c>
      <c r="H446" s="1050">
        <v>13</v>
      </c>
      <c r="I446" s="1050">
        <v>56</v>
      </c>
      <c r="J446" s="1043">
        <v>1</v>
      </c>
      <c r="K446" s="1043">
        <v>1</v>
      </c>
      <c r="L446" s="1043">
        <v>1</v>
      </c>
    </row>
    <row r="447" spans="3:12">
      <c r="C447" s="1038"/>
      <c r="D447" s="1038"/>
      <c r="E447" s="1038" t="s">
        <v>3263</v>
      </c>
      <c r="F447" s="1038" t="s">
        <v>2942</v>
      </c>
      <c r="G447" s="1048">
        <v>1</v>
      </c>
      <c r="H447" s="1050">
        <v>54</v>
      </c>
      <c r="I447" s="1050">
        <v>193</v>
      </c>
      <c r="J447" s="1043">
        <v>1</v>
      </c>
      <c r="K447" s="1043">
        <v>1</v>
      </c>
      <c r="L447" s="1043">
        <v>1</v>
      </c>
    </row>
    <row r="448" spans="3:12">
      <c r="C448" s="1038" t="s">
        <v>3016</v>
      </c>
      <c r="D448" s="1038"/>
      <c r="E448" s="1038"/>
      <c r="F448" s="1038"/>
      <c r="G448" s="1048">
        <v>10</v>
      </c>
      <c r="H448" s="1050">
        <v>1053</v>
      </c>
      <c r="I448" s="1050">
        <v>5626</v>
      </c>
      <c r="J448" s="1043">
        <v>1</v>
      </c>
      <c r="K448" s="1043">
        <v>1</v>
      </c>
      <c r="L448" s="1043">
        <v>1</v>
      </c>
    </row>
    <row r="449" spans="3:12" ht="15.75">
      <c r="C449"/>
      <c r="D449"/>
      <c r="E449"/>
      <c r="F449"/>
      <c r="G449"/>
      <c r="H449"/>
      <c r="I449"/>
      <c r="J449"/>
      <c r="K449"/>
      <c r="L449"/>
    </row>
    <row r="450" spans="3:12" ht="15.75">
      <c r="C450"/>
      <c r="D450"/>
      <c r="E450"/>
      <c r="F450"/>
      <c r="G450"/>
      <c r="H450"/>
      <c r="I450"/>
      <c r="J450"/>
      <c r="K450"/>
      <c r="L450"/>
    </row>
    <row r="451" spans="3:12" ht="15.75">
      <c r="C451"/>
      <c r="D451"/>
      <c r="E451"/>
      <c r="F451"/>
      <c r="G451"/>
      <c r="H451"/>
      <c r="I451"/>
      <c r="J451"/>
      <c r="K451"/>
      <c r="L451"/>
    </row>
    <row r="452" spans="3:12" ht="15.75">
      <c r="C452"/>
      <c r="D452"/>
      <c r="E452"/>
      <c r="F452"/>
      <c r="G452"/>
      <c r="H452"/>
      <c r="I452"/>
      <c r="J452"/>
      <c r="K452"/>
      <c r="L452"/>
    </row>
    <row r="453" spans="3:12" ht="15.75">
      <c r="C453"/>
      <c r="D453"/>
      <c r="E453"/>
      <c r="F453"/>
      <c r="G453"/>
      <c r="H453"/>
      <c r="I453"/>
      <c r="J453"/>
      <c r="K453"/>
      <c r="L453"/>
    </row>
    <row r="454" spans="3:12" ht="15.75">
      <c r="C454"/>
      <c r="D454"/>
      <c r="E454"/>
      <c r="F454"/>
      <c r="G454"/>
      <c r="H454"/>
      <c r="I454"/>
      <c r="J454"/>
      <c r="K454"/>
      <c r="L454"/>
    </row>
    <row r="455" spans="3:12" ht="15.75">
      <c r="C455"/>
      <c r="D455"/>
      <c r="E455"/>
      <c r="F455"/>
      <c r="G455"/>
      <c r="H455"/>
      <c r="I455"/>
      <c r="J455"/>
      <c r="K455"/>
      <c r="L455"/>
    </row>
    <row r="456" spans="3:12" ht="15.75">
      <c r="C456"/>
      <c r="D456"/>
      <c r="E456"/>
      <c r="F456"/>
      <c r="G456"/>
      <c r="H456"/>
      <c r="I456"/>
      <c r="J456"/>
      <c r="K456"/>
      <c r="L456"/>
    </row>
    <row r="457" spans="3:12" ht="15.75">
      <c r="C457"/>
      <c r="D457"/>
      <c r="E457"/>
      <c r="F457"/>
      <c r="G457"/>
      <c r="H457"/>
      <c r="I457"/>
      <c r="J457"/>
      <c r="K457"/>
      <c r="L457"/>
    </row>
    <row r="458" spans="3:12">
      <c r="C458" s="851"/>
      <c r="D458" s="851"/>
      <c r="E458" s="851"/>
      <c r="F458" s="851"/>
      <c r="G458" s="853"/>
      <c r="H458" s="854"/>
      <c r="I458" s="854"/>
      <c r="J458" s="855"/>
      <c r="K458" s="855"/>
      <c r="L458" s="855"/>
    </row>
    <row r="459" spans="3:12">
      <c r="C459" s="851"/>
      <c r="D459" s="851"/>
      <c r="E459" s="851"/>
      <c r="F459" s="851"/>
      <c r="G459" s="853"/>
      <c r="H459" s="854"/>
      <c r="I459" s="854"/>
      <c r="J459" s="855"/>
      <c r="K459" s="855"/>
      <c r="L459" s="855"/>
    </row>
    <row r="460" spans="3:12">
      <c r="C460" s="851"/>
      <c r="D460" s="851"/>
      <c r="E460" s="851"/>
      <c r="F460" s="851"/>
      <c r="G460" s="853"/>
      <c r="H460" s="854"/>
      <c r="I460" s="854"/>
      <c r="J460" s="855"/>
      <c r="K460" s="855"/>
      <c r="L460" s="855"/>
    </row>
    <row r="461" spans="3:12">
      <c r="C461" s="851"/>
      <c r="D461" s="851"/>
      <c r="E461" s="851"/>
      <c r="F461" s="851"/>
      <c r="G461" s="853"/>
      <c r="H461" s="854"/>
      <c r="I461" s="854"/>
      <c r="J461" s="855"/>
      <c r="K461" s="855"/>
      <c r="L461" s="855"/>
    </row>
    <row r="462" spans="3:12">
      <c r="C462" s="851"/>
      <c r="D462" s="851"/>
      <c r="E462" s="851"/>
      <c r="F462" s="851"/>
      <c r="G462" s="853"/>
      <c r="H462" s="854"/>
      <c r="I462" s="854"/>
      <c r="J462" s="855"/>
      <c r="K462" s="855"/>
      <c r="L462" s="855"/>
    </row>
    <row r="463" spans="3:12">
      <c r="C463" s="851"/>
      <c r="D463" s="851"/>
      <c r="E463" s="851"/>
      <c r="F463" s="851"/>
      <c r="G463" s="853"/>
      <c r="H463" s="854"/>
      <c r="I463" s="854"/>
      <c r="J463" s="855"/>
      <c r="K463" s="855"/>
      <c r="L463" s="855"/>
    </row>
    <row r="464" spans="3:12">
      <c r="C464" s="851"/>
      <c r="D464" s="851"/>
      <c r="E464" s="851"/>
      <c r="F464" s="851"/>
      <c r="G464" s="853"/>
      <c r="H464" s="854"/>
      <c r="I464" s="854"/>
      <c r="J464" s="855"/>
      <c r="K464" s="855"/>
      <c r="L464" s="855"/>
    </row>
    <row r="465" spans="1:25">
      <c r="C465" s="851"/>
      <c r="D465" s="851"/>
      <c r="E465" s="851"/>
      <c r="F465" s="851"/>
      <c r="G465" s="853"/>
      <c r="H465" s="854"/>
      <c r="I465" s="854"/>
      <c r="J465" s="855"/>
      <c r="K465" s="855"/>
      <c r="L465" s="855"/>
    </row>
    <row r="466" spans="1:25">
      <c r="C466" s="851"/>
      <c r="D466" s="851"/>
      <c r="E466" s="851"/>
      <c r="F466" s="851"/>
      <c r="G466" s="853"/>
      <c r="H466" s="854"/>
      <c r="I466" s="854"/>
      <c r="J466" s="855"/>
      <c r="K466" s="855"/>
      <c r="L466" s="855"/>
    </row>
    <row r="467" spans="1:25">
      <c r="C467" s="851"/>
      <c r="D467" s="851"/>
      <c r="E467" s="851"/>
      <c r="F467" s="851"/>
      <c r="G467" s="853"/>
      <c r="H467" s="854"/>
      <c r="I467" s="854"/>
      <c r="J467" s="855"/>
      <c r="K467" s="855"/>
      <c r="L467" s="855"/>
    </row>
    <row r="468" spans="1:25">
      <c r="C468" s="851"/>
      <c r="D468" s="851"/>
      <c r="E468" s="851"/>
      <c r="F468" s="851"/>
      <c r="G468" s="853"/>
      <c r="H468" s="854"/>
      <c r="I468" s="854"/>
      <c r="J468" s="855"/>
      <c r="K468" s="855"/>
      <c r="L468" s="855"/>
    </row>
    <row r="469" spans="1:25">
      <c r="C469" s="851"/>
      <c r="D469" s="851"/>
      <c r="E469" s="851"/>
      <c r="F469" s="851"/>
      <c r="G469" s="853"/>
      <c r="H469" s="854"/>
      <c r="I469" s="854"/>
      <c r="J469" s="855"/>
      <c r="K469" s="855"/>
      <c r="L469" s="855"/>
    </row>
    <row r="470" spans="1:25">
      <c r="C470" s="851"/>
      <c r="D470" s="851"/>
      <c r="E470" s="851"/>
      <c r="F470" s="851"/>
      <c r="G470" s="853"/>
      <c r="H470" s="854"/>
      <c r="I470" s="854"/>
      <c r="J470" s="855"/>
      <c r="K470" s="855"/>
      <c r="L470" s="855"/>
    </row>
    <row r="471" spans="1:25">
      <c r="C471" s="851"/>
      <c r="D471" s="851"/>
      <c r="E471" s="851"/>
      <c r="F471" s="851"/>
      <c r="G471" s="853"/>
      <c r="H471" s="854"/>
      <c r="I471" s="854"/>
      <c r="J471" s="855"/>
      <c r="K471" s="855"/>
      <c r="L471" s="855"/>
    </row>
    <row r="472" spans="1:25">
      <c r="C472" s="851"/>
      <c r="D472" s="851"/>
      <c r="E472" s="851"/>
      <c r="F472" s="851"/>
      <c r="G472" s="853"/>
      <c r="H472" s="854"/>
      <c r="I472" s="854"/>
      <c r="J472" s="855"/>
      <c r="K472" s="855"/>
      <c r="L472" s="855"/>
    </row>
    <row r="473" spans="1:25">
      <c r="C473" s="851"/>
      <c r="D473" s="851"/>
      <c r="E473" s="851"/>
      <c r="F473" s="851"/>
      <c r="G473" s="853"/>
      <c r="H473" s="854"/>
      <c r="I473" s="854"/>
      <c r="J473" s="855"/>
      <c r="K473" s="855"/>
      <c r="L473" s="855"/>
    </row>
    <row r="474" spans="1:25" ht="18.75">
      <c r="A474" s="207" t="s">
        <v>1986</v>
      </c>
      <c r="B474" s="170"/>
      <c r="C474" s="170"/>
      <c r="D474" s="170"/>
      <c r="E474" s="170"/>
      <c r="F474" s="170"/>
      <c r="G474" s="170"/>
      <c r="H474" s="170"/>
      <c r="I474" s="170"/>
      <c r="J474" s="170"/>
      <c r="K474" s="170"/>
      <c r="L474" s="170"/>
      <c r="M474" s="170"/>
      <c r="N474" s="170"/>
      <c r="O474" s="170"/>
      <c r="P474" s="170"/>
      <c r="Q474" s="170"/>
      <c r="R474" s="170"/>
      <c r="S474" s="170"/>
      <c r="T474" s="170"/>
      <c r="U474" s="170"/>
      <c r="V474" s="170"/>
      <c r="W474" s="170"/>
      <c r="X474" s="170"/>
      <c r="Y474" s="170"/>
    </row>
    <row r="475" spans="1:25">
      <c r="C475" s="147"/>
      <c r="D475" s="147"/>
      <c r="E475" s="147"/>
      <c r="F475" s="147"/>
      <c r="G475" s="147"/>
      <c r="H475" s="147"/>
      <c r="I475" s="147"/>
      <c r="J475" s="147"/>
      <c r="K475" s="147"/>
    </row>
    <row r="476" spans="1:25">
      <c r="C476" s="147"/>
      <c r="D476" s="147"/>
      <c r="E476" s="147"/>
      <c r="F476" s="147"/>
      <c r="G476" s="147"/>
      <c r="H476" s="147"/>
      <c r="I476" s="147"/>
      <c r="J476" s="147"/>
      <c r="K476" s="147"/>
    </row>
    <row r="477" spans="1:25">
      <c r="C477" s="147"/>
      <c r="D477" s="147"/>
      <c r="E477" s="147"/>
      <c r="F477" s="147"/>
      <c r="G477" s="147"/>
      <c r="H477" s="147"/>
      <c r="I477" s="147"/>
      <c r="J477" s="147"/>
      <c r="K477" s="147"/>
    </row>
    <row r="478" spans="1:25">
      <c r="C478" s="1037" t="s">
        <v>20</v>
      </c>
      <c r="D478" s="1038" t="s">
        <v>2525</v>
      </c>
      <c r="F478" s="147"/>
      <c r="G478" s="147"/>
      <c r="H478" s="147"/>
      <c r="I478" s="147"/>
      <c r="J478" s="147"/>
      <c r="K478" s="147"/>
    </row>
    <row r="479" spans="1:25">
      <c r="C479" s="1037" t="s">
        <v>35</v>
      </c>
      <c r="D479" s="1038" t="s">
        <v>35</v>
      </c>
      <c r="F479" s="147"/>
      <c r="G479" s="147"/>
      <c r="H479" s="147"/>
      <c r="I479" s="147"/>
      <c r="J479" s="147"/>
      <c r="K479" s="147"/>
    </row>
    <row r="480" spans="1:25">
      <c r="C480" s="851"/>
      <c r="F480" s="147"/>
      <c r="G480" s="147"/>
      <c r="H480" s="147"/>
      <c r="I480" s="147"/>
      <c r="J480" s="147"/>
      <c r="K480" s="147"/>
    </row>
    <row r="481" spans="3:11" s="145" customFormat="1" ht="75">
      <c r="C481" s="1052" t="s">
        <v>22</v>
      </c>
      <c r="D481" s="1053" t="s">
        <v>3017</v>
      </c>
      <c r="E481" s="1053" t="s">
        <v>3060</v>
      </c>
      <c r="F481" s="1053" t="s">
        <v>3061</v>
      </c>
      <c r="G481" s="1054" t="s">
        <v>3062</v>
      </c>
      <c r="H481" s="1053" t="s">
        <v>3063</v>
      </c>
      <c r="I481" s="1053" t="s">
        <v>3064</v>
      </c>
      <c r="J481" s="771"/>
      <c r="K481" s="771"/>
    </row>
    <row r="482" spans="3:11">
      <c r="C482" s="1041" t="s">
        <v>39</v>
      </c>
      <c r="D482" s="1050">
        <v>7291</v>
      </c>
      <c r="E482" s="1050">
        <v>18</v>
      </c>
      <c r="F482" s="1050">
        <v>81</v>
      </c>
      <c r="G482" s="1050">
        <v>30</v>
      </c>
      <c r="H482" s="1050">
        <v>62</v>
      </c>
      <c r="I482" s="1050">
        <v>0</v>
      </c>
      <c r="J482" s="147"/>
      <c r="K482" s="147"/>
    </row>
    <row r="483" spans="3:11">
      <c r="C483" s="1041" t="s">
        <v>716</v>
      </c>
      <c r="D483" s="1050">
        <v>1348</v>
      </c>
      <c r="E483" s="1050"/>
      <c r="F483" s="1050">
        <v>1</v>
      </c>
      <c r="G483" s="1050"/>
      <c r="H483" s="1050"/>
      <c r="I483" s="1050">
        <v>0</v>
      </c>
      <c r="J483" s="147"/>
      <c r="K483" s="147"/>
    </row>
    <row r="484" spans="3:11">
      <c r="C484" s="1041" t="s">
        <v>3014</v>
      </c>
      <c r="D484" s="1050">
        <v>4761</v>
      </c>
      <c r="E484" s="1050">
        <v>6</v>
      </c>
      <c r="F484" s="1050">
        <v>40</v>
      </c>
      <c r="G484" s="1050">
        <v>109</v>
      </c>
      <c r="H484" s="1050">
        <v>771</v>
      </c>
      <c r="I484" s="1050">
        <v>94</v>
      </c>
      <c r="J484" s="147"/>
      <c r="K484" s="147"/>
    </row>
    <row r="485" spans="3:11">
      <c r="C485" s="1041" t="s">
        <v>3013</v>
      </c>
      <c r="D485" s="1050"/>
      <c r="E485" s="1050">
        <v>9</v>
      </c>
      <c r="F485" s="1050">
        <v>54</v>
      </c>
      <c r="G485" s="1050">
        <v>5</v>
      </c>
      <c r="H485" s="1050">
        <v>31</v>
      </c>
      <c r="I485" s="1050">
        <v>0</v>
      </c>
      <c r="J485" s="147"/>
      <c r="K485" s="147"/>
    </row>
    <row r="486" spans="3:11" ht="15.75" thickBot="1">
      <c r="C486" s="852"/>
      <c r="D486" s="147"/>
      <c r="E486" s="147"/>
      <c r="F486" s="147"/>
      <c r="G486" s="147"/>
      <c r="H486" s="147"/>
      <c r="I486" s="147"/>
      <c r="J486" s="147"/>
      <c r="K486" s="147"/>
    </row>
    <row r="487" spans="3:11" s="772" customFormat="1" ht="41.25" customHeight="1" thickBot="1">
      <c r="C487" s="773" t="s">
        <v>22</v>
      </c>
      <c r="D487" s="766" t="s">
        <v>2377</v>
      </c>
      <c r="E487" s="766" t="s">
        <v>1987</v>
      </c>
      <c r="F487" s="766" t="s">
        <v>3065</v>
      </c>
      <c r="G487" s="767" t="s">
        <v>1988</v>
      </c>
      <c r="H487" s="767" t="s">
        <v>2045</v>
      </c>
      <c r="I487" s="774"/>
      <c r="J487" s="774"/>
      <c r="K487" s="774"/>
    </row>
    <row r="488" spans="3:11">
      <c r="C488" s="171" t="s">
        <v>39</v>
      </c>
      <c r="D488" s="261">
        <f>GETPIVOTDATA(" # of hand washing stations with soap in TLS",$C$481,"State","Kachin")</f>
        <v>0</v>
      </c>
      <c r="E488" s="261">
        <f>GETPIVOTDATA(" #_Constructed/Existing hand washing stations at TLS",$C$481,"State","Kachin")</f>
        <v>30</v>
      </c>
      <c r="F488" s="261">
        <f>GETPIVOTDATA(" #_Hygiene Promotion activities (sessions) in TLS?",$C$481,"State","Kachin")</f>
        <v>62</v>
      </c>
      <c r="G488" s="261">
        <f>GETPIVOTDATA(" #_Constructed/Existing latrines in TLS",$C$481,"State","Kachin")</f>
        <v>81</v>
      </c>
      <c r="H488" s="261">
        <f>GETPIVOTDATA(" #_of water points in TLS and CFS ",$C$481,"State","Kachin")</f>
        <v>18</v>
      </c>
      <c r="I488" s="147"/>
      <c r="J488" s="147"/>
      <c r="K488" s="147"/>
    </row>
    <row r="489" spans="3:11">
      <c r="C489" s="172" t="s">
        <v>312</v>
      </c>
      <c r="D489" s="261">
        <f>GETPIVOTDATA(" # of hand washing stations with soap in TLS",$C$481,"State","Central Rakhine")</f>
        <v>94</v>
      </c>
      <c r="E489" s="262">
        <f>GETPIVOTDATA(" #_Constructed/Existing hand washing stations at TLS",$C$481,"State","Central Rakhine")</f>
        <v>109</v>
      </c>
      <c r="F489" s="262">
        <f>GETPIVOTDATA(" #_Hygiene Promotion activities (sessions) in TLS?",$C$481,"State","Central Rakhine")</f>
        <v>771</v>
      </c>
      <c r="G489" s="263">
        <f>GETPIVOTDATA(" #_Constructed/Existing latrines in TLS",$C$481,"State","Central Rakhine")</f>
        <v>40</v>
      </c>
      <c r="H489" s="263">
        <f>GETPIVOTDATA(" #_of water points in TLS and CFS ",$C$481,"State","Central Rakhine")</f>
        <v>6</v>
      </c>
      <c r="I489" s="147"/>
      <c r="J489" s="147"/>
      <c r="K489" s="147"/>
    </row>
    <row r="490" spans="3:11">
      <c r="C490" s="171" t="s">
        <v>716</v>
      </c>
      <c r="D490" s="261">
        <f>GETPIVOTDATA(" # of hand washing stations with soap in TLS",$C$481,"State","Shan (North)")</f>
        <v>0</v>
      </c>
      <c r="E490" s="261">
        <f>GETPIVOTDATA(" #_Constructed/Existing hand washing stations at TLS",$C$481,"State","Shan (North)")</f>
        <v>0</v>
      </c>
      <c r="F490" s="261">
        <f>GETPIVOTDATA(" #_Hygiene Promotion activities (sessions) in TLS?",$C$481,"State","Shan (North)")</f>
        <v>0</v>
      </c>
      <c r="G490" s="261">
        <f>GETPIVOTDATA(" #_Constructed/Existing latrines in TLS",$C$481,"State","Shan (North)")</f>
        <v>1</v>
      </c>
      <c r="H490" s="261">
        <f>GETPIVOTDATA(" #_of water points in TLS and CFS ",$C$481,"State","Shan (North)")</f>
        <v>0</v>
      </c>
      <c r="I490" s="147"/>
      <c r="J490" s="147"/>
      <c r="K490" s="147"/>
    </row>
    <row r="491" spans="3:11">
      <c r="C491" s="147"/>
      <c r="D491" s="147"/>
      <c r="E491" s="147"/>
      <c r="F491" s="147"/>
      <c r="G491" s="147"/>
      <c r="H491" s="147"/>
      <c r="I491" s="147"/>
      <c r="J491" s="147"/>
      <c r="K491" s="147"/>
    </row>
    <row r="492" spans="3:11">
      <c r="C492" s="147"/>
      <c r="D492" s="147"/>
      <c r="E492" s="147"/>
      <c r="F492" s="147"/>
      <c r="G492" s="147"/>
      <c r="H492" s="147"/>
      <c r="I492" s="147"/>
      <c r="J492" s="147"/>
      <c r="K492" s="147"/>
    </row>
    <row r="493" spans="3:11">
      <c r="C493" s="147"/>
      <c r="D493" s="147"/>
      <c r="E493" s="147"/>
      <c r="F493" s="147"/>
      <c r="G493" s="147"/>
      <c r="H493" s="147"/>
      <c r="I493" s="147"/>
      <c r="J493" s="147"/>
      <c r="K493" s="147"/>
    </row>
    <row r="494" spans="3:11">
      <c r="C494" s="147"/>
      <c r="D494" s="147"/>
      <c r="E494" s="147"/>
      <c r="F494" s="147"/>
      <c r="G494" s="147"/>
      <c r="H494" s="147"/>
      <c r="I494" s="147"/>
      <c r="J494" s="147"/>
      <c r="K494" s="147"/>
    </row>
    <row r="495" spans="3:11">
      <c r="C495" s="147"/>
      <c r="D495" s="147"/>
      <c r="E495" s="147"/>
      <c r="F495" s="147"/>
      <c r="G495" s="147"/>
      <c r="H495" s="147"/>
      <c r="I495" s="147"/>
      <c r="J495" s="147"/>
      <c r="K495" s="147"/>
    </row>
    <row r="496" spans="3:11">
      <c r="C496" s="147"/>
      <c r="D496" s="147"/>
      <c r="E496" s="147"/>
      <c r="F496" s="147"/>
      <c r="G496" s="147"/>
      <c r="H496" s="147"/>
      <c r="I496" s="147"/>
      <c r="J496" s="147"/>
      <c r="K496" s="147"/>
    </row>
    <row r="497" spans="3:17">
      <c r="C497" s="147"/>
      <c r="D497" s="147"/>
      <c r="E497" s="147"/>
      <c r="F497" s="147"/>
      <c r="G497" s="147"/>
      <c r="H497" s="147"/>
      <c r="I497" s="147"/>
      <c r="J497" s="147"/>
      <c r="K497" s="147"/>
    </row>
    <row r="498" spans="3:17">
      <c r="C498" s="147"/>
      <c r="D498" s="147"/>
      <c r="E498" s="147"/>
      <c r="F498" s="147"/>
      <c r="G498" s="147"/>
      <c r="H498" s="147"/>
      <c r="I498" s="147"/>
      <c r="J498" s="147"/>
      <c r="K498" s="147"/>
    </row>
    <row r="499" spans="3:17">
      <c r="C499" s="147"/>
      <c r="D499" s="147"/>
      <c r="E499" s="147"/>
      <c r="F499" s="147"/>
      <c r="G499" s="147"/>
      <c r="H499" s="147"/>
      <c r="I499" s="147"/>
      <c r="J499" s="147"/>
      <c r="K499" s="147"/>
    </row>
    <row r="500" spans="3:17">
      <c r="C500" s="147"/>
      <c r="D500" s="147"/>
      <c r="E500" s="147"/>
      <c r="F500" s="147"/>
      <c r="G500" s="147"/>
      <c r="H500" s="147"/>
      <c r="I500" s="147"/>
      <c r="J500" s="147"/>
      <c r="K500" s="147"/>
    </row>
    <row r="501" spans="3:17">
      <c r="C501" s="147"/>
      <c r="D501" s="147"/>
      <c r="E501" s="147"/>
      <c r="F501" s="147"/>
      <c r="G501" s="147"/>
      <c r="H501" s="147"/>
      <c r="I501" s="147"/>
      <c r="J501" s="147"/>
      <c r="K501" s="147"/>
    </row>
    <row r="502" spans="3:17">
      <c r="C502" s="147"/>
      <c r="D502" s="147"/>
      <c r="E502" s="147"/>
      <c r="F502" s="147"/>
      <c r="G502" s="147"/>
      <c r="H502" s="147"/>
      <c r="I502" s="147"/>
      <c r="J502" s="147"/>
      <c r="K502" s="147"/>
    </row>
    <row r="503" spans="3:17">
      <c r="C503" s="147"/>
      <c r="D503" s="147"/>
      <c r="E503" s="147"/>
      <c r="F503" s="147"/>
      <c r="G503" s="147"/>
      <c r="H503" s="147"/>
      <c r="I503" s="147"/>
      <c r="J503" s="147"/>
      <c r="K503" s="147"/>
    </row>
    <row r="504" spans="3:17">
      <c r="C504" s="147"/>
      <c r="D504" s="147"/>
      <c r="E504" s="147"/>
      <c r="F504" s="147"/>
      <c r="G504" s="147"/>
      <c r="H504" s="147"/>
      <c r="I504" s="147"/>
      <c r="J504" s="147"/>
      <c r="K504" s="147"/>
    </row>
    <row r="505" spans="3:17">
      <c r="C505" s="147"/>
      <c r="D505" s="147"/>
      <c r="E505" s="147"/>
      <c r="F505" s="147"/>
      <c r="G505" s="147"/>
      <c r="H505" s="147"/>
      <c r="I505" s="147"/>
      <c r="J505" s="147"/>
      <c r="K505" s="147"/>
    </row>
    <row r="506" spans="3:17">
      <c r="C506" s="147"/>
      <c r="D506" s="147"/>
      <c r="E506" s="147"/>
      <c r="F506" s="147"/>
      <c r="G506" s="147"/>
      <c r="H506" s="147"/>
      <c r="I506" s="147"/>
      <c r="J506" s="147"/>
      <c r="K506" s="147"/>
    </row>
    <row r="507" spans="3:17">
      <c r="C507" s="147"/>
      <c r="D507" s="147"/>
      <c r="E507" s="147"/>
      <c r="F507" s="147"/>
      <c r="G507" s="147"/>
      <c r="H507" s="147"/>
      <c r="I507" s="147"/>
      <c r="J507" s="147"/>
      <c r="K507" s="147"/>
    </row>
    <row r="508" spans="3:17">
      <c r="C508" s="147"/>
      <c r="D508" s="147"/>
      <c r="E508" s="147"/>
      <c r="F508" s="147"/>
      <c r="G508" s="147"/>
      <c r="H508" s="147"/>
      <c r="I508" s="147"/>
      <c r="J508" s="147"/>
      <c r="K508" s="147"/>
    </row>
    <row r="509" spans="3:17">
      <c r="C509" s="1037" t="s">
        <v>20</v>
      </c>
      <c r="D509" s="1038" t="s">
        <v>2525</v>
      </c>
      <c r="E509" s="147"/>
      <c r="F509" s="147"/>
      <c r="G509" s="147"/>
      <c r="H509" s="147"/>
      <c r="I509" s="147"/>
      <c r="J509" s="147"/>
      <c r="K509" s="147"/>
    </row>
    <row r="510" spans="3:17">
      <c r="C510" s="1037" t="s">
        <v>35</v>
      </c>
      <c r="D510" s="1038" t="s">
        <v>35</v>
      </c>
      <c r="F510" s="147"/>
      <c r="G510" s="147"/>
      <c r="H510" s="147" t="s">
        <v>39</v>
      </c>
      <c r="I510" s="147"/>
      <c r="J510" s="147"/>
      <c r="K510" s="147"/>
      <c r="L510" s="837" t="s">
        <v>312</v>
      </c>
      <c r="Q510" s="837" t="s">
        <v>3127</v>
      </c>
    </row>
    <row r="511" spans="3:17">
      <c r="C511" s="1037" t="s">
        <v>142</v>
      </c>
      <c r="D511" s="1038" t="s">
        <v>1668</v>
      </c>
      <c r="F511" s="147"/>
      <c r="G511" s="147"/>
      <c r="H511" s="147"/>
      <c r="I511" s="147"/>
      <c r="J511" s="147"/>
      <c r="K511" s="147"/>
    </row>
    <row r="512" spans="3:17">
      <c r="F512" s="147"/>
      <c r="G512" s="147"/>
      <c r="H512" s="147"/>
      <c r="I512" s="147"/>
      <c r="J512" s="147"/>
      <c r="K512" s="147"/>
    </row>
    <row r="513" spans="3:11" ht="15.75">
      <c r="C513" s="1037" t="s">
        <v>3126</v>
      </c>
      <c r="D513" s="1037" t="s">
        <v>1926</v>
      </c>
      <c r="E513" s="1038"/>
      <c r="F513"/>
      <c r="G513"/>
      <c r="H513"/>
      <c r="I513" s="147"/>
      <c r="J513" s="147"/>
      <c r="K513" s="147"/>
    </row>
    <row r="514" spans="3:11" ht="15.75">
      <c r="C514" s="1037" t="s">
        <v>22</v>
      </c>
      <c r="D514" s="1038" t="s">
        <v>144</v>
      </c>
      <c r="E514" s="1038" t="s">
        <v>43</v>
      </c>
      <c r="F514"/>
      <c r="G514"/>
      <c r="H514"/>
      <c r="I514" s="147"/>
      <c r="J514" s="147"/>
      <c r="K514" s="147"/>
    </row>
    <row r="515" spans="3:11" ht="15.75">
      <c r="C515" s="1041" t="s">
        <v>39</v>
      </c>
      <c r="D515" s="1043">
        <v>0.76119402985074625</v>
      </c>
      <c r="E515" s="1043">
        <v>0.23880597014925373</v>
      </c>
      <c r="F515"/>
      <c r="G515"/>
      <c r="H515"/>
      <c r="I515" s="147"/>
      <c r="J515" s="147"/>
      <c r="K515" s="147"/>
    </row>
    <row r="516" spans="3:11" ht="15.75">
      <c r="C516" s="1041" t="s">
        <v>716</v>
      </c>
      <c r="D516" s="1043">
        <v>0.4642857142857143</v>
      </c>
      <c r="E516" s="1043">
        <v>0.5357142857142857</v>
      </c>
      <c r="F516"/>
      <c r="G516"/>
      <c r="H516"/>
      <c r="I516" s="147"/>
      <c r="J516" s="147"/>
      <c r="K516" s="147"/>
    </row>
    <row r="517" spans="3:11" ht="15.75">
      <c r="C517" s="1041" t="s">
        <v>3014</v>
      </c>
      <c r="D517" s="1043">
        <v>0.84</v>
      </c>
      <c r="E517" s="1043">
        <v>0.16</v>
      </c>
      <c r="F517"/>
      <c r="G517" s="147"/>
      <c r="H517" s="147"/>
      <c r="I517" s="147"/>
      <c r="J517" s="147"/>
      <c r="K517" s="147"/>
    </row>
    <row r="518" spans="3:11" ht="15.75">
      <c r="C518"/>
      <c r="D518"/>
      <c r="E518" s="147"/>
      <c r="F518" s="147"/>
      <c r="G518" s="147"/>
      <c r="H518" s="147"/>
      <c r="I518" s="147"/>
      <c r="J518" s="147"/>
      <c r="K518" s="147"/>
    </row>
    <row r="519" spans="3:11" ht="15.75" thickBot="1">
      <c r="C519" s="840" t="s">
        <v>22</v>
      </c>
      <c r="D519" s="838" t="s">
        <v>144</v>
      </c>
      <c r="E519" s="839" t="s">
        <v>43</v>
      </c>
      <c r="F519" s="147"/>
      <c r="G519" s="147"/>
      <c r="H519" s="147"/>
      <c r="I519" s="147"/>
      <c r="J519" s="147"/>
      <c r="K519" s="147"/>
    </row>
    <row r="520" spans="3:11">
      <c r="C520" s="171" t="s">
        <v>39</v>
      </c>
      <c r="D520" s="841">
        <f>GETPIVOTDATA("Sites with TLS",$C$513,"State","Kachin","Sites with TLS","No")</f>
        <v>0.76119402985074625</v>
      </c>
      <c r="E520" s="841">
        <f>GETPIVOTDATA("Sites with TLS",$C$513,"State","Kachin","Sites with TLS","Yes")</f>
        <v>0.23880597014925373</v>
      </c>
      <c r="F520" s="147"/>
      <c r="G520" s="147"/>
      <c r="H520" s="147"/>
      <c r="I520" s="147"/>
      <c r="J520" s="147"/>
      <c r="K520" s="147"/>
    </row>
    <row r="521" spans="3:11">
      <c r="C521" s="172" t="s">
        <v>716</v>
      </c>
      <c r="D521" s="842">
        <f>GETPIVOTDATA("Sites with TLS",$C$513,"State","Shan (North)","Sites with TLS","No")</f>
        <v>0.4642857142857143</v>
      </c>
      <c r="E521" s="843">
        <f>GETPIVOTDATA("Sites with TLS",$C$513,"State","Shan (North)","Sites with TLS","Yes")</f>
        <v>0.5357142857142857</v>
      </c>
      <c r="F521" s="147"/>
      <c r="G521" s="147"/>
      <c r="H521" s="147"/>
      <c r="I521" s="147"/>
      <c r="J521" s="147"/>
      <c r="K521" s="147"/>
    </row>
    <row r="522" spans="3:11">
      <c r="C522" s="171" t="s">
        <v>3014</v>
      </c>
      <c r="D522" s="841">
        <f>GETPIVOTDATA("Sites with TLS",$C$513,"State","Central Rakhine","Sites with TLS","No")</f>
        <v>0.84</v>
      </c>
      <c r="E522" s="841">
        <f>GETPIVOTDATA("Sites with TLS",$C$513,"State","Central Rakhine","Sites with TLS","Yes")</f>
        <v>0.16</v>
      </c>
      <c r="F522" s="147"/>
      <c r="G522" s="147"/>
      <c r="H522" s="147"/>
      <c r="I522" s="147"/>
      <c r="J522" s="147"/>
      <c r="K522" s="147"/>
    </row>
    <row r="523" spans="3:11">
      <c r="C523" s="147"/>
      <c r="D523" s="147"/>
      <c r="E523" s="147"/>
      <c r="F523" s="147"/>
      <c r="G523" s="147"/>
      <c r="H523" s="147"/>
      <c r="I523" s="147"/>
      <c r="J523" s="147"/>
      <c r="K523" s="147"/>
    </row>
    <row r="524" spans="3:11">
      <c r="C524" s="147"/>
      <c r="D524" s="147"/>
      <c r="E524" s="147"/>
      <c r="F524" s="147"/>
      <c r="G524" s="147"/>
      <c r="H524" s="147"/>
      <c r="I524" s="147"/>
      <c r="J524" s="147"/>
      <c r="K524" s="147"/>
    </row>
    <row r="525" spans="3:11">
      <c r="C525" s="147"/>
      <c r="D525" s="147"/>
      <c r="E525" s="147"/>
      <c r="F525" s="147"/>
      <c r="G525" s="147"/>
      <c r="H525" s="147"/>
      <c r="I525" s="147"/>
      <c r="J525" s="147"/>
      <c r="K525" s="147"/>
    </row>
    <row r="526" spans="3:11">
      <c r="C526" s="147"/>
      <c r="D526" s="147"/>
      <c r="E526" s="147"/>
      <c r="F526" s="147"/>
      <c r="G526" s="147"/>
      <c r="H526" s="147"/>
      <c r="I526" s="147"/>
      <c r="J526" s="147"/>
      <c r="K526" s="147"/>
    </row>
    <row r="527" spans="3:11">
      <c r="C527" s="147"/>
      <c r="D527" s="147"/>
      <c r="E527" s="147"/>
      <c r="F527" s="147"/>
      <c r="G527" s="147"/>
      <c r="H527" s="147"/>
      <c r="I527" s="147"/>
      <c r="J527" s="147"/>
      <c r="K527" s="147"/>
    </row>
    <row r="528" spans="3:11">
      <c r="C528" s="147"/>
      <c r="D528" s="147"/>
      <c r="E528" s="147"/>
      <c r="F528" s="147"/>
      <c r="G528" s="147"/>
      <c r="H528" s="147"/>
      <c r="I528" s="147"/>
      <c r="J528" s="147"/>
      <c r="K528" s="147"/>
    </row>
    <row r="529" spans="3:11">
      <c r="C529" s="147"/>
      <c r="D529" s="147"/>
      <c r="E529" s="147"/>
      <c r="F529" s="147"/>
      <c r="G529" s="147"/>
      <c r="H529" s="147"/>
      <c r="I529" s="147"/>
      <c r="J529" s="147"/>
      <c r="K529" s="147"/>
    </row>
    <row r="530" spans="3:11">
      <c r="C530" s="147"/>
      <c r="D530" s="147"/>
      <c r="E530" s="147"/>
      <c r="F530" s="147"/>
      <c r="G530" s="147"/>
      <c r="H530" s="147"/>
      <c r="I530" s="147"/>
      <c r="J530" s="147"/>
      <c r="K530" s="147"/>
    </row>
    <row r="531" spans="3:11">
      <c r="C531" s="147"/>
      <c r="D531" s="147"/>
      <c r="E531" s="147"/>
      <c r="F531" s="147"/>
      <c r="G531" s="147"/>
      <c r="H531" s="147"/>
      <c r="I531" s="147"/>
      <c r="J531" s="147"/>
      <c r="K531" s="147"/>
    </row>
    <row r="532" spans="3:11">
      <c r="C532" s="147"/>
      <c r="D532" s="147"/>
      <c r="E532" s="147"/>
      <c r="F532" s="147"/>
      <c r="G532" s="147"/>
      <c r="H532" s="147"/>
      <c r="I532" s="147"/>
      <c r="J532" s="147"/>
      <c r="K532" s="147"/>
    </row>
    <row r="533" spans="3:11">
      <c r="C533" s="147"/>
      <c r="D533" s="147"/>
      <c r="E533" s="147"/>
      <c r="F533" s="147"/>
      <c r="G533" s="147"/>
      <c r="H533" s="147"/>
      <c r="I533" s="147"/>
      <c r="J533" s="147"/>
      <c r="K533" s="147"/>
    </row>
    <row r="534" spans="3:11">
      <c r="C534" s="147"/>
      <c r="D534" s="147"/>
      <c r="E534" s="147"/>
      <c r="F534" s="147"/>
      <c r="G534" s="147"/>
      <c r="H534" s="147"/>
      <c r="I534" s="147"/>
      <c r="J534" s="147"/>
      <c r="K534" s="147"/>
    </row>
    <row r="535" spans="3:11">
      <c r="C535" s="147"/>
      <c r="D535" s="147"/>
      <c r="E535" s="147"/>
      <c r="F535" s="147"/>
      <c r="G535" s="147"/>
      <c r="H535" s="147"/>
      <c r="I535" s="147"/>
      <c r="J535" s="147"/>
      <c r="K535" s="147"/>
    </row>
    <row r="536" spans="3:11">
      <c r="C536" s="147"/>
      <c r="D536" s="147"/>
      <c r="E536" s="147"/>
      <c r="F536" s="147"/>
      <c r="G536" s="147"/>
      <c r="H536" s="147"/>
      <c r="I536" s="147"/>
      <c r="J536" s="147"/>
      <c r="K536" s="147"/>
    </row>
    <row r="537" spans="3:11">
      <c r="C537" s="147"/>
      <c r="D537" s="147"/>
      <c r="E537" s="147"/>
      <c r="F537" s="147"/>
      <c r="G537" s="147"/>
      <c r="H537" s="147"/>
      <c r="I537" s="147"/>
      <c r="J537" s="147"/>
      <c r="K537" s="147"/>
    </row>
    <row r="538" spans="3:11">
      <c r="C538" s="147"/>
      <c r="D538" s="147"/>
      <c r="E538" s="147"/>
      <c r="F538" s="147"/>
      <c r="G538" s="147"/>
      <c r="H538" s="147"/>
      <c r="I538" s="147"/>
      <c r="J538" s="147"/>
      <c r="K538" s="147"/>
    </row>
    <row r="539" spans="3:11">
      <c r="C539" s="147"/>
      <c r="D539" s="147"/>
      <c r="E539" s="147"/>
      <c r="F539" s="147"/>
      <c r="G539" s="147"/>
      <c r="H539" s="147"/>
      <c r="I539" s="147"/>
      <c r="J539" s="147"/>
      <c r="K539" s="147"/>
    </row>
    <row r="540" spans="3:11">
      <c r="C540" s="147"/>
      <c r="D540" s="147"/>
      <c r="E540" s="147"/>
      <c r="F540" s="147"/>
      <c r="G540" s="147"/>
      <c r="H540" s="147"/>
      <c r="I540" s="147"/>
      <c r="J540" s="147"/>
      <c r="K540" s="147"/>
    </row>
    <row r="541" spans="3:11">
      <c r="C541" s="147"/>
      <c r="D541" s="147"/>
      <c r="E541" s="147"/>
      <c r="F541" s="147"/>
      <c r="G541" s="147"/>
      <c r="H541" s="147"/>
      <c r="I541" s="147"/>
      <c r="J541" s="147"/>
      <c r="K541" s="147"/>
    </row>
    <row r="542" spans="3:11">
      <c r="C542" s="147"/>
      <c r="D542" s="147"/>
      <c r="E542" s="147"/>
      <c r="F542" s="147"/>
      <c r="G542" s="147"/>
      <c r="H542" s="147"/>
      <c r="I542" s="147"/>
      <c r="J542" s="147"/>
      <c r="K542" s="147"/>
    </row>
    <row r="543" spans="3:11">
      <c r="C543" s="147"/>
      <c r="D543" s="147"/>
      <c r="E543" s="147"/>
      <c r="F543" s="147"/>
      <c r="G543" s="147"/>
      <c r="H543" s="147"/>
      <c r="I543" s="147"/>
      <c r="J543" s="147"/>
      <c r="K543" s="147"/>
    </row>
    <row r="544" spans="3:11">
      <c r="C544" s="147"/>
      <c r="D544" s="147"/>
      <c r="E544" s="147"/>
      <c r="F544" s="147"/>
      <c r="G544" s="147"/>
      <c r="H544" s="147"/>
      <c r="I544" s="147"/>
      <c r="J544" s="147"/>
      <c r="K544" s="147"/>
    </row>
    <row r="545" spans="3:11">
      <c r="C545" s="147"/>
      <c r="D545" s="147"/>
      <c r="E545" s="147"/>
      <c r="F545" s="147"/>
      <c r="G545" s="147"/>
      <c r="H545" s="147"/>
      <c r="I545" s="147"/>
      <c r="J545" s="147"/>
      <c r="K545" s="147"/>
    </row>
    <row r="546" spans="3:11">
      <c r="C546" s="147"/>
      <c r="D546" s="147"/>
      <c r="E546" s="147"/>
      <c r="F546" s="147"/>
      <c r="G546" s="147"/>
      <c r="H546" s="147"/>
      <c r="I546" s="147"/>
      <c r="J546" s="147"/>
      <c r="K546" s="147"/>
    </row>
    <row r="547" spans="3:11">
      <c r="C547" s="147"/>
      <c r="D547" s="147"/>
      <c r="E547" s="147"/>
      <c r="F547" s="147"/>
      <c r="G547" s="147"/>
      <c r="H547" s="147"/>
      <c r="I547" s="147"/>
      <c r="J547" s="147"/>
      <c r="K547" s="147"/>
    </row>
    <row r="548" spans="3:11">
      <c r="C548" s="147"/>
      <c r="D548" s="147"/>
      <c r="E548" s="147"/>
      <c r="F548" s="147"/>
      <c r="G548" s="147"/>
      <c r="H548" s="147"/>
      <c r="I548" s="147"/>
      <c r="J548" s="147"/>
      <c r="K548" s="147"/>
    </row>
    <row r="549" spans="3:11">
      <c r="C549" s="147"/>
      <c r="D549" s="147"/>
      <c r="E549" s="147"/>
      <c r="F549" s="147"/>
      <c r="G549" s="147"/>
      <c r="H549" s="147"/>
      <c r="I549" s="147"/>
      <c r="J549" s="147"/>
      <c r="K549" s="147"/>
    </row>
    <row r="550" spans="3:11">
      <c r="C550" s="147"/>
      <c r="D550" s="147"/>
      <c r="E550" s="147"/>
      <c r="F550" s="147"/>
      <c r="G550" s="147"/>
      <c r="H550" s="147"/>
      <c r="I550" s="147"/>
      <c r="J550" s="147"/>
      <c r="K550" s="147"/>
    </row>
    <row r="551" spans="3:11">
      <c r="C551" s="147"/>
      <c r="D551" s="147"/>
      <c r="E551" s="147"/>
      <c r="F551" s="147"/>
      <c r="G551" s="147"/>
      <c r="H551" s="147"/>
      <c r="I551" s="147"/>
      <c r="J551" s="147"/>
      <c r="K551" s="147"/>
    </row>
    <row r="552" spans="3:11">
      <c r="C552" s="147"/>
      <c r="D552" s="147"/>
      <c r="E552" s="147"/>
      <c r="F552" s="147"/>
      <c r="G552" s="147"/>
      <c r="H552" s="147"/>
      <c r="I552" s="147"/>
      <c r="J552" s="147"/>
      <c r="K552" s="147"/>
    </row>
    <row r="553" spans="3:11">
      <c r="C553" s="147"/>
      <c r="D553" s="147"/>
      <c r="E553" s="147"/>
      <c r="F553" s="147"/>
      <c r="G553" s="147"/>
      <c r="H553" s="147"/>
      <c r="I553" s="147"/>
      <c r="J553" s="147"/>
      <c r="K553" s="147"/>
    </row>
    <row r="554" spans="3:11">
      <c r="C554" s="147"/>
      <c r="D554" s="147"/>
      <c r="E554" s="147"/>
      <c r="F554" s="147"/>
      <c r="G554" s="147"/>
      <c r="H554" s="147"/>
      <c r="I554" s="147"/>
      <c r="J554" s="147"/>
      <c r="K554" s="147"/>
    </row>
    <row r="555" spans="3:11">
      <c r="C555" s="147"/>
      <c r="D555" s="147"/>
      <c r="E555" s="147"/>
      <c r="F555" s="147"/>
      <c r="G555" s="147"/>
      <c r="H555" s="147"/>
      <c r="I555" s="147"/>
      <c r="J555" s="147"/>
      <c r="K555" s="147"/>
    </row>
    <row r="556" spans="3:11">
      <c r="C556" s="147"/>
      <c r="D556" s="147"/>
      <c r="E556" s="147"/>
      <c r="F556" s="147"/>
      <c r="G556" s="147"/>
      <c r="H556" s="147"/>
      <c r="I556" s="147"/>
      <c r="J556" s="147"/>
      <c r="K556" s="147"/>
    </row>
    <row r="557" spans="3:11">
      <c r="C557" s="147"/>
      <c r="D557" s="147"/>
      <c r="E557" s="147"/>
      <c r="F557" s="147"/>
      <c r="G557" s="147"/>
      <c r="H557" s="147"/>
      <c r="I557" s="147"/>
      <c r="J557" s="147"/>
      <c r="K557" s="147"/>
    </row>
    <row r="558" spans="3:11">
      <c r="C558" s="147"/>
      <c r="D558" s="147"/>
      <c r="E558" s="147"/>
      <c r="F558" s="147"/>
      <c r="G558" s="147"/>
      <c r="H558" s="147"/>
      <c r="I558" s="147"/>
      <c r="J558" s="147"/>
      <c r="K558" s="147"/>
    </row>
    <row r="559" spans="3:11">
      <c r="C559" s="147"/>
      <c r="D559" s="147"/>
      <c r="E559" s="147"/>
      <c r="F559" s="147"/>
      <c r="G559" s="147"/>
      <c r="H559" s="147"/>
      <c r="I559" s="147"/>
      <c r="J559" s="147"/>
      <c r="K559" s="147"/>
    </row>
    <row r="560" spans="3:11">
      <c r="C560" s="147"/>
      <c r="D560" s="147"/>
      <c r="E560" s="147"/>
      <c r="F560" s="147"/>
      <c r="G560" s="147"/>
      <c r="H560" s="147"/>
      <c r="I560" s="147"/>
      <c r="J560" s="147"/>
      <c r="K560" s="147"/>
    </row>
    <row r="561" spans="3:11">
      <c r="C561" s="147"/>
      <c r="D561" s="147"/>
      <c r="E561" s="147"/>
      <c r="F561" s="147"/>
      <c r="G561" s="147"/>
      <c r="H561" s="147"/>
      <c r="I561" s="147"/>
      <c r="J561" s="147"/>
      <c r="K561" s="147"/>
    </row>
    <row r="562" spans="3:11">
      <c r="C562" s="147"/>
      <c r="D562" s="147"/>
      <c r="E562" s="147"/>
      <c r="F562" s="147"/>
      <c r="G562" s="147"/>
      <c r="H562" s="147"/>
      <c r="I562" s="147"/>
      <c r="J562" s="147"/>
      <c r="K562" s="147"/>
    </row>
    <row r="563" spans="3:11">
      <c r="C563" s="147"/>
      <c r="D563" s="147"/>
      <c r="E563" s="147"/>
      <c r="F563" s="147"/>
      <c r="G563" s="147"/>
      <c r="H563" s="147"/>
      <c r="I563" s="147"/>
      <c r="J563" s="147"/>
      <c r="K563" s="147"/>
    </row>
    <row r="564" spans="3:11">
      <c r="C564" s="147"/>
      <c r="D564" s="147"/>
      <c r="E564" s="147"/>
      <c r="F564" s="147"/>
      <c r="G564" s="147"/>
      <c r="H564" s="147"/>
      <c r="I564" s="147"/>
      <c r="J564" s="147"/>
      <c r="K564" s="147"/>
    </row>
    <row r="565" spans="3:11">
      <c r="C565" s="147"/>
      <c r="D565" s="147"/>
      <c r="E565" s="147"/>
      <c r="F565" s="147"/>
      <c r="G565" s="147"/>
      <c r="H565" s="147"/>
      <c r="I565" s="147"/>
      <c r="J565" s="147"/>
      <c r="K565" s="147"/>
    </row>
    <row r="566" spans="3:11">
      <c r="C566" s="147"/>
      <c r="D566" s="147"/>
      <c r="E566" s="147"/>
      <c r="F566" s="147"/>
      <c r="G566" s="147"/>
      <c r="H566" s="147"/>
      <c r="I566" s="147"/>
      <c r="J566" s="147"/>
      <c r="K566" s="147"/>
    </row>
    <row r="567" spans="3:11">
      <c r="C567" s="147"/>
      <c r="D567" s="147"/>
      <c r="E567" s="147"/>
      <c r="F567" s="147"/>
      <c r="G567" s="147"/>
      <c r="H567" s="147"/>
      <c r="I567" s="147"/>
      <c r="J567" s="147"/>
      <c r="K567" s="147"/>
    </row>
    <row r="568" spans="3:11">
      <c r="C568" s="147"/>
      <c r="D568" s="147"/>
      <c r="E568" s="147"/>
      <c r="F568" s="147"/>
      <c r="G568" s="147"/>
      <c r="H568" s="147"/>
      <c r="I568" s="147"/>
      <c r="J568" s="147"/>
      <c r="K568" s="147"/>
    </row>
    <row r="569" spans="3:11">
      <c r="C569" s="147"/>
      <c r="D569" s="147"/>
      <c r="E569" s="147"/>
      <c r="F569" s="147"/>
      <c r="G569" s="147"/>
      <c r="H569" s="147"/>
      <c r="I569" s="147"/>
      <c r="J569" s="147"/>
      <c r="K569" s="147"/>
    </row>
    <row r="570" spans="3:11">
      <c r="C570" s="147"/>
      <c r="D570" s="147"/>
      <c r="E570" s="147"/>
      <c r="F570" s="147"/>
      <c r="G570" s="147"/>
      <c r="H570" s="147"/>
      <c r="I570" s="147"/>
      <c r="J570" s="147"/>
      <c r="K570" s="147"/>
    </row>
    <row r="571" spans="3:11">
      <c r="C571" s="147"/>
      <c r="D571" s="147"/>
      <c r="E571" s="147"/>
      <c r="F571" s="147"/>
      <c r="G571" s="147"/>
      <c r="H571" s="147"/>
      <c r="I571" s="147"/>
      <c r="J571" s="147"/>
      <c r="K571" s="147"/>
    </row>
    <row r="572" spans="3:11">
      <c r="C572" s="147"/>
      <c r="D572" s="147"/>
      <c r="E572" s="147"/>
      <c r="F572" s="147"/>
      <c r="G572" s="147"/>
      <c r="H572" s="147"/>
      <c r="I572" s="147"/>
      <c r="J572" s="147"/>
      <c r="K572" s="147"/>
    </row>
    <row r="573" spans="3:11">
      <c r="C573" s="147"/>
      <c r="D573" s="147"/>
      <c r="E573" s="147"/>
      <c r="F573" s="147"/>
      <c r="G573" s="147"/>
      <c r="H573" s="147"/>
      <c r="I573" s="147"/>
      <c r="J573" s="147"/>
      <c r="K573" s="147"/>
    </row>
    <row r="574" spans="3:11">
      <c r="C574" s="147"/>
      <c r="D574" s="147"/>
      <c r="E574" s="147"/>
      <c r="F574" s="147"/>
      <c r="G574" s="147"/>
      <c r="H574" s="147"/>
      <c r="I574" s="147"/>
      <c r="J574" s="147"/>
      <c r="K574" s="147"/>
    </row>
    <row r="575" spans="3:11">
      <c r="C575" s="147"/>
      <c r="D575" s="147"/>
      <c r="E575" s="147"/>
      <c r="F575" s="147"/>
      <c r="G575" s="147"/>
      <c r="H575" s="147"/>
      <c r="I575" s="147"/>
      <c r="J575" s="147"/>
      <c r="K575" s="147"/>
    </row>
    <row r="576" spans="3:11">
      <c r="C576" s="147"/>
      <c r="D576" s="147"/>
      <c r="E576" s="147"/>
      <c r="F576" s="147"/>
      <c r="G576" s="147"/>
      <c r="H576" s="147"/>
      <c r="I576" s="147"/>
      <c r="J576" s="147"/>
      <c r="K576" s="147"/>
    </row>
    <row r="577" spans="3:11">
      <c r="C577" s="147"/>
      <c r="D577" s="147"/>
      <c r="E577" s="147"/>
      <c r="F577" s="147"/>
      <c r="G577" s="147"/>
      <c r="H577" s="147"/>
      <c r="I577" s="147"/>
      <c r="J577" s="147"/>
      <c r="K577" s="147"/>
    </row>
    <row r="578" spans="3:11">
      <c r="C578" s="147"/>
      <c r="D578" s="147"/>
      <c r="E578" s="147"/>
      <c r="F578" s="147"/>
      <c r="G578" s="147"/>
      <c r="H578" s="147"/>
      <c r="I578" s="147"/>
      <c r="J578" s="147"/>
      <c r="K578" s="147"/>
    </row>
    <row r="579" spans="3:11">
      <c r="C579" s="147"/>
      <c r="D579" s="147"/>
      <c r="E579" s="147"/>
      <c r="F579" s="147"/>
      <c r="G579" s="147"/>
      <c r="H579" s="147"/>
      <c r="I579" s="147"/>
      <c r="J579" s="147"/>
      <c r="K579" s="147"/>
    </row>
    <row r="580" spans="3:11">
      <c r="C580" s="147"/>
      <c r="D580" s="147"/>
      <c r="E580" s="147"/>
      <c r="F580" s="147"/>
      <c r="G580" s="147"/>
      <c r="H580" s="147"/>
      <c r="I580" s="147"/>
      <c r="J580" s="147"/>
      <c r="K580" s="147"/>
    </row>
    <row r="581" spans="3:11">
      <c r="C581" s="147"/>
      <c r="D581" s="147"/>
      <c r="E581" s="147"/>
      <c r="F581" s="147"/>
      <c r="G581" s="147"/>
      <c r="H581" s="147"/>
      <c r="I581" s="147"/>
      <c r="J581" s="147"/>
      <c r="K581" s="147"/>
    </row>
    <row r="582" spans="3:11">
      <c r="C582" s="147"/>
      <c r="D582" s="147"/>
      <c r="E582" s="147"/>
      <c r="F582" s="147"/>
      <c r="G582" s="147"/>
      <c r="H582" s="147"/>
      <c r="I582" s="147"/>
      <c r="J582" s="147"/>
      <c r="K582" s="147"/>
    </row>
    <row r="583" spans="3:11">
      <c r="C583" s="147"/>
      <c r="D583" s="147"/>
      <c r="E583" s="147"/>
      <c r="F583" s="147"/>
      <c r="G583" s="147"/>
      <c r="H583" s="147"/>
      <c r="I583" s="147"/>
      <c r="J583" s="147"/>
      <c r="K583" s="147"/>
    </row>
    <row r="584" spans="3:11">
      <c r="C584" s="147"/>
      <c r="D584" s="147"/>
      <c r="E584" s="147"/>
      <c r="F584" s="147"/>
      <c r="G584" s="147"/>
      <c r="H584" s="147"/>
      <c r="I584" s="147"/>
      <c r="J584" s="147"/>
      <c r="K584" s="147"/>
    </row>
    <row r="585" spans="3:11">
      <c r="C585" s="147"/>
      <c r="D585" s="147"/>
      <c r="E585" s="147"/>
      <c r="F585" s="147"/>
      <c r="G585" s="147"/>
      <c r="H585" s="147"/>
      <c r="I585" s="147"/>
      <c r="J585" s="147"/>
      <c r="K585" s="147"/>
    </row>
    <row r="586" spans="3:11">
      <c r="C586" s="147"/>
      <c r="D586" s="147"/>
      <c r="E586" s="147"/>
      <c r="F586" s="147"/>
      <c r="G586" s="147"/>
      <c r="H586" s="147"/>
      <c r="I586" s="147"/>
      <c r="J586" s="147"/>
      <c r="K586" s="147"/>
    </row>
    <row r="587" spans="3:11">
      <c r="C587" s="147"/>
      <c r="D587" s="147"/>
      <c r="E587" s="147"/>
      <c r="F587" s="147"/>
      <c r="G587" s="147"/>
      <c r="H587" s="147"/>
      <c r="I587" s="147"/>
      <c r="J587" s="147"/>
      <c r="K587" s="147"/>
    </row>
    <row r="588" spans="3:11">
      <c r="C588" s="147"/>
      <c r="D588" s="147"/>
      <c r="E588" s="147"/>
      <c r="F588" s="147"/>
      <c r="G588" s="147"/>
      <c r="H588" s="147"/>
      <c r="I588" s="147"/>
      <c r="J588" s="147"/>
      <c r="K588" s="147"/>
    </row>
    <row r="589" spans="3:11">
      <c r="C589" s="147"/>
      <c r="D589" s="147"/>
      <c r="E589" s="147"/>
      <c r="F589" s="147"/>
      <c r="G589" s="147"/>
      <c r="H589" s="147"/>
      <c r="I589" s="147"/>
      <c r="J589" s="147"/>
      <c r="K589" s="147"/>
    </row>
    <row r="590" spans="3:11">
      <c r="C590" s="147"/>
      <c r="D590" s="147"/>
      <c r="E590" s="147"/>
      <c r="F590" s="147"/>
      <c r="G590" s="147"/>
      <c r="H590" s="147"/>
      <c r="I590" s="147"/>
      <c r="J590" s="147"/>
      <c r="K590" s="147"/>
    </row>
    <row r="591" spans="3:11">
      <c r="C591" s="147"/>
      <c r="D591" s="147"/>
      <c r="E591" s="147"/>
      <c r="F591" s="147"/>
      <c r="G591" s="147"/>
      <c r="H591" s="147"/>
      <c r="I591" s="147"/>
      <c r="J591" s="147"/>
      <c r="K591" s="147"/>
    </row>
    <row r="592" spans="3:11">
      <c r="C592" s="147"/>
      <c r="D592" s="147"/>
      <c r="E592" s="147"/>
      <c r="F592" s="147"/>
      <c r="G592" s="147"/>
      <c r="H592" s="147"/>
      <c r="I592" s="147"/>
      <c r="J592" s="147"/>
      <c r="K592" s="147"/>
    </row>
    <row r="593" spans="3:11">
      <c r="C593" s="147"/>
      <c r="D593" s="147"/>
      <c r="E593" s="147"/>
      <c r="F593" s="147"/>
      <c r="G593" s="147"/>
      <c r="H593" s="147"/>
      <c r="I593" s="147"/>
      <c r="J593" s="147"/>
      <c r="K593" s="147"/>
    </row>
    <row r="594" spans="3:11">
      <c r="C594" s="147"/>
      <c r="D594" s="147"/>
      <c r="E594" s="147"/>
      <c r="F594" s="147"/>
      <c r="G594" s="147"/>
      <c r="H594" s="147"/>
      <c r="I594" s="147"/>
      <c r="J594" s="147"/>
      <c r="K594" s="147"/>
    </row>
    <row r="595" spans="3:11">
      <c r="C595" s="147"/>
      <c r="D595" s="147"/>
      <c r="E595" s="147"/>
      <c r="F595" s="147"/>
      <c r="G595" s="147"/>
      <c r="H595" s="147"/>
      <c r="I595" s="147"/>
      <c r="J595" s="147"/>
      <c r="K595" s="147"/>
    </row>
    <row r="596" spans="3:11">
      <c r="C596" s="147"/>
      <c r="D596" s="147"/>
      <c r="E596" s="147"/>
      <c r="F596" s="147"/>
      <c r="G596" s="147"/>
      <c r="H596" s="147"/>
      <c r="I596" s="147"/>
      <c r="J596" s="147"/>
      <c r="K596" s="147"/>
    </row>
    <row r="597" spans="3:11">
      <c r="C597" s="147"/>
      <c r="D597" s="147"/>
      <c r="E597" s="147"/>
      <c r="F597" s="147"/>
      <c r="G597" s="147"/>
      <c r="H597" s="147"/>
      <c r="I597" s="147"/>
      <c r="J597" s="147"/>
      <c r="K597" s="147"/>
    </row>
    <row r="598" spans="3:11">
      <c r="C598" s="147"/>
      <c r="D598" s="147"/>
      <c r="E598" s="147"/>
      <c r="F598" s="147"/>
      <c r="G598" s="147"/>
      <c r="H598" s="147"/>
      <c r="I598" s="147"/>
      <c r="J598" s="147"/>
      <c r="K598" s="147"/>
    </row>
    <row r="599" spans="3:11">
      <c r="C599" s="147"/>
      <c r="D599" s="147"/>
      <c r="E599" s="147"/>
      <c r="F599" s="147"/>
      <c r="G599" s="147"/>
      <c r="H599" s="147"/>
      <c r="I599" s="147"/>
      <c r="J599" s="147"/>
      <c r="K599" s="147"/>
    </row>
    <row r="600" spans="3:11">
      <c r="C600" s="147"/>
      <c r="D600" s="147"/>
      <c r="E600" s="147"/>
      <c r="F600" s="147"/>
      <c r="G600" s="147"/>
      <c r="H600" s="147"/>
      <c r="I600" s="147"/>
      <c r="J600" s="147"/>
      <c r="K600" s="147"/>
    </row>
    <row r="601" spans="3:11">
      <c r="C601" s="147"/>
      <c r="D601" s="147"/>
      <c r="E601" s="147"/>
      <c r="F601" s="147"/>
      <c r="G601" s="147"/>
      <c r="H601" s="147"/>
      <c r="I601" s="147"/>
      <c r="J601" s="147"/>
      <c r="K601" s="147"/>
    </row>
    <row r="602" spans="3:11">
      <c r="C602" s="147"/>
      <c r="D602" s="147"/>
      <c r="E602" s="147"/>
      <c r="F602" s="147"/>
      <c r="G602" s="147"/>
      <c r="H602" s="147"/>
      <c r="I602" s="147"/>
      <c r="J602" s="147"/>
      <c r="K602" s="147"/>
    </row>
    <row r="603" spans="3:11">
      <c r="C603" s="147"/>
      <c r="D603" s="147"/>
      <c r="E603" s="147"/>
      <c r="F603" s="147"/>
      <c r="G603" s="147"/>
      <c r="H603" s="147"/>
      <c r="I603" s="147"/>
      <c r="J603" s="147"/>
      <c r="K603" s="147"/>
    </row>
    <row r="604" spans="3:11">
      <c r="C604" s="147"/>
      <c r="D604" s="147"/>
      <c r="E604" s="147"/>
      <c r="F604" s="147"/>
      <c r="G604" s="147"/>
      <c r="H604" s="147"/>
      <c r="I604" s="147"/>
      <c r="J604" s="147"/>
      <c r="K604" s="147"/>
    </row>
    <row r="605" spans="3:11">
      <c r="C605" s="147"/>
      <c r="D605" s="147"/>
      <c r="E605" s="147"/>
      <c r="F605" s="147"/>
      <c r="G605" s="147"/>
      <c r="H605" s="147"/>
      <c r="I605" s="147"/>
      <c r="J605" s="147"/>
      <c r="K605" s="147"/>
    </row>
    <row r="606" spans="3:11">
      <c r="C606" s="147"/>
      <c r="D606" s="147"/>
      <c r="E606" s="147"/>
      <c r="F606" s="147"/>
      <c r="G606" s="147"/>
      <c r="H606" s="147"/>
      <c r="I606" s="147"/>
      <c r="J606" s="147"/>
      <c r="K606" s="147"/>
    </row>
    <row r="607" spans="3:11">
      <c r="C607" s="147"/>
      <c r="D607" s="147"/>
      <c r="E607" s="147"/>
      <c r="F607" s="147"/>
      <c r="G607" s="147"/>
      <c r="H607" s="147"/>
      <c r="I607" s="147"/>
      <c r="J607" s="147"/>
      <c r="K607" s="147"/>
    </row>
    <row r="608" spans="3:11">
      <c r="C608" s="147"/>
      <c r="D608" s="147"/>
      <c r="E608" s="147"/>
      <c r="F608" s="147"/>
      <c r="G608" s="147"/>
      <c r="H608" s="147"/>
      <c r="I608" s="147"/>
      <c r="J608" s="147"/>
      <c r="K608" s="147"/>
    </row>
    <row r="609" spans="3:11">
      <c r="C609" s="147"/>
      <c r="D609" s="147"/>
      <c r="E609" s="147"/>
      <c r="F609" s="147"/>
      <c r="G609" s="147"/>
      <c r="H609" s="147"/>
      <c r="I609" s="147"/>
      <c r="J609" s="147"/>
      <c r="K609" s="147"/>
    </row>
    <row r="610" spans="3:11">
      <c r="C610" s="147"/>
      <c r="D610" s="147"/>
      <c r="E610" s="147"/>
      <c r="F610" s="147"/>
      <c r="G610" s="147"/>
      <c r="H610" s="147"/>
      <c r="I610" s="147"/>
      <c r="J610" s="147"/>
      <c r="K610" s="147"/>
    </row>
    <row r="611" spans="3:11">
      <c r="C611" s="147"/>
      <c r="D611" s="147"/>
      <c r="E611" s="147"/>
      <c r="F611" s="147"/>
      <c r="G611" s="147"/>
      <c r="H611" s="147"/>
      <c r="I611" s="147"/>
      <c r="J611" s="147"/>
      <c r="K611" s="147"/>
    </row>
    <row r="612" spans="3:11">
      <c r="C612" s="147"/>
      <c r="D612" s="147"/>
      <c r="E612" s="147"/>
      <c r="F612" s="147"/>
      <c r="G612" s="147"/>
      <c r="H612" s="147"/>
      <c r="I612" s="147"/>
      <c r="J612" s="147"/>
      <c r="K612" s="147"/>
    </row>
    <row r="613" spans="3:11">
      <c r="C613" s="147"/>
      <c r="D613" s="147"/>
      <c r="E613" s="147"/>
      <c r="F613" s="147"/>
      <c r="G613" s="147"/>
      <c r="H613" s="147"/>
      <c r="I613" s="147"/>
      <c r="J613" s="147"/>
      <c r="K613" s="147"/>
    </row>
    <row r="614" spans="3:11">
      <c r="C614" s="147"/>
      <c r="D614" s="147"/>
      <c r="E614" s="147"/>
      <c r="F614" s="147"/>
      <c r="G614" s="147"/>
      <c r="H614" s="147"/>
      <c r="I614" s="147"/>
      <c r="J614" s="147"/>
      <c r="K614" s="147"/>
    </row>
    <row r="615" spans="3:11">
      <c r="C615" s="147"/>
      <c r="D615" s="147"/>
      <c r="E615" s="147"/>
      <c r="F615" s="147"/>
      <c r="G615" s="147"/>
      <c r="H615" s="147"/>
      <c r="I615" s="147"/>
      <c r="J615" s="147"/>
      <c r="K615" s="147"/>
    </row>
    <row r="616" spans="3:11">
      <c r="C616" s="147"/>
      <c r="D616" s="147"/>
      <c r="E616" s="147"/>
      <c r="F616" s="147"/>
      <c r="G616" s="147"/>
      <c r="H616" s="147"/>
      <c r="I616" s="147"/>
      <c r="J616" s="147"/>
      <c r="K616" s="147"/>
    </row>
    <row r="617" spans="3:11">
      <c r="C617" s="147"/>
      <c r="D617" s="147"/>
      <c r="E617" s="147"/>
      <c r="F617" s="147"/>
      <c r="G617" s="147"/>
      <c r="H617" s="147"/>
      <c r="I617" s="147"/>
      <c r="J617" s="147"/>
      <c r="K617" s="147"/>
    </row>
    <row r="618" spans="3:11">
      <c r="C618" s="147"/>
      <c r="D618" s="147"/>
      <c r="E618" s="147"/>
      <c r="F618" s="147"/>
      <c r="G618" s="147"/>
      <c r="H618" s="147"/>
      <c r="I618" s="147"/>
      <c r="J618" s="147"/>
      <c r="K618" s="147"/>
    </row>
    <row r="619" spans="3:11">
      <c r="C619" s="147"/>
      <c r="D619" s="147"/>
      <c r="E619" s="147"/>
      <c r="F619" s="147"/>
      <c r="G619" s="147"/>
      <c r="H619" s="147"/>
      <c r="I619" s="147"/>
      <c r="J619" s="147"/>
      <c r="K619" s="147"/>
    </row>
    <row r="620" spans="3:11">
      <c r="C620" s="147"/>
      <c r="D620" s="147"/>
      <c r="E620" s="147"/>
      <c r="F620" s="147"/>
      <c r="G620" s="147"/>
      <c r="H620" s="147"/>
      <c r="I620" s="147"/>
      <c r="J620" s="147"/>
      <c r="K620" s="147"/>
    </row>
    <row r="621" spans="3:11">
      <c r="C621" s="147"/>
      <c r="D621" s="147"/>
      <c r="E621" s="147"/>
      <c r="F621" s="147"/>
      <c r="G621" s="147"/>
      <c r="H621" s="147"/>
      <c r="I621" s="147"/>
      <c r="J621" s="147"/>
      <c r="K621" s="147"/>
    </row>
    <row r="622" spans="3:11">
      <c r="C622" s="147"/>
      <c r="D622" s="147"/>
      <c r="E622" s="147"/>
      <c r="F622" s="147"/>
      <c r="G622" s="147"/>
      <c r="H622" s="147"/>
      <c r="I622" s="147"/>
      <c r="J622" s="147"/>
      <c r="K622" s="147"/>
    </row>
    <row r="623" spans="3:11">
      <c r="C623" s="147"/>
      <c r="D623" s="147"/>
      <c r="E623" s="147"/>
      <c r="F623" s="147"/>
      <c r="G623" s="147"/>
      <c r="H623" s="147"/>
      <c r="I623" s="147"/>
      <c r="J623" s="147"/>
      <c r="K623" s="147"/>
    </row>
    <row r="624" spans="3:11">
      <c r="C624" s="147"/>
      <c r="D624" s="147"/>
      <c r="E624" s="147"/>
      <c r="F624" s="147"/>
      <c r="G624" s="147"/>
      <c r="H624" s="147"/>
      <c r="I624" s="147"/>
      <c r="J624" s="147"/>
      <c r="K624" s="147"/>
    </row>
    <row r="625" spans="3:11">
      <c r="C625" s="147"/>
      <c r="D625" s="147"/>
      <c r="E625" s="147"/>
      <c r="F625" s="147"/>
      <c r="G625" s="147"/>
      <c r="H625" s="147"/>
      <c r="I625" s="147"/>
      <c r="J625" s="147"/>
      <c r="K625" s="147"/>
    </row>
    <row r="626" spans="3:11">
      <c r="C626" s="147"/>
      <c r="D626" s="147"/>
      <c r="E626" s="147"/>
      <c r="F626" s="147"/>
      <c r="G626" s="147"/>
      <c r="H626" s="147"/>
      <c r="I626" s="147"/>
      <c r="J626" s="147"/>
      <c r="K626" s="147"/>
    </row>
    <row r="627" spans="3:11">
      <c r="C627" s="147"/>
      <c r="D627" s="147"/>
      <c r="E627" s="147"/>
      <c r="F627" s="147"/>
      <c r="G627" s="147"/>
      <c r="H627" s="147"/>
      <c r="I627" s="147"/>
      <c r="J627" s="147"/>
      <c r="K627" s="147"/>
    </row>
    <row r="628" spans="3:11">
      <c r="C628" s="147"/>
      <c r="D628" s="147"/>
      <c r="E628" s="147"/>
      <c r="F628" s="147"/>
      <c r="G628" s="147"/>
      <c r="H628" s="147"/>
      <c r="I628" s="147"/>
      <c r="J628" s="147"/>
      <c r="K628" s="147"/>
    </row>
    <row r="629" spans="3:11">
      <c r="C629" s="147"/>
      <c r="D629" s="147"/>
      <c r="E629" s="147"/>
      <c r="F629" s="147"/>
      <c r="G629" s="147"/>
      <c r="H629" s="147"/>
      <c r="I629" s="147"/>
      <c r="J629" s="147"/>
      <c r="K629" s="147"/>
    </row>
    <row r="630" spans="3:11">
      <c r="C630" s="147"/>
      <c r="D630" s="147"/>
      <c r="E630" s="147"/>
      <c r="F630" s="147"/>
      <c r="G630" s="147"/>
      <c r="H630" s="147"/>
      <c r="I630" s="147"/>
      <c r="J630" s="147"/>
      <c r="K630" s="147"/>
    </row>
    <row r="631" spans="3:11">
      <c r="C631" s="147"/>
      <c r="D631" s="147"/>
      <c r="E631" s="147"/>
      <c r="F631" s="147"/>
      <c r="G631" s="147"/>
      <c r="H631" s="147"/>
      <c r="I631" s="147"/>
      <c r="J631" s="147"/>
      <c r="K631" s="147"/>
    </row>
    <row r="632" spans="3:11">
      <c r="C632" s="147"/>
      <c r="D632" s="147"/>
      <c r="E632" s="147"/>
      <c r="F632" s="147"/>
      <c r="G632" s="147"/>
      <c r="H632" s="147"/>
      <c r="I632" s="147"/>
      <c r="J632" s="147"/>
      <c r="K632" s="147"/>
    </row>
    <row r="633" spans="3:11">
      <c r="C633" s="147"/>
      <c r="D633" s="147"/>
      <c r="E633" s="147"/>
      <c r="F633" s="147"/>
      <c r="G633" s="147"/>
      <c r="H633" s="147"/>
      <c r="I633" s="147"/>
      <c r="J633" s="147"/>
      <c r="K633" s="147"/>
    </row>
    <row r="634" spans="3:11">
      <c r="C634" s="147"/>
      <c r="D634" s="147"/>
      <c r="E634" s="147"/>
      <c r="F634" s="147"/>
      <c r="G634" s="147"/>
      <c r="H634" s="147"/>
      <c r="I634" s="147"/>
      <c r="J634" s="147"/>
      <c r="K634" s="147"/>
    </row>
    <row r="635" spans="3:11">
      <c r="C635" s="147"/>
      <c r="D635" s="147"/>
      <c r="E635" s="147"/>
      <c r="F635" s="147"/>
      <c r="G635" s="147"/>
      <c r="H635" s="147"/>
      <c r="I635" s="147"/>
      <c r="J635" s="147"/>
      <c r="K635" s="147"/>
    </row>
    <row r="636" spans="3:11">
      <c r="C636" s="147"/>
      <c r="D636" s="147"/>
      <c r="E636" s="147"/>
      <c r="F636" s="147"/>
      <c r="G636" s="147"/>
      <c r="H636" s="147"/>
      <c r="I636" s="147"/>
      <c r="J636" s="147"/>
      <c r="K636" s="147"/>
    </row>
    <row r="637" spans="3:11">
      <c r="C637" s="147"/>
      <c r="D637" s="147"/>
      <c r="E637" s="147"/>
      <c r="F637" s="147"/>
      <c r="G637" s="147"/>
      <c r="H637" s="147"/>
      <c r="I637" s="147"/>
      <c r="J637" s="147"/>
      <c r="K637" s="147"/>
    </row>
    <row r="638" spans="3:11">
      <c r="C638" s="147"/>
      <c r="D638" s="147"/>
      <c r="E638" s="147"/>
      <c r="F638" s="147"/>
      <c r="G638" s="147"/>
      <c r="H638" s="147"/>
      <c r="I638" s="147"/>
      <c r="J638" s="147"/>
      <c r="K638" s="147"/>
    </row>
    <row r="639" spans="3:11">
      <c r="C639" s="147"/>
      <c r="D639" s="147"/>
      <c r="E639" s="147"/>
      <c r="F639" s="147"/>
      <c r="G639" s="147"/>
      <c r="H639" s="147"/>
      <c r="I639" s="147"/>
      <c r="J639" s="147"/>
      <c r="K639" s="147"/>
    </row>
    <row r="640" spans="3:11">
      <c r="C640" s="147"/>
      <c r="D640" s="147"/>
      <c r="E640" s="147"/>
      <c r="F640" s="147"/>
      <c r="G640" s="147"/>
      <c r="H640" s="147"/>
      <c r="I640" s="147"/>
      <c r="J640" s="147"/>
      <c r="K640" s="147"/>
    </row>
    <row r="641" spans="3:11">
      <c r="C641" s="147"/>
      <c r="D641" s="147"/>
      <c r="E641" s="147"/>
      <c r="F641" s="147"/>
      <c r="G641" s="147"/>
      <c r="H641" s="147"/>
      <c r="I641" s="147"/>
      <c r="J641" s="147"/>
      <c r="K641" s="147"/>
    </row>
    <row r="642" spans="3:11">
      <c r="C642" s="147"/>
      <c r="D642" s="147"/>
      <c r="E642" s="147"/>
      <c r="F642" s="147"/>
      <c r="G642" s="147"/>
      <c r="H642" s="147"/>
      <c r="I642" s="147"/>
      <c r="J642" s="147"/>
      <c r="K642" s="147"/>
    </row>
    <row r="643" spans="3:11">
      <c r="C643" s="147"/>
      <c r="D643" s="147"/>
      <c r="E643" s="147"/>
      <c r="F643" s="147"/>
      <c r="G643" s="147"/>
      <c r="H643" s="147"/>
      <c r="I643" s="147"/>
      <c r="J643" s="147"/>
      <c r="K643" s="147"/>
    </row>
    <row r="644" spans="3:11">
      <c r="C644" s="147"/>
      <c r="D644" s="147"/>
      <c r="E644" s="147"/>
      <c r="F644" s="147"/>
      <c r="G644" s="147"/>
      <c r="H644" s="147"/>
      <c r="I644" s="147"/>
      <c r="J644" s="147"/>
      <c r="K644" s="147"/>
    </row>
    <row r="645" spans="3:11">
      <c r="C645" s="147"/>
      <c r="D645" s="147"/>
      <c r="E645" s="147"/>
      <c r="F645" s="147"/>
      <c r="G645" s="147"/>
      <c r="H645" s="147"/>
      <c r="I645" s="147"/>
      <c r="J645" s="147"/>
      <c r="K645" s="147"/>
    </row>
    <row r="646" spans="3:11">
      <c r="C646" s="147"/>
      <c r="D646" s="147"/>
      <c r="E646" s="147"/>
      <c r="F646" s="147"/>
      <c r="G646" s="147"/>
      <c r="H646" s="147"/>
      <c r="I646" s="147"/>
      <c r="J646" s="147"/>
      <c r="K646" s="147"/>
    </row>
    <row r="647" spans="3:11">
      <c r="C647" s="147"/>
      <c r="D647" s="147"/>
      <c r="E647" s="147"/>
      <c r="F647" s="147"/>
      <c r="G647" s="147"/>
      <c r="H647" s="147"/>
      <c r="I647" s="147"/>
      <c r="J647" s="147"/>
      <c r="K647" s="147"/>
    </row>
    <row r="648" spans="3:11">
      <c r="C648" s="147"/>
      <c r="D648" s="147"/>
      <c r="E648" s="147"/>
      <c r="F648" s="147"/>
      <c r="G648" s="147"/>
      <c r="H648" s="147"/>
      <c r="I648" s="147"/>
      <c r="J648" s="147"/>
      <c r="K648" s="147"/>
    </row>
    <row r="649" spans="3:11">
      <c r="C649" s="147"/>
      <c r="D649" s="147"/>
      <c r="E649" s="147"/>
      <c r="F649" s="147"/>
      <c r="G649" s="147"/>
      <c r="H649" s="147"/>
      <c r="I649" s="147"/>
      <c r="J649" s="147"/>
      <c r="K649" s="147"/>
    </row>
    <row r="650" spans="3:11">
      <c r="C650" s="147"/>
      <c r="D650" s="147"/>
      <c r="E650" s="147"/>
      <c r="F650" s="147"/>
      <c r="G650" s="147"/>
      <c r="H650" s="147"/>
      <c r="I650" s="147"/>
      <c r="J650" s="147"/>
      <c r="K650" s="147"/>
    </row>
    <row r="651" spans="3:11">
      <c r="C651" s="147"/>
      <c r="D651" s="147"/>
      <c r="E651" s="147"/>
      <c r="F651" s="147"/>
      <c r="G651" s="147"/>
      <c r="H651" s="147"/>
      <c r="I651" s="147"/>
      <c r="J651" s="147"/>
      <c r="K651" s="147"/>
    </row>
    <row r="652" spans="3:11">
      <c r="C652" s="147"/>
      <c r="D652" s="147"/>
      <c r="E652" s="147"/>
      <c r="F652" s="147"/>
      <c r="G652" s="147"/>
      <c r="H652" s="147"/>
      <c r="I652" s="147"/>
      <c r="J652" s="147"/>
      <c r="K652" s="147"/>
    </row>
    <row r="653" spans="3:11">
      <c r="C653" s="147"/>
      <c r="D653" s="147"/>
      <c r="E653" s="147"/>
      <c r="F653" s="147"/>
      <c r="G653" s="147"/>
      <c r="H653" s="147"/>
      <c r="I653" s="147"/>
      <c r="J653" s="147"/>
      <c r="K653" s="147"/>
    </row>
    <row r="654" spans="3:11">
      <c r="C654" s="147"/>
      <c r="D654" s="147"/>
      <c r="E654" s="147"/>
      <c r="F654" s="147"/>
      <c r="G654" s="147"/>
      <c r="H654" s="147"/>
      <c r="I654" s="147"/>
      <c r="J654" s="147"/>
      <c r="K654" s="147"/>
    </row>
    <row r="655" spans="3:11">
      <c r="C655" s="147"/>
      <c r="D655" s="147"/>
      <c r="E655" s="147"/>
      <c r="F655" s="147"/>
      <c r="G655" s="147"/>
      <c r="H655" s="147"/>
      <c r="I655" s="147"/>
      <c r="J655" s="147"/>
      <c r="K655" s="147"/>
    </row>
    <row r="656" spans="3:11">
      <c r="C656" s="147"/>
      <c r="D656" s="147"/>
      <c r="E656" s="147"/>
      <c r="F656" s="147"/>
      <c r="G656" s="147"/>
      <c r="H656" s="147"/>
      <c r="I656" s="147"/>
      <c r="J656" s="147"/>
      <c r="K656" s="147"/>
    </row>
    <row r="657" spans="3:11">
      <c r="C657" s="147"/>
      <c r="D657" s="147"/>
      <c r="E657" s="147"/>
      <c r="F657" s="147"/>
      <c r="G657" s="147"/>
      <c r="H657" s="147"/>
      <c r="I657" s="147"/>
      <c r="J657" s="147"/>
      <c r="K657" s="147"/>
    </row>
    <row r="658" spans="3:11">
      <c r="C658" s="147"/>
      <c r="D658" s="147"/>
      <c r="E658" s="147"/>
      <c r="F658" s="147"/>
      <c r="G658" s="147"/>
      <c r="H658" s="147"/>
      <c r="I658" s="147"/>
      <c r="J658" s="147"/>
      <c r="K658" s="147"/>
    </row>
    <row r="659" spans="3:11">
      <c r="C659" s="147"/>
      <c r="D659" s="147"/>
      <c r="E659" s="147"/>
      <c r="F659" s="147"/>
      <c r="G659" s="147"/>
      <c r="H659" s="147"/>
      <c r="I659" s="147"/>
      <c r="J659" s="147"/>
      <c r="K659" s="147"/>
    </row>
    <row r="660" spans="3:11">
      <c r="C660" s="147"/>
      <c r="D660" s="147"/>
      <c r="E660" s="147"/>
      <c r="F660" s="147"/>
      <c r="G660" s="147"/>
      <c r="H660" s="147"/>
      <c r="I660" s="147"/>
      <c r="J660" s="147"/>
      <c r="K660" s="147"/>
    </row>
    <row r="661" spans="3:11">
      <c r="C661" s="147"/>
      <c r="D661" s="147"/>
      <c r="E661" s="147"/>
      <c r="F661" s="147"/>
      <c r="G661" s="147"/>
      <c r="H661" s="147"/>
      <c r="I661" s="147"/>
      <c r="J661" s="147"/>
      <c r="K661" s="147"/>
    </row>
    <row r="662" spans="3:11">
      <c r="C662" s="147"/>
      <c r="D662" s="147"/>
      <c r="E662" s="147"/>
      <c r="F662" s="147"/>
      <c r="G662" s="147"/>
      <c r="H662" s="147"/>
      <c r="I662" s="147"/>
      <c r="J662" s="147"/>
      <c r="K662" s="147"/>
    </row>
    <row r="663" spans="3:11">
      <c r="C663" s="147"/>
      <c r="D663" s="147"/>
      <c r="E663" s="147"/>
      <c r="F663" s="147"/>
      <c r="G663" s="147"/>
      <c r="H663" s="147"/>
      <c r="I663" s="147"/>
      <c r="J663" s="147"/>
      <c r="K663" s="147"/>
    </row>
    <row r="664" spans="3:11">
      <c r="C664" s="147"/>
      <c r="D664" s="147"/>
      <c r="E664" s="147"/>
      <c r="F664" s="147"/>
      <c r="G664" s="147"/>
      <c r="H664" s="147"/>
      <c r="I664" s="147"/>
      <c r="J664" s="147"/>
      <c r="K664" s="147"/>
    </row>
    <row r="665" spans="3:11">
      <c r="C665" s="147"/>
      <c r="D665" s="147"/>
      <c r="E665" s="147"/>
      <c r="F665" s="147"/>
      <c r="G665" s="147"/>
      <c r="H665" s="147"/>
      <c r="I665" s="147"/>
      <c r="J665" s="147"/>
      <c r="K665" s="147"/>
    </row>
    <row r="666" spans="3:11">
      <c r="C666" s="147"/>
      <c r="D666" s="147"/>
      <c r="E666" s="147"/>
      <c r="F666" s="147"/>
      <c r="G666" s="147"/>
      <c r="H666" s="147"/>
      <c r="I666" s="147"/>
      <c r="J666" s="147"/>
      <c r="K666" s="147"/>
    </row>
    <row r="667" spans="3:11">
      <c r="C667" s="147"/>
      <c r="D667" s="147"/>
      <c r="E667" s="147"/>
      <c r="F667" s="147"/>
      <c r="G667" s="147"/>
      <c r="H667" s="147"/>
      <c r="I667" s="147"/>
      <c r="J667" s="147"/>
      <c r="K667" s="147"/>
    </row>
    <row r="668" spans="3:11">
      <c r="C668" s="147"/>
      <c r="D668" s="147"/>
      <c r="E668" s="147"/>
      <c r="F668" s="147"/>
      <c r="G668" s="147"/>
      <c r="H668" s="147"/>
      <c r="I668" s="147"/>
      <c r="J668" s="147"/>
      <c r="K668" s="147"/>
    </row>
    <row r="669" spans="3:11">
      <c r="C669" s="147"/>
      <c r="D669" s="147"/>
      <c r="E669" s="147"/>
      <c r="F669" s="147"/>
      <c r="G669" s="147"/>
      <c r="H669" s="147"/>
      <c r="I669" s="147"/>
      <c r="J669" s="147"/>
      <c r="K669" s="147"/>
    </row>
    <row r="670" spans="3:11">
      <c r="C670" s="147"/>
      <c r="D670" s="147"/>
      <c r="E670" s="147"/>
      <c r="F670" s="147"/>
      <c r="G670" s="147"/>
      <c r="H670" s="147"/>
    </row>
    <row r="671" spans="3:11">
      <c r="C671" s="147"/>
      <c r="D671" s="147"/>
      <c r="E671" s="147"/>
      <c r="F671" s="147"/>
      <c r="G671" s="147"/>
      <c r="H671" s="147"/>
    </row>
    <row r="672" spans="3:11">
      <c r="C672" s="147"/>
      <c r="D672" s="147"/>
      <c r="E672" s="147"/>
      <c r="F672" s="147"/>
      <c r="G672" s="147"/>
      <c r="H672" s="147"/>
    </row>
    <row r="673" spans="3:8">
      <c r="C673" s="147"/>
      <c r="D673" s="147"/>
      <c r="E673" s="147"/>
      <c r="F673" s="147"/>
      <c r="G673" s="147"/>
      <c r="H673" s="147"/>
    </row>
    <row r="674" spans="3:8">
      <c r="C674" s="147"/>
      <c r="D674" s="147"/>
      <c r="E674" s="147"/>
      <c r="F674" s="147"/>
      <c r="G674" s="147"/>
      <c r="H674" s="147"/>
    </row>
    <row r="675" spans="3:8">
      <c r="C675" s="147"/>
      <c r="D675" s="147"/>
      <c r="E675" s="147"/>
      <c r="F675" s="147"/>
      <c r="G675" s="147"/>
      <c r="H675" s="147"/>
    </row>
    <row r="676" spans="3:8">
      <c r="C676" s="147"/>
      <c r="D676" s="147"/>
      <c r="E676" s="147"/>
      <c r="F676" s="147"/>
      <c r="G676" s="147"/>
      <c r="H676" s="147"/>
    </row>
    <row r="677" spans="3:8">
      <c r="C677" s="147"/>
      <c r="D677" s="147"/>
      <c r="E677" s="147"/>
      <c r="F677" s="147"/>
      <c r="G677" s="147"/>
      <c r="H677" s="147"/>
    </row>
    <row r="678" spans="3:8">
      <c r="C678" s="147"/>
      <c r="D678" s="147"/>
      <c r="E678" s="147"/>
      <c r="F678" s="147"/>
      <c r="G678" s="147"/>
      <c r="H678" s="147"/>
    </row>
    <row r="679" spans="3:8">
      <c r="C679" s="147"/>
      <c r="D679" s="147"/>
      <c r="E679" s="147"/>
      <c r="F679" s="147"/>
      <c r="G679" s="147"/>
      <c r="H679" s="147"/>
    </row>
    <row r="680" spans="3:8">
      <c r="C680" s="147"/>
      <c r="D680" s="147"/>
      <c r="E680" s="147"/>
      <c r="F680" s="147"/>
      <c r="G680" s="147"/>
      <c r="H680" s="147"/>
    </row>
    <row r="681" spans="3:8">
      <c r="C681" s="147"/>
      <c r="D681" s="147"/>
      <c r="E681" s="147"/>
      <c r="F681" s="147"/>
      <c r="G681" s="147"/>
      <c r="H681" s="147"/>
    </row>
    <row r="682" spans="3:8">
      <c r="C682" s="147"/>
      <c r="D682" s="147"/>
      <c r="E682" s="147"/>
      <c r="F682" s="147"/>
      <c r="G682" s="147"/>
      <c r="H682" s="147"/>
    </row>
    <row r="683" spans="3:8">
      <c r="C683" s="147"/>
      <c r="D683" s="147"/>
      <c r="E683" s="147"/>
      <c r="F683" s="147"/>
      <c r="G683" s="147"/>
      <c r="H683" s="147"/>
    </row>
    <row r="684" spans="3:8">
      <c r="C684" s="147"/>
      <c r="D684" s="147"/>
      <c r="E684" s="147"/>
      <c r="F684" s="147"/>
      <c r="G684" s="147"/>
      <c r="H684" s="147"/>
    </row>
    <row r="685" spans="3:8">
      <c r="C685" s="147"/>
      <c r="D685" s="147"/>
      <c r="E685" s="147"/>
      <c r="F685" s="147"/>
      <c r="G685" s="147"/>
      <c r="H685" s="147"/>
    </row>
    <row r="686" spans="3:8">
      <c r="C686" s="147"/>
      <c r="D686" s="147"/>
      <c r="E686" s="147"/>
      <c r="F686" s="147"/>
      <c r="G686" s="147"/>
      <c r="H686" s="147"/>
    </row>
    <row r="687" spans="3:8">
      <c r="C687" s="147"/>
      <c r="D687" s="147"/>
      <c r="E687" s="147"/>
      <c r="F687" s="147"/>
      <c r="G687" s="147"/>
      <c r="H687" s="147"/>
    </row>
    <row r="688" spans="3:8">
      <c r="C688" s="147"/>
      <c r="D688" s="147"/>
      <c r="E688" s="147"/>
      <c r="F688" s="147"/>
      <c r="G688" s="147"/>
      <c r="H688" s="147"/>
    </row>
    <row r="689" spans="3:8">
      <c r="C689" s="147"/>
      <c r="D689" s="147"/>
      <c r="E689" s="147"/>
      <c r="F689" s="147"/>
      <c r="G689" s="147"/>
      <c r="H689" s="147"/>
    </row>
    <row r="690" spans="3:8">
      <c r="C690" s="147"/>
      <c r="D690" s="147"/>
      <c r="E690" s="147"/>
      <c r="F690" s="147"/>
      <c r="G690" s="147"/>
      <c r="H690" s="147"/>
    </row>
    <row r="691" spans="3:8">
      <c r="C691" s="147"/>
      <c r="D691" s="147"/>
      <c r="E691" s="147"/>
      <c r="F691" s="147"/>
      <c r="G691" s="147"/>
      <c r="H691" s="147"/>
    </row>
    <row r="692" spans="3:8">
      <c r="C692" s="147"/>
      <c r="D692" s="147"/>
      <c r="E692" s="147"/>
      <c r="F692" s="147"/>
      <c r="G692" s="147"/>
      <c r="H692" s="147"/>
    </row>
    <row r="693" spans="3:8">
      <c r="C693" s="147"/>
      <c r="D693" s="147"/>
      <c r="E693" s="147"/>
      <c r="F693" s="147"/>
      <c r="G693" s="147"/>
      <c r="H693" s="147"/>
    </row>
    <row r="694" spans="3:8">
      <c r="C694" s="147"/>
      <c r="D694" s="147"/>
      <c r="E694" s="147"/>
      <c r="F694" s="147"/>
      <c r="G694" s="147"/>
      <c r="H694" s="147"/>
    </row>
    <row r="695" spans="3:8">
      <c r="C695" s="147"/>
      <c r="D695" s="147"/>
      <c r="E695" s="147"/>
      <c r="F695" s="147"/>
      <c r="G695" s="147"/>
      <c r="H695" s="147"/>
    </row>
    <row r="696" spans="3:8">
      <c r="C696" s="147"/>
      <c r="D696" s="147"/>
      <c r="E696" s="147"/>
      <c r="F696" s="147"/>
      <c r="G696" s="147"/>
      <c r="H696" s="147"/>
    </row>
    <row r="697" spans="3:8">
      <c r="C697" s="147"/>
      <c r="D697" s="147"/>
      <c r="E697" s="147"/>
      <c r="F697" s="147"/>
      <c r="G697" s="147"/>
      <c r="H697" s="147"/>
    </row>
    <row r="698" spans="3:8">
      <c r="C698" s="147"/>
      <c r="D698" s="147"/>
      <c r="E698" s="147"/>
      <c r="F698" s="147"/>
      <c r="G698" s="147"/>
      <c r="H698" s="147"/>
    </row>
    <row r="699" spans="3:8">
      <c r="C699" s="147"/>
      <c r="D699" s="147"/>
      <c r="E699" s="147"/>
      <c r="F699" s="147"/>
      <c r="G699" s="147"/>
      <c r="H699" s="147"/>
    </row>
    <row r="700" spans="3:8">
      <c r="C700" s="147"/>
      <c r="D700" s="147"/>
      <c r="E700" s="147"/>
      <c r="F700" s="147"/>
      <c r="G700" s="147"/>
      <c r="H700" s="147"/>
    </row>
    <row r="701" spans="3:8">
      <c r="C701" s="147"/>
      <c r="D701" s="147"/>
      <c r="E701" s="147"/>
      <c r="F701" s="147"/>
      <c r="G701" s="147"/>
      <c r="H701" s="147"/>
    </row>
    <row r="702" spans="3:8">
      <c r="C702" s="147"/>
      <c r="D702" s="147"/>
      <c r="E702" s="147"/>
      <c r="F702" s="147"/>
      <c r="G702" s="147"/>
      <c r="H702" s="147"/>
    </row>
    <row r="703" spans="3:8">
      <c r="C703" s="147"/>
      <c r="D703" s="147"/>
      <c r="E703" s="147"/>
      <c r="F703" s="147"/>
      <c r="G703" s="147"/>
      <c r="H703" s="147"/>
    </row>
    <row r="704" spans="3:8">
      <c r="C704" s="147"/>
      <c r="D704" s="147"/>
      <c r="E704" s="147"/>
      <c r="F704" s="147"/>
      <c r="G704" s="147"/>
      <c r="H704" s="147"/>
    </row>
    <row r="705" spans="3:8">
      <c r="C705" s="147"/>
      <c r="D705" s="147"/>
      <c r="E705" s="147"/>
      <c r="F705" s="147"/>
      <c r="G705" s="147"/>
      <c r="H705" s="147"/>
    </row>
    <row r="706" spans="3:8">
      <c r="C706" s="147"/>
      <c r="D706" s="147"/>
      <c r="E706" s="147"/>
      <c r="F706" s="147"/>
      <c r="G706" s="147"/>
      <c r="H706" s="147"/>
    </row>
    <row r="707" spans="3:8">
      <c r="C707" s="147"/>
      <c r="D707" s="147"/>
      <c r="E707" s="147"/>
      <c r="F707" s="147"/>
      <c r="G707" s="147"/>
      <c r="H707" s="147"/>
    </row>
    <row r="708" spans="3:8">
      <c r="C708" s="147"/>
      <c r="D708" s="147"/>
      <c r="E708" s="147"/>
      <c r="F708" s="147"/>
      <c r="G708" s="147"/>
      <c r="H708" s="147"/>
    </row>
    <row r="709" spans="3:8">
      <c r="C709" s="147"/>
      <c r="D709" s="147"/>
      <c r="E709" s="147"/>
      <c r="F709" s="147"/>
      <c r="G709" s="147"/>
      <c r="H709" s="147"/>
    </row>
    <row r="710" spans="3:8">
      <c r="C710" s="147"/>
      <c r="D710" s="147"/>
      <c r="E710" s="147"/>
      <c r="F710" s="147"/>
      <c r="G710" s="147"/>
      <c r="H710" s="147"/>
    </row>
    <row r="711" spans="3:8">
      <c r="C711" s="147"/>
      <c r="D711" s="147"/>
      <c r="E711" s="147"/>
      <c r="F711" s="147"/>
      <c r="G711" s="147"/>
      <c r="H711" s="147"/>
    </row>
    <row r="712" spans="3:8">
      <c r="C712" s="147"/>
      <c r="D712" s="147"/>
      <c r="E712" s="147"/>
      <c r="F712" s="147"/>
      <c r="G712" s="147"/>
      <c r="H712" s="147"/>
    </row>
    <row r="713" spans="3:8">
      <c r="C713" s="147"/>
      <c r="D713" s="147"/>
      <c r="E713" s="147"/>
      <c r="F713" s="147"/>
      <c r="G713" s="147"/>
      <c r="H713" s="147"/>
    </row>
    <row r="714" spans="3:8">
      <c r="C714" s="147"/>
      <c r="D714" s="147"/>
      <c r="E714" s="147"/>
      <c r="F714" s="147"/>
      <c r="G714" s="147"/>
      <c r="H714" s="147"/>
    </row>
    <row r="715" spans="3:8">
      <c r="C715" s="147"/>
      <c r="D715" s="147"/>
      <c r="E715" s="147"/>
      <c r="F715" s="147"/>
      <c r="G715" s="147"/>
      <c r="H715" s="147"/>
    </row>
    <row r="716" spans="3:8">
      <c r="C716" s="147"/>
      <c r="D716" s="147"/>
      <c r="E716" s="147"/>
      <c r="F716" s="147"/>
      <c r="G716" s="147"/>
      <c r="H716" s="147"/>
    </row>
    <row r="717" spans="3:8">
      <c r="C717" s="147"/>
      <c r="D717" s="147"/>
      <c r="E717" s="147"/>
      <c r="F717" s="147"/>
      <c r="G717" s="147"/>
      <c r="H717" s="147"/>
    </row>
    <row r="718" spans="3:8">
      <c r="C718" s="147"/>
      <c r="D718" s="147"/>
      <c r="E718" s="147"/>
      <c r="F718" s="147"/>
      <c r="G718" s="147"/>
      <c r="H718" s="147"/>
    </row>
    <row r="719" spans="3:8">
      <c r="C719" s="147"/>
      <c r="D719" s="147"/>
      <c r="E719" s="147"/>
      <c r="F719" s="147"/>
      <c r="G719" s="147"/>
      <c r="H719" s="147"/>
    </row>
    <row r="720" spans="3:8">
      <c r="C720" s="147"/>
      <c r="D720" s="147"/>
      <c r="E720" s="147"/>
      <c r="F720" s="147"/>
      <c r="G720" s="147"/>
      <c r="H720" s="147"/>
    </row>
    <row r="721" spans="3:8">
      <c r="C721" s="147"/>
      <c r="D721" s="147"/>
      <c r="E721" s="147"/>
      <c r="F721" s="147"/>
      <c r="G721" s="147"/>
      <c r="H721" s="147"/>
    </row>
    <row r="722" spans="3:8">
      <c r="C722" s="147"/>
      <c r="D722" s="147"/>
      <c r="E722" s="147"/>
      <c r="F722" s="147"/>
      <c r="G722" s="147"/>
      <c r="H722" s="147"/>
    </row>
    <row r="723" spans="3:8">
      <c r="C723" s="147"/>
      <c r="D723" s="147"/>
      <c r="E723" s="147"/>
      <c r="F723" s="147"/>
      <c r="G723" s="147"/>
      <c r="H723" s="147"/>
    </row>
    <row r="724" spans="3:8">
      <c r="C724" s="147"/>
      <c r="D724" s="147"/>
      <c r="E724" s="147"/>
      <c r="F724" s="147"/>
      <c r="G724" s="147"/>
      <c r="H724" s="147"/>
    </row>
    <row r="725" spans="3:8">
      <c r="C725" s="147"/>
      <c r="D725" s="147"/>
      <c r="E725" s="147"/>
      <c r="F725" s="147"/>
      <c r="G725" s="147"/>
      <c r="H725" s="147"/>
    </row>
    <row r="726" spans="3:8">
      <c r="C726" s="147"/>
      <c r="D726" s="147"/>
      <c r="E726" s="147"/>
      <c r="F726" s="147"/>
      <c r="G726" s="147"/>
      <c r="H726" s="147"/>
    </row>
    <row r="727" spans="3:8">
      <c r="C727" s="147"/>
      <c r="D727" s="147"/>
      <c r="E727" s="147"/>
      <c r="F727" s="147"/>
      <c r="G727" s="147"/>
      <c r="H727" s="147"/>
    </row>
    <row r="728" spans="3:8">
      <c r="C728" s="147"/>
      <c r="D728" s="147"/>
      <c r="E728" s="147"/>
      <c r="F728" s="147"/>
      <c r="G728" s="147"/>
      <c r="H728" s="147"/>
    </row>
    <row r="729" spans="3:8">
      <c r="C729" s="147"/>
      <c r="D729" s="147"/>
      <c r="E729" s="147"/>
      <c r="F729" s="147"/>
      <c r="G729" s="147"/>
      <c r="H729" s="147"/>
    </row>
    <row r="730" spans="3:8">
      <c r="C730" s="147"/>
      <c r="D730" s="147"/>
      <c r="E730" s="147"/>
      <c r="F730" s="147"/>
      <c r="G730" s="147"/>
      <c r="H730" s="147"/>
    </row>
    <row r="731" spans="3:8">
      <c r="C731" s="147"/>
      <c r="D731" s="147"/>
      <c r="E731" s="147"/>
      <c r="F731" s="147"/>
      <c r="G731" s="147"/>
      <c r="H731" s="147"/>
    </row>
    <row r="732" spans="3:8">
      <c r="C732" s="147"/>
      <c r="D732" s="147"/>
      <c r="E732" s="147"/>
      <c r="F732" s="147"/>
      <c r="G732" s="147"/>
      <c r="H732" s="147"/>
    </row>
    <row r="733" spans="3:8">
      <c r="C733" s="147"/>
      <c r="D733" s="147"/>
      <c r="E733" s="147"/>
      <c r="F733" s="147"/>
      <c r="G733" s="147"/>
      <c r="H733" s="147"/>
    </row>
    <row r="734" spans="3:8">
      <c r="C734" s="147"/>
      <c r="D734" s="147"/>
      <c r="E734" s="147"/>
      <c r="F734" s="147"/>
      <c r="G734" s="147"/>
      <c r="H734" s="147"/>
    </row>
    <row r="735" spans="3:8">
      <c r="C735" s="147"/>
      <c r="D735" s="147"/>
      <c r="E735" s="147"/>
      <c r="F735" s="147"/>
      <c r="G735" s="147"/>
      <c r="H735" s="147"/>
    </row>
    <row r="736" spans="3:8">
      <c r="C736" s="147"/>
      <c r="D736" s="147"/>
      <c r="E736" s="147"/>
      <c r="F736" s="147"/>
      <c r="G736" s="147"/>
      <c r="H736" s="147"/>
    </row>
    <row r="737" spans="3:8">
      <c r="C737" s="147"/>
      <c r="D737" s="147"/>
      <c r="E737" s="147"/>
      <c r="F737" s="147"/>
      <c r="G737" s="147"/>
      <c r="H737" s="147"/>
    </row>
    <row r="738" spans="3:8">
      <c r="C738" s="147"/>
      <c r="D738" s="147"/>
      <c r="E738" s="147"/>
      <c r="F738" s="147"/>
      <c r="G738" s="147"/>
      <c r="H738" s="147"/>
    </row>
    <row r="739" spans="3:8">
      <c r="C739" s="147"/>
      <c r="D739" s="147"/>
      <c r="E739" s="147"/>
      <c r="F739" s="147"/>
      <c r="G739" s="147"/>
      <c r="H739" s="147"/>
    </row>
    <row r="740" spans="3:8">
      <c r="C740" s="147"/>
      <c r="D740" s="147"/>
      <c r="E740" s="147"/>
      <c r="F740" s="147"/>
      <c r="G740" s="147"/>
      <c r="H740" s="147"/>
    </row>
    <row r="741" spans="3:8">
      <c r="C741" s="147"/>
      <c r="D741" s="147"/>
      <c r="E741" s="147"/>
      <c r="F741" s="147"/>
      <c r="G741" s="147"/>
      <c r="H741" s="147"/>
    </row>
    <row r="742" spans="3:8">
      <c r="C742" s="147"/>
      <c r="D742" s="147"/>
      <c r="E742" s="147"/>
      <c r="F742" s="147"/>
      <c r="G742" s="147"/>
      <c r="H742" s="147"/>
    </row>
    <row r="743" spans="3:8">
      <c r="C743" s="147"/>
      <c r="D743" s="147"/>
      <c r="E743" s="147"/>
      <c r="F743" s="147"/>
      <c r="G743" s="147"/>
      <c r="H743" s="147"/>
    </row>
    <row r="744" spans="3:8">
      <c r="C744" s="147"/>
      <c r="D744" s="147"/>
      <c r="E744" s="147"/>
      <c r="F744" s="147"/>
      <c r="G744" s="147"/>
      <c r="H744" s="147"/>
    </row>
    <row r="745" spans="3:8">
      <c r="C745" s="147"/>
      <c r="D745" s="147"/>
      <c r="E745" s="147"/>
      <c r="F745" s="147"/>
      <c r="G745" s="147"/>
      <c r="H745" s="147"/>
    </row>
    <row r="746" spans="3:8">
      <c r="C746" s="147"/>
      <c r="D746" s="147"/>
      <c r="E746" s="147"/>
      <c r="F746" s="147"/>
      <c r="G746" s="147"/>
      <c r="H746" s="147"/>
    </row>
    <row r="747" spans="3:8">
      <c r="C747" s="147"/>
      <c r="D747" s="147"/>
      <c r="E747" s="147"/>
      <c r="F747" s="147"/>
      <c r="G747" s="147"/>
      <c r="H747" s="147"/>
    </row>
    <row r="748" spans="3:8">
      <c r="C748" s="147"/>
      <c r="D748" s="147"/>
      <c r="E748" s="147"/>
      <c r="F748" s="147"/>
      <c r="G748" s="147"/>
      <c r="H748" s="147"/>
    </row>
    <row r="749" spans="3:8">
      <c r="C749" s="147"/>
      <c r="D749" s="147"/>
      <c r="E749" s="147"/>
      <c r="F749" s="147"/>
      <c r="G749" s="147"/>
      <c r="H749" s="147"/>
    </row>
    <row r="750" spans="3:8">
      <c r="C750" s="147"/>
      <c r="D750" s="147"/>
      <c r="E750" s="147"/>
      <c r="F750" s="147"/>
      <c r="G750" s="147"/>
      <c r="H750" s="147"/>
    </row>
    <row r="751" spans="3:8">
      <c r="C751" s="147"/>
      <c r="D751" s="147"/>
      <c r="E751" s="147"/>
      <c r="F751" s="147"/>
      <c r="G751" s="147"/>
      <c r="H751" s="147"/>
    </row>
    <row r="752" spans="3:8">
      <c r="C752" s="147"/>
      <c r="D752" s="147"/>
      <c r="E752" s="147"/>
      <c r="F752" s="147"/>
      <c r="G752" s="147"/>
      <c r="H752" s="147"/>
    </row>
    <row r="753" spans="3:8">
      <c r="C753" s="147"/>
      <c r="D753" s="147"/>
      <c r="E753" s="147"/>
      <c r="F753" s="147"/>
      <c r="G753" s="147"/>
      <c r="H753" s="147"/>
    </row>
    <row r="754" spans="3:8">
      <c r="C754" s="147"/>
      <c r="D754" s="147"/>
      <c r="E754" s="147"/>
      <c r="F754" s="147"/>
      <c r="G754" s="147"/>
      <c r="H754" s="147"/>
    </row>
    <row r="755" spans="3:8">
      <c r="C755" s="147"/>
      <c r="D755" s="147"/>
      <c r="E755" s="147"/>
      <c r="F755" s="147"/>
      <c r="G755" s="147"/>
      <c r="H755" s="147"/>
    </row>
    <row r="756" spans="3:8">
      <c r="C756" s="147"/>
      <c r="D756" s="147"/>
      <c r="E756" s="147"/>
      <c r="F756" s="147"/>
      <c r="G756" s="147"/>
      <c r="H756" s="147"/>
    </row>
    <row r="757" spans="3:8">
      <c r="C757" s="147"/>
      <c r="D757" s="147"/>
      <c r="E757" s="147"/>
      <c r="F757" s="147"/>
      <c r="G757" s="147"/>
      <c r="H757" s="147"/>
    </row>
    <row r="758" spans="3:8">
      <c r="C758" s="147"/>
      <c r="D758" s="147"/>
      <c r="E758" s="147"/>
      <c r="F758" s="147"/>
      <c r="G758" s="147"/>
      <c r="H758" s="147"/>
    </row>
    <row r="759" spans="3:8">
      <c r="C759" s="147"/>
      <c r="D759" s="147"/>
      <c r="E759" s="147"/>
      <c r="F759" s="147"/>
      <c r="G759" s="147"/>
      <c r="H759" s="147"/>
    </row>
    <row r="760" spans="3:8">
      <c r="C760" s="147"/>
      <c r="D760" s="147"/>
      <c r="E760" s="147"/>
      <c r="F760" s="147"/>
      <c r="G760" s="147"/>
      <c r="H760" s="147"/>
    </row>
    <row r="761" spans="3:8">
      <c r="C761" s="147"/>
      <c r="D761" s="147"/>
      <c r="E761" s="147"/>
      <c r="F761" s="147"/>
      <c r="G761" s="147"/>
      <c r="H761" s="147"/>
    </row>
    <row r="762" spans="3:8">
      <c r="C762" s="147"/>
      <c r="D762" s="147"/>
      <c r="E762" s="147"/>
      <c r="F762" s="147"/>
      <c r="G762" s="147"/>
      <c r="H762" s="147"/>
    </row>
    <row r="763" spans="3:8">
      <c r="C763" s="147"/>
      <c r="D763" s="147"/>
      <c r="E763" s="147"/>
      <c r="F763" s="147"/>
      <c r="G763" s="147"/>
      <c r="H763" s="147"/>
    </row>
    <row r="764" spans="3:8">
      <c r="C764" s="147"/>
      <c r="D764" s="147"/>
      <c r="E764" s="147"/>
      <c r="F764" s="147"/>
      <c r="G764" s="147"/>
      <c r="H764" s="147"/>
    </row>
    <row r="765" spans="3:8">
      <c r="C765" s="147"/>
      <c r="D765" s="147"/>
      <c r="E765" s="147"/>
      <c r="F765" s="147"/>
      <c r="G765" s="147"/>
      <c r="H765" s="147"/>
    </row>
    <row r="766" spans="3:8">
      <c r="C766" s="147"/>
      <c r="D766" s="147"/>
      <c r="E766" s="147"/>
      <c r="F766" s="147"/>
      <c r="G766" s="147"/>
      <c r="H766" s="147"/>
    </row>
    <row r="767" spans="3:8">
      <c r="C767" s="147"/>
      <c r="D767" s="147"/>
      <c r="E767" s="147"/>
      <c r="F767" s="147"/>
      <c r="G767" s="147"/>
      <c r="H767" s="147"/>
    </row>
    <row r="768" spans="3:8">
      <c r="C768" s="147"/>
      <c r="D768" s="147"/>
      <c r="E768" s="147"/>
      <c r="F768" s="147"/>
      <c r="G768" s="147"/>
      <c r="H768" s="147"/>
    </row>
    <row r="769" spans="3:8">
      <c r="C769" s="147"/>
      <c r="D769" s="147"/>
      <c r="E769" s="147"/>
      <c r="F769" s="147"/>
      <c r="G769" s="147"/>
      <c r="H769" s="147"/>
    </row>
    <row r="770" spans="3:8">
      <c r="C770" s="147"/>
      <c r="D770" s="147"/>
      <c r="E770" s="147"/>
      <c r="F770" s="147"/>
      <c r="G770" s="147"/>
      <c r="H770" s="147"/>
    </row>
    <row r="771" spans="3:8">
      <c r="C771" s="147"/>
      <c r="D771" s="147"/>
      <c r="E771" s="147"/>
      <c r="F771" s="147"/>
      <c r="G771" s="147"/>
      <c r="H771" s="147"/>
    </row>
    <row r="772" spans="3:8">
      <c r="C772" s="147"/>
      <c r="D772" s="147"/>
      <c r="E772" s="147"/>
      <c r="F772" s="147"/>
      <c r="G772" s="147"/>
      <c r="H772" s="147"/>
    </row>
    <row r="773" spans="3:8">
      <c r="C773" s="147"/>
      <c r="D773" s="147"/>
      <c r="E773" s="147"/>
      <c r="F773" s="147"/>
      <c r="G773" s="147"/>
      <c r="H773" s="147"/>
    </row>
    <row r="774" spans="3:8">
      <c r="C774" s="147"/>
      <c r="D774" s="147"/>
      <c r="E774" s="147"/>
      <c r="F774" s="147"/>
      <c r="G774" s="147"/>
      <c r="H774" s="147"/>
    </row>
    <row r="775" spans="3:8">
      <c r="C775" s="147"/>
      <c r="D775" s="147"/>
      <c r="E775" s="147"/>
      <c r="F775" s="147"/>
      <c r="G775" s="147"/>
      <c r="H775" s="147"/>
    </row>
    <row r="776" spans="3:8">
      <c r="C776" s="147"/>
      <c r="D776" s="147"/>
      <c r="E776" s="147"/>
      <c r="F776" s="147"/>
      <c r="G776" s="147"/>
      <c r="H776" s="147"/>
    </row>
    <row r="777" spans="3:8">
      <c r="C777" s="147"/>
      <c r="D777" s="147"/>
      <c r="E777" s="147"/>
      <c r="F777" s="147"/>
      <c r="G777" s="147"/>
      <c r="H777" s="147"/>
    </row>
    <row r="778" spans="3:8">
      <c r="C778" s="147"/>
      <c r="D778" s="147"/>
      <c r="E778" s="147"/>
      <c r="F778" s="147"/>
      <c r="G778" s="147"/>
      <c r="H778" s="147"/>
    </row>
    <row r="779" spans="3:8">
      <c r="C779" s="147"/>
      <c r="D779" s="147"/>
      <c r="E779" s="147"/>
      <c r="F779" s="147"/>
      <c r="G779" s="147"/>
      <c r="H779" s="147"/>
    </row>
    <row r="780" spans="3:8">
      <c r="C780" s="147"/>
      <c r="D780" s="147"/>
      <c r="E780" s="147"/>
      <c r="F780" s="147"/>
      <c r="G780" s="147"/>
      <c r="H780" s="147"/>
    </row>
    <row r="781" spans="3:8">
      <c r="C781" s="147"/>
      <c r="D781" s="147"/>
      <c r="E781" s="147"/>
      <c r="F781" s="147"/>
      <c r="G781" s="147"/>
      <c r="H781" s="147"/>
    </row>
    <row r="782" spans="3:8">
      <c r="C782" s="147"/>
      <c r="D782" s="147"/>
      <c r="E782" s="147"/>
      <c r="F782" s="147"/>
      <c r="G782" s="147"/>
      <c r="H782" s="147"/>
    </row>
    <row r="783" spans="3:8">
      <c r="C783" s="147"/>
      <c r="D783" s="147"/>
      <c r="E783" s="147"/>
      <c r="F783" s="147"/>
      <c r="G783" s="147"/>
      <c r="H783" s="147"/>
    </row>
    <row r="784" spans="3:8">
      <c r="C784" s="147"/>
      <c r="D784" s="147"/>
      <c r="E784" s="147"/>
      <c r="F784" s="147"/>
      <c r="G784" s="147"/>
      <c r="H784" s="147"/>
    </row>
    <row r="785" spans="3:8">
      <c r="C785" s="147"/>
      <c r="D785" s="147"/>
      <c r="E785" s="147"/>
      <c r="F785" s="147"/>
      <c r="G785" s="147"/>
      <c r="H785" s="147"/>
    </row>
    <row r="786" spans="3:8">
      <c r="C786" s="147"/>
      <c r="D786" s="147"/>
      <c r="E786" s="147"/>
      <c r="F786" s="147"/>
      <c r="G786" s="147"/>
      <c r="H786" s="147"/>
    </row>
    <row r="787" spans="3:8">
      <c r="C787" s="147"/>
      <c r="D787" s="147"/>
      <c r="E787" s="147"/>
      <c r="F787" s="147"/>
      <c r="G787" s="147"/>
      <c r="H787" s="147"/>
    </row>
    <row r="788" spans="3:8">
      <c r="C788" s="147"/>
      <c r="D788" s="147"/>
      <c r="E788" s="147"/>
      <c r="F788" s="147"/>
      <c r="G788" s="147"/>
      <c r="H788" s="147"/>
    </row>
    <row r="789" spans="3:8">
      <c r="C789" s="147"/>
      <c r="D789" s="147"/>
      <c r="E789" s="147"/>
      <c r="F789" s="147"/>
      <c r="G789" s="147"/>
      <c r="H789" s="147"/>
    </row>
    <row r="790" spans="3:8">
      <c r="C790" s="147"/>
      <c r="D790" s="147"/>
      <c r="E790" s="147"/>
      <c r="F790" s="147"/>
      <c r="G790" s="147"/>
      <c r="H790" s="147"/>
    </row>
    <row r="791" spans="3:8">
      <c r="C791" s="147"/>
      <c r="D791" s="147"/>
      <c r="E791" s="147"/>
      <c r="F791" s="147"/>
      <c r="G791" s="147"/>
      <c r="H791" s="147"/>
    </row>
    <row r="792" spans="3:8">
      <c r="C792" s="147"/>
      <c r="D792" s="147"/>
      <c r="E792" s="147"/>
      <c r="F792" s="147"/>
      <c r="G792" s="147"/>
      <c r="H792" s="147"/>
    </row>
    <row r="793" spans="3:8">
      <c r="C793" s="147"/>
      <c r="D793" s="147"/>
      <c r="E793" s="147"/>
      <c r="F793" s="147"/>
      <c r="G793" s="147"/>
      <c r="H793" s="147"/>
    </row>
    <row r="794" spans="3:8">
      <c r="C794" s="147"/>
      <c r="D794" s="147"/>
      <c r="E794" s="147"/>
      <c r="F794" s="147"/>
      <c r="G794" s="147"/>
      <c r="H794" s="147"/>
    </row>
    <row r="795" spans="3:8">
      <c r="C795" s="147"/>
      <c r="D795" s="147"/>
      <c r="E795" s="147"/>
      <c r="F795" s="147"/>
      <c r="G795" s="147"/>
      <c r="H795" s="147"/>
    </row>
    <row r="796" spans="3:8">
      <c r="C796" s="147"/>
      <c r="D796" s="147"/>
      <c r="E796" s="147"/>
      <c r="F796" s="147"/>
      <c r="G796" s="147"/>
      <c r="H796" s="147"/>
    </row>
    <row r="797" spans="3:8">
      <c r="C797" s="147"/>
      <c r="D797" s="147"/>
      <c r="E797" s="147"/>
      <c r="F797" s="147"/>
      <c r="G797" s="147"/>
      <c r="H797" s="147"/>
    </row>
    <row r="798" spans="3:8">
      <c r="C798" s="147"/>
      <c r="D798" s="147"/>
      <c r="E798" s="147"/>
      <c r="F798" s="147"/>
      <c r="G798" s="147"/>
      <c r="H798" s="147"/>
    </row>
    <row r="799" spans="3:8">
      <c r="C799" s="147"/>
      <c r="D799" s="147"/>
      <c r="E799" s="147"/>
      <c r="F799" s="147"/>
      <c r="G799" s="147"/>
      <c r="H799" s="147"/>
    </row>
    <row r="800" spans="3:8">
      <c r="C800" s="147"/>
      <c r="D800" s="147"/>
      <c r="E800" s="147"/>
      <c r="F800" s="147"/>
      <c r="G800" s="147"/>
      <c r="H800" s="147"/>
    </row>
    <row r="801" spans="3:8">
      <c r="C801" s="147"/>
      <c r="D801" s="147"/>
      <c r="E801" s="147"/>
      <c r="F801" s="147"/>
      <c r="G801" s="147"/>
      <c r="H801" s="147"/>
    </row>
    <row r="802" spans="3:8">
      <c r="C802" s="147"/>
      <c r="D802" s="147"/>
      <c r="E802" s="147"/>
      <c r="F802" s="147"/>
      <c r="G802" s="147"/>
      <c r="H802" s="147"/>
    </row>
    <row r="803" spans="3:8">
      <c r="C803" s="147"/>
      <c r="D803" s="147"/>
      <c r="E803" s="147"/>
      <c r="F803" s="147"/>
      <c r="G803" s="147"/>
      <c r="H803" s="147"/>
    </row>
    <row r="804" spans="3:8">
      <c r="C804" s="147"/>
      <c r="D804" s="147"/>
      <c r="E804" s="147"/>
      <c r="F804" s="147"/>
      <c r="G804" s="147"/>
      <c r="H804" s="147"/>
    </row>
    <row r="805" spans="3:8">
      <c r="C805" s="147"/>
      <c r="D805" s="147"/>
      <c r="E805" s="147"/>
      <c r="F805" s="147"/>
      <c r="G805" s="147"/>
      <c r="H805" s="147"/>
    </row>
    <row r="806" spans="3:8">
      <c r="C806" s="147"/>
      <c r="D806" s="147"/>
      <c r="E806" s="147"/>
      <c r="F806" s="147"/>
      <c r="G806" s="147"/>
      <c r="H806" s="147"/>
    </row>
    <row r="807" spans="3:8">
      <c r="C807" s="147"/>
      <c r="D807" s="147"/>
      <c r="E807" s="147"/>
      <c r="F807" s="147"/>
      <c r="G807" s="147"/>
      <c r="H807" s="147"/>
    </row>
    <row r="808" spans="3:8">
      <c r="C808" s="147"/>
      <c r="D808" s="147"/>
      <c r="E808" s="147"/>
      <c r="F808" s="147"/>
      <c r="G808" s="147"/>
      <c r="H808" s="147"/>
    </row>
    <row r="809" spans="3:8">
      <c r="C809" s="147"/>
      <c r="D809" s="147"/>
      <c r="E809" s="147"/>
      <c r="F809" s="147"/>
      <c r="G809" s="147"/>
      <c r="H809" s="147"/>
    </row>
    <row r="810" spans="3:8">
      <c r="C810" s="147"/>
      <c r="D810" s="147"/>
      <c r="E810" s="147"/>
      <c r="F810" s="147"/>
      <c r="G810" s="147"/>
      <c r="H810" s="147"/>
    </row>
    <row r="811" spans="3:8">
      <c r="C811" s="147"/>
      <c r="D811" s="147"/>
      <c r="E811" s="147"/>
      <c r="F811" s="147"/>
      <c r="G811" s="147"/>
      <c r="H811" s="147"/>
    </row>
    <row r="812" spans="3:8">
      <c r="C812" s="147"/>
      <c r="D812" s="147"/>
      <c r="E812" s="147"/>
      <c r="F812" s="147"/>
      <c r="G812" s="147"/>
      <c r="H812" s="147"/>
    </row>
    <row r="813" spans="3:8">
      <c r="C813" s="147"/>
      <c r="D813" s="147"/>
      <c r="E813" s="147"/>
      <c r="F813" s="147"/>
      <c r="G813" s="147"/>
      <c r="H813" s="147"/>
    </row>
    <row r="814" spans="3:8">
      <c r="C814" s="147"/>
      <c r="D814" s="147"/>
      <c r="E814" s="147"/>
      <c r="F814" s="147"/>
      <c r="G814" s="147"/>
      <c r="H814" s="147"/>
    </row>
    <row r="815" spans="3:8">
      <c r="C815" s="147"/>
      <c r="D815" s="147"/>
      <c r="E815" s="147"/>
      <c r="F815" s="147"/>
      <c r="G815" s="147"/>
      <c r="H815" s="147"/>
    </row>
    <row r="816" spans="3:8">
      <c r="C816" s="147"/>
      <c r="D816" s="147"/>
      <c r="E816" s="147"/>
      <c r="F816" s="147"/>
      <c r="G816" s="147"/>
      <c r="H816" s="147"/>
    </row>
    <row r="817" spans="3:8">
      <c r="C817" s="147"/>
      <c r="D817" s="147"/>
      <c r="E817" s="147"/>
      <c r="F817" s="147"/>
      <c r="G817" s="147"/>
      <c r="H817" s="147"/>
    </row>
    <row r="818" spans="3:8">
      <c r="C818" s="147"/>
      <c r="D818" s="147"/>
      <c r="E818" s="147"/>
      <c r="F818" s="147"/>
      <c r="G818" s="147"/>
      <c r="H818" s="147"/>
    </row>
    <row r="819" spans="3:8">
      <c r="C819" s="147"/>
      <c r="D819" s="147"/>
      <c r="E819" s="147"/>
      <c r="F819" s="147"/>
      <c r="G819" s="147"/>
      <c r="H819" s="147"/>
    </row>
    <row r="820" spans="3:8">
      <c r="C820" s="147"/>
      <c r="D820" s="147"/>
      <c r="E820" s="147"/>
      <c r="F820" s="147"/>
      <c r="G820" s="147"/>
      <c r="H820" s="147"/>
    </row>
    <row r="821" spans="3:8">
      <c r="C821" s="147"/>
      <c r="D821" s="147"/>
      <c r="E821" s="147"/>
      <c r="F821" s="147"/>
      <c r="G821" s="147"/>
      <c r="H821" s="147"/>
    </row>
    <row r="822" spans="3:8">
      <c r="C822" s="147"/>
      <c r="D822" s="147"/>
      <c r="E822" s="147"/>
      <c r="F822" s="147"/>
      <c r="G822" s="147"/>
      <c r="H822" s="147"/>
    </row>
    <row r="823" spans="3:8">
      <c r="C823" s="147"/>
      <c r="D823" s="147"/>
      <c r="E823" s="147"/>
      <c r="F823" s="147"/>
      <c r="G823" s="147"/>
      <c r="H823" s="147"/>
    </row>
    <row r="824" spans="3:8">
      <c r="C824" s="147"/>
      <c r="D824" s="147"/>
      <c r="E824" s="147"/>
      <c r="F824" s="147"/>
      <c r="G824" s="147"/>
      <c r="H824" s="147"/>
    </row>
    <row r="825" spans="3:8">
      <c r="C825" s="147"/>
      <c r="D825" s="147"/>
      <c r="E825" s="147"/>
      <c r="F825" s="147"/>
      <c r="G825" s="147"/>
      <c r="H825" s="147"/>
    </row>
    <row r="826" spans="3:8">
      <c r="C826" s="147"/>
      <c r="D826" s="147"/>
      <c r="E826" s="147"/>
      <c r="F826" s="147"/>
      <c r="G826" s="147"/>
      <c r="H826" s="147"/>
    </row>
    <row r="827" spans="3:8">
      <c r="C827" s="147"/>
      <c r="D827" s="147"/>
      <c r="E827" s="147"/>
      <c r="F827" s="147"/>
      <c r="G827" s="147"/>
      <c r="H827" s="147"/>
    </row>
    <row r="828" spans="3:8">
      <c r="C828" s="147"/>
      <c r="D828" s="147"/>
      <c r="E828" s="147"/>
      <c r="F828" s="147"/>
      <c r="G828" s="147"/>
      <c r="H828" s="147"/>
    </row>
    <row r="829" spans="3:8">
      <c r="C829" s="147"/>
      <c r="D829" s="147"/>
      <c r="E829" s="147"/>
      <c r="F829" s="147"/>
      <c r="G829" s="147"/>
      <c r="H829" s="147"/>
    </row>
    <row r="830" spans="3:8">
      <c r="C830" s="147"/>
      <c r="D830" s="147"/>
      <c r="E830" s="147"/>
      <c r="F830" s="147"/>
      <c r="G830" s="147"/>
      <c r="H830" s="147"/>
    </row>
    <row r="831" spans="3:8">
      <c r="C831" s="147"/>
      <c r="D831" s="147"/>
      <c r="E831" s="147"/>
      <c r="F831" s="147"/>
      <c r="G831" s="147"/>
      <c r="H831" s="147"/>
    </row>
    <row r="832" spans="3:8">
      <c r="C832" s="147"/>
      <c r="D832" s="147"/>
      <c r="E832" s="147"/>
      <c r="F832" s="147"/>
      <c r="G832" s="147"/>
      <c r="H832" s="147"/>
    </row>
    <row r="833" spans="3:8">
      <c r="C833" s="147"/>
      <c r="D833" s="147"/>
      <c r="E833" s="147"/>
      <c r="F833" s="147"/>
      <c r="G833" s="147"/>
      <c r="H833" s="147"/>
    </row>
    <row r="834" spans="3:8">
      <c r="C834" s="147"/>
      <c r="D834" s="147"/>
      <c r="E834" s="147"/>
      <c r="F834" s="147"/>
      <c r="G834" s="147"/>
      <c r="H834" s="147"/>
    </row>
    <row r="835" spans="3:8">
      <c r="C835" s="147"/>
      <c r="D835" s="147"/>
      <c r="E835" s="147"/>
      <c r="F835" s="147"/>
      <c r="G835" s="147"/>
      <c r="H835" s="147"/>
    </row>
    <row r="836" spans="3:8">
      <c r="C836" s="147"/>
      <c r="D836" s="147"/>
      <c r="E836" s="147"/>
      <c r="F836" s="147"/>
      <c r="G836" s="147"/>
      <c r="H836" s="147"/>
    </row>
    <row r="837" spans="3:8">
      <c r="C837" s="147"/>
      <c r="D837" s="147"/>
      <c r="E837" s="147"/>
      <c r="F837" s="147"/>
      <c r="G837" s="147"/>
      <c r="H837" s="147"/>
    </row>
    <row r="838" spans="3:8">
      <c r="C838" s="147"/>
      <c r="D838" s="147"/>
      <c r="E838" s="147"/>
      <c r="F838" s="147"/>
      <c r="G838" s="147"/>
      <c r="H838" s="147"/>
    </row>
    <row r="839" spans="3:8">
      <c r="C839" s="147"/>
      <c r="D839" s="147"/>
      <c r="E839" s="147"/>
      <c r="F839" s="147"/>
      <c r="G839" s="147"/>
      <c r="H839" s="147"/>
    </row>
    <row r="840" spans="3:8">
      <c r="C840" s="147"/>
      <c r="D840" s="147"/>
      <c r="E840" s="147"/>
      <c r="F840" s="147"/>
      <c r="G840" s="147"/>
      <c r="H840" s="147"/>
    </row>
    <row r="841" spans="3:8">
      <c r="C841" s="147"/>
      <c r="D841" s="147"/>
      <c r="E841" s="147"/>
      <c r="F841" s="147"/>
      <c r="G841" s="147"/>
      <c r="H841" s="147"/>
    </row>
    <row r="842" spans="3:8">
      <c r="C842" s="147"/>
      <c r="D842" s="147"/>
      <c r="E842" s="147"/>
      <c r="F842" s="147"/>
      <c r="G842" s="147"/>
      <c r="H842" s="147"/>
    </row>
    <row r="843" spans="3:8">
      <c r="C843" s="147"/>
      <c r="D843" s="147"/>
      <c r="E843" s="147"/>
      <c r="F843" s="147"/>
      <c r="G843" s="147"/>
      <c r="H843" s="147"/>
    </row>
    <row r="844" spans="3:8">
      <c r="C844" s="147"/>
      <c r="D844" s="147"/>
      <c r="E844" s="147"/>
      <c r="F844" s="147"/>
      <c r="G844" s="147"/>
      <c r="H844" s="147"/>
    </row>
    <row r="845" spans="3:8">
      <c r="C845" s="147"/>
      <c r="D845" s="147"/>
      <c r="E845" s="147"/>
      <c r="F845" s="147"/>
      <c r="G845" s="147"/>
      <c r="H845" s="147"/>
    </row>
    <row r="846" spans="3:8">
      <c r="C846" s="147"/>
      <c r="D846" s="147"/>
      <c r="E846" s="147"/>
      <c r="F846" s="147"/>
      <c r="G846" s="147"/>
      <c r="H846" s="147"/>
    </row>
    <row r="847" spans="3:8">
      <c r="C847" s="147"/>
      <c r="D847" s="147"/>
      <c r="E847" s="147"/>
      <c r="F847" s="147"/>
      <c r="G847" s="147"/>
      <c r="H847" s="147"/>
    </row>
    <row r="848" spans="3:8">
      <c r="C848" s="147"/>
      <c r="D848" s="147"/>
      <c r="E848" s="147"/>
      <c r="F848" s="147"/>
      <c r="G848" s="147"/>
      <c r="H848" s="147"/>
    </row>
    <row r="849" spans="3:8">
      <c r="C849" s="147"/>
      <c r="D849" s="147"/>
      <c r="E849" s="147"/>
      <c r="F849" s="147"/>
      <c r="G849" s="147"/>
      <c r="H849" s="147"/>
    </row>
    <row r="850" spans="3:8">
      <c r="C850" s="147"/>
      <c r="D850" s="147"/>
      <c r="E850" s="147"/>
      <c r="F850" s="147"/>
      <c r="G850" s="147"/>
      <c r="H850" s="147"/>
    </row>
    <row r="851" spans="3:8">
      <c r="C851" s="147"/>
      <c r="D851" s="147"/>
      <c r="E851" s="147"/>
      <c r="F851" s="147"/>
      <c r="G851" s="147"/>
      <c r="H851" s="147"/>
    </row>
    <row r="852" spans="3:8">
      <c r="C852" s="147"/>
      <c r="D852" s="147"/>
      <c r="E852" s="147"/>
      <c r="F852" s="147"/>
      <c r="G852" s="147"/>
      <c r="H852" s="147"/>
    </row>
    <row r="853" spans="3:8">
      <c r="C853" s="147"/>
      <c r="D853" s="147"/>
      <c r="E853" s="147"/>
      <c r="F853" s="147"/>
      <c r="G853" s="147"/>
      <c r="H853" s="147"/>
    </row>
    <row r="854" spans="3:8">
      <c r="C854" s="147"/>
      <c r="D854" s="147"/>
      <c r="E854" s="147"/>
      <c r="F854" s="147"/>
      <c r="G854" s="147"/>
      <c r="H854" s="147"/>
    </row>
    <row r="855" spans="3:8">
      <c r="C855" s="147"/>
      <c r="D855" s="147"/>
      <c r="E855" s="147"/>
      <c r="F855" s="147"/>
      <c r="G855" s="147"/>
      <c r="H855" s="147"/>
    </row>
    <row r="856" spans="3:8">
      <c r="C856" s="147"/>
      <c r="D856" s="147"/>
      <c r="E856" s="147"/>
      <c r="F856" s="147"/>
      <c r="G856" s="147"/>
      <c r="H856" s="147"/>
    </row>
    <row r="857" spans="3:8">
      <c r="C857" s="147"/>
      <c r="D857" s="147"/>
      <c r="E857" s="147"/>
      <c r="F857" s="147"/>
      <c r="G857" s="147"/>
      <c r="H857" s="147"/>
    </row>
    <row r="858" spans="3:8">
      <c r="C858" s="147"/>
      <c r="D858" s="147"/>
      <c r="E858" s="147"/>
      <c r="F858" s="147"/>
      <c r="G858" s="147"/>
      <c r="H858" s="147"/>
    </row>
    <row r="859" spans="3:8">
      <c r="C859" s="147"/>
      <c r="D859" s="147"/>
      <c r="E859" s="147"/>
      <c r="F859" s="147"/>
      <c r="G859" s="147"/>
      <c r="H859" s="147"/>
    </row>
    <row r="860" spans="3:8">
      <c r="C860" s="147"/>
      <c r="D860" s="147"/>
      <c r="E860" s="147"/>
      <c r="F860" s="147"/>
      <c r="G860" s="147"/>
      <c r="H860" s="147"/>
    </row>
    <row r="861" spans="3:8">
      <c r="C861" s="147"/>
      <c r="D861" s="147"/>
      <c r="E861" s="147"/>
      <c r="F861" s="147"/>
      <c r="G861" s="147"/>
      <c r="H861" s="147"/>
    </row>
    <row r="862" spans="3:8">
      <c r="C862" s="147"/>
      <c r="D862" s="147"/>
      <c r="E862" s="147"/>
      <c r="F862" s="147"/>
      <c r="G862" s="147"/>
      <c r="H862" s="147"/>
    </row>
    <row r="863" spans="3:8">
      <c r="C863" s="147"/>
      <c r="D863" s="147"/>
      <c r="E863" s="147"/>
      <c r="F863" s="147"/>
      <c r="G863" s="147"/>
      <c r="H863" s="147"/>
    </row>
    <row r="864" spans="3:8">
      <c r="C864" s="147"/>
      <c r="D864" s="147"/>
      <c r="E864" s="147"/>
      <c r="F864" s="147"/>
      <c r="G864" s="147"/>
      <c r="H864" s="147"/>
    </row>
    <row r="865" spans="3:8">
      <c r="C865" s="147"/>
      <c r="D865" s="147"/>
      <c r="E865" s="147"/>
      <c r="F865" s="147"/>
      <c r="G865" s="147"/>
      <c r="H865" s="147"/>
    </row>
    <row r="866" spans="3:8">
      <c r="C866" s="147"/>
      <c r="D866" s="147"/>
      <c r="E866" s="147"/>
      <c r="F866" s="147"/>
      <c r="G866" s="147"/>
      <c r="H866" s="147"/>
    </row>
    <row r="867" spans="3:8">
      <c r="C867" s="147"/>
      <c r="D867" s="147"/>
      <c r="E867" s="147"/>
      <c r="F867" s="147"/>
      <c r="G867" s="147"/>
      <c r="H867" s="147"/>
    </row>
    <row r="868" spans="3:8">
      <c r="C868" s="147"/>
      <c r="D868" s="147"/>
      <c r="E868" s="147"/>
      <c r="F868" s="147"/>
      <c r="G868" s="147"/>
      <c r="H868" s="147"/>
    </row>
    <row r="869" spans="3:8">
      <c r="C869" s="147"/>
      <c r="D869" s="147"/>
      <c r="E869" s="147"/>
      <c r="F869" s="147"/>
      <c r="G869" s="147"/>
      <c r="H869" s="147"/>
    </row>
    <row r="870" spans="3:8">
      <c r="C870" s="147"/>
      <c r="D870" s="147"/>
      <c r="E870" s="147"/>
      <c r="F870" s="147"/>
      <c r="G870" s="147"/>
      <c r="H870" s="147"/>
    </row>
    <row r="871" spans="3:8">
      <c r="C871" s="147"/>
      <c r="D871" s="147"/>
      <c r="E871" s="147"/>
      <c r="F871" s="147"/>
      <c r="G871" s="147"/>
      <c r="H871" s="147"/>
    </row>
    <row r="872" spans="3:8">
      <c r="C872" s="147"/>
      <c r="D872" s="147"/>
      <c r="E872" s="147"/>
      <c r="F872" s="147"/>
      <c r="G872" s="147"/>
      <c r="H872" s="147"/>
    </row>
    <row r="873" spans="3:8">
      <c r="C873" s="147"/>
      <c r="D873" s="147"/>
      <c r="E873" s="147"/>
      <c r="F873" s="147"/>
      <c r="G873" s="147"/>
      <c r="H873" s="147"/>
    </row>
    <row r="874" spans="3:8">
      <c r="C874" s="147"/>
      <c r="D874" s="147"/>
      <c r="E874" s="147"/>
      <c r="F874" s="147"/>
      <c r="G874" s="147"/>
      <c r="H874" s="147"/>
    </row>
    <row r="875" spans="3:8">
      <c r="C875" s="147"/>
      <c r="D875" s="147"/>
      <c r="E875" s="147"/>
      <c r="F875" s="147"/>
      <c r="G875" s="147"/>
      <c r="H875" s="147"/>
    </row>
    <row r="876" spans="3:8">
      <c r="C876" s="147"/>
      <c r="D876" s="147"/>
      <c r="E876" s="147"/>
      <c r="F876" s="147"/>
      <c r="G876" s="147"/>
      <c r="H876" s="147"/>
    </row>
    <row r="877" spans="3:8">
      <c r="C877" s="147"/>
      <c r="D877" s="147"/>
      <c r="E877" s="147"/>
      <c r="F877" s="147"/>
      <c r="G877" s="147"/>
      <c r="H877" s="147"/>
    </row>
    <row r="878" spans="3:8">
      <c r="C878" s="147"/>
      <c r="D878" s="147"/>
      <c r="E878" s="147"/>
      <c r="F878" s="147"/>
      <c r="G878" s="147"/>
      <c r="H878" s="147"/>
    </row>
    <row r="879" spans="3:8">
      <c r="C879" s="147"/>
      <c r="D879" s="147"/>
      <c r="E879" s="147"/>
      <c r="F879" s="147"/>
      <c r="G879" s="147"/>
      <c r="H879" s="147"/>
    </row>
    <row r="880" spans="3:8">
      <c r="C880" s="147"/>
      <c r="D880" s="147"/>
      <c r="E880" s="147"/>
      <c r="F880" s="147"/>
      <c r="G880" s="147"/>
      <c r="H880" s="147"/>
    </row>
    <row r="881" spans="3:8">
      <c r="C881" s="147"/>
      <c r="D881" s="147"/>
      <c r="E881" s="147"/>
      <c r="F881" s="147"/>
      <c r="G881" s="147"/>
      <c r="H881" s="147"/>
    </row>
    <row r="882" spans="3:8">
      <c r="C882" s="147"/>
      <c r="D882" s="147"/>
      <c r="E882" s="147"/>
      <c r="F882" s="147"/>
      <c r="G882" s="147"/>
      <c r="H882" s="147"/>
    </row>
    <row r="883" spans="3:8">
      <c r="C883" s="147"/>
      <c r="D883" s="147"/>
      <c r="E883" s="147"/>
      <c r="F883" s="147"/>
      <c r="G883" s="147"/>
      <c r="H883" s="147"/>
    </row>
    <row r="884" spans="3:8">
      <c r="C884" s="147"/>
      <c r="D884" s="147"/>
      <c r="E884" s="147"/>
      <c r="F884" s="147"/>
      <c r="G884" s="147"/>
      <c r="H884" s="147"/>
    </row>
    <row r="885" spans="3:8">
      <c r="C885" s="147"/>
      <c r="D885" s="147"/>
      <c r="E885" s="147"/>
      <c r="F885" s="147"/>
      <c r="G885" s="147"/>
      <c r="H885" s="147"/>
    </row>
    <row r="886" spans="3:8">
      <c r="C886" s="147"/>
      <c r="D886" s="147"/>
      <c r="E886" s="147"/>
      <c r="F886" s="147"/>
      <c r="G886" s="147"/>
      <c r="H886" s="147"/>
    </row>
    <row r="887" spans="3:8">
      <c r="C887" s="147"/>
      <c r="D887" s="147"/>
      <c r="E887" s="147"/>
      <c r="F887" s="147"/>
      <c r="G887" s="147"/>
      <c r="H887" s="147"/>
    </row>
    <row r="888" spans="3:8">
      <c r="C888" s="147"/>
      <c r="D888" s="147"/>
      <c r="E888" s="147"/>
      <c r="F888" s="147"/>
      <c r="G888" s="147"/>
      <c r="H888" s="147"/>
    </row>
    <row r="889" spans="3:8">
      <c r="C889" s="147"/>
      <c r="D889" s="147"/>
      <c r="E889" s="147"/>
      <c r="F889" s="147"/>
      <c r="G889" s="147"/>
      <c r="H889" s="147"/>
    </row>
    <row r="890" spans="3:8">
      <c r="C890" s="147"/>
      <c r="D890" s="147"/>
      <c r="E890" s="147"/>
      <c r="F890" s="147"/>
      <c r="G890" s="147"/>
      <c r="H890" s="147"/>
    </row>
    <row r="891" spans="3:8">
      <c r="C891" s="147"/>
      <c r="D891" s="147"/>
      <c r="E891" s="147"/>
      <c r="F891" s="147"/>
      <c r="G891" s="147"/>
      <c r="H891" s="147"/>
    </row>
    <row r="892" spans="3:8">
      <c r="C892" s="147"/>
      <c r="D892" s="147"/>
      <c r="E892" s="147"/>
      <c r="F892" s="147"/>
      <c r="G892" s="147"/>
      <c r="H892" s="147"/>
    </row>
    <row r="893" spans="3:8">
      <c r="C893" s="147"/>
      <c r="D893" s="147"/>
      <c r="E893" s="147"/>
      <c r="F893" s="147"/>
      <c r="G893" s="147"/>
      <c r="H893" s="147"/>
    </row>
    <row r="894" spans="3:8">
      <c r="C894" s="147"/>
      <c r="D894" s="147"/>
      <c r="E894" s="147"/>
      <c r="F894" s="147"/>
      <c r="G894" s="147"/>
      <c r="H894" s="147"/>
    </row>
    <row r="895" spans="3:8">
      <c r="C895" s="147"/>
      <c r="D895" s="147"/>
      <c r="E895" s="147"/>
      <c r="F895" s="147"/>
      <c r="G895" s="147"/>
      <c r="H895" s="147"/>
    </row>
    <row r="896" spans="3:8">
      <c r="C896" s="147"/>
      <c r="D896" s="147"/>
      <c r="E896" s="147"/>
      <c r="F896" s="147"/>
      <c r="G896" s="147"/>
      <c r="H896" s="147"/>
    </row>
    <row r="897" spans="3:8">
      <c r="C897" s="147"/>
      <c r="D897" s="147"/>
      <c r="E897" s="147"/>
      <c r="F897" s="147"/>
      <c r="G897" s="147"/>
      <c r="H897" s="147"/>
    </row>
    <row r="898" spans="3:8">
      <c r="C898" s="147"/>
      <c r="D898" s="147"/>
      <c r="E898" s="147"/>
      <c r="F898" s="147"/>
      <c r="G898" s="147"/>
      <c r="H898" s="147"/>
    </row>
    <row r="899" spans="3:8">
      <c r="C899" s="147"/>
      <c r="D899" s="147"/>
      <c r="E899" s="147"/>
      <c r="F899" s="147"/>
      <c r="G899" s="147"/>
      <c r="H899" s="147"/>
    </row>
    <row r="900" spans="3:8">
      <c r="C900" s="147"/>
      <c r="D900" s="147"/>
      <c r="E900" s="147"/>
      <c r="F900" s="147"/>
      <c r="G900" s="147"/>
      <c r="H900" s="147"/>
    </row>
    <row r="901" spans="3:8">
      <c r="C901" s="147"/>
      <c r="D901" s="147"/>
      <c r="E901" s="147"/>
      <c r="F901" s="147"/>
      <c r="G901" s="147"/>
      <c r="H901" s="147"/>
    </row>
    <row r="902" spans="3:8">
      <c r="C902" s="147"/>
      <c r="D902" s="147"/>
      <c r="E902" s="147"/>
      <c r="F902" s="147"/>
      <c r="G902" s="147"/>
      <c r="H902" s="147"/>
    </row>
    <row r="903" spans="3:8">
      <c r="C903" s="147"/>
      <c r="D903" s="147"/>
      <c r="E903" s="147"/>
      <c r="F903" s="147"/>
      <c r="G903" s="147"/>
      <c r="H903" s="147"/>
    </row>
    <row r="904" spans="3:8">
      <c r="C904" s="147"/>
      <c r="D904" s="147"/>
      <c r="E904" s="147"/>
      <c r="F904" s="147"/>
      <c r="G904" s="147"/>
      <c r="H904" s="147"/>
    </row>
    <row r="905" spans="3:8">
      <c r="C905" s="147"/>
      <c r="D905" s="147"/>
      <c r="E905" s="147"/>
      <c r="F905" s="147"/>
      <c r="G905" s="147"/>
      <c r="H905" s="147"/>
    </row>
    <row r="906" spans="3:8">
      <c r="C906" s="147"/>
      <c r="D906" s="147"/>
      <c r="E906" s="147"/>
      <c r="F906" s="147"/>
      <c r="G906" s="147"/>
      <c r="H906" s="147"/>
    </row>
    <row r="907" spans="3:8">
      <c r="C907" s="147"/>
      <c r="D907" s="147"/>
      <c r="E907" s="147"/>
      <c r="F907" s="147"/>
      <c r="G907" s="147"/>
      <c r="H907" s="147"/>
    </row>
    <row r="908" spans="3:8">
      <c r="C908" s="147"/>
      <c r="D908" s="147"/>
      <c r="E908" s="147"/>
      <c r="F908" s="147"/>
      <c r="G908" s="147"/>
      <c r="H908" s="147"/>
    </row>
    <row r="909" spans="3:8">
      <c r="C909" s="147"/>
      <c r="D909" s="147"/>
      <c r="E909" s="147"/>
      <c r="F909" s="147"/>
      <c r="G909" s="147"/>
      <c r="H909" s="147"/>
    </row>
    <row r="910" spans="3:8">
      <c r="C910" s="147"/>
      <c r="D910" s="147"/>
      <c r="E910" s="147"/>
      <c r="F910" s="147"/>
      <c r="G910" s="147"/>
      <c r="H910" s="147"/>
    </row>
    <row r="911" spans="3:8">
      <c r="C911" s="147"/>
      <c r="D911" s="147"/>
      <c r="E911" s="147"/>
      <c r="F911" s="147"/>
      <c r="G911" s="147"/>
      <c r="H911" s="147"/>
    </row>
    <row r="912" spans="3:8">
      <c r="C912" s="147"/>
      <c r="D912" s="147"/>
      <c r="E912" s="147"/>
      <c r="F912" s="147"/>
      <c r="G912" s="147"/>
      <c r="H912" s="147"/>
    </row>
    <row r="913" spans="3:8">
      <c r="C913" s="147"/>
      <c r="D913" s="147"/>
      <c r="E913" s="147"/>
      <c r="F913" s="147"/>
      <c r="G913" s="147"/>
      <c r="H913" s="147"/>
    </row>
    <row r="914" spans="3:8">
      <c r="C914" s="147"/>
      <c r="D914" s="147"/>
      <c r="E914" s="147"/>
      <c r="F914" s="147"/>
      <c r="G914" s="147"/>
      <c r="H914" s="147"/>
    </row>
    <row r="915" spans="3:8">
      <c r="C915" s="147"/>
      <c r="D915" s="147"/>
      <c r="E915" s="147"/>
      <c r="F915" s="147"/>
      <c r="G915" s="147"/>
      <c r="H915" s="147"/>
    </row>
    <row r="916" spans="3:8">
      <c r="C916" s="147"/>
      <c r="D916" s="147"/>
      <c r="E916" s="147"/>
      <c r="F916" s="147"/>
      <c r="G916" s="147"/>
      <c r="H916" s="147"/>
    </row>
    <row r="917" spans="3:8">
      <c r="C917" s="147"/>
      <c r="D917" s="147"/>
      <c r="E917" s="147"/>
      <c r="F917" s="147"/>
      <c r="G917" s="147"/>
      <c r="H917" s="147"/>
    </row>
    <row r="918" spans="3:8">
      <c r="C918" s="147"/>
      <c r="D918" s="147"/>
      <c r="E918" s="147"/>
      <c r="F918" s="147"/>
      <c r="G918" s="147"/>
      <c r="H918" s="147"/>
    </row>
    <row r="919" spans="3:8">
      <c r="C919" s="147"/>
      <c r="D919" s="147"/>
      <c r="E919" s="147"/>
      <c r="F919" s="147"/>
      <c r="G919" s="147"/>
      <c r="H919" s="147"/>
    </row>
    <row r="920" spans="3:8">
      <c r="C920" s="147"/>
      <c r="D920" s="147"/>
      <c r="E920" s="147"/>
      <c r="F920" s="147"/>
      <c r="G920" s="147"/>
      <c r="H920" s="147"/>
    </row>
    <row r="921" spans="3:8">
      <c r="C921" s="147"/>
      <c r="D921" s="147"/>
      <c r="E921" s="147"/>
      <c r="F921" s="147"/>
      <c r="G921" s="147"/>
      <c r="H921" s="147"/>
    </row>
    <row r="922" spans="3:8">
      <c r="C922" s="147"/>
      <c r="D922" s="147"/>
      <c r="E922" s="147"/>
      <c r="F922" s="147"/>
      <c r="G922" s="147"/>
      <c r="H922" s="147"/>
    </row>
    <row r="923" spans="3:8">
      <c r="C923" s="147"/>
      <c r="D923" s="147"/>
      <c r="E923" s="147"/>
      <c r="F923" s="147"/>
      <c r="G923" s="147"/>
      <c r="H923" s="147"/>
    </row>
    <row r="924" spans="3:8">
      <c r="C924" s="147"/>
      <c r="D924" s="147"/>
      <c r="E924" s="147"/>
      <c r="F924" s="147"/>
      <c r="G924" s="147"/>
      <c r="H924" s="147"/>
    </row>
    <row r="925" spans="3:8">
      <c r="C925" s="147"/>
      <c r="D925" s="147"/>
      <c r="E925" s="147"/>
      <c r="F925" s="147"/>
      <c r="G925" s="147"/>
      <c r="H925" s="147"/>
    </row>
    <row r="926" spans="3:8">
      <c r="C926" s="147"/>
      <c r="D926" s="147"/>
      <c r="E926" s="147"/>
      <c r="F926" s="147"/>
      <c r="G926" s="147"/>
      <c r="H926" s="147"/>
    </row>
    <row r="927" spans="3:8">
      <c r="C927" s="147"/>
      <c r="D927" s="147"/>
      <c r="E927" s="147"/>
      <c r="F927" s="147"/>
      <c r="G927" s="147"/>
      <c r="H927" s="147"/>
    </row>
    <row r="928" spans="3:8">
      <c r="C928" s="147"/>
      <c r="D928" s="147"/>
      <c r="E928" s="147"/>
      <c r="F928" s="147"/>
      <c r="G928" s="147"/>
      <c r="H928" s="147"/>
    </row>
    <row r="929" spans="3:8">
      <c r="C929" s="147"/>
      <c r="D929" s="147"/>
      <c r="E929" s="147"/>
      <c r="F929" s="147"/>
      <c r="G929" s="147"/>
      <c r="H929" s="147"/>
    </row>
    <row r="930" spans="3:8">
      <c r="C930" s="147"/>
      <c r="D930" s="147"/>
      <c r="E930" s="147"/>
      <c r="F930" s="147"/>
      <c r="G930" s="147"/>
      <c r="H930" s="147"/>
    </row>
    <row r="931" spans="3:8">
      <c r="C931" s="147"/>
      <c r="D931" s="147"/>
      <c r="E931" s="147"/>
      <c r="F931" s="147"/>
      <c r="G931" s="147"/>
      <c r="H931" s="147"/>
    </row>
    <row r="932" spans="3:8">
      <c r="C932" s="147"/>
      <c r="D932" s="147"/>
      <c r="E932" s="147"/>
      <c r="F932" s="147"/>
      <c r="G932" s="147"/>
      <c r="H932" s="147"/>
    </row>
    <row r="933" spans="3:8">
      <c r="C933" s="147"/>
      <c r="D933" s="147"/>
      <c r="E933" s="147"/>
      <c r="F933" s="147"/>
      <c r="G933" s="147"/>
      <c r="H933" s="147"/>
    </row>
    <row r="934" spans="3:8">
      <c r="C934" s="147"/>
      <c r="D934" s="147"/>
      <c r="E934" s="147"/>
      <c r="F934" s="147"/>
      <c r="G934" s="147"/>
      <c r="H934" s="147"/>
    </row>
    <row r="935" spans="3:8">
      <c r="C935" s="147"/>
      <c r="D935" s="147"/>
      <c r="E935" s="147"/>
      <c r="F935" s="147"/>
      <c r="G935" s="147"/>
      <c r="H935" s="147"/>
    </row>
    <row r="936" spans="3:8">
      <c r="C936" s="147"/>
      <c r="D936" s="147"/>
      <c r="E936" s="147"/>
      <c r="F936" s="147"/>
      <c r="G936" s="147"/>
      <c r="H936" s="147"/>
    </row>
    <row r="937" spans="3:8">
      <c r="C937" s="147"/>
      <c r="D937" s="147"/>
      <c r="E937" s="147"/>
      <c r="F937" s="147"/>
      <c r="G937" s="147"/>
      <c r="H937" s="147"/>
    </row>
    <row r="938" spans="3:8">
      <c r="C938" s="147"/>
      <c r="D938" s="147"/>
      <c r="E938" s="147"/>
      <c r="F938" s="147"/>
      <c r="G938" s="147"/>
      <c r="H938" s="147"/>
    </row>
    <row r="939" spans="3:8">
      <c r="C939" s="147"/>
      <c r="D939" s="147"/>
      <c r="E939" s="147"/>
      <c r="F939" s="147"/>
      <c r="G939" s="147"/>
      <c r="H939" s="147"/>
    </row>
    <row r="940" spans="3:8">
      <c r="C940" s="147"/>
      <c r="D940" s="147"/>
      <c r="E940" s="147"/>
      <c r="F940" s="147"/>
      <c r="G940" s="147"/>
      <c r="H940" s="147"/>
    </row>
    <row r="941" spans="3:8">
      <c r="C941" s="147"/>
      <c r="D941" s="147"/>
      <c r="E941" s="147"/>
      <c r="F941" s="147"/>
      <c r="G941" s="147"/>
      <c r="H941" s="147"/>
    </row>
    <row r="942" spans="3:8">
      <c r="C942" s="147"/>
      <c r="D942" s="147"/>
      <c r="E942" s="147"/>
      <c r="F942" s="147"/>
      <c r="G942" s="147"/>
      <c r="H942" s="147"/>
    </row>
    <row r="943" spans="3:8">
      <c r="C943" s="147"/>
      <c r="D943" s="147"/>
      <c r="E943" s="147"/>
      <c r="F943" s="147"/>
      <c r="G943" s="147"/>
      <c r="H943" s="147"/>
    </row>
    <row r="944" spans="3:8">
      <c r="C944" s="147"/>
      <c r="D944" s="147"/>
      <c r="E944" s="147"/>
      <c r="F944" s="147"/>
      <c r="G944" s="147"/>
      <c r="H944" s="147"/>
    </row>
    <row r="945" spans="3:8">
      <c r="C945" s="147"/>
      <c r="D945" s="147"/>
      <c r="E945" s="147"/>
      <c r="F945" s="147"/>
      <c r="G945" s="147"/>
      <c r="H945" s="147"/>
    </row>
    <row r="946" spans="3:8">
      <c r="C946" s="147"/>
      <c r="D946" s="147"/>
      <c r="E946" s="147"/>
      <c r="F946" s="147"/>
      <c r="G946" s="147"/>
      <c r="H946" s="147"/>
    </row>
    <row r="947" spans="3:8">
      <c r="C947" s="147"/>
      <c r="D947" s="147"/>
      <c r="E947" s="147"/>
      <c r="F947" s="147"/>
      <c r="G947" s="147"/>
      <c r="H947" s="147"/>
    </row>
    <row r="948" spans="3:8">
      <c r="C948" s="147"/>
      <c r="D948" s="147"/>
      <c r="E948" s="147"/>
      <c r="F948" s="147"/>
      <c r="G948" s="147"/>
      <c r="H948" s="147"/>
    </row>
    <row r="949" spans="3:8">
      <c r="C949" s="147"/>
      <c r="D949" s="147"/>
      <c r="E949" s="147"/>
      <c r="F949" s="147"/>
      <c r="G949" s="147"/>
      <c r="H949" s="147"/>
    </row>
    <row r="950" spans="3:8">
      <c r="C950" s="147"/>
      <c r="D950" s="147"/>
      <c r="E950" s="147"/>
      <c r="F950" s="147"/>
      <c r="G950" s="147"/>
      <c r="H950" s="147"/>
    </row>
    <row r="951" spans="3:8">
      <c r="C951" s="147"/>
      <c r="D951" s="147"/>
      <c r="E951" s="147"/>
      <c r="F951" s="147"/>
      <c r="G951" s="147"/>
      <c r="H951" s="147"/>
    </row>
    <row r="952" spans="3:8">
      <c r="C952" s="147"/>
      <c r="D952" s="147"/>
      <c r="E952" s="147"/>
      <c r="F952" s="147"/>
      <c r="G952" s="147"/>
      <c r="H952" s="147"/>
    </row>
    <row r="953" spans="3:8">
      <c r="C953" s="147"/>
      <c r="D953" s="147"/>
      <c r="E953" s="147"/>
      <c r="F953" s="147"/>
      <c r="G953" s="147"/>
      <c r="H953" s="147"/>
    </row>
    <row r="954" spans="3:8">
      <c r="C954" s="147"/>
      <c r="D954" s="147"/>
      <c r="E954" s="147"/>
      <c r="F954" s="147"/>
      <c r="G954" s="147"/>
      <c r="H954" s="147"/>
    </row>
    <row r="955" spans="3:8">
      <c r="C955" s="147"/>
      <c r="D955" s="147"/>
      <c r="E955" s="147"/>
      <c r="F955" s="147"/>
      <c r="G955" s="147"/>
      <c r="H955" s="147"/>
    </row>
    <row r="956" spans="3:8">
      <c r="C956" s="147"/>
      <c r="D956" s="147"/>
      <c r="E956" s="147"/>
      <c r="F956" s="147"/>
      <c r="G956" s="147"/>
      <c r="H956" s="147"/>
    </row>
    <row r="957" spans="3:8">
      <c r="C957" s="147"/>
      <c r="D957" s="147"/>
      <c r="E957" s="147"/>
      <c r="F957" s="147"/>
      <c r="G957" s="147"/>
      <c r="H957" s="147"/>
    </row>
    <row r="958" spans="3:8">
      <c r="C958" s="147"/>
      <c r="D958" s="147"/>
      <c r="E958" s="147"/>
      <c r="F958" s="147"/>
      <c r="G958" s="147"/>
      <c r="H958" s="147"/>
    </row>
    <row r="959" spans="3:8">
      <c r="C959" s="147"/>
      <c r="D959" s="147"/>
      <c r="E959" s="147"/>
      <c r="F959" s="147"/>
      <c r="G959" s="147"/>
      <c r="H959" s="147"/>
    </row>
    <row r="960" spans="3:8">
      <c r="C960" s="147"/>
      <c r="D960" s="147"/>
      <c r="E960" s="147"/>
      <c r="F960" s="147"/>
      <c r="G960" s="147"/>
      <c r="H960" s="147"/>
    </row>
    <row r="961" spans="3:8">
      <c r="C961" s="147"/>
      <c r="D961" s="147"/>
      <c r="E961" s="147"/>
      <c r="F961" s="147"/>
      <c r="G961" s="147"/>
      <c r="H961" s="147"/>
    </row>
    <row r="962" spans="3:8">
      <c r="C962" s="147"/>
      <c r="D962" s="147"/>
      <c r="E962" s="147"/>
      <c r="F962" s="147"/>
      <c r="G962" s="147"/>
      <c r="H962" s="147"/>
    </row>
    <row r="963" spans="3:8">
      <c r="C963" s="147"/>
      <c r="D963" s="147"/>
      <c r="E963" s="147"/>
      <c r="F963" s="147"/>
      <c r="G963" s="147"/>
      <c r="H963" s="147"/>
    </row>
    <row r="964" spans="3:8">
      <c r="C964" s="147"/>
      <c r="D964" s="147"/>
      <c r="E964" s="147"/>
      <c r="F964" s="147"/>
      <c r="G964" s="147"/>
      <c r="H964" s="147"/>
    </row>
    <row r="965" spans="3:8">
      <c r="C965" s="147"/>
      <c r="D965" s="147"/>
      <c r="E965" s="147"/>
      <c r="F965" s="147"/>
      <c r="G965" s="147"/>
      <c r="H965" s="147"/>
    </row>
    <row r="966" spans="3:8">
      <c r="C966" s="147"/>
      <c r="D966" s="147"/>
      <c r="E966" s="147"/>
      <c r="F966" s="147"/>
      <c r="G966" s="147"/>
      <c r="H966" s="147"/>
    </row>
    <row r="967" spans="3:8">
      <c r="C967" s="147"/>
      <c r="D967" s="147"/>
      <c r="E967" s="147"/>
      <c r="F967" s="147"/>
      <c r="G967" s="147"/>
      <c r="H967" s="147"/>
    </row>
    <row r="968" spans="3:8">
      <c r="C968" s="147"/>
      <c r="D968" s="147"/>
      <c r="E968" s="147"/>
      <c r="F968" s="147"/>
      <c r="G968" s="147"/>
      <c r="H968" s="147"/>
    </row>
    <row r="969" spans="3:8">
      <c r="C969" s="147"/>
      <c r="D969" s="147"/>
      <c r="E969" s="147"/>
      <c r="F969" s="147"/>
      <c r="G969" s="147"/>
      <c r="H969" s="147"/>
    </row>
    <row r="970" spans="3:8">
      <c r="C970" s="147"/>
      <c r="D970" s="147"/>
      <c r="E970" s="147"/>
      <c r="F970" s="147"/>
      <c r="G970" s="147"/>
      <c r="H970" s="147"/>
    </row>
    <row r="971" spans="3:8">
      <c r="C971" s="147"/>
      <c r="D971" s="147"/>
      <c r="E971" s="147"/>
      <c r="F971" s="147"/>
      <c r="G971" s="147"/>
      <c r="H971" s="147"/>
    </row>
    <row r="972" spans="3:8">
      <c r="C972" s="147"/>
      <c r="D972" s="147"/>
      <c r="E972" s="147"/>
      <c r="F972" s="147"/>
      <c r="G972" s="147"/>
      <c r="H972" s="147"/>
    </row>
    <row r="973" spans="3:8">
      <c r="C973" s="147"/>
      <c r="D973" s="147"/>
      <c r="E973" s="147"/>
      <c r="F973" s="147"/>
      <c r="G973" s="147"/>
      <c r="H973" s="147"/>
    </row>
    <row r="974" spans="3:8">
      <c r="C974" s="147"/>
      <c r="D974" s="147"/>
      <c r="E974" s="147"/>
      <c r="F974" s="147"/>
      <c r="G974" s="147"/>
      <c r="H974" s="147"/>
    </row>
    <row r="975" spans="3:8">
      <c r="C975" s="147"/>
      <c r="D975" s="147"/>
      <c r="E975" s="147"/>
      <c r="F975" s="147"/>
      <c r="G975" s="147"/>
      <c r="H975" s="147"/>
    </row>
    <row r="976" spans="3:8">
      <c r="C976" s="147"/>
      <c r="D976" s="147"/>
      <c r="E976" s="147"/>
      <c r="F976" s="147"/>
      <c r="G976" s="147"/>
      <c r="H976" s="147"/>
    </row>
    <row r="977" spans="3:8">
      <c r="C977" s="147"/>
      <c r="D977" s="147"/>
      <c r="E977" s="147"/>
      <c r="F977" s="147"/>
      <c r="G977" s="147"/>
      <c r="H977" s="147"/>
    </row>
    <row r="978" spans="3:8">
      <c r="C978" s="147"/>
      <c r="D978" s="147"/>
      <c r="E978" s="147"/>
      <c r="F978" s="147"/>
      <c r="G978" s="147"/>
      <c r="H978" s="147"/>
    </row>
    <row r="979" spans="3:8">
      <c r="C979" s="147"/>
      <c r="D979" s="147"/>
      <c r="E979" s="147"/>
      <c r="F979" s="147"/>
      <c r="G979" s="147"/>
      <c r="H979" s="147"/>
    </row>
    <row r="980" spans="3:8">
      <c r="C980" s="147"/>
      <c r="D980" s="147"/>
      <c r="E980" s="147"/>
      <c r="F980" s="147"/>
      <c r="G980" s="147"/>
      <c r="H980" s="147"/>
    </row>
    <row r="981" spans="3:8">
      <c r="C981" s="147"/>
      <c r="D981" s="147"/>
      <c r="E981" s="147"/>
      <c r="F981" s="147"/>
      <c r="G981" s="147"/>
      <c r="H981" s="147"/>
    </row>
    <row r="982" spans="3:8">
      <c r="C982" s="147"/>
      <c r="D982" s="147"/>
      <c r="E982" s="147"/>
      <c r="F982" s="147"/>
      <c r="G982" s="147"/>
      <c r="H982" s="147"/>
    </row>
    <row r="983" spans="3:8">
      <c r="C983" s="147"/>
      <c r="D983" s="147"/>
      <c r="E983" s="147"/>
      <c r="F983" s="147"/>
      <c r="G983" s="147"/>
      <c r="H983" s="147"/>
    </row>
    <row r="984" spans="3:8">
      <c r="C984" s="147"/>
      <c r="D984" s="147"/>
      <c r="E984" s="147"/>
      <c r="F984" s="147"/>
      <c r="G984" s="147"/>
      <c r="H984" s="147"/>
    </row>
    <row r="985" spans="3:8">
      <c r="C985" s="147"/>
      <c r="D985" s="147"/>
      <c r="E985" s="147"/>
      <c r="F985" s="147"/>
      <c r="G985" s="147"/>
      <c r="H985" s="147"/>
    </row>
    <row r="986" spans="3:8">
      <c r="C986" s="147"/>
      <c r="D986" s="147"/>
      <c r="E986" s="147"/>
      <c r="F986" s="147"/>
      <c r="G986" s="147"/>
      <c r="H986" s="147"/>
    </row>
    <row r="987" spans="3:8">
      <c r="C987" s="147"/>
      <c r="D987" s="147"/>
      <c r="E987" s="147"/>
      <c r="F987" s="147"/>
      <c r="G987" s="147"/>
      <c r="H987" s="147"/>
    </row>
    <row r="988" spans="3:8">
      <c r="C988" s="147"/>
      <c r="D988" s="147"/>
      <c r="E988" s="147"/>
      <c r="F988" s="147"/>
      <c r="G988" s="147"/>
      <c r="H988" s="147"/>
    </row>
    <row r="989" spans="3:8">
      <c r="C989" s="147"/>
      <c r="D989" s="147"/>
      <c r="E989" s="147"/>
      <c r="F989" s="147"/>
      <c r="G989" s="147"/>
      <c r="H989" s="147"/>
    </row>
    <row r="990" spans="3:8">
      <c r="C990" s="147"/>
      <c r="D990" s="147"/>
      <c r="E990" s="147"/>
      <c r="F990" s="147"/>
      <c r="G990" s="147"/>
      <c r="H990" s="147"/>
    </row>
    <row r="991" spans="3:8">
      <c r="C991" s="147"/>
      <c r="D991" s="147"/>
      <c r="E991" s="147"/>
      <c r="F991" s="147"/>
      <c r="G991" s="147"/>
      <c r="H991" s="147"/>
    </row>
    <row r="992" spans="3:8">
      <c r="C992" s="147"/>
      <c r="D992" s="147"/>
      <c r="E992" s="147"/>
      <c r="F992" s="147"/>
      <c r="G992" s="147"/>
      <c r="H992" s="147"/>
    </row>
    <row r="993" spans="3:8">
      <c r="C993" s="147"/>
      <c r="D993" s="147"/>
      <c r="E993" s="147"/>
      <c r="F993" s="147"/>
      <c r="G993" s="147"/>
      <c r="H993" s="147"/>
    </row>
    <row r="994" spans="3:8">
      <c r="C994" s="147"/>
      <c r="D994" s="147"/>
      <c r="E994" s="147"/>
      <c r="F994" s="147"/>
      <c r="G994" s="147"/>
      <c r="H994" s="147"/>
    </row>
    <row r="995" spans="3:8">
      <c r="C995" s="147"/>
      <c r="D995" s="147"/>
      <c r="E995" s="147"/>
      <c r="F995" s="147"/>
      <c r="G995" s="147"/>
      <c r="H995" s="147"/>
    </row>
    <row r="996" spans="3:8">
      <c r="C996" s="147"/>
      <c r="D996" s="147"/>
      <c r="E996" s="147"/>
      <c r="F996" s="147"/>
      <c r="G996" s="147"/>
      <c r="H996" s="147"/>
    </row>
    <row r="997" spans="3:8">
      <c r="C997" s="147"/>
      <c r="D997" s="147"/>
      <c r="E997" s="147"/>
      <c r="F997" s="147"/>
      <c r="G997" s="147"/>
      <c r="H997" s="147"/>
    </row>
    <row r="998" spans="3:8">
      <c r="C998" s="147"/>
      <c r="D998" s="147"/>
      <c r="E998" s="147"/>
      <c r="F998" s="147"/>
      <c r="G998" s="147"/>
      <c r="H998" s="147"/>
    </row>
    <row r="999" spans="3:8">
      <c r="C999" s="147"/>
      <c r="D999" s="147"/>
      <c r="E999" s="147"/>
      <c r="F999" s="147"/>
      <c r="G999" s="147"/>
      <c r="H999" s="147"/>
    </row>
    <row r="1000" spans="3:8">
      <c r="C1000" s="147"/>
      <c r="D1000" s="147"/>
      <c r="E1000" s="147"/>
      <c r="F1000" s="147"/>
      <c r="G1000" s="147"/>
      <c r="H1000" s="147"/>
    </row>
    <row r="1001" spans="3:8">
      <c r="C1001" s="147"/>
      <c r="D1001" s="147"/>
      <c r="E1001" s="147"/>
      <c r="F1001" s="147"/>
      <c r="G1001" s="147"/>
      <c r="H1001" s="147"/>
    </row>
    <row r="1002" spans="3:8">
      <c r="C1002" s="147"/>
      <c r="D1002" s="147"/>
      <c r="E1002" s="147"/>
      <c r="F1002" s="147"/>
      <c r="G1002" s="147"/>
      <c r="H1002" s="147"/>
    </row>
    <row r="1003" spans="3:8">
      <c r="C1003" s="147"/>
      <c r="D1003" s="147"/>
      <c r="E1003" s="147"/>
      <c r="F1003" s="147"/>
      <c r="G1003" s="147"/>
      <c r="H1003" s="147"/>
    </row>
    <row r="1004" spans="3:8">
      <c r="C1004" s="147"/>
      <c r="D1004" s="147"/>
      <c r="E1004" s="147"/>
      <c r="F1004" s="147"/>
      <c r="G1004" s="147"/>
      <c r="H1004" s="147"/>
    </row>
    <row r="1005" spans="3:8">
      <c r="C1005" s="147"/>
      <c r="D1005" s="147"/>
      <c r="E1005" s="147"/>
      <c r="F1005" s="147"/>
      <c r="G1005" s="147"/>
      <c r="H1005" s="147"/>
    </row>
    <row r="1006" spans="3:8">
      <c r="C1006" s="147"/>
      <c r="D1006" s="147"/>
      <c r="E1006" s="147"/>
      <c r="F1006" s="147"/>
      <c r="G1006" s="147"/>
      <c r="H1006" s="147"/>
    </row>
    <row r="1007" spans="3:8">
      <c r="C1007" s="147"/>
      <c r="D1007" s="147"/>
      <c r="E1007" s="147"/>
      <c r="F1007" s="147"/>
      <c r="G1007" s="147"/>
      <c r="H1007" s="147"/>
    </row>
    <row r="1008" spans="3:8">
      <c r="C1008" s="147"/>
      <c r="D1008" s="147"/>
      <c r="E1008" s="147"/>
      <c r="F1008" s="147"/>
      <c r="G1008" s="147"/>
      <c r="H1008" s="147"/>
    </row>
    <row r="1009" spans="3:8">
      <c r="C1009" s="147"/>
      <c r="D1009" s="147"/>
      <c r="E1009" s="147"/>
      <c r="F1009" s="147"/>
      <c r="G1009" s="147"/>
      <c r="H1009" s="147"/>
    </row>
    <row r="1010" spans="3:8">
      <c r="C1010" s="147"/>
      <c r="D1010" s="147"/>
      <c r="E1010" s="147"/>
      <c r="F1010" s="147"/>
      <c r="G1010" s="147"/>
      <c r="H1010" s="147"/>
    </row>
    <row r="1011" spans="3:8">
      <c r="C1011" s="147"/>
      <c r="D1011" s="147"/>
      <c r="E1011" s="147"/>
      <c r="F1011" s="147"/>
      <c r="G1011" s="147"/>
      <c r="H1011" s="147"/>
    </row>
    <row r="1012" spans="3:8">
      <c r="C1012" s="147"/>
      <c r="D1012" s="147"/>
      <c r="E1012" s="147"/>
      <c r="F1012" s="147"/>
      <c r="G1012" s="147"/>
      <c r="H1012" s="147"/>
    </row>
    <row r="1013" spans="3:8">
      <c r="C1013" s="147"/>
      <c r="D1013" s="147"/>
      <c r="E1013" s="147"/>
      <c r="F1013" s="147"/>
      <c r="G1013" s="147"/>
      <c r="H1013" s="147"/>
    </row>
    <row r="1014" spans="3:8">
      <c r="C1014" s="147"/>
      <c r="D1014" s="147"/>
      <c r="E1014" s="147"/>
      <c r="F1014" s="147"/>
      <c r="G1014" s="147"/>
      <c r="H1014" s="147"/>
    </row>
    <row r="1015" spans="3:8">
      <c r="C1015" s="147"/>
      <c r="D1015" s="147"/>
      <c r="E1015" s="147"/>
      <c r="F1015" s="147"/>
      <c r="G1015" s="147"/>
      <c r="H1015" s="147"/>
    </row>
    <row r="1016" spans="3:8">
      <c r="C1016" s="147"/>
      <c r="D1016" s="147"/>
      <c r="E1016" s="147"/>
      <c r="F1016" s="147"/>
      <c r="G1016" s="147"/>
      <c r="H1016" s="147"/>
    </row>
    <row r="1017" spans="3:8">
      <c r="C1017" s="147"/>
      <c r="D1017" s="147"/>
      <c r="E1017" s="147"/>
      <c r="F1017" s="147"/>
      <c r="G1017" s="147"/>
      <c r="H1017" s="147"/>
    </row>
    <row r="1018" spans="3:8">
      <c r="C1018" s="147"/>
      <c r="D1018" s="147"/>
      <c r="E1018" s="147"/>
      <c r="F1018" s="147"/>
      <c r="G1018" s="147"/>
      <c r="H1018" s="147"/>
    </row>
    <row r="1019" spans="3:8">
      <c r="C1019" s="147"/>
      <c r="D1019" s="147"/>
      <c r="E1019" s="147"/>
      <c r="F1019" s="147"/>
      <c r="G1019" s="147"/>
      <c r="H1019" s="147"/>
    </row>
    <row r="1020" spans="3:8">
      <c r="C1020" s="147"/>
      <c r="D1020" s="147"/>
      <c r="E1020" s="147"/>
      <c r="F1020" s="147"/>
      <c r="G1020" s="147"/>
      <c r="H1020" s="147"/>
    </row>
    <row r="1021" spans="3:8">
      <c r="C1021" s="147"/>
      <c r="D1021" s="147"/>
      <c r="E1021" s="147"/>
      <c r="F1021" s="147"/>
      <c r="G1021" s="147"/>
      <c r="H1021" s="147"/>
    </row>
    <row r="1022" spans="3:8">
      <c r="C1022" s="147"/>
      <c r="D1022" s="147"/>
      <c r="E1022" s="147"/>
      <c r="F1022" s="147"/>
      <c r="G1022" s="147"/>
      <c r="H1022" s="147"/>
    </row>
    <row r="1023" spans="3:8">
      <c r="C1023" s="147"/>
      <c r="D1023" s="147"/>
      <c r="E1023" s="147"/>
      <c r="F1023" s="147"/>
      <c r="G1023" s="147"/>
      <c r="H1023" s="147"/>
    </row>
    <row r="1024" spans="3:8">
      <c r="C1024" s="147"/>
      <c r="D1024" s="147"/>
      <c r="E1024" s="147"/>
      <c r="F1024" s="147"/>
      <c r="G1024" s="147"/>
      <c r="H1024" s="147"/>
    </row>
    <row r="1025" spans="3:8">
      <c r="C1025" s="147"/>
      <c r="D1025" s="147"/>
      <c r="E1025" s="147"/>
      <c r="F1025" s="147"/>
      <c r="G1025" s="147"/>
      <c r="H1025" s="147"/>
    </row>
    <row r="1026" spans="3:8">
      <c r="C1026" s="147"/>
      <c r="D1026" s="147"/>
      <c r="E1026" s="147"/>
      <c r="F1026" s="147"/>
      <c r="G1026" s="147"/>
      <c r="H1026" s="147"/>
    </row>
    <row r="1027" spans="3:8">
      <c r="C1027" s="147"/>
      <c r="D1027" s="147"/>
      <c r="E1027" s="147"/>
      <c r="F1027" s="147"/>
      <c r="G1027" s="147"/>
      <c r="H1027" s="147"/>
    </row>
    <row r="1028" spans="3:8">
      <c r="C1028" s="147"/>
      <c r="D1028" s="147"/>
      <c r="E1028" s="147"/>
      <c r="F1028" s="147"/>
      <c r="G1028" s="147"/>
      <c r="H1028" s="147"/>
    </row>
    <row r="1029" spans="3:8">
      <c r="C1029" s="147"/>
      <c r="D1029" s="147"/>
      <c r="E1029" s="147"/>
      <c r="F1029" s="147"/>
      <c r="G1029" s="147"/>
      <c r="H1029" s="147"/>
    </row>
    <row r="1030" spans="3:8">
      <c r="C1030" s="147"/>
      <c r="D1030" s="147"/>
      <c r="E1030" s="147"/>
      <c r="F1030" s="147"/>
      <c r="G1030" s="147"/>
      <c r="H1030" s="147"/>
    </row>
    <row r="1031" spans="3:8">
      <c r="C1031" s="147"/>
      <c r="D1031" s="147"/>
      <c r="E1031" s="147"/>
      <c r="F1031" s="147"/>
      <c r="G1031" s="147"/>
      <c r="H1031" s="147"/>
    </row>
    <row r="1032" spans="3:8">
      <c r="C1032" s="147"/>
      <c r="D1032" s="147"/>
      <c r="E1032" s="147"/>
      <c r="F1032" s="147"/>
      <c r="G1032" s="147"/>
      <c r="H1032" s="147"/>
    </row>
    <row r="1033" spans="3:8">
      <c r="C1033" s="147"/>
      <c r="D1033" s="147"/>
      <c r="E1033" s="147"/>
      <c r="F1033" s="147"/>
      <c r="G1033" s="147"/>
      <c r="H1033" s="147"/>
    </row>
    <row r="1034" spans="3:8">
      <c r="C1034" s="147"/>
      <c r="D1034" s="147"/>
      <c r="E1034" s="147"/>
      <c r="F1034" s="147"/>
      <c r="G1034" s="147"/>
      <c r="H1034" s="147"/>
    </row>
    <row r="1035" spans="3:8">
      <c r="C1035" s="147"/>
      <c r="D1035" s="147"/>
      <c r="E1035" s="147"/>
      <c r="F1035" s="147"/>
      <c r="G1035" s="147"/>
      <c r="H1035" s="147"/>
    </row>
    <row r="1036" spans="3:8">
      <c r="C1036" s="147"/>
      <c r="D1036" s="147"/>
      <c r="E1036" s="147"/>
      <c r="F1036" s="147"/>
      <c r="G1036" s="147"/>
      <c r="H1036" s="147"/>
    </row>
    <row r="1037" spans="3:8">
      <c r="C1037" s="147"/>
      <c r="D1037" s="147"/>
      <c r="E1037" s="147"/>
      <c r="F1037" s="147"/>
      <c r="G1037" s="147"/>
      <c r="H1037" s="147"/>
    </row>
    <row r="1038" spans="3:8">
      <c r="C1038" s="147"/>
      <c r="D1038" s="147"/>
      <c r="E1038" s="147"/>
      <c r="F1038" s="147"/>
      <c r="G1038" s="147"/>
      <c r="H1038" s="147"/>
    </row>
    <row r="1039" spans="3:8">
      <c r="C1039" s="147"/>
      <c r="D1039" s="147"/>
      <c r="E1039" s="147"/>
      <c r="F1039" s="147"/>
      <c r="G1039" s="147"/>
      <c r="H1039" s="147"/>
    </row>
    <row r="1040" spans="3:8">
      <c r="C1040" s="147"/>
      <c r="D1040" s="147"/>
      <c r="E1040" s="147"/>
      <c r="F1040" s="147"/>
      <c r="G1040" s="147"/>
      <c r="H1040" s="147"/>
    </row>
    <row r="1041" spans="3:8">
      <c r="C1041" s="147"/>
      <c r="D1041" s="147"/>
      <c r="E1041" s="147"/>
      <c r="F1041" s="147"/>
      <c r="G1041" s="147"/>
      <c r="H1041" s="147"/>
    </row>
    <row r="1042" spans="3:8">
      <c r="C1042" s="147"/>
      <c r="D1042" s="147"/>
      <c r="E1042" s="147"/>
      <c r="F1042" s="147"/>
      <c r="G1042" s="147"/>
      <c r="H1042" s="147"/>
    </row>
    <row r="1043" spans="3:8">
      <c r="C1043" s="147"/>
      <c r="D1043" s="147"/>
      <c r="E1043" s="147"/>
      <c r="F1043" s="147"/>
      <c r="G1043" s="147"/>
      <c r="H1043" s="147"/>
    </row>
    <row r="1044" spans="3:8">
      <c r="C1044" s="147"/>
      <c r="D1044" s="147"/>
      <c r="E1044" s="147"/>
      <c r="F1044" s="147"/>
      <c r="G1044" s="147"/>
      <c r="H1044" s="147"/>
    </row>
    <row r="1045" spans="3:8">
      <c r="C1045" s="147"/>
      <c r="D1045" s="147"/>
      <c r="E1045" s="147"/>
      <c r="F1045" s="147"/>
      <c r="G1045" s="147"/>
      <c r="H1045" s="147"/>
    </row>
    <row r="1046" spans="3:8">
      <c r="C1046" s="147"/>
      <c r="D1046" s="147"/>
      <c r="E1046" s="147"/>
      <c r="F1046" s="147"/>
      <c r="G1046" s="147"/>
      <c r="H1046" s="147"/>
    </row>
    <row r="1047" spans="3:8">
      <c r="C1047" s="147"/>
      <c r="D1047" s="147"/>
      <c r="E1047" s="147"/>
      <c r="F1047" s="147"/>
      <c r="G1047" s="147"/>
      <c r="H1047" s="147"/>
    </row>
    <row r="1048" spans="3:8">
      <c r="C1048" s="147"/>
      <c r="D1048" s="147"/>
      <c r="E1048" s="147"/>
      <c r="F1048" s="147"/>
      <c r="G1048" s="147"/>
      <c r="H1048" s="147"/>
    </row>
    <row r="1049" spans="3:8">
      <c r="C1049" s="147"/>
      <c r="D1049" s="147"/>
      <c r="E1049" s="147"/>
      <c r="F1049" s="147"/>
      <c r="G1049" s="147"/>
      <c r="H1049" s="147"/>
    </row>
    <row r="1050" spans="3:8">
      <c r="C1050" s="147"/>
      <c r="D1050" s="147"/>
      <c r="E1050" s="147"/>
      <c r="F1050" s="147"/>
      <c r="G1050" s="147"/>
      <c r="H1050" s="147"/>
    </row>
    <row r="1051" spans="3:8">
      <c r="C1051" s="147"/>
      <c r="D1051" s="147"/>
      <c r="E1051" s="147"/>
      <c r="F1051" s="147"/>
      <c r="G1051" s="147"/>
      <c r="H1051" s="147"/>
    </row>
    <row r="1052" spans="3:8">
      <c r="C1052" s="147"/>
      <c r="D1052" s="147"/>
      <c r="E1052" s="147"/>
      <c r="F1052" s="147"/>
      <c r="G1052" s="147"/>
      <c r="H1052" s="147"/>
    </row>
    <row r="1053" spans="3:8">
      <c r="C1053" s="147"/>
      <c r="D1053" s="147"/>
      <c r="E1053" s="147"/>
      <c r="F1053" s="147"/>
      <c r="G1053" s="147"/>
      <c r="H1053" s="147"/>
    </row>
    <row r="1054" spans="3:8">
      <c r="C1054" s="147"/>
      <c r="D1054" s="147"/>
      <c r="E1054" s="147"/>
      <c r="F1054" s="147"/>
      <c r="G1054" s="147"/>
      <c r="H1054" s="147"/>
    </row>
    <row r="1055" spans="3:8">
      <c r="C1055" s="147"/>
      <c r="D1055" s="147"/>
      <c r="E1055" s="147"/>
      <c r="F1055" s="147"/>
      <c r="G1055" s="147"/>
      <c r="H1055" s="147"/>
    </row>
    <row r="1056" spans="3:8">
      <c r="C1056" s="147"/>
      <c r="D1056" s="147"/>
      <c r="E1056" s="147"/>
      <c r="F1056" s="147"/>
      <c r="G1056" s="147"/>
      <c r="H1056" s="147"/>
    </row>
    <row r="1057" spans="3:8">
      <c r="C1057" s="147"/>
      <c r="D1057" s="147"/>
      <c r="E1057" s="147"/>
      <c r="F1057" s="147"/>
      <c r="G1057" s="147"/>
      <c r="H1057" s="147"/>
    </row>
    <row r="1058" spans="3:8">
      <c r="C1058" s="147"/>
      <c r="D1058" s="147"/>
      <c r="E1058" s="147"/>
      <c r="F1058" s="147"/>
      <c r="G1058" s="147"/>
      <c r="H1058" s="147"/>
    </row>
    <row r="1059" spans="3:8">
      <c r="C1059" s="147"/>
      <c r="D1059" s="147"/>
      <c r="E1059" s="147"/>
      <c r="F1059" s="147"/>
      <c r="G1059" s="147"/>
      <c r="H1059" s="147"/>
    </row>
    <row r="1060" spans="3:8">
      <c r="C1060" s="147"/>
      <c r="D1060" s="147"/>
      <c r="E1060" s="147"/>
      <c r="F1060" s="147"/>
      <c r="G1060" s="147"/>
      <c r="H1060" s="147"/>
    </row>
    <row r="1061" spans="3:8">
      <c r="C1061" s="147"/>
      <c r="D1061" s="147"/>
      <c r="E1061" s="147"/>
      <c r="F1061" s="147"/>
      <c r="G1061" s="147"/>
      <c r="H1061" s="147"/>
    </row>
    <row r="1062" spans="3:8">
      <c r="C1062" s="147"/>
      <c r="D1062" s="147"/>
      <c r="E1062" s="147"/>
      <c r="F1062" s="147"/>
      <c r="G1062" s="147"/>
      <c r="H1062" s="147"/>
    </row>
    <row r="1063" spans="3:8">
      <c r="C1063" s="147"/>
      <c r="D1063" s="147"/>
      <c r="E1063" s="147"/>
      <c r="F1063" s="147"/>
      <c r="G1063" s="147"/>
      <c r="H1063" s="147"/>
    </row>
    <row r="1064" spans="3:8">
      <c r="C1064" s="147"/>
      <c r="D1064" s="147"/>
      <c r="E1064" s="147"/>
      <c r="F1064" s="147"/>
      <c r="G1064" s="147"/>
      <c r="H1064" s="147"/>
    </row>
    <row r="1065" spans="3:8">
      <c r="C1065" s="147"/>
      <c r="D1065" s="147"/>
      <c r="E1065" s="147"/>
      <c r="F1065" s="147"/>
      <c r="G1065" s="147"/>
      <c r="H1065" s="147"/>
    </row>
    <row r="1066" spans="3:8">
      <c r="C1066" s="147"/>
      <c r="D1066" s="147"/>
      <c r="E1066" s="147"/>
      <c r="F1066" s="147"/>
      <c r="G1066" s="147"/>
      <c r="H1066" s="147"/>
    </row>
    <row r="1067" spans="3:8">
      <c r="C1067" s="147"/>
      <c r="D1067" s="147"/>
      <c r="E1067" s="147"/>
      <c r="F1067" s="147"/>
      <c r="G1067" s="147"/>
      <c r="H1067" s="147"/>
    </row>
    <row r="1068" spans="3:8">
      <c r="C1068" s="147"/>
      <c r="D1068" s="147"/>
      <c r="E1068" s="147"/>
      <c r="F1068" s="147"/>
      <c r="G1068" s="147"/>
      <c r="H1068" s="147"/>
    </row>
    <row r="1069" spans="3:8">
      <c r="C1069" s="147"/>
      <c r="D1069" s="147"/>
      <c r="E1069" s="147"/>
      <c r="F1069" s="147"/>
      <c r="G1069" s="147"/>
      <c r="H1069" s="147"/>
    </row>
    <row r="1070" spans="3:8">
      <c r="C1070" s="147"/>
      <c r="D1070" s="147"/>
      <c r="E1070" s="147"/>
      <c r="F1070" s="147"/>
      <c r="G1070" s="147"/>
      <c r="H1070" s="147"/>
    </row>
    <row r="1071" spans="3:8">
      <c r="C1071" s="147"/>
      <c r="D1071" s="147"/>
      <c r="E1071" s="147"/>
      <c r="F1071" s="147"/>
      <c r="G1071" s="147"/>
      <c r="H1071" s="147"/>
    </row>
    <row r="1072" spans="3:8">
      <c r="C1072" s="147"/>
      <c r="D1072" s="147"/>
      <c r="E1072" s="147"/>
      <c r="F1072" s="147"/>
      <c r="G1072" s="147"/>
      <c r="H1072" s="147"/>
    </row>
    <row r="1073" spans="3:8">
      <c r="C1073" s="147"/>
      <c r="D1073" s="147"/>
      <c r="E1073" s="147"/>
      <c r="F1073" s="147"/>
      <c r="G1073" s="147"/>
      <c r="H1073" s="147"/>
    </row>
    <row r="1074" spans="3:8">
      <c r="C1074" s="147"/>
      <c r="D1074" s="147"/>
      <c r="E1074" s="147"/>
      <c r="F1074" s="147"/>
      <c r="G1074" s="147"/>
      <c r="H1074" s="147"/>
    </row>
    <row r="1075" spans="3:8">
      <c r="C1075" s="147"/>
      <c r="D1075" s="147"/>
      <c r="E1075" s="147"/>
      <c r="F1075" s="147"/>
      <c r="G1075" s="147"/>
      <c r="H1075" s="147"/>
    </row>
    <row r="1076" spans="3:8">
      <c r="C1076" s="147"/>
      <c r="D1076" s="147"/>
      <c r="E1076" s="147"/>
      <c r="F1076" s="147"/>
      <c r="G1076" s="147"/>
      <c r="H1076" s="147"/>
    </row>
    <row r="1077" spans="3:8">
      <c r="C1077" s="147"/>
      <c r="D1077" s="147"/>
      <c r="E1077" s="147"/>
      <c r="F1077" s="147"/>
      <c r="G1077" s="147"/>
      <c r="H1077" s="147"/>
    </row>
    <row r="1078" spans="3:8">
      <c r="C1078" s="147"/>
      <c r="D1078" s="147"/>
      <c r="E1078" s="147"/>
      <c r="F1078" s="147"/>
      <c r="G1078" s="147"/>
      <c r="H1078" s="147"/>
    </row>
    <row r="1079" spans="3:8">
      <c r="C1079" s="147"/>
      <c r="D1079" s="147"/>
      <c r="E1079" s="147"/>
      <c r="F1079" s="147"/>
      <c r="G1079" s="147"/>
      <c r="H1079" s="147"/>
    </row>
    <row r="1080" spans="3:8">
      <c r="C1080" s="147"/>
      <c r="D1080" s="147"/>
      <c r="E1080" s="147"/>
      <c r="F1080" s="147"/>
      <c r="G1080" s="147"/>
      <c r="H1080" s="147"/>
    </row>
    <row r="1081" spans="3:8">
      <c r="C1081" s="147"/>
      <c r="D1081" s="147"/>
      <c r="E1081" s="147"/>
      <c r="F1081" s="147"/>
      <c r="G1081" s="147"/>
      <c r="H1081" s="147"/>
    </row>
    <row r="1082" spans="3:8">
      <c r="C1082" s="147"/>
      <c r="D1082" s="147"/>
      <c r="E1082" s="147"/>
      <c r="F1082" s="147"/>
      <c r="G1082" s="147"/>
      <c r="H1082" s="147"/>
    </row>
    <row r="1083" spans="3:8">
      <c r="C1083" s="147"/>
      <c r="D1083" s="147"/>
      <c r="E1083" s="147"/>
      <c r="F1083" s="147"/>
      <c r="G1083" s="147"/>
      <c r="H1083" s="147"/>
    </row>
    <row r="1084" spans="3:8">
      <c r="C1084" s="147"/>
      <c r="D1084" s="147"/>
      <c r="E1084" s="147"/>
      <c r="F1084" s="147"/>
      <c r="G1084" s="147"/>
      <c r="H1084" s="147"/>
    </row>
    <row r="1085" spans="3:8">
      <c r="C1085" s="147"/>
      <c r="D1085" s="147"/>
      <c r="E1085" s="147"/>
      <c r="F1085" s="147"/>
      <c r="G1085" s="147"/>
      <c r="H1085" s="147"/>
    </row>
    <row r="1086" spans="3:8">
      <c r="C1086" s="147"/>
      <c r="D1086" s="147"/>
      <c r="E1086" s="147"/>
      <c r="F1086" s="147"/>
      <c r="G1086" s="147"/>
      <c r="H1086" s="147"/>
    </row>
    <row r="1087" spans="3:8">
      <c r="C1087" s="147"/>
      <c r="D1087" s="147"/>
      <c r="E1087" s="147"/>
      <c r="F1087" s="147"/>
      <c r="G1087" s="147"/>
      <c r="H1087" s="147"/>
    </row>
    <row r="1088" spans="3:8">
      <c r="C1088" s="147"/>
      <c r="D1088" s="147"/>
      <c r="E1088" s="147"/>
      <c r="F1088" s="147"/>
      <c r="G1088" s="147"/>
      <c r="H1088" s="147"/>
    </row>
    <row r="1089" spans="3:8">
      <c r="C1089" s="147"/>
      <c r="D1089" s="147"/>
      <c r="E1089" s="147"/>
      <c r="F1089" s="147"/>
      <c r="G1089" s="147"/>
      <c r="H1089" s="147"/>
    </row>
    <row r="1090" spans="3:8">
      <c r="C1090" s="147"/>
      <c r="D1090" s="147"/>
      <c r="E1090" s="147"/>
      <c r="F1090" s="147"/>
      <c r="G1090" s="147"/>
      <c r="H1090" s="147"/>
    </row>
    <row r="1091" spans="3:8">
      <c r="C1091" s="147"/>
      <c r="D1091" s="147"/>
      <c r="E1091" s="147"/>
      <c r="F1091" s="147"/>
      <c r="G1091" s="147"/>
      <c r="H1091" s="147"/>
    </row>
    <row r="1092" spans="3:8">
      <c r="C1092" s="147"/>
      <c r="D1092" s="147"/>
      <c r="E1092" s="147"/>
      <c r="F1092" s="147"/>
      <c r="G1092" s="147"/>
      <c r="H1092" s="147"/>
    </row>
    <row r="1093" spans="3:8">
      <c r="C1093" s="147"/>
      <c r="D1093" s="147"/>
      <c r="E1093" s="147"/>
      <c r="F1093" s="147"/>
      <c r="G1093" s="147"/>
      <c r="H1093" s="147"/>
    </row>
    <row r="1094" spans="3:8">
      <c r="C1094" s="147"/>
      <c r="D1094" s="147"/>
      <c r="E1094" s="147"/>
      <c r="F1094" s="147"/>
      <c r="G1094" s="147"/>
      <c r="H1094" s="147"/>
    </row>
    <row r="1095" spans="3:8">
      <c r="C1095" s="147"/>
      <c r="D1095" s="147"/>
      <c r="E1095" s="147"/>
      <c r="F1095" s="147"/>
      <c r="G1095" s="147"/>
      <c r="H1095" s="147"/>
    </row>
    <row r="1096" spans="3:8">
      <c r="C1096" s="147"/>
      <c r="D1096" s="147"/>
      <c r="E1096" s="147"/>
      <c r="F1096" s="147"/>
      <c r="G1096" s="147"/>
      <c r="H1096" s="147"/>
    </row>
    <row r="1097" spans="3:8">
      <c r="C1097" s="147"/>
      <c r="D1097" s="147"/>
      <c r="E1097" s="147"/>
      <c r="F1097" s="147"/>
      <c r="G1097" s="147"/>
      <c r="H1097" s="147"/>
    </row>
    <row r="1098" spans="3:8">
      <c r="C1098" s="147"/>
      <c r="D1098" s="147"/>
      <c r="E1098" s="147"/>
      <c r="F1098" s="147"/>
      <c r="G1098" s="147"/>
      <c r="H1098" s="147"/>
    </row>
    <row r="1099" spans="3:8">
      <c r="C1099" s="147"/>
      <c r="D1099" s="147"/>
      <c r="E1099" s="147"/>
      <c r="F1099" s="147"/>
      <c r="G1099" s="147"/>
      <c r="H1099" s="147"/>
    </row>
    <row r="1100" spans="3:8">
      <c r="C1100" s="147"/>
      <c r="D1100" s="147"/>
      <c r="E1100" s="147"/>
      <c r="F1100" s="147"/>
      <c r="G1100" s="147"/>
      <c r="H1100" s="147"/>
    </row>
    <row r="1101" spans="3:8">
      <c r="C1101" s="147"/>
      <c r="D1101" s="147"/>
      <c r="E1101" s="147"/>
      <c r="F1101" s="147"/>
      <c r="G1101" s="147"/>
      <c r="H1101" s="147"/>
    </row>
    <row r="1102" spans="3:8">
      <c r="C1102" s="147"/>
      <c r="D1102" s="147"/>
      <c r="E1102" s="147"/>
      <c r="F1102" s="147"/>
      <c r="G1102" s="147"/>
      <c r="H1102" s="147"/>
    </row>
    <row r="1103" spans="3:8">
      <c r="C1103" s="147"/>
      <c r="D1103" s="147"/>
      <c r="E1103" s="147"/>
      <c r="F1103" s="147"/>
      <c r="G1103" s="147"/>
      <c r="H1103" s="147"/>
    </row>
    <row r="1104" spans="3:8">
      <c r="C1104" s="147"/>
      <c r="D1104" s="147"/>
      <c r="E1104" s="147"/>
      <c r="F1104" s="147"/>
      <c r="G1104" s="147"/>
      <c r="H1104" s="147"/>
    </row>
    <row r="1105" spans="3:8">
      <c r="C1105" s="147"/>
      <c r="D1105" s="147"/>
      <c r="E1105" s="147"/>
      <c r="F1105" s="147"/>
      <c r="G1105" s="147"/>
      <c r="H1105" s="147"/>
    </row>
    <row r="1106" spans="3:8">
      <c r="C1106" s="147"/>
      <c r="D1106" s="147"/>
      <c r="E1106" s="147"/>
      <c r="F1106" s="147"/>
      <c r="G1106" s="147"/>
      <c r="H1106" s="147"/>
    </row>
    <row r="1107" spans="3:8">
      <c r="C1107" s="147"/>
      <c r="D1107" s="147"/>
      <c r="E1107" s="147"/>
      <c r="F1107" s="147"/>
      <c r="G1107" s="147"/>
      <c r="H1107" s="147"/>
    </row>
    <row r="1108" spans="3:8">
      <c r="C1108" s="147"/>
      <c r="D1108" s="147"/>
      <c r="E1108" s="147"/>
      <c r="F1108" s="147"/>
      <c r="G1108" s="147"/>
      <c r="H1108" s="147"/>
    </row>
    <row r="1109" spans="3:8">
      <c r="C1109" s="147"/>
      <c r="D1109" s="147"/>
      <c r="E1109" s="147"/>
      <c r="F1109" s="147"/>
      <c r="G1109" s="147"/>
      <c r="H1109" s="147"/>
    </row>
    <row r="1110" spans="3:8">
      <c r="C1110" s="147"/>
      <c r="D1110" s="147"/>
      <c r="E1110" s="147"/>
      <c r="F1110" s="147"/>
      <c r="G1110" s="147"/>
      <c r="H1110" s="147"/>
    </row>
    <row r="1111" spans="3:8">
      <c r="C1111" s="147"/>
      <c r="D1111" s="147"/>
      <c r="E1111" s="147"/>
      <c r="F1111" s="147"/>
      <c r="G1111" s="147"/>
      <c r="H1111" s="147"/>
    </row>
    <row r="1112" spans="3:8">
      <c r="C1112" s="147"/>
      <c r="D1112" s="147"/>
      <c r="E1112" s="147"/>
      <c r="F1112" s="147"/>
      <c r="G1112" s="147"/>
      <c r="H1112" s="147"/>
    </row>
    <row r="1113" spans="3:8">
      <c r="C1113" s="147"/>
      <c r="D1113" s="147"/>
      <c r="E1113" s="147"/>
      <c r="F1113" s="147"/>
      <c r="G1113" s="147"/>
      <c r="H1113" s="147"/>
    </row>
    <row r="1114" spans="3:8">
      <c r="C1114" s="147"/>
      <c r="D1114" s="147"/>
      <c r="E1114" s="147"/>
      <c r="F1114" s="147"/>
      <c r="G1114" s="147"/>
      <c r="H1114" s="147"/>
    </row>
    <row r="1115" spans="3:8">
      <c r="C1115" s="147"/>
      <c r="D1115" s="147"/>
      <c r="E1115" s="147"/>
      <c r="F1115" s="147"/>
      <c r="G1115" s="147"/>
      <c r="H1115" s="147"/>
    </row>
    <row r="1116" spans="3:8">
      <c r="C1116" s="147"/>
      <c r="D1116" s="147"/>
      <c r="E1116" s="147"/>
      <c r="F1116" s="147"/>
      <c r="G1116" s="147"/>
      <c r="H1116" s="147"/>
    </row>
    <row r="1117" spans="3:8">
      <c r="C1117" s="147"/>
      <c r="D1117" s="147"/>
      <c r="E1117" s="147"/>
      <c r="F1117" s="147"/>
      <c r="G1117" s="147"/>
      <c r="H1117" s="147"/>
    </row>
    <row r="1118" spans="3:8">
      <c r="C1118" s="147"/>
      <c r="D1118" s="147"/>
      <c r="E1118" s="147"/>
      <c r="F1118" s="147"/>
      <c r="G1118" s="147"/>
      <c r="H1118" s="147"/>
    </row>
    <row r="1119" spans="3:8">
      <c r="C1119" s="147"/>
      <c r="D1119" s="147"/>
      <c r="E1119" s="147"/>
      <c r="F1119" s="147"/>
      <c r="G1119" s="147"/>
      <c r="H1119" s="147"/>
    </row>
    <row r="1120" spans="3:8">
      <c r="C1120" s="147"/>
      <c r="D1120" s="147"/>
      <c r="E1120" s="147"/>
      <c r="F1120" s="147"/>
      <c r="G1120" s="147"/>
      <c r="H1120" s="147"/>
    </row>
    <row r="1121" spans="3:8">
      <c r="C1121" s="147"/>
      <c r="D1121" s="147"/>
      <c r="E1121" s="147"/>
      <c r="F1121" s="147"/>
      <c r="G1121" s="147"/>
      <c r="H1121" s="147"/>
    </row>
    <row r="1122" spans="3:8">
      <c r="C1122" s="147"/>
      <c r="D1122" s="147"/>
      <c r="E1122" s="147"/>
      <c r="F1122" s="147"/>
      <c r="G1122" s="147"/>
      <c r="H1122" s="147"/>
    </row>
    <row r="1123" spans="3:8">
      <c r="C1123" s="147"/>
      <c r="D1123" s="147"/>
      <c r="E1123" s="147"/>
      <c r="F1123" s="147"/>
      <c r="G1123" s="147"/>
      <c r="H1123" s="147"/>
    </row>
    <row r="1124" spans="3:8">
      <c r="C1124" s="147"/>
      <c r="D1124" s="147"/>
      <c r="E1124" s="147"/>
      <c r="F1124" s="147"/>
      <c r="G1124" s="147"/>
      <c r="H1124" s="147"/>
    </row>
    <row r="1125" spans="3:8">
      <c r="C1125" s="147"/>
      <c r="D1125" s="147"/>
      <c r="E1125" s="147"/>
      <c r="F1125" s="147"/>
      <c r="G1125" s="147"/>
      <c r="H1125" s="147"/>
    </row>
    <row r="1126" spans="3:8">
      <c r="C1126" s="147"/>
      <c r="D1126" s="147"/>
      <c r="E1126" s="147"/>
      <c r="F1126" s="147"/>
      <c r="G1126" s="147"/>
      <c r="H1126" s="147"/>
    </row>
    <row r="1127" spans="3:8">
      <c r="C1127" s="147"/>
      <c r="D1127" s="147"/>
      <c r="E1127" s="147"/>
      <c r="F1127" s="147"/>
      <c r="G1127" s="147"/>
      <c r="H1127" s="147"/>
    </row>
    <row r="1128" spans="3:8">
      <c r="C1128" s="147"/>
      <c r="D1128" s="147"/>
      <c r="E1128" s="147"/>
      <c r="F1128" s="147"/>
      <c r="G1128" s="147"/>
      <c r="H1128" s="147"/>
    </row>
    <row r="1129" spans="3:8">
      <c r="C1129" s="147"/>
      <c r="D1129" s="147"/>
      <c r="E1129" s="147"/>
      <c r="F1129" s="147"/>
      <c r="G1129" s="147"/>
      <c r="H1129" s="147"/>
    </row>
    <row r="1130" spans="3:8">
      <c r="C1130" s="147"/>
      <c r="D1130" s="147"/>
      <c r="E1130" s="147"/>
      <c r="F1130" s="147"/>
      <c r="G1130" s="147"/>
      <c r="H1130" s="147"/>
    </row>
    <row r="1131" spans="3:8">
      <c r="C1131" s="147"/>
      <c r="D1131" s="147"/>
      <c r="E1131" s="147"/>
      <c r="F1131" s="147"/>
      <c r="G1131" s="147"/>
      <c r="H1131" s="147"/>
    </row>
    <row r="1132" spans="3:8">
      <c r="C1132" s="147"/>
      <c r="D1132" s="147"/>
      <c r="E1132" s="147"/>
      <c r="F1132" s="147"/>
      <c r="G1132" s="147"/>
      <c r="H1132" s="147"/>
    </row>
    <row r="1133" spans="3:8">
      <c r="C1133" s="147"/>
      <c r="D1133" s="147"/>
      <c r="E1133" s="147"/>
      <c r="F1133" s="147"/>
      <c r="G1133" s="147"/>
      <c r="H1133" s="147"/>
    </row>
    <row r="1134" spans="3:8">
      <c r="C1134" s="147"/>
      <c r="D1134" s="147"/>
      <c r="E1134" s="147"/>
      <c r="F1134" s="147"/>
      <c r="G1134" s="147"/>
      <c r="H1134" s="147"/>
    </row>
    <row r="1135" spans="3:8">
      <c r="C1135" s="147"/>
      <c r="D1135" s="147"/>
      <c r="E1135" s="147"/>
      <c r="F1135" s="147"/>
      <c r="G1135" s="147"/>
      <c r="H1135" s="147"/>
    </row>
    <row r="1136" spans="3:8">
      <c r="C1136" s="147"/>
      <c r="D1136" s="147"/>
      <c r="E1136" s="147"/>
      <c r="F1136" s="147"/>
      <c r="G1136" s="147"/>
      <c r="H1136" s="147"/>
    </row>
    <row r="1137" spans="3:8">
      <c r="C1137" s="147"/>
      <c r="D1137" s="147"/>
      <c r="E1137" s="147"/>
      <c r="F1137" s="147"/>
      <c r="G1137" s="147"/>
      <c r="H1137" s="147"/>
    </row>
    <row r="1138" spans="3:8">
      <c r="C1138" s="147"/>
      <c r="D1138" s="147"/>
      <c r="E1138" s="147"/>
      <c r="F1138" s="147"/>
      <c r="G1138" s="147"/>
      <c r="H1138" s="147"/>
    </row>
    <row r="1139" spans="3:8">
      <c r="C1139" s="147"/>
      <c r="D1139" s="147"/>
      <c r="E1139" s="147"/>
      <c r="F1139" s="147"/>
      <c r="G1139" s="147"/>
      <c r="H1139" s="147"/>
    </row>
    <row r="1140" spans="3:8">
      <c r="C1140" s="147"/>
      <c r="D1140" s="147"/>
      <c r="E1140" s="147"/>
      <c r="F1140" s="147"/>
      <c r="G1140" s="147"/>
      <c r="H1140" s="147"/>
    </row>
    <row r="1141" spans="3:8">
      <c r="C1141" s="147"/>
      <c r="D1141" s="147"/>
      <c r="E1141" s="147"/>
      <c r="F1141" s="147"/>
      <c r="G1141" s="147"/>
      <c r="H1141" s="147"/>
    </row>
    <row r="1142" spans="3:8">
      <c r="C1142" s="147"/>
      <c r="D1142" s="147"/>
      <c r="E1142" s="147"/>
      <c r="F1142" s="147"/>
      <c r="G1142" s="147"/>
      <c r="H1142" s="147"/>
    </row>
    <row r="1143" spans="3:8">
      <c r="C1143" s="147"/>
      <c r="D1143" s="147"/>
      <c r="E1143" s="147"/>
      <c r="F1143" s="147"/>
      <c r="G1143" s="147"/>
      <c r="H1143" s="147"/>
    </row>
    <row r="1144" spans="3:8">
      <c r="C1144" s="147"/>
      <c r="D1144" s="147"/>
      <c r="E1144" s="147"/>
      <c r="F1144" s="147"/>
      <c r="G1144" s="147"/>
      <c r="H1144" s="147"/>
    </row>
    <row r="1145" spans="3:8">
      <c r="C1145" s="147"/>
      <c r="D1145" s="147"/>
      <c r="E1145" s="147"/>
      <c r="F1145" s="147"/>
      <c r="G1145" s="147"/>
      <c r="H1145" s="147"/>
    </row>
    <row r="1146" spans="3:8">
      <c r="C1146" s="147"/>
      <c r="D1146" s="147"/>
      <c r="E1146" s="147"/>
      <c r="F1146" s="147"/>
      <c r="G1146" s="147"/>
      <c r="H1146" s="147"/>
    </row>
    <row r="1147" spans="3:8">
      <c r="C1147" s="147"/>
      <c r="D1147" s="147"/>
      <c r="E1147" s="147"/>
      <c r="F1147" s="147"/>
      <c r="G1147" s="147"/>
      <c r="H1147" s="147"/>
    </row>
    <row r="1148" spans="3:8">
      <c r="C1148" s="147"/>
      <c r="D1148" s="147"/>
      <c r="E1148" s="147"/>
      <c r="F1148" s="147"/>
      <c r="G1148" s="147"/>
      <c r="H1148" s="147"/>
    </row>
    <row r="1149" spans="3:8">
      <c r="C1149" s="147"/>
      <c r="D1149" s="147"/>
      <c r="E1149" s="147"/>
      <c r="F1149" s="147"/>
      <c r="G1149" s="147"/>
      <c r="H1149" s="147"/>
    </row>
    <row r="1150" spans="3:8">
      <c r="C1150" s="147"/>
      <c r="D1150" s="147"/>
      <c r="E1150" s="147"/>
      <c r="F1150" s="147"/>
      <c r="G1150" s="147"/>
      <c r="H1150" s="147"/>
    </row>
    <row r="1151" spans="3:8">
      <c r="C1151" s="147"/>
      <c r="D1151" s="147"/>
      <c r="E1151" s="147"/>
      <c r="F1151" s="147"/>
      <c r="G1151" s="147"/>
      <c r="H1151" s="147"/>
    </row>
    <row r="1152" spans="3:8">
      <c r="C1152" s="147"/>
      <c r="D1152" s="147"/>
      <c r="E1152" s="147"/>
      <c r="F1152" s="147"/>
      <c r="G1152" s="147"/>
      <c r="H1152" s="147"/>
    </row>
    <row r="1153" spans="3:8">
      <c r="C1153" s="147"/>
      <c r="D1153" s="147"/>
      <c r="E1153" s="147"/>
      <c r="F1153" s="147"/>
      <c r="G1153" s="147"/>
      <c r="H1153" s="147"/>
    </row>
    <row r="1154" spans="3:8">
      <c r="C1154" s="147"/>
      <c r="D1154" s="147"/>
      <c r="E1154" s="147"/>
      <c r="F1154" s="147"/>
      <c r="G1154" s="147"/>
      <c r="H1154" s="147"/>
    </row>
    <row r="1155" spans="3:8">
      <c r="C1155" s="147"/>
      <c r="D1155" s="147"/>
      <c r="E1155" s="147"/>
      <c r="F1155" s="147"/>
      <c r="G1155" s="147"/>
      <c r="H1155" s="147"/>
    </row>
    <row r="1156" spans="3:8">
      <c r="C1156" s="147"/>
      <c r="D1156" s="147"/>
      <c r="E1156" s="147"/>
      <c r="F1156" s="147"/>
      <c r="G1156" s="147"/>
      <c r="H1156" s="147"/>
    </row>
    <row r="1157" spans="3:8">
      <c r="C1157" s="147"/>
      <c r="D1157" s="147"/>
      <c r="E1157" s="147"/>
      <c r="F1157" s="147"/>
      <c r="G1157" s="147"/>
      <c r="H1157" s="147"/>
    </row>
    <row r="1158" spans="3:8">
      <c r="C1158" s="147"/>
      <c r="D1158" s="147"/>
      <c r="E1158" s="147"/>
      <c r="F1158" s="147"/>
      <c r="G1158" s="147"/>
      <c r="H1158" s="147"/>
    </row>
    <row r="1159" spans="3:8">
      <c r="C1159" s="147"/>
      <c r="D1159" s="147"/>
      <c r="E1159" s="147"/>
      <c r="F1159" s="147"/>
      <c r="G1159" s="147"/>
      <c r="H1159" s="147"/>
    </row>
    <row r="1160" spans="3:8">
      <c r="C1160" s="147"/>
      <c r="D1160" s="147"/>
      <c r="E1160" s="147"/>
      <c r="F1160" s="147"/>
      <c r="G1160" s="147"/>
      <c r="H1160" s="147"/>
    </row>
    <row r="1161" spans="3:8">
      <c r="C1161" s="147"/>
      <c r="D1161" s="147"/>
      <c r="E1161" s="147"/>
      <c r="F1161" s="147"/>
      <c r="G1161" s="147"/>
      <c r="H1161" s="147"/>
    </row>
    <row r="1162" spans="3:8">
      <c r="C1162" s="147"/>
      <c r="D1162" s="147"/>
      <c r="E1162" s="147"/>
      <c r="F1162" s="147"/>
      <c r="G1162" s="147"/>
      <c r="H1162" s="147"/>
    </row>
    <row r="1163" spans="3:8">
      <c r="C1163" s="147"/>
      <c r="D1163" s="147"/>
      <c r="E1163" s="147"/>
      <c r="F1163" s="147"/>
      <c r="G1163" s="147"/>
      <c r="H1163" s="147"/>
    </row>
    <row r="1164" spans="3:8">
      <c r="C1164" s="147"/>
      <c r="D1164" s="147"/>
      <c r="E1164" s="147"/>
      <c r="F1164" s="147"/>
      <c r="G1164" s="147"/>
      <c r="H1164" s="147"/>
    </row>
    <row r="1165" spans="3:8">
      <c r="C1165" s="147"/>
      <c r="D1165" s="147"/>
      <c r="E1165" s="147"/>
      <c r="F1165" s="147"/>
      <c r="G1165" s="147"/>
      <c r="H1165" s="147"/>
    </row>
    <row r="1166" spans="3:8">
      <c r="C1166" s="147"/>
      <c r="D1166" s="147"/>
      <c r="E1166" s="147"/>
      <c r="F1166" s="147"/>
      <c r="G1166" s="147"/>
      <c r="H1166" s="147"/>
    </row>
    <row r="1167" spans="3:8">
      <c r="C1167" s="147"/>
      <c r="D1167" s="147"/>
      <c r="E1167" s="147"/>
      <c r="F1167" s="147"/>
      <c r="G1167" s="147"/>
      <c r="H1167" s="147"/>
    </row>
    <row r="1168" spans="3:8">
      <c r="C1168" s="147"/>
      <c r="D1168" s="147"/>
      <c r="E1168" s="147"/>
      <c r="F1168" s="147"/>
      <c r="G1168" s="147"/>
      <c r="H1168" s="147"/>
    </row>
    <row r="1169" spans="3:8">
      <c r="C1169" s="147"/>
      <c r="D1169" s="147"/>
      <c r="E1169" s="147"/>
      <c r="F1169" s="147"/>
      <c r="G1169" s="147"/>
      <c r="H1169" s="147"/>
    </row>
    <row r="1170" spans="3:8">
      <c r="C1170" s="147"/>
      <c r="D1170" s="147"/>
      <c r="E1170" s="147"/>
      <c r="F1170" s="147"/>
      <c r="G1170" s="147"/>
      <c r="H1170" s="147"/>
    </row>
    <row r="1171" spans="3:8">
      <c r="C1171" s="147"/>
      <c r="D1171" s="147"/>
      <c r="E1171" s="147"/>
      <c r="F1171" s="147"/>
      <c r="G1171" s="147"/>
      <c r="H1171" s="147"/>
    </row>
    <row r="1172" spans="3:8">
      <c r="C1172" s="147"/>
      <c r="D1172" s="147"/>
      <c r="E1172" s="147"/>
      <c r="F1172" s="147"/>
      <c r="G1172" s="147"/>
      <c r="H1172" s="147"/>
    </row>
    <row r="1173" spans="3:8">
      <c r="C1173" s="147"/>
      <c r="D1173" s="147"/>
      <c r="E1173" s="147"/>
      <c r="F1173" s="147"/>
      <c r="G1173" s="147"/>
      <c r="H1173" s="147"/>
    </row>
    <row r="1174" spans="3:8">
      <c r="C1174" s="147"/>
      <c r="D1174" s="147"/>
      <c r="E1174" s="147"/>
      <c r="F1174" s="147"/>
      <c r="G1174" s="147"/>
      <c r="H1174" s="147"/>
    </row>
    <row r="1175" spans="3:8">
      <c r="C1175" s="147"/>
      <c r="D1175" s="147"/>
      <c r="E1175" s="147"/>
      <c r="F1175" s="147"/>
      <c r="G1175" s="147"/>
      <c r="H1175" s="147"/>
    </row>
    <row r="1176" spans="3:8">
      <c r="C1176" s="147"/>
      <c r="D1176" s="147"/>
      <c r="E1176" s="147"/>
      <c r="F1176" s="147"/>
      <c r="G1176" s="147"/>
      <c r="H1176" s="147"/>
    </row>
    <row r="1177" spans="3:8">
      <c r="C1177" s="147"/>
      <c r="D1177" s="147"/>
      <c r="E1177" s="147"/>
      <c r="F1177" s="147"/>
      <c r="G1177" s="147"/>
      <c r="H1177" s="147"/>
    </row>
    <row r="1178" spans="3:8">
      <c r="C1178" s="147"/>
      <c r="D1178" s="147"/>
      <c r="E1178" s="147"/>
      <c r="F1178" s="147"/>
      <c r="G1178" s="147"/>
      <c r="H1178" s="147"/>
    </row>
    <row r="1179" spans="3:8">
      <c r="C1179" s="147"/>
      <c r="D1179" s="147"/>
      <c r="E1179" s="147"/>
      <c r="F1179" s="147"/>
      <c r="G1179" s="147"/>
      <c r="H1179" s="147"/>
    </row>
    <row r="1180" spans="3:8">
      <c r="C1180" s="147"/>
      <c r="D1180" s="147"/>
      <c r="E1180" s="147"/>
      <c r="F1180" s="147"/>
      <c r="G1180" s="147"/>
      <c r="H1180" s="147"/>
    </row>
    <row r="1181" spans="3:8">
      <c r="C1181" s="147"/>
      <c r="D1181" s="147"/>
      <c r="E1181" s="147"/>
      <c r="F1181" s="147"/>
      <c r="G1181" s="147"/>
      <c r="H1181" s="147"/>
    </row>
    <row r="1182" spans="3:8">
      <c r="C1182" s="147"/>
      <c r="D1182" s="147"/>
      <c r="E1182" s="147"/>
      <c r="F1182" s="147"/>
      <c r="G1182" s="147"/>
      <c r="H1182" s="147"/>
    </row>
    <row r="1183" spans="3:8">
      <c r="C1183" s="147"/>
      <c r="D1183" s="147"/>
      <c r="E1183" s="147"/>
      <c r="F1183" s="147"/>
      <c r="G1183" s="147"/>
      <c r="H1183" s="147"/>
    </row>
    <row r="1184" spans="3:8">
      <c r="C1184" s="147"/>
      <c r="D1184" s="147"/>
      <c r="E1184" s="147"/>
      <c r="F1184" s="147"/>
      <c r="G1184" s="147"/>
      <c r="H1184" s="147"/>
    </row>
    <row r="1185" spans="3:8">
      <c r="C1185" s="147"/>
      <c r="D1185" s="147"/>
      <c r="E1185" s="147"/>
      <c r="F1185" s="147"/>
      <c r="G1185" s="147"/>
      <c r="H1185" s="147"/>
    </row>
    <row r="1186" spans="3:8">
      <c r="C1186" s="147"/>
      <c r="D1186" s="147"/>
      <c r="E1186" s="147"/>
      <c r="F1186" s="147"/>
      <c r="G1186" s="147"/>
      <c r="H1186" s="147"/>
    </row>
    <row r="1187" spans="3:8">
      <c r="C1187" s="147"/>
      <c r="D1187" s="147"/>
      <c r="E1187" s="147"/>
      <c r="F1187" s="147"/>
      <c r="G1187" s="147"/>
      <c r="H1187" s="147"/>
    </row>
    <row r="1188" spans="3:8">
      <c r="C1188" s="147"/>
      <c r="D1188" s="147"/>
      <c r="E1188" s="147"/>
      <c r="F1188" s="147"/>
      <c r="G1188" s="147"/>
      <c r="H1188" s="147"/>
    </row>
    <row r="1189" spans="3:8">
      <c r="C1189" s="147"/>
      <c r="D1189" s="147"/>
      <c r="E1189" s="147"/>
      <c r="F1189" s="147"/>
      <c r="G1189" s="147"/>
      <c r="H1189" s="147"/>
    </row>
    <row r="1190" spans="3:8">
      <c r="C1190" s="147"/>
      <c r="D1190" s="147"/>
      <c r="E1190" s="147"/>
      <c r="F1190" s="147"/>
      <c r="G1190" s="147"/>
      <c r="H1190" s="147"/>
    </row>
    <row r="1191" spans="3:8">
      <c r="C1191" s="147"/>
      <c r="D1191" s="147"/>
      <c r="E1191" s="147"/>
      <c r="F1191" s="147"/>
      <c r="G1191" s="147"/>
      <c r="H1191" s="147"/>
    </row>
    <row r="1192" spans="3:8">
      <c r="C1192" s="147"/>
      <c r="D1192" s="147"/>
      <c r="E1192" s="147"/>
      <c r="F1192" s="147"/>
      <c r="G1192" s="147"/>
      <c r="H1192" s="147"/>
    </row>
    <row r="1193" spans="3:8">
      <c r="C1193" s="147"/>
      <c r="D1193" s="147"/>
      <c r="E1193" s="147"/>
      <c r="F1193" s="147"/>
      <c r="G1193" s="147"/>
      <c r="H1193" s="147"/>
    </row>
    <row r="1194" spans="3:8">
      <c r="C1194" s="147"/>
      <c r="D1194" s="147"/>
      <c r="E1194" s="147"/>
      <c r="F1194" s="147"/>
      <c r="G1194" s="147"/>
      <c r="H1194" s="147"/>
    </row>
    <row r="1195" spans="3:8">
      <c r="C1195" s="147"/>
      <c r="D1195" s="147"/>
      <c r="E1195" s="147"/>
      <c r="F1195" s="147"/>
      <c r="G1195" s="147"/>
      <c r="H1195" s="147"/>
    </row>
    <row r="1196" spans="3:8">
      <c r="C1196" s="147"/>
      <c r="D1196" s="147"/>
      <c r="E1196" s="147"/>
      <c r="F1196" s="147"/>
      <c r="G1196" s="147"/>
      <c r="H1196" s="147"/>
    </row>
    <row r="1197" spans="3:8">
      <c r="C1197" s="147"/>
      <c r="D1197" s="147"/>
      <c r="E1197" s="147"/>
      <c r="F1197" s="147"/>
      <c r="G1197" s="147"/>
      <c r="H1197" s="147"/>
    </row>
    <row r="1198" spans="3:8">
      <c r="C1198" s="147"/>
      <c r="D1198" s="147"/>
      <c r="E1198" s="147"/>
      <c r="F1198" s="147"/>
      <c r="G1198" s="147"/>
      <c r="H1198" s="147"/>
    </row>
    <row r="1199" spans="3:8">
      <c r="C1199" s="147"/>
      <c r="D1199" s="147"/>
      <c r="E1199" s="147"/>
      <c r="F1199" s="147"/>
      <c r="G1199" s="147"/>
      <c r="H1199" s="147"/>
    </row>
    <row r="1200" spans="3:8">
      <c r="C1200" s="147"/>
      <c r="D1200" s="147"/>
      <c r="E1200" s="147"/>
      <c r="F1200" s="147"/>
      <c r="G1200" s="147"/>
      <c r="H1200" s="147"/>
    </row>
    <row r="1201" spans="3:8">
      <c r="C1201" s="147"/>
      <c r="D1201" s="147"/>
      <c r="E1201" s="147"/>
      <c r="F1201" s="147"/>
      <c r="G1201" s="147"/>
      <c r="H1201" s="147"/>
    </row>
    <row r="1202" spans="3:8">
      <c r="C1202" s="147"/>
      <c r="D1202" s="147"/>
      <c r="E1202" s="147"/>
      <c r="F1202" s="147"/>
      <c r="G1202" s="147"/>
      <c r="H1202" s="147"/>
    </row>
    <row r="1203" spans="3:8">
      <c r="C1203" s="147"/>
      <c r="D1203" s="147"/>
      <c r="E1203" s="147"/>
      <c r="F1203" s="147"/>
      <c r="G1203" s="147"/>
      <c r="H1203" s="147"/>
    </row>
    <row r="1204" spans="3:8">
      <c r="C1204" s="147"/>
      <c r="D1204" s="147"/>
      <c r="E1204" s="147"/>
      <c r="F1204" s="147"/>
      <c r="G1204" s="147"/>
      <c r="H1204" s="147"/>
    </row>
    <row r="1205" spans="3:8">
      <c r="C1205" s="147"/>
      <c r="D1205" s="147"/>
      <c r="E1205" s="147"/>
      <c r="F1205" s="147"/>
      <c r="G1205" s="147"/>
      <c r="H1205" s="147"/>
    </row>
    <row r="1206" spans="3:8">
      <c r="C1206" s="147"/>
      <c r="D1206" s="147"/>
      <c r="E1206" s="147"/>
      <c r="F1206" s="147"/>
      <c r="G1206" s="147"/>
      <c r="H1206" s="147"/>
    </row>
    <row r="1207" spans="3:8">
      <c r="C1207" s="147"/>
      <c r="D1207" s="147"/>
      <c r="E1207" s="147"/>
      <c r="F1207" s="147"/>
      <c r="G1207" s="147"/>
      <c r="H1207" s="147"/>
    </row>
    <row r="1208" spans="3:8">
      <c r="C1208" s="147"/>
      <c r="D1208" s="147"/>
      <c r="E1208" s="147"/>
      <c r="F1208" s="147"/>
      <c r="G1208" s="147"/>
      <c r="H1208" s="147"/>
    </row>
    <row r="1209" spans="3:8">
      <c r="C1209" s="147"/>
      <c r="D1209" s="147"/>
      <c r="E1209" s="147"/>
      <c r="F1209" s="147"/>
      <c r="G1209" s="147"/>
      <c r="H1209" s="147"/>
    </row>
    <row r="1210" spans="3:8">
      <c r="C1210" s="147"/>
      <c r="D1210" s="147"/>
      <c r="E1210" s="147"/>
      <c r="F1210" s="147"/>
      <c r="G1210" s="147"/>
      <c r="H1210" s="147"/>
    </row>
    <row r="1211" spans="3:8">
      <c r="C1211" s="147"/>
      <c r="D1211" s="147"/>
      <c r="E1211" s="147"/>
      <c r="F1211" s="147"/>
      <c r="G1211" s="147"/>
      <c r="H1211" s="147"/>
    </row>
    <row r="1212" spans="3:8">
      <c r="C1212" s="147"/>
      <c r="D1212" s="147"/>
      <c r="E1212" s="147"/>
      <c r="F1212" s="147"/>
      <c r="G1212" s="147"/>
      <c r="H1212" s="147"/>
    </row>
    <row r="1213" spans="3:8">
      <c r="C1213" s="147"/>
      <c r="D1213" s="147"/>
      <c r="E1213" s="147"/>
      <c r="F1213" s="147"/>
      <c r="G1213" s="147"/>
      <c r="H1213" s="147"/>
    </row>
    <row r="1214" spans="3:8">
      <c r="C1214" s="147"/>
      <c r="D1214" s="147"/>
      <c r="E1214" s="147"/>
      <c r="F1214" s="147"/>
      <c r="G1214" s="147"/>
      <c r="H1214" s="147"/>
    </row>
    <row r="1215" spans="3:8">
      <c r="C1215" s="147"/>
      <c r="D1215" s="147"/>
      <c r="E1215" s="147"/>
      <c r="F1215" s="147"/>
      <c r="G1215" s="147"/>
      <c r="H1215" s="147"/>
    </row>
    <row r="1216" spans="3:8">
      <c r="C1216" s="147"/>
      <c r="D1216" s="147"/>
      <c r="E1216" s="147"/>
      <c r="F1216" s="147"/>
      <c r="G1216" s="147"/>
      <c r="H1216" s="147"/>
    </row>
    <row r="1217" spans="3:8">
      <c r="C1217" s="147"/>
      <c r="D1217" s="147"/>
      <c r="E1217" s="147"/>
      <c r="F1217" s="147"/>
      <c r="G1217" s="147"/>
      <c r="H1217" s="147"/>
    </row>
    <row r="1218" spans="3:8">
      <c r="C1218" s="147"/>
      <c r="D1218" s="147"/>
      <c r="E1218" s="147"/>
      <c r="F1218" s="147"/>
      <c r="G1218" s="147"/>
      <c r="H1218" s="147"/>
    </row>
    <row r="1219" spans="3:8">
      <c r="C1219" s="147"/>
      <c r="D1219" s="147"/>
      <c r="E1219" s="147"/>
      <c r="F1219" s="147"/>
      <c r="G1219" s="147"/>
      <c r="H1219" s="147"/>
    </row>
    <row r="1220" spans="3:8">
      <c r="C1220" s="147"/>
      <c r="D1220" s="147"/>
      <c r="E1220" s="147"/>
      <c r="F1220" s="147"/>
      <c r="G1220" s="147"/>
      <c r="H1220" s="147"/>
    </row>
    <row r="1221" spans="3:8">
      <c r="C1221" s="147"/>
      <c r="D1221" s="147"/>
      <c r="E1221" s="147"/>
      <c r="F1221" s="147"/>
      <c r="G1221" s="147"/>
      <c r="H1221" s="147"/>
    </row>
    <row r="1222" spans="3:8">
      <c r="C1222" s="147"/>
      <c r="D1222" s="147"/>
      <c r="E1222" s="147"/>
      <c r="F1222" s="147"/>
      <c r="G1222" s="147"/>
      <c r="H1222" s="147"/>
    </row>
    <row r="1223" spans="3:8">
      <c r="C1223" s="147"/>
      <c r="D1223" s="147"/>
      <c r="E1223" s="147"/>
      <c r="F1223" s="147"/>
      <c r="G1223" s="147"/>
      <c r="H1223" s="147"/>
    </row>
    <row r="1224" spans="3:8">
      <c r="C1224" s="147"/>
      <c r="D1224" s="147"/>
      <c r="E1224" s="147"/>
      <c r="F1224" s="147"/>
      <c r="G1224" s="147"/>
      <c r="H1224" s="147"/>
    </row>
    <row r="1225" spans="3:8">
      <c r="C1225" s="147"/>
      <c r="D1225" s="147"/>
      <c r="E1225" s="147"/>
      <c r="F1225" s="147"/>
      <c r="G1225" s="147"/>
      <c r="H1225" s="147"/>
    </row>
    <row r="1226" spans="3:8">
      <c r="C1226" s="147"/>
      <c r="D1226" s="147"/>
      <c r="E1226" s="147"/>
      <c r="F1226" s="147"/>
      <c r="G1226" s="147"/>
      <c r="H1226" s="147"/>
    </row>
    <row r="1227" spans="3:8">
      <c r="C1227" s="147"/>
      <c r="D1227" s="147"/>
      <c r="E1227" s="147"/>
      <c r="F1227" s="147"/>
      <c r="G1227" s="147"/>
      <c r="H1227" s="147"/>
    </row>
    <row r="1228" spans="3:8">
      <c r="C1228" s="147"/>
      <c r="D1228" s="147"/>
      <c r="E1228" s="147"/>
      <c r="F1228" s="147"/>
      <c r="G1228" s="147"/>
      <c r="H1228" s="147"/>
    </row>
    <row r="1229" spans="3:8">
      <c r="C1229" s="147"/>
      <c r="D1229" s="147"/>
      <c r="E1229" s="147"/>
      <c r="F1229" s="147"/>
      <c r="G1229" s="147"/>
      <c r="H1229" s="147"/>
    </row>
    <row r="1230" spans="3:8">
      <c r="C1230" s="147"/>
      <c r="D1230" s="147"/>
      <c r="E1230" s="147"/>
      <c r="F1230" s="147"/>
      <c r="G1230" s="147"/>
      <c r="H1230" s="147"/>
    </row>
    <row r="1231" spans="3:8">
      <c r="C1231" s="147"/>
      <c r="D1231" s="147"/>
      <c r="E1231" s="147"/>
      <c r="F1231" s="147"/>
      <c r="G1231" s="147"/>
      <c r="H1231" s="147"/>
    </row>
    <row r="1232" spans="3:8">
      <c r="C1232" s="147"/>
      <c r="D1232" s="147"/>
      <c r="E1232" s="147"/>
      <c r="F1232" s="147"/>
      <c r="G1232" s="147"/>
      <c r="H1232" s="147"/>
    </row>
    <row r="1233" spans="3:8">
      <c r="C1233" s="147"/>
      <c r="D1233" s="147"/>
      <c r="E1233" s="147"/>
      <c r="F1233" s="147"/>
      <c r="G1233" s="147"/>
      <c r="H1233" s="147"/>
    </row>
    <row r="1234" spans="3:8">
      <c r="C1234" s="147"/>
      <c r="D1234" s="147"/>
      <c r="E1234" s="147"/>
      <c r="F1234" s="147"/>
      <c r="G1234" s="147"/>
      <c r="H1234" s="147"/>
    </row>
    <row r="1235" spans="3:8">
      <c r="C1235" s="147"/>
      <c r="D1235" s="147"/>
      <c r="E1235" s="147"/>
      <c r="F1235" s="147"/>
      <c r="G1235" s="147"/>
      <c r="H1235" s="147"/>
    </row>
    <row r="1236" spans="3:8">
      <c r="C1236" s="147"/>
      <c r="D1236" s="147"/>
      <c r="E1236" s="147"/>
      <c r="F1236" s="147"/>
      <c r="G1236" s="147"/>
      <c r="H1236" s="147"/>
    </row>
    <row r="1237" spans="3:8">
      <c r="C1237" s="147"/>
      <c r="D1237" s="147"/>
      <c r="E1237" s="147"/>
      <c r="F1237" s="147"/>
      <c r="G1237" s="147"/>
      <c r="H1237" s="147"/>
    </row>
    <row r="1238" spans="3:8">
      <c r="C1238" s="147"/>
      <c r="D1238" s="147"/>
      <c r="E1238" s="147"/>
      <c r="F1238" s="147"/>
      <c r="G1238" s="147"/>
      <c r="H1238" s="147"/>
    </row>
    <row r="1239" spans="3:8">
      <c r="C1239" s="147"/>
      <c r="D1239" s="147"/>
      <c r="E1239" s="147"/>
      <c r="F1239" s="147"/>
      <c r="G1239" s="147"/>
      <c r="H1239" s="147"/>
    </row>
    <row r="1240" spans="3:8">
      <c r="C1240" s="147"/>
      <c r="D1240" s="147"/>
      <c r="E1240" s="147"/>
      <c r="F1240" s="147"/>
      <c r="G1240" s="147"/>
      <c r="H1240" s="147"/>
    </row>
    <row r="1241" spans="3:8">
      <c r="C1241" s="147"/>
      <c r="D1241" s="147"/>
      <c r="E1241" s="147"/>
      <c r="F1241" s="147"/>
      <c r="G1241" s="147"/>
      <c r="H1241" s="147"/>
    </row>
    <row r="1242" spans="3:8">
      <c r="C1242" s="147"/>
      <c r="D1242" s="147"/>
      <c r="E1242" s="147"/>
      <c r="F1242" s="147"/>
      <c r="G1242" s="147"/>
      <c r="H1242" s="147"/>
    </row>
    <row r="1243" spans="3:8">
      <c r="C1243" s="147"/>
      <c r="D1243" s="147"/>
      <c r="E1243" s="147"/>
      <c r="F1243" s="147"/>
      <c r="G1243" s="147"/>
      <c r="H1243" s="147"/>
    </row>
    <row r="1244" spans="3:8">
      <c r="C1244" s="147"/>
      <c r="D1244" s="147"/>
      <c r="E1244" s="147"/>
      <c r="F1244" s="147"/>
      <c r="G1244" s="147"/>
      <c r="H1244" s="147"/>
    </row>
    <row r="1245" spans="3:8">
      <c r="C1245" s="147"/>
      <c r="D1245" s="147"/>
      <c r="E1245" s="147"/>
      <c r="F1245" s="147"/>
      <c r="G1245" s="147"/>
      <c r="H1245" s="147"/>
    </row>
    <row r="1246" spans="3:8">
      <c r="C1246" s="147"/>
      <c r="D1246" s="147"/>
      <c r="E1246" s="147"/>
      <c r="F1246" s="147"/>
      <c r="G1246" s="147"/>
      <c r="H1246" s="147"/>
    </row>
    <row r="1247" spans="3:8">
      <c r="C1247" s="147"/>
      <c r="D1247" s="147"/>
      <c r="E1247" s="147"/>
      <c r="F1247" s="147"/>
      <c r="G1247" s="147"/>
      <c r="H1247" s="147"/>
    </row>
    <row r="1248" spans="3:8">
      <c r="C1248" s="147"/>
      <c r="D1248" s="147"/>
      <c r="E1248" s="147"/>
      <c r="F1248" s="147"/>
      <c r="G1248" s="147"/>
      <c r="H1248" s="147"/>
    </row>
    <row r="1249" spans="3:8">
      <c r="C1249" s="147"/>
      <c r="D1249" s="147"/>
      <c r="E1249" s="147"/>
      <c r="F1249" s="147"/>
      <c r="G1249" s="147"/>
      <c r="H1249" s="147"/>
    </row>
    <row r="1250" spans="3:8">
      <c r="C1250" s="147"/>
      <c r="D1250" s="147"/>
      <c r="E1250" s="147"/>
      <c r="F1250" s="147"/>
      <c r="G1250" s="147"/>
      <c r="H1250" s="147"/>
    </row>
    <row r="1251" spans="3:8">
      <c r="C1251" s="147"/>
      <c r="D1251" s="147"/>
      <c r="E1251" s="147"/>
      <c r="F1251" s="147"/>
      <c r="G1251" s="147"/>
      <c r="H1251" s="147"/>
    </row>
    <row r="1252" spans="3:8">
      <c r="C1252" s="147"/>
      <c r="D1252" s="147"/>
      <c r="E1252" s="147"/>
      <c r="F1252" s="147"/>
      <c r="G1252" s="147"/>
      <c r="H1252" s="147"/>
    </row>
    <row r="1253" spans="3:8">
      <c r="C1253" s="147"/>
      <c r="D1253" s="147"/>
      <c r="E1253" s="147"/>
      <c r="F1253" s="147"/>
      <c r="G1253" s="147"/>
      <c r="H1253" s="147"/>
    </row>
    <row r="1254" spans="3:8">
      <c r="C1254" s="147"/>
      <c r="D1254" s="147"/>
      <c r="E1254" s="147"/>
      <c r="F1254" s="147"/>
      <c r="G1254" s="147"/>
      <c r="H1254" s="147"/>
    </row>
    <row r="1255" spans="3:8">
      <c r="C1255" s="147"/>
      <c r="D1255" s="147"/>
      <c r="E1255" s="147"/>
      <c r="F1255" s="147"/>
      <c r="G1255" s="147"/>
      <c r="H1255" s="147"/>
    </row>
    <row r="1256" spans="3:8">
      <c r="C1256" s="147"/>
      <c r="D1256" s="147"/>
      <c r="E1256" s="147"/>
      <c r="F1256" s="147"/>
      <c r="G1256" s="147"/>
      <c r="H1256" s="147"/>
    </row>
    <row r="1257" spans="3:8">
      <c r="C1257" s="147"/>
      <c r="D1257" s="147"/>
      <c r="E1257" s="147"/>
      <c r="F1257" s="147"/>
      <c r="G1257" s="147"/>
      <c r="H1257" s="147"/>
    </row>
    <row r="1258" spans="3:8">
      <c r="C1258" s="147"/>
      <c r="D1258" s="147"/>
      <c r="E1258" s="147"/>
      <c r="F1258" s="147"/>
      <c r="G1258" s="147"/>
      <c r="H1258" s="147"/>
    </row>
    <row r="1259" spans="3:8">
      <c r="C1259" s="147"/>
      <c r="D1259" s="147"/>
      <c r="E1259" s="147"/>
      <c r="F1259" s="147"/>
      <c r="G1259" s="147"/>
      <c r="H1259" s="147"/>
    </row>
    <row r="1260" spans="3:8">
      <c r="C1260" s="147"/>
      <c r="D1260" s="147"/>
      <c r="E1260" s="147"/>
      <c r="F1260" s="147"/>
      <c r="G1260" s="147"/>
      <c r="H1260" s="147"/>
    </row>
    <row r="1261" spans="3:8">
      <c r="C1261" s="147"/>
      <c r="D1261" s="147"/>
      <c r="E1261" s="147"/>
      <c r="F1261" s="147"/>
      <c r="G1261" s="147"/>
      <c r="H1261" s="147"/>
    </row>
    <row r="1262" spans="3:8">
      <c r="C1262" s="147"/>
      <c r="D1262" s="147"/>
      <c r="E1262" s="147"/>
      <c r="F1262" s="147"/>
      <c r="G1262" s="147"/>
      <c r="H1262" s="147"/>
    </row>
    <row r="1263" spans="3:8">
      <c r="C1263" s="147"/>
      <c r="D1263" s="147"/>
      <c r="E1263" s="147"/>
      <c r="F1263" s="147"/>
      <c r="G1263" s="147"/>
      <c r="H1263" s="147"/>
    </row>
    <row r="1264" spans="3:8">
      <c r="C1264" s="147"/>
      <c r="D1264" s="147"/>
      <c r="E1264" s="147"/>
      <c r="F1264" s="147"/>
      <c r="G1264" s="147"/>
      <c r="H1264" s="147"/>
    </row>
    <row r="1265" spans="3:8">
      <c r="C1265" s="147"/>
      <c r="D1265" s="147"/>
      <c r="E1265" s="147"/>
      <c r="F1265" s="147"/>
      <c r="G1265" s="147"/>
      <c r="H1265" s="147"/>
    </row>
    <row r="1266" spans="3:8">
      <c r="C1266" s="147"/>
      <c r="D1266" s="147"/>
      <c r="E1266" s="147"/>
      <c r="F1266" s="147"/>
      <c r="G1266" s="147"/>
      <c r="H1266" s="147"/>
    </row>
    <row r="1267" spans="3:8">
      <c r="C1267" s="147"/>
      <c r="D1267" s="147"/>
      <c r="E1267" s="147"/>
      <c r="F1267" s="147"/>
      <c r="G1267" s="147"/>
      <c r="H1267" s="147"/>
    </row>
    <row r="1268" spans="3:8">
      <c r="C1268" s="147"/>
      <c r="D1268" s="147"/>
      <c r="E1268" s="147"/>
      <c r="F1268" s="147"/>
      <c r="G1268" s="147"/>
      <c r="H1268" s="147"/>
    </row>
    <row r="1269" spans="3:8">
      <c r="C1269" s="147"/>
      <c r="D1269" s="147"/>
      <c r="E1269" s="147"/>
      <c r="F1269" s="147"/>
      <c r="G1269" s="147"/>
      <c r="H1269" s="147"/>
    </row>
    <row r="1270" spans="3:8">
      <c r="C1270" s="147"/>
      <c r="D1270" s="147"/>
      <c r="E1270" s="147"/>
      <c r="F1270" s="147"/>
      <c r="G1270" s="147"/>
      <c r="H1270" s="147"/>
    </row>
    <row r="1271" spans="3:8">
      <c r="C1271" s="147"/>
      <c r="D1271" s="147"/>
      <c r="E1271" s="147"/>
      <c r="F1271" s="147"/>
      <c r="G1271" s="147"/>
      <c r="H1271" s="147"/>
    </row>
    <row r="1272" spans="3:8">
      <c r="C1272" s="147"/>
      <c r="D1272" s="147"/>
      <c r="E1272" s="147"/>
      <c r="F1272" s="147"/>
      <c r="G1272" s="147"/>
      <c r="H1272" s="147"/>
    </row>
    <row r="1273" spans="3:8">
      <c r="C1273" s="147"/>
      <c r="D1273" s="147"/>
      <c r="E1273" s="147"/>
      <c r="F1273" s="147"/>
      <c r="G1273" s="147"/>
      <c r="H1273" s="147"/>
    </row>
    <row r="1274" spans="3:8">
      <c r="C1274" s="147"/>
      <c r="D1274" s="147"/>
      <c r="E1274" s="147"/>
      <c r="F1274" s="147"/>
      <c r="G1274" s="147"/>
      <c r="H1274" s="147"/>
    </row>
    <row r="1275" spans="3:8">
      <c r="C1275" s="147"/>
      <c r="D1275" s="147"/>
      <c r="E1275" s="147"/>
      <c r="F1275" s="147"/>
      <c r="G1275" s="147"/>
      <c r="H1275" s="147"/>
    </row>
    <row r="1276" spans="3:8">
      <c r="C1276" s="147"/>
      <c r="D1276" s="147"/>
      <c r="E1276" s="147"/>
      <c r="F1276" s="147"/>
      <c r="G1276" s="147"/>
      <c r="H1276" s="147"/>
    </row>
    <row r="1277" spans="3:8">
      <c r="C1277" s="147"/>
      <c r="D1277" s="147"/>
      <c r="E1277" s="147"/>
      <c r="F1277" s="147"/>
      <c r="G1277" s="147"/>
      <c r="H1277" s="147"/>
    </row>
    <row r="1278" spans="3:8">
      <c r="C1278" s="147"/>
      <c r="D1278" s="147"/>
      <c r="E1278" s="147"/>
      <c r="F1278" s="147"/>
      <c r="G1278" s="147"/>
      <c r="H1278" s="147"/>
    </row>
    <row r="1279" spans="3:8">
      <c r="C1279" s="147"/>
      <c r="D1279" s="147"/>
      <c r="E1279" s="147"/>
      <c r="F1279" s="147"/>
      <c r="G1279" s="147"/>
      <c r="H1279" s="147"/>
    </row>
    <row r="1280" spans="3:8">
      <c r="C1280" s="147"/>
      <c r="D1280" s="147"/>
      <c r="E1280" s="147"/>
      <c r="F1280" s="147"/>
      <c r="G1280" s="147"/>
      <c r="H1280" s="147"/>
    </row>
    <row r="1281" spans="3:8">
      <c r="C1281" s="147"/>
      <c r="D1281" s="147"/>
      <c r="E1281" s="147"/>
      <c r="F1281" s="147"/>
      <c r="G1281" s="147"/>
      <c r="H1281" s="147"/>
    </row>
    <row r="1282" spans="3:8">
      <c r="C1282" s="147"/>
      <c r="D1282" s="147"/>
      <c r="E1282" s="147"/>
      <c r="F1282" s="147"/>
      <c r="G1282" s="147"/>
      <c r="H1282" s="147"/>
    </row>
    <row r="1283" spans="3:8">
      <c r="C1283" s="147"/>
      <c r="D1283" s="147"/>
      <c r="E1283" s="147"/>
      <c r="F1283" s="147"/>
      <c r="G1283" s="147"/>
      <c r="H1283" s="147"/>
    </row>
    <row r="1284" spans="3:8">
      <c r="C1284" s="147"/>
      <c r="D1284" s="147"/>
      <c r="E1284" s="147"/>
      <c r="F1284" s="147"/>
      <c r="G1284" s="147"/>
      <c r="H1284" s="147"/>
    </row>
    <row r="1285" spans="3:8">
      <c r="C1285" s="147"/>
      <c r="D1285" s="147"/>
      <c r="E1285" s="147"/>
      <c r="F1285" s="147"/>
      <c r="G1285" s="147"/>
      <c r="H1285" s="147"/>
    </row>
    <row r="1286" spans="3:8">
      <c r="C1286" s="147"/>
      <c r="D1286" s="147"/>
      <c r="E1286" s="147"/>
      <c r="F1286" s="147"/>
      <c r="G1286" s="147"/>
      <c r="H1286" s="147"/>
    </row>
    <row r="1287" spans="3:8">
      <c r="C1287" s="147"/>
      <c r="D1287" s="147"/>
      <c r="E1287" s="147"/>
      <c r="F1287" s="147"/>
      <c r="G1287" s="147"/>
      <c r="H1287" s="147"/>
    </row>
    <row r="1288" spans="3:8">
      <c r="C1288" s="147"/>
      <c r="D1288" s="147"/>
      <c r="E1288" s="147"/>
      <c r="F1288" s="147"/>
      <c r="G1288" s="147"/>
      <c r="H1288" s="147"/>
    </row>
    <row r="1289" spans="3:8">
      <c r="C1289" s="147"/>
      <c r="D1289" s="147"/>
      <c r="E1289" s="147"/>
      <c r="F1289" s="147"/>
      <c r="G1289" s="147"/>
      <c r="H1289" s="147"/>
    </row>
    <row r="1290" spans="3:8">
      <c r="C1290" s="147"/>
      <c r="D1290" s="147"/>
      <c r="E1290" s="147"/>
      <c r="F1290" s="147"/>
      <c r="G1290" s="147"/>
      <c r="H1290" s="147"/>
    </row>
    <row r="1291" spans="3:8">
      <c r="C1291" s="147"/>
      <c r="D1291" s="147"/>
      <c r="E1291" s="147"/>
      <c r="F1291" s="147"/>
      <c r="G1291" s="147"/>
      <c r="H1291" s="147"/>
    </row>
    <row r="1292" spans="3:8">
      <c r="C1292" s="147"/>
      <c r="D1292" s="147"/>
      <c r="E1292" s="147"/>
      <c r="F1292" s="147"/>
      <c r="G1292" s="147"/>
      <c r="H1292" s="147"/>
    </row>
    <row r="1293" spans="3:8">
      <c r="C1293" s="147"/>
      <c r="D1293" s="147"/>
      <c r="E1293" s="147"/>
      <c r="F1293" s="147"/>
      <c r="G1293" s="147"/>
      <c r="H1293" s="147"/>
    </row>
    <row r="1294" spans="3:8">
      <c r="C1294" s="147"/>
      <c r="D1294" s="147"/>
      <c r="E1294" s="147"/>
      <c r="F1294" s="147"/>
      <c r="G1294" s="147"/>
      <c r="H1294" s="147"/>
    </row>
    <row r="1295" spans="3:8">
      <c r="C1295" s="147"/>
      <c r="D1295" s="147"/>
      <c r="E1295" s="147"/>
      <c r="F1295" s="147"/>
      <c r="G1295" s="147"/>
      <c r="H1295" s="147"/>
    </row>
    <row r="1296" spans="3:8">
      <c r="C1296" s="147"/>
      <c r="D1296" s="147"/>
      <c r="E1296" s="147"/>
      <c r="F1296" s="147"/>
      <c r="G1296" s="147"/>
      <c r="H1296" s="147"/>
    </row>
    <row r="1297" spans="3:8">
      <c r="C1297" s="147"/>
      <c r="D1297" s="147"/>
      <c r="E1297" s="147"/>
      <c r="F1297" s="147"/>
      <c r="G1297" s="147"/>
      <c r="H1297" s="147"/>
    </row>
    <row r="1298" spans="3:8">
      <c r="C1298" s="147"/>
      <c r="D1298" s="147"/>
      <c r="E1298" s="147"/>
      <c r="F1298" s="147"/>
      <c r="G1298" s="147"/>
      <c r="H1298" s="147"/>
    </row>
    <row r="1299" spans="3:8">
      <c r="C1299" s="147"/>
      <c r="D1299" s="147"/>
      <c r="E1299" s="147"/>
      <c r="F1299" s="147"/>
      <c r="G1299" s="147"/>
      <c r="H1299" s="147"/>
    </row>
    <row r="1300" spans="3:8">
      <c r="C1300" s="147"/>
      <c r="D1300" s="147"/>
      <c r="E1300" s="147"/>
      <c r="F1300" s="147"/>
      <c r="G1300" s="147"/>
      <c r="H1300" s="147"/>
    </row>
    <row r="1301" spans="3:8">
      <c r="C1301" s="147"/>
      <c r="D1301" s="147"/>
      <c r="E1301" s="147"/>
      <c r="F1301" s="147"/>
      <c r="G1301" s="147"/>
      <c r="H1301" s="147"/>
    </row>
    <row r="1302" spans="3:8">
      <c r="C1302" s="147"/>
      <c r="D1302" s="147"/>
      <c r="E1302" s="147"/>
      <c r="F1302" s="147"/>
      <c r="G1302" s="147"/>
      <c r="H1302" s="147"/>
    </row>
    <row r="1303" spans="3:8">
      <c r="C1303" s="147"/>
      <c r="D1303" s="147"/>
      <c r="E1303" s="147"/>
      <c r="F1303" s="147"/>
      <c r="G1303" s="147"/>
      <c r="H1303" s="147"/>
    </row>
    <row r="1304" spans="3:8">
      <c r="C1304" s="147"/>
      <c r="D1304" s="147"/>
      <c r="E1304" s="147"/>
      <c r="F1304" s="147"/>
      <c r="G1304" s="147"/>
      <c r="H1304" s="147"/>
    </row>
    <row r="1305" spans="3:8">
      <c r="C1305" s="147"/>
      <c r="D1305" s="147"/>
      <c r="E1305" s="147"/>
      <c r="F1305" s="147"/>
      <c r="G1305" s="147"/>
      <c r="H1305" s="147"/>
    </row>
    <row r="1306" spans="3:8">
      <c r="C1306" s="147"/>
      <c r="D1306" s="147"/>
      <c r="E1306" s="147"/>
      <c r="F1306" s="147"/>
      <c r="G1306" s="147"/>
      <c r="H1306" s="147"/>
    </row>
    <row r="1307" spans="3:8">
      <c r="C1307" s="147"/>
      <c r="D1307" s="147"/>
      <c r="E1307" s="147"/>
      <c r="F1307" s="147"/>
      <c r="G1307" s="147"/>
      <c r="H1307" s="147"/>
    </row>
    <row r="1308" spans="3:8">
      <c r="C1308" s="147"/>
      <c r="D1308" s="147"/>
      <c r="E1308" s="147"/>
      <c r="F1308" s="147"/>
      <c r="G1308" s="147"/>
      <c r="H1308" s="147"/>
    </row>
    <row r="1309" spans="3:8">
      <c r="C1309" s="147"/>
      <c r="D1309" s="147"/>
      <c r="E1309" s="147"/>
      <c r="F1309" s="147"/>
      <c r="G1309" s="147"/>
      <c r="H1309" s="147"/>
    </row>
    <row r="1310" spans="3:8">
      <c r="C1310" s="147"/>
      <c r="D1310" s="147"/>
      <c r="E1310" s="147"/>
      <c r="F1310" s="147"/>
      <c r="G1310" s="147"/>
      <c r="H1310" s="147"/>
    </row>
    <row r="1311" spans="3:8">
      <c r="C1311" s="147"/>
      <c r="D1311" s="147"/>
      <c r="E1311" s="147"/>
      <c r="F1311" s="147"/>
      <c r="G1311" s="147"/>
      <c r="H1311" s="147"/>
    </row>
    <row r="1312" spans="3:8">
      <c r="C1312" s="147"/>
      <c r="D1312" s="147"/>
      <c r="E1312" s="147"/>
      <c r="F1312" s="147"/>
      <c r="G1312" s="147"/>
      <c r="H1312" s="147"/>
    </row>
    <row r="1313" spans="3:8">
      <c r="C1313" s="147"/>
      <c r="D1313" s="147"/>
      <c r="E1313" s="147"/>
      <c r="F1313" s="147"/>
      <c r="G1313" s="147"/>
      <c r="H1313" s="147"/>
    </row>
    <row r="1314" spans="3:8">
      <c r="C1314" s="147"/>
      <c r="D1314" s="147"/>
      <c r="E1314" s="147"/>
      <c r="F1314" s="147"/>
      <c r="G1314" s="147"/>
      <c r="H1314" s="147"/>
    </row>
    <row r="1315" spans="3:8">
      <c r="C1315" s="147"/>
      <c r="D1315" s="147"/>
      <c r="E1315" s="147"/>
      <c r="F1315" s="147"/>
      <c r="G1315" s="147"/>
      <c r="H1315" s="147"/>
    </row>
    <row r="1316" spans="3:8">
      <c r="C1316" s="147"/>
      <c r="D1316" s="147"/>
      <c r="E1316" s="147"/>
      <c r="F1316" s="147"/>
      <c r="G1316" s="147"/>
      <c r="H1316" s="147"/>
    </row>
    <row r="1317" spans="3:8">
      <c r="C1317" s="147"/>
      <c r="D1317" s="147"/>
      <c r="E1317" s="147"/>
      <c r="F1317" s="147"/>
      <c r="G1317" s="147"/>
      <c r="H1317" s="147"/>
    </row>
    <row r="1318" spans="3:8">
      <c r="C1318" s="147"/>
      <c r="D1318" s="147"/>
      <c r="E1318" s="147"/>
      <c r="F1318" s="147"/>
      <c r="G1318" s="147"/>
      <c r="H1318" s="147"/>
    </row>
    <row r="1319" spans="3:8">
      <c r="C1319" s="147"/>
      <c r="D1319" s="147"/>
      <c r="E1319" s="147"/>
      <c r="F1319" s="147"/>
      <c r="G1319" s="147"/>
      <c r="H1319" s="147"/>
    </row>
    <row r="1320" spans="3:8">
      <c r="C1320" s="147"/>
      <c r="D1320" s="147"/>
      <c r="E1320" s="147"/>
      <c r="F1320" s="147"/>
      <c r="G1320" s="147"/>
      <c r="H1320" s="147"/>
    </row>
    <row r="1321" spans="3:8">
      <c r="C1321" s="147"/>
      <c r="D1321" s="147"/>
      <c r="E1321" s="147"/>
      <c r="F1321" s="147"/>
      <c r="G1321" s="147"/>
      <c r="H1321" s="147"/>
    </row>
    <row r="1322" spans="3:8">
      <c r="C1322" s="147"/>
      <c r="D1322" s="147"/>
      <c r="E1322" s="147"/>
      <c r="F1322" s="147"/>
      <c r="G1322" s="147"/>
      <c r="H1322" s="147"/>
    </row>
    <row r="1323" spans="3:8">
      <c r="C1323" s="147"/>
      <c r="D1323" s="147"/>
      <c r="E1323" s="147"/>
      <c r="F1323" s="147"/>
      <c r="G1323" s="147"/>
      <c r="H1323" s="147"/>
    </row>
    <row r="1324" spans="3:8">
      <c r="C1324" s="147"/>
      <c r="D1324" s="147"/>
      <c r="E1324" s="147"/>
      <c r="F1324" s="147"/>
      <c r="G1324" s="147"/>
      <c r="H1324" s="147"/>
    </row>
    <row r="1325" spans="3:8">
      <c r="C1325" s="147"/>
      <c r="D1325" s="147"/>
      <c r="E1325" s="147"/>
      <c r="F1325" s="147"/>
      <c r="G1325" s="147"/>
      <c r="H1325" s="147"/>
    </row>
    <row r="1326" spans="3:8">
      <c r="C1326" s="147"/>
      <c r="D1326" s="147"/>
      <c r="E1326" s="147"/>
      <c r="F1326" s="147"/>
      <c r="G1326" s="147"/>
      <c r="H1326" s="147"/>
    </row>
    <row r="1327" spans="3:8">
      <c r="C1327" s="147"/>
      <c r="D1327" s="147"/>
      <c r="E1327" s="147"/>
      <c r="F1327" s="147"/>
      <c r="G1327" s="147"/>
      <c r="H1327" s="147"/>
    </row>
    <row r="1328" spans="3:8">
      <c r="C1328" s="147"/>
      <c r="D1328" s="147"/>
      <c r="E1328" s="147"/>
      <c r="F1328" s="147"/>
      <c r="G1328" s="147"/>
      <c r="H1328" s="147"/>
    </row>
    <row r="1329" spans="3:8">
      <c r="C1329" s="147"/>
      <c r="D1329" s="147"/>
      <c r="E1329" s="147"/>
      <c r="F1329" s="147"/>
      <c r="G1329" s="147"/>
      <c r="H1329" s="147"/>
    </row>
    <row r="1330" spans="3:8">
      <c r="C1330" s="147"/>
      <c r="D1330" s="147"/>
      <c r="E1330" s="147"/>
      <c r="F1330" s="147"/>
      <c r="G1330" s="147"/>
      <c r="H1330" s="147"/>
    </row>
    <row r="1331" spans="3:8">
      <c r="C1331" s="147"/>
      <c r="D1331" s="147"/>
      <c r="E1331" s="147"/>
      <c r="F1331" s="147"/>
      <c r="G1331" s="147"/>
      <c r="H1331" s="147"/>
    </row>
    <row r="1332" spans="3:8">
      <c r="C1332" s="147"/>
      <c r="D1332" s="147"/>
      <c r="E1332" s="147"/>
      <c r="F1332" s="147"/>
      <c r="G1332" s="147"/>
      <c r="H1332" s="147"/>
    </row>
    <row r="1333" spans="3:8">
      <c r="C1333" s="147"/>
      <c r="D1333" s="147"/>
      <c r="E1333" s="147"/>
      <c r="F1333" s="147"/>
      <c r="G1333" s="147"/>
      <c r="H1333" s="147"/>
    </row>
    <row r="1334" spans="3:8">
      <c r="C1334" s="147"/>
      <c r="D1334" s="147"/>
      <c r="E1334" s="147"/>
      <c r="F1334" s="147"/>
      <c r="G1334" s="147"/>
      <c r="H1334" s="147"/>
    </row>
    <row r="1335" spans="3:8">
      <c r="C1335" s="147"/>
      <c r="D1335" s="147"/>
      <c r="E1335" s="147"/>
      <c r="F1335" s="147"/>
      <c r="G1335" s="147"/>
      <c r="H1335" s="147"/>
    </row>
    <row r="1336" spans="3:8">
      <c r="C1336" s="147"/>
      <c r="D1336" s="147"/>
      <c r="E1336" s="147"/>
      <c r="F1336" s="147"/>
      <c r="G1336" s="147"/>
      <c r="H1336" s="147"/>
    </row>
    <row r="1337" spans="3:8">
      <c r="C1337" s="147"/>
      <c r="D1337" s="147"/>
      <c r="E1337" s="147"/>
      <c r="F1337" s="147"/>
      <c r="G1337" s="147"/>
      <c r="H1337" s="147"/>
    </row>
    <row r="1338" spans="3:8">
      <c r="C1338" s="147"/>
      <c r="D1338" s="147"/>
      <c r="E1338" s="147"/>
      <c r="F1338" s="147"/>
      <c r="G1338" s="147"/>
      <c r="H1338" s="147"/>
    </row>
    <row r="1339" spans="3:8">
      <c r="C1339" s="147"/>
      <c r="D1339" s="147"/>
      <c r="E1339" s="147"/>
      <c r="F1339" s="147"/>
      <c r="G1339" s="147"/>
      <c r="H1339" s="147"/>
    </row>
    <row r="1340" spans="3:8">
      <c r="C1340" s="147"/>
      <c r="D1340" s="147"/>
      <c r="E1340" s="147"/>
      <c r="F1340" s="147"/>
      <c r="G1340" s="147"/>
      <c r="H1340" s="147"/>
    </row>
    <row r="1341" spans="3:8">
      <c r="C1341" s="147"/>
      <c r="D1341" s="147"/>
      <c r="E1341" s="147"/>
      <c r="F1341" s="147"/>
      <c r="G1341" s="147"/>
      <c r="H1341" s="147"/>
    </row>
    <row r="1342" spans="3:8">
      <c r="C1342" s="147"/>
      <c r="D1342" s="147"/>
      <c r="E1342" s="147"/>
      <c r="F1342" s="147"/>
      <c r="G1342" s="147"/>
      <c r="H1342" s="147"/>
    </row>
    <row r="1343" spans="3:8">
      <c r="C1343" s="147"/>
      <c r="D1343" s="147"/>
      <c r="E1343" s="147"/>
      <c r="F1343" s="147"/>
      <c r="G1343" s="147"/>
      <c r="H1343" s="147"/>
    </row>
    <row r="1344" spans="3:8">
      <c r="C1344" s="147"/>
      <c r="D1344" s="147"/>
      <c r="E1344" s="147"/>
      <c r="F1344" s="147"/>
      <c r="G1344" s="147"/>
      <c r="H1344" s="147"/>
    </row>
    <row r="1345" spans="3:8">
      <c r="C1345" s="147"/>
      <c r="D1345" s="147"/>
      <c r="E1345" s="147"/>
      <c r="F1345" s="147"/>
      <c r="G1345" s="147"/>
      <c r="H1345" s="147"/>
    </row>
    <row r="1346" spans="3:8">
      <c r="C1346" s="147"/>
      <c r="D1346" s="147"/>
      <c r="E1346" s="147"/>
      <c r="F1346" s="147"/>
      <c r="G1346" s="147"/>
      <c r="H1346" s="147"/>
    </row>
    <row r="1347" spans="3:8">
      <c r="C1347" s="147"/>
      <c r="D1347" s="147"/>
      <c r="E1347" s="147"/>
      <c r="F1347" s="147"/>
      <c r="G1347" s="147"/>
      <c r="H1347" s="147"/>
    </row>
    <row r="1348" spans="3:8">
      <c r="C1348" s="147"/>
      <c r="D1348" s="147"/>
      <c r="E1348" s="147"/>
      <c r="F1348" s="147"/>
      <c r="G1348" s="147"/>
      <c r="H1348" s="147"/>
    </row>
    <row r="1349" spans="3:8">
      <c r="C1349" s="147"/>
      <c r="D1349" s="147"/>
      <c r="E1349" s="147"/>
      <c r="F1349" s="147"/>
      <c r="G1349" s="147"/>
      <c r="H1349" s="147"/>
    </row>
    <row r="1350" spans="3:8">
      <c r="C1350" s="147"/>
      <c r="D1350" s="147"/>
      <c r="E1350" s="147"/>
      <c r="F1350" s="147"/>
      <c r="G1350" s="147"/>
      <c r="H1350" s="147"/>
    </row>
    <row r="1351" spans="3:8">
      <c r="C1351" s="147"/>
      <c r="D1351" s="147"/>
      <c r="E1351" s="147"/>
      <c r="F1351" s="147"/>
      <c r="G1351" s="147"/>
      <c r="H1351" s="147"/>
    </row>
    <row r="1352" spans="3:8">
      <c r="C1352" s="147"/>
      <c r="D1352" s="147"/>
      <c r="E1352" s="147"/>
      <c r="F1352" s="147"/>
      <c r="G1352" s="147"/>
      <c r="H1352" s="147"/>
    </row>
    <row r="1353" spans="3:8">
      <c r="C1353" s="147"/>
      <c r="D1353" s="147"/>
      <c r="E1353" s="147"/>
      <c r="F1353" s="147"/>
      <c r="G1353" s="147"/>
      <c r="H1353" s="147"/>
    </row>
    <row r="1354" spans="3:8">
      <c r="C1354" s="147"/>
      <c r="D1354" s="147"/>
      <c r="E1354" s="147"/>
      <c r="F1354" s="147"/>
      <c r="G1354" s="147"/>
      <c r="H1354" s="147"/>
    </row>
    <row r="1355" spans="3:8">
      <c r="C1355" s="147"/>
      <c r="D1355" s="147"/>
      <c r="E1355" s="147"/>
      <c r="F1355" s="147"/>
      <c r="G1355" s="147"/>
      <c r="H1355" s="147"/>
    </row>
    <row r="1356" spans="3:8">
      <c r="C1356" s="147"/>
      <c r="D1356" s="147"/>
      <c r="E1356" s="147"/>
      <c r="F1356" s="147"/>
      <c r="G1356" s="147"/>
      <c r="H1356" s="147"/>
    </row>
    <row r="1357" spans="3:8">
      <c r="C1357" s="147"/>
      <c r="D1357" s="147"/>
      <c r="E1357" s="147"/>
      <c r="F1357" s="147"/>
      <c r="G1357" s="147"/>
      <c r="H1357" s="147"/>
    </row>
    <row r="1358" spans="3:8">
      <c r="C1358" s="147"/>
      <c r="D1358" s="147"/>
      <c r="E1358" s="147"/>
      <c r="F1358" s="147"/>
      <c r="G1358" s="147"/>
      <c r="H1358" s="147"/>
    </row>
    <row r="1359" spans="3:8">
      <c r="C1359" s="147"/>
      <c r="D1359" s="147"/>
      <c r="E1359" s="147"/>
      <c r="F1359" s="147"/>
      <c r="G1359" s="147"/>
      <c r="H1359" s="147"/>
    </row>
    <row r="1360" spans="3:8">
      <c r="C1360" s="147"/>
      <c r="D1360" s="147"/>
      <c r="E1360" s="147"/>
      <c r="F1360" s="147"/>
      <c r="G1360" s="147"/>
      <c r="H1360" s="147"/>
    </row>
    <row r="1361" spans="3:8">
      <c r="C1361" s="147"/>
      <c r="D1361" s="147"/>
      <c r="E1361" s="147"/>
      <c r="F1361" s="147"/>
      <c r="G1361" s="147"/>
      <c r="H1361" s="147"/>
    </row>
    <row r="1362" spans="3:8">
      <c r="C1362" s="147"/>
      <c r="D1362" s="147"/>
      <c r="E1362" s="147"/>
      <c r="F1362" s="147"/>
      <c r="G1362" s="147"/>
      <c r="H1362" s="147"/>
    </row>
    <row r="1363" spans="3:8">
      <c r="C1363" s="147"/>
      <c r="D1363" s="147"/>
      <c r="E1363" s="147"/>
      <c r="F1363" s="147"/>
      <c r="G1363" s="147"/>
      <c r="H1363" s="147"/>
    </row>
    <row r="1364" spans="3:8">
      <c r="C1364" s="147"/>
      <c r="D1364" s="147"/>
      <c r="E1364" s="147"/>
      <c r="F1364" s="147"/>
      <c r="G1364" s="147"/>
      <c r="H1364" s="147"/>
    </row>
    <row r="1365" spans="3:8">
      <c r="C1365" s="147"/>
      <c r="D1365" s="147"/>
      <c r="E1365" s="147"/>
      <c r="F1365" s="147"/>
      <c r="G1365" s="147"/>
      <c r="H1365" s="147"/>
    </row>
    <row r="1366" spans="3:8">
      <c r="C1366" s="147"/>
      <c r="D1366" s="147"/>
      <c r="E1366" s="147"/>
      <c r="F1366" s="147"/>
      <c r="G1366" s="147"/>
      <c r="H1366" s="147"/>
    </row>
    <row r="1367" spans="3:8">
      <c r="C1367" s="147"/>
      <c r="D1367" s="147"/>
      <c r="E1367" s="147"/>
      <c r="F1367" s="147"/>
      <c r="G1367" s="147"/>
      <c r="H1367" s="147"/>
    </row>
    <row r="1368" spans="3:8">
      <c r="C1368" s="147"/>
      <c r="D1368" s="147"/>
      <c r="E1368" s="147"/>
      <c r="F1368" s="147"/>
      <c r="G1368" s="147"/>
      <c r="H1368" s="147"/>
    </row>
    <row r="1369" spans="3:8">
      <c r="C1369" s="147"/>
      <c r="D1369" s="147"/>
      <c r="E1369" s="147"/>
      <c r="F1369" s="147"/>
      <c r="G1369" s="147"/>
      <c r="H1369" s="147"/>
    </row>
    <row r="1370" spans="3:8">
      <c r="C1370" s="147"/>
      <c r="D1370" s="147"/>
      <c r="E1370" s="147"/>
      <c r="F1370" s="147"/>
      <c r="G1370" s="147"/>
      <c r="H1370" s="147"/>
    </row>
    <row r="1371" spans="3:8">
      <c r="C1371" s="147"/>
      <c r="D1371" s="147"/>
      <c r="E1371" s="147"/>
      <c r="F1371" s="147"/>
      <c r="G1371" s="147"/>
      <c r="H1371" s="147"/>
    </row>
    <row r="1372" spans="3:8">
      <c r="C1372" s="147"/>
      <c r="D1372" s="147"/>
      <c r="E1372" s="147"/>
      <c r="F1372" s="147"/>
      <c r="G1372" s="147"/>
      <c r="H1372" s="147"/>
    </row>
    <row r="1373" spans="3:8">
      <c r="C1373" s="147"/>
      <c r="D1373" s="147"/>
      <c r="E1373" s="147"/>
      <c r="F1373" s="147"/>
      <c r="G1373" s="147"/>
      <c r="H1373" s="147"/>
    </row>
    <row r="1374" spans="3:8">
      <c r="C1374" s="147"/>
      <c r="D1374" s="147"/>
      <c r="E1374" s="147"/>
      <c r="F1374" s="147"/>
      <c r="G1374" s="147"/>
      <c r="H1374" s="147"/>
    </row>
    <row r="1375" spans="3:8">
      <c r="C1375" s="147"/>
      <c r="D1375" s="147"/>
      <c r="E1375" s="147"/>
      <c r="F1375" s="147"/>
      <c r="G1375" s="147"/>
      <c r="H1375" s="147"/>
    </row>
    <row r="1376" spans="3:8">
      <c r="C1376" s="147"/>
      <c r="D1376" s="147"/>
      <c r="E1376" s="147"/>
      <c r="F1376" s="147"/>
      <c r="G1376" s="147"/>
      <c r="H1376" s="147"/>
    </row>
    <row r="1377" spans="3:8">
      <c r="C1377" s="147"/>
      <c r="D1377" s="147"/>
      <c r="E1377" s="147"/>
      <c r="F1377" s="147"/>
      <c r="G1377" s="147"/>
      <c r="H1377" s="147"/>
    </row>
    <row r="1378" spans="3:8">
      <c r="C1378" s="147"/>
      <c r="D1378" s="147"/>
      <c r="E1378" s="147"/>
      <c r="F1378" s="147"/>
      <c r="G1378" s="147"/>
      <c r="H1378" s="147"/>
    </row>
    <row r="1379" spans="3:8">
      <c r="C1379" s="147"/>
      <c r="D1379" s="147"/>
      <c r="E1379" s="147"/>
      <c r="F1379" s="147"/>
      <c r="G1379" s="147"/>
      <c r="H1379" s="147"/>
    </row>
    <row r="1380" spans="3:8">
      <c r="C1380" s="147"/>
      <c r="D1380" s="147"/>
      <c r="E1380" s="147"/>
      <c r="F1380" s="147"/>
      <c r="G1380" s="147"/>
      <c r="H1380" s="147"/>
    </row>
    <row r="1381" spans="3:8">
      <c r="C1381" s="147"/>
      <c r="D1381" s="147"/>
      <c r="E1381" s="147"/>
      <c r="F1381" s="147"/>
      <c r="G1381" s="147"/>
      <c r="H1381" s="147"/>
    </row>
    <row r="1382" spans="3:8">
      <c r="C1382" s="147"/>
      <c r="D1382" s="147"/>
      <c r="E1382" s="147"/>
      <c r="F1382" s="147"/>
      <c r="G1382" s="147"/>
      <c r="H1382" s="147"/>
    </row>
    <row r="1383" spans="3:8">
      <c r="C1383" s="147"/>
      <c r="D1383" s="147"/>
      <c r="E1383" s="147"/>
      <c r="F1383" s="147"/>
      <c r="G1383" s="147"/>
      <c r="H1383" s="147"/>
    </row>
    <row r="1384" spans="3:8">
      <c r="C1384" s="147"/>
      <c r="D1384" s="147"/>
      <c r="E1384" s="147"/>
      <c r="F1384" s="147"/>
      <c r="G1384" s="147"/>
      <c r="H1384" s="147"/>
    </row>
    <row r="1385" spans="3:8">
      <c r="C1385" s="147"/>
      <c r="D1385" s="147"/>
      <c r="E1385" s="147"/>
      <c r="F1385" s="147"/>
      <c r="G1385" s="147"/>
      <c r="H1385" s="147"/>
    </row>
    <row r="1386" spans="3:8">
      <c r="C1386" s="147"/>
      <c r="D1386" s="147"/>
      <c r="E1386" s="147"/>
      <c r="F1386" s="147"/>
      <c r="G1386" s="147"/>
      <c r="H1386" s="147"/>
    </row>
    <row r="1387" spans="3:8">
      <c r="C1387" s="147"/>
      <c r="D1387" s="147"/>
      <c r="E1387" s="147"/>
      <c r="F1387" s="147"/>
      <c r="G1387" s="147"/>
      <c r="H1387" s="147"/>
    </row>
    <row r="1388" spans="3:8">
      <c r="C1388" s="147"/>
      <c r="D1388" s="147"/>
      <c r="E1388" s="147"/>
      <c r="F1388" s="147"/>
      <c r="G1388" s="147"/>
      <c r="H1388" s="147"/>
    </row>
    <row r="1389" spans="3:8">
      <c r="C1389" s="147"/>
      <c r="D1389" s="147"/>
      <c r="E1389" s="147"/>
      <c r="F1389" s="147"/>
      <c r="G1389" s="147"/>
      <c r="H1389" s="147"/>
    </row>
    <row r="1390" spans="3:8">
      <c r="C1390" s="147"/>
      <c r="D1390" s="147"/>
      <c r="E1390" s="147"/>
      <c r="F1390" s="147"/>
      <c r="G1390" s="147"/>
      <c r="H1390" s="147"/>
    </row>
    <row r="1391" spans="3:8">
      <c r="C1391" s="147"/>
      <c r="D1391" s="147"/>
      <c r="E1391" s="147"/>
      <c r="F1391" s="147"/>
      <c r="G1391" s="147"/>
      <c r="H1391" s="147"/>
    </row>
    <row r="1392" spans="3:8">
      <c r="C1392" s="147"/>
      <c r="D1392" s="147"/>
      <c r="E1392" s="147"/>
      <c r="F1392" s="147"/>
      <c r="G1392" s="147"/>
      <c r="H1392" s="147"/>
    </row>
    <row r="1393" spans="3:8">
      <c r="C1393" s="147"/>
      <c r="D1393" s="147"/>
      <c r="E1393" s="147"/>
      <c r="F1393" s="147"/>
      <c r="G1393" s="147"/>
      <c r="H1393" s="147"/>
    </row>
    <row r="1394" spans="3:8">
      <c r="C1394" s="147"/>
      <c r="D1394" s="147"/>
      <c r="E1394" s="147"/>
      <c r="F1394" s="147"/>
      <c r="G1394" s="147"/>
      <c r="H1394" s="147"/>
    </row>
    <row r="1395" spans="3:8">
      <c r="C1395" s="147"/>
      <c r="D1395" s="147"/>
      <c r="E1395" s="147"/>
      <c r="F1395" s="147"/>
      <c r="G1395" s="147"/>
      <c r="H1395" s="147"/>
    </row>
    <row r="1396" spans="3:8">
      <c r="C1396" s="147"/>
      <c r="D1396" s="147"/>
      <c r="E1396" s="147"/>
      <c r="F1396" s="147"/>
      <c r="G1396" s="147"/>
      <c r="H1396" s="147"/>
    </row>
    <row r="1397" spans="3:8">
      <c r="C1397" s="147"/>
      <c r="D1397" s="147"/>
      <c r="E1397" s="147"/>
      <c r="F1397" s="147"/>
      <c r="G1397" s="147"/>
      <c r="H1397" s="147"/>
    </row>
    <row r="1398" spans="3:8">
      <c r="C1398" s="147"/>
      <c r="D1398" s="147"/>
      <c r="E1398" s="147"/>
      <c r="F1398" s="147"/>
      <c r="G1398" s="147"/>
      <c r="H1398" s="147"/>
    </row>
    <row r="1399" spans="3:8">
      <c r="C1399" s="147"/>
      <c r="D1399" s="147"/>
      <c r="E1399" s="147"/>
      <c r="F1399" s="147"/>
      <c r="G1399" s="147"/>
      <c r="H1399" s="147"/>
    </row>
    <row r="1400" spans="3:8">
      <c r="C1400" s="147"/>
      <c r="D1400" s="147"/>
      <c r="E1400" s="147"/>
      <c r="F1400" s="147"/>
      <c r="G1400" s="147"/>
      <c r="H1400" s="147"/>
    </row>
    <row r="1401" spans="3:8">
      <c r="C1401" s="147"/>
      <c r="D1401" s="147"/>
      <c r="E1401" s="147"/>
      <c r="F1401" s="147"/>
      <c r="G1401" s="147"/>
      <c r="H1401" s="147"/>
    </row>
    <row r="1402" spans="3:8">
      <c r="C1402" s="147"/>
      <c r="D1402" s="147"/>
      <c r="E1402" s="147"/>
      <c r="F1402" s="147"/>
      <c r="G1402" s="147"/>
      <c r="H1402" s="147"/>
    </row>
    <row r="1403" spans="3:8">
      <c r="C1403" s="147"/>
      <c r="D1403" s="147"/>
      <c r="E1403" s="147"/>
      <c r="F1403" s="147"/>
      <c r="G1403" s="147"/>
      <c r="H1403" s="147"/>
    </row>
    <row r="1404" spans="3:8">
      <c r="C1404" s="147"/>
      <c r="D1404" s="147"/>
      <c r="E1404" s="147"/>
      <c r="F1404" s="147"/>
      <c r="G1404" s="147"/>
      <c r="H1404" s="147"/>
    </row>
    <row r="1405" spans="3:8">
      <c r="C1405" s="147"/>
      <c r="D1405" s="147"/>
      <c r="E1405" s="147"/>
      <c r="F1405" s="147"/>
      <c r="G1405" s="147"/>
      <c r="H1405" s="147"/>
    </row>
    <row r="1406" spans="3:8">
      <c r="C1406" s="147"/>
      <c r="D1406" s="147"/>
      <c r="E1406" s="147"/>
      <c r="F1406" s="147"/>
      <c r="G1406" s="147"/>
      <c r="H1406" s="147"/>
    </row>
    <row r="1407" spans="3:8">
      <c r="C1407" s="147"/>
      <c r="D1407" s="147"/>
      <c r="E1407" s="147"/>
      <c r="F1407" s="147"/>
      <c r="G1407" s="147"/>
      <c r="H1407" s="147"/>
    </row>
    <row r="1408" spans="3:8">
      <c r="C1408" s="147"/>
      <c r="D1408" s="147"/>
      <c r="E1408" s="147"/>
      <c r="F1408" s="147"/>
      <c r="G1408" s="147"/>
      <c r="H1408" s="147"/>
    </row>
    <row r="1409" spans="3:8">
      <c r="C1409" s="147"/>
      <c r="D1409" s="147"/>
      <c r="E1409" s="147"/>
      <c r="F1409" s="147"/>
      <c r="G1409" s="147"/>
      <c r="H1409" s="147"/>
    </row>
    <row r="1410" spans="3:8">
      <c r="C1410" s="147"/>
      <c r="D1410" s="147"/>
      <c r="E1410" s="147"/>
      <c r="F1410" s="147"/>
      <c r="G1410" s="147"/>
      <c r="H1410" s="147"/>
    </row>
    <row r="1411" spans="3:8">
      <c r="C1411" s="147"/>
      <c r="D1411" s="147"/>
      <c r="E1411" s="147"/>
      <c r="F1411" s="147"/>
      <c r="G1411" s="147"/>
      <c r="H1411" s="147"/>
    </row>
    <row r="1412" spans="3:8">
      <c r="C1412" s="147"/>
      <c r="D1412" s="147"/>
      <c r="E1412" s="147"/>
      <c r="F1412" s="147"/>
      <c r="G1412" s="147"/>
      <c r="H1412" s="147"/>
    </row>
    <row r="1413" spans="3:8">
      <c r="C1413" s="147"/>
      <c r="D1413" s="147"/>
      <c r="E1413" s="147"/>
      <c r="F1413" s="147"/>
      <c r="G1413" s="147"/>
      <c r="H1413" s="147"/>
    </row>
    <row r="1414" spans="3:8">
      <c r="C1414" s="147"/>
      <c r="D1414" s="147"/>
      <c r="E1414" s="147"/>
      <c r="F1414" s="147"/>
      <c r="G1414" s="147"/>
      <c r="H1414" s="147"/>
    </row>
    <row r="1415" spans="3:8">
      <c r="C1415" s="147"/>
      <c r="D1415" s="147"/>
      <c r="E1415" s="147"/>
      <c r="F1415" s="147"/>
      <c r="G1415" s="147"/>
      <c r="H1415" s="147"/>
    </row>
    <row r="1416" spans="3:8">
      <c r="C1416" s="147"/>
      <c r="D1416" s="147"/>
      <c r="E1416" s="147"/>
      <c r="F1416" s="147"/>
      <c r="G1416" s="147"/>
      <c r="H1416" s="147"/>
    </row>
    <row r="1417" spans="3:8">
      <c r="C1417" s="147"/>
      <c r="D1417" s="147"/>
      <c r="E1417" s="147"/>
      <c r="F1417" s="147"/>
      <c r="G1417" s="147"/>
      <c r="H1417" s="147"/>
    </row>
    <row r="1418" spans="3:8">
      <c r="C1418" s="147"/>
      <c r="D1418" s="147"/>
      <c r="E1418" s="147"/>
      <c r="F1418" s="147"/>
      <c r="G1418" s="147"/>
      <c r="H1418" s="147"/>
    </row>
    <row r="1419" spans="3:8">
      <c r="C1419" s="147"/>
      <c r="D1419" s="147"/>
      <c r="E1419" s="147"/>
      <c r="F1419" s="147"/>
      <c r="G1419" s="147"/>
      <c r="H1419" s="147"/>
    </row>
    <row r="1420" spans="3:8">
      <c r="C1420" s="147"/>
      <c r="D1420" s="147"/>
      <c r="E1420" s="147"/>
      <c r="F1420" s="147"/>
      <c r="G1420" s="147"/>
      <c r="H1420" s="147"/>
    </row>
    <row r="1421" spans="3:8">
      <c r="C1421" s="147"/>
      <c r="D1421" s="147"/>
      <c r="E1421" s="147"/>
      <c r="F1421" s="147"/>
      <c r="G1421" s="147"/>
      <c r="H1421" s="147"/>
    </row>
    <row r="1422" spans="3:8">
      <c r="C1422" s="147"/>
      <c r="D1422" s="147"/>
      <c r="E1422" s="147"/>
      <c r="F1422" s="147"/>
      <c r="G1422" s="147"/>
      <c r="H1422" s="147"/>
    </row>
    <row r="1423" spans="3:8">
      <c r="C1423" s="147"/>
      <c r="D1423" s="147"/>
      <c r="E1423" s="147"/>
      <c r="F1423" s="147"/>
      <c r="G1423" s="147"/>
      <c r="H1423" s="147"/>
    </row>
    <row r="1424" spans="3:8">
      <c r="C1424" s="147"/>
      <c r="D1424" s="147"/>
      <c r="E1424" s="147"/>
      <c r="F1424" s="147"/>
      <c r="G1424" s="147"/>
      <c r="H1424" s="147"/>
    </row>
    <row r="1425" spans="3:8">
      <c r="C1425" s="147"/>
      <c r="D1425" s="147"/>
      <c r="E1425" s="147"/>
      <c r="F1425" s="147"/>
      <c r="G1425" s="147"/>
      <c r="H1425" s="147"/>
    </row>
    <row r="1426" spans="3:8">
      <c r="C1426" s="147"/>
      <c r="D1426" s="147"/>
      <c r="E1426" s="147"/>
      <c r="F1426" s="147"/>
      <c r="G1426" s="147"/>
      <c r="H1426" s="147"/>
    </row>
    <row r="1427" spans="3:8">
      <c r="C1427" s="147"/>
      <c r="D1427" s="147"/>
      <c r="E1427" s="147"/>
      <c r="F1427" s="147"/>
      <c r="G1427" s="147"/>
      <c r="H1427" s="147"/>
    </row>
    <row r="1428" spans="3:8">
      <c r="C1428" s="147"/>
      <c r="D1428" s="147"/>
      <c r="E1428" s="147"/>
      <c r="F1428" s="147"/>
      <c r="G1428" s="147"/>
      <c r="H1428" s="147"/>
    </row>
    <row r="1429" spans="3:8">
      <c r="C1429" s="147"/>
      <c r="D1429" s="147"/>
      <c r="E1429" s="147"/>
      <c r="F1429" s="147"/>
      <c r="G1429" s="147"/>
      <c r="H1429" s="147"/>
    </row>
    <row r="1430" spans="3:8">
      <c r="C1430" s="147"/>
      <c r="D1430" s="147"/>
      <c r="E1430" s="147"/>
      <c r="F1430" s="147"/>
      <c r="G1430" s="147"/>
      <c r="H1430" s="147"/>
    </row>
    <row r="1431" spans="3:8">
      <c r="C1431" s="147"/>
      <c r="D1431" s="147"/>
      <c r="E1431" s="147"/>
      <c r="F1431" s="147"/>
      <c r="G1431" s="147"/>
      <c r="H1431" s="147"/>
    </row>
    <row r="1432" spans="3:8">
      <c r="C1432" s="147"/>
      <c r="D1432" s="147"/>
      <c r="E1432" s="147"/>
      <c r="F1432" s="147"/>
      <c r="G1432" s="147"/>
      <c r="H1432" s="147"/>
    </row>
    <row r="1433" spans="3:8">
      <c r="C1433" s="147"/>
      <c r="D1433" s="147"/>
      <c r="E1433" s="147"/>
      <c r="F1433" s="147"/>
      <c r="G1433" s="147"/>
      <c r="H1433" s="147"/>
    </row>
    <row r="1434" spans="3:8">
      <c r="C1434" s="147"/>
      <c r="D1434" s="147"/>
      <c r="E1434" s="147"/>
      <c r="F1434" s="147"/>
      <c r="G1434" s="147"/>
      <c r="H1434" s="147"/>
    </row>
    <row r="1435" spans="3:8">
      <c r="C1435" s="147"/>
      <c r="D1435" s="147"/>
      <c r="E1435" s="147"/>
      <c r="F1435" s="147"/>
      <c r="G1435" s="147"/>
      <c r="H1435" s="147"/>
    </row>
    <row r="1436" spans="3:8">
      <c r="C1436" s="147"/>
      <c r="D1436" s="147"/>
      <c r="E1436" s="147"/>
      <c r="F1436" s="147"/>
      <c r="G1436" s="147"/>
      <c r="H1436" s="147"/>
    </row>
    <row r="1437" spans="3:8">
      <c r="C1437" s="147"/>
      <c r="D1437" s="147"/>
      <c r="E1437" s="147"/>
      <c r="F1437" s="147"/>
      <c r="G1437" s="147"/>
      <c r="H1437" s="147"/>
    </row>
    <row r="1438" spans="3:8">
      <c r="C1438" s="147"/>
      <c r="D1438" s="147"/>
      <c r="E1438" s="147"/>
      <c r="F1438" s="147"/>
      <c r="G1438" s="147"/>
      <c r="H1438" s="147"/>
    </row>
    <row r="1439" spans="3:8">
      <c r="C1439" s="147"/>
      <c r="D1439" s="147"/>
      <c r="E1439" s="147"/>
      <c r="F1439" s="147"/>
      <c r="G1439" s="147"/>
      <c r="H1439" s="147"/>
    </row>
    <row r="1440" spans="3:8">
      <c r="C1440" s="147"/>
      <c r="D1440" s="147"/>
      <c r="E1440" s="147"/>
      <c r="F1440" s="147"/>
      <c r="G1440" s="147"/>
      <c r="H1440" s="147"/>
    </row>
    <row r="1441" spans="3:8">
      <c r="C1441" s="147"/>
      <c r="D1441" s="147"/>
      <c r="E1441" s="147"/>
      <c r="F1441" s="147"/>
      <c r="G1441" s="147"/>
      <c r="H1441" s="147"/>
    </row>
    <row r="1442" spans="3:8">
      <c r="C1442" s="147"/>
      <c r="D1442" s="147"/>
      <c r="E1442" s="147"/>
      <c r="F1442" s="147"/>
      <c r="G1442" s="147"/>
      <c r="H1442" s="147"/>
    </row>
    <row r="1443" spans="3:8">
      <c r="C1443" s="147"/>
      <c r="D1443" s="147"/>
      <c r="E1443" s="147"/>
      <c r="F1443" s="147"/>
      <c r="G1443" s="147"/>
      <c r="H1443" s="147"/>
    </row>
    <row r="1444" spans="3:8">
      <c r="C1444" s="147"/>
      <c r="D1444" s="147"/>
      <c r="E1444" s="147"/>
      <c r="F1444" s="147"/>
      <c r="G1444" s="147"/>
      <c r="H1444" s="147"/>
    </row>
    <row r="1445" spans="3:8">
      <c r="C1445" s="147"/>
      <c r="D1445" s="147"/>
      <c r="E1445" s="147"/>
      <c r="F1445" s="147"/>
      <c r="G1445" s="147"/>
      <c r="H1445" s="147"/>
    </row>
    <row r="1446" spans="3:8">
      <c r="C1446" s="147"/>
      <c r="D1446" s="147"/>
      <c r="E1446" s="147"/>
      <c r="F1446" s="147"/>
      <c r="G1446" s="147"/>
      <c r="H1446" s="147"/>
    </row>
    <row r="1447" spans="3:8">
      <c r="C1447" s="147"/>
      <c r="D1447" s="147"/>
      <c r="E1447" s="147"/>
      <c r="F1447" s="147"/>
      <c r="G1447" s="147"/>
      <c r="H1447" s="147"/>
    </row>
    <row r="1448" spans="3:8">
      <c r="C1448" s="147"/>
      <c r="D1448" s="147"/>
      <c r="E1448" s="147"/>
      <c r="F1448" s="147"/>
      <c r="G1448" s="147"/>
      <c r="H1448" s="147"/>
    </row>
    <row r="1449" spans="3:8">
      <c r="C1449" s="147"/>
      <c r="D1449" s="147"/>
      <c r="E1449" s="147"/>
      <c r="F1449" s="147"/>
      <c r="G1449" s="147"/>
      <c r="H1449" s="147"/>
    </row>
    <row r="1450" spans="3:8">
      <c r="C1450" s="147"/>
      <c r="D1450" s="147"/>
      <c r="E1450" s="147"/>
      <c r="F1450" s="147"/>
      <c r="G1450" s="147"/>
      <c r="H1450" s="147"/>
    </row>
    <row r="1451" spans="3:8">
      <c r="C1451" s="147"/>
      <c r="D1451" s="147"/>
      <c r="E1451" s="147"/>
      <c r="F1451" s="147"/>
      <c r="G1451" s="147"/>
      <c r="H1451" s="147"/>
    </row>
    <row r="1452" spans="3:8">
      <c r="C1452" s="147"/>
      <c r="D1452" s="147"/>
      <c r="E1452" s="147"/>
      <c r="F1452" s="147"/>
      <c r="G1452" s="147"/>
      <c r="H1452" s="147"/>
    </row>
    <row r="1453" spans="3:8">
      <c r="C1453" s="147"/>
      <c r="D1453" s="147"/>
      <c r="E1453" s="147"/>
      <c r="F1453" s="147"/>
      <c r="G1453" s="147"/>
      <c r="H1453" s="147"/>
    </row>
    <row r="1454" spans="3:8">
      <c r="C1454" s="147"/>
      <c r="D1454" s="147"/>
      <c r="E1454" s="147"/>
      <c r="F1454" s="147"/>
      <c r="G1454" s="147"/>
      <c r="H1454" s="147"/>
    </row>
    <row r="1455" spans="3:8">
      <c r="C1455" s="147"/>
      <c r="D1455" s="147"/>
      <c r="E1455" s="147"/>
      <c r="F1455" s="147"/>
      <c r="G1455" s="147"/>
      <c r="H1455" s="147"/>
    </row>
    <row r="1456" spans="3:8">
      <c r="C1456" s="147"/>
      <c r="D1456" s="147"/>
      <c r="E1456" s="147"/>
      <c r="F1456" s="147"/>
      <c r="G1456" s="147"/>
      <c r="H1456" s="147"/>
    </row>
    <row r="1457" spans="3:8">
      <c r="C1457" s="147"/>
      <c r="D1457" s="147"/>
      <c r="E1457" s="147"/>
      <c r="F1457" s="147"/>
      <c r="G1457" s="147"/>
      <c r="H1457" s="147"/>
    </row>
    <row r="1458" spans="3:8">
      <c r="C1458" s="147"/>
      <c r="D1458" s="147"/>
      <c r="E1458" s="147"/>
      <c r="F1458" s="147"/>
      <c r="G1458" s="147"/>
      <c r="H1458" s="147"/>
    </row>
    <row r="1459" spans="3:8">
      <c r="C1459" s="147"/>
      <c r="D1459" s="147"/>
      <c r="E1459" s="147"/>
      <c r="F1459" s="147"/>
      <c r="G1459" s="147"/>
      <c r="H1459" s="147"/>
    </row>
    <row r="1460" spans="3:8">
      <c r="C1460" s="147"/>
      <c r="D1460" s="147"/>
      <c r="E1460" s="147"/>
      <c r="F1460" s="147"/>
      <c r="G1460" s="147"/>
      <c r="H1460" s="147"/>
    </row>
    <row r="1461" spans="3:8">
      <c r="C1461" s="147"/>
      <c r="D1461" s="147"/>
      <c r="E1461" s="147"/>
      <c r="F1461" s="147"/>
      <c r="G1461" s="147"/>
      <c r="H1461" s="147"/>
    </row>
    <row r="1462" spans="3:8">
      <c r="C1462" s="147"/>
      <c r="D1462" s="147"/>
      <c r="E1462" s="147"/>
      <c r="F1462" s="147"/>
      <c r="G1462" s="147"/>
      <c r="H1462" s="147"/>
    </row>
    <row r="1463" spans="3:8">
      <c r="C1463" s="147"/>
      <c r="D1463" s="147"/>
      <c r="E1463" s="147"/>
      <c r="F1463" s="147"/>
      <c r="G1463" s="147"/>
      <c r="H1463" s="147"/>
    </row>
    <row r="1464" spans="3:8">
      <c r="C1464" s="147"/>
      <c r="D1464" s="147"/>
      <c r="E1464" s="147"/>
      <c r="F1464" s="147"/>
      <c r="G1464" s="147"/>
      <c r="H1464" s="147"/>
    </row>
    <row r="1465" spans="3:8">
      <c r="C1465" s="147"/>
      <c r="D1465" s="147"/>
      <c r="E1465" s="147"/>
      <c r="F1465" s="147"/>
      <c r="G1465" s="147"/>
      <c r="H1465" s="147"/>
    </row>
    <row r="1466" spans="3:8">
      <c r="C1466" s="147"/>
      <c r="D1466" s="147"/>
      <c r="E1466" s="147"/>
      <c r="F1466" s="147"/>
      <c r="G1466" s="147"/>
      <c r="H1466" s="147"/>
    </row>
    <row r="1467" spans="3:8">
      <c r="C1467" s="147"/>
      <c r="D1467" s="147"/>
      <c r="E1467" s="147"/>
      <c r="F1467" s="147"/>
      <c r="G1467" s="147"/>
      <c r="H1467" s="147"/>
    </row>
    <row r="1468" spans="3:8">
      <c r="C1468" s="147"/>
      <c r="D1468" s="147"/>
      <c r="E1468" s="147"/>
      <c r="F1468" s="147"/>
      <c r="G1468" s="147"/>
      <c r="H1468" s="147"/>
    </row>
    <row r="1469" spans="3:8">
      <c r="C1469" s="147"/>
      <c r="D1469" s="147"/>
      <c r="E1469" s="147"/>
      <c r="F1469" s="147"/>
      <c r="G1469" s="147"/>
      <c r="H1469" s="147"/>
    </row>
    <row r="1470" spans="3:8">
      <c r="C1470" s="147"/>
      <c r="D1470" s="147"/>
      <c r="E1470" s="147"/>
      <c r="F1470" s="147"/>
      <c r="G1470" s="147"/>
      <c r="H1470" s="147"/>
    </row>
    <row r="1471" spans="3:8">
      <c r="C1471" s="147"/>
      <c r="D1471" s="147"/>
      <c r="E1471" s="147"/>
      <c r="F1471" s="147"/>
      <c r="G1471" s="147"/>
      <c r="H1471" s="147"/>
    </row>
    <row r="1472" spans="3:8">
      <c r="C1472" s="147"/>
      <c r="D1472" s="147"/>
      <c r="E1472" s="147"/>
      <c r="F1472" s="147"/>
      <c r="G1472" s="147"/>
      <c r="H1472" s="147"/>
    </row>
    <row r="1473" spans="3:8">
      <c r="C1473" s="147"/>
      <c r="D1473" s="147"/>
      <c r="E1473" s="147"/>
      <c r="F1473" s="147"/>
      <c r="G1473" s="147"/>
      <c r="H1473" s="147"/>
    </row>
    <row r="1474" spans="3:8">
      <c r="C1474" s="147"/>
      <c r="D1474" s="147"/>
      <c r="E1474" s="147"/>
      <c r="F1474" s="147"/>
      <c r="G1474" s="147"/>
      <c r="H1474" s="147"/>
    </row>
    <row r="1475" spans="3:8">
      <c r="C1475" s="147"/>
      <c r="D1475" s="147"/>
      <c r="E1475" s="147"/>
      <c r="F1475" s="147"/>
      <c r="G1475" s="147"/>
      <c r="H1475" s="147"/>
    </row>
    <row r="1476" spans="3:8">
      <c r="C1476" s="147"/>
      <c r="D1476" s="147"/>
      <c r="E1476" s="147"/>
      <c r="F1476" s="147"/>
      <c r="G1476" s="147"/>
      <c r="H1476" s="147"/>
    </row>
    <row r="1477" spans="3:8">
      <c r="C1477" s="147"/>
      <c r="D1477" s="147"/>
      <c r="E1477" s="147"/>
      <c r="F1477" s="147"/>
      <c r="G1477" s="147"/>
      <c r="H1477" s="147"/>
    </row>
    <row r="1478" spans="3:8">
      <c r="C1478" s="147"/>
      <c r="D1478" s="147"/>
      <c r="E1478" s="147"/>
      <c r="F1478" s="147"/>
      <c r="G1478" s="147"/>
      <c r="H1478" s="147"/>
    </row>
    <row r="1479" spans="3:8">
      <c r="C1479" s="147"/>
      <c r="D1479" s="147"/>
      <c r="E1479" s="147"/>
      <c r="F1479" s="147"/>
      <c r="G1479" s="147"/>
      <c r="H1479" s="147"/>
    </row>
    <row r="1480" spans="3:8">
      <c r="C1480" s="147"/>
      <c r="D1480" s="147"/>
      <c r="E1480" s="147"/>
      <c r="F1480" s="147"/>
      <c r="G1480" s="147"/>
      <c r="H1480" s="147"/>
    </row>
    <row r="1481" spans="3:8">
      <c r="C1481" s="147"/>
      <c r="D1481" s="147"/>
      <c r="E1481" s="147"/>
      <c r="F1481" s="147"/>
      <c r="G1481" s="147"/>
      <c r="H1481" s="147"/>
    </row>
    <row r="1482" spans="3:8">
      <c r="C1482" s="147"/>
      <c r="D1482" s="147"/>
      <c r="E1482" s="147"/>
      <c r="F1482" s="147"/>
      <c r="G1482" s="147"/>
      <c r="H1482" s="147"/>
    </row>
    <row r="1483" spans="3:8">
      <c r="C1483" s="147"/>
      <c r="D1483" s="147"/>
      <c r="E1483" s="147"/>
      <c r="F1483" s="147"/>
      <c r="G1483" s="147"/>
      <c r="H1483" s="147"/>
    </row>
    <row r="1484" spans="3:8">
      <c r="C1484" s="147"/>
      <c r="D1484" s="147"/>
      <c r="E1484" s="147"/>
      <c r="F1484" s="147"/>
      <c r="G1484" s="147"/>
      <c r="H1484" s="147"/>
    </row>
    <row r="1485" spans="3:8">
      <c r="C1485" s="147"/>
      <c r="D1485" s="147"/>
      <c r="E1485" s="147"/>
      <c r="F1485" s="147"/>
      <c r="G1485" s="147"/>
      <c r="H1485" s="147"/>
    </row>
    <row r="1486" spans="3:8">
      <c r="C1486" s="147"/>
      <c r="D1486" s="147"/>
      <c r="E1486" s="147"/>
      <c r="F1486" s="147"/>
      <c r="G1486" s="147"/>
      <c r="H1486" s="147"/>
    </row>
    <row r="1487" spans="3:8">
      <c r="C1487" s="147"/>
      <c r="D1487" s="147"/>
      <c r="E1487" s="147"/>
      <c r="F1487" s="147"/>
      <c r="G1487" s="147"/>
      <c r="H1487" s="147"/>
    </row>
    <row r="1488" spans="3:8">
      <c r="C1488" s="147"/>
      <c r="D1488" s="147"/>
      <c r="E1488" s="147"/>
      <c r="F1488" s="147"/>
      <c r="G1488" s="147"/>
      <c r="H1488" s="147"/>
    </row>
    <row r="1489" spans="3:8">
      <c r="C1489" s="147"/>
      <c r="D1489" s="147"/>
      <c r="E1489" s="147"/>
      <c r="F1489" s="147"/>
      <c r="G1489" s="147"/>
      <c r="H1489" s="147"/>
    </row>
    <row r="1490" spans="3:8">
      <c r="C1490" s="147"/>
      <c r="D1490" s="147"/>
      <c r="E1490" s="147"/>
      <c r="F1490" s="147"/>
      <c r="G1490" s="147"/>
      <c r="H1490" s="147"/>
    </row>
    <row r="1491" spans="3:8">
      <c r="C1491" s="147"/>
      <c r="D1491" s="147"/>
      <c r="E1491" s="147"/>
      <c r="F1491" s="147"/>
      <c r="G1491" s="147"/>
      <c r="H1491" s="147"/>
    </row>
    <row r="1492" spans="3:8">
      <c r="C1492" s="147"/>
      <c r="D1492" s="147"/>
      <c r="E1492" s="147"/>
      <c r="F1492" s="147"/>
      <c r="G1492" s="147"/>
      <c r="H1492" s="147"/>
    </row>
    <row r="1493" spans="3:8">
      <c r="C1493" s="147"/>
      <c r="D1493" s="147"/>
      <c r="E1493" s="147"/>
      <c r="F1493" s="147"/>
      <c r="G1493" s="147"/>
      <c r="H1493" s="147"/>
    </row>
    <row r="1494" spans="3:8">
      <c r="C1494" s="147"/>
      <c r="D1494" s="147"/>
      <c r="E1494" s="147"/>
      <c r="F1494" s="147"/>
      <c r="G1494" s="147"/>
      <c r="H1494" s="147"/>
    </row>
    <row r="1495" spans="3:8">
      <c r="C1495" s="147"/>
      <c r="D1495" s="147"/>
      <c r="E1495" s="147"/>
      <c r="F1495" s="147"/>
      <c r="G1495" s="147"/>
      <c r="H1495" s="147"/>
    </row>
    <row r="1496" spans="3:8">
      <c r="C1496" s="147"/>
      <c r="D1496" s="147"/>
      <c r="E1496" s="147"/>
      <c r="F1496" s="147"/>
      <c r="G1496" s="147"/>
      <c r="H1496" s="147"/>
    </row>
    <row r="1497" spans="3:8">
      <c r="C1497" s="147"/>
      <c r="D1497" s="147"/>
      <c r="E1497" s="147"/>
      <c r="F1497" s="147"/>
      <c r="G1497" s="147"/>
      <c r="H1497" s="147"/>
    </row>
    <row r="1498" spans="3:8">
      <c r="C1498" s="147"/>
      <c r="D1498" s="147"/>
      <c r="E1498" s="147"/>
      <c r="F1498" s="147"/>
      <c r="G1498" s="147"/>
      <c r="H1498" s="147"/>
    </row>
    <row r="1499" spans="3:8">
      <c r="C1499" s="147"/>
      <c r="D1499" s="147"/>
      <c r="E1499" s="147"/>
      <c r="F1499" s="147"/>
      <c r="G1499" s="147"/>
      <c r="H1499" s="147"/>
    </row>
    <row r="1500" spans="3:8">
      <c r="C1500" s="147"/>
      <c r="D1500" s="147"/>
      <c r="E1500" s="147"/>
      <c r="F1500" s="147"/>
      <c r="G1500" s="147"/>
      <c r="H1500" s="147"/>
    </row>
    <row r="1501" spans="3:8">
      <c r="C1501" s="147"/>
      <c r="D1501" s="147"/>
      <c r="E1501" s="147"/>
      <c r="F1501" s="147"/>
      <c r="G1501" s="147"/>
      <c r="H1501" s="147"/>
    </row>
    <row r="1502" spans="3:8">
      <c r="C1502" s="147"/>
      <c r="D1502" s="147"/>
      <c r="E1502" s="147"/>
      <c r="F1502" s="147"/>
      <c r="G1502" s="147"/>
      <c r="H1502" s="147"/>
    </row>
    <row r="1503" spans="3:8">
      <c r="C1503" s="147"/>
      <c r="D1503" s="147"/>
      <c r="E1503" s="147"/>
      <c r="F1503" s="147"/>
      <c r="G1503" s="147"/>
      <c r="H1503" s="147"/>
    </row>
    <row r="1504" spans="3:8">
      <c r="C1504" s="147"/>
      <c r="D1504" s="147"/>
      <c r="E1504" s="147"/>
      <c r="F1504" s="147"/>
      <c r="G1504" s="147"/>
      <c r="H1504" s="147"/>
    </row>
    <row r="1505" spans="3:8">
      <c r="C1505" s="147"/>
      <c r="D1505" s="147"/>
      <c r="E1505" s="147"/>
      <c r="F1505" s="147"/>
      <c r="G1505" s="147"/>
      <c r="H1505" s="147"/>
    </row>
    <row r="1506" spans="3:8">
      <c r="C1506" s="147"/>
      <c r="D1506" s="147"/>
      <c r="E1506" s="147"/>
      <c r="F1506" s="147"/>
      <c r="G1506" s="147"/>
      <c r="H1506" s="147"/>
    </row>
    <row r="1507" spans="3:8">
      <c r="C1507" s="147"/>
      <c r="D1507" s="147"/>
      <c r="E1507" s="147"/>
      <c r="F1507" s="147"/>
      <c r="G1507" s="147"/>
      <c r="H1507" s="147"/>
    </row>
    <row r="1508" spans="3:8">
      <c r="C1508" s="147"/>
      <c r="D1508" s="147"/>
      <c r="E1508" s="147"/>
      <c r="F1508" s="147"/>
      <c r="G1508" s="147"/>
      <c r="H1508" s="147"/>
    </row>
    <row r="1509" spans="3:8">
      <c r="C1509" s="147"/>
      <c r="D1509" s="147"/>
      <c r="E1509" s="147"/>
      <c r="F1509" s="147"/>
      <c r="G1509" s="147"/>
      <c r="H1509" s="147"/>
    </row>
    <row r="1510" spans="3:8">
      <c r="C1510" s="147"/>
      <c r="D1510" s="147"/>
      <c r="E1510" s="147"/>
      <c r="F1510" s="147"/>
      <c r="G1510" s="147"/>
      <c r="H1510" s="147"/>
    </row>
    <row r="1511" spans="3:8">
      <c r="C1511" s="147"/>
      <c r="D1511" s="147"/>
      <c r="E1511" s="147"/>
      <c r="F1511" s="147"/>
      <c r="G1511" s="147"/>
      <c r="H1511" s="147"/>
    </row>
    <row r="1512" spans="3:8">
      <c r="C1512" s="147"/>
      <c r="D1512" s="147"/>
      <c r="E1512" s="147"/>
      <c r="F1512" s="147"/>
      <c r="G1512" s="147"/>
      <c r="H1512" s="147"/>
    </row>
    <row r="1513" spans="3:8">
      <c r="C1513" s="147"/>
      <c r="D1513" s="147"/>
      <c r="E1513" s="147"/>
      <c r="F1513" s="147"/>
      <c r="G1513" s="147"/>
      <c r="H1513" s="147"/>
    </row>
    <row r="1514" spans="3:8">
      <c r="C1514" s="147"/>
      <c r="D1514" s="147"/>
      <c r="E1514" s="147"/>
      <c r="F1514" s="147"/>
      <c r="G1514" s="147"/>
      <c r="H1514" s="147"/>
    </row>
    <row r="1515" spans="3:8">
      <c r="C1515" s="147"/>
      <c r="D1515" s="147"/>
      <c r="E1515" s="147"/>
      <c r="F1515" s="147"/>
      <c r="G1515" s="147"/>
      <c r="H1515" s="147"/>
    </row>
    <row r="1516" spans="3:8">
      <c r="C1516" s="147"/>
      <c r="D1516" s="147"/>
      <c r="E1516" s="147"/>
      <c r="F1516" s="147"/>
      <c r="G1516" s="147"/>
      <c r="H1516" s="147"/>
    </row>
    <row r="1517" spans="3:8">
      <c r="C1517" s="147"/>
      <c r="D1517" s="147"/>
      <c r="E1517" s="147"/>
      <c r="F1517" s="147"/>
      <c r="G1517" s="147"/>
      <c r="H1517" s="147"/>
    </row>
    <row r="1518" spans="3:8">
      <c r="C1518" s="147"/>
      <c r="D1518" s="147"/>
      <c r="E1518" s="147"/>
      <c r="F1518" s="147"/>
      <c r="G1518" s="147"/>
      <c r="H1518" s="147"/>
    </row>
    <row r="1519" spans="3:8">
      <c r="C1519" s="147"/>
      <c r="D1519" s="147"/>
      <c r="E1519" s="147"/>
      <c r="F1519" s="147"/>
      <c r="G1519" s="147"/>
      <c r="H1519" s="147"/>
    </row>
    <row r="1520" spans="3:8">
      <c r="C1520" s="147"/>
      <c r="D1520" s="147"/>
      <c r="E1520" s="147"/>
      <c r="F1520" s="147"/>
      <c r="G1520" s="147"/>
      <c r="H1520" s="147"/>
    </row>
    <row r="1521" spans="3:8">
      <c r="C1521" s="147"/>
      <c r="D1521" s="147"/>
      <c r="E1521" s="147"/>
      <c r="F1521" s="147"/>
      <c r="G1521" s="147"/>
      <c r="H1521" s="147"/>
    </row>
    <row r="1522" spans="3:8">
      <c r="C1522" s="147"/>
      <c r="D1522" s="147"/>
      <c r="E1522" s="147"/>
      <c r="F1522" s="147"/>
      <c r="G1522" s="147"/>
      <c r="H1522" s="147"/>
    </row>
    <row r="1523" spans="3:8">
      <c r="C1523" s="147"/>
      <c r="D1523" s="147"/>
      <c r="E1523" s="147"/>
      <c r="F1523" s="147"/>
      <c r="G1523" s="147"/>
      <c r="H1523" s="147"/>
    </row>
    <row r="1524" spans="3:8">
      <c r="C1524" s="147"/>
      <c r="D1524" s="147"/>
      <c r="E1524" s="147"/>
      <c r="F1524" s="147"/>
      <c r="G1524" s="147"/>
      <c r="H1524" s="147"/>
    </row>
    <row r="1525" spans="3:8">
      <c r="C1525" s="147"/>
      <c r="D1525" s="147"/>
      <c r="E1525" s="147"/>
      <c r="F1525" s="147"/>
      <c r="G1525" s="147"/>
      <c r="H1525" s="147"/>
    </row>
    <row r="1526" spans="3:8">
      <c r="C1526" s="147"/>
      <c r="D1526" s="147"/>
      <c r="E1526" s="147"/>
      <c r="F1526" s="147"/>
      <c r="G1526" s="147"/>
      <c r="H1526" s="147"/>
    </row>
    <row r="1527" spans="3:8">
      <c r="C1527" s="147"/>
      <c r="D1527" s="147"/>
      <c r="E1527" s="147"/>
      <c r="F1527" s="147"/>
      <c r="G1527" s="147"/>
      <c r="H1527" s="147"/>
    </row>
    <row r="1528" spans="3:8">
      <c r="C1528" s="147"/>
      <c r="D1528" s="147"/>
      <c r="E1528" s="147"/>
      <c r="F1528" s="147"/>
      <c r="G1528" s="147"/>
      <c r="H1528" s="147"/>
    </row>
    <row r="1529" spans="3:8">
      <c r="C1529" s="147"/>
      <c r="D1529" s="147"/>
      <c r="E1529" s="147"/>
      <c r="F1529" s="147"/>
      <c r="G1529" s="147"/>
      <c r="H1529" s="147"/>
    </row>
    <row r="1530" spans="3:8">
      <c r="C1530" s="147"/>
      <c r="D1530" s="147"/>
      <c r="E1530" s="147"/>
      <c r="F1530" s="147"/>
      <c r="G1530" s="147"/>
      <c r="H1530" s="147"/>
    </row>
    <row r="1531" spans="3:8">
      <c r="C1531" s="147"/>
      <c r="D1531" s="147"/>
      <c r="E1531" s="147"/>
      <c r="F1531" s="147"/>
      <c r="G1531" s="147"/>
      <c r="H1531" s="147"/>
    </row>
    <row r="1532" spans="3:8">
      <c r="C1532" s="147"/>
      <c r="D1532" s="147"/>
      <c r="E1532" s="147"/>
      <c r="F1532" s="147"/>
      <c r="G1532" s="147"/>
      <c r="H1532" s="147"/>
    </row>
    <row r="1533" spans="3:8">
      <c r="C1533" s="147"/>
      <c r="D1533" s="147"/>
      <c r="E1533" s="147"/>
      <c r="F1533" s="147"/>
      <c r="G1533" s="147"/>
      <c r="H1533" s="147"/>
    </row>
    <row r="1534" spans="3:8">
      <c r="C1534" s="147"/>
      <c r="D1534" s="147"/>
      <c r="E1534" s="147"/>
      <c r="F1534" s="147"/>
      <c r="G1534" s="147"/>
      <c r="H1534" s="147"/>
    </row>
    <row r="1535" spans="3:8">
      <c r="C1535" s="147"/>
      <c r="D1535" s="147"/>
      <c r="E1535" s="147"/>
      <c r="F1535" s="147"/>
      <c r="G1535" s="147"/>
      <c r="H1535" s="147"/>
    </row>
    <row r="1536" spans="3:8">
      <c r="C1536" s="147"/>
      <c r="D1536" s="147"/>
      <c r="E1536" s="147"/>
      <c r="F1536" s="147"/>
      <c r="G1536" s="147"/>
      <c r="H1536" s="147"/>
    </row>
    <row r="1537" spans="3:8">
      <c r="C1537" s="147"/>
      <c r="D1537" s="147"/>
      <c r="E1537" s="147"/>
      <c r="F1537" s="147"/>
      <c r="G1537" s="147"/>
      <c r="H1537" s="147"/>
    </row>
    <row r="1538" spans="3:8">
      <c r="C1538" s="147"/>
      <c r="D1538" s="147"/>
      <c r="E1538" s="147"/>
      <c r="F1538" s="147"/>
      <c r="G1538" s="147"/>
      <c r="H1538" s="147"/>
    </row>
    <row r="1539" spans="3:8">
      <c r="C1539" s="147"/>
      <c r="D1539" s="147"/>
      <c r="E1539" s="147"/>
      <c r="F1539" s="147"/>
      <c r="G1539" s="147"/>
      <c r="H1539" s="147"/>
    </row>
    <row r="1540" spans="3:8">
      <c r="C1540" s="147"/>
      <c r="D1540" s="147"/>
      <c r="E1540" s="147"/>
      <c r="F1540" s="147"/>
      <c r="G1540" s="147"/>
      <c r="H1540" s="147"/>
    </row>
    <row r="1541" spans="3:8">
      <c r="C1541" s="147"/>
      <c r="D1541" s="147"/>
      <c r="E1541" s="147"/>
      <c r="F1541" s="147"/>
      <c r="G1541" s="147"/>
      <c r="H1541" s="147"/>
    </row>
    <row r="1542" spans="3:8">
      <c r="C1542" s="147"/>
      <c r="D1542" s="147"/>
      <c r="E1542" s="147"/>
      <c r="F1542" s="147"/>
      <c r="G1542" s="147"/>
      <c r="H1542" s="147"/>
    </row>
    <row r="1543" spans="3:8">
      <c r="C1543" s="147"/>
      <c r="D1543" s="147"/>
      <c r="E1543" s="147"/>
      <c r="F1543" s="147"/>
      <c r="G1543" s="147"/>
      <c r="H1543" s="147"/>
    </row>
    <row r="1544" spans="3:8">
      <c r="C1544" s="147"/>
      <c r="D1544" s="147"/>
      <c r="E1544" s="147"/>
      <c r="F1544" s="147"/>
      <c r="G1544" s="147"/>
      <c r="H1544" s="147"/>
    </row>
    <row r="1545" spans="3:8">
      <c r="C1545" s="147"/>
      <c r="D1545" s="147"/>
      <c r="E1545" s="147"/>
      <c r="F1545" s="147"/>
      <c r="G1545" s="147"/>
      <c r="H1545" s="147"/>
    </row>
    <row r="1546" spans="3:8">
      <c r="C1546" s="147"/>
      <c r="D1546" s="147"/>
      <c r="E1546" s="147"/>
      <c r="F1546" s="147"/>
      <c r="G1546" s="147"/>
      <c r="H1546" s="147"/>
    </row>
    <row r="1547" spans="3:8">
      <c r="C1547" s="147"/>
      <c r="D1547" s="147"/>
      <c r="E1547" s="147"/>
      <c r="F1547" s="147"/>
      <c r="G1547" s="147"/>
      <c r="H1547" s="147"/>
    </row>
    <row r="1548" spans="3:8">
      <c r="C1548" s="147"/>
      <c r="D1548" s="147"/>
      <c r="E1548" s="147"/>
      <c r="F1548" s="147"/>
      <c r="G1548" s="147"/>
      <c r="H1548" s="147"/>
    </row>
    <row r="1549" spans="3:8">
      <c r="C1549" s="147"/>
      <c r="D1549" s="147"/>
      <c r="E1549" s="147"/>
      <c r="F1549" s="147"/>
      <c r="G1549" s="147"/>
      <c r="H1549" s="147"/>
    </row>
    <row r="1550" spans="3:8">
      <c r="C1550" s="147"/>
      <c r="D1550" s="147"/>
      <c r="E1550" s="147"/>
      <c r="F1550" s="147"/>
      <c r="G1550" s="147"/>
      <c r="H1550" s="147"/>
    </row>
    <row r="1551" spans="3:8">
      <c r="C1551" s="147"/>
      <c r="D1551" s="147"/>
      <c r="E1551" s="147"/>
      <c r="F1551" s="147"/>
      <c r="G1551" s="147"/>
      <c r="H1551" s="147"/>
    </row>
    <row r="1552" spans="3:8">
      <c r="C1552" s="147"/>
      <c r="D1552" s="147"/>
      <c r="E1552" s="147"/>
      <c r="F1552" s="147"/>
      <c r="G1552" s="147"/>
      <c r="H1552" s="147"/>
    </row>
    <row r="1553" spans="3:8">
      <c r="C1553" s="147"/>
      <c r="D1553" s="147"/>
      <c r="E1553" s="147"/>
      <c r="F1553" s="147"/>
      <c r="G1553" s="147"/>
      <c r="H1553" s="147"/>
    </row>
    <row r="1554" spans="3:8">
      <c r="C1554" s="147"/>
      <c r="D1554" s="147"/>
      <c r="E1554" s="147"/>
      <c r="F1554" s="147"/>
      <c r="G1554" s="147"/>
      <c r="H1554" s="147"/>
    </row>
    <row r="1555" spans="3:8">
      <c r="C1555" s="147"/>
      <c r="D1555" s="147"/>
      <c r="E1555" s="147"/>
      <c r="F1555" s="147"/>
      <c r="G1555" s="147"/>
      <c r="H1555" s="147"/>
    </row>
    <row r="1556" spans="3:8">
      <c r="C1556" s="147"/>
      <c r="D1556" s="147"/>
      <c r="E1556" s="147"/>
      <c r="F1556" s="147"/>
      <c r="G1556" s="147"/>
      <c r="H1556" s="147"/>
    </row>
    <row r="1557" spans="3:8">
      <c r="C1557" s="147"/>
      <c r="D1557" s="147"/>
      <c r="E1557" s="147"/>
      <c r="F1557" s="147"/>
      <c r="G1557" s="147"/>
      <c r="H1557" s="147"/>
    </row>
    <row r="1558" spans="3:8">
      <c r="C1558" s="147"/>
      <c r="D1558" s="147"/>
      <c r="E1558" s="147"/>
      <c r="F1558" s="147"/>
      <c r="G1558" s="147"/>
      <c r="H1558" s="147"/>
    </row>
    <row r="1559" spans="3:8">
      <c r="C1559" s="147"/>
      <c r="D1559" s="147"/>
      <c r="E1559" s="147"/>
      <c r="F1559" s="147"/>
      <c r="G1559" s="147"/>
      <c r="H1559" s="147"/>
    </row>
    <row r="1560" spans="3:8">
      <c r="C1560" s="147"/>
      <c r="D1560" s="147"/>
      <c r="E1560" s="147"/>
      <c r="F1560" s="147"/>
      <c r="G1560" s="147"/>
      <c r="H1560" s="147"/>
    </row>
    <row r="1561" spans="3:8">
      <c r="C1561" s="147"/>
      <c r="D1561" s="147"/>
      <c r="E1561" s="147"/>
      <c r="F1561" s="147"/>
      <c r="G1561" s="147"/>
      <c r="H1561" s="147"/>
    </row>
    <row r="1562" spans="3:8">
      <c r="C1562" s="147"/>
      <c r="D1562" s="147"/>
      <c r="E1562" s="147"/>
      <c r="F1562" s="147"/>
      <c r="G1562" s="147"/>
      <c r="H1562" s="147"/>
    </row>
    <row r="1563" spans="3:8">
      <c r="C1563" s="147"/>
      <c r="D1563" s="147"/>
      <c r="E1563" s="147"/>
      <c r="F1563" s="147"/>
      <c r="G1563" s="147"/>
      <c r="H1563" s="147"/>
    </row>
    <row r="1564" spans="3:8">
      <c r="C1564" s="147"/>
      <c r="D1564" s="147"/>
      <c r="E1564" s="147"/>
      <c r="F1564" s="147"/>
      <c r="G1564" s="147"/>
      <c r="H1564" s="147"/>
    </row>
    <row r="1565" spans="3:8">
      <c r="C1565" s="147"/>
      <c r="D1565" s="147"/>
      <c r="E1565" s="147"/>
      <c r="F1565" s="147"/>
      <c r="G1565" s="147"/>
      <c r="H1565" s="147"/>
    </row>
    <row r="1566" spans="3:8">
      <c r="C1566" s="147"/>
      <c r="D1566" s="147"/>
      <c r="E1566" s="147"/>
      <c r="F1566" s="147"/>
      <c r="G1566" s="147"/>
      <c r="H1566" s="147"/>
    </row>
    <row r="1567" spans="3:8">
      <c r="C1567" s="147"/>
      <c r="D1567" s="147"/>
      <c r="E1567" s="147"/>
      <c r="F1567" s="147"/>
      <c r="G1567" s="147"/>
      <c r="H1567" s="147"/>
    </row>
    <row r="1568" spans="3:8">
      <c r="C1568" s="147"/>
      <c r="D1568" s="147"/>
      <c r="E1568" s="147"/>
      <c r="F1568" s="147"/>
      <c r="G1568" s="147"/>
      <c r="H1568" s="147"/>
    </row>
    <row r="1569" spans="3:8">
      <c r="C1569" s="147"/>
      <c r="D1569" s="147"/>
      <c r="E1569" s="147"/>
      <c r="F1569" s="147"/>
      <c r="G1569" s="147"/>
      <c r="H1569" s="147"/>
    </row>
    <row r="1570" spans="3:8">
      <c r="C1570" s="147"/>
      <c r="D1570" s="147"/>
      <c r="E1570" s="147"/>
      <c r="F1570" s="147"/>
      <c r="G1570" s="147"/>
      <c r="H1570" s="147"/>
    </row>
    <row r="1571" spans="3:8">
      <c r="C1571" s="147"/>
      <c r="D1571" s="147"/>
      <c r="E1571" s="147"/>
      <c r="F1571" s="147"/>
      <c r="G1571" s="147"/>
      <c r="H1571" s="147"/>
    </row>
    <row r="1572" spans="3:8">
      <c r="C1572" s="147"/>
      <c r="D1572" s="147"/>
      <c r="E1572" s="147"/>
      <c r="F1572" s="147"/>
      <c r="G1572" s="147"/>
      <c r="H1572" s="147"/>
    </row>
    <row r="1573" spans="3:8">
      <c r="C1573" s="147"/>
      <c r="D1573" s="147"/>
      <c r="E1573" s="147"/>
      <c r="F1573" s="147"/>
      <c r="G1573" s="147"/>
      <c r="H1573" s="147"/>
    </row>
    <row r="1574" spans="3:8">
      <c r="C1574" s="147"/>
      <c r="D1574" s="147"/>
      <c r="E1574" s="147"/>
      <c r="F1574" s="147"/>
      <c r="G1574" s="147"/>
      <c r="H1574" s="147"/>
    </row>
    <row r="1575" spans="3:8">
      <c r="C1575" s="147"/>
      <c r="D1575" s="147"/>
      <c r="E1575" s="147"/>
      <c r="F1575" s="147"/>
      <c r="G1575" s="147"/>
      <c r="H1575" s="147"/>
    </row>
    <row r="1576" spans="3:8">
      <c r="C1576" s="147"/>
      <c r="D1576" s="147"/>
      <c r="E1576" s="147"/>
      <c r="F1576" s="147"/>
      <c r="G1576" s="147"/>
      <c r="H1576" s="147"/>
    </row>
    <row r="1577" spans="3:8">
      <c r="C1577" s="147"/>
      <c r="D1577" s="147"/>
      <c r="E1577" s="147"/>
      <c r="F1577" s="147"/>
      <c r="G1577" s="147"/>
      <c r="H1577" s="147"/>
    </row>
    <row r="1578" spans="3:8">
      <c r="C1578" s="147"/>
      <c r="D1578" s="147"/>
      <c r="E1578" s="147"/>
      <c r="F1578" s="147"/>
      <c r="G1578" s="147"/>
      <c r="H1578" s="147"/>
    </row>
    <row r="1579" spans="3:8">
      <c r="C1579" s="147"/>
      <c r="D1579" s="147"/>
      <c r="E1579" s="147"/>
      <c r="F1579" s="147"/>
      <c r="G1579" s="147"/>
      <c r="H1579" s="147"/>
    </row>
    <row r="1580" spans="3:8">
      <c r="C1580" s="147"/>
      <c r="D1580" s="147"/>
      <c r="E1580" s="147"/>
      <c r="F1580" s="147"/>
      <c r="G1580" s="147"/>
      <c r="H1580" s="147"/>
    </row>
    <row r="1581" spans="3:8">
      <c r="C1581" s="147"/>
      <c r="D1581" s="147"/>
      <c r="E1581" s="147"/>
      <c r="F1581" s="147"/>
      <c r="G1581" s="147"/>
      <c r="H1581" s="147"/>
    </row>
    <row r="1582" spans="3:8">
      <c r="C1582" s="147"/>
      <c r="D1582" s="147"/>
      <c r="E1582" s="147"/>
      <c r="F1582" s="147"/>
      <c r="G1582" s="147"/>
      <c r="H1582" s="147"/>
    </row>
    <row r="1583" spans="3:8">
      <c r="C1583" s="147"/>
      <c r="D1583" s="147"/>
      <c r="E1583" s="147"/>
      <c r="F1583" s="147"/>
      <c r="G1583" s="147"/>
      <c r="H1583" s="147"/>
    </row>
    <row r="1584" spans="3:8">
      <c r="C1584" s="147"/>
      <c r="D1584" s="147"/>
      <c r="E1584" s="147"/>
      <c r="F1584" s="147"/>
      <c r="G1584" s="147"/>
      <c r="H1584" s="147"/>
    </row>
    <row r="1585" spans="3:8">
      <c r="C1585" s="147"/>
      <c r="D1585" s="147"/>
      <c r="E1585" s="147"/>
      <c r="F1585" s="147"/>
      <c r="G1585" s="147"/>
      <c r="H1585" s="147"/>
    </row>
    <row r="1586" spans="3:8">
      <c r="C1586" s="147"/>
      <c r="D1586" s="147"/>
      <c r="E1586" s="147"/>
      <c r="F1586" s="147"/>
      <c r="G1586" s="147"/>
      <c r="H1586" s="147"/>
    </row>
    <row r="1587" spans="3:8">
      <c r="C1587" s="147"/>
      <c r="D1587" s="147"/>
      <c r="E1587" s="147"/>
      <c r="F1587" s="147"/>
      <c r="G1587" s="147"/>
      <c r="H1587" s="147"/>
    </row>
    <row r="1588" spans="3:8">
      <c r="C1588" s="147"/>
      <c r="D1588" s="147"/>
      <c r="E1588" s="147"/>
      <c r="F1588" s="147"/>
      <c r="G1588" s="147"/>
      <c r="H1588" s="147"/>
    </row>
    <row r="1589" spans="3:8">
      <c r="C1589" s="147"/>
      <c r="D1589" s="147"/>
      <c r="E1589" s="147"/>
      <c r="F1589" s="147"/>
      <c r="G1589" s="147"/>
      <c r="H1589" s="147"/>
    </row>
    <row r="1590" spans="3:8">
      <c r="C1590" s="147"/>
      <c r="D1590" s="147"/>
      <c r="E1590" s="147"/>
      <c r="F1590" s="147"/>
      <c r="G1590" s="147"/>
      <c r="H1590" s="147"/>
    </row>
    <row r="1591" spans="3:8">
      <c r="C1591" s="147"/>
      <c r="D1591" s="147"/>
      <c r="E1591" s="147"/>
      <c r="F1591" s="147"/>
      <c r="G1591" s="147"/>
      <c r="H1591" s="147"/>
    </row>
    <row r="1592" spans="3:8">
      <c r="C1592" s="147"/>
      <c r="D1592" s="147"/>
      <c r="E1592" s="147"/>
      <c r="F1592" s="147"/>
      <c r="G1592" s="147"/>
      <c r="H1592" s="147"/>
    </row>
    <row r="1593" spans="3:8">
      <c r="C1593" s="147"/>
      <c r="D1593" s="147"/>
      <c r="E1593" s="147"/>
      <c r="F1593" s="147"/>
      <c r="G1593" s="147"/>
      <c r="H1593" s="147"/>
    </row>
    <row r="1594" spans="3:8">
      <c r="C1594" s="147"/>
      <c r="D1594" s="147"/>
      <c r="E1594" s="147"/>
      <c r="F1594" s="147"/>
      <c r="G1594" s="147"/>
      <c r="H1594" s="147"/>
    </row>
    <row r="1595" spans="3:8">
      <c r="C1595" s="147"/>
      <c r="D1595" s="147"/>
      <c r="E1595" s="147"/>
      <c r="F1595" s="147"/>
      <c r="G1595" s="147"/>
      <c r="H1595" s="147"/>
    </row>
    <row r="1596" spans="3:8">
      <c r="C1596" s="147"/>
      <c r="D1596" s="147"/>
      <c r="E1596" s="147"/>
      <c r="F1596" s="147"/>
      <c r="G1596" s="147"/>
      <c r="H1596" s="147"/>
    </row>
    <row r="1597" spans="3:8">
      <c r="C1597" s="147"/>
      <c r="D1597" s="147"/>
      <c r="E1597" s="147"/>
      <c r="F1597" s="147"/>
      <c r="G1597" s="147"/>
      <c r="H1597" s="147"/>
    </row>
    <row r="1598" spans="3:8">
      <c r="C1598" s="147"/>
      <c r="D1598" s="147"/>
      <c r="E1598" s="147"/>
      <c r="F1598" s="147"/>
      <c r="G1598" s="147"/>
      <c r="H1598" s="147"/>
    </row>
    <row r="1599" spans="3:8">
      <c r="C1599" s="147"/>
      <c r="D1599" s="147"/>
      <c r="E1599" s="147"/>
      <c r="F1599" s="147"/>
      <c r="G1599" s="147"/>
      <c r="H1599" s="147"/>
    </row>
    <row r="1600" spans="3:8">
      <c r="C1600" s="147"/>
      <c r="D1600" s="147"/>
      <c r="E1600" s="147"/>
      <c r="F1600" s="147"/>
      <c r="G1600" s="147"/>
      <c r="H1600" s="147"/>
    </row>
    <row r="1601" spans="3:8">
      <c r="C1601" s="147"/>
      <c r="D1601" s="147"/>
      <c r="E1601" s="147"/>
      <c r="F1601" s="147"/>
      <c r="G1601" s="147"/>
      <c r="H1601" s="147"/>
    </row>
    <row r="1602" spans="3:8">
      <c r="C1602" s="147"/>
      <c r="D1602" s="147"/>
      <c r="E1602" s="147"/>
      <c r="F1602" s="147"/>
      <c r="G1602" s="147"/>
      <c r="H1602" s="147"/>
    </row>
    <row r="1603" spans="3:8">
      <c r="C1603" s="147"/>
      <c r="D1603" s="147"/>
      <c r="E1603" s="147"/>
      <c r="F1603" s="147"/>
      <c r="G1603" s="147"/>
      <c r="H1603" s="147"/>
    </row>
    <row r="1604" spans="3:8">
      <c r="C1604" s="147"/>
      <c r="D1604" s="147"/>
      <c r="E1604" s="147"/>
      <c r="F1604" s="147"/>
      <c r="G1604" s="147"/>
      <c r="H1604" s="147"/>
    </row>
    <row r="1605" spans="3:8">
      <c r="C1605" s="147"/>
      <c r="D1605" s="147"/>
      <c r="E1605" s="147"/>
      <c r="F1605" s="147"/>
      <c r="G1605" s="147"/>
      <c r="H1605" s="147"/>
    </row>
    <row r="1606" spans="3:8">
      <c r="C1606" s="147"/>
      <c r="D1606" s="147"/>
      <c r="E1606" s="147"/>
      <c r="F1606" s="147"/>
      <c r="G1606" s="147"/>
      <c r="H1606" s="147"/>
    </row>
    <row r="1607" spans="3:8">
      <c r="C1607" s="147"/>
      <c r="D1607" s="147"/>
      <c r="E1607" s="147"/>
      <c r="F1607" s="147"/>
      <c r="G1607" s="147"/>
      <c r="H1607" s="147"/>
    </row>
    <row r="1608" spans="3:8">
      <c r="C1608" s="147"/>
      <c r="D1608" s="147"/>
      <c r="E1608" s="147"/>
      <c r="F1608" s="147"/>
      <c r="G1608" s="147"/>
      <c r="H1608" s="147"/>
    </row>
    <row r="1609" spans="3:8">
      <c r="C1609" s="147"/>
      <c r="D1609" s="147"/>
      <c r="E1609" s="147"/>
      <c r="F1609" s="147"/>
      <c r="G1609" s="147"/>
      <c r="H1609" s="147"/>
    </row>
    <row r="1610" spans="3:8">
      <c r="C1610" s="147"/>
      <c r="D1610" s="147"/>
      <c r="E1610" s="147"/>
      <c r="F1610" s="147"/>
      <c r="G1610" s="147"/>
      <c r="H1610" s="147"/>
    </row>
    <row r="1611" spans="3:8">
      <c r="C1611" s="147"/>
      <c r="D1611" s="147"/>
      <c r="E1611" s="147"/>
      <c r="F1611" s="147"/>
      <c r="G1611" s="147"/>
      <c r="H1611" s="147"/>
    </row>
    <row r="1612" spans="3:8">
      <c r="C1612" s="147"/>
      <c r="D1612" s="147"/>
      <c r="E1612" s="147"/>
      <c r="F1612" s="147"/>
      <c r="G1612" s="147"/>
      <c r="H1612" s="147"/>
    </row>
    <row r="1613" spans="3:8">
      <c r="C1613" s="147"/>
      <c r="D1613" s="147"/>
      <c r="E1613" s="147"/>
      <c r="F1613" s="147"/>
      <c r="G1613" s="147"/>
      <c r="H1613" s="147"/>
    </row>
    <row r="1614" spans="3:8">
      <c r="C1614" s="147"/>
      <c r="D1614" s="147"/>
      <c r="E1614" s="147"/>
      <c r="F1614" s="147"/>
      <c r="G1614" s="147"/>
      <c r="H1614" s="147"/>
    </row>
    <row r="1615" spans="3:8">
      <c r="C1615" s="147"/>
      <c r="D1615" s="147"/>
      <c r="E1615" s="147"/>
      <c r="F1615" s="147"/>
      <c r="G1615" s="147"/>
      <c r="H1615" s="147"/>
    </row>
    <row r="1616" spans="3:8">
      <c r="C1616" s="147"/>
      <c r="D1616" s="147"/>
      <c r="E1616" s="147"/>
      <c r="F1616" s="147"/>
      <c r="G1616" s="147"/>
      <c r="H1616" s="147"/>
    </row>
    <row r="1617" spans="3:8">
      <c r="C1617" s="147"/>
      <c r="D1617" s="147"/>
      <c r="E1617" s="147"/>
      <c r="F1617" s="147"/>
      <c r="G1617" s="147"/>
      <c r="H1617" s="147"/>
    </row>
    <row r="1618" spans="3:8">
      <c r="C1618" s="147"/>
      <c r="D1618" s="147"/>
      <c r="E1618" s="147"/>
      <c r="F1618" s="147"/>
      <c r="G1618" s="147"/>
      <c r="H1618" s="147"/>
    </row>
    <row r="1619" spans="3:8">
      <c r="C1619" s="147"/>
      <c r="D1619" s="147"/>
      <c r="E1619" s="147"/>
      <c r="F1619" s="147"/>
      <c r="G1619" s="147"/>
      <c r="H1619" s="147"/>
    </row>
    <row r="1620" spans="3:8">
      <c r="C1620" s="147"/>
      <c r="D1620" s="147"/>
      <c r="E1620" s="147"/>
      <c r="F1620" s="147"/>
      <c r="G1620" s="147"/>
      <c r="H1620" s="147"/>
    </row>
    <row r="1621" spans="3:8">
      <c r="C1621" s="147"/>
      <c r="D1621" s="147"/>
      <c r="E1621" s="147"/>
      <c r="F1621" s="147"/>
      <c r="G1621" s="147"/>
      <c r="H1621" s="147"/>
    </row>
    <row r="1622" spans="3:8">
      <c r="C1622" s="147"/>
      <c r="D1622" s="147"/>
      <c r="E1622" s="147"/>
      <c r="F1622" s="147"/>
      <c r="G1622" s="147"/>
      <c r="H1622" s="147"/>
    </row>
    <row r="1623" spans="3:8">
      <c r="C1623" s="147"/>
      <c r="D1623" s="147"/>
      <c r="E1623" s="147"/>
      <c r="F1623" s="147"/>
      <c r="G1623" s="147"/>
      <c r="H1623" s="147"/>
    </row>
    <row r="1624" spans="3:8">
      <c r="C1624" s="147"/>
      <c r="D1624" s="147"/>
      <c r="E1624" s="147"/>
      <c r="F1624" s="147"/>
      <c r="G1624" s="147"/>
      <c r="H1624" s="147"/>
    </row>
    <row r="1625" spans="3:8">
      <c r="C1625" s="147"/>
      <c r="D1625" s="147"/>
      <c r="E1625" s="147"/>
      <c r="F1625" s="147"/>
      <c r="G1625" s="147"/>
      <c r="H1625" s="147"/>
    </row>
    <row r="1626" spans="3:8">
      <c r="C1626" s="147"/>
      <c r="D1626" s="147"/>
      <c r="E1626" s="147"/>
      <c r="F1626" s="147"/>
      <c r="G1626" s="147"/>
      <c r="H1626" s="147"/>
    </row>
    <row r="1627" spans="3:8">
      <c r="C1627" s="147"/>
      <c r="D1627" s="147"/>
      <c r="E1627" s="147"/>
      <c r="F1627" s="147"/>
      <c r="G1627" s="147"/>
      <c r="H1627" s="147"/>
    </row>
    <row r="1628" spans="3:8">
      <c r="C1628" s="147"/>
      <c r="D1628" s="147"/>
      <c r="E1628" s="147"/>
      <c r="F1628" s="147"/>
      <c r="G1628" s="147"/>
      <c r="H1628" s="147"/>
    </row>
    <row r="1629" spans="3:8">
      <c r="C1629" s="147"/>
      <c r="D1629" s="147"/>
      <c r="E1629" s="147"/>
      <c r="F1629" s="147"/>
      <c r="G1629" s="147"/>
      <c r="H1629" s="147"/>
    </row>
    <row r="1630" spans="3:8">
      <c r="C1630" s="147"/>
      <c r="D1630" s="147"/>
      <c r="E1630" s="147"/>
      <c r="F1630" s="147"/>
      <c r="G1630" s="147"/>
      <c r="H1630" s="147"/>
    </row>
    <row r="1631" spans="3:8">
      <c r="C1631" s="147"/>
      <c r="D1631" s="147"/>
      <c r="E1631" s="147"/>
      <c r="F1631" s="147"/>
      <c r="G1631" s="147"/>
      <c r="H1631" s="147"/>
    </row>
    <row r="1632" spans="3:8">
      <c r="C1632" s="147"/>
      <c r="D1632" s="147"/>
      <c r="E1632" s="147"/>
      <c r="F1632" s="147"/>
      <c r="G1632" s="147"/>
      <c r="H1632" s="147"/>
    </row>
    <row r="1633" spans="3:8">
      <c r="C1633" s="147"/>
      <c r="D1633" s="147"/>
      <c r="E1633" s="147"/>
      <c r="F1633" s="147"/>
      <c r="G1633" s="147"/>
      <c r="H1633" s="147"/>
    </row>
    <row r="1634" spans="3:8">
      <c r="C1634" s="147"/>
      <c r="D1634" s="147"/>
      <c r="E1634" s="147"/>
      <c r="F1634" s="147"/>
      <c r="G1634" s="147"/>
      <c r="H1634" s="147"/>
    </row>
    <row r="1635" spans="3:8">
      <c r="C1635" s="147"/>
      <c r="D1635" s="147"/>
      <c r="E1635" s="147"/>
      <c r="F1635" s="147"/>
      <c r="G1635" s="147"/>
      <c r="H1635" s="147"/>
    </row>
    <row r="1636" spans="3:8">
      <c r="C1636" s="147"/>
      <c r="D1636" s="147"/>
      <c r="E1636" s="147"/>
      <c r="F1636" s="147"/>
      <c r="G1636" s="147"/>
      <c r="H1636" s="147"/>
    </row>
    <row r="1637" spans="3:8">
      <c r="C1637" s="147"/>
      <c r="D1637" s="147"/>
      <c r="E1637" s="147"/>
      <c r="F1637" s="147"/>
      <c r="G1637" s="147"/>
      <c r="H1637" s="147"/>
    </row>
    <row r="1638" spans="3:8">
      <c r="C1638" s="147"/>
      <c r="D1638" s="147"/>
      <c r="E1638" s="147"/>
      <c r="F1638" s="147"/>
      <c r="G1638" s="147"/>
      <c r="H1638" s="147"/>
    </row>
    <row r="1639" spans="3:8">
      <c r="C1639" s="147"/>
      <c r="D1639" s="147"/>
      <c r="E1639" s="147"/>
      <c r="F1639" s="147"/>
      <c r="G1639" s="147"/>
      <c r="H1639" s="147"/>
    </row>
    <row r="1640" spans="3:8">
      <c r="C1640" s="147"/>
      <c r="D1640" s="147"/>
      <c r="E1640" s="147"/>
      <c r="F1640" s="147"/>
      <c r="G1640" s="147"/>
      <c r="H1640" s="147"/>
    </row>
    <row r="1641" spans="3:8">
      <c r="C1641" s="147"/>
      <c r="D1641" s="147"/>
      <c r="E1641" s="147"/>
      <c r="F1641" s="147"/>
      <c r="G1641" s="147"/>
      <c r="H1641" s="147"/>
    </row>
    <row r="1642" spans="3:8">
      <c r="C1642" s="147"/>
      <c r="D1642" s="147"/>
      <c r="E1642" s="147"/>
      <c r="F1642" s="147"/>
      <c r="G1642" s="147"/>
      <c r="H1642" s="147"/>
    </row>
    <row r="1643" spans="3:8">
      <c r="C1643" s="147"/>
      <c r="D1643" s="147"/>
      <c r="E1643" s="147"/>
      <c r="F1643" s="147"/>
      <c r="G1643" s="147"/>
      <c r="H1643" s="147"/>
    </row>
    <row r="1644" spans="3:8">
      <c r="C1644" s="147"/>
      <c r="D1644" s="147"/>
      <c r="E1644" s="147"/>
      <c r="F1644" s="147"/>
      <c r="G1644" s="147"/>
      <c r="H1644" s="147"/>
    </row>
    <row r="1645" spans="3:8">
      <c r="C1645" s="147"/>
      <c r="D1645" s="147"/>
      <c r="E1645" s="147"/>
      <c r="F1645" s="147"/>
      <c r="G1645" s="147"/>
      <c r="H1645" s="147"/>
    </row>
    <row r="1646" spans="3:8">
      <c r="C1646" s="147"/>
      <c r="D1646" s="147"/>
      <c r="E1646" s="147"/>
      <c r="F1646" s="147"/>
      <c r="G1646" s="147"/>
      <c r="H1646" s="147"/>
    </row>
    <row r="1647" spans="3:8">
      <c r="C1647" s="147"/>
      <c r="D1647" s="147"/>
      <c r="E1647" s="147"/>
      <c r="F1647" s="147"/>
      <c r="G1647" s="147"/>
      <c r="H1647" s="147"/>
    </row>
    <row r="1648" spans="3:8">
      <c r="C1648" s="147"/>
      <c r="D1648" s="147"/>
      <c r="E1648" s="147"/>
      <c r="F1648" s="147"/>
      <c r="G1648" s="147"/>
      <c r="H1648" s="147"/>
    </row>
    <row r="1649" spans="3:8">
      <c r="C1649" s="147"/>
      <c r="D1649" s="147"/>
      <c r="E1649" s="147"/>
      <c r="F1649" s="147"/>
      <c r="G1649" s="147"/>
      <c r="H1649" s="147"/>
    </row>
    <row r="1650" spans="3:8">
      <c r="C1650" s="147"/>
      <c r="D1650" s="147"/>
      <c r="E1650" s="147"/>
      <c r="F1650" s="147"/>
      <c r="G1650" s="147"/>
      <c r="H1650" s="147"/>
    </row>
    <row r="1651" spans="3:8">
      <c r="C1651" s="147"/>
      <c r="D1651" s="147"/>
      <c r="E1651" s="147"/>
      <c r="F1651" s="147"/>
      <c r="G1651" s="147"/>
      <c r="H1651" s="147"/>
    </row>
    <row r="1652" spans="3:8">
      <c r="C1652" s="147"/>
      <c r="D1652" s="147"/>
      <c r="E1652" s="147"/>
      <c r="F1652" s="147"/>
      <c r="G1652" s="147"/>
      <c r="H1652" s="147"/>
    </row>
    <row r="1653" spans="3:8">
      <c r="C1653" s="147"/>
      <c r="D1653" s="147"/>
      <c r="E1653" s="147"/>
      <c r="F1653" s="147"/>
      <c r="G1653" s="147"/>
      <c r="H1653" s="147"/>
    </row>
    <row r="1654" spans="3:8">
      <c r="C1654" s="147"/>
      <c r="D1654" s="147"/>
      <c r="E1654" s="147"/>
      <c r="F1654" s="147"/>
      <c r="G1654" s="147"/>
      <c r="H1654" s="147"/>
    </row>
    <row r="1655" spans="3:8">
      <c r="C1655" s="147"/>
      <c r="D1655" s="147"/>
      <c r="E1655" s="147"/>
      <c r="F1655" s="147"/>
      <c r="G1655" s="147"/>
      <c r="H1655" s="147"/>
    </row>
    <row r="1656" spans="3:8">
      <c r="C1656" s="147"/>
      <c r="D1656" s="147"/>
      <c r="E1656" s="147"/>
      <c r="F1656" s="147"/>
      <c r="G1656" s="147"/>
      <c r="H1656" s="147"/>
    </row>
    <row r="1657" spans="3:8">
      <c r="C1657" s="147"/>
      <c r="D1657" s="147"/>
      <c r="E1657" s="147"/>
      <c r="F1657" s="147"/>
      <c r="G1657" s="147"/>
      <c r="H1657" s="147"/>
    </row>
    <row r="1658" spans="3:8">
      <c r="C1658" s="147"/>
      <c r="D1658" s="147"/>
      <c r="E1658" s="147"/>
      <c r="F1658" s="147"/>
      <c r="G1658" s="147"/>
      <c r="H1658" s="147"/>
    </row>
    <row r="1659" spans="3:8">
      <c r="C1659" s="147"/>
      <c r="D1659" s="147"/>
      <c r="E1659" s="147"/>
      <c r="F1659" s="147"/>
      <c r="G1659" s="147"/>
      <c r="H1659" s="147"/>
    </row>
    <row r="1660" spans="3:8">
      <c r="C1660" s="147"/>
      <c r="D1660" s="147"/>
      <c r="E1660" s="147"/>
      <c r="F1660" s="147"/>
      <c r="G1660" s="147"/>
      <c r="H1660" s="147"/>
    </row>
    <row r="1661" spans="3:8">
      <c r="C1661" s="147"/>
      <c r="D1661" s="147"/>
      <c r="E1661" s="147"/>
      <c r="F1661" s="147"/>
      <c r="G1661" s="147"/>
      <c r="H1661" s="147"/>
    </row>
    <row r="1662" spans="3:8">
      <c r="C1662" s="147"/>
      <c r="D1662" s="147"/>
      <c r="E1662" s="147"/>
      <c r="F1662" s="147"/>
      <c r="G1662" s="147"/>
      <c r="H1662" s="147"/>
    </row>
    <row r="1663" spans="3:8">
      <c r="C1663" s="147"/>
      <c r="D1663" s="147"/>
      <c r="E1663" s="147"/>
      <c r="F1663" s="147"/>
      <c r="G1663" s="147"/>
      <c r="H1663" s="147"/>
    </row>
    <row r="1664" spans="3:8">
      <c r="C1664" s="147"/>
      <c r="D1664" s="147"/>
      <c r="E1664" s="147"/>
      <c r="F1664" s="147"/>
      <c r="G1664" s="147"/>
      <c r="H1664" s="147"/>
    </row>
    <row r="1665" spans="3:8">
      <c r="C1665" s="147"/>
      <c r="D1665" s="147"/>
      <c r="E1665" s="147"/>
      <c r="F1665" s="147"/>
      <c r="G1665" s="147"/>
      <c r="H1665" s="147"/>
    </row>
    <row r="1666" spans="3:8">
      <c r="C1666" s="147"/>
      <c r="D1666" s="147"/>
      <c r="E1666" s="147"/>
      <c r="F1666" s="147"/>
      <c r="G1666" s="147"/>
      <c r="H1666" s="147"/>
    </row>
    <row r="1667" spans="3:8">
      <c r="C1667" s="147"/>
      <c r="D1667" s="147"/>
      <c r="E1667" s="147"/>
      <c r="F1667" s="147"/>
      <c r="G1667" s="147"/>
      <c r="H1667" s="147"/>
    </row>
    <row r="1668" spans="3:8">
      <c r="C1668" s="147"/>
      <c r="D1668" s="147"/>
      <c r="E1668" s="147"/>
      <c r="F1668" s="147"/>
      <c r="G1668" s="147"/>
      <c r="H1668" s="147"/>
    </row>
    <row r="1669" spans="3:8">
      <c r="C1669" s="147"/>
      <c r="D1669" s="147"/>
      <c r="E1669" s="147"/>
      <c r="F1669" s="147"/>
      <c r="G1669" s="147"/>
      <c r="H1669" s="147"/>
    </row>
    <row r="1670" spans="3:8">
      <c r="C1670" s="147"/>
      <c r="D1670" s="147"/>
      <c r="E1670" s="147"/>
      <c r="F1670" s="147"/>
      <c r="G1670" s="147"/>
      <c r="H1670" s="147"/>
    </row>
    <row r="1671" spans="3:8">
      <c r="C1671" s="147"/>
      <c r="D1671" s="147"/>
      <c r="E1671" s="147"/>
      <c r="F1671" s="147"/>
      <c r="G1671" s="147"/>
      <c r="H1671" s="147"/>
    </row>
    <row r="1672" spans="3:8">
      <c r="C1672" s="147"/>
      <c r="D1672" s="147"/>
      <c r="E1672" s="147"/>
      <c r="F1672" s="147"/>
      <c r="G1672" s="147"/>
      <c r="H1672" s="147"/>
    </row>
    <row r="1673" spans="3:8">
      <c r="C1673" s="147"/>
      <c r="D1673" s="147"/>
      <c r="E1673" s="147"/>
      <c r="F1673" s="147"/>
      <c r="G1673" s="147"/>
      <c r="H1673" s="147"/>
    </row>
    <row r="1674" spans="3:8">
      <c r="C1674" s="147"/>
      <c r="D1674" s="147"/>
      <c r="E1674" s="147"/>
      <c r="F1674" s="147"/>
      <c r="G1674" s="147"/>
      <c r="H1674" s="147"/>
    </row>
    <row r="1675" spans="3:8">
      <c r="C1675" s="147"/>
      <c r="D1675" s="147"/>
      <c r="E1675" s="147"/>
      <c r="F1675" s="147"/>
      <c r="G1675" s="147"/>
      <c r="H1675" s="147"/>
    </row>
    <row r="1676" spans="3:8">
      <c r="C1676" s="147"/>
      <c r="D1676" s="147"/>
      <c r="E1676" s="147"/>
      <c r="F1676" s="147"/>
      <c r="G1676" s="147"/>
      <c r="H1676" s="147"/>
    </row>
    <row r="1677" spans="3:8">
      <c r="C1677" s="147"/>
      <c r="D1677" s="147"/>
      <c r="E1677" s="147"/>
      <c r="F1677" s="147"/>
      <c r="G1677" s="147"/>
      <c r="H1677" s="147"/>
    </row>
    <row r="1678" spans="3:8">
      <c r="C1678" s="147"/>
      <c r="D1678" s="147"/>
      <c r="E1678" s="147"/>
      <c r="F1678" s="147"/>
      <c r="G1678" s="147"/>
      <c r="H1678" s="147"/>
    </row>
    <row r="1679" spans="3:8">
      <c r="C1679" s="147"/>
      <c r="D1679" s="147"/>
      <c r="E1679" s="147"/>
      <c r="F1679" s="147"/>
      <c r="G1679" s="147"/>
      <c r="H1679" s="147"/>
    </row>
    <row r="1680" spans="3:8">
      <c r="C1680" s="147"/>
      <c r="D1680" s="147"/>
      <c r="E1680" s="147"/>
      <c r="F1680" s="147"/>
      <c r="G1680" s="147"/>
      <c r="H1680" s="147"/>
    </row>
    <row r="1681" spans="3:8">
      <c r="C1681" s="147"/>
      <c r="D1681" s="147"/>
      <c r="E1681" s="147"/>
      <c r="F1681" s="147"/>
      <c r="G1681" s="147"/>
      <c r="H1681" s="147"/>
    </row>
    <row r="1682" spans="3:8">
      <c r="C1682" s="147"/>
      <c r="D1682" s="147"/>
      <c r="E1682" s="147"/>
      <c r="F1682" s="147"/>
      <c r="G1682" s="147"/>
      <c r="H1682" s="147"/>
    </row>
    <row r="1683" spans="3:8">
      <c r="C1683" s="147"/>
      <c r="D1683" s="147"/>
      <c r="E1683" s="147"/>
      <c r="F1683" s="147"/>
      <c r="G1683" s="147"/>
      <c r="H1683" s="147"/>
    </row>
    <row r="1684" spans="3:8">
      <c r="C1684" s="147"/>
      <c r="D1684" s="147"/>
      <c r="E1684" s="147"/>
      <c r="F1684" s="147"/>
      <c r="G1684" s="147"/>
      <c r="H1684" s="147"/>
    </row>
    <row r="1685" spans="3:8">
      <c r="C1685" s="147"/>
      <c r="D1685" s="147"/>
      <c r="E1685" s="147"/>
      <c r="F1685" s="147"/>
      <c r="G1685" s="147"/>
      <c r="H1685" s="147"/>
    </row>
    <row r="1686" spans="3:8">
      <c r="C1686" s="147"/>
      <c r="D1686" s="147"/>
      <c r="E1686" s="147"/>
      <c r="F1686" s="147"/>
      <c r="G1686" s="147"/>
      <c r="H1686" s="147"/>
    </row>
    <row r="1687" spans="3:8">
      <c r="C1687" s="147"/>
      <c r="D1687" s="147"/>
      <c r="E1687" s="147"/>
      <c r="F1687" s="147"/>
      <c r="G1687" s="147"/>
      <c r="H1687" s="147"/>
    </row>
    <row r="1688" spans="3:8">
      <c r="C1688" s="147"/>
      <c r="D1688" s="147"/>
      <c r="E1688" s="147"/>
      <c r="F1688" s="147"/>
      <c r="G1688" s="147"/>
      <c r="H1688" s="147"/>
    </row>
    <row r="1689" spans="3:8">
      <c r="C1689" s="147"/>
      <c r="D1689" s="147"/>
      <c r="E1689" s="147"/>
      <c r="F1689" s="147"/>
      <c r="G1689" s="147"/>
      <c r="H1689" s="147"/>
    </row>
    <row r="1690" spans="3:8">
      <c r="C1690" s="147"/>
      <c r="D1690" s="147"/>
      <c r="E1690" s="147"/>
      <c r="F1690" s="147"/>
      <c r="G1690" s="147"/>
      <c r="H1690" s="147"/>
    </row>
    <row r="1691" spans="3:8">
      <c r="C1691" s="147"/>
      <c r="D1691" s="147"/>
      <c r="E1691" s="147"/>
      <c r="F1691" s="147"/>
      <c r="G1691" s="147"/>
      <c r="H1691" s="147"/>
    </row>
    <row r="1692" spans="3:8">
      <c r="C1692" s="147"/>
      <c r="D1692" s="147"/>
      <c r="E1692" s="147"/>
      <c r="F1692" s="147"/>
      <c r="G1692" s="147"/>
      <c r="H1692" s="147"/>
    </row>
    <row r="1693" spans="3:8">
      <c r="C1693" s="147"/>
      <c r="D1693" s="147"/>
      <c r="E1693" s="147"/>
      <c r="F1693" s="147"/>
      <c r="G1693" s="147"/>
      <c r="H1693" s="147"/>
    </row>
    <row r="1694" spans="3:8">
      <c r="C1694" s="147"/>
      <c r="D1694" s="147"/>
      <c r="E1694" s="147"/>
      <c r="F1694" s="147"/>
      <c r="G1694" s="147"/>
      <c r="H1694" s="147"/>
    </row>
    <row r="1695" spans="3:8">
      <c r="C1695" s="147"/>
      <c r="D1695" s="147"/>
      <c r="E1695" s="147"/>
      <c r="F1695" s="147"/>
      <c r="G1695" s="147"/>
      <c r="H1695" s="147"/>
    </row>
    <row r="1696" spans="3:8">
      <c r="C1696" s="147"/>
      <c r="D1696" s="147"/>
      <c r="E1696" s="147"/>
      <c r="F1696" s="147"/>
      <c r="G1696" s="147"/>
      <c r="H1696" s="147"/>
    </row>
    <row r="1697" spans="3:8">
      <c r="C1697" s="147"/>
      <c r="D1697" s="147"/>
      <c r="E1697" s="147"/>
      <c r="F1697" s="147"/>
      <c r="G1697" s="147"/>
      <c r="H1697" s="147"/>
    </row>
    <row r="1698" spans="3:8">
      <c r="C1698" s="147"/>
      <c r="D1698" s="147"/>
      <c r="E1698" s="147"/>
      <c r="F1698" s="147"/>
      <c r="G1698" s="147"/>
      <c r="H1698" s="147"/>
    </row>
    <row r="1699" spans="3:8">
      <c r="C1699" s="147"/>
      <c r="D1699" s="147"/>
      <c r="E1699" s="147"/>
      <c r="F1699" s="147"/>
      <c r="G1699" s="147"/>
      <c r="H1699" s="147"/>
    </row>
    <row r="1700" spans="3:8">
      <c r="C1700" s="147"/>
      <c r="D1700" s="147"/>
      <c r="E1700" s="147"/>
      <c r="F1700" s="147"/>
      <c r="G1700" s="147"/>
      <c r="H1700" s="147"/>
    </row>
    <row r="1701" spans="3:8">
      <c r="C1701" s="147"/>
      <c r="D1701" s="147"/>
      <c r="E1701" s="147"/>
      <c r="F1701" s="147"/>
      <c r="G1701" s="147"/>
      <c r="H1701" s="147"/>
    </row>
    <row r="1702" spans="3:8">
      <c r="C1702" s="147"/>
      <c r="D1702" s="147"/>
      <c r="E1702" s="147"/>
      <c r="F1702" s="147"/>
      <c r="G1702" s="147"/>
      <c r="H1702" s="147"/>
    </row>
    <row r="1703" spans="3:8">
      <c r="C1703" s="147"/>
      <c r="D1703" s="147"/>
      <c r="E1703" s="147"/>
      <c r="F1703" s="147"/>
      <c r="G1703" s="147"/>
      <c r="H1703" s="147"/>
    </row>
    <row r="1704" spans="3:8">
      <c r="C1704" s="147"/>
      <c r="D1704" s="147"/>
      <c r="E1704" s="147"/>
      <c r="F1704" s="147"/>
      <c r="G1704" s="147"/>
      <c r="H1704" s="147"/>
    </row>
    <row r="1705" spans="3:8">
      <c r="C1705" s="147"/>
      <c r="D1705" s="147"/>
      <c r="E1705" s="147"/>
      <c r="F1705" s="147"/>
      <c r="G1705" s="147"/>
      <c r="H1705" s="147"/>
    </row>
    <row r="1706" spans="3:8">
      <c r="C1706" s="147"/>
      <c r="D1706" s="147"/>
      <c r="E1706" s="147"/>
      <c r="F1706" s="147"/>
      <c r="G1706" s="147"/>
      <c r="H1706" s="147"/>
    </row>
    <row r="1707" spans="3:8">
      <c r="C1707" s="147"/>
      <c r="D1707" s="147"/>
      <c r="E1707" s="147"/>
      <c r="F1707" s="147"/>
      <c r="G1707" s="147"/>
      <c r="H1707" s="147"/>
    </row>
    <row r="1708" spans="3:8">
      <c r="C1708" s="147"/>
      <c r="D1708" s="147"/>
      <c r="E1708" s="147"/>
      <c r="F1708" s="147"/>
      <c r="G1708" s="147"/>
      <c r="H1708" s="147"/>
    </row>
    <row r="1709" spans="3:8">
      <c r="C1709" s="147"/>
      <c r="D1709" s="147"/>
      <c r="E1709" s="147"/>
      <c r="F1709" s="147"/>
      <c r="G1709" s="147"/>
      <c r="H1709" s="147"/>
    </row>
    <row r="1710" spans="3:8">
      <c r="C1710" s="147"/>
      <c r="D1710" s="147"/>
      <c r="E1710" s="147"/>
      <c r="F1710" s="147"/>
      <c r="G1710" s="147"/>
      <c r="H1710" s="147"/>
    </row>
    <row r="1711" spans="3:8">
      <c r="C1711" s="147"/>
      <c r="D1711" s="147"/>
      <c r="E1711" s="147"/>
      <c r="F1711" s="147"/>
      <c r="G1711" s="147"/>
      <c r="H1711" s="147"/>
    </row>
    <row r="1712" spans="3:8">
      <c r="C1712" s="147"/>
      <c r="D1712" s="147"/>
      <c r="E1712" s="147"/>
      <c r="F1712" s="147"/>
      <c r="G1712" s="147"/>
      <c r="H1712" s="147"/>
    </row>
    <row r="1713" spans="3:8">
      <c r="C1713" s="147"/>
      <c r="D1713" s="147"/>
      <c r="E1713" s="147"/>
      <c r="F1713" s="147"/>
      <c r="G1713" s="147"/>
      <c r="H1713" s="147"/>
    </row>
    <row r="1714" spans="3:8">
      <c r="C1714" s="147"/>
      <c r="D1714" s="147"/>
      <c r="E1714" s="147"/>
      <c r="F1714" s="147"/>
      <c r="G1714" s="147"/>
      <c r="H1714" s="147"/>
    </row>
    <row r="1715" spans="3:8">
      <c r="C1715" s="147"/>
      <c r="D1715" s="147"/>
      <c r="E1715" s="147"/>
      <c r="F1715" s="147"/>
      <c r="G1715" s="147"/>
      <c r="H1715" s="147"/>
    </row>
    <row r="1716" spans="3:8">
      <c r="C1716" s="147"/>
      <c r="D1716" s="147"/>
      <c r="E1716" s="147"/>
      <c r="F1716" s="147"/>
      <c r="G1716" s="147"/>
      <c r="H1716" s="147"/>
    </row>
    <row r="1717" spans="3:8">
      <c r="C1717" s="147"/>
      <c r="D1717" s="147"/>
      <c r="E1717" s="147"/>
      <c r="F1717" s="147"/>
      <c r="G1717" s="147"/>
      <c r="H1717" s="147"/>
    </row>
    <row r="1718" spans="3:8">
      <c r="C1718" s="147"/>
      <c r="D1718" s="147"/>
      <c r="E1718" s="147"/>
      <c r="F1718" s="147"/>
      <c r="G1718" s="147"/>
      <c r="H1718" s="147"/>
    </row>
    <row r="1719" spans="3:8">
      <c r="C1719" s="147"/>
      <c r="D1719" s="147"/>
      <c r="E1719" s="147"/>
      <c r="F1719" s="147"/>
      <c r="G1719" s="147"/>
      <c r="H1719" s="147"/>
    </row>
    <row r="1720" spans="3:8">
      <c r="C1720" s="147"/>
      <c r="D1720" s="147"/>
      <c r="E1720" s="147"/>
      <c r="F1720" s="147"/>
      <c r="G1720" s="147"/>
      <c r="H1720" s="147"/>
    </row>
    <row r="1721" spans="3:8">
      <c r="C1721" s="147"/>
      <c r="D1721" s="147"/>
      <c r="E1721" s="147"/>
      <c r="F1721" s="147"/>
      <c r="G1721" s="147"/>
      <c r="H1721" s="147"/>
    </row>
    <row r="1722" spans="3:8">
      <c r="C1722" s="147"/>
      <c r="D1722" s="147"/>
      <c r="E1722" s="147"/>
      <c r="F1722" s="147"/>
      <c r="G1722" s="147"/>
      <c r="H1722" s="147"/>
    </row>
    <row r="1723" spans="3:8">
      <c r="C1723" s="147"/>
      <c r="D1723" s="147"/>
      <c r="E1723" s="147"/>
      <c r="F1723" s="147"/>
      <c r="G1723" s="147"/>
      <c r="H1723" s="147"/>
    </row>
    <row r="1724" spans="3:8">
      <c r="C1724" s="147"/>
      <c r="D1724" s="147"/>
      <c r="E1724" s="147"/>
      <c r="F1724" s="147"/>
      <c r="G1724" s="147"/>
      <c r="H1724" s="147"/>
    </row>
    <row r="1725" spans="3:8">
      <c r="C1725" s="147"/>
      <c r="D1725" s="147"/>
      <c r="E1725" s="147"/>
      <c r="F1725" s="147"/>
      <c r="G1725" s="147"/>
      <c r="H1725" s="147"/>
    </row>
    <row r="1726" spans="3:8">
      <c r="C1726" s="147"/>
      <c r="D1726" s="147"/>
      <c r="E1726" s="147"/>
      <c r="F1726" s="147"/>
      <c r="G1726" s="147"/>
      <c r="H1726" s="147"/>
    </row>
    <row r="1727" spans="3:8">
      <c r="C1727" s="147"/>
      <c r="D1727" s="147"/>
      <c r="E1727" s="147"/>
      <c r="F1727" s="147"/>
      <c r="G1727" s="147"/>
      <c r="H1727" s="147"/>
    </row>
    <row r="1728" spans="3:8">
      <c r="C1728" s="147"/>
      <c r="D1728" s="147"/>
      <c r="E1728" s="147"/>
      <c r="F1728" s="147"/>
      <c r="G1728" s="147"/>
      <c r="H1728" s="147"/>
    </row>
    <row r="1729" spans="3:8">
      <c r="C1729" s="147"/>
      <c r="D1729" s="147"/>
      <c r="E1729" s="147"/>
      <c r="F1729" s="147"/>
      <c r="G1729" s="147"/>
      <c r="H1729" s="147"/>
    </row>
    <row r="1730" spans="3:8">
      <c r="C1730" s="147"/>
      <c r="D1730" s="147"/>
      <c r="E1730" s="147"/>
      <c r="F1730" s="147"/>
      <c r="G1730" s="147"/>
      <c r="H1730" s="147"/>
    </row>
    <row r="1731" spans="3:8">
      <c r="C1731" s="147"/>
      <c r="D1731" s="147"/>
      <c r="E1731" s="147"/>
      <c r="F1731" s="147"/>
      <c r="G1731" s="147"/>
      <c r="H1731" s="147"/>
    </row>
    <row r="1732" spans="3:8">
      <c r="C1732" s="147"/>
      <c r="D1732" s="147"/>
      <c r="E1732" s="147"/>
      <c r="F1732" s="147"/>
      <c r="G1732" s="147"/>
      <c r="H1732" s="147"/>
    </row>
    <row r="1733" spans="3:8">
      <c r="C1733" s="147"/>
      <c r="D1733" s="147"/>
      <c r="E1733" s="147"/>
      <c r="F1733" s="147"/>
      <c r="G1733" s="147"/>
      <c r="H1733" s="147"/>
    </row>
    <row r="1734" spans="3:8">
      <c r="C1734" s="147"/>
      <c r="D1734" s="147"/>
      <c r="E1734" s="147"/>
      <c r="F1734" s="147"/>
      <c r="G1734" s="147"/>
      <c r="H1734" s="147"/>
    </row>
    <row r="1735" spans="3:8">
      <c r="C1735" s="147"/>
      <c r="D1735" s="147"/>
      <c r="E1735" s="147"/>
      <c r="F1735" s="147"/>
      <c r="G1735" s="147"/>
      <c r="H1735" s="147"/>
    </row>
    <row r="1736" spans="3:8">
      <c r="C1736" s="147"/>
      <c r="D1736" s="147"/>
      <c r="E1736" s="147"/>
      <c r="F1736" s="147"/>
      <c r="G1736" s="147"/>
      <c r="H1736" s="147"/>
    </row>
    <row r="1737" spans="3:8">
      <c r="C1737" s="147"/>
      <c r="D1737" s="147"/>
      <c r="E1737" s="147"/>
      <c r="F1737" s="147"/>
      <c r="G1737" s="147"/>
      <c r="H1737" s="147"/>
    </row>
    <row r="1738" spans="3:8">
      <c r="C1738" s="147"/>
      <c r="D1738" s="147"/>
      <c r="E1738" s="147"/>
      <c r="F1738" s="147"/>
      <c r="G1738" s="147"/>
      <c r="H1738" s="147"/>
    </row>
    <row r="1739" spans="3:8">
      <c r="C1739" s="147"/>
      <c r="D1739" s="147"/>
      <c r="E1739" s="147"/>
      <c r="F1739" s="147"/>
      <c r="G1739" s="147"/>
      <c r="H1739" s="147"/>
    </row>
    <row r="1740" spans="3:8">
      <c r="C1740" s="147"/>
      <c r="D1740" s="147"/>
      <c r="E1740" s="147"/>
      <c r="F1740" s="147"/>
      <c r="G1740" s="147"/>
      <c r="H1740" s="147"/>
    </row>
    <row r="1741" spans="3:8">
      <c r="C1741" s="147"/>
      <c r="D1741" s="147"/>
      <c r="E1741" s="147"/>
      <c r="F1741" s="147"/>
      <c r="G1741" s="147"/>
      <c r="H1741" s="147"/>
    </row>
    <row r="1742" spans="3:8">
      <c r="C1742" s="147"/>
      <c r="D1742" s="147"/>
      <c r="E1742" s="147"/>
      <c r="F1742" s="147"/>
      <c r="G1742" s="147"/>
      <c r="H1742" s="147"/>
    </row>
    <row r="1743" spans="3:8">
      <c r="C1743" s="147"/>
      <c r="D1743" s="147"/>
      <c r="E1743" s="147"/>
      <c r="F1743" s="147"/>
      <c r="G1743" s="147"/>
      <c r="H1743" s="147"/>
    </row>
    <row r="1744" spans="3:8">
      <c r="C1744" s="147"/>
      <c r="D1744" s="147"/>
      <c r="E1744" s="147"/>
      <c r="F1744" s="147"/>
      <c r="G1744" s="147"/>
      <c r="H1744" s="147"/>
    </row>
    <row r="1745" spans="3:8">
      <c r="C1745" s="147"/>
      <c r="D1745" s="147"/>
      <c r="E1745" s="147"/>
      <c r="F1745" s="147"/>
      <c r="G1745" s="147"/>
      <c r="H1745" s="147"/>
    </row>
    <row r="1746" spans="3:8">
      <c r="C1746" s="147"/>
      <c r="D1746" s="147"/>
      <c r="E1746" s="147"/>
      <c r="F1746" s="147"/>
      <c r="G1746" s="147"/>
      <c r="H1746" s="147"/>
    </row>
    <row r="1747" spans="3:8">
      <c r="C1747" s="147"/>
      <c r="D1747" s="147"/>
      <c r="E1747" s="147"/>
      <c r="F1747" s="147"/>
      <c r="G1747" s="147"/>
      <c r="H1747" s="147"/>
    </row>
    <row r="1748" spans="3:8">
      <c r="C1748" s="147"/>
      <c r="D1748" s="147"/>
      <c r="E1748" s="147"/>
      <c r="F1748" s="147"/>
      <c r="G1748" s="147"/>
      <c r="H1748" s="147"/>
    </row>
    <row r="1749" spans="3:8">
      <c r="C1749" s="147"/>
      <c r="D1749" s="147"/>
      <c r="E1749" s="147"/>
      <c r="F1749" s="147"/>
      <c r="G1749" s="147"/>
      <c r="H1749" s="147"/>
    </row>
    <row r="1750" spans="3:8">
      <c r="C1750" s="147"/>
      <c r="D1750" s="147"/>
      <c r="E1750" s="147"/>
      <c r="F1750" s="147"/>
      <c r="G1750" s="147"/>
      <c r="H1750" s="147"/>
    </row>
    <row r="1751" spans="3:8">
      <c r="C1751" s="147"/>
      <c r="D1751" s="147"/>
      <c r="E1751" s="147"/>
      <c r="F1751" s="147"/>
      <c r="G1751" s="147"/>
      <c r="H1751" s="147"/>
    </row>
    <row r="1752" spans="3:8">
      <c r="C1752" s="147"/>
      <c r="D1752" s="147"/>
      <c r="E1752" s="147"/>
      <c r="F1752" s="147"/>
      <c r="G1752" s="147"/>
      <c r="H1752" s="147"/>
    </row>
    <row r="1753" spans="3:8">
      <c r="C1753" s="147"/>
      <c r="D1753" s="147"/>
      <c r="E1753" s="147"/>
      <c r="F1753" s="147"/>
      <c r="G1753" s="147"/>
      <c r="H1753" s="147"/>
    </row>
    <row r="1754" spans="3:8">
      <c r="C1754" s="147"/>
      <c r="D1754" s="147"/>
      <c r="E1754" s="147"/>
      <c r="F1754" s="147"/>
      <c r="G1754" s="147"/>
      <c r="H1754" s="147"/>
    </row>
    <row r="1755" spans="3:8">
      <c r="C1755" s="147"/>
      <c r="D1755" s="147"/>
      <c r="E1755" s="147"/>
      <c r="F1755" s="147"/>
      <c r="G1755" s="147"/>
      <c r="H1755" s="147"/>
    </row>
    <row r="1756" spans="3:8">
      <c r="C1756" s="147"/>
      <c r="D1756" s="147"/>
      <c r="E1756" s="147"/>
      <c r="F1756" s="147"/>
      <c r="G1756" s="147"/>
      <c r="H1756" s="147"/>
    </row>
    <row r="1757" spans="3:8">
      <c r="C1757" s="147"/>
      <c r="D1757" s="147"/>
      <c r="E1757" s="147"/>
      <c r="F1757" s="147"/>
      <c r="G1757" s="147"/>
      <c r="H1757" s="147"/>
    </row>
    <row r="1758" spans="3:8">
      <c r="C1758" s="147"/>
      <c r="D1758" s="147"/>
      <c r="E1758" s="147"/>
      <c r="F1758" s="147"/>
      <c r="G1758" s="147"/>
      <c r="H1758" s="147"/>
    </row>
    <row r="1759" spans="3:8">
      <c r="C1759" s="147"/>
      <c r="D1759" s="147"/>
      <c r="E1759" s="147"/>
      <c r="F1759" s="147"/>
      <c r="G1759" s="147"/>
      <c r="H1759" s="147"/>
    </row>
    <row r="1760" spans="3:8">
      <c r="C1760" s="147"/>
      <c r="D1760" s="147"/>
      <c r="E1760" s="147"/>
      <c r="F1760" s="147"/>
      <c r="G1760" s="147"/>
      <c r="H1760" s="147"/>
    </row>
    <row r="1761" spans="3:8">
      <c r="C1761" s="147"/>
      <c r="D1761" s="147"/>
      <c r="E1761" s="147"/>
      <c r="F1761" s="147"/>
      <c r="G1761" s="147"/>
      <c r="H1761" s="147"/>
    </row>
    <row r="1762" spans="3:8">
      <c r="C1762" s="147"/>
      <c r="D1762" s="147"/>
      <c r="E1762" s="147"/>
      <c r="F1762" s="147"/>
      <c r="G1762" s="147"/>
      <c r="H1762" s="147"/>
    </row>
    <row r="1763" spans="3:8">
      <c r="C1763" s="147"/>
      <c r="D1763" s="147"/>
      <c r="E1763" s="147"/>
      <c r="F1763" s="147"/>
      <c r="G1763" s="147"/>
      <c r="H1763" s="147"/>
    </row>
    <row r="1764" spans="3:8">
      <c r="C1764" s="147"/>
      <c r="D1764" s="147"/>
      <c r="E1764" s="147"/>
      <c r="F1764" s="147"/>
      <c r="G1764" s="147"/>
      <c r="H1764" s="147"/>
    </row>
    <row r="1765" spans="3:8">
      <c r="C1765" s="147"/>
      <c r="D1765" s="147"/>
      <c r="E1765" s="147"/>
      <c r="F1765" s="147"/>
      <c r="G1765" s="147"/>
      <c r="H1765" s="147"/>
    </row>
    <row r="1766" spans="3:8">
      <c r="C1766" s="147"/>
      <c r="D1766" s="147"/>
      <c r="E1766" s="147"/>
      <c r="F1766" s="147"/>
      <c r="G1766" s="147"/>
      <c r="H1766" s="147"/>
    </row>
    <row r="1767" spans="3:8">
      <c r="C1767" s="147"/>
      <c r="D1767" s="147"/>
      <c r="E1767" s="147"/>
      <c r="F1767" s="147"/>
      <c r="G1767" s="147"/>
      <c r="H1767" s="147"/>
    </row>
    <row r="1768" spans="3:8">
      <c r="C1768" s="147"/>
      <c r="D1768" s="147"/>
      <c r="E1768" s="147"/>
      <c r="F1768" s="147"/>
      <c r="G1768" s="147"/>
      <c r="H1768" s="147"/>
    </row>
    <row r="1769" spans="3:8">
      <c r="C1769" s="147"/>
      <c r="D1769" s="147"/>
      <c r="E1769" s="147"/>
      <c r="F1769" s="147"/>
      <c r="G1769" s="147"/>
      <c r="H1769" s="147"/>
    </row>
    <row r="1770" spans="3:8">
      <c r="C1770" s="147"/>
      <c r="D1770" s="147"/>
      <c r="E1770" s="147"/>
      <c r="F1770" s="147"/>
      <c r="G1770" s="147"/>
      <c r="H1770" s="147"/>
    </row>
    <row r="1771" spans="3:8">
      <c r="C1771" s="147"/>
      <c r="D1771" s="147"/>
      <c r="E1771" s="147"/>
      <c r="F1771" s="147"/>
      <c r="G1771" s="147"/>
      <c r="H1771" s="147"/>
    </row>
    <row r="1772" spans="3:8">
      <c r="C1772" s="147"/>
      <c r="D1772" s="147"/>
      <c r="E1772" s="147"/>
      <c r="F1772" s="147"/>
      <c r="G1772" s="147"/>
      <c r="H1772" s="147"/>
    </row>
    <row r="1773" spans="3:8">
      <c r="C1773" s="147"/>
      <c r="D1773" s="147"/>
      <c r="E1773" s="147"/>
      <c r="F1773" s="147"/>
      <c r="G1773" s="147"/>
      <c r="H1773" s="147"/>
    </row>
    <row r="1774" spans="3:8">
      <c r="C1774" s="147"/>
      <c r="D1774" s="147"/>
      <c r="E1774" s="147"/>
      <c r="F1774" s="147"/>
      <c r="G1774" s="147"/>
      <c r="H1774" s="147"/>
    </row>
    <row r="1775" spans="3:8">
      <c r="C1775" s="147"/>
      <c r="D1775" s="147"/>
      <c r="E1775" s="147"/>
      <c r="F1775" s="147"/>
      <c r="G1775" s="147"/>
      <c r="H1775" s="147"/>
    </row>
    <row r="1776" spans="3:8">
      <c r="C1776" s="147"/>
      <c r="D1776" s="147"/>
      <c r="E1776" s="147"/>
      <c r="F1776" s="147"/>
      <c r="G1776" s="147"/>
      <c r="H1776" s="147"/>
    </row>
    <row r="1777" spans="3:8">
      <c r="C1777" s="147"/>
      <c r="D1777" s="147"/>
      <c r="E1777" s="147"/>
      <c r="F1777" s="147"/>
      <c r="G1777" s="147"/>
      <c r="H1777" s="147"/>
    </row>
    <row r="1778" spans="3:8">
      <c r="C1778" s="147"/>
      <c r="D1778" s="147"/>
      <c r="E1778" s="147"/>
      <c r="F1778" s="147"/>
      <c r="G1778" s="147"/>
      <c r="H1778" s="147"/>
    </row>
    <row r="1779" spans="3:8">
      <c r="C1779" s="147"/>
      <c r="D1779" s="147"/>
      <c r="E1779" s="147"/>
      <c r="F1779" s="147"/>
      <c r="G1779" s="147"/>
      <c r="H1779" s="147"/>
    </row>
    <row r="1780" spans="3:8">
      <c r="C1780" s="147"/>
      <c r="D1780" s="147"/>
      <c r="E1780" s="147"/>
      <c r="F1780" s="147"/>
      <c r="G1780" s="147"/>
      <c r="H1780" s="147"/>
    </row>
    <row r="1781" spans="3:8">
      <c r="C1781" s="147"/>
      <c r="D1781" s="147"/>
      <c r="E1781" s="147"/>
      <c r="F1781" s="147"/>
      <c r="G1781" s="147"/>
      <c r="H1781" s="147"/>
    </row>
    <row r="1782" spans="3:8">
      <c r="C1782" s="147"/>
      <c r="D1782" s="147"/>
      <c r="E1782" s="147"/>
      <c r="F1782" s="147"/>
      <c r="G1782" s="147"/>
      <c r="H1782" s="147"/>
    </row>
    <row r="1783" spans="3:8">
      <c r="C1783" s="147"/>
      <c r="D1783" s="147"/>
      <c r="E1783" s="147"/>
      <c r="F1783" s="147"/>
      <c r="G1783" s="147"/>
      <c r="H1783" s="147"/>
    </row>
    <row r="1784" spans="3:8">
      <c r="C1784" s="147"/>
      <c r="D1784" s="147"/>
      <c r="E1784" s="147"/>
      <c r="F1784" s="147"/>
      <c r="G1784" s="147"/>
      <c r="H1784" s="147"/>
    </row>
    <row r="1785" spans="3:8">
      <c r="C1785" s="147"/>
      <c r="D1785" s="147"/>
      <c r="E1785" s="147"/>
      <c r="F1785" s="147"/>
      <c r="G1785" s="147"/>
      <c r="H1785" s="147"/>
    </row>
    <row r="1786" spans="3:8">
      <c r="C1786" s="147"/>
      <c r="D1786" s="147"/>
      <c r="E1786" s="147"/>
      <c r="F1786" s="147"/>
      <c r="G1786" s="147"/>
      <c r="H1786" s="147"/>
    </row>
    <row r="1787" spans="3:8">
      <c r="C1787" s="147"/>
      <c r="D1787" s="147"/>
      <c r="E1787" s="147"/>
      <c r="F1787" s="147"/>
      <c r="G1787" s="147"/>
      <c r="H1787" s="147"/>
    </row>
    <row r="1788" spans="3:8">
      <c r="C1788" s="147"/>
      <c r="D1788" s="147"/>
      <c r="E1788" s="147"/>
      <c r="F1788" s="147"/>
      <c r="G1788" s="147"/>
      <c r="H1788" s="147"/>
    </row>
    <row r="1789" spans="3:8">
      <c r="C1789" s="147"/>
      <c r="D1789" s="147"/>
      <c r="E1789" s="147"/>
      <c r="F1789" s="147"/>
      <c r="G1789" s="147"/>
      <c r="H1789" s="147"/>
    </row>
    <row r="1790" spans="3:8">
      <c r="C1790" s="147"/>
      <c r="D1790" s="147"/>
      <c r="E1790" s="147"/>
      <c r="F1790" s="147"/>
      <c r="G1790" s="147"/>
      <c r="H1790" s="147"/>
    </row>
    <row r="1791" spans="3:8">
      <c r="C1791" s="147"/>
      <c r="D1791" s="147"/>
      <c r="E1791" s="147"/>
      <c r="F1791" s="147"/>
      <c r="G1791" s="147"/>
      <c r="H1791" s="147"/>
    </row>
    <row r="1792" spans="3:8">
      <c r="C1792" s="147"/>
      <c r="D1792" s="147"/>
      <c r="E1792" s="147"/>
      <c r="F1792" s="147"/>
      <c r="G1792" s="147"/>
      <c r="H1792" s="147"/>
    </row>
    <row r="1793" spans="3:8">
      <c r="C1793" s="147"/>
      <c r="D1793" s="147"/>
      <c r="E1793" s="147"/>
      <c r="F1793" s="147"/>
      <c r="G1793" s="147"/>
      <c r="H1793" s="147"/>
    </row>
    <row r="1794" spans="3:8">
      <c r="C1794" s="147"/>
      <c r="D1794" s="147"/>
      <c r="E1794" s="147"/>
      <c r="F1794" s="147"/>
      <c r="G1794" s="147"/>
      <c r="H1794" s="147"/>
    </row>
    <row r="1795" spans="3:8">
      <c r="C1795" s="147"/>
      <c r="D1795" s="147"/>
      <c r="E1795" s="147"/>
      <c r="F1795" s="147"/>
      <c r="G1795" s="147"/>
      <c r="H1795" s="147"/>
    </row>
    <row r="1796" spans="3:8">
      <c r="C1796" s="147"/>
      <c r="D1796" s="147"/>
      <c r="E1796" s="147"/>
      <c r="F1796" s="147"/>
      <c r="G1796" s="147"/>
      <c r="H1796" s="147"/>
    </row>
    <row r="1797" spans="3:8">
      <c r="C1797" s="147"/>
      <c r="D1797" s="147"/>
      <c r="E1797" s="147"/>
      <c r="F1797" s="147"/>
      <c r="G1797" s="147"/>
      <c r="H1797" s="147"/>
    </row>
    <row r="1798" spans="3:8">
      <c r="C1798" s="147"/>
      <c r="D1798" s="147"/>
      <c r="E1798" s="147"/>
      <c r="F1798" s="147"/>
      <c r="G1798" s="147"/>
      <c r="H1798" s="147"/>
    </row>
    <row r="1799" spans="3:8">
      <c r="C1799" s="147"/>
      <c r="D1799" s="147"/>
      <c r="E1799" s="147"/>
      <c r="F1799" s="147"/>
      <c r="G1799" s="147"/>
      <c r="H1799" s="147"/>
    </row>
    <row r="1800" spans="3:8">
      <c r="C1800" s="147"/>
      <c r="D1800" s="147"/>
      <c r="E1800" s="147"/>
      <c r="F1800" s="147"/>
      <c r="G1800" s="147"/>
      <c r="H1800" s="147"/>
    </row>
    <row r="1801" spans="3:8">
      <c r="C1801" s="147"/>
      <c r="D1801" s="147"/>
      <c r="E1801" s="147"/>
      <c r="F1801" s="147"/>
      <c r="G1801" s="147"/>
      <c r="H1801" s="147"/>
    </row>
    <row r="1802" spans="3:8">
      <c r="C1802" s="147"/>
      <c r="D1802" s="147"/>
      <c r="E1802" s="147"/>
      <c r="F1802" s="147"/>
      <c r="G1802" s="147"/>
      <c r="H1802" s="147"/>
    </row>
    <row r="1803" spans="3:8">
      <c r="C1803" s="147"/>
      <c r="D1803" s="147"/>
      <c r="E1803" s="147"/>
      <c r="F1803" s="147"/>
      <c r="G1803" s="147"/>
      <c r="H1803" s="147"/>
    </row>
    <row r="1804" spans="3:8">
      <c r="C1804" s="147"/>
      <c r="D1804" s="147"/>
      <c r="E1804" s="147"/>
      <c r="F1804" s="147"/>
      <c r="G1804" s="147"/>
      <c r="H1804" s="147"/>
    </row>
    <row r="1805" spans="3:8">
      <c r="C1805" s="147"/>
      <c r="D1805" s="147"/>
      <c r="E1805" s="147"/>
      <c r="F1805" s="147"/>
      <c r="G1805" s="147"/>
      <c r="H1805" s="147"/>
    </row>
    <row r="1806" spans="3:8">
      <c r="C1806" s="147"/>
      <c r="D1806" s="147"/>
      <c r="E1806" s="147"/>
      <c r="F1806" s="147"/>
      <c r="G1806" s="147"/>
      <c r="H1806" s="147"/>
    </row>
    <row r="1807" spans="3:8">
      <c r="C1807" s="147"/>
      <c r="D1807" s="147"/>
      <c r="E1807" s="147"/>
      <c r="F1807" s="147"/>
      <c r="G1807" s="147"/>
      <c r="H1807" s="147"/>
    </row>
    <row r="1808" spans="3:8">
      <c r="C1808" s="147"/>
      <c r="D1808" s="147"/>
      <c r="E1808" s="147"/>
      <c r="F1808" s="147"/>
      <c r="G1808" s="147"/>
      <c r="H1808" s="147"/>
    </row>
    <row r="1809" spans="3:8">
      <c r="C1809" s="147"/>
      <c r="D1809" s="147"/>
      <c r="E1809" s="147"/>
      <c r="F1809" s="147"/>
      <c r="G1809" s="147"/>
      <c r="H1809" s="147"/>
    </row>
    <row r="1810" spans="3:8">
      <c r="C1810" s="147"/>
      <c r="D1810" s="147"/>
      <c r="E1810" s="147"/>
      <c r="F1810" s="147"/>
      <c r="G1810" s="147"/>
      <c r="H1810" s="147"/>
    </row>
    <row r="1811" spans="3:8">
      <c r="C1811" s="147"/>
      <c r="D1811" s="147"/>
      <c r="E1811" s="147"/>
      <c r="F1811" s="147"/>
      <c r="G1811" s="147"/>
      <c r="H1811" s="147"/>
    </row>
    <row r="1812" spans="3:8">
      <c r="C1812" s="147"/>
      <c r="D1812" s="147"/>
      <c r="E1812" s="147"/>
      <c r="F1812" s="147"/>
      <c r="G1812" s="147"/>
      <c r="H1812" s="147"/>
    </row>
    <row r="1813" spans="3:8">
      <c r="C1813" s="147"/>
      <c r="D1813" s="147"/>
      <c r="E1813" s="147"/>
      <c r="F1813" s="147"/>
      <c r="G1813" s="147"/>
      <c r="H1813" s="147"/>
    </row>
    <row r="1814" spans="3:8">
      <c r="C1814" s="147"/>
      <c r="D1814" s="147"/>
      <c r="E1814" s="147"/>
      <c r="F1814" s="147"/>
      <c r="G1814" s="147"/>
      <c r="H1814" s="147"/>
    </row>
    <row r="1815" spans="3:8">
      <c r="C1815" s="147"/>
      <c r="D1815" s="147"/>
      <c r="E1815" s="147"/>
      <c r="F1815" s="147"/>
      <c r="G1815" s="147"/>
      <c r="H1815" s="147"/>
    </row>
    <row r="1816" spans="3:8">
      <c r="C1816" s="147"/>
      <c r="D1816" s="147"/>
      <c r="E1816" s="147"/>
      <c r="F1816" s="147"/>
      <c r="G1816" s="147"/>
      <c r="H1816" s="147"/>
    </row>
    <row r="1817" spans="3:8">
      <c r="C1817" s="147"/>
      <c r="D1817" s="147"/>
      <c r="E1817" s="147"/>
      <c r="F1817" s="147"/>
      <c r="G1817" s="147"/>
      <c r="H1817" s="147"/>
    </row>
    <row r="1818" spans="3:8">
      <c r="C1818" s="147"/>
      <c r="D1818" s="147"/>
      <c r="E1818" s="147"/>
      <c r="F1818" s="147"/>
      <c r="G1818" s="147"/>
      <c r="H1818" s="147"/>
    </row>
    <row r="1819" spans="3:8">
      <c r="C1819" s="147"/>
      <c r="D1819" s="147"/>
      <c r="E1819" s="147"/>
      <c r="F1819" s="147"/>
      <c r="G1819" s="147"/>
      <c r="H1819" s="147"/>
    </row>
    <row r="1820" spans="3:8">
      <c r="C1820" s="147"/>
      <c r="D1820" s="147"/>
      <c r="E1820" s="147"/>
      <c r="F1820" s="147"/>
      <c r="G1820" s="147"/>
      <c r="H1820" s="147"/>
    </row>
    <row r="1821" spans="3:8">
      <c r="C1821" s="147"/>
      <c r="D1821" s="147"/>
      <c r="E1821" s="147"/>
      <c r="F1821" s="147"/>
      <c r="G1821" s="147"/>
      <c r="H1821" s="147"/>
    </row>
    <row r="1822" spans="3:8">
      <c r="C1822" s="147"/>
      <c r="D1822" s="147"/>
      <c r="E1822" s="147"/>
      <c r="F1822" s="147"/>
      <c r="G1822" s="147"/>
      <c r="H1822" s="147"/>
    </row>
    <row r="1823" spans="3:8">
      <c r="C1823" s="147"/>
      <c r="D1823" s="147"/>
      <c r="E1823" s="147"/>
      <c r="F1823" s="147"/>
      <c r="G1823" s="147"/>
      <c r="H1823" s="147"/>
    </row>
    <row r="1824" spans="3:8">
      <c r="C1824" s="147"/>
      <c r="D1824" s="147"/>
      <c r="E1824" s="147"/>
      <c r="F1824" s="147"/>
      <c r="G1824" s="147"/>
      <c r="H1824" s="147"/>
    </row>
    <row r="1825" spans="3:8">
      <c r="C1825" s="147"/>
      <c r="D1825" s="147"/>
      <c r="E1825" s="147"/>
      <c r="F1825" s="147"/>
      <c r="G1825" s="147"/>
      <c r="H1825" s="147"/>
    </row>
    <row r="1826" spans="3:8">
      <c r="C1826" s="147"/>
      <c r="D1826" s="147"/>
      <c r="E1826" s="147"/>
      <c r="F1826" s="147"/>
      <c r="G1826" s="147"/>
      <c r="H1826" s="147"/>
    </row>
    <row r="1827" spans="3:8">
      <c r="C1827" s="147"/>
      <c r="D1827" s="147"/>
      <c r="E1827" s="147"/>
      <c r="F1827" s="147"/>
      <c r="G1827" s="147"/>
      <c r="H1827" s="147"/>
    </row>
    <row r="1828" spans="3:8">
      <c r="C1828" s="147"/>
      <c r="D1828" s="147"/>
      <c r="E1828" s="147"/>
      <c r="F1828" s="147"/>
      <c r="G1828" s="147"/>
      <c r="H1828" s="147"/>
    </row>
    <row r="1829" spans="3:8">
      <c r="C1829" s="147"/>
      <c r="D1829" s="147"/>
      <c r="E1829" s="147"/>
      <c r="F1829" s="147"/>
      <c r="G1829" s="147"/>
      <c r="H1829" s="147"/>
    </row>
    <row r="1830" spans="3:8">
      <c r="C1830" s="147"/>
      <c r="D1830" s="147"/>
      <c r="E1830" s="147"/>
      <c r="F1830" s="147"/>
      <c r="G1830" s="147"/>
      <c r="H1830" s="147"/>
    </row>
    <row r="1831" spans="3:8">
      <c r="C1831" s="147"/>
      <c r="D1831" s="147"/>
      <c r="E1831" s="147"/>
      <c r="F1831" s="147"/>
      <c r="G1831" s="147"/>
      <c r="H1831" s="147"/>
    </row>
    <row r="1832" spans="3:8">
      <c r="C1832" s="147"/>
      <c r="D1832" s="147"/>
      <c r="E1832" s="147"/>
      <c r="F1832" s="147"/>
      <c r="G1832" s="147"/>
      <c r="H1832" s="147"/>
    </row>
    <row r="1833" spans="3:8">
      <c r="C1833" s="147"/>
      <c r="D1833" s="147"/>
      <c r="E1833" s="147"/>
      <c r="F1833" s="147"/>
      <c r="G1833" s="147"/>
      <c r="H1833" s="147"/>
    </row>
    <row r="1834" spans="3:8">
      <c r="C1834" s="147"/>
      <c r="D1834" s="147"/>
      <c r="E1834" s="147"/>
      <c r="F1834" s="147"/>
      <c r="G1834" s="147"/>
      <c r="H1834" s="147"/>
    </row>
    <row r="1835" spans="3:8">
      <c r="C1835" s="147"/>
      <c r="D1835" s="147"/>
      <c r="E1835" s="147"/>
      <c r="F1835" s="147"/>
      <c r="G1835" s="147"/>
      <c r="H1835" s="147"/>
    </row>
    <row r="1836" spans="3:8">
      <c r="C1836" s="147"/>
      <c r="D1836" s="147"/>
      <c r="E1836" s="147"/>
      <c r="F1836" s="147"/>
      <c r="G1836" s="147"/>
      <c r="H1836" s="147"/>
    </row>
    <row r="1837" spans="3:8">
      <c r="C1837" s="147"/>
      <c r="D1837" s="147"/>
      <c r="E1837" s="147"/>
      <c r="F1837" s="147"/>
      <c r="G1837" s="147"/>
      <c r="H1837" s="147"/>
    </row>
    <row r="1838" spans="3:8">
      <c r="C1838" s="147"/>
      <c r="D1838" s="147"/>
      <c r="E1838" s="147"/>
      <c r="F1838" s="147"/>
      <c r="G1838" s="147"/>
      <c r="H1838" s="147"/>
    </row>
    <row r="1839" spans="3:8">
      <c r="C1839" s="147"/>
      <c r="D1839" s="147"/>
      <c r="E1839" s="147"/>
      <c r="F1839" s="147"/>
      <c r="G1839" s="147"/>
      <c r="H1839" s="147"/>
    </row>
    <row r="1840" spans="3:8">
      <c r="C1840" s="147"/>
      <c r="D1840" s="147"/>
      <c r="E1840" s="147"/>
      <c r="F1840" s="147"/>
      <c r="G1840" s="147"/>
      <c r="H1840" s="147"/>
    </row>
    <row r="1841" spans="3:8">
      <c r="C1841" s="147"/>
      <c r="D1841" s="147"/>
      <c r="E1841" s="147"/>
      <c r="F1841" s="147"/>
      <c r="G1841" s="147"/>
      <c r="H1841" s="147"/>
    </row>
    <row r="1842" spans="3:8">
      <c r="C1842" s="147"/>
      <c r="D1842" s="147"/>
      <c r="E1842" s="147"/>
      <c r="F1842" s="147"/>
      <c r="G1842" s="147"/>
      <c r="H1842" s="147"/>
    </row>
    <row r="1843" spans="3:8">
      <c r="C1843" s="147"/>
      <c r="D1843" s="147"/>
      <c r="E1843" s="147"/>
      <c r="F1843" s="147"/>
      <c r="G1843" s="147"/>
      <c r="H1843" s="147"/>
    </row>
    <row r="1844" spans="3:8">
      <c r="C1844" s="147"/>
      <c r="D1844" s="147"/>
      <c r="E1844" s="147"/>
      <c r="F1844" s="147"/>
      <c r="G1844" s="147"/>
      <c r="H1844" s="147"/>
    </row>
    <row r="1845" spans="3:8">
      <c r="C1845" s="147"/>
      <c r="D1845" s="147"/>
      <c r="E1845" s="147"/>
      <c r="F1845" s="147"/>
      <c r="G1845" s="147"/>
      <c r="H1845" s="147"/>
    </row>
    <row r="1846" spans="3:8">
      <c r="C1846" s="147"/>
      <c r="D1846" s="147"/>
      <c r="E1846" s="147"/>
      <c r="F1846" s="147"/>
      <c r="G1846" s="147"/>
      <c r="H1846" s="147"/>
    </row>
    <row r="1847" spans="3:8">
      <c r="C1847" s="147"/>
      <c r="D1847" s="147"/>
      <c r="E1847" s="147"/>
      <c r="F1847" s="147"/>
      <c r="G1847" s="147"/>
      <c r="H1847" s="147"/>
    </row>
    <row r="1848" spans="3:8">
      <c r="C1848" s="147"/>
      <c r="D1848" s="147"/>
      <c r="E1848" s="147"/>
      <c r="F1848" s="147"/>
      <c r="G1848" s="147"/>
      <c r="H1848" s="147"/>
    </row>
    <row r="1849" spans="3:8">
      <c r="C1849" s="147"/>
      <c r="D1849" s="147"/>
      <c r="E1849" s="147"/>
      <c r="F1849" s="147"/>
      <c r="G1849" s="147"/>
      <c r="H1849" s="147"/>
    </row>
    <row r="1850" spans="3:8">
      <c r="C1850" s="147"/>
      <c r="D1850" s="147"/>
      <c r="E1850" s="147"/>
      <c r="F1850" s="147"/>
      <c r="G1850" s="147"/>
      <c r="H1850" s="147"/>
    </row>
    <row r="1851" spans="3:8">
      <c r="C1851" s="147"/>
      <c r="D1851" s="147"/>
      <c r="E1851" s="147"/>
      <c r="F1851" s="147"/>
      <c r="G1851" s="147"/>
      <c r="H1851" s="147"/>
    </row>
    <row r="1852" spans="3:8">
      <c r="C1852" s="147"/>
      <c r="D1852" s="147"/>
      <c r="E1852" s="147"/>
      <c r="F1852" s="147"/>
      <c r="G1852" s="147"/>
      <c r="H1852" s="147"/>
    </row>
    <row r="1853" spans="3:8">
      <c r="C1853" s="147"/>
      <c r="D1853" s="147"/>
      <c r="E1853" s="147"/>
      <c r="F1853" s="147"/>
      <c r="G1853" s="147"/>
      <c r="H1853" s="147"/>
    </row>
    <row r="1854" spans="3:8">
      <c r="C1854" s="147"/>
      <c r="D1854" s="147"/>
      <c r="E1854" s="147"/>
      <c r="F1854" s="147"/>
      <c r="G1854" s="147"/>
      <c r="H1854" s="147"/>
    </row>
    <row r="1855" spans="3:8">
      <c r="C1855" s="147"/>
      <c r="D1855" s="147"/>
      <c r="E1855" s="147"/>
      <c r="F1855" s="147"/>
      <c r="G1855" s="147"/>
      <c r="H1855" s="147"/>
    </row>
    <row r="1856" spans="3:8">
      <c r="C1856" s="147"/>
      <c r="D1856" s="147"/>
      <c r="E1856" s="147"/>
      <c r="F1856" s="147"/>
      <c r="G1856" s="147"/>
      <c r="H1856" s="147"/>
    </row>
    <row r="1857" spans="3:8">
      <c r="C1857" s="147"/>
      <c r="D1857" s="147"/>
      <c r="E1857" s="147"/>
      <c r="F1857" s="147"/>
      <c r="G1857" s="147"/>
      <c r="H1857" s="147"/>
    </row>
    <row r="1858" spans="3:8">
      <c r="C1858" s="147"/>
      <c r="D1858" s="147"/>
      <c r="E1858" s="147"/>
      <c r="F1858" s="147"/>
      <c r="G1858" s="147"/>
      <c r="H1858" s="147"/>
    </row>
    <row r="1859" spans="3:8">
      <c r="C1859" s="147"/>
      <c r="D1859" s="147"/>
      <c r="E1859" s="147"/>
      <c r="F1859" s="147"/>
      <c r="G1859" s="147"/>
      <c r="H1859" s="147"/>
    </row>
    <row r="1860" spans="3:8">
      <c r="C1860" s="147"/>
      <c r="D1860" s="147"/>
      <c r="E1860" s="147"/>
      <c r="F1860" s="147"/>
      <c r="G1860" s="147"/>
      <c r="H1860" s="147"/>
    </row>
    <row r="1861" spans="3:8">
      <c r="C1861" s="147"/>
      <c r="D1861" s="147"/>
      <c r="E1861" s="147"/>
      <c r="F1861" s="147"/>
      <c r="G1861" s="147"/>
      <c r="H1861" s="147"/>
    </row>
    <row r="1862" spans="3:8">
      <c r="C1862" s="147"/>
      <c r="D1862" s="147"/>
      <c r="E1862" s="147"/>
      <c r="F1862" s="147"/>
      <c r="G1862" s="147"/>
      <c r="H1862" s="147"/>
    </row>
    <row r="1863" spans="3:8">
      <c r="C1863" s="147"/>
      <c r="D1863" s="147"/>
      <c r="E1863" s="147"/>
      <c r="F1863" s="147"/>
      <c r="G1863" s="147"/>
      <c r="H1863" s="147"/>
    </row>
    <row r="1864" spans="3:8">
      <c r="C1864" s="147"/>
      <c r="D1864" s="147"/>
      <c r="E1864" s="147"/>
      <c r="F1864" s="147"/>
      <c r="G1864" s="147"/>
      <c r="H1864" s="147"/>
    </row>
    <row r="1865" spans="3:8">
      <c r="C1865" s="147"/>
      <c r="D1865" s="147"/>
      <c r="E1865" s="147"/>
      <c r="F1865" s="147"/>
      <c r="G1865" s="147"/>
      <c r="H1865" s="147"/>
    </row>
    <row r="1866" spans="3:8">
      <c r="C1866" s="147"/>
      <c r="D1866" s="147"/>
      <c r="E1866" s="147"/>
      <c r="F1866" s="147"/>
      <c r="G1866" s="147"/>
      <c r="H1866" s="147"/>
    </row>
    <row r="1867" spans="3:8">
      <c r="C1867" s="147"/>
      <c r="D1867" s="147"/>
      <c r="E1867" s="147"/>
      <c r="F1867" s="147"/>
      <c r="G1867" s="147"/>
      <c r="H1867" s="147"/>
    </row>
    <row r="1868" spans="3:8">
      <c r="C1868" s="147"/>
      <c r="D1868" s="147"/>
      <c r="E1868" s="147"/>
      <c r="F1868" s="147"/>
      <c r="G1868" s="147"/>
      <c r="H1868" s="147"/>
    </row>
    <row r="1869" spans="3:8">
      <c r="C1869" s="147"/>
      <c r="D1869" s="147"/>
      <c r="E1869" s="147"/>
      <c r="F1869" s="147"/>
      <c r="G1869" s="147"/>
      <c r="H1869" s="147"/>
    </row>
    <row r="1870" spans="3:8">
      <c r="C1870" s="147"/>
      <c r="D1870" s="147"/>
    </row>
    <row r="1871" spans="3:8">
      <c r="C1871" s="147"/>
      <c r="D1871" s="147"/>
    </row>
    <row r="1872" spans="3:8">
      <c r="C1872" s="147"/>
      <c r="D1872" s="147"/>
    </row>
    <row r="1873" spans="3:4">
      <c r="C1873" s="147"/>
      <c r="D1873" s="147"/>
    </row>
    <row r="1874" spans="3:4">
      <c r="C1874" s="147"/>
      <c r="D1874" s="147"/>
    </row>
    <row r="1875" spans="3:4">
      <c r="C1875" s="147"/>
      <c r="D1875" s="147"/>
    </row>
    <row r="1876" spans="3:4">
      <c r="C1876" s="147"/>
      <c r="D1876" s="147"/>
    </row>
    <row r="1877" spans="3:4">
      <c r="C1877" s="147"/>
      <c r="D1877" s="147"/>
    </row>
    <row r="1878" spans="3:4">
      <c r="C1878" s="147"/>
      <c r="D1878" s="147"/>
    </row>
    <row r="1879" spans="3:4">
      <c r="C1879" s="147"/>
      <c r="D1879" s="147"/>
    </row>
    <row r="1880" spans="3:4">
      <c r="C1880" s="147"/>
      <c r="D1880" s="147"/>
    </row>
    <row r="1881" spans="3:4">
      <c r="C1881" s="147"/>
      <c r="D1881" s="147"/>
    </row>
    <row r="1882" spans="3:4">
      <c r="C1882" s="147"/>
      <c r="D1882" s="147"/>
    </row>
    <row r="1883" spans="3:4">
      <c r="C1883" s="147"/>
      <c r="D1883" s="147"/>
    </row>
    <row r="1884" spans="3:4">
      <c r="C1884" s="147"/>
      <c r="D1884" s="147"/>
    </row>
    <row r="1885" spans="3:4">
      <c r="C1885" s="147"/>
      <c r="D1885" s="147"/>
    </row>
    <row r="1886" spans="3:4">
      <c r="C1886" s="147"/>
      <c r="D1886" s="147"/>
    </row>
    <row r="1887" spans="3:4">
      <c r="C1887" s="147"/>
      <c r="D1887" s="147"/>
    </row>
    <row r="1888" spans="3:4">
      <c r="C1888" s="147"/>
      <c r="D1888" s="147"/>
    </row>
    <row r="1889" spans="3:4">
      <c r="C1889" s="147"/>
      <c r="D1889" s="147"/>
    </row>
    <row r="1890" spans="3:4">
      <c r="C1890" s="147"/>
      <c r="D1890" s="147"/>
    </row>
    <row r="1891" spans="3:4">
      <c r="C1891" s="147"/>
      <c r="D1891" s="147"/>
    </row>
    <row r="1892" spans="3:4">
      <c r="C1892" s="147"/>
      <c r="D1892" s="147"/>
    </row>
    <row r="1893" spans="3:4">
      <c r="C1893" s="147"/>
      <c r="D1893" s="147"/>
    </row>
    <row r="1894" spans="3:4">
      <c r="C1894" s="147"/>
      <c r="D1894" s="147"/>
    </row>
    <row r="1895" spans="3:4">
      <c r="C1895" s="147"/>
      <c r="D1895" s="147"/>
    </row>
    <row r="1896" spans="3:4">
      <c r="C1896" s="147"/>
      <c r="D1896" s="147"/>
    </row>
    <row r="1897" spans="3:4">
      <c r="C1897" s="147"/>
      <c r="D1897" s="147"/>
    </row>
    <row r="1898" spans="3:4">
      <c r="C1898" s="147"/>
      <c r="D1898" s="147"/>
    </row>
    <row r="1899" spans="3:4">
      <c r="C1899" s="147"/>
      <c r="D1899" s="147"/>
    </row>
    <row r="1900" spans="3:4">
      <c r="C1900" s="147"/>
      <c r="D1900" s="147"/>
    </row>
    <row r="1901" spans="3:4">
      <c r="C1901" s="147"/>
      <c r="D1901" s="147"/>
    </row>
    <row r="1902" spans="3:4">
      <c r="C1902" s="147"/>
      <c r="D1902" s="147"/>
    </row>
    <row r="1903" spans="3:4">
      <c r="C1903" s="147"/>
      <c r="D1903" s="147"/>
    </row>
    <row r="1904" spans="3:4">
      <c r="C1904" s="147"/>
      <c r="D1904" s="147"/>
    </row>
    <row r="1905" spans="3:4">
      <c r="C1905" s="147"/>
      <c r="D1905" s="147"/>
    </row>
    <row r="1906" spans="3:4">
      <c r="C1906" s="147"/>
      <c r="D1906" s="147"/>
    </row>
    <row r="1907" spans="3:4">
      <c r="C1907" s="147"/>
      <c r="D1907" s="147"/>
    </row>
    <row r="1908" spans="3:4">
      <c r="C1908" s="147"/>
      <c r="D1908" s="147"/>
    </row>
    <row r="1909" spans="3:4">
      <c r="C1909" s="147"/>
      <c r="D1909" s="147"/>
    </row>
    <row r="1910" spans="3:4">
      <c r="C1910" s="147"/>
      <c r="D1910" s="147"/>
    </row>
    <row r="1911" spans="3:4">
      <c r="C1911" s="147"/>
      <c r="D1911" s="147"/>
    </row>
    <row r="1912" spans="3:4">
      <c r="C1912" s="147"/>
      <c r="D1912" s="147"/>
    </row>
    <row r="1913" spans="3:4">
      <c r="C1913" s="147"/>
      <c r="D1913" s="147"/>
    </row>
    <row r="1914" spans="3:4">
      <c r="C1914" s="147"/>
      <c r="D1914" s="147"/>
    </row>
    <row r="1915" spans="3:4">
      <c r="C1915" s="147"/>
      <c r="D1915" s="147"/>
    </row>
    <row r="1916" spans="3:4">
      <c r="C1916" s="147"/>
      <c r="D1916" s="147"/>
    </row>
    <row r="1917" spans="3:4">
      <c r="C1917" s="147"/>
      <c r="D1917" s="147"/>
    </row>
    <row r="1918" spans="3:4">
      <c r="C1918" s="147"/>
      <c r="D1918" s="147"/>
    </row>
    <row r="1919" spans="3:4">
      <c r="C1919" s="147"/>
      <c r="D1919" s="147"/>
    </row>
    <row r="1920" spans="3:4">
      <c r="C1920" s="147"/>
      <c r="D1920" s="147"/>
    </row>
    <row r="1921" spans="3:4">
      <c r="C1921" s="147"/>
      <c r="D1921" s="147"/>
    </row>
    <row r="1922" spans="3:4">
      <c r="C1922" s="147"/>
      <c r="D1922" s="147"/>
    </row>
    <row r="1923" spans="3:4">
      <c r="C1923" s="147"/>
      <c r="D1923" s="147"/>
    </row>
    <row r="1924" spans="3:4">
      <c r="C1924" s="147"/>
      <c r="D1924" s="147"/>
    </row>
    <row r="1925" spans="3:4">
      <c r="C1925" s="147"/>
      <c r="D1925" s="147"/>
    </row>
    <row r="1926" spans="3:4">
      <c r="C1926" s="147"/>
      <c r="D1926" s="147"/>
    </row>
    <row r="1927" spans="3:4">
      <c r="C1927" s="147"/>
      <c r="D1927" s="147"/>
    </row>
    <row r="1928" spans="3:4">
      <c r="C1928" s="147"/>
      <c r="D1928" s="147"/>
    </row>
    <row r="1929" spans="3:4">
      <c r="C1929" s="147"/>
      <c r="D1929" s="147"/>
    </row>
    <row r="1930" spans="3:4">
      <c r="C1930" s="147"/>
      <c r="D1930" s="147"/>
    </row>
    <row r="1931" spans="3:4">
      <c r="C1931" s="147"/>
      <c r="D1931" s="147"/>
    </row>
    <row r="1932" spans="3:4">
      <c r="C1932" s="147"/>
      <c r="D1932" s="147"/>
    </row>
    <row r="1933" spans="3:4">
      <c r="C1933" s="147"/>
      <c r="D1933" s="147"/>
    </row>
    <row r="1934" spans="3:4">
      <c r="C1934" s="147"/>
      <c r="D1934" s="147"/>
    </row>
    <row r="1935" spans="3:4">
      <c r="C1935" s="147"/>
      <c r="D1935" s="147"/>
    </row>
    <row r="1936" spans="3:4">
      <c r="C1936" s="147"/>
      <c r="D1936" s="147"/>
    </row>
    <row r="1937" spans="3:4">
      <c r="C1937" s="147"/>
      <c r="D1937" s="147"/>
    </row>
    <row r="1938" spans="3:4">
      <c r="C1938" s="147"/>
      <c r="D1938" s="147"/>
    </row>
    <row r="1939" spans="3:4">
      <c r="C1939" s="147"/>
      <c r="D1939" s="147"/>
    </row>
    <row r="1940" spans="3:4">
      <c r="C1940" s="147"/>
      <c r="D1940" s="147"/>
    </row>
    <row r="1941" spans="3:4">
      <c r="C1941" s="147"/>
      <c r="D1941" s="147"/>
    </row>
    <row r="1942" spans="3:4">
      <c r="C1942" s="147"/>
      <c r="D1942" s="147"/>
    </row>
    <row r="1943" spans="3:4">
      <c r="C1943" s="147"/>
      <c r="D1943" s="147"/>
    </row>
    <row r="1944" spans="3:4">
      <c r="C1944" s="147"/>
      <c r="D1944" s="147"/>
    </row>
    <row r="1945" spans="3:4">
      <c r="C1945" s="147"/>
      <c r="D1945" s="147"/>
    </row>
    <row r="1946" spans="3:4">
      <c r="C1946" s="147"/>
      <c r="D1946" s="147"/>
    </row>
    <row r="1947" spans="3:4">
      <c r="C1947" s="147"/>
      <c r="D1947" s="147"/>
    </row>
    <row r="1948" spans="3:4">
      <c r="C1948" s="147"/>
      <c r="D1948" s="147"/>
    </row>
    <row r="1949" spans="3:4">
      <c r="C1949" s="147"/>
      <c r="D1949" s="147"/>
    </row>
    <row r="1950" spans="3:4">
      <c r="C1950" s="147"/>
      <c r="D1950" s="147"/>
    </row>
    <row r="1951" spans="3:4">
      <c r="C1951" s="147"/>
      <c r="D1951" s="147"/>
    </row>
    <row r="1952" spans="3:4">
      <c r="C1952" s="147"/>
      <c r="D1952" s="147"/>
    </row>
    <row r="1953" spans="3:4">
      <c r="C1953" s="147"/>
      <c r="D1953" s="147"/>
    </row>
    <row r="1954" spans="3:4">
      <c r="C1954" s="147"/>
      <c r="D1954" s="147"/>
    </row>
    <row r="1955" spans="3:4">
      <c r="C1955" s="147"/>
      <c r="D1955" s="147"/>
    </row>
    <row r="1956" spans="3:4">
      <c r="C1956" s="147"/>
      <c r="D1956" s="147"/>
    </row>
    <row r="1957" spans="3:4">
      <c r="C1957" s="147"/>
      <c r="D1957" s="147"/>
    </row>
    <row r="1958" spans="3:4">
      <c r="C1958" s="147"/>
      <c r="D1958" s="147"/>
    </row>
    <row r="1959" spans="3:4">
      <c r="C1959" s="147"/>
      <c r="D1959" s="147"/>
    </row>
    <row r="1960" spans="3:4">
      <c r="C1960" s="147"/>
      <c r="D1960" s="147"/>
    </row>
    <row r="1961" spans="3:4">
      <c r="C1961" s="147"/>
      <c r="D1961" s="147"/>
    </row>
    <row r="1962" spans="3:4">
      <c r="C1962" s="147"/>
      <c r="D1962" s="147"/>
    </row>
    <row r="1963" spans="3:4">
      <c r="C1963" s="147"/>
      <c r="D1963" s="147"/>
    </row>
    <row r="1964" spans="3:4">
      <c r="C1964" s="147"/>
      <c r="D1964" s="147"/>
    </row>
    <row r="1965" spans="3:4">
      <c r="C1965" s="147"/>
      <c r="D1965" s="147"/>
    </row>
    <row r="1966" spans="3:4">
      <c r="C1966" s="147"/>
      <c r="D1966" s="147"/>
    </row>
    <row r="1967" spans="3:4">
      <c r="C1967" s="147"/>
      <c r="D1967" s="147"/>
    </row>
    <row r="1968" spans="3:4">
      <c r="C1968" s="147"/>
      <c r="D1968" s="147"/>
    </row>
    <row r="1969" spans="3:4">
      <c r="C1969" s="147"/>
      <c r="D1969" s="147"/>
    </row>
    <row r="1970" spans="3:4">
      <c r="C1970" s="147"/>
      <c r="D1970" s="147"/>
    </row>
    <row r="1971" spans="3:4">
      <c r="C1971" s="147"/>
      <c r="D1971" s="147"/>
    </row>
    <row r="1972" spans="3:4">
      <c r="C1972" s="147"/>
      <c r="D1972" s="147"/>
    </row>
    <row r="1973" spans="3:4">
      <c r="C1973" s="147"/>
      <c r="D1973" s="147"/>
    </row>
    <row r="1974" spans="3:4">
      <c r="C1974" s="147"/>
      <c r="D1974" s="147"/>
    </row>
    <row r="1975" spans="3:4">
      <c r="C1975" s="147"/>
      <c r="D1975" s="147"/>
    </row>
    <row r="1976" spans="3:4">
      <c r="C1976" s="147"/>
      <c r="D1976" s="147"/>
    </row>
    <row r="1977" spans="3:4">
      <c r="C1977" s="147"/>
      <c r="D1977" s="147"/>
    </row>
    <row r="1978" spans="3:4">
      <c r="C1978" s="147"/>
      <c r="D1978" s="147"/>
    </row>
    <row r="1979" spans="3:4">
      <c r="C1979" s="147"/>
      <c r="D1979" s="147"/>
    </row>
    <row r="1980" spans="3:4">
      <c r="C1980" s="147"/>
      <c r="D1980" s="147"/>
    </row>
    <row r="1981" spans="3:4">
      <c r="C1981" s="147"/>
      <c r="D1981" s="147"/>
    </row>
    <row r="1982" spans="3:4">
      <c r="C1982" s="147"/>
      <c r="D1982" s="147"/>
    </row>
    <row r="1983" spans="3:4">
      <c r="C1983" s="147"/>
      <c r="D1983" s="147"/>
    </row>
    <row r="1984" spans="3:4">
      <c r="C1984" s="147"/>
      <c r="D1984" s="147"/>
    </row>
    <row r="1985" spans="3:4">
      <c r="C1985" s="147"/>
      <c r="D1985" s="147"/>
    </row>
    <row r="1986" spans="3:4">
      <c r="C1986" s="147"/>
      <c r="D1986" s="147"/>
    </row>
    <row r="1987" spans="3:4">
      <c r="C1987" s="147"/>
      <c r="D1987" s="147"/>
    </row>
    <row r="1988" spans="3:4">
      <c r="C1988" s="147"/>
      <c r="D1988" s="147"/>
    </row>
    <row r="1989" spans="3:4">
      <c r="C1989" s="147"/>
      <c r="D1989" s="147"/>
    </row>
    <row r="1990" spans="3:4">
      <c r="C1990" s="147"/>
      <c r="D1990" s="147"/>
    </row>
    <row r="1991" spans="3:4">
      <c r="C1991" s="147"/>
      <c r="D1991" s="147"/>
    </row>
    <row r="1992" spans="3:4">
      <c r="C1992" s="147"/>
      <c r="D1992" s="147"/>
    </row>
    <row r="1993" spans="3:4">
      <c r="C1993" s="147"/>
      <c r="D1993" s="147"/>
    </row>
    <row r="1994" spans="3:4">
      <c r="C1994" s="147"/>
      <c r="D1994" s="147"/>
    </row>
    <row r="1995" spans="3:4">
      <c r="C1995" s="147"/>
      <c r="D1995" s="147"/>
    </row>
    <row r="1996" spans="3:4">
      <c r="C1996" s="147"/>
      <c r="D1996" s="147"/>
    </row>
    <row r="1997" spans="3:4">
      <c r="C1997" s="147"/>
      <c r="D1997" s="147"/>
    </row>
    <row r="1998" spans="3:4">
      <c r="C1998" s="147"/>
      <c r="D1998" s="147"/>
    </row>
    <row r="1999" spans="3:4">
      <c r="C1999" s="147"/>
      <c r="D1999" s="147"/>
    </row>
    <row r="2000" spans="3:4">
      <c r="C2000" s="147"/>
      <c r="D2000" s="147"/>
    </row>
    <row r="2001" spans="3:4">
      <c r="C2001" s="147"/>
      <c r="D2001" s="147"/>
    </row>
    <row r="2002" spans="3:4">
      <c r="C2002" s="147"/>
      <c r="D2002" s="147"/>
    </row>
    <row r="2003" spans="3:4">
      <c r="C2003" s="147"/>
      <c r="D2003" s="147"/>
    </row>
    <row r="2004" spans="3:4">
      <c r="C2004" s="147"/>
      <c r="D2004" s="147"/>
    </row>
    <row r="2005" spans="3:4">
      <c r="C2005" s="147"/>
      <c r="D2005" s="147"/>
    </row>
    <row r="2006" spans="3:4">
      <c r="C2006" s="147"/>
      <c r="D2006" s="147"/>
    </row>
    <row r="2007" spans="3:4">
      <c r="C2007" s="147"/>
      <c r="D2007" s="147"/>
    </row>
    <row r="2008" spans="3:4">
      <c r="C2008" s="147"/>
      <c r="D2008" s="147"/>
    </row>
    <row r="2009" spans="3:4">
      <c r="C2009" s="147"/>
      <c r="D2009" s="147"/>
    </row>
    <row r="2010" spans="3:4">
      <c r="C2010" s="147"/>
      <c r="D2010" s="147"/>
    </row>
    <row r="2011" spans="3:4">
      <c r="C2011" s="147"/>
      <c r="D2011" s="147"/>
    </row>
    <row r="2012" spans="3:4">
      <c r="C2012" s="147"/>
      <c r="D2012" s="147"/>
    </row>
    <row r="2013" spans="3:4">
      <c r="C2013" s="147"/>
      <c r="D2013" s="147"/>
    </row>
    <row r="2014" spans="3:4">
      <c r="C2014" s="147"/>
      <c r="D2014" s="147"/>
    </row>
    <row r="2015" spans="3:4">
      <c r="C2015" s="147"/>
      <c r="D2015" s="147"/>
    </row>
    <row r="2016" spans="3:4">
      <c r="C2016" s="147"/>
      <c r="D2016" s="147"/>
    </row>
    <row r="2017" spans="3:4">
      <c r="C2017" s="147"/>
      <c r="D2017" s="147"/>
    </row>
    <row r="2018" spans="3:4">
      <c r="C2018" s="147"/>
      <c r="D2018" s="147"/>
    </row>
    <row r="2019" spans="3:4">
      <c r="C2019" s="147"/>
      <c r="D2019" s="147"/>
    </row>
    <row r="2020" spans="3:4">
      <c r="C2020" s="147"/>
      <c r="D2020" s="147"/>
    </row>
    <row r="2021" spans="3:4">
      <c r="C2021" s="147"/>
      <c r="D2021" s="147"/>
    </row>
    <row r="2022" spans="3:4">
      <c r="C2022" s="147"/>
      <c r="D2022" s="147"/>
    </row>
    <row r="2023" spans="3:4">
      <c r="C2023" s="147"/>
      <c r="D2023" s="147"/>
    </row>
    <row r="2024" spans="3:4">
      <c r="C2024" s="147"/>
      <c r="D2024" s="147"/>
    </row>
    <row r="2025" spans="3:4">
      <c r="C2025" s="147"/>
      <c r="D2025" s="147"/>
    </row>
    <row r="2026" spans="3:4">
      <c r="C2026" s="147"/>
      <c r="D2026" s="147"/>
    </row>
    <row r="2027" spans="3:4">
      <c r="C2027" s="147"/>
      <c r="D2027" s="147"/>
    </row>
    <row r="2028" spans="3:4">
      <c r="C2028" s="147"/>
      <c r="D2028" s="147"/>
    </row>
    <row r="2029" spans="3:4">
      <c r="C2029" s="147"/>
      <c r="D2029" s="147"/>
    </row>
    <row r="2030" spans="3:4">
      <c r="C2030" s="147"/>
      <c r="D2030" s="147"/>
    </row>
    <row r="2031" spans="3:4">
      <c r="C2031" s="147"/>
      <c r="D2031" s="147"/>
    </row>
    <row r="2032" spans="3:4">
      <c r="C2032" s="147"/>
      <c r="D2032" s="147"/>
    </row>
    <row r="2033" spans="3:4">
      <c r="C2033" s="147"/>
      <c r="D2033" s="147"/>
    </row>
    <row r="2034" spans="3:4">
      <c r="C2034" s="147"/>
      <c r="D2034" s="147"/>
    </row>
    <row r="2035" spans="3:4">
      <c r="C2035" s="147"/>
      <c r="D2035" s="147"/>
    </row>
    <row r="2036" spans="3:4">
      <c r="C2036" s="147"/>
      <c r="D2036" s="147"/>
    </row>
    <row r="2037" spans="3:4">
      <c r="C2037" s="147"/>
      <c r="D2037" s="147"/>
    </row>
    <row r="2038" spans="3:4">
      <c r="C2038" s="147"/>
      <c r="D2038" s="147"/>
    </row>
    <row r="2039" spans="3:4">
      <c r="C2039" s="147"/>
      <c r="D2039" s="147"/>
    </row>
    <row r="2040" spans="3:4">
      <c r="C2040" s="147"/>
      <c r="D2040" s="147"/>
    </row>
    <row r="2041" spans="3:4">
      <c r="C2041" s="147"/>
      <c r="D2041" s="147"/>
    </row>
    <row r="2042" spans="3:4">
      <c r="C2042" s="147"/>
      <c r="D2042" s="147"/>
    </row>
    <row r="2043" spans="3:4">
      <c r="C2043" s="147"/>
      <c r="D2043" s="147"/>
    </row>
    <row r="2044" spans="3:4">
      <c r="C2044" s="147"/>
      <c r="D2044" s="147"/>
    </row>
    <row r="2045" spans="3:4">
      <c r="C2045" s="147"/>
      <c r="D2045" s="147"/>
    </row>
    <row r="2046" spans="3:4">
      <c r="C2046" s="147"/>
      <c r="D2046" s="147"/>
    </row>
    <row r="2047" spans="3:4">
      <c r="C2047" s="147"/>
      <c r="D2047" s="147"/>
    </row>
    <row r="2048" spans="3:4">
      <c r="C2048" s="147"/>
      <c r="D2048" s="147"/>
    </row>
    <row r="2049" spans="3:4">
      <c r="C2049" s="147"/>
      <c r="D2049" s="147"/>
    </row>
    <row r="2050" spans="3:4">
      <c r="C2050" s="147"/>
      <c r="D2050" s="147"/>
    </row>
    <row r="2051" spans="3:4">
      <c r="C2051" s="147"/>
      <c r="D2051" s="147"/>
    </row>
    <row r="2052" spans="3:4">
      <c r="C2052" s="147"/>
      <c r="D2052" s="147"/>
    </row>
    <row r="2053" spans="3:4">
      <c r="C2053" s="147"/>
      <c r="D2053" s="147"/>
    </row>
    <row r="2054" spans="3:4">
      <c r="C2054" s="147"/>
      <c r="D2054" s="147"/>
    </row>
    <row r="2055" spans="3:4">
      <c r="C2055" s="147"/>
      <c r="D2055" s="147"/>
    </row>
    <row r="2056" spans="3:4">
      <c r="C2056" s="147"/>
      <c r="D2056" s="147"/>
    </row>
    <row r="2057" spans="3:4">
      <c r="C2057" s="147"/>
      <c r="D2057" s="147"/>
    </row>
    <row r="2058" spans="3:4">
      <c r="C2058" s="147"/>
      <c r="D2058" s="147"/>
    </row>
    <row r="2059" spans="3:4">
      <c r="C2059" s="147"/>
      <c r="D2059" s="147"/>
    </row>
    <row r="2060" spans="3:4">
      <c r="C2060" s="147"/>
      <c r="D2060" s="147"/>
    </row>
    <row r="2061" spans="3:4">
      <c r="C2061" s="147"/>
      <c r="D2061" s="147"/>
    </row>
    <row r="2062" spans="3:4">
      <c r="C2062" s="147"/>
      <c r="D2062" s="147"/>
    </row>
    <row r="2063" spans="3:4">
      <c r="C2063" s="147"/>
      <c r="D2063" s="147"/>
    </row>
    <row r="2064" spans="3:4">
      <c r="C2064" s="147"/>
      <c r="D2064" s="147"/>
    </row>
    <row r="2065" spans="3:4">
      <c r="C2065" s="147"/>
      <c r="D2065" s="147"/>
    </row>
    <row r="2066" spans="3:4">
      <c r="C2066" s="147"/>
      <c r="D2066" s="147"/>
    </row>
    <row r="2067" spans="3:4">
      <c r="C2067" s="147"/>
      <c r="D2067" s="147"/>
    </row>
    <row r="2068" spans="3:4">
      <c r="C2068" s="147"/>
      <c r="D2068" s="147"/>
    </row>
    <row r="2069" spans="3:4">
      <c r="C2069" s="147"/>
      <c r="D2069" s="147"/>
    </row>
    <row r="2070" spans="3:4">
      <c r="C2070" s="147"/>
      <c r="D2070" s="147"/>
    </row>
    <row r="2071" spans="3:4">
      <c r="C2071" s="147"/>
      <c r="D2071" s="147"/>
    </row>
    <row r="2072" spans="3:4">
      <c r="C2072" s="147"/>
      <c r="D2072" s="147"/>
    </row>
    <row r="2073" spans="3:4">
      <c r="C2073" s="147"/>
      <c r="D2073" s="147"/>
    </row>
    <row r="2074" spans="3:4">
      <c r="C2074" s="147"/>
      <c r="D2074" s="147"/>
    </row>
    <row r="2075" spans="3:4">
      <c r="C2075" s="147"/>
      <c r="D2075" s="147"/>
    </row>
    <row r="2076" spans="3:4">
      <c r="C2076" s="147"/>
      <c r="D2076" s="147"/>
    </row>
    <row r="2077" spans="3:4">
      <c r="C2077" s="147"/>
      <c r="D2077" s="147"/>
    </row>
    <row r="2078" spans="3:4">
      <c r="C2078" s="147"/>
      <c r="D2078" s="147"/>
    </row>
    <row r="2079" spans="3:4">
      <c r="C2079" s="147"/>
      <c r="D2079" s="147"/>
    </row>
    <row r="2080" spans="3:4">
      <c r="C2080" s="147"/>
      <c r="D2080" s="147"/>
    </row>
    <row r="2081" spans="3:4">
      <c r="C2081" s="147"/>
      <c r="D2081" s="147"/>
    </row>
    <row r="2082" spans="3:4">
      <c r="C2082" s="147"/>
      <c r="D2082" s="147"/>
    </row>
    <row r="2083" spans="3:4">
      <c r="C2083" s="147"/>
      <c r="D2083" s="147"/>
    </row>
    <row r="2084" spans="3:4">
      <c r="C2084" s="147"/>
      <c r="D2084" s="147"/>
    </row>
    <row r="2085" spans="3:4">
      <c r="C2085" s="147"/>
      <c r="D2085" s="147"/>
    </row>
    <row r="2086" spans="3:4">
      <c r="C2086" s="147"/>
      <c r="D2086" s="147"/>
    </row>
    <row r="2087" spans="3:4">
      <c r="C2087" s="147"/>
      <c r="D2087" s="147"/>
    </row>
    <row r="2088" spans="3:4">
      <c r="C2088" s="147"/>
      <c r="D2088" s="147"/>
    </row>
    <row r="2089" spans="3:4">
      <c r="C2089" s="147"/>
      <c r="D2089" s="147"/>
    </row>
    <row r="2090" spans="3:4">
      <c r="C2090" s="147"/>
      <c r="D2090" s="147"/>
    </row>
    <row r="2091" spans="3:4">
      <c r="C2091" s="147"/>
      <c r="D2091" s="147"/>
    </row>
    <row r="2092" spans="3:4">
      <c r="C2092" s="147"/>
      <c r="D2092" s="147"/>
    </row>
    <row r="2093" spans="3:4">
      <c r="C2093" s="147"/>
      <c r="D2093" s="147"/>
    </row>
    <row r="2094" spans="3:4">
      <c r="C2094" s="147"/>
      <c r="D2094" s="147"/>
    </row>
    <row r="2095" spans="3:4">
      <c r="C2095" s="147"/>
      <c r="D2095" s="147"/>
    </row>
    <row r="2096" spans="3:4">
      <c r="C2096" s="147"/>
      <c r="D2096" s="147"/>
    </row>
    <row r="2097" spans="3:4">
      <c r="C2097" s="147"/>
      <c r="D2097" s="147"/>
    </row>
    <row r="2098" spans="3:4">
      <c r="C2098" s="147"/>
      <c r="D2098" s="147"/>
    </row>
    <row r="2099" spans="3:4">
      <c r="C2099" s="147"/>
      <c r="D2099" s="147"/>
    </row>
    <row r="2100" spans="3:4">
      <c r="C2100" s="147"/>
      <c r="D2100" s="147"/>
    </row>
    <row r="2101" spans="3:4">
      <c r="C2101" s="147"/>
      <c r="D2101" s="147"/>
    </row>
    <row r="2102" spans="3:4">
      <c r="C2102" s="147"/>
      <c r="D2102" s="147"/>
    </row>
    <row r="2103" spans="3:4">
      <c r="C2103" s="147"/>
      <c r="D2103" s="147"/>
    </row>
    <row r="2104" spans="3:4">
      <c r="C2104" s="147"/>
      <c r="D2104" s="147"/>
    </row>
    <row r="2105" spans="3:4">
      <c r="C2105" s="147"/>
      <c r="D2105" s="147"/>
    </row>
    <row r="2106" spans="3:4">
      <c r="C2106" s="147"/>
      <c r="D2106" s="147"/>
    </row>
    <row r="2107" spans="3:4">
      <c r="C2107" s="147"/>
      <c r="D2107" s="147"/>
    </row>
    <row r="2108" spans="3:4">
      <c r="C2108" s="147"/>
      <c r="D2108" s="147"/>
    </row>
    <row r="2109" spans="3:4">
      <c r="C2109" s="147"/>
      <c r="D2109" s="147"/>
    </row>
    <row r="2110" spans="3:4">
      <c r="C2110" s="147"/>
      <c r="D2110" s="147"/>
    </row>
    <row r="2111" spans="3:4">
      <c r="C2111" s="147"/>
      <c r="D2111" s="147"/>
    </row>
    <row r="2112" spans="3:4">
      <c r="C2112" s="147"/>
      <c r="D2112" s="147"/>
    </row>
    <row r="2113" spans="3:4">
      <c r="C2113" s="147"/>
      <c r="D2113" s="147"/>
    </row>
    <row r="2114" spans="3:4">
      <c r="C2114" s="147"/>
      <c r="D2114" s="147"/>
    </row>
    <row r="2115" spans="3:4">
      <c r="C2115" s="147"/>
      <c r="D2115" s="147"/>
    </row>
    <row r="2116" spans="3:4">
      <c r="C2116" s="147"/>
      <c r="D2116" s="147"/>
    </row>
    <row r="2117" spans="3:4">
      <c r="C2117" s="147"/>
      <c r="D2117" s="147"/>
    </row>
    <row r="2118" spans="3:4">
      <c r="C2118" s="147"/>
      <c r="D2118" s="147"/>
    </row>
    <row r="2119" spans="3:4">
      <c r="C2119" s="147"/>
      <c r="D2119" s="147"/>
    </row>
    <row r="2120" spans="3:4">
      <c r="C2120" s="147"/>
      <c r="D2120" s="147"/>
    </row>
    <row r="2121" spans="3:4">
      <c r="C2121" s="147"/>
      <c r="D2121" s="147"/>
    </row>
    <row r="2122" spans="3:4">
      <c r="C2122" s="147"/>
      <c r="D2122" s="147"/>
    </row>
    <row r="2123" spans="3:4">
      <c r="C2123" s="147"/>
      <c r="D2123" s="147"/>
    </row>
    <row r="2124" spans="3:4">
      <c r="C2124" s="147"/>
      <c r="D2124" s="147"/>
    </row>
    <row r="2125" spans="3:4">
      <c r="C2125" s="147"/>
      <c r="D2125" s="147"/>
    </row>
    <row r="2126" spans="3:4">
      <c r="C2126" s="147"/>
      <c r="D2126" s="147"/>
    </row>
    <row r="2127" spans="3:4">
      <c r="C2127" s="147"/>
      <c r="D2127" s="147"/>
    </row>
    <row r="2128" spans="3:4">
      <c r="C2128" s="147"/>
      <c r="D2128" s="147"/>
    </row>
    <row r="2129" spans="3:4">
      <c r="C2129" s="147"/>
      <c r="D2129" s="147"/>
    </row>
    <row r="2130" spans="3:4">
      <c r="C2130" s="147"/>
      <c r="D2130" s="147"/>
    </row>
    <row r="2131" spans="3:4">
      <c r="C2131" s="147"/>
      <c r="D2131" s="147"/>
    </row>
    <row r="2132" spans="3:4">
      <c r="C2132" s="147"/>
      <c r="D2132" s="147"/>
    </row>
    <row r="2133" spans="3:4">
      <c r="C2133" s="147"/>
      <c r="D2133" s="147"/>
    </row>
    <row r="2134" spans="3:4">
      <c r="C2134" s="147"/>
      <c r="D2134" s="147"/>
    </row>
    <row r="2135" spans="3:4">
      <c r="C2135" s="147"/>
      <c r="D2135" s="147"/>
    </row>
    <row r="2136" spans="3:4">
      <c r="C2136" s="147"/>
      <c r="D2136" s="147"/>
    </row>
    <row r="2137" spans="3:4">
      <c r="C2137" s="147"/>
      <c r="D2137" s="147"/>
    </row>
    <row r="2138" spans="3:4">
      <c r="C2138" s="147"/>
      <c r="D2138" s="147"/>
    </row>
    <row r="2139" spans="3:4">
      <c r="C2139" s="147"/>
      <c r="D2139" s="147"/>
    </row>
    <row r="2140" spans="3:4">
      <c r="C2140" s="147"/>
      <c r="D2140" s="147"/>
    </row>
    <row r="2141" spans="3:4">
      <c r="C2141" s="147"/>
      <c r="D2141" s="147"/>
    </row>
    <row r="2142" spans="3:4">
      <c r="C2142" s="147"/>
      <c r="D2142" s="147"/>
    </row>
    <row r="2143" spans="3:4">
      <c r="C2143" s="147"/>
      <c r="D2143" s="147"/>
    </row>
    <row r="2144" spans="3:4">
      <c r="C2144" s="147"/>
      <c r="D2144" s="147"/>
    </row>
    <row r="2145" spans="3:4">
      <c r="C2145" s="147"/>
      <c r="D2145" s="147"/>
    </row>
    <row r="2146" spans="3:4">
      <c r="C2146" s="147"/>
      <c r="D2146" s="147"/>
    </row>
    <row r="2147" spans="3:4">
      <c r="C2147" s="147"/>
      <c r="D2147" s="147"/>
    </row>
    <row r="2148" spans="3:4">
      <c r="C2148" s="147"/>
      <c r="D2148" s="147"/>
    </row>
    <row r="2149" spans="3:4">
      <c r="C2149" s="147"/>
      <c r="D2149" s="147"/>
    </row>
    <row r="2150" spans="3:4">
      <c r="C2150" s="147"/>
      <c r="D2150" s="147"/>
    </row>
    <row r="2151" spans="3:4">
      <c r="C2151" s="147"/>
      <c r="D2151" s="147"/>
    </row>
    <row r="2152" spans="3:4">
      <c r="C2152" s="147"/>
      <c r="D2152" s="147"/>
    </row>
    <row r="2153" spans="3:4">
      <c r="C2153" s="147"/>
      <c r="D2153" s="147"/>
    </row>
    <row r="2154" spans="3:4">
      <c r="C2154" s="147"/>
      <c r="D2154" s="147"/>
    </row>
    <row r="2155" spans="3:4">
      <c r="C2155" s="147"/>
      <c r="D2155" s="147"/>
    </row>
    <row r="2156" spans="3:4">
      <c r="C2156" s="147"/>
      <c r="D2156" s="147"/>
    </row>
    <row r="2157" spans="3:4">
      <c r="C2157" s="147"/>
      <c r="D2157" s="147"/>
    </row>
    <row r="2158" spans="3:4">
      <c r="C2158" s="147"/>
      <c r="D2158" s="147"/>
    </row>
    <row r="2159" spans="3:4">
      <c r="C2159" s="147"/>
      <c r="D2159" s="147"/>
    </row>
    <row r="2160" spans="3:4">
      <c r="C2160" s="147"/>
      <c r="D2160" s="147"/>
    </row>
    <row r="2161" spans="3:4">
      <c r="C2161" s="147"/>
      <c r="D2161" s="147"/>
    </row>
    <row r="2162" spans="3:4">
      <c r="C2162" s="147"/>
      <c r="D2162" s="147"/>
    </row>
    <row r="2163" spans="3:4">
      <c r="C2163" s="147"/>
      <c r="D2163" s="147"/>
    </row>
    <row r="2164" spans="3:4">
      <c r="C2164" s="147"/>
      <c r="D2164" s="147"/>
    </row>
    <row r="2165" spans="3:4">
      <c r="C2165" s="147"/>
      <c r="D2165" s="147"/>
    </row>
    <row r="2166" spans="3:4">
      <c r="C2166" s="147"/>
      <c r="D2166" s="147"/>
    </row>
    <row r="2167" spans="3:4">
      <c r="C2167" s="147"/>
      <c r="D2167" s="147"/>
    </row>
    <row r="2168" spans="3:4">
      <c r="C2168" s="147"/>
      <c r="D2168" s="147"/>
    </row>
    <row r="2169" spans="3:4">
      <c r="C2169" s="147"/>
      <c r="D2169" s="147"/>
    </row>
    <row r="2170" spans="3:4">
      <c r="C2170" s="147"/>
      <c r="D2170" s="147"/>
    </row>
    <row r="2171" spans="3:4">
      <c r="C2171" s="147"/>
      <c r="D2171" s="147"/>
    </row>
    <row r="2172" spans="3:4">
      <c r="C2172" s="147"/>
      <c r="D2172" s="147"/>
    </row>
    <row r="2173" spans="3:4">
      <c r="C2173" s="147"/>
      <c r="D2173" s="147"/>
    </row>
    <row r="2174" spans="3:4">
      <c r="C2174" s="147"/>
      <c r="D2174" s="147"/>
    </row>
    <row r="2175" spans="3:4">
      <c r="C2175" s="147"/>
      <c r="D2175" s="147"/>
    </row>
    <row r="2176" spans="3:4">
      <c r="C2176" s="147"/>
      <c r="D2176" s="147"/>
    </row>
    <row r="2177" spans="3:4">
      <c r="C2177" s="147"/>
      <c r="D2177" s="147"/>
    </row>
    <row r="2178" spans="3:4">
      <c r="C2178" s="147"/>
      <c r="D2178" s="147"/>
    </row>
    <row r="2179" spans="3:4">
      <c r="C2179" s="147"/>
      <c r="D2179" s="147"/>
    </row>
    <row r="2180" spans="3:4">
      <c r="C2180" s="147"/>
      <c r="D2180" s="147"/>
    </row>
    <row r="2181" spans="3:4">
      <c r="C2181" s="147"/>
      <c r="D2181" s="147"/>
    </row>
    <row r="2182" spans="3:4">
      <c r="C2182" s="147"/>
      <c r="D2182" s="147"/>
    </row>
    <row r="2183" spans="3:4">
      <c r="C2183" s="147"/>
      <c r="D2183" s="147"/>
    </row>
    <row r="2184" spans="3:4">
      <c r="C2184" s="147"/>
      <c r="D2184" s="147"/>
    </row>
    <row r="2185" spans="3:4">
      <c r="C2185" s="147"/>
      <c r="D2185" s="147"/>
    </row>
    <row r="2186" spans="3:4">
      <c r="C2186" s="147"/>
      <c r="D2186" s="147"/>
    </row>
    <row r="2187" spans="3:4">
      <c r="C2187" s="147"/>
      <c r="D2187" s="147"/>
    </row>
    <row r="2188" spans="3:4">
      <c r="C2188" s="147"/>
      <c r="D2188" s="147"/>
    </row>
    <row r="2189" spans="3:4">
      <c r="C2189" s="147"/>
      <c r="D2189" s="147"/>
    </row>
    <row r="2190" spans="3:4">
      <c r="C2190" s="147"/>
      <c r="D2190" s="147"/>
    </row>
    <row r="2191" spans="3:4">
      <c r="C2191" s="147"/>
      <c r="D2191" s="147"/>
    </row>
    <row r="2192" spans="3:4">
      <c r="C2192" s="147"/>
      <c r="D2192" s="147"/>
    </row>
    <row r="2193" spans="3:4">
      <c r="C2193" s="147"/>
      <c r="D2193" s="147"/>
    </row>
    <row r="2194" spans="3:4">
      <c r="C2194" s="147"/>
      <c r="D2194" s="147"/>
    </row>
    <row r="2195" spans="3:4">
      <c r="C2195" s="147"/>
      <c r="D2195" s="147"/>
    </row>
    <row r="2196" spans="3:4">
      <c r="C2196" s="147"/>
      <c r="D2196" s="147"/>
    </row>
    <row r="2197" spans="3:4">
      <c r="C2197" s="147"/>
      <c r="D2197" s="147"/>
    </row>
    <row r="2198" spans="3:4">
      <c r="C2198" s="147"/>
      <c r="D2198" s="147"/>
    </row>
    <row r="2199" spans="3:4">
      <c r="C2199" s="147"/>
      <c r="D2199" s="147"/>
    </row>
    <row r="2200" spans="3:4">
      <c r="C2200" s="147"/>
      <c r="D2200" s="147"/>
    </row>
    <row r="2201" spans="3:4">
      <c r="C2201" s="147"/>
      <c r="D2201" s="147"/>
    </row>
    <row r="2202" spans="3:4">
      <c r="C2202" s="147"/>
      <c r="D2202" s="147"/>
    </row>
    <row r="2203" spans="3:4">
      <c r="C2203" s="147"/>
      <c r="D2203" s="147"/>
    </row>
    <row r="2204" spans="3:4">
      <c r="C2204" s="147"/>
      <c r="D2204" s="147"/>
    </row>
    <row r="2205" spans="3:4">
      <c r="C2205" s="147"/>
      <c r="D2205" s="147"/>
    </row>
    <row r="2206" spans="3:4">
      <c r="C2206" s="147"/>
      <c r="D2206" s="147"/>
    </row>
    <row r="2207" spans="3:4">
      <c r="C2207" s="147"/>
      <c r="D2207" s="147"/>
    </row>
    <row r="2208" spans="3:4">
      <c r="C2208" s="147"/>
      <c r="D2208" s="147"/>
    </row>
    <row r="2209" spans="3:4">
      <c r="C2209" s="147"/>
      <c r="D2209" s="147"/>
    </row>
    <row r="2210" spans="3:4">
      <c r="C2210" s="147"/>
      <c r="D2210" s="147"/>
    </row>
    <row r="2211" spans="3:4">
      <c r="C2211" s="147"/>
      <c r="D2211" s="147"/>
    </row>
    <row r="2212" spans="3:4">
      <c r="C2212" s="147"/>
      <c r="D2212" s="147"/>
    </row>
    <row r="2213" spans="3:4">
      <c r="C2213" s="147"/>
      <c r="D2213" s="147"/>
    </row>
    <row r="2214" spans="3:4">
      <c r="C2214" s="147"/>
      <c r="D2214" s="147"/>
    </row>
    <row r="2215" spans="3:4">
      <c r="C2215" s="147"/>
      <c r="D2215" s="147"/>
    </row>
    <row r="2216" spans="3:4">
      <c r="C2216" s="147"/>
      <c r="D2216" s="147"/>
    </row>
    <row r="2217" spans="3:4">
      <c r="C2217" s="147"/>
      <c r="D2217" s="147"/>
    </row>
    <row r="2218" spans="3:4">
      <c r="C2218" s="147"/>
      <c r="D2218" s="147"/>
    </row>
    <row r="2219" spans="3:4">
      <c r="C2219" s="147"/>
      <c r="D2219" s="147"/>
    </row>
    <row r="2220" spans="3:4">
      <c r="C2220" s="147"/>
      <c r="D2220" s="147"/>
    </row>
    <row r="2221" spans="3:4">
      <c r="C2221" s="147"/>
      <c r="D2221" s="147"/>
    </row>
    <row r="2222" spans="3:4">
      <c r="C2222" s="147"/>
      <c r="D2222" s="147"/>
    </row>
    <row r="2223" spans="3:4">
      <c r="C2223" s="147"/>
      <c r="D2223" s="147"/>
    </row>
    <row r="2224" spans="3:4">
      <c r="C2224" s="147"/>
      <c r="D2224" s="147"/>
    </row>
    <row r="2225" spans="3:4">
      <c r="C2225" s="147"/>
      <c r="D2225" s="147"/>
    </row>
    <row r="2226" spans="3:4">
      <c r="C2226" s="147"/>
      <c r="D2226" s="147"/>
    </row>
    <row r="2227" spans="3:4">
      <c r="C2227" s="147"/>
      <c r="D2227" s="147"/>
    </row>
    <row r="2228" spans="3:4">
      <c r="C2228" s="147"/>
      <c r="D2228" s="147"/>
    </row>
    <row r="2229" spans="3:4">
      <c r="C2229" s="147"/>
      <c r="D2229" s="147"/>
    </row>
    <row r="2230" spans="3:4">
      <c r="C2230" s="147"/>
      <c r="D2230" s="147"/>
    </row>
    <row r="2231" spans="3:4">
      <c r="C2231" s="147"/>
      <c r="D2231" s="147"/>
    </row>
    <row r="2232" spans="3:4">
      <c r="C2232" s="147"/>
      <c r="D2232" s="147"/>
    </row>
    <row r="2233" spans="3:4">
      <c r="C2233" s="147"/>
      <c r="D2233" s="147"/>
    </row>
    <row r="2234" spans="3:4">
      <c r="C2234" s="147"/>
      <c r="D2234" s="147"/>
    </row>
    <row r="2235" spans="3:4">
      <c r="C2235" s="147"/>
      <c r="D2235" s="147"/>
    </row>
    <row r="2236" spans="3:4">
      <c r="C2236" s="147"/>
      <c r="D2236" s="147"/>
    </row>
    <row r="2237" spans="3:4">
      <c r="C2237" s="147"/>
      <c r="D2237" s="147"/>
    </row>
    <row r="2238" spans="3:4">
      <c r="C2238" s="147"/>
      <c r="D2238" s="147"/>
    </row>
    <row r="2239" spans="3:4">
      <c r="C2239" s="147"/>
      <c r="D2239" s="147"/>
    </row>
    <row r="2240" spans="3:4">
      <c r="C2240" s="147"/>
      <c r="D2240" s="147"/>
    </row>
    <row r="2241" spans="3:4">
      <c r="C2241" s="147"/>
      <c r="D2241" s="147"/>
    </row>
    <row r="2242" spans="3:4">
      <c r="C2242" s="147"/>
      <c r="D2242" s="147"/>
    </row>
    <row r="2243" spans="3:4">
      <c r="C2243" s="147"/>
      <c r="D2243" s="147"/>
    </row>
    <row r="2244" spans="3:4">
      <c r="C2244" s="147"/>
      <c r="D2244" s="147"/>
    </row>
    <row r="2245" spans="3:4">
      <c r="C2245" s="147"/>
      <c r="D2245" s="147"/>
    </row>
    <row r="2246" spans="3:4">
      <c r="C2246" s="147"/>
      <c r="D2246" s="147"/>
    </row>
    <row r="2247" spans="3:4">
      <c r="C2247" s="147"/>
      <c r="D2247" s="147"/>
    </row>
    <row r="2248" spans="3:4">
      <c r="C2248" s="147"/>
      <c r="D2248" s="147"/>
    </row>
    <row r="2249" spans="3:4">
      <c r="C2249" s="147"/>
      <c r="D2249" s="147"/>
    </row>
    <row r="2250" spans="3:4">
      <c r="C2250" s="147"/>
      <c r="D2250" s="147"/>
    </row>
    <row r="2251" spans="3:4">
      <c r="C2251" s="147"/>
      <c r="D2251" s="147"/>
    </row>
    <row r="2252" spans="3:4">
      <c r="C2252" s="147"/>
      <c r="D2252" s="147"/>
    </row>
    <row r="2253" spans="3:4">
      <c r="C2253" s="147"/>
      <c r="D2253" s="147"/>
    </row>
    <row r="2254" spans="3:4">
      <c r="C2254" s="147"/>
      <c r="D2254" s="147"/>
    </row>
    <row r="2255" spans="3:4">
      <c r="C2255" s="147"/>
      <c r="D2255" s="147"/>
    </row>
    <row r="2256" spans="3:4">
      <c r="C2256" s="147"/>
      <c r="D2256" s="147"/>
    </row>
    <row r="2257" spans="3:4">
      <c r="C2257" s="147"/>
      <c r="D2257" s="147"/>
    </row>
    <row r="2258" spans="3:4">
      <c r="C2258" s="147"/>
      <c r="D2258" s="147"/>
    </row>
    <row r="2259" spans="3:4">
      <c r="C2259" s="147"/>
      <c r="D2259" s="147"/>
    </row>
    <row r="2260" spans="3:4">
      <c r="C2260" s="147"/>
      <c r="D2260" s="147"/>
    </row>
    <row r="2261" spans="3:4">
      <c r="C2261" s="147"/>
      <c r="D2261" s="147"/>
    </row>
    <row r="2262" spans="3:4">
      <c r="C2262" s="147"/>
      <c r="D2262" s="147"/>
    </row>
    <row r="2263" spans="3:4">
      <c r="C2263" s="147"/>
      <c r="D2263" s="147"/>
    </row>
    <row r="2264" spans="3:4">
      <c r="C2264" s="147"/>
      <c r="D2264" s="147"/>
    </row>
    <row r="2265" spans="3:4">
      <c r="C2265" s="147"/>
      <c r="D2265" s="147"/>
    </row>
    <row r="2266" spans="3:4">
      <c r="C2266" s="147"/>
      <c r="D2266" s="147"/>
    </row>
    <row r="2267" spans="3:4">
      <c r="C2267" s="147"/>
      <c r="D2267" s="147"/>
    </row>
    <row r="2268" spans="3:4">
      <c r="C2268" s="147"/>
      <c r="D2268" s="147"/>
    </row>
    <row r="2269" spans="3:4">
      <c r="C2269" s="147"/>
      <c r="D2269" s="147"/>
    </row>
    <row r="2270" spans="3:4">
      <c r="C2270" s="147"/>
      <c r="D2270" s="147"/>
    </row>
    <row r="2271" spans="3:4">
      <c r="C2271" s="147"/>
      <c r="D2271" s="147"/>
    </row>
    <row r="2272" spans="3:4">
      <c r="C2272" s="147"/>
      <c r="D2272" s="147"/>
    </row>
    <row r="2273" spans="3:4">
      <c r="C2273" s="147"/>
      <c r="D2273" s="147"/>
    </row>
    <row r="2274" spans="3:4">
      <c r="C2274" s="147"/>
      <c r="D2274" s="147"/>
    </row>
    <row r="2275" spans="3:4">
      <c r="C2275" s="147"/>
      <c r="D2275" s="147"/>
    </row>
    <row r="2276" spans="3:4">
      <c r="C2276" s="147"/>
      <c r="D2276" s="147"/>
    </row>
    <row r="2277" spans="3:4">
      <c r="C2277" s="147"/>
      <c r="D2277" s="147"/>
    </row>
    <row r="2278" spans="3:4">
      <c r="C2278" s="147"/>
      <c r="D2278" s="147"/>
    </row>
    <row r="2279" spans="3:4">
      <c r="C2279" s="147"/>
      <c r="D2279" s="147"/>
    </row>
    <row r="2280" spans="3:4">
      <c r="C2280" s="147"/>
      <c r="D2280" s="147"/>
    </row>
    <row r="2281" spans="3:4">
      <c r="C2281" s="147"/>
      <c r="D2281" s="147"/>
    </row>
    <row r="2282" spans="3:4">
      <c r="C2282" s="147"/>
      <c r="D2282" s="147"/>
    </row>
    <row r="2283" spans="3:4">
      <c r="C2283" s="147"/>
      <c r="D2283" s="147"/>
    </row>
    <row r="2284" spans="3:4">
      <c r="C2284" s="147"/>
      <c r="D2284" s="147"/>
    </row>
    <row r="2285" spans="3:4">
      <c r="C2285" s="147"/>
      <c r="D2285" s="147"/>
    </row>
    <row r="2286" spans="3:4">
      <c r="C2286" s="147"/>
      <c r="D2286" s="147"/>
    </row>
    <row r="2287" spans="3:4">
      <c r="C2287" s="147"/>
      <c r="D2287" s="147"/>
    </row>
    <row r="2288" spans="3:4">
      <c r="C2288" s="147"/>
      <c r="D2288" s="147"/>
    </row>
    <row r="2289" spans="3:4">
      <c r="C2289" s="147"/>
      <c r="D2289" s="147"/>
    </row>
    <row r="2290" spans="3:4">
      <c r="C2290" s="147"/>
      <c r="D2290" s="147"/>
    </row>
    <row r="2291" spans="3:4">
      <c r="C2291" s="147"/>
      <c r="D2291" s="147"/>
    </row>
    <row r="2292" spans="3:4">
      <c r="C2292" s="147"/>
      <c r="D2292" s="147"/>
    </row>
    <row r="2293" spans="3:4">
      <c r="C2293" s="147"/>
      <c r="D2293" s="147"/>
    </row>
    <row r="2294" spans="3:4">
      <c r="C2294" s="147"/>
      <c r="D2294" s="147"/>
    </row>
    <row r="2295" spans="3:4">
      <c r="C2295" s="147"/>
      <c r="D2295" s="147"/>
    </row>
    <row r="2296" spans="3:4">
      <c r="C2296" s="147"/>
      <c r="D2296" s="147"/>
    </row>
    <row r="2297" spans="3:4">
      <c r="C2297" s="147"/>
      <c r="D2297" s="147"/>
    </row>
    <row r="2298" spans="3:4">
      <c r="C2298" s="147"/>
      <c r="D2298" s="147"/>
    </row>
    <row r="2299" spans="3:4">
      <c r="C2299" s="147"/>
      <c r="D2299" s="147"/>
    </row>
    <row r="2300" spans="3:4">
      <c r="C2300" s="147"/>
      <c r="D2300" s="147"/>
    </row>
    <row r="2301" spans="3:4">
      <c r="C2301" s="147"/>
      <c r="D2301" s="147"/>
    </row>
    <row r="2302" spans="3:4">
      <c r="C2302" s="147"/>
      <c r="D2302" s="147"/>
    </row>
    <row r="2303" spans="3:4">
      <c r="C2303" s="147"/>
      <c r="D2303" s="147"/>
    </row>
    <row r="2304" spans="3:4">
      <c r="C2304" s="147"/>
      <c r="D2304" s="147"/>
    </row>
    <row r="2305" spans="3:4">
      <c r="C2305" s="147"/>
      <c r="D2305" s="147"/>
    </row>
    <row r="2306" spans="3:4">
      <c r="C2306" s="147"/>
      <c r="D2306" s="147"/>
    </row>
    <row r="2307" spans="3:4">
      <c r="C2307" s="147"/>
      <c r="D2307" s="147"/>
    </row>
    <row r="2308" spans="3:4">
      <c r="C2308" s="147"/>
      <c r="D2308" s="147"/>
    </row>
    <row r="2309" spans="3:4">
      <c r="C2309" s="147"/>
      <c r="D2309" s="147"/>
    </row>
    <row r="2310" spans="3:4">
      <c r="C2310" s="147"/>
      <c r="D2310" s="147"/>
    </row>
    <row r="2311" spans="3:4">
      <c r="C2311" s="147"/>
      <c r="D2311" s="147"/>
    </row>
    <row r="2312" spans="3:4">
      <c r="C2312" s="147"/>
      <c r="D2312" s="147"/>
    </row>
    <row r="2313" spans="3:4">
      <c r="C2313" s="147"/>
      <c r="D2313" s="147"/>
    </row>
    <row r="2314" spans="3:4">
      <c r="C2314" s="147"/>
      <c r="D2314" s="147"/>
    </row>
    <row r="2315" spans="3:4">
      <c r="C2315" s="147"/>
      <c r="D2315" s="147"/>
    </row>
    <row r="2316" spans="3:4">
      <c r="C2316" s="147"/>
      <c r="D2316" s="147"/>
    </row>
    <row r="2317" spans="3:4">
      <c r="C2317" s="147"/>
      <c r="D2317" s="147"/>
    </row>
    <row r="2318" spans="3:4">
      <c r="C2318" s="147"/>
      <c r="D2318" s="147"/>
    </row>
    <row r="2319" spans="3:4">
      <c r="C2319" s="147"/>
      <c r="D2319" s="147"/>
    </row>
    <row r="2320" spans="3:4">
      <c r="C2320" s="147"/>
      <c r="D2320" s="147"/>
    </row>
    <row r="2321" spans="3:4">
      <c r="C2321" s="147"/>
      <c r="D2321" s="147"/>
    </row>
    <row r="2322" spans="3:4">
      <c r="C2322" s="147"/>
      <c r="D2322" s="147"/>
    </row>
    <row r="2323" spans="3:4">
      <c r="C2323" s="147"/>
      <c r="D2323" s="147"/>
    </row>
    <row r="2324" spans="3:4">
      <c r="C2324" s="147"/>
      <c r="D2324" s="147"/>
    </row>
    <row r="2325" spans="3:4">
      <c r="C2325" s="147"/>
      <c r="D2325" s="147"/>
    </row>
    <row r="2326" spans="3:4">
      <c r="C2326" s="147"/>
      <c r="D2326" s="147"/>
    </row>
    <row r="2327" spans="3:4">
      <c r="C2327" s="147"/>
      <c r="D2327" s="147"/>
    </row>
    <row r="2328" spans="3:4">
      <c r="C2328" s="147"/>
      <c r="D2328" s="147"/>
    </row>
    <row r="2329" spans="3:4">
      <c r="C2329" s="147"/>
      <c r="D2329" s="147"/>
    </row>
    <row r="2330" spans="3:4">
      <c r="C2330" s="147"/>
      <c r="D2330" s="147"/>
    </row>
    <row r="2331" spans="3:4">
      <c r="C2331" s="147"/>
      <c r="D2331" s="147"/>
    </row>
    <row r="2332" spans="3:4">
      <c r="C2332" s="147"/>
      <c r="D2332" s="147"/>
    </row>
    <row r="2333" spans="3:4">
      <c r="C2333" s="147"/>
      <c r="D2333" s="147"/>
    </row>
    <row r="2334" spans="3:4">
      <c r="C2334" s="147"/>
      <c r="D2334" s="147"/>
    </row>
    <row r="2335" spans="3:4">
      <c r="C2335" s="147"/>
      <c r="D2335" s="147"/>
    </row>
    <row r="2336" spans="3:4">
      <c r="C2336" s="147"/>
      <c r="D2336" s="147"/>
    </row>
    <row r="2337" spans="3:4">
      <c r="C2337" s="147"/>
      <c r="D2337" s="147"/>
    </row>
    <row r="2338" spans="3:4">
      <c r="C2338" s="147"/>
      <c r="D2338" s="147"/>
    </row>
    <row r="2339" spans="3:4">
      <c r="C2339" s="147"/>
      <c r="D2339" s="147"/>
    </row>
    <row r="2340" spans="3:4">
      <c r="C2340" s="147"/>
      <c r="D2340" s="147"/>
    </row>
    <row r="2341" spans="3:4">
      <c r="C2341" s="147"/>
      <c r="D2341" s="147"/>
    </row>
    <row r="2342" spans="3:4">
      <c r="C2342" s="147"/>
      <c r="D2342" s="147"/>
    </row>
    <row r="2343" spans="3:4">
      <c r="C2343" s="147"/>
      <c r="D2343" s="147"/>
    </row>
    <row r="2344" spans="3:4">
      <c r="C2344" s="147"/>
      <c r="D2344" s="147"/>
    </row>
    <row r="2345" spans="3:4">
      <c r="C2345" s="147"/>
      <c r="D2345" s="147"/>
    </row>
    <row r="2346" spans="3:4">
      <c r="C2346" s="147"/>
      <c r="D2346" s="147"/>
    </row>
    <row r="2347" spans="3:4">
      <c r="C2347" s="147"/>
      <c r="D2347" s="147"/>
    </row>
    <row r="2348" spans="3:4">
      <c r="C2348" s="147"/>
      <c r="D2348" s="147"/>
    </row>
    <row r="2349" spans="3:4">
      <c r="C2349" s="147"/>
      <c r="D2349" s="147"/>
    </row>
    <row r="2350" spans="3:4">
      <c r="C2350" s="147"/>
      <c r="D2350" s="147"/>
    </row>
    <row r="2351" spans="3:4">
      <c r="C2351" s="147"/>
      <c r="D2351" s="147"/>
    </row>
    <row r="2352" spans="3:4">
      <c r="C2352" s="147"/>
      <c r="D2352" s="147"/>
    </row>
    <row r="2353" spans="3:4">
      <c r="C2353" s="147"/>
      <c r="D2353" s="147"/>
    </row>
    <row r="2354" spans="3:4">
      <c r="C2354" s="147"/>
      <c r="D2354" s="147"/>
    </row>
    <row r="2355" spans="3:4">
      <c r="C2355" s="147"/>
      <c r="D2355" s="147"/>
    </row>
    <row r="2356" spans="3:4">
      <c r="C2356" s="147"/>
      <c r="D2356" s="147"/>
    </row>
    <row r="2357" spans="3:4">
      <c r="C2357" s="147"/>
      <c r="D2357" s="147"/>
    </row>
    <row r="2358" spans="3:4">
      <c r="C2358" s="147"/>
      <c r="D2358" s="147"/>
    </row>
    <row r="2359" spans="3:4">
      <c r="C2359" s="147"/>
      <c r="D2359" s="147"/>
    </row>
    <row r="2360" spans="3:4">
      <c r="C2360" s="147"/>
      <c r="D2360" s="147"/>
    </row>
    <row r="2361" spans="3:4">
      <c r="C2361" s="147"/>
      <c r="D2361" s="147"/>
    </row>
    <row r="2362" spans="3:4">
      <c r="C2362" s="147"/>
      <c r="D2362" s="147"/>
    </row>
    <row r="2363" spans="3:4">
      <c r="C2363" s="147"/>
      <c r="D2363" s="147"/>
    </row>
    <row r="2364" spans="3:4">
      <c r="C2364" s="147"/>
      <c r="D2364" s="147"/>
    </row>
    <row r="2365" spans="3:4">
      <c r="C2365" s="147"/>
      <c r="D2365" s="147"/>
    </row>
    <row r="2366" spans="3:4">
      <c r="C2366" s="147"/>
      <c r="D2366" s="147"/>
    </row>
    <row r="2367" spans="3:4">
      <c r="C2367" s="147"/>
      <c r="D2367" s="147"/>
    </row>
    <row r="2368" spans="3:4">
      <c r="C2368" s="147"/>
      <c r="D2368" s="147"/>
    </row>
    <row r="2369" spans="3:4">
      <c r="C2369" s="147"/>
      <c r="D2369" s="147"/>
    </row>
    <row r="2370" spans="3:4">
      <c r="C2370" s="147"/>
      <c r="D2370" s="147"/>
    </row>
    <row r="2371" spans="3:4">
      <c r="C2371" s="147"/>
      <c r="D2371" s="147"/>
    </row>
    <row r="2372" spans="3:4">
      <c r="C2372" s="147"/>
      <c r="D2372" s="147"/>
    </row>
    <row r="2373" spans="3:4">
      <c r="C2373" s="147"/>
      <c r="D2373" s="147"/>
    </row>
    <row r="2374" spans="3:4">
      <c r="C2374" s="147"/>
      <c r="D2374" s="147"/>
    </row>
    <row r="2375" spans="3:4">
      <c r="C2375" s="147"/>
      <c r="D2375" s="147"/>
    </row>
    <row r="2376" spans="3:4">
      <c r="C2376" s="147"/>
      <c r="D2376" s="147"/>
    </row>
    <row r="2377" spans="3:4">
      <c r="C2377" s="147"/>
      <c r="D2377" s="147"/>
    </row>
    <row r="2378" spans="3:4">
      <c r="C2378" s="147"/>
      <c r="D2378" s="147"/>
    </row>
    <row r="2379" spans="3:4">
      <c r="C2379" s="147"/>
      <c r="D2379" s="147"/>
    </row>
    <row r="2380" spans="3:4">
      <c r="C2380" s="147"/>
      <c r="D2380" s="147"/>
    </row>
    <row r="2381" spans="3:4">
      <c r="C2381" s="147"/>
      <c r="D2381" s="147"/>
    </row>
    <row r="2382" spans="3:4">
      <c r="C2382" s="147"/>
      <c r="D2382" s="147"/>
    </row>
    <row r="2383" spans="3:4">
      <c r="C2383" s="147"/>
      <c r="D2383" s="147"/>
    </row>
    <row r="2384" spans="3:4">
      <c r="C2384" s="147"/>
      <c r="D2384" s="147"/>
    </row>
    <row r="2385" spans="3:4">
      <c r="C2385" s="147"/>
      <c r="D2385" s="147"/>
    </row>
    <row r="2386" spans="3:4">
      <c r="C2386" s="147"/>
      <c r="D2386" s="147"/>
    </row>
    <row r="2387" spans="3:4">
      <c r="C2387" s="147"/>
      <c r="D2387" s="147"/>
    </row>
    <row r="2388" spans="3:4">
      <c r="C2388" s="147"/>
      <c r="D2388" s="147"/>
    </row>
    <row r="2389" spans="3:4">
      <c r="C2389" s="147"/>
      <c r="D2389" s="147"/>
    </row>
    <row r="2390" spans="3:4">
      <c r="C2390" s="147"/>
      <c r="D2390" s="147"/>
    </row>
    <row r="2391" spans="3:4">
      <c r="C2391" s="147"/>
      <c r="D2391" s="147"/>
    </row>
    <row r="2392" spans="3:4">
      <c r="C2392" s="147"/>
      <c r="D2392" s="147"/>
    </row>
    <row r="2393" spans="3:4">
      <c r="C2393" s="147"/>
      <c r="D2393" s="147"/>
    </row>
    <row r="2394" spans="3:4">
      <c r="C2394" s="147"/>
      <c r="D2394" s="147"/>
    </row>
    <row r="2395" spans="3:4">
      <c r="C2395" s="147"/>
      <c r="D2395" s="147"/>
    </row>
    <row r="2396" spans="3:4">
      <c r="C2396" s="147"/>
      <c r="D2396" s="147"/>
    </row>
    <row r="2397" spans="3:4">
      <c r="C2397" s="147"/>
      <c r="D2397" s="147"/>
    </row>
    <row r="2398" spans="3:4">
      <c r="C2398" s="147"/>
      <c r="D2398" s="147"/>
    </row>
    <row r="2399" spans="3:4">
      <c r="C2399" s="147"/>
      <c r="D2399" s="147"/>
    </row>
    <row r="2400" spans="3:4">
      <c r="C2400" s="147"/>
      <c r="D2400" s="147"/>
    </row>
    <row r="2401" spans="3:4">
      <c r="C2401" s="147"/>
      <c r="D2401" s="147"/>
    </row>
    <row r="2402" spans="3:4">
      <c r="C2402" s="147"/>
      <c r="D2402" s="147"/>
    </row>
    <row r="2403" spans="3:4">
      <c r="C2403" s="147"/>
      <c r="D2403" s="147"/>
    </row>
    <row r="2404" spans="3:4">
      <c r="C2404" s="147"/>
      <c r="D2404" s="147"/>
    </row>
    <row r="2405" spans="3:4">
      <c r="C2405" s="147"/>
      <c r="D2405" s="147"/>
    </row>
    <row r="2406" spans="3:4">
      <c r="C2406" s="147"/>
      <c r="D2406" s="147"/>
    </row>
    <row r="2407" spans="3:4">
      <c r="C2407" s="147"/>
      <c r="D2407" s="147"/>
    </row>
    <row r="2408" spans="3:4">
      <c r="C2408" s="147"/>
      <c r="D2408" s="147"/>
    </row>
    <row r="2409" spans="3:4">
      <c r="C2409" s="147"/>
      <c r="D2409" s="147"/>
    </row>
    <row r="2410" spans="3:4">
      <c r="C2410" s="147"/>
      <c r="D2410" s="147"/>
    </row>
    <row r="2411" spans="3:4">
      <c r="C2411" s="147"/>
      <c r="D2411" s="147"/>
    </row>
    <row r="2412" spans="3:4">
      <c r="C2412" s="147"/>
      <c r="D2412" s="147"/>
    </row>
    <row r="2413" spans="3:4">
      <c r="C2413" s="147"/>
      <c r="D2413" s="147"/>
    </row>
    <row r="2414" spans="3:4">
      <c r="C2414" s="147"/>
      <c r="D2414" s="147"/>
    </row>
    <row r="2415" spans="3:4">
      <c r="C2415" s="147"/>
      <c r="D2415" s="147"/>
    </row>
    <row r="2416" spans="3:4">
      <c r="C2416" s="147"/>
      <c r="D2416" s="147"/>
    </row>
    <row r="2417" spans="3:4">
      <c r="C2417" s="147"/>
      <c r="D2417" s="147"/>
    </row>
    <row r="2418" spans="3:4">
      <c r="C2418" s="147"/>
      <c r="D2418" s="147"/>
    </row>
    <row r="2419" spans="3:4">
      <c r="C2419" s="147"/>
      <c r="D2419" s="147"/>
    </row>
    <row r="2420" spans="3:4">
      <c r="C2420" s="147"/>
      <c r="D2420" s="147"/>
    </row>
    <row r="2421" spans="3:4">
      <c r="C2421" s="147"/>
      <c r="D2421" s="147"/>
    </row>
    <row r="2422" spans="3:4">
      <c r="C2422" s="147"/>
      <c r="D2422" s="147"/>
    </row>
    <row r="2423" spans="3:4">
      <c r="C2423" s="147"/>
      <c r="D2423" s="147"/>
    </row>
    <row r="2424" spans="3:4">
      <c r="C2424" s="147"/>
      <c r="D2424" s="147"/>
    </row>
    <row r="2425" spans="3:4">
      <c r="C2425" s="147"/>
      <c r="D2425" s="147"/>
    </row>
    <row r="2426" spans="3:4">
      <c r="C2426" s="147"/>
      <c r="D2426" s="147"/>
    </row>
    <row r="2427" spans="3:4">
      <c r="C2427" s="147"/>
      <c r="D2427" s="147"/>
    </row>
    <row r="2428" spans="3:4">
      <c r="C2428" s="147"/>
      <c r="D2428" s="147"/>
    </row>
    <row r="2429" spans="3:4">
      <c r="C2429" s="147"/>
      <c r="D2429" s="147"/>
    </row>
    <row r="2430" spans="3:4">
      <c r="C2430" s="147"/>
      <c r="D2430" s="147"/>
    </row>
    <row r="2431" spans="3:4">
      <c r="C2431" s="147"/>
      <c r="D2431" s="147"/>
    </row>
    <row r="2432" spans="3:4">
      <c r="C2432" s="147"/>
      <c r="D2432" s="147"/>
    </row>
    <row r="2433" spans="3:4">
      <c r="C2433" s="147"/>
      <c r="D2433" s="147"/>
    </row>
    <row r="2434" spans="3:4">
      <c r="C2434" s="147"/>
      <c r="D2434" s="147"/>
    </row>
    <row r="2435" spans="3:4">
      <c r="C2435" s="147"/>
      <c r="D2435" s="147"/>
    </row>
    <row r="2436" spans="3:4">
      <c r="C2436" s="147"/>
      <c r="D2436" s="147"/>
    </row>
    <row r="2437" spans="3:4">
      <c r="C2437" s="147"/>
      <c r="D2437" s="147"/>
    </row>
    <row r="2438" spans="3:4">
      <c r="C2438" s="147"/>
      <c r="D2438" s="147"/>
    </row>
    <row r="2439" spans="3:4">
      <c r="C2439" s="147"/>
      <c r="D2439" s="147"/>
    </row>
    <row r="2440" spans="3:4">
      <c r="C2440" s="147"/>
      <c r="D2440" s="147"/>
    </row>
    <row r="2441" spans="3:4">
      <c r="C2441" s="147"/>
      <c r="D2441" s="147"/>
    </row>
    <row r="2442" spans="3:4">
      <c r="C2442" s="147"/>
      <c r="D2442" s="147"/>
    </row>
    <row r="2443" spans="3:4">
      <c r="C2443" s="147"/>
      <c r="D2443" s="147"/>
    </row>
    <row r="2444" spans="3:4">
      <c r="C2444" s="147"/>
      <c r="D2444" s="147"/>
    </row>
    <row r="2445" spans="3:4">
      <c r="C2445" s="147"/>
      <c r="D2445" s="147"/>
    </row>
    <row r="2446" spans="3:4">
      <c r="C2446" s="147"/>
      <c r="D2446" s="147"/>
    </row>
    <row r="2447" spans="3:4">
      <c r="C2447" s="147"/>
      <c r="D2447" s="147"/>
    </row>
    <row r="2448" spans="3:4">
      <c r="C2448" s="147"/>
      <c r="D2448" s="147"/>
    </row>
    <row r="2449" spans="3:4">
      <c r="C2449" s="147"/>
      <c r="D2449" s="147"/>
    </row>
    <row r="2450" spans="3:4">
      <c r="C2450" s="147"/>
      <c r="D2450" s="147"/>
    </row>
    <row r="2451" spans="3:4">
      <c r="C2451" s="147"/>
      <c r="D2451" s="147"/>
    </row>
    <row r="2452" spans="3:4">
      <c r="C2452" s="147"/>
      <c r="D2452" s="147"/>
    </row>
    <row r="2453" spans="3:4">
      <c r="C2453" s="147"/>
      <c r="D2453" s="147"/>
    </row>
    <row r="2454" spans="3:4">
      <c r="C2454" s="147"/>
      <c r="D2454" s="147"/>
    </row>
    <row r="2455" spans="3:4">
      <c r="C2455" s="147"/>
      <c r="D2455" s="147"/>
    </row>
    <row r="2456" spans="3:4">
      <c r="C2456" s="147"/>
      <c r="D2456" s="147"/>
    </row>
    <row r="2457" spans="3:4">
      <c r="C2457" s="147"/>
      <c r="D2457" s="147"/>
    </row>
    <row r="2458" spans="3:4">
      <c r="C2458" s="147"/>
      <c r="D2458" s="147"/>
    </row>
    <row r="2459" spans="3:4">
      <c r="C2459" s="147"/>
      <c r="D2459" s="147"/>
    </row>
    <row r="2460" spans="3:4">
      <c r="C2460" s="147"/>
      <c r="D2460" s="147"/>
    </row>
    <row r="2461" spans="3:4">
      <c r="C2461" s="147"/>
      <c r="D2461" s="147"/>
    </row>
    <row r="2462" spans="3:4">
      <c r="C2462" s="147"/>
      <c r="D2462" s="147"/>
    </row>
    <row r="2463" spans="3:4">
      <c r="C2463" s="147"/>
      <c r="D2463" s="147"/>
    </row>
    <row r="2464" spans="3:4">
      <c r="C2464" s="147"/>
      <c r="D2464" s="147"/>
    </row>
    <row r="2465" spans="3:4">
      <c r="C2465" s="147"/>
      <c r="D2465" s="147"/>
    </row>
    <row r="2466" spans="3:4">
      <c r="C2466" s="147"/>
      <c r="D2466" s="147"/>
    </row>
    <row r="2467" spans="3:4">
      <c r="C2467" s="147"/>
      <c r="D2467" s="147"/>
    </row>
    <row r="2468" spans="3:4">
      <c r="C2468" s="147"/>
      <c r="D2468" s="147"/>
    </row>
    <row r="2469" spans="3:4">
      <c r="C2469" s="147"/>
      <c r="D2469" s="147"/>
    </row>
    <row r="2470" spans="3:4">
      <c r="C2470" s="147"/>
      <c r="D2470" s="147"/>
    </row>
    <row r="2471" spans="3:4">
      <c r="C2471" s="147"/>
      <c r="D2471" s="147"/>
    </row>
    <row r="2472" spans="3:4">
      <c r="C2472" s="147"/>
      <c r="D2472" s="147"/>
    </row>
    <row r="2473" spans="3:4">
      <c r="C2473" s="147"/>
      <c r="D2473" s="147"/>
    </row>
    <row r="2474" spans="3:4">
      <c r="C2474" s="147"/>
      <c r="D2474" s="147"/>
    </row>
    <row r="2475" spans="3:4">
      <c r="C2475" s="147"/>
      <c r="D2475" s="147"/>
    </row>
    <row r="2476" spans="3:4">
      <c r="C2476" s="147"/>
      <c r="D2476" s="147"/>
    </row>
    <row r="2477" spans="3:4">
      <c r="C2477" s="147"/>
      <c r="D2477" s="147"/>
    </row>
    <row r="2478" spans="3:4">
      <c r="C2478" s="147"/>
      <c r="D2478" s="147"/>
    </row>
    <row r="2479" spans="3:4">
      <c r="C2479" s="147"/>
      <c r="D2479" s="147"/>
    </row>
    <row r="2480" spans="3:4">
      <c r="C2480" s="147"/>
      <c r="D2480" s="147"/>
    </row>
    <row r="2481" spans="3:4">
      <c r="C2481" s="147"/>
      <c r="D2481" s="147"/>
    </row>
    <row r="2482" spans="3:4">
      <c r="C2482" s="147"/>
      <c r="D2482" s="147"/>
    </row>
    <row r="2483" spans="3:4">
      <c r="C2483" s="147"/>
      <c r="D2483" s="147"/>
    </row>
    <row r="2484" spans="3:4">
      <c r="C2484" s="147"/>
      <c r="D2484" s="147"/>
    </row>
    <row r="2485" spans="3:4">
      <c r="C2485" s="147"/>
      <c r="D2485" s="147"/>
    </row>
    <row r="2486" spans="3:4">
      <c r="C2486" s="147"/>
      <c r="D2486" s="147"/>
    </row>
    <row r="2487" spans="3:4">
      <c r="C2487" s="147"/>
      <c r="D2487" s="147"/>
    </row>
    <row r="2488" spans="3:4">
      <c r="C2488" s="147"/>
      <c r="D2488" s="147"/>
    </row>
    <row r="2489" spans="3:4">
      <c r="C2489" s="147"/>
      <c r="D2489" s="147"/>
    </row>
    <row r="2490" spans="3:4">
      <c r="C2490" s="147"/>
      <c r="D2490" s="147"/>
    </row>
    <row r="2491" spans="3:4">
      <c r="C2491" s="147"/>
      <c r="D2491" s="147"/>
    </row>
    <row r="2492" spans="3:4">
      <c r="C2492" s="147"/>
      <c r="D2492" s="147"/>
    </row>
    <row r="2493" spans="3:4">
      <c r="C2493" s="147"/>
      <c r="D2493" s="147"/>
    </row>
    <row r="2494" spans="3:4">
      <c r="C2494" s="147"/>
      <c r="D2494" s="147"/>
    </row>
    <row r="2495" spans="3:4">
      <c r="C2495" s="147"/>
      <c r="D2495" s="147"/>
    </row>
    <row r="2496" spans="3:4">
      <c r="C2496" s="147"/>
      <c r="D2496" s="147"/>
    </row>
    <row r="2497" spans="3:4">
      <c r="C2497" s="147"/>
      <c r="D2497" s="147"/>
    </row>
    <row r="2498" spans="3:4">
      <c r="C2498" s="147"/>
      <c r="D2498" s="147"/>
    </row>
    <row r="2499" spans="3:4">
      <c r="C2499" s="147"/>
      <c r="D2499" s="147"/>
    </row>
    <row r="2500" spans="3:4">
      <c r="C2500" s="147"/>
      <c r="D2500" s="147"/>
    </row>
    <row r="2501" spans="3:4">
      <c r="C2501" s="147"/>
      <c r="D2501" s="147"/>
    </row>
    <row r="2502" spans="3:4">
      <c r="C2502" s="147"/>
      <c r="D2502" s="147"/>
    </row>
    <row r="2503" spans="3:4">
      <c r="C2503" s="147"/>
      <c r="D2503" s="147"/>
    </row>
    <row r="2504" spans="3:4">
      <c r="C2504" s="147"/>
      <c r="D2504" s="147"/>
    </row>
    <row r="2505" spans="3:4">
      <c r="C2505" s="147"/>
      <c r="D2505" s="147"/>
    </row>
    <row r="2506" spans="3:4">
      <c r="C2506" s="147"/>
      <c r="D2506" s="147"/>
    </row>
    <row r="2507" spans="3:4">
      <c r="C2507" s="147"/>
      <c r="D2507" s="147"/>
    </row>
    <row r="2508" spans="3:4">
      <c r="C2508" s="147"/>
      <c r="D2508" s="147"/>
    </row>
    <row r="2509" spans="3:4">
      <c r="C2509" s="147"/>
      <c r="D2509" s="147"/>
    </row>
    <row r="2510" spans="3:4">
      <c r="C2510" s="147"/>
      <c r="D2510" s="147"/>
    </row>
    <row r="2511" spans="3:4">
      <c r="C2511" s="147"/>
      <c r="D2511" s="147"/>
    </row>
    <row r="2512" spans="3:4">
      <c r="C2512" s="147"/>
      <c r="D2512" s="147"/>
    </row>
    <row r="2513" spans="3:4">
      <c r="C2513" s="147"/>
      <c r="D2513" s="147"/>
    </row>
    <row r="2514" spans="3:4">
      <c r="C2514" s="147"/>
      <c r="D2514" s="147"/>
    </row>
    <row r="2515" spans="3:4">
      <c r="C2515" s="147"/>
      <c r="D2515" s="147"/>
    </row>
    <row r="2516" spans="3:4">
      <c r="C2516" s="147"/>
      <c r="D2516" s="147"/>
    </row>
    <row r="2517" spans="3:4">
      <c r="C2517" s="147"/>
      <c r="D2517" s="147"/>
    </row>
    <row r="2518" spans="3:4">
      <c r="C2518" s="147"/>
      <c r="D2518" s="147"/>
    </row>
    <row r="2519" spans="3:4">
      <c r="C2519" s="147"/>
      <c r="D2519" s="147"/>
    </row>
    <row r="2520" spans="3:4">
      <c r="C2520" s="147"/>
      <c r="D2520" s="147"/>
    </row>
    <row r="2521" spans="3:4">
      <c r="C2521" s="147"/>
      <c r="D2521" s="147"/>
    </row>
    <row r="2522" spans="3:4">
      <c r="C2522" s="147"/>
      <c r="D2522" s="147"/>
    </row>
    <row r="2523" spans="3:4">
      <c r="C2523" s="147"/>
      <c r="D2523" s="147"/>
    </row>
    <row r="2524" spans="3:4">
      <c r="C2524" s="147"/>
      <c r="D2524" s="147"/>
    </row>
    <row r="2525" spans="3:4">
      <c r="C2525" s="147"/>
      <c r="D2525" s="147"/>
    </row>
    <row r="2526" spans="3:4">
      <c r="C2526" s="147"/>
      <c r="D2526" s="147"/>
    </row>
    <row r="2527" spans="3:4">
      <c r="C2527" s="147"/>
      <c r="D2527" s="147"/>
    </row>
    <row r="2528" spans="3:4">
      <c r="C2528" s="147"/>
      <c r="D2528" s="147"/>
    </row>
    <row r="2529" spans="3:4">
      <c r="C2529" s="147"/>
      <c r="D2529" s="147"/>
    </row>
    <row r="2530" spans="3:4">
      <c r="C2530" s="147"/>
      <c r="D2530" s="147"/>
    </row>
    <row r="2531" spans="3:4">
      <c r="C2531" s="147"/>
      <c r="D2531" s="147"/>
    </row>
    <row r="2532" spans="3:4">
      <c r="C2532" s="147"/>
      <c r="D2532" s="147"/>
    </row>
    <row r="2533" spans="3:4">
      <c r="C2533" s="147"/>
      <c r="D2533" s="147"/>
    </row>
    <row r="2534" spans="3:4">
      <c r="C2534" s="147"/>
      <c r="D2534" s="147"/>
    </row>
    <row r="2535" spans="3:4">
      <c r="C2535" s="147"/>
      <c r="D2535" s="147"/>
    </row>
    <row r="2536" spans="3:4">
      <c r="C2536" s="147"/>
      <c r="D2536" s="147"/>
    </row>
    <row r="2537" spans="3:4">
      <c r="C2537" s="147"/>
      <c r="D2537" s="147"/>
    </row>
    <row r="2538" spans="3:4">
      <c r="C2538" s="147"/>
      <c r="D2538" s="147"/>
    </row>
    <row r="2539" spans="3:4">
      <c r="C2539" s="147"/>
      <c r="D2539" s="147"/>
    </row>
    <row r="2540" spans="3:4">
      <c r="C2540" s="147"/>
      <c r="D2540" s="147"/>
    </row>
    <row r="2541" spans="3:4">
      <c r="C2541" s="147"/>
      <c r="D2541" s="147"/>
    </row>
    <row r="2542" spans="3:4">
      <c r="C2542" s="147"/>
      <c r="D2542" s="147"/>
    </row>
    <row r="2543" spans="3:4">
      <c r="C2543" s="147"/>
      <c r="D2543" s="147"/>
    </row>
    <row r="2544" spans="3:4">
      <c r="C2544" s="147"/>
      <c r="D2544" s="147"/>
    </row>
    <row r="2545" spans="3:4">
      <c r="C2545" s="147"/>
      <c r="D2545" s="147"/>
    </row>
    <row r="2546" spans="3:4">
      <c r="C2546" s="147"/>
      <c r="D2546" s="147"/>
    </row>
    <row r="2547" spans="3:4">
      <c r="C2547" s="147"/>
      <c r="D2547" s="147"/>
    </row>
    <row r="2548" spans="3:4">
      <c r="C2548" s="147"/>
      <c r="D2548" s="147"/>
    </row>
    <row r="2549" spans="3:4">
      <c r="C2549" s="147"/>
      <c r="D2549" s="147"/>
    </row>
    <row r="2550" spans="3:4">
      <c r="C2550" s="147"/>
      <c r="D2550" s="147"/>
    </row>
    <row r="2551" spans="3:4">
      <c r="C2551" s="147"/>
      <c r="D2551" s="147"/>
    </row>
    <row r="2552" spans="3:4">
      <c r="C2552" s="147"/>
      <c r="D2552" s="147"/>
    </row>
    <row r="2553" spans="3:4">
      <c r="C2553" s="147"/>
      <c r="D2553" s="147"/>
    </row>
    <row r="2554" spans="3:4">
      <c r="C2554" s="147"/>
      <c r="D2554" s="147"/>
    </row>
    <row r="2555" spans="3:4">
      <c r="C2555" s="147"/>
      <c r="D2555" s="147"/>
    </row>
    <row r="2556" spans="3:4">
      <c r="C2556" s="147"/>
      <c r="D2556" s="147"/>
    </row>
    <row r="2557" spans="3:4">
      <c r="C2557" s="147"/>
      <c r="D2557" s="147"/>
    </row>
    <row r="2558" spans="3:4">
      <c r="C2558" s="147"/>
      <c r="D2558" s="147"/>
    </row>
    <row r="2559" spans="3:4">
      <c r="C2559" s="147"/>
      <c r="D2559" s="147"/>
    </row>
    <row r="2560" spans="3:4">
      <c r="C2560" s="147"/>
      <c r="D2560" s="147"/>
    </row>
    <row r="2561" spans="3:4">
      <c r="C2561" s="147"/>
      <c r="D2561" s="147"/>
    </row>
    <row r="2562" spans="3:4">
      <c r="C2562" s="147"/>
      <c r="D2562" s="147"/>
    </row>
    <row r="2563" spans="3:4">
      <c r="C2563" s="147"/>
      <c r="D2563" s="147"/>
    </row>
    <row r="2564" spans="3:4">
      <c r="C2564" s="147"/>
      <c r="D2564" s="147"/>
    </row>
    <row r="2565" spans="3:4">
      <c r="C2565" s="147"/>
      <c r="D2565" s="147"/>
    </row>
    <row r="2566" spans="3:4">
      <c r="C2566" s="147"/>
      <c r="D2566" s="147"/>
    </row>
    <row r="2567" spans="3:4">
      <c r="C2567" s="147"/>
      <c r="D2567" s="147"/>
    </row>
    <row r="2568" spans="3:4">
      <c r="C2568" s="147"/>
      <c r="D2568" s="147"/>
    </row>
    <row r="2569" spans="3:4">
      <c r="C2569" s="147"/>
      <c r="D2569" s="147"/>
    </row>
    <row r="2570" spans="3:4">
      <c r="C2570" s="147"/>
      <c r="D2570" s="147"/>
    </row>
    <row r="2571" spans="3:4">
      <c r="C2571" s="147"/>
      <c r="D2571" s="147"/>
    </row>
    <row r="2572" spans="3:4">
      <c r="C2572" s="147"/>
      <c r="D2572" s="147"/>
    </row>
    <row r="2573" spans="3:4">
      <c r="C2573" s="147"/>
      <c r="D2573" s="147"/>
    </row>
    <row r="2574" spans="3:4">
      <c r="C2574" s="147"/>
      <c r="D2574" s="147"/>
    </row>
    <row r="2575" spans="3:4">
      <c r="C2575" s="147"/>
      <c r="D2575" s="147"/>
    </row>
    <row r="2576" spans="3:4">
      <c r="C2576" s="147"/>
      <c r="D2576" s="147"/>
    </row>
    <row r="2577" spans="3:4">
      <c r="C2577" s="147"/>
      <c r="D2577" s="147"/>
    </row>
    <row r="2578" spans="3:4">
      <c r="C2578" s="147"/>
      <c r="D2578" s="147"/>
    </row>
    <row r="2579" spans="3:4">
      <c r="C2579" s="147"/>
      <c r="D2579" s="147"/>
    </row>
    <row r="2580" spans="3:4">
      <c r="C2580" s="147"/>
      <c r="D2580" s="147"/>
    </row>
    <row r="2581" spans="3:4">
      <c r="C2581" s="147"/>
      <c r="D2581" s="147"/>
    </row>
    <row r="2582" spans="3:4">
      <c r="C2582" s="147"/>
      <c r="D2582" s="147"/>
    </row>
    <row r="2583" spans="3:4">
      <c r="C2583" s="147"/>
      <c r="D2583" s="147"/>
    </row>
    <row r="2584" spans="3:4">
      <c r="C2584" s="147"/>
      <c r="D2584" s="147"/>
    </row>
    <row r="2585" spans="3:4">
      <c r="C2585" s="147"/>
      <c r="D2585" s="147"/>
    </row>
    <row r="2586" spans="3:4">
      <c r="C2586" s="147"/>
      <c r="D2586" s="147"/>
    </row>
    <row r="2587" spans="3:4">
      <c r="C2587" s="147"/>
      <c r="D2587" s="147"/>
    </row>
    <row r="2588" spans="3:4">
      <c r="C2588" s="147"/>
      <c r="D2588" s="147"/>
    </row>
    <row r="2589" spans="3:4">
      <c r="C2589" s="147"/>
      <c r="D2589" s="147"/>
    </row>
    <row r="2590" spans="3:4">
      <c r="C2590" s="147"/>
      <c r="D2590" s="147"/>
    </row>
    <row r="2591" spans="3:4">
      <c r="C2591" s="147"/>
      <c r="D2591" s="147"/>
    </row>
    <row r="2592" spans="3:4">
      <c r="C2592" s="147"/>
      <c r="D2592" s="147"/>
    </row>
    <row r="2593" spans="3:4">
      <c r="C2593" s="147"/>
      <c r="D2593" s="147"/>
    </row>
    <row r="2594" spans="3:4">
      <c r="C2594" s="147"/>
      <c r="D2594" s="147"/>
    </row>
    <row r="2595" spans="3:4">
      <c r="C2595" s="147"/>
      <c r="D2595" s="147"/>
    </row>
    <row r="2596" spans="3:4">
      <c r="C2596" s="147"/>
      <c r="D2596" s="147"/>
    </row>
    <row r="2597" spans="3:4">
      <c r="C2597" s="147"/>
      <c r="D2597" s="147"/>
    </row>
    <row r="2598" spans="3:4">
      <c r="C2598" s="147"/>
      <c r="D2598" s="147"/>
    </row>
    <row r="2599" spans="3:4">
      <c r="C2599" s="147"/>
      <c r="D2599" s="147"/>
    </row>
    <row r="2600" spans="3:4">
      <c r="C2600" s="147"/>
      <c r="D2600" s="147"/>
    </row>
    <row r="2601" spans="3:4">
      <c r="C2601" s="147"/>
      <c r="D2601" s="147"/>
    </row>
    <row r="2602" spans="3:4">
      <c r="C2602" s="147"/>
      <c r="D2602" s="147"/>
    </row>
    <row r="2603" spans="3:4">
      <c r="C2603" s="147"/>
      <c r="D2603" s="147"/>
    </row>
    <row r="2604" spans="3:4">
      <c r="C2604" s="147"/>
      <c r="D2604" s="147"/>
    </row>
    <row r="2605" spans="3:4">
      <c r="C2605" s="147"/>
      <c r="D2605" s="147"/>
    </row>
    <row r="2606" spans="3:4">
      <c r="C2606" s="147"/>
      <c r="D2606" s="147"/>
    </row>
    <row r="2607" spans="3:4">
      <c r="C2607" s="147"/>
      <c r="D2607" s="147"/>
    </row>
    <row r="2608" spans="3:4">
      <c r="C2608" s="147"/>
      <c r="D2608" s="147"/>
    </row>
    <row r="2609" spans="3:4">
      <c r="C2609" s="147"/>
      <c r="D2609" s="147"/>
    </row>
    <row r="2610" spans="3:4">
      <c r="C2610" s="147"/>
      <c r="D2610" s="147"/>
    </row>
    <row r="2611" spans="3:4">
      <c r="C2611" s="147"/>
      <c r="D2611" s="147"/>
    </row>
    <row r="2612" spans="3:4">
      <c r="C2612" s="147"/>
      <c r="D2612" s="147"/>
    </row>
    <row r="2613" spans="3:4">
      <c r="C2613" s="147"/>
      <c r="D2613" s="147"/>
    </row>
    <row r="2614" spans="3:4">
      <c r="C2614" s="147"/>
      <c r="D2614" s="147"/>
    </row>
    <row r="2615" spans="3:4">
      <c r="C2615" s="147"/>
      <c r="D2615" s="147"/>
    </row>
    <row r="2616" spans="3:4">
      <c r="C2616" s="147"/>
      <c r="D2616" s="147"/>
    </row>
    <row r="2617" spans="3:4">
      <c r="C2617" s="147"/>
      <c r="D2617" s="147"/>
    </row>
    <row r="2618" spans="3:4">
      <c r="C2618" s="147"/>
      <c r="D2618" s="147"/>
    </row>
    <row r="2619" spans="3:4">
      <c r="C2619" s="147"/>
      <c r="D2619" s="147"/>
    </row>
    <row r="2620" spans="3:4">
      <c r="C2620" s="147"/>
      <c r="D2620" s="147"/>
    </row>
    <row r="2621" spans="3:4">
      <c r="C2621" s="147"/>
      <c r="D2621" s="147"/>
    </row>
    <row r="2622" spans="3:4">
      <c r="C2622" s="147"/>
      <c r="D2622" s="147"/>
    </row>
    <row r="2623" spans="3:4">
      <c r="C2623" s="147"/>
      <c r="D2623" s="147"/>
    </row>
    <row r="2624" spans="3:4">
      <c r="C2624" s="147"/>
      <c r="D2624" s="147"/>
    </row>
    <row r="2625" spans="3:4">
      <c r="C2625" s="147"/>
      <c r="D2625" s="147"/>
    </row>
    <row r="2626" spans="3:4">
      <c r="C2626" s="147"/>
      <c r="D2626" s="147"/>
    </row>
    <row r="2627" spans="3:4">
      <c r="C2627" s="147"/>
      <c r="D2627" s="147"/>
    </row>
    <row r="2628" spans="3:4">
      <c r="C2628" s="147"/>
      <c r="D2628" s="147"/>
    </row>
    <row r="2629" spans="3:4">
      <c r="C2629" s="147"/>
      <c r="D2629" s="147"/>
    </row>
    <row r="2630" spans="3:4">
      <c r="C2630" s="147"/>
      <c r="D2630" s="147"/>
    </row>
    <row r="2631" spans="3:4">
      <c r="C2631" s="147"/>
      <c r="D2631" s="147"/>
    </row>
    <row r="2632" spans="3:4">
      <c r="C2632" s="147"/>
      <c r="D2632" s="147"/>
    </row>
    <row r="2633" spans="3:4">
      <c r="C2633" s="147"/>
      <c r="D2633" s="147"/>
    </row>
    <row r="2634" spans="3:4">
      <c r="C2634" s="147"/>
      <c r="D2634" s="147"/>
    </row>
    <row r="2635" spans="3:4">
      <c r="C2635" s="147"/>
      <c r="D2635" s="147"/>
    </row>
    <row r="2636" spans="3:4">
      <c r="C2636" s="147"/>
      <c r="D2636" s="147"/>
    </row>
    <row r="2637" spans="3:4">
      <c r="C2637" s="147"/>
      <c r="D2637" s="147"/>
    </row>
    <row r="2638" spans="3:4">
      <c r="C2638" s="147"/>
      <c r="D2638" s="147"/>
    </row>
    <row r="2639" spans="3:4">
      <c r="C2639" s="147"/>
      <c r="D2639" s="147"/>
    </row>
    <row r="2640" spans="3:4">
      <c r="C2640" s="147"/>
      <c r="D2640" s="147"/>
    </row>
    <row r="2641" spans="3:4">
      <c r="C2641" s="147"/>
      <c r="D2641" s="147"/>
    </row>
    <row r="2642" spans="3:4">
      <c r="C2642" s="147"/>
      <c r="D2642" s="147"/>
    </row>
    <row r="2643" spans="3:4">
      <c r="C2643" s="147"/>
      <c r="D2643" s="147"/>
    </row>
    <row r="2644" spans="3:4">
      <c r="C2644" s="147"/>
      <c r="D2644" s="147"/>
    </row>
    <row r="2645" spans="3:4">
      <c r="C2645" s="147"/>
      <c r="D2645" s="147"/>
    </row>
    <row r="2646" spans="3:4">
      <c r="C2646" s="147"/>
      <c r="D2646" s="147"/>
    </row>
    <row r="2647" spans="3:4">
      <c r="C2647" s="147"/>
      <c r="D2647" s="147"/>
    </row>
    <row r="2648" spans="3:4">
      <c r="C2648" s="147"/>
      <c r="D2648" s="147"/>
    </row>
    <row r="2649" spans="3:4">
      <c r="C2649" s="147"/>
      <c r="D2649" s="147"/>
    </row>
    <row r="2650" spans="3:4">
      <c r="C2650" s="147"/>
      <c r="D2650" s="147"/>
    </row>
    <row r="2651" spans="3:4">
      <c r="C2651" s="147"/>
      <c r="D2651" s="147"/>
    </row>
    <row r="2652" spans="3:4">
      <c r="C2652" s="147"/>
      <c r="D2652" s="147"/>
    </row>
    <row r="2653" spans="3:4">
      <c r="C2653" s="147"/>
      <c r="D2653" s="147"/>
    </row>
    <row r="2654" spans="3:4">
      <c r="C2654" s="147"/>
      <c r="D2654" s="147"/>
    </row>
    <row r="2655" spans="3:4">
      <c r="C2655" s="147"/>
      <c r="D2655" s="147"/>
    </row>
    <row r="2656" spans="3:4">
      <c r="C2656" s="147"/>
      <c r="D2656" s="147"/>
    </row>
    <row r="2657" spans="3:4">
      <c r="C2657" s="147"/>
      <c r="D2657" s="147"/>
    </row>
    <row r="2658" spans="3:4">
      <c r="C2658" s="147"/>
      <c r="D2658" s="147"/>
    </row>
    <row r="2659" spans="3:4">
      <c r="C2659" s="147"/>
      <c r="D2659" s="147"/>
    </row>
    <row r="2660" spans="3:4">
      <c r="C2660" s="147"/>
      <c r="D2660" s="147"/>
    </row>
    <row r="2661" spans="3:4">
      <c r="C2661" s="147"/>
      <c r="D2661" s="147"/>
    </row>
    <row r="2662" spans="3:4">
      <c r="C2662" s="147"/>
      <c r="D2662" s="147"/>
    </row>
    <row r="2663" spans="3:4">
      <c r="C2663" s="147"/>
      <c r="D2663" s="147"/>
    </row>
    <row r="2664" spans="3:4">
      <c r="C2664" s="147"/>
      <c r="D2664" s="147"/>
    </row>
    <row r="2665" spans="3:4">
      <c r="C2665" s="147"/>
      <c r="D2665" s="147"/>
    </row>
    <row r="2666" spans="3:4">
      <c r="C2666" s="147"/>
      <c r="D2666" s="147"/>
    </row>
    <row r="2667" spans="3:4">
      <c r="C2667" s="147"/>
      <c r="D2667" s="147"/>
    </row>
    <row r="2668" spans="3:4">
      <c r="C2668" s="147"/>
      <c r="D2668" s="147"/>
    </row>
    <row r="2669" spans="3:4">
      <c r="C2669" s="147"/>
      <c r="D2669" s="147"/>
    </row>
    <row r="2670" spans="3:4">
      <c r="C2670" s="147"/>
      <c r="D2670" s="147"/>
    </row>
    <row r="2671" spans="3:4">
      <c r="C2671" s="147"/>
      <c r="D2671" s="147"/>
    </row>
    <row r="2672" spans="3:4">
      <c r="C2672" s="147"/>
      <c r="D2672" s="147"/>
    </row>
    <row r="2673" spans="3:4">
      <c r="C2673" s="147"/>
      <c r="D2673" s="147"/>
    </row>
    <row r="2674" spans="3:4">
      <c r="C2674" s="147"/>
      <c r="D2674" s="147"/>
    </row>
    <row r="2675" spans="3:4">
      <c r="C2675" s="147"/>
      <c r="D2675" s="147"/>
    </row>
    <row r="2676" spans="3:4">
      <c r="C2676" s="147"/>
      <c r="D2676" s="147"/>
    </row>
    <row r="2677" spans="3:4">
      <c r="C2677" s="147"/>
      <c r="D2677" s="147"/>
    </row>
    <row r="2678" spans="3:4">
      <c r="C2678" s="147"/>
      <c r="D2678" s="147"/>
    </row>
    <row r="2679" spans="3:4">
      <c r="C2679" s="147"/>
      <c r="D2679" s="147"/>
    </row>
    <row r="2680" spans="3:4">
      <c r="C2680" s="147"/>
      <c r="D2680" s="147"/>
    </row>
    <row r="2681" spans="3:4">
      <c r="C2681" s="147"/>
      <c r="D2681" s="147"/>
    </row>
    <row r="2682" spans="3:4">
      <c r="C2682" s="147"/>
      <c r="D2682" s="147"/>
    </row>
    <row r="2683" spans="3:4">
      <c r="C2683" s="147"/>
      <c r="D2683" s="147"/>
    </row>
    <row r="2684" spans="3:4">
      <c r="C2684" s="147"/>
      <c r="D2684" s="147"/>
    </row>
    <row r="2685" spans="3:4">
      <c r="C2685" s="147"/>
      <c r="D2685" s="147"/>
    </row>
    <row r="2686" spans="3:4">
      <c r="C2686" s="147"/>
      <c r="D2686" s="147"/>
    </row>
    <row r="2687" spans="3:4">
      <c r="C2687" s="147"/>
      <c r="D2687" s="147"/>
    </row>
    <row r="2688" spans="3:4">
      <c r="C2688" s="147"/>
      <c r="D2688" s="147"/>
    </row>
    <row r="2689" spans="3:4">
      <c r="C2689" s="147"/>
      <c r="D2689" s="147"/>
    </row>
    <row r="2690" spans="3:4">
      <c r="C2690" s="147"/>
      <c r="D2690" s="147"/>
    </row>
    <row r="2691" spans="3:4">
      <c r="C2691" s="147"/>
      <c r="D2691" s="147"/>
    </row>
    <row r="2692" spans="3:4">
      <c r="C2692" s="147"/>
      <c r="D2692" s="147"/>
    </row>
    <row r="2693" spans="3:4">
      <c r="C2693" s="147"/>
      <c r="D2693" s="147"/>
    </row>
    <row r="2694" spans="3:4">
      <c r="C2694" s="147"/>
      <c r="D2694" s="147"/>
    </row>
    <row r="2695" spans="3:4">
      <c r="C2695" s="147"/>
      <c r="D2695" s="147"/>
    </row>
    <row r="2696" spans="3:4">
      <c r="C2696" s="147"/>
      <c r="D2696" s="147"/>
    </row>
    <row r="2697" spans="3:4">
      <c r="C2697" s="147"/>
      <c r="D2697" s="147"/>
    </row>
    <row r="2698" spans="3:4">
      <c r="C2698" s="147"/>
      <c r="D2698" s="147"/>
    </row>
    <row r="2699" spans="3:4">
      <c r="C2699" s="147"/>
      <c r="D2699" s="147"/>
    </row>
    <row r="2700" spans="3:4">
      <c r="C2700" s="147"/>
      <c r="D2700" s="147"/>
    </row>
    <row r="2701" spans="3:4">
      <c r="C2701" s="147"/>
      <c r="D2701" s="147"/>
    </row>
    <row r="2702" spans="3:4">
      <c r="C2702" s="147"/>
      <c r="D2702" s="147"/>
    </row>
    <row r="2703" spans="3:4">
      <c r="C2703" s="147"/>
      <c r="D2703" s="147"/>
    </row>
    <row r="2704" spans="3:4">
      <c r="C2704" s="147"/>
      <c r="D2704" s="147"/>
    </row>
    <row r="2705" spans="3:4">
      <c r="C2705" s="147"/>
      <c r="D2705" s="147"/>
    </row>
    <row r="2706" spans="3:4">
      <c r="C2706" s="147"/>
      <c r="D2706" s="147"/>
    </row>
    <row r="2707" spans="3:4">
      <c r="C2707" s="147"/>
      <c r="D2707" s="147"/>
    </row>
    <row r="2708" spans="3:4">
      <c r="C2708" s="147"/>
      <c r="D2708" s="147"/>
    </row>
    <row r="2709" spans="3:4">
      <c r="C2709" s="147"/>
      <c r="D2709" s="147"/>
    </row>
    <row r="2710" spans="3:4">
      <c r="C2710" s="147"/>
      <c r="D2710" s="147"/>
    </row>
    <row r="2711" spans="3:4">
      <c r="C2711" s="147"/>
      <c r="D2711" s="147"/>
    </row>
    <row r="2712" spans="3:4">
      <c r="C2712" s="147"/>
      <c r="D2712" s="147"/>
    </row>
    <row r="2713" spans="3:4">
      <c r="C2713" s="147"/>
      <c r="D2713" s="147"/>
    </row>
  </sheetData>
  <mergeCells count="1">
    <mergeCell ref="S63:T63"/>
  </mergeCells>
  <conditionalFormatting pivot="1" sqref="D11:F23">
    <cfRule type="iconSet" priority="6">
      <iconSet reverse="1">
        <cfvo type="percent" val="0"/>
        <cfvo type="percent" val="0" gte="0"/>
        <cfvo type="percent" val="30"/>
      </iconSet>
    </cfRule>
  </conditionalFormatting>
  <conditionalFormatting pivot="1" sqref="J11:L16">
    <cfRule type="iconSet" priority="5">
      <iconSet reverse="1">
        <cfvo type="percent" val="0"/>
        <cfvo type="percent" val="0" gte="0"/>
        <cfvo type="percent" val="30"/>
      </iconSet>
    </cfRule>
  </conditionalFormatting>
  <conditionalFormatting pivot="1" sqref="J27:L34">
    <cfRule type="iconSet" priority="4">
      <iconSet reverse="1">
        <cfvo type="percent" val="0"/>
        <cfvo type="percent" val="0" gte="0"/>
        <cfvo type="percent" val="30"/>
      </iconSet>
    </cfRule>
  </conditionalFormatting>
  <conditionalFormatting pivot="1" sqref="Q11:S19">
    <cfRule type="iconSet" priority="3">
      <iconSet reverse="1">
        <cfvo type="percent" val="0"/>
        <cfvo type="percent" val="0" gte="0"/>
        <cfvo type="percent" val="30"/>
      </iconSet>
    </cfRule>
  </conditionalFormatting>
  <conditionalFormatting pivot="1" sqref="X11:Z17">
    <cfRule type="iconSet" priority="2">
      <iconSet reverse="1">
        <cfvo type="percent" val="0"/>
        <cfvo type="percent" val="0" gte="0"/>
        <cfvo type="percent" val="30"/>
      </iconSet>
    </cfRule>
  </conditionalFormatting>
  <conditionalFormatting pivot="1" sqref="X28:Z29">
    <cfRule type="iconSet" priority="1">
      <iconSet reverse="1">
        <cfvo type="percent" val="0"/>
        <cfvo type="percent" val="0" gte="0"/>
        <cfvo type="percent" val="30"/>
      </iconSet>
    </cfRule>
  </conditionalFormatting>
  <pageMargins left="0.7" right="0.7" top="0.75" bottom="0.75" header="0.3" footer="0.3"/>
  <pageSetup orientation="portrait" r:id="rId43"/>
  <drawing r:id="rId44"/>
  <extLst>
    <ext xmlns:x14="http://schemas.microsoft.com/office/spreadsheetml/2009/9/main" uri="{A8765BA9-456A-4dab-B4F3-ACF838C121DE}">
      <x14:slicerList>
        <x14:slicer r:id="rId45"/>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7:G193"/>
  <sheetViews>
    <sheetView showGridLines="0" zoomScale="80" zoomScaleNormal="80" workbookViewId="0">
      <selection activeCell="B90" sqref="B90"/>
    </sheetView>
  </sheetViews>
  <sheetFormatPr defaultColWidth="9" defaultRowHeight="15.75"/>
  <cols>
    <col min="1" max="1" width="31.875" style="61" bestFit="1" customWidth="1"/>
    <col min="2" max="2" width="14.25" style="61" bestFit="1" customWidth="1"/>
    <col min="3" max="3" width="10.375" style="61" bestFit="1" customWidth="1"/>
    <col min="4" max="4" width="65.75" style="61" hidden="1" customWidth="1"/>
    <col min="5" max="5" width="73.875" style="61" hidden="1" customWidth="1"/>
    <col min="6" max="6" width="86" style="61" hidden="1" customWidth="1"/>
    <col min="7" max="7" width="11" style="61" customWidth="1"/>
    <col min="8" max="16384" width="9" style="61"/>
  </cols>
  <sheetData>
    <row r="27" spans="1:7" hidden="1">
      <c r="A27" s="992" t="s">
        <v>20</v>
      </c>
      <c r="B27" s="993" t="s">
        <v>2525</v>
      </c>
    </row>
    <row r="28" spans="1:7" hidden="1"/>
    <row r="29" spans="1:7" s="130" customFormat="1" ht="31.5" hidden="1">
      <c r="A29" s="1059" t="s">
        <v>22</v>
      </c>
      <c r="B29" s="1059" t="s">
        <v>23</v>
      </c>
      <c r="C29" s="1017" t="s">
        <v>1998</v>
      </c>
      <c r="D29" s="993" t="s">
        <v>3068</v>
      </c>
      <c r="E29" s="993" t="s">
        <v>3067</v>
      </c>
      <c r="F29" s="993" t="s">
        <v>3066</v>
      </c>
      <c r="G29"/>
    </row>
    <row r="30" spans="1:7" hidden="1">
      <c r="A30" s="993" t="s">
        <v>39</v>
      </c>
      <c r="B30" s="993" t="s">
        <v>203</v>
      </c>
      <c r="C30" s="995">
        <v>9728</v>
      </c>
      <c r="D30" s="995">
        <v>6856</v>
      </c>
      <c r="E30" s="995">
        <v>5653</v>
      </c>
      <c r="F30" s="995">
        <v>7391</v>
      </c>
      <c r="G30"/>
    </row>
    <row r="31" spans="1:7" hidden="1">
      <c r="A31" s="993"/>
      <c r="B31" s="993" t="s">
        <v>154</v>
      </c>
      <c r="C31" s="995">
        <v>2960</v>
      </c>
      <c r="D31" s="995">
        <v>2960</v>
      </c>
      <c r="E31" s="995">
        <v>2763</v>
      </c>
      <c r="F31" s="995">
        <v>200</v>
      </c>
      <c r="G31"/>
    </row>
    <row r="32" spans="1:7" hidden="1">
      <c r="A32" s="993"/>
      <c r="B32" s="993" t="s">
        <v>156</v>
      </c>
      <c r="C32" s="995">
        <v>4303</v>
      </c>
      <c r="D32" s="995">
        <v>3906</v>
      </c>
      <c r="E32" s="995">
        <v>3353</v>
      </c>
      <c r="F32" s="995">
        <v>2508.4666666666667</v>
      </c>
      <c r="G32"/>
    </row>
    <row r="33" spans="1:7" hidden="1">
      <c r="A33" s="993"/>
      <c r="B33" s="993" t="s">
        <v>40</v>
      </c>
      <c r="C33" s="995">
        <v>12990</v>
      </c>
      <c r="D33" s="995">
        <v>7164</v>
      </c>
      <c r="E33" s="995">
        <v>7210</v>
      </c>
      <c r="F33" s="995">
        <v>6589</v>
      </c>
      <c r="G33"/>
    </row>
    <row r="34" spans="1:7" hidden="1">
      <c r="A34" s="993"/>
      <c r="B34" s="993" t="s">
        <v>160</v>
      </c>
      <c r="C34" s="995">
        <v>1494</v>
      </c>
      <c r="D34" s="995">
        <v>1462</v>
      </c>
      <c r="E34" s="995">
        <v>759</v>
      </c>
      <c r="F34" s="995">
        <v>1388</v>
      </c>
      <c r="G34"/>
    </row>
    <row r="35" spans="1:7" hidden="1">
      <c r="A35" s="993"/>
      <c r="B35" s="993" t="s">
        <v>165</v>
      </c>
      <c r="C35" s="995">
        <v>470</v>
      </c>
      <c r="D35" s="995">
        <v>165</v>
      </c>
      <c r="E35" s="995">
        <v>152</v>
      </c>
      <c r="F35" s="995">
        <v>165</v>
      </c>
      <c r="G35"/>
    </row>
    <row r="36" spans="1:7" hidden="1">
      <c r="A36" s="993"/>
      <c r="B36" s="993" t="s">
        <v>213</v>
      </c>
      <c r="C36" s="995">
        <v>28996</v>
      </c>
      <c r="D36" s="995">
        <v>10827</v>
      </c>
      <c r="E36" s="995">
        <v>13968</v>
      </c>
      <c r="F36" s="995">
        <v>10847</v>
      </c>
      <c r="G36"/>
    </row>
    <row r="37" spans="1:7" hidden="1">
      <c r="A37" s="993"/>
      <c r="B37" s="993" t="s">
        <v>167</v>
      </c>
      <c r="C37" s="995">
        <v>12586</v>
      </c>
      <c r="D37" s="995">
        <v>8663</v>
      </c>
      <c r="E37" s="995">
        <v>7247</v>
      </c>
      <c r="F37" s="995">
        <v>8968.6666666666661</v>
      </c>
      <c r="G37"/>
    </row>
    <row r="38" spans="1:7" hidden="1">
      <c r="A38" s="993"/>
      <c r="B38" s="993" t="s">
        <v>181</v>
      </c>
      <c r="C38" s="995">
        <v>420</v>
      </c>
      <c r="D38" s="995">
        <v>289</v>
      </c>
      <c r="E38" s="995">
        <v>40</v>
      </c>
      <c r="F38" s="995">
        <v>289</v>
      </c>
      <c r="G38"/>
    </row>
    <row r="39" spans="1:7" hidden="1">
      <c r="A39" s="993"/>
      <c r="B39" s="993" t="s">
        <v>222</v>
      </c>
      <c r="C39" s="995">
        <v>2418</v>
      </c>
      <c r="D39" s="995">
        <v>0</v>
      </c>
      <c r="E39" s="995">
        <v>669</v>
      </c>
      <c r="F39" s="995">
        <v>1443</v>
      </c>
      <c r="G39"/>
    </row>
    <row r="40" spans="1:7" hidden="1">
      <c r="A40" s="993"/>
      <c r="B40" s="993" t="s">
        <v>192</v>
      </c>
      <c r="C40" s="995">
        <v>1044</v>
      </c>
      <c r="D40" s="995">
        <v>872</v>
      </c>
      <c r="E40" s="995">
        <v>872</v>
      </c>
      <c r="F40" s="995">
        <v>0</v>
      </c>
      <c r="G40"/>
    </row>
    <row r="41" spans="1:7" hidden="1">
      <c r="A41" s="993"/>
      <c r="B41" s="993" t="s">
        <v>1153</v>
      </c>
      <c r="C41" s="995">
        <v>731</v>
      </c>
      <c r="D41" s="995">
        <v>0</v>
      </c>
      <c r="E41" s="995">
        <v>0</v>
      </c>
      <c r="F41" s="995">
        <v>0</v>
      </c>
      <c r="G41"/>
    </row>
    <row r="42" spans="1:7" hidden="1">
      <c r="A42" s="993"/>
      <c r="B42" s="993" t="s">
        <v>150</v>
      </c>
      <c r="C42" s="995">
        <v>28017</v>
      </c>
      <c r="D42" s="995">
        <v>14018</v>
      </c>
      <c r="E42" s="995">
        <v>15830</v>
      </c>
      <c r="F42" s="995">
        <v>12300.666666666668</v>
      </c>
      <c r="G42"/>
    </row>
    <row r="43" spans="1:7" hidden="1">
      <c r="A43" s="993" t="s">
        <v>1939</v>
      </c>
      <c r="B43" s="993"/>
      <c r="C43" s="995">
        <v>106157</v>
      </c>
      <c r="D43" s="995">
        <v>57182</v>
      </c>
      <c r="E43" s="995">
        <v>58516</v>
      </c>
      <c r="F43" s="995">
        <v>52089.8</v>
      </c>
      <c r="G43"/>
    </row>
    <row r="44" spans="1:7" hidden="1">
      <c r="A44" s="993" t="s">
        <v>716</v>
      </c>
      <c r="B44" s="993" t="s">
        <v>735</v>
      </c>
      <c r="C44" s="995">
        <v>341</v>
      </c>
      <c r="D44" s="995">
        <v>341</v>
      </c>
      <c r="E44" s="995">
        <v>341</v>
      </c>
      <c r="F44" s="995">
        <v>341</v>
      </c>
      <c r="G44"/>
    </row>
    <row r="45" spans="1:7" hidden="1">
      <c r="A45" s="993"/>
      <c r="B45" s="993" t="s">
        <v>757</v>
      </c>
      <c r="C45" s="995">
        <v>2047</v>
      </c>
      <c r="D45" s="995">
        <v>864</v>
      </c>
      <c r="E45" s="995">
        <v>1000</v>
      </c>
      <c r="F45" s="995">
        <v>0</v>
      </c>
      <c r="G45"/>
    </row>
    <row r="46" spans="1:7" hidden="1">
      <c r="A46" s="993"/>
      <c r="B46" s="993" t="s">
        <v>720</v>
      </c>
      <c r="C46" s="995">
        <v>5404</v>
      </c>
      <c r="D46" s="995">
        <v>4281</v>
      </c>
      <c r="E46" s="995">
        <v>4180</v>
      </c>
      <c r="F46" s="995">
        <v>4419</v>
      </c>
      <c r="G46"/>
    </row>
    <row r="47" spans="1:7" hidden="1">
      <c r="A47" s="993"/>
      <c r="B47" s="993" t="s">
        <v>723</v>
      </c>
      <c r="C47" s="995">
        <v>317</v>
      </c>
      <c r="D47" s="995">
        <v>317</v>
      </c>
      <c r="E47" s="995">
        <v>307</v>
      </c>
      <c r="F47" s="995">
        <v>317</v>
      </c>
      <c r="G47"/>
    </row>
    <row r="48" spans="1:7" hidden="1">
      <c r="A48" s="993"/>
      <c r="B48" s="993" t="s">
        <v>726</v>
      </c>
      <c r="C48" s="995">
        <v>1594</v>
      </c>
      <c r="D48" s="995">
        <v>608</v>
      </c>
      <c r="E48" s="995">
        <v>1594</v>
      </c>
      <c r="F48" s="995">
        <v>608</v>
      </c>
      <c r="G48"/>
    </row>
    <row r="49" spans="1:7" hidden="1">
      <c r="A49" s="993"/>
      <c r="B49" s="993" t="s">
        <v>717</v>
      </c>
      <c r="C49" s="995">
        <v>2149</v>
      </c>
      <c r="D49" s="995">
        <v>1055</v>
      </c>
      <c r="E49" s="995">
        <v>749</v>
      </c>
      <c r="F49" s="995">
        <v>985</v>
      </c>
      <c r="G49"/>
    </row>
    <row r="50" spans="1:7" hidden="1">
      <c r="A50" s="993"/>
      <c r="B50" s="993" t="s">
        <v>737</v>
      </c>
      <c r="C50" s="995">
        <v>1019</v>
      </c>
      <c r="D50" s="995">
        <v>445</v>
      </c>
      <c r="E50" s="995">
        <v>320</v>
      </c>
      <c r="F50" s="995">
        <v>0.13333333333333333</v>
      </c>
      <c r="G50"/>
    </row>
    <row r="51" spans="1:7" hidden="1">
      <c r="A51" s="993" t="s">
        <v>2990</v>
      </c>
      <c r="B51" s="993"/>
      <c r="C51" s="995">
        <v>12871</v>
      </c>
      <c r="D51" s="995">
        <v>7911</v>
      </c>
      <c r="E51" s="995">
        <v>8491</v>
      </c>
      <c r="F51" s="995">
        <v>6670.1333333333332</v>
      </c>
      <c r="G51"/>
    </row>
    <row r="52" spans="1:7" hidden="1">
      <c r="A52" s="993" t="s">
        <v>3014</v>
      </c>
      <c r="B52" s="993" t="s">
        <v>375</v>
      </c>
      <c r="C52" s="995">
        <v>4440</v>
      </c>
      <c r="D52" s="995">
        <v>1312</v>
      </c>
      <c r="E52" s="995">
        <v>1312</v>
      </c>
      <c r="F52" s="995">
        <v>1239</v>
      </c>
      <c r="G52"/>
    </row>
    <row r="53" spans="1:7" hidden="1">
      <c r="A53" s="993"/>
      <c r="B53" s="993" t="s">
        <v>320</v>
      </c>
      <c r="C53" s="995">
        <v>34773</v>
      </c>
      <c r="D53" s="995">
        <v>1310</v>
      </c>
      <c r="E53" s="995">
        <v>1483</v>
      </c>
      <c r="F53" s="995">
        <v>9082</v>
      </c>
      <c r="G53"/>
    </row>
    <row r="54" spans="1:7" hidden="1">
      <c r="A54" s="993"/>
      <c r="B54" s="993" t="s">
        <v>330</v>
      </c>
      <c r="C54" s="995">
        <v>31472</v>
      </c>
      <c r="D54" s="995">
        <v>3957</v>
      </c>
      <c r="E54" s="995">
        <v>0</v>
      </c>
      <c r="F54" s="995">
        <v>0</v>
      </c>
      <c r="G54"/>
    </row>
    <row r="55" spans="1:7" hidden="1">
      <c r="A55" s="993"/>
      <c r="B55" s="993" t="s">
        <v>489</v>
      </c>
      <c r="C55" s="995">
        <v>14000</v>
      </c>
      <c r="D55" s="995">
        <v>5104</v>
      </c>
      <c r="E55" s="995">
        <v>3199</v>
      </c>
      <c r="F55" s="995">
        <v>0</v>
      </c>
      <c r="G55"/>
    </row>
    <row r="56" spans="1:7" hidden="1">
      <c r="A56" s="993"/>
      <c r="B56" s="993" t="s">
        <v>417</v>
      </c>
      <c r="C56" s="995">
        <v>3137</v>
      </c>
      <c r="D56" s="995">
        <v>3137</v>
      </c>
      <c r="E56" s="995">
        <v>2920</v>
      </c>
      <c r="F56" s="995">
        <v>2920</v>
      </c>
      <c r="G56"/>
    </row>
    <row r="57" spans="1:7" hidden="1">
      <c r="A57" s="993"/>
      <c r="B57" s="993" t="s">
        <v>420</v>
      </c>
      <c r="C57" s="995">
        <v>49395</v>
      </c>
      <c r="D57" s="995">
        <v>31369</v>
      </c>
      <c r="E57" s="995">
        <v>18992</v>
      </c>
      <c r="F57" s="995">
        <v>25653</v>
      </c>
      <c r="G57"/>
    </row>
    <row r="58" spans="1:7" hidden="1">
      <c r="A58" s="993"/>
      <c r="B58" s="993" t="s">
        <v>470</v>
      </c>
      <c r="C58" s="995">
        <v>2926</v>
      </c>
      <c r="D58" s="995">
        <v>1811</v>
      </c>
      <c r="E58" s="995">
        <v>1325</v>
      </c>
      <c r="F58" s="995">
        <v>0</v>
      </c>
      <c r="G58"/>
    </row>
    <row r="59" spans="1:7" hidden="1">
      <c r="A59" s="993"/>
      <c r="B59" s="993" t="s">
        <v>313</v>
      </c>
      <c r="C59" s="995">
        <v>164468</v>
      </c>
      <c r="D59" s="995">
        <v>98950</v>
      </c>
      <c r="E59" s="995">
        <v>61353</v>
      </c>
      <c r="F59" s="995">
        <v>96974</v>
      </c>
      <c r="G59"/>
    </row>
    <row r="60" spans="1:7" hidden="1">
      <c r="A60" s="993" t="s">
        <v>3015</v>
      </c>
      <c r="B60" s="993"/>
      <c r="C60" s="995">
        <v>304611</v>
      </c>
      <c r="D60" s="995">
        <v>146950</v>
      </c>
      <c r="E60" s="995">
        <v>90584</v>
      </c>
      <c r="F60" s="995">
        <v>135868</v>
      </c>
      <c r="G60"/>
    </row>
    <row r="61" spans="1:7" hidden="1">
      <c r="A61" s="993" t="s">
        <v>3013</v>
      </c>
      <c r="B61" s="993" t="s">
        <v>337</v>
      </c>
      <c r="C61" s="995">
        <v>62022</v>
      </c>
      <c r="D61" s="995">
        <v>58151</v>
      </c>
      <c r="E61" s="995">
        <v>2493</v>
      </c>
      <c r="F61" s="995">
        <v>8424</v>
      </c>
      <c r="G61"/>
    </row>
    <row r="62" spans="1:7" hidden="1">
      <c r="A62" s="993"/>
      <c r="B62" s="993" t="s">
        <v>323</v>
      </c>
      <c r="C62" s="995">
        <v>18755</v>
      </c>
      <c r="D62" s="995">
        <v>16744</v>
      </c>
      <c r="E62" s="995">
        <v>1986</v>
      </c>
      <c r="F62" s="995">
        <v>3157</v>
      </c>
      <c r="G62"/>
    </row>
    <row r="63" spans="1:7" hidden="1">
      <c r="A63" s="993"/>
      <c r="B63" s="993" t="s">
        <v>355</v>
      </c>
      <c r="C63" s="995">
        <v>8366</v>
      </c>
      <c r="D63" s="995">
        <v>0</v>
      </c>
      <c r="E63" s="995">
        <v>2346</v>
      </c>
      <c r="F63" s="995">
        <v>0</v>
      </c>
      <c r="G63"/>
    </row>
    <row r="64" spans="1:7" hidden="1">
      <c r="A64" s="993" t="s">
        <v>3016</v>
      </c>
      <c r="B64" s="993"/>
      <c r="C64" s="995">
        <v>89143</v>
      </c>
      <c r="D64" s="995">
        <v>74895</v>
      </c>
      <c r="E64" s="995">
        <v>6825</v>
      </c>
      <c r="F64" s="995">
        <v>11581</v>
      </c>
      <c r="G64"/>
    </row>
    <row r="65" spans="1:7" hidden="1">
      <c r="A65" s="993" t="s">
        <v>1669</v>
      </c>
      <c r="B65" s="993"/>
      <c r="C65" s="995">
        <v>512782</v>
      </c>
      <c r="D65" s="995">
        <v>286938</v>
      </c>
      <c r="E65" s="995">
        <v>164416</v>
      </c>
      <c r="F65" s="995">
        <v>206208.93333333335</v>
      </c>
      <c r="G65"/>
    </row>
    <row r="66" spans="1:7" hidden="1">
      <c r="A66"/>
      <c r="B66"/>
      <c r="C66"/>
      <c r="D66"/>
      <c r="E66"/>
      <c r="F66"/>
      <c r="G66"/>
    </row>
    <row r="67" spans="1:7" hidden="1">
      <c r="A67"/>
      <c r="B67"/>
      <c r="C67"/>
      <c r="D67"/>
      <c r="E67"/>
      <c r="F67"/>
      <c r="G67"/>
    </row>
    <row r="68" spans="1:7" hidden="1">
      <c r="A68"/>
      <c r="B68"/>
      <c r="C68"/>
      <c r="D68"/>
      <c r="E68"/>
      <c r="F68"/>
      <c r="G68"/>
    </row>
    <row r="69" spans="1:7" hidden="1">
      <c r="A69"/>
      <c r="B69"/>
      <c r="C69"/>
      <c r="D69"/>
      <c r="E69"/>
      <c r="F69"/>
      <c r="G69"/>
    </row>
    <row r="70" spans="1:7" hidden="1">
      <c r="A70"/>
      <c r="B70"/>
      <c r="C70"/>
      <c r="D70"/>
      <c r="E70"/>
      <c r="F70"/>
      <c r="G70"/>
    </row>
    <row r="71" spans="1:7" hidden="1">
      <c r="A71"/>
      <c r="B71"/>
      <c r="C71"/>
      <c r="D71"/>
      <c r="E71"/>
      <c r="F71"/>
      <c r="G71"/>
    </row>
    <row r="72" spans="1:7" hidden="1">
      <c r="A72"/>
      <c r="B72"/>
      <c r="C72"/>
      <c r="D72"/>
      <c r="E72"/>
      <c r="F72"/>
      <c r="G72"/>
    </row>
    <row r="73" spans="1:7" hidden="1">
      <c r="A73"/>
      <c r="B73"/>
      <c r="C73"/>
      <c r="D73"/>
      <c r="E73"/>
      <c r="F73"/>
      <c r="G73"/>
    </row>
    <row r="74" spans="1:7" hidden="1">
      <c r="A74"/>
      <c r="B74"/>
      <c r="C74"/>
      <c r="D74"/>
      <c r="E74"/>
      <c r="F74"/>
      <c r="G74"/>
    </row>
    <row r="75" spans="1:7" hidden="1">
      <c r="A75"/>
      <c r="B75"/>
      <c r="C75"/>
      <c r="D75"/>
      <c r="E75"/>
      <c r="F75"/>
      <c r="G75"/>
    </row>
    <row r="76" spans="1:7" hidden="1">
      <c r="A76"/>
      <c r="B76"/>
      <c r="C76"/>
      <c r="D76"/>
      <c r="E76"/>
      <c r="F76"/>
      <c r="G76"/>
    </row>
    <row r="77" spans="1:7" hidden="1">
      <c r="A77"/>
      <c r="B77"/>
      <c r="C77"/>
      <c r="D77"/>
      <c r="E77"/>
      <c r="F77"/>
      <c r="G77"/>
    </row>
    <row r="78" spans="1:7" hidden="1">
      <c r="A78"/>
      <c r="B78"/>
      <c r="C78"/>
      <c r="D78"/>
      <c r="E78"/>
      <c r="F78"/>
      <c r="G78"/>
    </row>
    <row r="79" spans="1:7" hidden="1">
      <c r="A79"/>
      <c r="B79"/>
      <c r="C79"/>
      <c r="D79"/>
      <c r="E79"/>
      <c r="F79"/>
      <c r="G79"/>
    </row>
    <row r="80" spans="1:7" hidden="1">
      <c r="A80"/>
      <c r="B80"/>
      <c r="C80"/>
      <c r="D80"/>
      <c r="E80"/>
      <c r="F80"/>
      <c r="G80"/>
    </row>
    <row r="81" spans="1:7" hidden="1">
      <c r="A81"/>
      <c r="B81"/>
      <c r="C81"/>
      <c r="D81"/>
      <c r="E81"/>
      <c r="F81"/>
      <c r="G81"/>
    </row>
    <row r="82" spans="1:7" hidden="1">
      <c r="A82"/>
      <c r="B82"/>
      <c r="C82"/>
      <c r="D82"/>
      <c r="E82"/>
      <c r="F82"/>
      <c r="G82"/>
    </row>
    <row r="83" spans="1:7" hidden="1">
      <c r="A83"/>
      <c r="B83"/>
      <c r="C83"/>
      <c r="D83"/>
      <c r="E83"/>
      <c r="F83"/>
      <c r="G83"/>
    </row>
    <row r="84" spans="1:7" hidden="1">
      <c r="A84"/>
      <c r="B84"/>
      <c r="C84"/>
      <c r="D84"/>
      <c r="E84"/>
      <c r="F84"/>
      <c r="G84"/>
    </row>
    <row r="85" spans="1:7" hidden="1">
      <c r="A85"/>
      <c r="B85"/>
      <c r="C85"/>
      <c r="D85"/>
      <c r="E85"/>
      <c r="F85"/>
      <c r="G85"/>
    </row>
    <row r="86" spans="1:7">
      <c r="A86"/>
      <c r="B86"/>
      <c r="C86"/>
      <c r="D86"/>
      <c r="E86"/>
      <c r="F86"/>
      <c r="G86"/>
    </row>
    <row r="87" spans="1:7">
      <c r="A87"/>
      <c r="B87"/>
      <c r="C87"/>
      <c r="D87"/>
      <c r="E87"/>
      <c r="F87"/>
      <c r="G87"/>
    </row>
    <row r="88" spans="1:7">
      <c r="A88"/>
      <c r="B88"/>
      <c r="C88"/>
      <c r="D88"/>
      <c r="E88"/>
      <c r="F88"/>
      <c r="G88"/>
    </row>
    <row r="89" spans="1:7">
      <c r="A89"/>
      <c r="B89"/>
      <c r="C89"/>
      <c r="D89"/>
      <c r="E89"/>
      <c r="F89"/>
      <c r="G89"/>
    </row>
    <row r="90" spans="1:7">
      <c r="A90"/>
      <c r="B90"/>
      <c r="C90"/>
      <c r="D90"/>
      <c r="E90"/>
      <c r="F90"/>
      <c r="G90"/>
    </row>
    <row r="91" spans="1:7">
      <c r="A91"/>
      <c r="B91"/>
      <c r="C91"/>
      <c r="D91"/>
      <c r="E91"/>
      <c r="F91"/>
      <c r="G91"/>
    </row>
    <row r="92" spans="1:7">
      <c r="A92"/>
      <c r="B92"/>
      <c r="C92"/>
      <c r="D92"/>
      <c r="E92"/>
      <c r="F92"/>
      <c r="G92"/>
    </row>
    <row r="93" spans="1:7">
      <c r="A93"/>
      <c r="B93"/>
      <c r="C93"/>
      <c r="D93"/>
      <c r="E93"/>
      <c r="F93"/>
      <c r="G93"/>
    </row>
    <row r="94" spans="1:7">
      <c r="A94"/>
      <c r="B94"/>
      <c r="C94"/>
      <c r="D94"/>
      <c r="E94"/>
      <c r="F94"/>
      <c r="G94"/>
    </row>
    <row r="95" spans="1:7">
      <c r="A95"/>
      <c r="B95"/>
      <c r="C95"/>
      <c r="D95"/>
      <c r="E95"/>
      <c r="F95"/>
      <c r="G95"/>
    </row>
    <row r="96" spans="1:7">
      <c r="A96"/>
      <c r="B96"/>
      <c r="C96"/>
      <c r="D96"/>
      <c r="E96"/>
      <c r="F96"/>
      <c r="G96"/>
    </row>
    <row r="97" spans="1:7">
      <c r="A97"/>
      <c r="B97"/>
      <c r="C97"/>
      <c r="D97"/>
      <c r="E97"/>
      <c r="F97"/>
      <c r="G97"/>
    </row>
    <row r="98" spans="1:7">
      <c r="A98"/>
      <c r="B98"/>
      <c r="C98"/>
      <c r="D98"/>
      <c r="E98"/>
      <c r="F98"/>
      <c r="G98"/>
    </row>
    <row r="99" spans="1:7">
      <c r="A99"/>
      <c r="B99"/>
      <c r="C99"/>
      <c r="D99"/>
      <c r="E99"/>
      <c r="F99"/>
      <c r="G99"/>
    </row>
    <row r="100" spans="1:7">
      <c r="A100"/>
      <c r="B100"/>
      <c r="C100"/>
      <c r="D100"/>
      <c r="E100"/>
      <c r="F100"/>
      <c r="G100"/>
    </row>
    <row r="101" spans="1:7">
      <c r="A101"/>
      <c r="B101"/>
      <c r="C101"/>
      <c r="D101"/>
      <c r="E101"/>
      <c r="F101"/>
      <c r="G101"/>
    </row>
    <row r="102" spans="1:7">
      <c r="A102"/>
      <c r="B102"/>
      <c r="C102"/>
      <c r="D102"/>
      <c r="E102"/>
      <c r="F102"/>
      <c r="G102"/>
    </row>
    <row r="103" spans="1:7">
      <c r="A103"/>
      <c r="B103"/>
      <c r="C103"/>
      <c r="D103"/>
      <c r="E103"/>
      <c r="F103"/>
      <c r="G103"/>
    </row>
    <row r="104" spans="1:7">
      <c r="A104"/>
      <c r="B104"/>
      <c r="C104"/>
      <c r="D104"/>
      <c r="E104"/>
      <c r="F104"/>
      <c r="G104"/>
    </row>
    <row r="105" spans="1:7">
      <c r="A105"/>
      <c r="B105"/>
      <c r="C105"/>
      <c r="D105"/>
      <c r="E105"/>
      <c r="F105"/>
      <c r="G105"/>
    </row>
    <row r="106" spans="1:7">
      <c r="A106"/>
      <c r="B106"/>
      <c r="C106"/>
      <c r="D106"/>
      <c r="E106"/>
      <c r="F106"/>
      <c r="G106"/>
    </row>
    <row r="107" spans="1:7">
      <c r="A107"/>
      <c r="B107"/>
      <c r="C107"/>
      <c r="D107"/>
      <c r="E107"/>
      <c r="F107"/>
      <c r="G107"/>
    </row>
    <row r="108" spans="1:7">
      <c r="A108"/>
      <c r="B108"/>
      <c r="C108"/>
      <c r="D108"/>
      <c r="E108"/>
      <c r="F108"/>
      <c r="G108"/>
    </row>
    <row r="109" spans="1:7">
      <c r="A109"/>
      <c r="B109"/>
      <c r="C109"/>
      <c r="D109"/>
      <c r="E109"/>
      <c r="F109"/>
      <c r="G109"/>
    </row>
    <row r="110" spans="1:7">
      <c r="A110"/>
      <c r="B110"/>
      <c r="C110"/>
      <c r="D110"/>
      <c r="E110"/>
      <c r="F110"/>
      <c r="G110"/>
    </row>
    <row r="111" spans="1:7">
      <c r="A111"/>
      <c r="B111"/>
      <c r="C111"/>
      <c r="D111"/>
      <c r="E111"/>
      <c r="F111"/>
      <c r="G111"/>
    </row>
    <row r="112" spans="1:7">
      <c r="A112"/>
      <c r="B112"/>
      <c r="C112"/>
      <c r="D112"/>
      <c r="E112"/>
      <c r="F112"/>
      <c r="G112"/>
    </row>
    <row r="113" spans="1:7">
      <c r="A113"/>
      <c r="B113"/>
      <c r="C113"/>
      <c r="D113"/>
      <c r="E113"/>
      <c r="F113"/>
      <c r="G113"/>
    </row>
    <row r="114" spans="1:7">
      <c r="A114"/>
      <c r="B114"/>
      <c r="C114"/>
      <c r="D114"/>
      <c r="E114"/>
      <c r="F114"/>
      <c r="G114"/>
    </row>
    <row r="115" spans="1:7">
      <c r="A115"/>
      <c r="B115"/>
      <c r="C115"/>
      <c r="D115"/>
      <c r="E115"/>
      <c r="F115"/>
      <c r="G115"/>
    </row>
    <row r="116" spans="1:7">
      <c r="A116"/>
      <c r="B116"/>
      <c r="C116"/>
      <c r="D116"/>
      <c r="E116"/>
      <c r="F116"/>
      <c r="G116"/>
    </row>
    <row r="117" spans="1:7">
      <c r="A117"/>
      <c r="B117"/>
      <c r="C117"/>
      <c r="D117"/>
      <c r="E117"/>
      <c r="F117"/>
      <c r="G117"/>
    </row>
    <row r="118" spans="1:7">
      <c r="A118"/>
      <c r="B118"/>
      <c r="C118"/>
      <c r="D118"/>
      <c r="E118"/>
      <c r="F118"/>
      <c r="G118"/>
    </row>
    <row r="119" spans="1:7">
      <c r="A119"/>
      <c r="B119"/>
      <c r="C119"/>
      <c r="D119"/>
      <c r="E119"/>
      <c r="F119"/>
      <c r="G119"/>
    </row>
    <row r="120" spans="1:7">
      <c r="A120"/>
      <c r="B120"/>
      <c r="C120"/>
      <c r="D120"/>
      <c r="E120"/>
      <c r="F120"/>
      <c r="G120"/>
    </row>
    <row r="121" spans="1:7">
      <c r="A121"/>
      <c r="B121"/>
      <c r="C121"/>
      <c r="D121"/>
      <c r="E121"/>
      <c r="F121"/>
      <c r="G121"/>
    </row>
    <row r="122" spans="1:7">
      <c r="A122"/>
      <c r="B122"/>
      <c r="C122"/>
      <c r="D122"/>
      <c r="E122"/>
      <c r="F122"/>
      <c r="G122"/>
    </row>
    <row r="123" spans="1:7">
      <c r="A123"/>
      <c r="B123"/>
      <c r="C123"/>
      <c r="D123"/>
      <c r="E123"/>
      <c r="F123"/>
      <c r="G123"/>
    </row>
    <row r="124" spans="1:7">
      <c r="A124"/>
      <c r="B124"/>
      <c r="C124"/>
      <c r="D124"/>
      <c r="E124"/>
      <c r="F124"/>
      <c r="G124"/>
    </row>
    <row r="125" spans="1:7">
      <c r="A125"/>
      <c r="B125"/>
      <c r="C125"/>
      <c r="D125"/>
      <c r="E125"/>
      <c r="F125"/>
      <c r="G125"/>
    </row>
    <row r="126" spans="1:7">
      <c r="A126"/>
      <c r="B126"/>
      <c r="C126"/>
      <c r="D126"/>
      <c r="E126"/>
      <c r="F126"/>
      <c r="G126"/>
    </row>
    <row r="127" spans="1:7">
      <c r="A127"/>
      <c r="B127"/>
      <c r="C127"/>
      <c r="D127"/>
      <c r="E127"/>
      <c r="F127"/>
      <c r="G127"/>
    </row>
    <row r="128" spans="1:7">
      <c r="A128"/>
      <c r="B128"/>
      <c r="C128"/>
      <c r="D128"/>
      <c r="E128"/>
      <c r="F128"/>
      <c r="G128"/>
    </row>
    <row r="129" spans="1:7">
      <c r="A129"/>
      <c r="B129"/>
      <c r="C129"/>
      <c r="D129"/>
      <c r="E129"/>
      <c r="F129"/>
      <c r="G129"/>
    </row>
    <row r="130" spans="1:7">
      <c r="A130"/>
      <c r="B130"/>
      <c r="C130"/>
      <c r="D130"/>
      <c r="E130"/>
      <c r="F130"/>
      <c r="G130"/>
    </row>
    <row r="131" spans="1:7">
      <c r="A131"/>
      <c r="B131"/>
      <c r="C131"/>
      <c r="D131"/>
      <c r="E131"/>
      <c r="F131"/>
      <c r="G131"/>
    </row>
    <row r="132" spans="1:7">
      <c r="A132"/>
      <c r="B132"/>
      <c r="C132"/>
      <c r="D132"/>
      <c r="E132"/>
      <c r="F132"/>
      <c r="G132"/>
    </row>
    <row r="133" spans="1:7">
      <c r="A133"/>
      <c r="B133"/>
      <c r="C133"/>
      <c r="D133"/>
      <c r="E133"/>
      <c r="F133"/>
      <c r="G133"/>
    </row>
    <row r="134" spans="1:7">
      <c r="A134"/>
      <c r="B134"/>
      <c r="C134"/>
      <c r="D134"/>
      <c r="E134"/>
      <c r="F134"/>
      <c r="G134"/>
    </row>
    <row r="135" spans="1:7">
      <c r="A135"/>
      <c r="B135"/>
      <c r="C135"/>
      <c r="D135"/>
      <c r="E135"/>
      <c r="F135"/>
      <c r="G135"/>
    </row>
    <row r="136" spans="1:7">
      <c r="A136"/>
      <c r="B136"/>
      <c r="C136"/>
      <c r="D136"/>
      <c r="E136"/>
      <c r="F136"/>
      <c r="G136"/>
    </row>
    <row r="137" spans="1:7">
      <c r="A137"/>
      <c r="B137"/>
      <c r="C137"/>
      <c r="D137"/>
      <c r="E137"/>
      <c r="F137"/>
      <c r="G137"/>
    </row>
    <row r="138" spans="1:7">
      <c r="A138"/>
      <c r="B138"/>
      <c r="C138"/>
      <c r="D138"/>
      <c r="E138"/>
      <c r="F138"/>
      <c r="G138"/>
    </row>
    <row r="139" spans="1:7">
      <c r="A139"/>
      <c r="B139"/>
      <c r="C139"/>
      <c r="D139"/>
      <c r="E139"/>
      <c r="F139"/>
      <c r="G139"/>
    </row>
    <row r="140" spans="1:7">
      <c r="A140"/>
      <c r="B140"/>
      <c r="C140"/>
      <c r="D140"/>
      <c r="E140"/>
      <c r="F140"/>
      <c r="G140"/>
    </row>
    <row r="141" spans="1:7">
      <c r="A141"/>
      <c r="B141"/>
      <c r="C141"/>
      <c r="D141"/>
      <c r="E141"/>
      <c r="F141"/>
      <c r="G141"/>
    </row>
    <row r="142" spans="1:7">
      <c r="A142"/>
      <c r="B142"/>
      <c r="C142"/>
      <c r="D142"/>
      <c r="E142"/>
      <c r="F142"/>
      <c r="G142"/>
    </row>
    <row r="143" spans="1:7">
      <c r="A143"/>
      <c r="B143"/>
      <c r="C143"/>
      <c r="D143"/>
      <c r="E143"/>
      <c r="F143"/>
      <c r="G143"/>
    </row>
    <row r="144" spans="1:7">
      <c r="A144"/>
      <c r="B144"/>
      <c r="C144"/>
      <c r="D144"/>
      <c r="E144"/>
      <c r="F144"/>
      <c r="G144"/>
    </row>
    <row r="145" spans="1:7">
      <c r="A145"/>
      <c r="B145"/>
      <c r="C145"/>
      <c r="D145"/>
      <c r="E145"/>
      <c r="F145"/>
      <c r="G145"/>
    </row>
    <row r="146" spans="1:7">
      <c r="A146"/>
      <c r="B146"/>
      <c r="C146"/>
      <c r="D146"/>
      <c r="E146"/>
      <c r="F146"/>
      <c r="G146"/>
    </row>
    <row r="147" spans="1:7">
      <c r="A147"/>
      <c r="B147"/>
      <c r="C147"/>
      <c r="D147"/>
      <c r="E147"/>
      <c r="F147"/>
      <c r="G147"/>
    </row>
    <row r="148" spans="1:7">
      <c r="A148"/>
      <c r="B148"/>
      <c r="C148"/>
      <c r="D148"/>
      <c r="E148"/>
      <c r="F148"/>
      <c r="G148"/>
    </row>
    <row r="149" spans="1:7">
      <c r="A149"/>
      <c r="B149"/>
      <c r="C149"/>
      <c r="D149"/>
      <c r="E149"/>
      <c r="F149"/>
      <c r="G149"/>
    </row>
    <row r="150" spans="1:7">
      <c r="A150"/>
      <c r="B150"/>
      <c r="C150"/>
      <c r="D150"/>
      <c r="E150"/>
      <c r="F150"/>
      <c r="G150"/>
    </row>
    <row r="151" spans="1:7">
      <c r="A151"/>
      <c r="B151"/>
      <c r="C151"/>
      <c r="D151"/>
      <c r="E151"/>
      <c r="F151"/>
      <c r="G151"/>
    </row>
    <row r="152" spans="1:7">
      <c r="A152"/>
      <c r="B152"/>
      <c r="C152"/>
      <c r="D152"/>
      <c r="E152"/>
      <c r="F152"/>
      <c r="G152"/>
    </row>
    <row r="153" spans="1:7">
      <c r="A153"/>
      <c r="B153"/>
      <c r="C153"/>
      <c r="D153"/>
      <c r="E153"/>
      <c r="F153"/>
      <c r="G153"/>
    </row>
    <row r="154" spans="1:7">
      <c r="A154"/>
      <c r="B154"/>
      <c r="C154"/>
      <c r="D154"/>
      <c r="E154"/>
      <c r="F154"/>
      <c r="G154"/>
    </row>
    <row r="155" spans="1:7">
      <c r="A155"/>
      <c r="B155"/>
      <c r="C155"/>
      <c r="D155"/>
      <c r="E155"/>
      <c r="F155"/>
      <c r="G155"/>
    </row>
    <row r="156" spans="1:7">
      <c r="A156"/>
      <c r="B156"/>
      <c r="C156"/>
      <c r="D156"/>
      <c r="E156"/>
      <c r="F156"/>
      <c r="G156"/>
    </row>
    <row r="157" spans="1:7" hidden="1">
      <c r="A157"/>
      <c r="B157"/>
      <c r="C157"/>
      <c r="D157"/>
      <c r="E157"/>
      <c r="F157"/>
      <c r="G157"/>
    </row>
    <row r="158" spans="1:7">
      <c r="A158"/>
      <c r="B158"/>
      <c r="C158"/>
      <c r="D158"/>
      <c r="E158"/>
      <c r="F158"/>
      <c r="G158"/>
    </row>
    <row r="159" spans="1:7">
      <c r="A159"/>
      <c r="B159"/>
      <c r="C159"/>
      <c r="D159"/>
      <c r="E159"/>
      <c r="F159"/>
      <c r="G159"/>
    </row>
    <row r="160" spans="1:7">
      <c r="A160"/>
      <c r="B160"/>
      <c r="C160"/>
      <c r="D160"/>
      <c r="E160"/>
      <c r="F160"/>
      <c r="G160"/>
    </row>
    <row r="161" spans="1:7">
      <c r="A161"/>
      <c r="B161"/>
      <c r="C161"/>
      <c r="D161"/>
      <c r="E161"/>
      <c r="F161"/>
      <c r="G161"/>
    </row>
    <row r="162" spans="1:7">
      <c r="A162"/>
      <c r="B162"/>
      <c r="C162"/>
      <c r="D162"/>
      <c r="E162"/>
      <c r="F162"/>
      <c r="G162"/>
    </row>
    <row r="163" spans="1:7">
      <c r="A163"/>
      <c r="B163"/>
      <c r="C163"/>
      <c r="D163"/>
      <c r="E163"/>
      <c r="F163"/>
      <c r="G163"/>
    </row>
    <row r="164" spans="1:7">
      <c r="A164"/>
      <c r="B164"/>
      <c r="C164"/>
      <c r="D164"/>
      <c r="E164"/>
      <c r="F164"/>
      <c r="G164"/>
    </row>
    <row r="165" spans="1:7">
      <c r="A165"/>
      <c r="B165"/>
      <c r="C165"/>
      <c r="D165"/>
      <c r="E165"/>
      <c r="F165"/>
      <c r="G165"/>
    </row>
    <row r="166" spans="1:7">
      <c r="A166"/>
      <c r="B166"/>
      <c r="C166"/>
      <c r="D166"/>
      <c r="E166"/>
      <c r="F166"/>
      <c r="G166"/>
    </row>
    <row r="167" spans="1:7">
      <c r="A167"/>
      <c r="B167"/>
      <c r="C167"/>
      <c r="D167"/>
      <c r="E167"/>
      <c r="F167"/>
      <c r="G167"/>
    </row>
    <row r="168" spans="1:7">
      <c r="A168"/>
      <c r="B168"/>
      <c r="C168"/>
      <c r="D168"/>
      <c r="E168"/>
      <c r="F168"/>
      <c r="G168"/>
    </row>
    <row r="169" spans="1:7">
      <c r="A169"/>
      <c r="B169"/>
      <c r="C169"/>
      <c r="D169"/>
      <c r="E169"/>
      <c r="F169"/>
      <c r="G169"/>
    </row>
    <row r="170" spans="1:7">
      <c r="A170"/>
      <c r="B170"/>
      <c r="C170"/>
      <c r="D170"/>
      <c r="E170"/>
      <c r="F170"/>
      <c r="G170"/>
    </row>
    <row r="171" spans="1:7">
      <c r="A171"/>
      <c r="B171"/>
      <c r="C171"/>
      <c r="D171"/>
      <c r="E171"/>
      <c r="F171"/>
      <c r="G171"/>
    </row>
    <row r="172" spans="1:7">
      <c r="A172"/>
      <c r="B172"/>
      <c r="C172"/>
      <c r="D172"/>
      <c r="E172"/>
      <c r="F172"/>
      <c r="G172"/>
    </row>
    <row r="173" spans="1:7">
      <c r="A173"/>
      <c r="B173"/>
      <c r="C173"/>
      <c r="D173"/>
      <c r="E173"/>
      <c r="F173"/>
      <c r="G173"/>
    </row>
    <row r="174" spans="1:7">
      <c r="A174"/>
      <c r="B174"/>
      <c r="C174"/>
      <c r="D174"/>
      <c r="E174"/>
      <c r="F174"/>
      <c r="G174"/>
    </row>
    <row r="175" spans="1:7">
      <c r="A175"/>
      <c r="B175"/>
      <c r="C175"/>
      <c r="D175"/>
      <c r="E175"/>
      <c r="F175"/>
      <c r="G175"/>
    </row>
    <row r="176" spans="1:7">
      <c r="A176"/>
      <c r="B176"/>
      <c r="C176"/>
      <c r="D176"/>
      <c r="E176"/>
      <c r="F176"/>
      <c r="G176"/>
    </row>
    <row r="177" spans="1:7">
      <c r="A177"/>
      <c r="B177"/>
      <c r="C177"/>
      <c r="D177"/>
      <c r="E177"/>
      <c r="F177"/>
      <c r="G177"/>
    </row>
    <row r="178" spans="1:7">
      <c r="A178"/>
      <c r="B178"/>
      <c r="C178"/>
      <c r="D178"/>
      <c r="E178"/>
      <c r="F178"/>
      <c r="G178"/>
    </row>
    <row r="179" spans="1:7">
      <c r="A179"/>
      <c r="B179"/>
      <c r="C179"/>
      <c r="D179"/>
      <c r="E179"/>
      <c r="F179"/>
      <c r="G179"/>
    </row>
    <row r="180" spans="1:7">
      <c r="A180"/>
      <c r="B180"/>
      <c r="C180"/>
      <c r="D180"/>
      <c r="E180"/>
      <c r="F180"/>
      <c r="G180"/>
    </row>
    <row r="181" spans="1:7">
      <c r="A181"/>
      <c r="B181"/>
      <c r="C181"/>
      <c r="D181"/>
      <c r="E181"/>
      <c r="F181"/>
      <c r="G181"/>
    </row>
    <row r="182" spans="1:7">
      <c r="A182"/>
      <c r="B182"/>
      <c r="C182"/>
      <c r="D182"/>
      <c r="E182"/>
      <c r="F182"/>
      <c r="G182"/>
    </row>
    <row r="183" spans="1:7">
      <c r="A183"/>
      <c r="B183"/>
      <c r="C183"/>
      <c r="D183"/>
      <c r="E183"/>
      <c r="F183"/>
      <c r="G183"/>
    </row>
    <row r="184" spans="1:7">
      <c r="A184"/>
      <c r="B184"/>
      <c r="C184"/>
      <c r="D184"/>
      <c r="E184"/>
      <c r="F184"/>
      <c r="G184"/>
    </row>
    <row r="185" spans="1:7">
      <c r="A185"/>
      <c r="B185"/>
      <c r="C185"/>
      <c r="D185"/>
      <c r="E185"/>
      <c r="F185"/>
      <c r="G185"/>
    </row>
    <row r="186" spans="1:7">
      <c r="A186"/>
      <c r="B186"/>
      <c r="C186"/>
      <c r="D186"/>
      <c r="E186"/>
      <c r="F186"/>
      <c r="G186"/>
    </row>
    <row r="187" spans="1:7">
      <c r="A187"/>
      <c r="B187"/>
      <c r="C187"/>
      <c r="D187"/>
      <c r="E187"/>
      <c r="F187"/>
      <c r="G187"/>
    </row>
    <row r="188" spans="1:7">
      <c r="A188"/>
      <c r="B188"/>
      <c r="C188"/>
      <c r="D188"/>
      <c r="E188"/>
      <c r="F188"/>
      <c r="G188"/>
    </row>
    <row r="189" spans="1:7">
      <c r="A189"/>
      <c r="B189"/>
      <c r="C189"/>
      <c r="D189"/>
      <c r="E189"/>
      <c r="F189"/>
      <c r="G189"/>
    </row>
    <row r="190" spans="1:7">
      <c r="A190"/>
      <c r="B190"/>
      <c r="C190"/>
      <c r="D190"/>
      <c r="E190"/>
      <c r="F190"/>
      <c r="G190"/>
    </row>
    <row r="191" spans="1:7">
      <c r="A191"/>
      <c r="B191"/>
      <c r="C191"/>
      <c r="D191"/>
      <c r="E191"/>
      <c r="F191"/>
      <c r="G191"/>
    </row>
    <row r="192" spans="1:7">
      <c r="A192"/>
      <c r="B192"/>
      <c r="C192"/>
      <c r="D192"/>
      <c r="E192"/>
      <c r="F192"/>
      <c r="G192"/>
    </row>
    <row r="193" spans="1:7">
      <c r="A193"/>
      <c r="B193"/>
      <c r="C193"/>
      <c r="D193"/>
      <c r="E193"/>
      <c r="F193"/>
      <c r="G193"/>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E169"/>
  <sheetViews>
    <sheetView showGridLines="0" view="pageBreakPreview" zoomScaleNormal="60" zoomScaleSheetLayoutView="100" workbookViewId="0">
      <selection activeCell="V25" sqref="V25"/>
    </sheetView>
  </sheetViews>
  <sheetFormatPr defaultColWidth="9" defaultRowHeight="12.75"/>
  <cols>
    <col min="1" max="1" width="1.5" style="17" customWidth="1"/>
    <col min="2" max="2" width="18.125" style="17" customWidth="1"/>
    <col min="3" max="3" width="28.25" style="17" customWidth="1"/>
    <col min="4" max="10" width="9" style="17"/>
    <col min="11" max="11" width="8" style="17" customWidth="1"/>
    <col min="12" max="12" width="11.625" style="17" customWidth="1"/>
    <col min="13" max="13" width="8" style="17" customWidth="1"/>
    <col min="14" max="14" width="14.125" style="17" customWidth="1"/>
    <col min="15" max="15" width="22.75" style="17" customWidth="1"/>
    <col min="16" max="16" width="8" style="17" customWidth="1"/>
    <col min="17" max="18" width="9" style="17"/>
    <col min="19" max="19" width="5" style="17" customWidth="1"/>
    <col min="20" max="20" width="1.75" style="17" customWidth="1"/>
    <col min="21" max="25" width="8.125" style="17" customWidth="1"/>
    <col min="26" max="26" width="16.125" style="17" bestFit="1" customWidth="1"/>
    <col min="27" max="27" width="9" style="17"/>
    <col min="28" max="28" width="21.75" style="17" bestFit="1" customWidth="1"/>
    <col min="29" max="29" width="7.25" style="17" customWidth="1"/>
    <col min="30" max="16384" width="9" style="17"/>
  </cols>
  <sheetData>
    <row r="1" spans="2:31" ht="32.25" customHeight="1">
      <c r="B1" s="1118" t="s">
        <v>3289</v>
      </c>
      <c r="C1" s="1118"/>
      <c r="D1" s="1118"/>
      <c r="E1" s="1118"/>
      <c r="F1" s="1118"/>
      <c r="G1" s="1118"/>
      <c r="H1" s="1118"/>
      <c r="I1" s="1118"/>
      <c r="J1" s="1118"/>
      <c r="K1" s="1118"/>
      <c r="L1" s="1118"/>
      <c r="M1" s="1118"/>
      <c r="N1" s="1118"/>
      <c r="O1" s="1118"/>
      <c r="P1" s="1118"/>
      <c r="Q1" s="1118"/>
      <c r="R1" s="1118"/>
      <c r="S1" s="1118"/>
      <c r="T1" s="238"/>
      <c r="U1" s="238"/>
      <c r="V1" s="238"/>
      <c r="W1" s="238"/>
      <c r="X1" s="238"/>
      <c r="Y1" s="238"/>
      <c r="Z1" s="238"/>
      <c r="AA1" s="238"/>
      <c r="AB1" s="238"/>
      <c r="AC1" s="238"/>
      <c r="AD1" s="238"/>
      <c r="AE1" s="238"/>
    </row>
    <row r="26" ht="20.25" customHeight="1"/>
    <row r="29" ht="20.25" customHeight="1"/>
    <row r="31" ht="29.25" customHeight="1"/>
    <row r="44" spans="2:7" ht="15.75" customHeight="1"/>
    <row r="45" spans="2:7" ht="18" customHeight="1"/>
    <row r="48" spans="2:7" ht="38.25">
      <c r="B48" s="283" t="s">
        <v>1960</v>
      </c>
      <c r="C48" s="284" t="s">
        <v>1961</v>
      </c>
      <c r="D48" s="283" t="s">
        <v>1937</v>
      </c>
      <c r="E48" s="283" t="s">
        <v>1962</v>
      </c>
      <c r="F48" s="283" t="s">
        <v>1963</v>
      </c>
      <c r="G48" s="283" t="s">
        <v>1964</v>
      </c>
    </row>
    <row r="49" spans="2:26" ht="18.75" customHeight="1">
      <c r="B49" s="212" t="s">
        <v>203</v>
      </c>
      <c r="C49" s="211" t="s">
        <v>2179</v>
      </c>
      <c r="D49" s="209">
        <v>8800</v>
      </c>
      <c r="E49" s="210">
        <v>0.1601136363636364</v>
      </c>
      <c r="F49" s="210">
        <v>0.35761363636363641</v>
      </c>
      <c r="G49" s="210">
        <v>0.22090909090909094</v>
      </c>
      <c r="U49" s="661"/>
      <c r="V49"/>
    </row>
    <row r="50" spans="2:26" ht="18.75" customHeight="1">
      <c r="B50" s="324" t="s">
        <v>154</v>
      </c>
      <c r="C50" s="325" t="s">
        <v>2180</v>
      </c>
      <c r="D50" s="326">
        <v>2960</v>
      </c>
      <c r="E50" s="327">
        <v>0.93243243243243246</v>
      </c>
      <c r="F50" s="327">
        <v>6.6554054054054013E-2</v>
      </c>
      <c r="G50" s="327">
        <v>0</v>
      </c>
      <c r="U50" s="661"/>
      <c r="V50"/>
    </row>
    <row r="51" spans="2:26" ht="18.75" customHeight="1">
      <c r="B51" s="324" t="s">
        <v>156</v>
      </c>
      <c r="C51" s="325" t="s">
        <v>2180</v>
      </c>
      <c r="D51" s="326">
        <v>3920</v>
      </c>
      <c r="E51" s="327">
        <v>0.36391156462585028</v>
      </c>
      <c r="F51" s="327">
        <v>0.14464285714285718</v>
      </c>
      <c r="G51" s="327">
        <v>3.5714285714285587E-3</v>
      </c>
      <c r="U51" s="661"/>
      <c r="V51"/>
    </row>
    <row r="52" spans="2:26" ht="18.75" customHeight="1">
      <c r="B52" s="324" t="s">
        <v>40</v>
      </c>
      <c r="C52" s="325" t="s">
        <v>2181</v>
      </c>
      <c r="D52" s="326">
        <v>7720</v>
      </c>
      <c r="E52" s="327">
        <v>0.14650259067357518</v>
      </c>
      <c r="F52" s="327">
        <v>6.6062176165803121E-2</v>
      </c>
      <c r="G52" s="327">
        <v>7.2020725388601048E-2</v>
      </c>
      <c r="U52" s="661"/>
      <c r="V52"/>
    </row>
    <row r="53" spans="2:26" ht="18.75" customHeight="1">
      <c r="B53" s="324" t="s">
        <v>160</v>
      </c>
      <c r="C53" s="325" t="s">
        <v>2299</v>
      </c>
      <c r="D53" s="326">
        <v>1462</v>
      </c>
      <c r="E53" s="327">
        <v>5.0615595075239384E-2</v>
      </c>
      <c r="F53" s="327">
        <v>0.48084815321477425</v>
      </c>
      <c r="G53" s="327">
        <v>0</v>
      </c>
      <c r="U53" s="661"/>
      <c r="V53"/>
    </row>
    <row r="54" spans="2:26" ht="18.75" customHeight="1">
      <c r="B54" s="324" t="s">
        <v>165</v>
      </c>
      <c r="C54" s="325" t="s">
        <v>2182</v>
      </c>
      <c r="D54" s="326">
        <v>286</v>
      </c>
      <c r="E54" s="327">
        <v>0.42307692307692313</v>
      </c>
      <c r="F54" s="327">
        <v>0.46853146853146854</v>
      </c>
      <c r="G54" s="327">
        <v>0.42307692307692313</v>
      </c>
      <c r="U54" s="661"/>
      <c r="V54"/>
    </row>
    <row r="55" spans="2:26" ht="18.75" customHeight="1">
      <c r="B55" s="324" t="s">
        <v>213</v>
      </c>
      <c r="C55" s="325" t="s">
        <v>3107</v>
      </c>
      <c r="D55" s="326">
        <v>27758</v>
      </c>
      <c r="E55" s="327">
        <v>0.60922977159737735</v>
      </c>
      <c r="F55" s="327">
        <v>0.49679371712659415</v>
      </c>
      <c r="G55" s="327">
        <v>0.60995028460263701</v>
      </c>
      <c r="U55" s="661"/>
      <c r="V55"/>
    </row>
    <row r="56" spans="2:26" ht="18.75" customHeight="1">
      <c r="B56" s="324" t="s">
        <v>167</v>
      </c>
      <c r="C56" s="325" t="s">
        <v>2180</v>
      </c>
      <c r="D56" s="326">
        <v>9521</v>
      </c>
      <c r="E56" s="327">
        <v>5.801211357350422E-2</v>
      </c>
      <c r="F56" s="327">
        <v>0.2388404579350909</v>
      </c>
      <c r="G56" s="327">
        <v>9.0116584392395782E-2</v>
      </c>
      <c r="U56" s="661"/>
      <c r="V56"/>
    </row>
    <row r="57" spans="2:26" ht="18.75" customHeight="1">
      <c r="B57" s="324" t="s">
        <v>181</v>
      </c>
      <c r="C57" s="325" t="s">
        <v>149</v>
      </c>
      <c r="D57" s="326">
        <v>289</v>
      </c>
      <c r="E57" s="327">
        <v>0</v>
      </c>
      <c r="F57" s="327">
        <v>0.86159169550173009</v>
      </c>
      <c r="G57" s="327">
        <v>0</v>
      </c>
      <c r="U57" s="661"/>
      <c r="V57"/>
    </row>
    <row r="58" spans="2:26" ht="18.75" customHeight="1">
      <c r="B58" s="324" t="s">
        <v>222</v>
      </c>
      <c r="C58" s="325" t="s">
        <v>1971</v>
      </c>
      <c r="D58" s="326">
        <v>2418</v>
      </c>
      <c r="E58" s="327">
        <v>0.40322580645161288</v>
      </c>
      <c r="F58" s="327">
        <v>0.72332506203473945</v>
      </c>
      <c r="G58" s="327">
        <v>1</v>
      </c>
      <c r="U58" s="661"/>
      <c r="V58"/>
    </row>
    <row r="59" spans="2:26" ht="18.75" customHeight="1">
      <c r="B59" s="324" t="s">
        <v>192</v>
      </c>
      <c r="C59" s="325" t="s">
        <v>149</v>
      </c>
      <c r="D59" s="326">
        <v>872</v>
      </c>
      <c r="E59" s="327">
        <v>1</v>
      </c>
      <c r="F59" s="327">
        <v>0</v>
      </c>
      <c r="G59" s="327">
        <v>0</v>
      </c>
      <c r="U59" s="661"/>
      <c r="V59"/>
    </row>
    <row r="60" spans="2:26" ht="18.75" customHeight="1" thickBot="1">
      <c r="B60" s="324" t="s">
        <v>150</v>
      </c>
      <c r="C60" s="325" t="s">
        <v>2183</v>
      </c>
      <c r="D60" s="326">
        <v>27158</v>
      </c>
      <c r="E60" s="327">
        <v>0.54707023099393681</v>
      </c>
      <c r="F60" s="327">
        <v>0.41711466234626993</v>
      </c>
      <c r="G60" s="327">
        <v>0.48383533397157374</v>
      </c>
      <c r="U60" s="661"/>
      <c r="V60"/>
    </row>
    <row r="61" spans="2:26" ht="18.75" customHeight="1" thickTop="1">
      <c r="B61" s="294" t="s">
        <v>1938</v>
      </c>
      <c r="C61" s="298" t="s">
        <v>1970</v>
      </c>
      <c r="D61" s="328">
        <f>SUBTOTAL(109,D49:D60)</f>
        <v>93164</v>
      </c>
      <c r="E61" s="295">
        <v>0.4410416040530678</v>
      </c>
      <c r="F61" s="295">
        <v>0.3719033102915289</v>
      </c>
      <c r="G61" s="295">
        <v>0.38622214589326354</v>
      </c>
      <c r="U61" s="249"/>
      <c r="V61"/>
    </row>
    <row r="62" spans="2:26" ht="18.75" customHeight="1"/>
    <row r="63" spans="2:26" ht="15.75">
      <c r="B63"/>
      <c r="C63"/>
      <c r="X63"/>
      <c r="Y63"/>
      <c r="Z63"/>
    </row>
    <row r="64" spans="2:26" ht="15.75">
      <c r="B64"/>
      <c r="C64"/>
      <c r="X64"/>
      <c r="Y64"/>
      <c r="Z64"/>
    </row>
    <row r="65" spans="2:26" ht="15.75">
      <c r="B65"/>
      <c r="C65"/>
      <c r="X65"/>
      <c r="Y65"/>
      <c r="Z65"/>
    </row>
    <row r="66" spans="2:26" ht="15.75">
      <c r="B66"/>
      <c r="C66"/>
      <c r="X66"/>
      <c r="Y66"/>
      <c r="Z66"/>
    </row>
    <row r="67" spans="2:26" ht="15.75">
      <c r="B67"/>
      <c r="C67"/>
      <c r="X67"/>
      <c r="Y67"/>
      <c r="Z67"/>
    </row>
    <row r="68" spans="2:26" ht="15.75">
      <c r="B68"/>
      <c r="C68"/>
      <c r="X68"/>
      <c r="Y68"/>
      <c r="Z68"/>
    </row>
    <row r="69" spans="2:26" ht="15.75">
      <c r="B69"/>
      <c r="C69"/>
      <c r="X69"/>
      <c r="Y69"/>
      <c r="Z69"/>
    </row>
    <row r="70" spans="2:26" ht="15.75">
      <c r="B70"/>
      <c r="C70"/>
      <c r="X70"/>
      <c r="Y70"/>
      <c r="Z70"/>
    </row>
    <row r="71" spans="2:26" ht="15.75">
      <c r="B71"/>
      <c r="C71"/>
      <c r="X71"/>
      <c r="Y71"/>
      <c r="Z71"/>
    </row>
    <row r="72" spans="2:26" ht="15.75">
      <c r="B72"/>
      <c r="C72"/>
      <c r="X72"/>
      <c r="Y72"/>
      <c r="Z72"/>
    </row>
    <row r="73" spans="2:26" ht="15.75">
      <c r="B73"/>
      <c r="C73"/>
      <c r="X73"/>
      <c r="Y73"/>
      <c r="Z73"/>
    </row>
    <row r="74" spans="2:26" ht="15.75">
      <c r="B74"/>
      <c r="C74"/>
      <c r="X74"/>
      <c r="Y74"/>
      <c r="Z74"/>
    </row>
    <row r="75" spans="2:26" ht="15.75">
      <c r="B75"/>
      <c r="C75"/>
      <c r="X75"/>
      <c r="Y75"/>
      <c r="Z75"/>
    </row>
    <row r="76" spans="2:26" ht="15.75">
      <c r="X76"/>
      <c r="Y76"/>
      <c r="Z76"/>
    </row>
    <row r="77" spans="2:26" ht="15.75">
      <c r="X77"/>
      <c r="Y77"/>
      <c r="Z77"/>
    </row>
    <row r="78" spans="2:26" ht="15.75">
      <c r="X78"/>
      <c r="Y78"/>
      <c r="Z78"/>
    </row>
    <row r="79" spans="2:26" ht="15.75">
      <c r="X79"/>
      <c r="Y79"/>
      <c r="Z79"/>
    </row>
    <row r="80" spans="2:26" ht="15.75">
      <c r="X80"/>
      <c r="Y80"/>
      <c r="Z80"/>
    </row>
    <row r="81" spans="24:26" ht="15.75">
      <c r="X81"/>
      <c r="Y81"/>
      <c r="Z81"/>
    </row>
    <row r="82" spans="24:26" ht="15.75">
      <c r="X82"/>
      <c r="Y82"/>
      <c r="Z82"/>
    </row>
    <row r="83" spans="24:26" ht="15.75">
      <c r="X83"/>
      <c r="Y83"/>
      <c r="Z83"/>
    </row>
    <row r="84" spans="24:26" ht="15.75">
      <c r="X84"/>
      <c r="Y84"/>
      <c r="Z84"/>
    </row>
    <row r="85" spans="24:26" ht="15.75">
      <c r="X85"/>
      <c r="Y85"/>
      <c r="Z85"/>
    </row>
    <row r="86" spans="24:26" ht="15.75">
      <c r="X86"/>
      <c r="Y86"/>
      <c r="Z86"/>
    </row>
    <row r="87" spans="24:26" ht="15.75">
      <c r="X87"/>
      <c r="Y87"/>
      <c r="Z87"/>
    </row>
    <row r="88" spans="24:26" ht="15.75">
      <c r="X88"/>
      <c r="Y88"/>
      <c r="Z88"/>
    </row>
    <row r="89" spans="24:26" ht="15.75">
      <c r="X89"/>
      <c r="Y89"/>
      <c r="Z89"/>
    </row>
    <row r="90" spans="24:26" ht="15.75">
      <c r="X90"/>
      <c r="Y90"/>
      <c r="Z90"/>
    </row>
    <row r="91" spans="24:26" ht="15.75">
      <c r="X91"/>
      <c r="Y91"/>
      <c r="Z91"/>
    </row>
    <row r="92" spans="24:26" ht="15.75">
      <c r="X92"/>
      <c r="Y92"/>
      <c r="Z92"/>
    </row>
    <row r="93" spans="24:26" ht="15.75">
      <c r="X93"/>
      <c r="Y93"/>
      <c r="Z93"/>
    </row>
    <row r="94" spans="24:26" ht="15.75">
      <c r="X94"/>
      <c r="Y94"/>
      <c r="Z94"/>
    </row>
    <row r="95" spans="24:26" ht="15.75">
      <c r="X95"/>
      <c r="Y95"/>
      <c r="Z95"/>
    </row>
    <row r="96" spans="24:26" ht="15.75">
      <c r="X96"/>
      <c r="Y96"/>
      <c r="Z96"/>
    </row>
    <row r="97" spans="24:26" ht="15.75">
      <c r="X97"/>
      <c r="Y97"/>
      <c r="Z97"/>
    </row>
    <row r="98" spans="24:26" ht="15.75">
      <c r="X98"/>
      <c r="Y98"/>
      <c r="Z98"/>
    </row>
    <row r="99" spans="24:26" ht="15.75">
      <c r="X99"/>
      <c r="Y99"/>
      <c r="Z99"/>
    </row>
    <row r="100" spans="24:26" ht="15.75">
      <c r="X100"/>
      <c r="Y100"/>
      <c r="Z100"/>
    </row>
    <row r="101" spans="24:26" ht="15.75">
      <c r="X101"/>
      <c r="Y101"/>
      <c r="Z101"/>
    </row>
    <row r="102" spans="24:26" ht="15.75">
      <c r="X102"/>
      <c r="Y102"/>
      <c r="Z102"/>
    </row>
    <row r="103" spans="24:26" ht="15.75">
      <c r="X103"/>
      <c r="Y103"/>
      <c r="Z103"/>
    </row>
    <row r="104" spans="24:26" ht="15.75">
      <c r="X104"/>
      <c r="Y104"/>
      <c r="Z104"/>
    </row>
    <row r="105" spans="24:26" ht="15.75">
      <c r="X105"/>
      <c r="Y105"/>
      <c r="Z105"/>
    </row>
    <row r="106" spans="24:26" ht="15.75">
      <c r="X106"/>
      <c r="Y106"/>
      <c r="Z106"/>
    </row>
    <row r="107" spans="24:26" ht="15.75">
      <c r="X107"/>
      <c r="Y107"/>
      <c r="Z107"/>
    </row>
    <row r="108" spans="24:26" ht="15.75">
      <c r="X108"/>
      <c r="Y108"/>
      <c r="Z108"/>
    </row>
    <row r="109" spans="24:26" ht="15.75">
      <c r="X109"/>
      <c r="Y109"/>
      <c r="Z109"/>
    </row>
    <row r="110" spans="24:26" ht="15.75">
      <c r="X110"/>
      <c r="Y110"/>
      <c r="Z110"/>
    </row>
    <row r="111" spans="24:26" ht="15.75">
      <c r="X111"/>
      <c r="Y111"/>
      <c r="Z111"/>
    </row>
    <row r="112" spans="24:26" ht="15.75">
      <c r="X112"/>
      <c r="Y112"/>
      <c r="Z112"/>
    </row>
    <row r="113" spans="24:26" ht="15.75">
      <c r="X113"/>
      <c r="Y113"/>
      <c r="Z113"/>
    </row>
    <row r="114" spans="24:26" ht="15.75">
      <c r="X114"/>
      <c r="Y114"/>
      <c r="Z114"/>
    </row>
    <row r="115" spans="24:26" ht="15.75">
      <c r="X115"/>
      <c r="Y115"/>
      <c r="Z115"/>
    </row>
    <row r="116" spans="24:26" ht="15.75">
      <c r="X116"/>
      <c r="Y116"/>
      <c r="Z116"/>
    </row>
    <row r="117" spans="24:26" ht="15.75">
      <c r="X117"/>
      <c r="Y117"/>
      <c r="Z117"/>
    </row>
    <row r="118" spans="24:26" ht="15.75">
      <c r="X118"/>
      <c r="Y118"/>
      <c r="Z118"/>
    </row>
    <row r="119" spans="24:26" ht="15.75">
      <c r="X119"/>
      <c r="Y119"/>
      <c r="Z119"/>
    </row>
    <row r="120" spans="24:26" ht="15.75">
      <c r="X120"/>
      <c r="Y120"/>
      <c r="Z120"/>
    </row>
    <row r="121" spans="24:26" ht="15.75">
      <c r="X121"/>
      <c r="Y121"/>
      <c r="Z121"/>
    </row>
    <row r="122" spans="24:26" ht="15.75">
      <c r="X122"/>
      <c r="Y122"/>
      <c r="Z122"/>
    </row>
    <row r="123" spans="24:26" ht="15.75">
      <c r="X123"/>
      <c r="Y123"/>
      <c r="Z123"/>
    </row>
    <row r="124" spans="24:26" ht="15.75">
      <c r="X124"/>
      <c r="Y124"/>
      <c r="Z124"/>
    </row>
    <row r="125" spans="24:26" ht="15.75">
      <c r="X125"/>
      <c r="Y125"/>
      <c r="Z125"/>
    </row>
    <row r="126" spans="24:26" ht="15.75">
      <c r="X126"/>
      <c r="Y126"/>
      <c r="Z126"/>
    </row>
    <row r="127" spans="24:26" ht="15.75">
      <c r="X127"/>
      <c r="Y127"/>
      <c r="Z127"/>
    </row>
    <row r="128" spans="24:26" ht="15.75">
      <c r="X128"/>
      <c r="Y128"/>
      <c r="Z128"/>
    </row>
    <row r="129" spans="24:26" ht="15.75">
      <c r="X129"/>
      <c r="Y129"/>
      <c r="Z129"/>
    </row>
    <row r="130" spans="24:26" ht="15.75">
      <c r="X130"/>
      <c r="Y130"/>
      <c r="Z130"/>
    </row>
    <row r="131" spans="24:26" ht="15.75">
      <c r="X131"/>
      <c r="Y131"/>
      <c r="Z131"/>
    </row>
    <row r="132" spans="24:26" ht="15.75">
      <c r="X132"/>
      <c r="Y132"/>
      <c r="Z132"/>
    </row>
    <row r="133" spans="24:26" ht="15.75">
      <c r="X133"/>
      <c r="Y133"/>
      <c r="Z133"/>
    </row>
    <row r="134" spans="24:26" ht="15.75">
      <c r="X134"/>
      <c r="Y134"/>
      <c r="Z134"/>
    </row>
    <row r="135" spans="24:26" ht="15.75">
      <c r="X135"/>
      <c r="Y135"/>
    </row>
    <row r="136" spans="24:26" ht="15.75">
      <c r="X136"/>
      <c r="Y136"/>
    </row>
    <row r="137" spans="24:26" ht="15.75">
      <c r="X137"/>
      <c r="Y137"/>
    </row>
    <row r="138" spans="24:26" ht="15.75">
      <c r="X138"/>
      <c r="Y138"/>
    </row>
    <row r="139" spans="24:26" ht="15.75">
      <c r="X139"/>
      <c r="Y139"/>
    </row>
    <row r="140" spans="24:26" ht="15.75">
      <c r="X140"/>
      <c r="Y140"/>
    </row>
    <row r="141" spans="24:26" ht="15.75">
      <c r="X141"/>
      <c r="Y141"/>
    </row>
    <row r="142" spans="24:26" ht="15.75">
      <c r="X142"/>
      <c r="Y142"/>
    </row>
    <row r="143" spans="24:26" ht="15.75">
      <c r="X143"/>
      <c r="Y143"/>
    </row>
    <row r="144" spans="24:26" ht="15.75">
      <c r="X144"/>
      <c r="Y144"/>
    </row>
    <row r="145" spans="24:25" ht="15.75">
      <c r="X145"/>
      <c r="Y145"/>
    </row>
    <row r="146" spans="24:25" ht="15.75">
      <c r="X146"/>
      <c r="Y146"/>
    </row>
    <row r="147" spans="24:25" ht="15.75">
      <c r="X147"/>
      <c r="Y147"/>
    </row>
    <row r="148" spans="24:25" ht="15.75">
      <c r="X148"/>
      <c r="Y148"/>
    </row>
    <row r="149" spans="24:25" ht="15.75">
      <c r="X149"/>
      <c r="Y149"/>
    </row>
    <row r="150" spans="24:25" ht="15.75">
      <c r="X150"/>
      <c r="Y150"/>
    </row>
    <row r="151" spans="24:25" ht="15.75">
      <c r="X151"/>
      <c r="Y151"/>
    </row>
    <row r="152" spans="24:25" ht="15.75">
      <c r="X152"/>
      <c r="Y152"/>
    </row>
    <row r="153" spans="24:25" ht="15.75">
      <c r="X153"/>
      <c r="Y153"/>
    </row>
    <row r="154" spans="24:25" ht="15.75">
      <c r="X154"/>
      <c r="Y154"/>
    </row>
    <row r="155" spans="24:25" ht="15.75">
      <c r="X155"/>
      <c r="Y155"/>
    </row>
    <row r="156" spans="24:25" ht="15.75">
      <c r="X156"/>
      <c r="Y156"/>
    </row>
    <row r="157" spans="24:25" ht="15.75">
      <c r="X157"/>
      <c r="Y157"/>
    </row>
    <row r="158" spans="24:25" ht="15.75">
      <c r="X158"/>
      <c r="Y158"/>
    </row>
    <row r="159" spans="24:25" ht="15.75">
      <c r="X159"/>
      <c r="Y159"/>
    </row>
    <row r="160" spans="24:25" ht="15.75">
      <c r="X160"/>
      <c r="Y160"/>
    </row>
    <row r="161" spans="24:25" ht="15.75">
      <c r="X161"/>
      <c r="Y161"/>
    </row>
    <row r="162" spans="24:25" ht="15.75">
      <c r="X162"/>
      <c r="Y162"/>
    </row>
    <row r="163" spans="24:25" ht="15.75">
      <c r="X163"/>
      <c r="Y163"/>
    </row>
    <row r="164" spans="24:25" ht="15.75">
      <c r="X164"/>
      <c r="Y164"/>
    </row>
    <row r="165" spans="24:25" ht="15.75">
      <c r="X165"/>
      <c r="Y165"/>
    </row>
    <row r="166" spans="24:25" ht="15.75">
      <c r="X166"/>
      <c r="Y166"/>
    </row>
    <row r="167" spans="24:25" ht="15.75">
      <c r="X167"/>
      <c r="Y167"/>
    </row>
    <row r="168" spans="24:25" ht="15.75">
      <c r="X168"/>
      <c r="Y168"/>
    </row>
    <row r="169" spans="24:25" ht="15.75">
      <c r="X169"/>
      <c r="Y169"/>
    </row>
  </sheetData>
  <mergeCells count="1">
    <mergeCell ref="B1:S1"/>
  </mergeCells>
  <printOptions horizontalCentered="1" verticalCentered="1"/>
  <pageMargins left="0.25" right="0.25" top="0.25" bottom="0.25" header="0.3" footer="0.3"/>
  <pageSetup paperSize="9" scale="45" fitToHeight="0"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11938" id="{1298082F-3ACC-473C-BD90-67E4A5022813}">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E49:G61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154"/>
  <sheetViews>
    <sheetView showGridLines="0" view="pageBreakPreview" topLeftCell="A77" zoomScale="90" zoomScaleNormal="60" zoomScaleSheetLayoutView="90" zoomScalePageLayoutView="80" workbookViewId="0">
      <selection activeCell="U19" sqref="U19"/>
    </sheetView>
  </sheetViews>
  <sheetFormatPr defaultColWidth="9" defaultRowHeight="12.75"/>
  <cols>
    <col min="1" max="1" width="1.375" style="17" customWidth="1"/>
    <col min="2" max="2" width="13.25" style="17" customWidth="1"/>
    <col min="3" max="3" width="28.25" style="17" customWidth="1"/>
    <col min="4" max="4" width="11.25" style="17" customWidth="1"/>
    <col min="5" max="5" width="13" style="17" customWidth="1"/>
    <col min="6" max="6" width="11.5" style="17" customWidth="1"/>
    <col min="7" max="7" width="12" style="17" customWidth="1"/>
    <col min="8" max="8" width="3.5" style="17" customWidth="1"/>
    <col min="9" max="10" width="9" style="17"/>
    <col min="11" max="11" width="8" style="17" customWidth="1"/>
    <col min="12" max="12" width="18" style="17" customWidth="1"/>
    <col min="13" max="13" width="8" style="17" customWidth="1"/>
    <col min="14" max="14" width="14.875" style="17" customWidth="1"/>
    <col min="15" max="15" width="10.75" style="17" customWidth="1"/>
    <col min="16" max="16" width="8" style="17" customWidth="1"/>
    <col min="17" max="18" width="9" style="17"/>
    <col min="19" max="19" width="12" style="17" customWidth="1"/>
    <col min="20" max="20" width="4.625" style="17" customWidth="1"/>
    <col min="21" max="21" width="4.375" style="17" customWidth="1"/>
    <col min="22" max="22" width="8.125" style="17" customWidth="1"/>
    <col min="23" max="23" width="30.875" style="17" customWidth="1"/>
    <col min="24" max="24" width="8.125" style="17" customWidth="1"/>
    <col min="25" max="25" width="3.875" style="17" customWidth="1"/>
    <col min="26" max="26" width="16.125" style="17" bestFit="1" customWidth="1"/>
    <col min="27" max="27" width="9" style="17"/>
    <col min="28" max="28" width="21.75" style="17" bestFit="1" customWidth="1"/>
    <col min="29" max="29" width="13.25" style="17" customWidth="1"/>
    <col min="30" max="16384" width="9" style="17"/>
  </cols>
  <sheetData>
    <row r="1" spans="1:30" ht="32.25" customHeight="1">
      <c r="A1" s="846"/>
      <c r="B1" s="1118" t="s">
        <v>3288</v>
      </c>
      <c r="C1" s="1118"/>
      <c r="D1" s="1118"/>
      <c r="E1" s="1118"/>
      <c r="F1" s="1118"/>
      <c r="G1" s="1118"/>
      <c r="H1" s="1118"/>
      <c r="I1" s="1118"/>
      <c r="J1" s="1118"/>
      <c r="K1" s="1118"/>
      <c r="L1" s="1118"/>
      <c r="M1" s="1118"/>
      <c r="N1" s="1118"/>
      <c r="O1" s="1118"/>
      <c r="P1" s="1118"/>
      <c r="Q1" s="1118"/>
      <c r="R1" s="1118"/>
      <c r="S1" s="1118"/>
      <c r="T1" s="1118"/>
      <c r="U1" s="1118"/>
      <c r="V1" s="238"/>
      <c r="W1" s="238"/>
      <c r="X1" s="238"/>
      <c r="Y1" s="238"/>
      <c r="Z1" s="238"/>
      <c r="AA1" s="238"/>
      <c r="AB1" s="238"/>
      <c r="AC1" s="238"/>
    </row>
    <row r="8" spans="1:30">
      <c r="AD8" s="17" t="s">
        <v>1996</v>
      </c>
    </row>
    <row r="41" ht="15" customHeight="1"/>
    <row r="43" ht="18" customHeight="1"/>
    <row r="44" ht="24.75" customHeight="1"/>
    <row r="50" spans="2:26" ht="15.75">
      <c r="V50"/>
    </row>
    <row r="51" spans="2:26" ht="15.75">
      <c r="V51" s="909"/>
      <c r="W51" s="909"/>
    </row>
    <row r="52" spans="2:26" ht="15.75">
      <c r="V52" s="909"/>
      <c r="W52" s="909"/>
    </row>
    <row r="53" spans="2:26" ht="15.75">
      <c r="V53" s="909"/>
      <c r="W53" s="909"/>
    </row>
    <row r="54" spans="2:26" ht="15.75">
      <c r="V54" s="909"/>
      <c r="W54" s="909"/>
    </row>
    <row r="56" spans="2:26" ht="38.25">
      <c r="B56" s="250" t="s">
        <v>2188</v>
      </c>
      <c r="C56" s="285" t="s">
        <v>1961</v>
      </c>
      <c r="D56" s="286" t="s">
        <v>1937</v>
      </c>
      <c r="E56" s="286" t="s">
        <v>1962</v>
      </c>
      <c r="F56" s="286" t="s">
        <v>1963</v>
      </c>
      <c r="G56" s="287" t="s">
        <v>1964</v>
      </c>
    </row>
    <row r="57" spans="2:26" ht="15.75">
      <c r="B57" s="311" t="s">
        <v>375</v>
      </c>
      <c r="C57" s="312" t="s">
        <v>2361</v>
      </c>
      <c r="D57" s="313">
        <v>989</v>
      </c>
      <c r="E57" s="314">
        <v>0</v>
      </c>
      <c r="F57" s="314">
        <v>0</v>
      </c>
      <c r="G57" s="314">
        <v>0</v>
      </c>
      <c r="X57"/>
      <c r="Y57"/>
    </row>
    <row r="58" spans="2:26" ht="15.75">
      <c r="B58" s="311" t="s">
        <v>320</v>
      </c>
      <c r="C58" s="312" t="s">
        <v>311</v>
      </c>
      <c r="D58" s="313">
        <v>581</v>
      </c>
      <c r="E58" s="314">
        <v>0</v>
      </c>
      <c r="F58" s="314">
        <v>0.55249569707401025</v>
      </c>
      <c r="G58" s="315">
        <v>1</v>
      </c>
      <c r="V58" s="249"/>
      <c r="W58"/>
      <c r="X58"/>
      <c r="Y58"/>
      <c r="Z58"/>
    </row>
    <row r="59" spans="2:26" ht="17.25" customHeight="1">
      <c r="B59" s="311" t="s">
        <v>417</v>
      </c>
      <c r="C59" s="312" t="s">
        <v>416</v>
      </c>
      <c r="D59" s="313">
        <v>2920</v>
      </c>
      <c r="E59" s="314">
        <v>0</v>
      </c>
      <c r="F59" s="314">
        <v>0</v>
      </c>
      <c r="G59" s="315">
        <v>0</v>
      </c>
      <c r="V59" s="249"/>
      <c r="W59" s="661"/>
      <c r="X59" s="661"/>
      <c r="Y59" s="661"/>
      <c r="Z59"/>
    </row>
    <row r="60" spans="2:26" ht="17.25" customHeight="1">
      <c r="B60" s="311" t="s">
        <v>420</v>
      </c>
      <c r="C60" s="824" t="s">
        <v>3110</v>
      </c>
      <c r="D60" s="313">
        <v>22318</v>
      </c>
      <c r="E60" s="314">
        <v>0.19692624787167312</v>
      </c>
      <c r="F60" s="314">
        <v>0.40810108432655257</v>
      </c>
      <c r="G60" s="314">
        <v>0</v>
      </c>
      <c r="V60" s="249"/>
      <c r="W60" s="661"/>
      <c r="X60" s="661"/>
      <c r="Y60" s="661"/>
      <c r="Z60"/>
    </row>
    <row r="61" spans="2:26" ht="30.75" thickBot="1">
      <c r="B61" s="316" t="s">
        <v>313</v>
      </c>
      <c r="C61" s="317" t="s">
        <v>2378</v>
      </c>
      <c r="D61" s="318">
        <v>92194</v>
      </c>
      <c r="E61" s="319">
        <v>7.6241403995921608E-2</v>
      </c>
      <c r="F61" s="319">
        <v>0.33452285398182091</v>
      </c>
      <c r="G61" s="320">
        <v>2.0489402781092014E-2</v>
      </c>
      <c r="V61" s="249"/>
      <c r="W61" s="661"/>
      <c r="X61" s="661"/>
      <c r="Y61" s="661"/>
      <c r="Z61"/>
    </row>
    <row r="62" spans="2:26" ht="16.5" thickTop="1">
      <c r="B62" s="294" t="s">
        <v>1938</v>
      </c>
      <c r="C62" s="298" t="s">
        <v>1970</v>
      </c>
      <c r="D62" s="321">
        <f>SUBTOTAL(109,D57:D61)</f>
        <v>119002</v>
      </c>
      <c r="E62" s="322">
        <v>9.5998386581738093E-2</v>
      </c>
      <c r="F62" s="322">
        <v>0.33839767398867249</v>
      </c>
      <c r="G62" s="322">
        <v>2.0755953681450778E-2</v>
      </c>
      <c r="N62" s="128"/>
      <c r="O62" s="128"/>
      <c r="P62" s="128"/>
      <c r="Q62" s="128"/>
      <c r="R62" s="128"/>
      <c r="S62" s="128"/>
      <c r="T62" s="128"/>
      <c r="U62" s="128"/>
      <c r="V62" s="249"/>
      <c r="W62" s="661"/>
      <c r="X62" s="661"/>
      <c r="Y62" s="661"/>
      <c r="Z62"/>
    </row>
    <row r="63" spans="2:26" ht="9.75" customHeight="1">
      <c r="N63" s="128"/>
      <c r="O63" s="128"/>
      <c r="P63" s="128"/>
      <c r="Q63" s="128"/>
      <c r="R63" s="128"/>
      <c r="S63" s="128"/>
      <c r="T63" s="128"/>
      <c r="U63" s="128"/>
      <c r="V63" s="249"/>
      <c r="W63" s="661"/>
      <c r="X63" s="661"/>
      <c r="Y63" s="661"/>
      <c r="Z63"/>
    </row>
    <row r="64" spans="2:26" ht="23.25" customHeight="1">
      <c r="B64" s="251" t="s">
        <v>2189</v>
      </c>
      <c r="C64" s="288" t="s">
        <v>1961</v>
      </c>
      <c r="D64" s="289" t="s">
        <v>1937</v>
      </c>
      <c r="E64" s="289" t="s">
        <v>1962</v>
      </c>
      <c r="F64" s="289" t="s">
        <v>1963</v>
      </c>
      <c r="G64" s="290" t="s">
        <v>1964</v>
      </c>
      <c r="N64" s="128"/>
      <c r="O64" s="128"/>
      <c r="P64" s="128"/>
      <c r="Q64" s="128"/>
      <c r="R64" s="128"/>
      <c r="S64" s="128"/>
      <c r="T64" s="128"/>
      <c r="U64" s="128"/>
      <c r="V64" s="249"/>
      <c r="W64" s="661"/>
      <c r="X64" s="661"/>
      <c r="Y64" s="661"/>
      <c r="Z64"/>
    </row>
    <row r="65" spans="2:26" ht="15.75">
      <c r="B65" s="299" t="s">
        <v>337</v>
      </c>
      <c r="C65" s="856" t="s">
        <v>3147</v>
      </c>
      <c r="D65" s="301">
        <v>56373</v>
      </c>
      <c r="E65" s="302">
        <v>0.85361786670924023</v>
      </c>
      <c r="F65" s="302">
        <v>0.95577670161247408</v>
      </c>
      <c r="G65" s="303">
        <v>3.5832756816206457E-3</v>
      </c>
      <c r="N65" s="128"/>
      <c r="O65" s="128"/>
      <c r="P65" s="128"/>
      <c r="Q65" s="128"/>
      <c r="R65" s="128"/>
      <c r="S65" s="128"/>
      <c r="T65" s="128"/>
      <c r="U65" s="128"/>
      <c r="V65" s="249"/>
      <c r="W65" s="661"/>
      <c r="X65" s="661"/>
      <c r="Y65" s="661"/>
      <c r="Z65"/>
    </row>
    <row r="66" spans="2:26" ht="15.75">
      <c r="B66" s="304" t="s">
        <v>375</v>
      </c>
      <c r="C66" s="991" t="s">
        <v>2361</v>
      </c>
      <c r="D66" s="305">
        <v>3451</v>
      </c>
      <c r="E66" s="302">
        <v>0.92755722978846711</v>
      </c>
      <c r="F66" s="302">
        <v>0.90640394088669951</v>
      </c>
      <c r="G66" s="303">
        <v>0.90640394088669951</v>
      </c>
      <c r="N66" s="128"/>
      <c r="O66" s="128"/>
      <c r="P66" s="128"/>
      <c r="Q66" s="128"/>
      <c r="R66" s="128"/>
      <c r="S66" s="128"/>
      <c r="T66" s="128"/>
      <c r="U66" s="128"/>
      <c r="V66" s="128"/>
      <c r="W66" s="661"/>
      <c r="X66" s="661"/>
      <c r="Y66" s="661"/>
      <c r="Z66"/>
    </row>
    <row r="67" spans="2:26" ht="15.75">
      <c r="B67" s="299" t="s">
        <v>320</v>
      </c>
      <c r="C67" s="300" t="s">
        <v>336</v>
      </c>
      <c r="D67" s="301">
        <v>8569</v>
      </c>
      <c r="E67" s="302">
        <v>0.89321974559458517</v>
      </c>
      <c r="F67" s="302">
        <v>1</v>
      </c>
      <c r="G67" s="303">
        <v>1</v>
      </c>
      <c r="W67" s="661"/>
      <c r="X67" s="661"/>
      <c r="Y67" s="661"/>
      <c r="Z67"/>
    </row>
    <row r="68" spans="2:26" ht="15.75">
      <c r="B68" s="299" t="s">
        <v>323</v>
      </c>
      <c r="C68" s="856" t="s">
        <v>3148</v>
      </c>
      <c r="D68" s="301">
        <v>18755</v>
      </c>
      <c r="E68" s="302">
        <v>0.83167155425219941</v>
      </c>
      <c r="F68" s="302">
        <v>0.89410823780325244</v>
      </c>
      <c r="G68" s="303">
        <v>0.10722474006931482</v>
      </c>
      <c r="W68" s="661"/>
      <c r="X68" s="661"/>
      <c r="Y68" s="661"/>
      <c r="Z68"/>
    </row>
    <row r="69" spans="2:26" ht="15.75">
      <c r="B69" s="299" t="s">
        <v>330</v>
      </c>
      <c r="C69" s="300" t="s">
        <v>332</v>
      </c>
      <c r="D69" s="301">
        <v>24963</v>
      </c>
      <c r="E69" s="302">
        <v>1</v>
      </c>
      <c r="F69" s="302">
        <v>1</v>
      </c>
      <c r="G69" s="303">
        <v>1</v>
      </c>
      <c r="W69" s="661"/>
      <c r="X69" s="661"/>
      <c r="Y69" s="661"/>
      <c r="Z69"/>
    </row>
    <row r="70" spans="2:26" ht="15.75">
      <c r="B70" s="299" t="s">
        <v>417</v>
      </c>
      <c r="C70" s="300" t="s">
        <v>416</v>
      </c>
      <c r="D70" s="301">
        <v>217</v>
      </c>
      <c r="E70" s="302">
        <v>1</v>
      </c>
      <c r="F70" s="302">
        <v>1</v>
      </c>
      <c r="G70" s="303">
        <v>0</v>
      </c>
      <c r="W70" s="661"/>
      <c r="X70" s="661"/>
      <c r="Y70" s="661"/>
      <c r="Z70"/>
    </row>
    <row r="71" spans="2:26" ht="15.75">
      <c r="B71" s="304" t="s">
        <v>420</v>
      </c>
      <c r="C71" s="300" t="s">
        <v>3115</v>
      </c>
      <c r="D71" s="301">
        <v>27007</v>
      </c>
      <c r="E71" s="302">
        <v>0.71377790943088826</v>
      </c>
      <c r="F71" s="302">
        <v>0.78590735735179762</v>
      </c>
      <c r="G71" s="303">
        <v>0.66486466471655503</v>
      </c>
      <c r="W71" s="661"/>
      <c r="X71" s="661"/>
      <c r="Y71" s="661"/>
      <c r="Z71"/>
    </row>
    <row r="72" spans="2:26" ht="16.5" thickBot="1">
      <c r="B72" s="826" t="s">
        <v>313</v>
      </c>
      <c r="C72" s="827" t="s">
        <v>3116</v>
      </c>
      <c r="D72" s="825">
        <v>72274</v>
      </c>
      <c r="E72" s="828">
        <v>0.83660790879154323</v>
      </c>
      <c r="F72" s="828">
        <v>1</v>
      </c>
      <c r="G72" s="829">
        <v>0.88038575421313336</v>
      </c>
      <c r="W72" s="661"/>
      <c r="X72" s="661"/>
      <c r="Y72" s="661"/>
      <c r="Z72"/>
    </row>
    <row r="73" spans="2:26" ht="16.5" thickTop="1">
      <c r="B73" s="306" t="s">
        <v>1938</v>
      </c>
      <c r="C73" s="307" t="s">
        <v>2187</v>
      </c>
      <c r="D73" s="308">
        <f>SUBTOTAL(109,D65:D72)</f>
        <v>211609</v>
      </c>
      <c r="E73" s="309">
        <v>0.84824369473888162</v>
      </c>
      <c r="F73" s="309">
        <v>0.94998322377592637</v>
      </c>
      <c r="G73" s="310">
        <v>0.56924799984877772</v>
      </c>
      <c r="W73" s="661"/>
      <c r="X73" s="661"/>
      <c r="Y73" s="661"/>
      <c r="Z73"/>
    </row>
    <row r="74" spans="2:26" ht="5.25" customHeight="1">
      <c r="W74" s="661"/>
      <c r="X74" s="661"/>
      <c r="Y74" s="661"/>
      <c r="Z74"/>
    </row>
    <row r="75" spans="2:26" ht="38.25">
      <c r="B75" s="250" t="s">
        <v>3117</v>
      </c>
      <c r="C75" s="285" t="s">
        <v>1961</v>
      </c>
      <c r="D75" s="286" t="s">
        <v>1937</v>
      </c>
      <c r="E75" s="286" t="s">
        <v>1962</v>
      </c>
      <c r="F75" s="286" t="s">
        <v>1963</v>
      </c>
      <c r="G75" s="287" t="s">
        <v>1964</v>
      </c>
      <c r="V75" s="661"/>
      <c r="W75" s="661"/>
      <c r="X75" s="661"/>
      <c r="Y75" s="661"/>
      <c r="Z75" s="661"/>
    </row>
    <row r="76" spans="2:26" ht="15.75">
      <c r="B76" s="311" t="s">
        <v>337</v>
      </c>
      <c r="C76" s="858" t="s">
        <v>3161</v>
      </c>
      <c r="D76" s="313">
        <v>5649</v>
      </c>
      <c r="E76" s="314">
        <v>0.96955213312090638</v>
      </c>
      <c r="F76" s="314">
        <v>1</v>
      </c>
      <c r="G76" s="315">
        <v>0.64949548592671269</v>
      </c>
      <c r="V76" s="661"/>
      <c r="W76" s="661"/>
      <c r="X76" s="661"/>
      <c r="Y76" s="661"/>
      <c r="Z76" s="661"/>
    </row>
    <row r="77" spans="2:26" ht="15.75">
      <c r="B77" s="311" t="s">
        <v>320</v>
      </c>
      <c r="C77" s="858" t="s">
        <v>3217</v>
      </c>
      <c r="D77" s="313">
        <v>3966</v>
      </c>
      <c r="E77" s="314">
        <v>1</v>
      </c>
      <c r="F77" s="314">
        <v>0.69162884518406453</v>
      </c>
      <c r="G77" s="315">
        <v>0.6696923852748361</v>
      </c>
      <c r="V77" s="661"/>
      <c r="W77" s="661"/>
      <c r="X77" s="661"/>
      <c r="Y77" s="661"/>
      <c r="Z77" s="661"/>
    </row>
    <row r="78" spans="2:26" ht="15.75">
      <c r="B78" s="311" t="s">
        <v>330</v>
      </c>
      <c r="C78" s="858" t="s">
        <v>3218</v>
      </c>
      <c r="D78" s="313">
        <v>5086</v>
      </c>
      <c r="E78" s="314">
        <v>1</v>
      </c>
      <c r="F78" s="314">
        <v>1</v>
      </c>
      <c r="G78" s="315">
        <v>0.22198191112858823</v>
      </c>
      <c r="V78" s="661"/>
      <c r="W78" s="661"/>
      <c r="X78" s="661"/>
      <c r="Y78" s="661"/>
      <c r="Z78" s="661"/>
    </row>
    <row r="79" spans="2:26" ht="15.75">
      <c r="B79" s="311" t="s">
        <v>489</v>
      </c>
      <c r="C79" s="858" t="s">
        <v>3219</v>
      </c>
      <c r="D79" s="313">
        <v>14000</v>
      </c>
      <c r="E79" s="314">
        <v>1</v>
      </c>
      <c r="F79" s="314">
        <v>0.77149999999999996</v>
      </c>
      <c r="G79" s="315">
        <v>0.63542857142857145</v>
      </c>
      <c r="V79" s="661"/>
      <c r="W79" s="661"/>
      <c r="X79" s="661"/>
      <c r="Y79" s="661"/>
      <c r="Z79" s="661"/>
    </row>
    <row r="80" spans="2:26" ht="15.75">
      <c r="B80" s="857" t="s">
        <v>420</v>
      </c>
      <c r="C80" s="858" t="s">
        <v>317</v>
      </c>
      <c r="D80" s="859">
        <v>70</v>
      </c>
      <c r="E80" s="860">
        <v>1</v>
      </c>
      <c r="F80" s="860">
        <v>1</v>
      </c>
      <c r="G80" s="861">
        <v>1</v>
      </c>
      <c r="V80" s="661"/>
      <c r="W80" s="661"/>
      <c r="X80" s="661"/>
      <c r="Y80" s="661"/>
      <c r="Z80" s="661"/>
    </row>
    <row r="81" spans="2:26" ht="15.75">
      <c r="B81" s="857" t="s">
        <v>470</v>
      </c>
      <c r="C81" s="858" t="s">
        <v>3217</v>
      </c>
      <c r="D81" s="859">
        <v>2926</v>
      </c>
      <c r="E81" s="860">
        <v>1</v>
      </c>
      <c r="F81" s="860">
        <v>0.54716336295283663</v>
      </c>
      <c r="G81" s="861">
        <v>0.38106630211893366</v>
      </c>
      <c r="V81" s="661"/>
      <c r="W81" s="661"/>
      <c r="X81" s="661"/>
      <c r="Y81" s="661"/>
      <c r="Z81" s="661"/>
    </row>
    <row r="82" spans="2:26" ht="16.5" thickBot="1">
      <c r="B82" s="316" t="s">
        <v>355</v>
      </c>
      <c r="C82" s="862" t="s">
        <v>3220</v>
      </c>
      <c r="D82" s="318">
        <v>4063</v>
      </c>
      <c r="E82" s="319">
        <v>1</v>
      </c>
      <c r="F82" s="319">
        <v>0.42259414225941427</v>
      </c>
      <c r="G82" s="320">
        <v>1</v>
      </c>
      <c r="V82" s="661"/>
      <c r="W82" s="661"/>
      <c r="X82" s="661"/>
      <c r="Y82" s="661"/>
      <c r="Z82" s="661"/>
    </row>
    <row r="83" spans="2:26" ht="16.5" thickTop="1">
      <c r="B83" s="294" t="s">
        <v>1938</v>
      </c>
      <c r="C83" s="298" t="s">
        <v>3113</v>
      </c>
      <c r="D83" s="321">
        <f>SUBTOTAL(109,D76:D82)</f>
        <v>35760</v>
      </c>
      <c r="E83" s="322">
        <v>0.99519015659955257</v>
      </c>
      <c r="F83" s="322">
        <v>0.77368568232662194</v>
      </c>
      <c r="G83" s="322">
        <v>0.60397091722595087</v>
      </c>
      <c r="V83" s="661"/>
      <c r="W83" s="661"/>
      <c r="X83" s="661"/>
      <c r="Y83" s="661"/>
      <c r="Z83" s="661"/>
    </row>
    <row r="84" spans="2:26" ht="15.75">
      <c r="V84" s="661"/>
      <c r="W84" s="661"/>
      <c r="X84" s="661"/>
      <c r="Y84" s="661"/>
      <c r="Z84" s="661"/>
    </row>
    <row r="85" spans="2:26" ht="15.75">
      <c r="V85" s="661"/>
      <c r="W85" s="661"/>
      <c r="X85" s="661"/>
      <c r="Y85" s="661"/>
      <c r="Z85" s="661"/>
    </row>
    <row r="86" spans="2:26" ht="15.75">
      <c r="V86" s="661"/>
      <c r="W86" s="661"/>
      <c r="X86" s="661"/>
      <c r="Y86" s="661"/>
      <c r="Z86" s="661"/>
    </row>
    <row r="87" spans="2:26" ht="15.75">
      <c r="V87" s="661"/>
      <c r="W87" s="661"/>
      <c r="X87" s="661"/>
      <c r="Y87" s="661"/>
      <c r="Z87" s="661"/>
    </row>
    <row r="88" spans="2:26" ht="15.75">
      <c r="V88" s="661"/>
      <c r="W88" s="661"/>
      <c r="X88" s="661"/>
      <c r="Y88" s="661"/>
      <c r="Z88" s="661"/>
    </row>
    <row r="89" spans="2:26" ht="15.75">
      <c r="V89" s="661"/>
      <c r="W89" s="661"/>
      <c r="X89" s="661"/>
      <c r="Y89" s="661"/>
      <c r="Z89" s="661"/>
    </row>
    <row r="90" spans="2:26" ht="15.75">
      <c r="V90" s="661"/>
      <c r="W90" s="661"/>
      <c r="X90" s="661"/>
      <c r="Y90" s="661"/>
      <c r="Z90" s="661"/>
    </row>
    <row r="91" spans="2:26" ht="15.75">
      <c r="V91" s="661"/>
      <c r="W91" s="661"/>
      <c r="X91" s="661"/>
      <c r="Y91" s="661"/>
      <c r="Z91" s="661"/>
    </row>
    <row r="92" spans="2:26" ht="15.75">
      <c r="V92" s="661"/>
      <c r="W92" s="661"/>
      <c r="X92" s="661"/>
      <c r="Y92" s="661"/>
      <c r="Z92" s="661"/>
    </row>
    <row r="93" spans="2:26" ht="15.75">
      <c r="V93" s="661"/>
      <c r="W93" s="661"/>
      <c r="X93" s="661"/>
      <c r="Y93" s="661"/>
      <c r="Z93" s="661"/>
    </row>
    <row r="94" spans="2:26" ht="15.75">
      <c r="V94" s="661"/>
      <c r="W94" s="661"/>
      <c r="X94" s="661"/>
      <c r="Y94" s="661"/>
      <c r="Z94" s="661"/>
    </row>
    <row r="95" spans="2:26" ht="15.75">
      <c r="V95" s="661"/>
      <c r="W95" s="661"/>
      <c r="X95" s="661"/>
      <c r="Y95" s="661"/>
      <c r="Z95" s="661"/>
    </row>
    <row r="96" spans="2:26" ht="15.75">
      <c r="V96" s="661"/>
      <c r="W96" s="661"/>
      <c r="X96" s="661"/>
      <c r="Y96" s="661"/>
      <c r="Z96" s="661"/>
    </row>
    <row r="97" spans="22:26" ht="15.75">
      <c r="V97" s="661"/>
      <c r="W97" s="661"/>
      <c r="X97" s="661"/>
      <c r="Y97" s="661"/>
      <c r="Z97" s="661"/>
    </row>
    <row r="98" spans="22:26" ht="15.75">
      <c r="V98" s="661"/>
      <c r="W98" s="661"/>
      <c r="X98" s="661"/>
      <c r="Y98" s="661"/>
      <c r="Z98" s="661"/>
    </row>
    <row r="99" spans="22:26" ht="15.75">
      <c r="V99" s="661"/>
      <c r="W99" s="661"/>
      <c r="X99" s="661"/>
      <c r="Y99" s="661"/>
      <c r="Z99" s="661"/>
    </row>
    <row r="100" spans="22:26" ht="15.75">
      <c r="V100" s="661"/>
      <c r="W100" s="661"/>
      <c r="X100" s="661"/>
      <c r="Y100" s="661"/>
      <c r="Z100" s="661"/>
    </row>
    <row r="101" spans="22:26" ht="15.75">
      <c r="V101" s="661"/>
      <c r="W101" s="661"/>
      <c r="X101" s="661"/>
      <c r="Y101" s="661"/>
      <c r="Z101" s="661"/>
    </row>
    <row r="102" spans="22:26" ht="15.75">
      <c r="V102" s="661"/>
      <c r="W102" s="661"/>
      <c r="X102" s="661"/>
      <c r="Y102" s="661"/>
      <c r="Z102" s="661"/>
    </row>
    <row r="103" spans="22:26" ht="15.75">
      <c r="V103" s="661"/>
      <c r="W103" s="661"/>
      <c r="X103" s="661"/>
      <c r="Y103" s="661"/>
      <c r="Z103" s="661"/>
    </row>
    <row r="104" spans="22:26" ht="15.75">
      <c r="V104" s="661"/>
      <c r="W104" s="661"/>
      <c r="X104" s="661"/>
      <c r="Y104" s="661"/>
      <c r="Z104" s="661"/>
    </row>
    <row r="105" spans="22:26" ht="15.75">
      <c r="V105" s="661"/>
      <c r="W105" s="661"/>
      <c r="X105" s="661"/>
      <c r="Y105" s="661"/>
      <c r="Z105" s="661"/>
    </row>
    <row r="106" spans="22:26" ht="15.75">
      <c r="V106" s="661"/>
      <c r="W106" s="661"/>
      <c r="X106" s="661"/>
      <c r="Y106" s="661"/>
      <c r="Z106" s="661"/>
    </row>
    <row r="107" spans="22:26" ht="15.75">
      <c r="V107" s="661"/>
      <c r="W107" s="661"/>
      <c r="X107" s="661"/>
      <c r="Y107" s="661"/>
      <c r="Z107" s="661"/>
    </row>
    <row r="108" spans="22:26" ht="15.75">
      <c r="V108" s="661"/>
      <c r="W108" s="661"/>
      <c r="X108" s="661"/>
      <c r="Y108" s="661"/>
      <c r="Z108" s="661"/>
    </row>
    <row r="109" spans="22:26" ht="15.75">
      <c r="V109" s="661"/>
      <c r="W109" s="661"/>
      <c r="X109" s="661"/>
      <c r="Y109" s="661"/>
      <c r="Z109" s="661"/>
    </row>
    <row r="110" spans="22:26" ht="15.75">
      <c r="V110" s="661"/>
      <c r="W110" s="661"/>
      <c r="X110" s="661"/>
      <c r="Y110" s="661"/>
      <c r="Z110" s="661"/>
    </row>
    <row r="111" spans="22:26" ht="15.75">
      <c r="V111" s="661"/>
      <c r="W111" s="661"/>
      <c r="X111" s="661"/>
      <c r="Y111" s="661"/>
      <c r="Z111" s="661"/>
    </row>
    <row r="112" spans="22:26" ht="15.75">
      <c r="V112" s="661"/>
      <c r="W112" s="661"/>
      <c r="X112" s="661"/>
      <c r="Y112" s="661"/>
      <c r="Z112" s="661"/>
    </row>
    <row r="113" spans="22:26" ht="15.75">
      <c r="V113" s="661"/>
      <c r="W113" s="661"/>
      <c r="X113" s="661"/>
      <c r="Y113" s="661"/>
      <c r="Z113" s="661"/>
    </row>
    <row r="114" spans="22:26" ht="15.75">
      <c r="V114" s="661"/>
      <c r="W114" s="661"/>
      <c r="X114" s="661"/>
      <c r="Y114" s="661"/>
      <c r="Z114" s="661"/>
    </row>
    <row r="115" spans="22:26" ht="15.75">
      <c r="V115" s="661"/>
      <c r="W115" s="661"/>
      <c r="X115" s="661"/>
      <c r="Y115" s="661"/>
      <c r="Z115" s="661"/>
    </row>
    <row r="116" spans="22:26" ht="15.75">
      <c r="V116" s="661"/>
      <c r="W116" s="661"/>
      <c r="X116" s="661"/>
      <c r="Y116" s="661"/>
      <c r="Z116" s="661"/>
    </row>
    <row r="117" spans="22:26" ht="15.75">
      <c r="V117" s="661"/>
      <c r="W117" s="661"/>
      <c r="X117" s="661"/>
      <c r="Y117" s="661"/>
      <c r="Z117" s="661"/>
    </row>
    <row r="118" spans="22:26" ht="15.75">
      <c r="V118" s="661"/>
      <c r="W118" s="661"/>
      <c r="X118" s="661"/>
      <c r="Y118" s="661"/>
      <c r="Z118" s="661"/>
    </row>
    <row r="119" spans="22:26" ht="15.75">
      <c r="V119" s="661"/>
      <c r="W119" s="661"/>
      <c r="X119" s="661"/>
      <c r="Y119" s="661"/>
      <c r="Z119" s="661"/>
    </row>
    <row r="120" spans="22:26" ht="15.75">
      <c r="V120" s="661"/>
      <c r="W120" s="661"/>
      <c r="X120" s="661"/>
      <c r="Y120" s="661"/>
      <c r="Z120" s="661"/>
    </row>
    <row r="121" spans="22:26" ht="15.75">
      <c r="X121"/>
      <c r="Y121"/>
    </row>
    <row r="122" spans="22:26" ht="15.75">
      <c r="X122"/>
      <c r="Y122"/>
    </row>
    <row r="123" spans="22:26" ht="15.75">
      <c r="X123"/>
      <c r="Y123"/>
    </row>
    <row r="124" spans="22:26" ht="15.75">
      <c r="X124"/>
      <c r="Y124"/>
    </row>
    <row r="125" spans="22:26" ht="15.75">
      <c r="X125"/>
      <c r="Y125"/>
    </row>
    <row r="126" spans="22:26" ht="15.75">
      <c r="X126"/>
      <c r="Y126"/>
    </row>
    <row r="127" spans="22:26" ht="15.75">
      <c r="X127"/>
      <c r="Y127"/>
    </row>
    <row r="128" spans="22:26" ht="15.75">
      <c r="X128"/>
      <c r="Y128"/>
    </row>
    <row r="129" spans="24:25" ht="15.75">
      <c r="X129"/>
      <c r="Y129"/>
    </row>
    <row r="130" spans="24:25" ht="15.75">
      <c r="X130"/>
      <c r="Y130"/>
    </row>
    <row r="131" spans="24:25" ht="15.75">
      <c r="X131"/>
      <c r="Y131"/>
    </row>
    <row r="132" spans="24:25" ht="15.75">
      <c r="X132"/>
      <c r="Y132"/>
    </row>
    <row r="133" spans="24:25" ht="15.75">
      <c r="X133"/>
      <c r="Y133"/>
    </row>
    <row r="134" spans="24:25" ht="15.75">
      <c r="X134"/>
      <c r="Y134"/>
    </row>
    <row r="135" spans="24:25" ht="15.75">
      <c r="X135"/>
      <c r="Y135"/>
    </row>
    <row r="136" spans="24:25" ht="15.75">
      <c r="X136"/>
      <c r="Y136"/>
    </row>
    <row r="137" spans="24:25" ht="15.75">
      <c r="X137"/>
      <c r="Y137"/>
    </row>
    <row r="138" spans="24:25" ht="15.75">
      <c r="X138"/>
      <c r="Y138"/>
    </row>
    <row r="139" spans="24:25" ht="15.75">
      <c r="X139"/>
      <c r="Y139"/>
    </row>
    <row r="140" spans="24:25" ht="15.75">
      <c r="X140"/>
      <c r="Y140"/>
    </row>
    <row r="141" spans="24:25" ht="15.75">
      <c r="X141"/>
      <c r="Y141"/>
    </row>
    <row r="142" spans="24:25" ht="15.75">
      <c r="X142"/>
      <c r="Y142"/>
    </row>
    <row r="143" spans="24:25" ht="15.75">
      <c r="X143"/>
      <c r="Y143"/>
    </row>
    <row r="144" spans="24:25" ht="15.75">
      <c r="X144"/>
      <c r="Y144"/>
    </row>
    <row r="145" spans="24:25" ht="15.75">
      <c r="X145"/>
      <c r="Y145"/>
    </row>
    <row r="146" spans="24:25" ht="15.75">
      <c r="X146"/>
      <c r="Y146"/>
    </row>
    <row r="147" spans="24:25" ht="15.75">
      <c r="X147"/>
      <c r="Y147"/>
    </row>
    <row r="148" spans="24:25" ht="15.75">
      <c r="X148"/>
      <c r="Y148"/>
    </row>
    <row r="149" spans="24:25" ht="15.75">
      <c r="X149"/>
      <c r="Y149"/>
    </row>
    <row r="150" spans="24:25" ht="15.75">
      <c r="X150"/>
      <c r="Y150"/>
    </row>
    <row r="151" spans="24:25" ht="15.75">
      <c r="X151"/>
      <c r="Y151"/>
    </row>
    <row r="152" spans="24:25" ht="15.75">
      <c r="X152"/>
      <c r="Y152"/>
    </row>
    <row r="153" spans="24:25" ht="15.75">
      <c r="X153"/>
      <c r="Y153"/>
    </row>
    <row r="154" spans="24:25" ht="15.75">
      <c r="X154"/>
      <c r="Y154"/>
    </row>
  </sheetData>
  <mergeCells count="1">
    <mergeCell ref="B1:U1"/>
  </mergeCells>
  <conditionalFormatting sqref="E76:G83">
    <cfRule type="iconSet" priority="5">
      <iconSet reverse="1">
        <cfvo type="percent" val="0"/>
        <cfvo type="percent" val="0" gte="0"/>
        <cfvo type="percent" val="30"/>
      </iconSet>
    </cfRule>
  </conditionalFormatting>
  <conditionalFormatting sqref="E65:G73">
    <cfRule type="iconSet" priority="4">
      <iconSet reverse="1">
        <cfvo type="percent" val="0"/>
        <cfvo type="percent" val="0" gte="0"/>
        <cfvo type="percent" val="30"/>
      </iconSet>
    </cfRule>
  </conditionalFormatting>
  <conditionalFormatting sqref="E57:G62">
    <cfRule type="iconSet" priority="2">
      <iconSet reverse="1">
        <cfvo type="percent" val="0"/>
        <cfvo type="percent" val="0" gte="0"/>
        <cfvo type="percent" val="30"/>
      </iconSet>
    </cfRule>
  </conditionalFormatting>
  <conditionalFormatting sqref="G57">
    <cfRule type="iconSet" priority="1">
      <iconSet reverse="1">
        <cfvo type="percent" val="0"/>
        <cfvo type="percent" val="0" gte="0"/>
        <cfvo type="percent" val="30"/>
      </iconSet>
    </cfRule>
  </conditionalFormatting>
  <printOptions horizontalCentered="1" verticalCentered="1"/>
  <pageMargins left="0" right="0" top="0" bottom="0" header="0.3" footer="0.3"/>
  <pageSetup paperSize="9" scale="43" fitToHeight="0" orientation="portrait" r:id="rId1"/>
  <drawing r:id="rId2"/>
  <tableParts count="3">
    <tablePart r:id="rId3"/>
    <tablePart r:id="rId4"/>
    <tablePart r:id="rId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165"/>
  <sheetViews>
    <sheetView showGridLines="0" view="pageBreakPreview" zoomScale="90" zoomScaleNormal="87" zoomScaleSheetLayoutView="90" workbookViewId="0">
      <selection activeCell="W25" sqref="W25"/>
    </sheetView>
  </sheetViews>
  <sheetFormatPr defaultColWidth="9" defaultRowHeight="12.75"/>
  <cols>
    <col min="1" max="1" width="1.125" style="17" customWidth="1"/>
    <col min="2" max="2" width="17" style="17" customWidth="1"/>
    <col min="3" max="3" width="30.875" style="17" customWidth="1"/>
    <col min="4" max="4" width="14.25" style="17" customWidth="1"/>
    <col min="5" max="5" width="11.5" style="17" customWidth="1"/>
    <col min="6" max="6" width="12.375" style="17" customWidth="1"/>
    <col min="7" max="7" width="11" style="17" customWidth="1"/>
    <col min="8" max="8" width="2" style="17" customWidth="1"/>
    <col min="9" max="10" width="9" style="17"/>
    <col min="11" max="11" width="10.75" style="17" customWidth="1"/>
    <col min="12" max="12" width="11.875" style="17" customWidth="1"/>
    <col min="13" max="13" width="10.25" style="17" customWidth="1"/>
    <col min="14" max="14" width="25.375" style="17" customWidth="1"/>
    <col min="15" max="15" width="13" style="17" customWidth="1"/>
    <col min="16" max="16" width="10.375" style="17" customWidth="1"/>
    <col min="17" max="17" width="9.5" style="17" customWidth="1"/>
    <col min="18" max="18" width="8.125" style="17" customWidth="1"/>
    <col min="19" max="19" width="6.875" style="17" customWidth="1"/>
    <col min="20" max="22" width="8.125" style="17" customWidth="1"/>
    <col min="23" max="23" width="16.125" style="17" customWidth="1"/>
    <col min="24" max="24" width="9" style="17"/>
    <col min="25" max="25" width="21.75" style="17" customWidth="1"/>
    <col min="26" max="26" width="17.5" style="17" customWidth="1"/>
    <col min="27" max="27" width="9.625" style="17" customWidth="1"/>
    <col min="28" max="28" width="1.75" style="17" customWidth="1"/>
    <col min="29" max="16384" width="9" style="17"/>
  </cols>
  <sheetData>
    <row r="1" spans="2:31" ht="35.25" customHeight="1">
      <c r="B1" s="1118" t="s">
        <v>3290</v>
      </c>
      <c r="C1" s="1118"/>
      <c r="D1" s="1118"/>
      <c r="E1" s="1118"/>
      <c r="F1" s="1118"/>
      <c r="G1" s="1118"/>
      <c r="H1" s="1118"/>
      <c r="I1" s="1118"/>
      <c r="J1" s="1118"/>
      <c r="K1" s="1118"/>
      <c r="L1" s="1118"/>
      <c r="M1" s="1118"/>
      <c r="N1" s="1118"/>
      <c r="O1" s="1118"/>
      <c r="P1" s="1118"/>
      <c r="Q1" s="1118"/>
      <c r="R1" s="1118"/>
      <c r="S1" s="238"/>
      <c r="T1" s="238"/>
      <c r="U1" s="238"/>
      <c r="V1" s="238"/>
      <c r="W1" s="238"/>
      <c r="X1" s="238"/>
      <c r="Y1" s="238"/>
      <c r="Z1" s="238"/>
      <c r="AA1" s="238"/>
      <c r="AB1" s="238"/>
      <c r="AC1" s="238"/>
      <c r="AD1" s="238"/>
      <c r="AE1" s="238"/>
    </row>
    <row r="9" spans="2:31" ht="18" customHeight="1"/>
    <row r="10" spans="2:31" ht="20.25" customHeight="1"/>
    <row r="27" ht="18" customHeight="1"/>
    <row r="28" ht="21.75" customHeight="1"/>
    <row r="29" ht="33" customHeight="1"/>
    <row r="30" ht="18" customHeight="1"/>
    <row r="31" ht="40.5" customHeight="1"/>
    <row r="32" ht="18.75" customHeight="1"/>
    <row r="33" spans="1:12" ht="18.75" customHeight="1">
      <c r="A33" s="115"/>
      <c r="D33" s="116"/>
    </row>
    <row r="34" spans="1:12" ht="18.75" customHeight="1">
      <c r="A34" s="115"/>
      <c r="D34" s="116"/>
    </row>
    <row r="35" spans="1:12" ht="18.75" customHeight="1">
      <c r="A35" s="115"/>
      <c r="D35" s="116"/>
    </row>
    <row r="36" spans="1:12" ht="36" customHeight="1">
      <c r="A36" s="115"/>
    </row>
    <row r="37" spans="1:12" ht="38.25" customHeight="1">
      <c r="A37" s="115"/>
      <c r="L37" s="115"/>
    </row>
    <row r="38" spans="1:12" ht="26.25" customHeight="1"/>
    <row r="39" spans="1:12" ht="26.25" customHeight="1"/>
    <row r="40" spans="1:12" ht="20.25" customHeight="1"/>
    <row r="41" spans="1:12" ht="15" customHeight="1"/>
    <row r="44" spans="1:12" ht="13.5" customHeight="1"/>
    <row r="45" spans="1:12" ht="31.5" customHeight="1"/>
    <row r="47" spans="1:12" ht="4.5" customHeight="1"/>
    <row r="48" spans="1:12" hidden="1"/>
    <row r="49" spans="2:24" ht="36.75" customHeight="1">
      <c r="B49" s="283" t="s">
        <v>1960</v>
      </c>
      <c r="C49" s="284" t="s">
        <v>1961</v>
      </c>
      <c r="D49" s="283" t="s">
        <v>1937</v>
      </c>
      <c r="E49" s="283" t="s">
        <v>1962</v>
      </c>
      <c r="F49" s="283" t="s">
        <v>1963</v>
      </c>
      <c r="G49" s="283" t="s">
        <v>1964</v>
      </c>
      <c r="T49" s="291"/>
      <c r="U49"/>
      <c r="V49"/>
      <c r="W49"/>
      <c r="X49"/>
    </row>
    <row r="50" spans="2:24" ht="21.75" customHeight="1">
      <c r="B50" s="323" t="s">
        <v>735</v>
      </c>
      <c r="C50" s="257" t="s">
        <v>1957</v>
      </c>
      <c r="D50" s="258">
        <v>341</v>
      </c>
      <c r="E50" s="256">
        <v>0</v>
      </c>
      <c r="F50" s="256">
        <v>0</v>
      </c>
      <c r="G50" s="292">
        <v>0</v>
      </c>
      <c r="T50" s="249"/>
      <c r="U50"/>
      <c r="V50"/>
      <c r="W50"/>
      <c r="X50"/>
    </row>
    <row r="51" spans="2:24" ht="13.5" customHeight="1">
      <c r="B51" s="323" t="s">
        <v>720</v>
      </c>
      <c r="C51" s="257" t="s">
        <v>3108</v>
      </c>
      <c r="D51" s="258">
        <v>4557</v>
      </c>
      <c r="E51" s="256">
        <v>3.0283080974325194E-2</v>
      </c>
      <c r="F51" s="256">
        <v>8.2729866140004438E-2</v>
      </c>
      <c r="G51" s="292">
        <v>6.0566161948650388E-2</v>
      </c>
      <c r="T51" s="291"/>
      <c r="U51"/>
      <c r="V51"/>
      <c r="W51"/>
      <c r="X51"/>
    </row>
    <row r="52" spans="2:24" ht="15.75">
      <c r="B52" s="323" t="s">
        <v>723</v>
      </c>
      <c r="C52" s="257" t="s">
        <v>1233</v>
      </c>
      <c r="D52" s="258">
        <v>317</v>
      </c>
      <c r="E52" s="256">
        <v>0</v>
      </c>
      <c r="F52" s="256">
        <v>3.1545741324921162E-2</v>
      </c>
      <c r="G52" s="292">
        <v>0</v>
      </c>
      <c r="T52" s="249"/>
      <c r="U52"/>
      <c r="V52"/>
      <c r="W52"/>
      <c r="X52"/>
    </row>
    <row r="53" spans="2:24" ht="15.75">
      <c r="B53" s="323" t="s">
        <v>726</v>
      </c>
      <c r="C53" s="257" t="s">
        <v>3109</v>
      </c>
      <c r="D53" s="258">
        <v>1594</v>
      </c>
      <c r="E53" s="256">
        <v>0.61856963613550819</v>
      </c>
      <c r="F53" s="256">
        <v>0</v>
      </c>
      <c r="G53" s="292">
        <v>0.61856963613550819</v>
      </c>
      <c r="T53" s="291"/>
      <c r="U53"/>
      <c r="V53"/>
      <c r="W53"/>
      <c r="X53"/>
    </row>
    <row r="54" spans="2:24" ht="15.75">
      <c r="B54" s="323" t="s">
        <v>717</v>
      </c>
      <c r="C54" s="257" t="s">
        <v>1235</v>
      </c>
      <c r="D54" s="258">
        <v>1055</v>
      </c>
      <c r="E54" s="256">
        <v>6.6350710900473953E-2</v>
      </c>
      <c r="F54" s="256">
        <v>0.29004739336492891</v>
      </c>
      <c r="G54" s="292">
        <v>0</v>
      </c>
      <c r="T54" s="249"/>
      <c r="U54"/>
      <c r="V54"/>
      <c r="W54"/>
      <c r="X54"/>
    </row>
    <row r="55" spans="2:24" ht="24.75" customHeight="1" thickBot="1">
      <c r="B55" s="323" t="s">
        <v>737</v>
      </c>
      <c r="C55" s="257" t="s">
        <v>200</v>
      </c>
      <c r="D55" s="258">
        <v>472</v>
      </c>
      <c r="E55" s="256">
        <v>0.99971751412429377</v>
      </c>
      <c r="F55" s="256">
        <v>0.32203389830508478</v>
      </c>
      <c r="G55" s="292">
        <v>5.7203389830508433E-2</v>
      </c>
      <c r="T55"/>
      <c r="U55"/>
      <c r="V55"/>
      <c r="W55"/>
      <c r="X55"/>
    </row>
    <row r="56" spans="2:24" ht="29.25" customHeight="1" thickTop="1">
      <c r="B56" s="294" t="s">
        <v>1938</v>
      </c>
      <c r="C56" s="293" t="s">
        <v>1970</v>
      </c>
      <c r="D56" s="297">
        <f>SUBTOTAL(109,D50:D55)</f>
        <v>8336</v>
      </c>
      <c r="E56" s="295">
        <v>0.19984005118362125</v>
      </c>
      <c r="F56" s="295">
        <v>0.10136756238003841</v>
      </c>
      <c r="G56" s="296">
        <v>0.15463051823416507</v>
      </c>
    </row>
    <row r="58" spans="2:24" ht="26.25" thickBot="1">
      <c r="B58" s="815" t="s">
        <v>3112</v>
      </c>
      <c r="C58" s="816" t="s">
        <v>1961</v>
      </c>
      <c r="D58" s="817" t="s">
        <v>1937</v>
      </c>
      <c r="E58" s="817" t="s">
        <v>1962</v>
      </c>
      <c r="F58" s="817" t="s">
        <v>1963</v>
      </c>
      <c r="G58" s="818" t="s">
        <v>1964</v>
      </c>
    </row>
    <row r="59" spans="2:24" ht="16.5" thickBot="1">
      <c r="B59" s="819" t="s">
        <v>735</v>
      </c>
      <c r="C59" s="820" t="s">
        <v>305</v>
      </c>
      <c r="D59" s="821">
        <v>1927</v>
      </c>
      <c r="E59" s="822">
        <v>1</v>
      </c>
      <c r="F59" s="822">
        <v>0.48105864037363777</v>
      </c>
      <c r="G59" s="823">
        <v>0.55163466528282301</v>
      </c>
      <c r="U59"/>
      <c r="V59"/>
    </row>
    <row r="60" spans="2:24" ht="16.5" thickTop="1">
      <c r="B60" s="830" t="s">
        <v>1938</v>
      </c>
      <c r="C60" s="831" t="s">
        <v>1970</v>
      </c>
      <c r="D60" s="832">
        <f>SUBTOTAL(109,D59)</f>
        <v>1927</v>
      </c>
      <c r="E60" s="833">
        <v>1</v>
      </c>
      <c r="F60" s="834">
        <v>0.48105864037363777</v>
      </c>
      <c r="G60" s="835">
        <v>0.55163466528282301</v>
      </c>
      <c r="U60"/>
      <c r="V60"/>
      <c r="W60"/>
    </row>
    <row r="61" spans="2:24" ht="15.75">
      <c r="U61"/>
      <c r="V61"/>
      <c r="W61"/>
    </row>
    <row r="62" spans="2:24" ht="15.75">
      <c r="U62"/>
      <c r="V62"/>
      <c r="W62"/>
    </row>
    <row r="63" spans="2:24" ht="15.75">
      <c r="U63"/>
      <c r="V63"/>
      <c r="W63"/>
    </row>
    <row r="64" spans="2:24" ht="15.75">
      <c r="U64"/>
      <c r="V64"/>
      <c r="W64"/>
    </row>
    <row r="65" spans="21:23" ht="15.75">
      <c r="U65"/>
      <c r="V65"/>
      <c r="W65"/>
    </row>
    <row r="66" spans="21:23" ht="15.75">
      <c r="U66"/>
      <c r="V66"/>
      <c r="W66"/>
    </row>
    <row r="67" spans="21:23" ht="15.75">
      <c r="U67"/>
      <c r="V67"/>
      <c r="W67"/>
    </row>
    <row r="68" spans="21:23" ht="15.75">
      <c r="U68"/>
      <c r="V68"/>
      <c r="W68"/>
    </row>
    <row r="69" spans="21:23" ht="15.75">
      <c r="U69"/>
      <c r="V69"/>
      <c r="W69"/>
    </row>
    <row r="70" spans="21:23" ht="15.75">
      <c r="U70"/>
      <c r="V70"/>
      <c r="W70"/>
    </row>
    <row r="71" spans="21:23" ht="15.75">
      <c r="U71"/>
      <c r="V71"/>
      <c r="W71"/>
    </row>
    <row r="72" spans="21:23" ht="15.75">
      <c r="U72"/>
      <c r="V72"/>
      <c r="W72"/>
    </row>
    <row r="73" spans="21:23" ht="15.75">
      <c r="U73"/>
      <c r="V73"/>
      <c r="W73"/>
    </row>
    <row r="74" spans="21:23" ht="15.75">
      <c r="U74"/>
      <c r="V74"/>
      <c r="W74"/>
    </row>
    <row r="75" spans="21:23" ht="15.75">
      <c r="U75"/>
      <c r="V75"/>
      <c r="W75"/>
    </row>
    <row r="76" spans="21:23" ht="15.75">
      <c r="U76"/>
      <c r="V76"/>
      <c r="W76"/>
    </row>
    <row r="77" spans="21:23" ht="15.75">
      <c r="U77"/>
      <c r="V77"/>
      <c r="W77"/>
    </row>
    <row r="78" spans="21:23" ht="15.75">
      <c r="U78"/>
      <c r="V78"/>
      <c r="W78"/>
    </row>
    <row r="79" spans="21:23" ht="15.75">
      <c r="U79"/>
      <c r="V79"/>
      <c r="W79"/>
    </row>
    <row r="80" spans="21:23" ht="15.75">
      <c r="U80"/>
      <c r="V80"/>
      <c r="W80"/>
    </row>
    <row r="81" spans="21:23" ht="15.75">
      <c r="U81"/>
      <c r="V81"/>
      <c r="W81"/>
    </row>
    <row r="82" spans="21:23" ht="15.75">
      <c r="U82"/>
      <c r="V82"/>
      <c r="W82"/>
    </row>
    <row r="83" spans="21:23" ht="15.75">
      <c r="U83"/>
      <c r="V83"/>
      <c r="W83"/>
    </row>
    <row r="84" spans="21:23" ht="15.75">
      <c r="U84"/>
      <c r="V84"/>
      <c r="W84"/>
    </row>
    <row r="85" spans="21:23" ht="15.75">
      <c r="U85"/>
      <c r="V85"/>
      <c r="W85"/>
    </row>
    <row r="86" spans="21:23" ht="15.75">
      <c r="U86"/>
      <c r="V86"/>
      <c r="W86"/>
    </row>
    <row r="87" spans="21:23" ht="15.75">
      <c r="U87"/>
      <c r="V87"/>
      <c r="W87"/>
    </row>
    <row r="88" spans="21:23" ht="15.75">
      <c r="U88"/>
      <c r="V88"/>
      <c r="W88"/>
    </row>
    <row r="89" spans="21:23" ht="15.75">
      <c r="U89"/>
      <c r="V89"/>
      <c r="W89"/>
    </row>
    <row r="90" spans="21:23" ht="15.75">
      <c r="U90"/>
      <c r="V90"/>
      <c r="W90"/>
    </row>
    <row r="91" spans="21:23" ht="15.75">
      <c r="U91"/>
      <c r="V91"/>
      <c r="W91"/>
    </row>
    <row r="92" spans="21:23" ht="15.75">
      <c r="U92"/>
      <c r="V92"/>
      <c r="W92"/>
    </row>
    <row r="93" spans="21:23" ht="15.75">
      <c r="U93"/>
      <c r="V93"/>
      <c r="W93"/>
    </row>
    <row r="94" spans="21:23" ht="15.75">
      <c r="U94"/>
      <c r="V94"/>
      <c r="W94"/>
    </row>
    <row r="95" spans="21:23" ht="15.75">
      <c r="U95"/>
      <c r="V95"/>
      <c r="W95"/>
    </row>
    <row r="96" spans="21:23" ht="15.75">
      <c r="U96"/>
      <c r="V96"/>
      <c r="W96"/>
    </row>
    <row r="97" spans="21:23" ht="15.75">
      <c r="U97"/>
      <c r="V97"/>
      <c r="W97"/>
    </row>
    <row r="98" spans="21:23" ht="15.75">
      <c r="U98"/>
      <c r="V98"/>
      <c r="W98"/>
    </row>
    <row r="99" spans="21:23" ht="15.75">
      <c r="U99"/>
      <c r="V99"/>
      <c r="W99"/>
    </row>
    <row r="100" spans="21:23" ht="15.75">
      <c r="U100"/>
      <c r="V100"/>
      <c r="W100"/>
    </row>
    <row r="101" spans="21:23" ht="15.75">
      <c r="U101"/>
      <c r="V101"/>
      <c r="W101"/>
    </row>
    <row r="102" spans="21:23" ht="15.75">
      <c r="U102"/>
      <c r="V102"/>
      <c r="W102"/>
    </row>
    <row r="103" spans="21:23" ht="15.75">
      <c r="U103"/>
      <c r="V103"/>
      <c r="W103"/>
    </row>
    <row r="104" spans="21:23" ht="15.75">
      <c r="U104"/>
      <c r="V104"/>
      <c r="W104"/>
    </row>
    <row r="105" spans="21:23" ht="15.75">
      <c r="U105"/>
      <c r="V105"/>
      <c r="W105"/>
    </row>
    <row r="106" spans="21:23" ht="15.75">
      <c r="U106"/>
      <c r="V106"/>
      <c r="W106"/>
    </row>
    <row r="107" spans="21:23" ht="15.75">
      <c r="U107"/>
      <c r="V107"/>
      <c r="W107"/>
    </row>
    <row r="108" spans="21:23" ht="15.75">
      <c r="U108"/>
      <c r="V108"/>
      <c r="W108"/>
    </row>
    <row r="109" spans="21:23" ht="15.75">
      <c r="U109"/>
      <c r="V109"/>
      <c r="W109"/>
    </row>
    <row r="110" spans="21:23" ht="15.75">
      <c r="U110"/>
      <c r="V110"/>
      <c r="W110"/>
    </row>
    <row r="111" spans="21:23" ht="15.75">
      <c r="U111"/>
      <c r="V111"/>
      <c r="W111"/>
    </row>
    <row r="112" spans="21:23" ht="15.75">
      <c r="U112"/>
      <c r="V112"/>
      <c r="W112"/>
    </row>
    <row r="113" spans="21:23" ht="15.75">
      <c r="U113"/>
      <c r="V113"/>
      <c r="W113"/>
    </row>
    <row r="114" spans="21:23" ht="15.75">
      <c r="U114"/>
      <c r="V114"/>
      <c r="W114"/>
    </row>
    <row r="115" spans="21:23" ht="15.75">
      <c r="U115"/>
      <c r="V115"/>
      <c r="W115"/>
    </row>
    <row r="116" spans="21:23" ht="15.75">
      <c r="U116"/>
      <c r="V116"/>
      <c r="W116"/>
    </row>
    <row r="117" spans="21:23" ht="15.75">
      <c r="U117"/>
      <c r="V117"/>
      <c r="W117"/>
    </row>
    <row r="118" spans="21:23" ht="15.75">
      <c r="U118"/>
      <c r="V118"/>
      <c r="W118"/>
    </row>
    <row r="119" spans="21:23" ht="15.75">
      <c r="U119"/>
      <c r="V119"/>
      <c r="W119"/>
    </row>
    <row r="120" spans="21:23" ht="15.75">
      <c r="U120"/>
      <c r="V120"/>
      <c r="W120"/>
    </row>
    <row r="121" spans="21:23" ht="15.75">
      <c r="U121"/>
      <c r="V121"/>
      <c r="W121"/>
    </row>
    <row r="122" spans="21:23" ht="15.75">
      <c r="U122"/>
      <c r="V122"/>
      <c r="W122"/>
    </row>
    <row r="123" spans="21:23" ht="15.75">
      <c r="U123"/>
      <c r="V123"/>
      <c r="W123"/>
    </row>
    <row r="124" spans="21:23" ht="15.75">
      <c r="U124"/>
      <c r="V124"/>
      <c r="W124"/>
    </row>
    <row r="125" spans="21:23" ht="15.75">
      <c r="U125"/>
      <c r="V125"/>
      <c r="W125"/>
    </row>
    <row r="126" spans="21:23" ht="15.75">
      <c r="U126"/>
      <c r="V126"/>
      <c r="W126"/>
    </row>
    <row r="127" spans="21:23" ht="15.75">
      <c r="U127"/>
      <c r="V127"/>
      <c r="W127"/>
    </row>
    <row r="128" spans="21:23" ht="15.75">
      <c r="U128"/>
      <c r="V128"/>
      <c r="W128"/>
    </row>
    <row r="129" spans="21:23" ht="15.75">
      <c r="U129"/>
      <c r="V129"/>
      <c r="W129"/>
    </row>
    <row r="130" spans="21:23" ht="15.75">
      <c r="U130"/>
      <c r="V130"/>
      <c r="W130"/>
    </row>
    <row r="131" spans="21:23" ht="15.75">
      <c r="U131"/>
      <c r="V131"/>
    </row>
    <row r="132" spans="21:23" ht="15.75">
      <c r="U132"/>
      <c r="V132"/>
    </row>
    <row r="133" spans="21:23" ht="15.75">
      <c r="U133"/>
      <c r="V133"/>
    </row>
    <row r="134" spans="21:23" ht="15.75">
      <c r="U134"/>
      <c r="V134"/>
    </row>
    <row r="135" spans="21:23" ht="15.75">
      <c r="U135"/>
      <c r="V135"/>
    </row>
    <row r="136" spans="21:23" ht="15.75">
      <c r="U136"/>
      <c r="V136"/>
    </row>
    <row r="137" spans="21:23" ht="15.75">
      <c r="U137"/>
      <c r="V137"/>
    </row>
    <row r="138" spans="21:23" ht="15.75">
      <c r="U138"/>
      <c r="V138"/>
    </row>
    <row r="139" spans="21:23" ht="15.75">
      <c r="U139"/>
      <c r="V139"/>
    </row>
    <row r="140" spans="21:23" ht="15.75">
      <c r="U140"/>
      <c r="V140"/>
    </row>
    <row r="141" spans="21:23" ht="15.75">
      <c r="U141"/>
      <c r="V141"/>
    </row>
    <row r="142" spans="21:23" ht="15.75">
      <c r="U142"/>
      <c r="V142"/>
    </row>
    <row r="143" spans="21:23" ht="15.75">
      <c r="U143"/>
      <c r="V143"/>
    </row>
    <row r="144" spans="21:23" ht="15.75">
      <c r="U144"/>
      <c r="V144"/>
    </row>
    <row r="145" spans="21:22" ht="15.75">
      <c r="U145"/>
      <c r="V145"/>
    </row>
    <row r="146" spans="21:22" ht="15.75">
      <c r="U146"/>
      <c r="V146"/>
    </row>
    <row r="147" spans="21:22" ht="15.75">
      <c r="U147"/>
      <c r="V147"/>
    </row>
    <row r="148" spans="21:22" ht="15.75">
      <c r="U148"/>
      <c r="V148"/>
    </row>
    <row r="149" spans="21:22" ht="15.75">
      <c r="U149"/>
      <c r="V149"/>
    </row>
    <row r="150" spans="21:22" ht="15.75">
      <c r="U150"/>
      <c r="V150"/>
    </row>
    <row r="151" spans="21:22" ht="15.75">
      <c r="U151"/>
      <c r="V151"/>
    </row>
    <row r="152" spans="21:22" ht="15.75">
      <c r="U152"/>
      <c r="V152"/>
    </row>
    <row r="153" spans="21:22" ht="15.75">
      <c r="U153"/>
      <c r="V153"/>
    </row>
    <row r="154" spans="21:22" ht="15.75">
      <c r="U154"/>
      <c r="V154"/>
    </row>
    <row r="155" spans="21:22" ht="15.75">
      <c r="U155"/>
      <c r="V155"/>
    </row>
    <row r="156" spans="21:22" ht="15.75">
      <c r="U156"/>
      <c r="V156"/>
    </row>
    <row r="157" spans="21:22" ht="15.75">
      <c r="U157"/>
      <c r="V157"/>
    </row>
    <row r="158" spans="21:22" ht="15.75">
      <c r="U158"/>
      <c r="V158"/>
    </row>
    <row r="159" spans="21:22" ht="15.75">
      <c r="U159"/>
      <c r="V159"/>
    </row>
    <row r="160" spans="21:22" ht="15.75">
      <c r="U160"/>
      <c r="V160"/>
    </row>
    <row r="161" spans="21:22" ht="15.75">
      <c r="U161"/>
      <c r="V161"/>
    </row>
    <row r="162" spans="21:22" ht="15.75">
      <c r="U162"/>
      <c r="V162"/>
    </row>
    <row r="163" spans="21:22" ht="15.75">
      <c r="U163"/>
      <c r="V163"/>
    </row>
    <row r="164" spans="21:22" ht="15.75">
      <c r="U164"/>
      <c r="V164"/>
    </row>
    <row r="165" spans="21:22" ht="15.75">
      <c r="U165"/>
      <c r="V165"/>
    </row>
  </sheetData>
  <mergeCells count="1">
    <mergeCell ref="B1:R1"/>
  </mergeCells>
  <conditionalFormatting sqref="E59:G59">
    <cfRule type="iconSet" priority="10">
      <iconSet reverse="1">
        <cfvo type="percent" val="0"/>
        <cfvo type="percent" val="0" gte="0"/>
        <cfvo type="percent" val="30"/>
      </iconSet>
    </cfRule>
  </conditionalFormatting>
  <conditionalFormatting sqref="G59">
    <cfRule type="iconSet" priority="9">
      <iconSet reverse="1">
        <cfvo type="percent" val="0"/>
        <cfvo type="percent" val="0" gte="0"/>
        <cfvo type="percent" val="30"/>
      </iconSet>
    </cfRule>
  </conditionalFormatting>
  <conditionalFormatting sqref="G60">
    <cfRule type="iconSet" priority="3">
      <iconSet reverse="1">
        <cfvo type="percent" val="0"/>
        <cfvo type="percent" val="0" gte="0"/>
        <cfvo type="percent" val="30"/>
      </iconSet>
    </cfRule>
  </conditionalFormatting>
  <conditionalFormatting sqref="G60">
    <cfRule type="iconSet" priority="2">
      <iconSet reverse="1">
        <cfvo type="percent" val="0"/>
        <cfvo type="percent" val="0" gte="0"/>
        <cfvo type="percent" val="30"/>
      </iconSet>
    </cfRule>
  </conditionalFormatting>
  <conditionalFormatting sqref="F60">
    <cfRule type="iconSet" priority="1">
      <iconSet reverse="1">
        <cfvo type="percent" val="0"/>
        <cfvo type="percent" val="0" gte="0"/>
        <cfvo type="percent" val="30"/>
      </iconSet>
    </cfRule>
  </conditionalFormatting>
  <printOptions horizontalCentered="1" verticalCentered="1"/>
  <pageMargins left="0" right="0" top="0" bottom="0" header="0.3" footer="0.3"/>
  <pageSetup paperSize="9" scale="42" fitToHeight="0"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iconSet" priority="18" id="{4EBEA425-AF8F-4445-BF55-D2955C458199}">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D33:D35</xm:sqref>
        </x14:conditionalFormatting>
        <x14:conditionalFormatting xmlns:xm="http://schemas.microsoft.com/office/excel/2006/main">
          <x14:cfRule type="iconSet" priority="11590" id="{7D9693B4-B3E3-42A4-A63E-3EB735747E54}">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E50:G56</xm:sqref>
        </x14:conditionalFormatting>
        <x14:conditionalFormatting xmlns:xm="http://schemas.microsoft.com/office/excel/2006/main">
          <x14:cfRule type="iconSet" priority="4" id="{2ACC4F04-5BB8-4C9F-B7B3-D5EB2B5E4005}">
            <x14:iconSet custom="1">
              <x14:cfvo type="percent">
                <xm:f>0</xm:f>
              </x14:cfvo>
              <x14:cfvo type="percent" gte="0">
                <xm:f>0</xm:f>
              </x14:cfvo>
              <x14:cfvo type="percent">
                <xm:f>30</xm:f>
              </x14:cfvo>
              <x14:cfIcon iconSet="3TrafficLights1" iconId="2"/>
              <x14:cfIcon iconSet="3TrafficLights1" iconId="1"/>
              <x14:cfIcon iconSet="3TrafficLights1" iconId="0"/>
            </x14:iconSet>
          </x14:cfRule>
          <xm:sqref>E60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573"/>
  <sheetViews>
    <sheetView showGridLines="0" zoomScale="90" zoomScaleNormal="90" workbookViewId="0">
      <selection activeCell="Z15" sqref="Z15"/>
    </sheetView>
  </sheetViews>
  <sheetFormatPr defaultColWidth="9" defaultRowHeight="15.75"/>
  <cols>
    <col min="1" max="1" width="45.625" style="61" bestFit="1" customWidth="1"/>
    <col min="2" max="2" width="14.75" style="61" bestFit="1" customWidth="1"/>
    <col min="3" max="3" width="59.625" style="61" hidden="1" customWidth="1"/>
    <col min="4" max="4" width="47.25" style="61" hidden="1" customWidth="1"/>
    <col min="5" max="5" width="75.375" style="61" hidden="1" customWidth="1"/>
    <col min="6" max="6" width="37.25" style="61" hidden="1" customWidth="1"/>
    <col min="7" max="7" width="59.375" style="61" hidden="1" customWidth="1"/>
    <col min="8" max="16384" width="9" style="61"/>
  </cols>
  <sheetData>
    <row r="1" spans="1:20" ht="26.25">
      <c r="A1" s="1119" t="s">
        <v>3124</v>
      </c>
      <c r="B1" s="1119"/>
      <c r="C1" s="1119"/>
      <c r="D1" s="1119"/>
      <c r="E1" s="1119"/>
      <c r="F1" s="1119"/>
      <c r="G1" s="1119"/>
      <c r="H1" s="1119"/>
      <c r="I1" s="1119"/>
      <c r="J1" s="1119"/>
      <c r="K1" s="1119"/>
      <c r="L1" s="1119"/>
      <c r="M1" s="1119"/>
      <c r="N1" s="1119"/>
      <c r="O1" s="1119"/>
      <c r="P1" s="1119"/>
      <c r="Q1" s="1119"/>
      <c r="R1" s="1119"/>
      <c r="S1" s="1119"/>
      <c r="T1" s="1119"/>
    </row>
    <row r="33" spans="1:7">
      <c r="A33"/>
      <c r="B33"/>
    </row>
    <row r="34" spans="1:7" hidden="1">
      <c r="A34" s="992" t="s">
        <v>20</v>
      </c>
      <c r="B34" s="993" t="s">
        <v>2525</v>
      </c>
    </row>
    <row r="35" spans="1:7" hidden="1">
      <c r="A35" s="1059" t="s">
        <v>23</v>
      </c>
      <c r="B35" s="993" t="s">
        <v>1924</v>
      </c>
    </row>
    <row r="36" spans="1:7" hidden="1">
      <c r="A36" s="1059" t="s">
        <v>22</v>
      </c>
      <c r="B36" s="993" t="s">
        <v>1924</v>
      </c>
    </row>
    <row r="37" spans="1:7" hidden="1">
      <c r="C37" s="282"/>
      <c r="D37" s="282"/>
      <c r="E37" s="282"/>
    </row>
    <row r="38" spans="1:7" s="130" customFormat="1" hidden="1">
      <c r="A38" s="992" t="s">
        <v>24</v>
      </c>
      <c r="B38" s="1017" t="s">
        <v>1998</v>
      </c>
      <c r="C38" s="993" t="s">
        <v>3121</v>
      </c>
      <c r="D38" s="993" t="s">
        <v>3122</v>
      </c>
      <c r="E38" s="993" t="s">
        <v>3123</v>
      </c>
      <c r="F38"/>
      <c r="G38"/>
    </row>
    <row r="39" spans="1:7" hidden="1">
      <c r="A39" s="993" t="s">
        <v>238</v>
      </c>
      <c r="B39" s="995">
        <v>350</v>
      </c>
      <c r="C39" s="995">
        <v>0</v>
      </c>
      <c r="D39" s="995">
        <v>0</v>
      </c>
      <c r="E39" s="995">
        <v>0</v>
      </c>
      <c r="F39"/>
      <c r="G39"/>
    </row>
    <row r="40" spans="1:7" hidden="1">
      <c r="A40" s="993" t="s">
        <v>1100</v>
      </c>
      <c r="B40" s="995">
        <v>356</v>
      </c>
      <c r="C40" s="995">
        <v>356</v>
      </c>
      <c r="D40" s="995">
        <v>260</v>
      </c>
      <c r="E40" s="995">
        <v>356</v>
      </c>
      <c r="F40"/>
      <c r="G40"/>
    </row>
    <row r="41" spans="1:7" hidden="1">
      <c r="A41" s="993" t="s">
        <v>285</v>
      </c>
      <c r="B41" s="995">
        <v>815</v>
      </c>
      <c r="C41" s="995">
        <v>815</v>
      </c>
      <c r="D41" s="995">
        <v>760</v>
      </c>
      <c r="E41" s="995">
        <v>815</v>
      </c>
      <c r="F41"/>
      <c r="G41"/>
    </row>
    <row r="42" spans="1:7" hidden="1">
      <c r="A42" s="993" t="s">
        <v>256</v>
      </c>
      <c r="B42" s="995">
        <v>371</v>
      </c>
      <c r="C42" s="995">
        <v>371</v>
      </c>
      <c r="D42" s="995">
        <v>371</v>
      </c>
      <c r="E42" s="995">
        <v>0</v>
      </c>
      <c r="F42"/>
      <c r="G42"/>
    </row>
    <row r="43" spans="1:7" hidden="1">
      <c r="A43" s="993" t="s">
        <v>257</v>
      </c>
      <c r="B43" s="995">
        <v>83</v>
      </c>
      <c r="C43" s="995">
        <v>83</v>
      </c>
      <c r="D43" s="995">
        <v>83</v>
      </c>
      <c r="E43" s="995">
        <v>83</v>
      </c>
      <c r="F43"/>
      <c r="G43"/>
    </row>
    <row r="44" spans="1:7" hidden="1">
      <c r="A44" s="993" t="s">
        <v>214</v>
      </c>
      <c r="B44" s="995">
        <v>665</v>
      </c>
      <c r="C44" s="995">
        <v>0</v>
      </c>
      <c r="D44" s="995">
        <v>560</v>
      </c>
      <c r="E44" s="995">
        <v>665</v>
      </c>
      <c r="F44"/>
      <c r="G44"/>
    </row>
    <row r="45" spans="1:7" hidden="1">
      <c r="A45" s="993" t="s">
        <v>654</v>
      </c>
      <c r="B45" s="995">
        <v>415</v>
      </c>
      <c r="C45" s="995">
        <v>0</v>
      </c>
      <c r="D45" s="995">
        <v>0</v>
      </c>
      <c r="E45" s="995">
        <v>415</v>
      </c>
      <c r="F45"/>
      <c r="G45"/>
    </row>
    <row r="46" spans="1:7" hidden="1">
      <c r="A46" s="993" t="s">
        <v>484</v>
      </c>
      <c r="B46" s="995">
        <v>2552</v>
      </c>
      <c r="C46" s="995">
        <v>0</v>
      </c>
      <c r="D46" s="995">
        <v>0</v>
      </c>
      <c r="E46" s="995">
        <v>0</v>
      </c>
      <c r="F46"/>
      <c r="G46"/>
    </row>
    <row r="47" spans="1:7" hidden="1">
      <c r="A47" s="993" t="s">
        <v>429</v>
      </c>
      <c r="B47" s="995">
        <v>2050</v>
      </c>
      <c r="C47" s="995">
        <v>2050</v>
      </c>
      <c r="D47" s="995">
        <v>2050</v>
      </c>
      <c r="E47" s="995">
        <v>750</v>
      </c>
      <c r="F47"/>
      <c r="G47"/>
    </row>
    <row r="48" spans="1:7" hidden="1">
      <c r="A48" s="993" t="s">
        <v>430</v>
      </c>
      <c r="B48" s="995">
        <v>4717</v>
      </c>
      <c r="C48" s="995">
        <v>4717</v>
      </c>
      <c r="D48" s="995">
        <v>3360</v>
      </c>
      <c r="E48" s="995">
        <v>4717</v>
      </c>
      <c r="F48"/>
      <c r="G48"/>
    </row>
    <row r="49" spans="1:7" hidden="1">
      <c r="A49" s="993" t="s">
        <v>584</v>
      </c>
      <c r="B49" s="995">
        <v>559</v>
      </c>
      <c r="C49" s="995">
        <v>0</v>
      </c>
      <c r="D49" s="995">
        <v>0</v>
      </c>
      <c r="E49" s="995">
        <v>0</v>
      </c>
      <c r="F49"/>
      <c r="G49"/>
    </row>
    <row r="50" spans="1:7" hidden="1">
      <c r="A50" s="993" t="s">
        <v>204</v>
      </c>
      <c r="B50" s="995">
        <v>52</v>
      </c>
      <c r="C50" s="995">
        <v>52</v>
      </c>
      <c r="D50" s="995">
        <v>40</v>
      </c>
      <c r="E50" s="995">
        <v>52</v>
      </c>
      <c r="F50"/>
      <c r="G50"/>
    </row>
    <row r="51" spans="1:7" hidden="1">
      <c r="A51" s="993" t="s">
        <v>388</v>
      </c>
      <c r="B51" s="995">
        <v>428</v>
      </c>
      <c r="C51" s="995">
        <v>428</v>
      </c>
      <c r="D51" s="995">
        <v>0</v>
      </c>
      <c r="E51" s="995">
        <v>0</v>
      </c>
      <c r="F51"/>
      <c r="G51"/>
    </row>
    <row r="52" spans="1:7" hidden="1">
      <c r="A52" s="993" t="s">
        <v>258</v>
      </c>
      <c r="B52" s="995">
        <v>228</v>
      </c>
      <c r="C52" s="995">
        <v>228</v>
      </c>
      <c r="D52" s="995">
        <v>200</v>
      </c>
      <c r="E52" s="995">
        <v>228</v>
      </c>
      <c r="F52"/>
      <c r="G52"/>
    </row>
    <row r="53" spans="1:7" hidden="1">
      <c r="A53" s="993" t="s">
        <v>432</v>
      </c>
      <c r="B53" s="995">
        <v>2111</v>
      </c>
      <c r="C53" s="995">
        <v>2111</v>
      </c>
      <c r="D53" s="995">
        <v>2111</v>
      </c>
      <c r="E53" s="995">
        <v>2111</v>
      </c>
      <c r="F53"/>
      <c r="G53"/>
    </row>
    <row r="54" spans="1:7" hidden="1">
      <c r="A54" s="993" t="s">
        <v>443</v>
      </c>
      <c r="B54" s="995">
        <v>4892</v>
      </c>
      <c r="C54" s="995">
        <v>4892</v>
      </c>
      <c r="D54" s="995">
        <v>4892</v>
      </c>
      <c r="E54" s="995">
        <v>4892</v>
      </c>
      <c r="F54"/>
      <c r="G54"/>
    </row>
    <row r="55" spans="1:7" hidden="1">
      <c r="A55" s="993" t="s">
        <v>445</v>
      </c>
      <c r="B55" s="995">
        <v>6936</v>
      </c>
      <c r="C55" s="995">
        <v>6750</v>
      </c>
      <c r="D55" s="995">
        <v>0</v>
      </c>
      <c r="E55" s="995">
        <v>0</v>
      </c>
      <c r="F55"/>
      <c r="G55"/>
    </row>
    <row r="56" spans="1:7" hidden="1">
      <c r="A56" s="993" t="s">
        <v>1107</v>
      </c>
      <c r="B56" s="995">
        <v>1435</v>
      </c>
      <c r="C56" s="995">
        <v>0</v>
      </c>
      <c r="D56" s="995">
        <v>0</v>
      </c>
      <c r="E56" s="995">
        <v>0</v>
      </c>
      <c r="F56"/>
      <c r="G56"/>
    </row>
    <row r="57" spans="1:7" hidden="1">
      <c r="A57" s="993" t="s">
        <v>1023</v>
      </c>
      <c r="B57" s="995">
        <v>928</v>
      </c>
      <c r="C57" s="995">
        <v>0</v>
      </c>
      <c r="D57" s="995">
        <v>0</v>
      </c>
      <c r="E57" s="995">
        <v>0</v>
      </c>
      <c r="F57"/>
      <c r="G57"/>
    </row>
    <row r="58" spans="1:7" hidden="1">
      <c r="A58" s="993" t="s">
        <v>244</v>
      </c>
      <c r="B58" s="995">
        <v>458</v>
      </c>
      <c r="C58" s="995">
        <v>458</v>
      </c>
      <c r="D58" s="995">
        <v>458</v>
      </c>
      <c r="E58" s="995">
        <v>66.666666666666671</v>
      </c>
      <c r="F58"/>
      <c r="G58"/>
    </row>
    <row r="59" spans="1:7" hidden="1">
      <c r="A59" s="993" t="s">
        <v>1940</v>
      </c>
      <c r="B59" s="995">
        <v>1661</v>
      </c>
      <c r="C59" s="995">
        <v>1661</v>
      </c>
      <c r="D59" s="995">
        <v>1661</v>
      </c>
      <c r="E59" s="995">
        <v>1661</v>
      </c>
      <c r="F59"/>
      <c r="G59"/>
    </row>
    <row r="60" spans="1:7" hidden="1">
      <c r="A60" s="993" t="s">
        <v>480</v>
      </c>
      <c r="B60" s="995">
        <v>421</v>
      </c>
      <c r="C60" s="995">
        <v>0</v>
      </c>
      <c r="D60" s="995">
        <v>0</v>
      </c>
      <c r="E60" s="995">
        <v>0</v>
      </c>
      <c r="F60"/>
      <c r="G60"/>
    </row>
    <row r="61" spans="1:7" hidden="1">
      <c r="A61" s="993" t="s">
        <v>259</v>
      </c>
      <c r="B61" s="995">
        <v>31</v>
      </c>
      <c r="C61" s="995">
        <v>31</v>
      </c>
      <c r="D61" s="995">
        <v>31</v>
      </c>
      <c r="E61" s="995">
        <v>0</v>
      </c>
      <c r="F61"/>
      <c r="G61"/>
    </row>
    <row r="62" spans="1:7" hidden="1">
      <c r="A62" s="993" t="s">
        <v>253</v>
      </c>
      <c r="B62" s="995">
        <v>830</v>
      </c>
      <c r="C62" s="995">
        <v>830</v>
      </c>
      <c r="D62" s="995">
        <v>830</v>
      </c>
      <c r="E62" s="995">
        <v>66.666666666666671</v>
      </c>
      <c r="F62"/>
      <c r="G62"/>
    </row>
    <row r="63" spans="1:7" hidden="1">
      <c r="A63" s="993" t="s">
        <v>442</v>
      </c>
      <c r="B63" s="995">
        <v>11625</v>
      </c>
      <c r="C63" s="995">
        <v>10015</v>
      </c>
      <c r="D63" s="995">
        <v>8260</v>
      </c>
      <c r="E63" s="995">
        <v>11625</v>
      </c>
      <c r="F63"/>
      <c r="G63"/>
    </row>
    <row r="64" spans="1:7" hidden="1">
      <c r="A64" s="993" t="s">
        <v>441</v>
      </c>
      <c r="B64" s="995">
        <v>3360</v>
      </c>
      <c r="C64" s="995">
        <v>3360</v>
      </c>
      <c r="D64" s="995">
        <v>0</v>
      </c>
      <c r="E64" s="995">
        <v>3360</v>
      </c>
      <c r="F64"/>
      <c r="G64"/>
    </row>
    <row r="65" spans="1:7" hidden="1">
      <c r="A65" s="993" t="s">
        <v>260</v>
      </c>
      <c r="B65" s="995">
        <v>377</v>
      </c>
      <c r="C65" s="995">
        <v>377</v>
      </c>
      <c r="D65" s="995">
        <v>377</v>
      </c>
      <c r="E65" s="995">
        <v>0</v>
      </c>
      <c r="F65"/>
      <c r="G65"/>
    </row>
    <row r="66" spans="1:7" hidden="1">
      <c r="A66" s="993" t="s">
        <v>570</v>
      </c>
      <c r="B66" s="995">
        <v>1669</v>
      </c>
      <c r="C66" s="995">
        <v>0</v>
      </c>
      <c r="D66" s="995">
        <v>0</v>
      </c>
      <c r="E66" s="995">
        <v>500</v>
      </c>
      <c r="F66"/>
      <c r="G66"/>
    </row>
    <row r="67" spans="1:7" hidden="1">
      <c r="A67" s="993" t="s">
        <v>635</v>
      </c>
      <c r="B67" s="995">
        <v>172</v>
      </c>
      <c r="C67" s="995">
        <v>172</v>
      </c>
      <c r="D67" s="995">
        <v>0</v>
      </c>
      <c r="E67" s="995">
        <v>172</v>
      </c>
      <c r="F67"/>
      <c r="G67"/>
    </row>
    <row r="68" spans="1:7" hidden="1">
      <c r="A68" s="993" t="s">
        <v>168</v>
      </c>
      <c r="B68" s="995">
        <v>197</v>
      </c>
      <c r="C68" s="995">
        <v>197</v>
      </c>
      <c r="D68" s="995">
        <v>140</v>
      </c>
      <c r="E68" s="995">
        <v>197</v>
      </c>
      <c r="F68"/>
      <c r="G68"/>
    </row>
    <row r="69" spans="1:7" hidden="1">
      <c r="A69" s="993" t="s">
        <v>240</v>
      </c>
      <c r="B69" s="995">
        <v>458</v>
      </c>
      <c r="C69" s="995">
        <v>458</v>
      </c>
      <c r="D69" s="995">
        <v>458</v>
      </c>
      <c r="E69" s="995">
        <v>66.666666666666671</v>
      </c>
      <c r="F69"/>
      <c r="G69"/>
    </row>
    <row r="70" spans="1:7" hidden="1">
      <c r="A70" s="993" t="s">
        <v>653</v>
      </c>
      <c r="B70" s="995">
        <v>397</v>
      </c>
      <c r="C70" s="995">
        <v>0</v>
      </c>
      <c r="D70" s="995">
        <v>0</v>
      </c>
      <c r="E70" s="995">
        <v>249.99999999999997</v>
      </c>
      <c r="F70"/>
      <c r="G70"/>
    </row>
    <row r="71" spans="1:7" hidden="1">
      <c r="A71" s="993" t="s">
        <v>574</v>
      </c>
      <c r="B71" s="995">
        <v>802</v>
      </c>
      <c r="C71" s="995">
        <v>0</v>
      </c>
      <c r="D71" s="995">
        <v>0</v>
      </c>
      <c r="E71" s="995">
        <v>0</v>
      </c>
      <c r="F71"/>
      <c r="G71"/>
    </row>
    <row r="72" spans="1:7" hidden="1">
      <c r="A72" s="993" t="s">
        <v>665</v>
      </c>
      <c r="B72" s="995">
        <v>533</v>
      </c>
      <c r="C72" s="995">
        <v>533</v>
      </c>
      <c r="D72" s="995">
        <v>0</v>
      </c>
      <c r="E72" s="995">
        <v>0</v>
      </c>
      <c r="F72"/>
      <c r="G72"/>
    </row>
    <row r="73" spans="1:7" hidden="1">
      <c r="A73" s="993" t="s">
        <v>569</v>
      </c>
      <c r="B73" s="995">
        <v>397</v>
      </c>
      <c r="C73" s="995">
        <v>0</v>
      </c>
      <c r="D73" s="995">
        <v>0</v>
      </c>
      <c r="E73" s="995">
        <v>0</v>
      </c>
      <c r="F73"/>
      <c r="G73"/>
    </row>
    <row r="74" spans="1:7" hidden="1">
      <c r="A74" s="993" t="s">
        <v>1057</v>
      </c>
      <c r="B74" s="995">
        <v>410</v>
      </c>
      <c r="C74" s="995">
        <v>0</v>
      </c>
      <c r="D74" s="995">
        <v>0</v>
      </c>
      <c r="E74" s="995">
        <v>0</v>
      </c>
      <c r="F74"/>
      <c r="G74"/>
    </row>
    <row r="75" spans="1:7" hidden="1">
      <c r="A75" s="993" t="s">
        <v>276</v>
      </c>
      <c r="B75" s="995">
        <v>448</v>
      </c>
      <c r="C75" s="995">
        <v>0</v>
      </c>
      <c r="D75" s="995">
        <v>400</v>
      </c>
      <c r="E75" s="995">
        <v>448</v>
      </c>
      <c r="F75"/>
      <c r="G75"/>
    </row>
    <row r="76" spans="1:7" hidden="1">
      <c r="A76" s="993" t="s">
        <v>183</v>
      </c>
      <c r="B76" s="995">
        <v>875</v>
      </c>
      <c r="C76" s="995">
        <v>875</v>
      </c>
      <c r="D76" s="995">
        <v>875</v>
      </c>
      <c r="E76" s="995">
        <v>66.666666666666671</v>
      </c>
      <c r="F76"/>
      <c r="G76"/>
    </row>
    <row r="77" spans="1:7" hidden="1">
      <c r="A77" s="993" t="s">
        <v>447</v>
      </c>
      <c r="B77" s="995">
        <v>2256</v>
      </c>
      <c r="C77" s="995">
        <v>0</v>
      </c>
      <c r="D77" s="995">
        <v>0</v>
      </c>
      <c r="E77" s="995">
        <v>0</v>
      </c>
      <c r="F77"/>
      <c r="G77"/>
    </row>
    <row r="78" spans="1:7" hidden="1">
      <c r="A78" s="993" t="s">
        <v>625</v>
      </c>
      <c r="B78" s="995">
        <v>343</v>
      </c>
      <c r="C78" s="995">
        <v>0</v>
      </c>
      <c r="D78" s="995">
        <v>0</v>
      </c>
      <c r="E78" s="995">
        <v>0</v>
      </c>
      <c r="F78"/>
      <c r="G78"/>
    </row>
    <row r="79" spans="1:7" hidden="1">
      <c r="A79" s="993" t="s">
        <v>157</v>
      </c>
      <c r="B79" s="995">
        <v>132</v>
      </c>
      <c r="C79" s="995">
        <v>132</v>
      </c>
      <c r="D79" s="995">
        <v>132</v>
      </c>
      <c r="E79" s="995">
        <v>132</v>
      </c>
      <c r="F79"/>
      <c r="G79"/>
    </row>
    <row r="80" spans="1:7" hidden="1">
      <c r="A80" s="993" t="s">
        <v>261</v>
      </c>
      <c r="B80" s="995">
        <v>14</v>
      </c>
      <c r="C80" s="995">
        <v>0</v>
      </c>
      <c r="D80" s="995">
        <v>0</v>
      </c>
      <c r="E80" s="995">
        <v>0</v>
      </c>
      <c r="F80"/>
      <c r="G80"/>
    </row>
    <row r="81" spans="1:7" hidden="1">
      <c r="A81" s="993" t="s">
        <v>1048</v>
      </c>
      <c r="B81" s="995">
        <v>121</v>
      </c>
      <c r="C81" s="995">
        <v>0</v>
      </c>
      <c r="D81" s="995">
        <v>0</v>
      </c>
      <c r="E81" s="995">
        <v>0</v>
      </c>
      <c r="F81"/>
      <c r="G81"/>
    </row>
    <row r="82" spans="1:7" hidden="1">
      <c r="A82" s="993" t="s">
        <v>756</v>
      </c>
      <c r="B82" s="995">
        <v>494</v>
      </c>
      <c r="C82" s="995">
        <v>494</v>
      </c>
      <c r="D82" s="995">
        <v>494</v>
      </c>
      <c r="E82" s="995">
        <v>494</v>
      </c>
      <c r="F82"/>
      <c r="G82"/>
    </row>
    <row r="83" spans="1:7" hidden="1">
      <c r="A83" s="993" t="s">
        <v>760</v>
      </c>
      <c r="B83" s="995">
        <v>779</v>
      </c>
      <c r="C83" s="995">
        <v>0</v>
      </c>
      <c r="D83" s="995">
        <v>779</v>
      </c>
      <c r="E83" s="995">
        <v>0</v>
      </c>
      <c r="F83"/>
      <c r="G83"/>
    </row>
    <row r="84" spans="1:7" hidden="1">
      <c r="A84" s="993" t="s">
        <v>262</v>
      </c>
      <c r="B84" s="995">
        <v>519</v>
      </c>
      <c r="C84" s="995">
        <v>519</v>
      </c>
      <c r="D84" s="995">
        <v>519</v>
      </c>
      <c r="E84" s="995">
        <v>519</v>
      </c>
      <c r="F84"/>
      <c r="G84"/>
    </row>
    <row r="85" spans="1:7" hidden="1">
      <c r="A85" s="993" t="s">
        <v>155</v>
      </c>
      <c r="B85" s="995">
        <v>837</v>
      </c>
      <c r="C85" s="995">
        <v>837</v>
      </c>
      <c r="D85" s="995">
        <v>640</v>
      </c>
      <c r="E85" s="995">
        <v>66.666666666666671</v>
      </c>
      <c r="F85"/>
      <c r="G85"/>
    </row>
    <row r="86" spans="1:7" hidden="1">
      <c r="A86" s="993" t="s">
        <v>225</v>
      </c>
      <c r="B86" s="995">
        <v>3652</v>
      </c>
      <c r="C86" s="995">
        <v>1500</v>
      </c>
      <c r="D86" s="995">
        <v>3652</v>
      </c>
      <c r="E86" s="995">
        <v>1333.3333333333333</v>
      </c>
      <c r="F86"/>
      <c r="G86"/>
    </row>
    <row r="87" spans="1:7" hidden="1">
      <c r="A87" s="993" t="s">
        <v>206</v>
      </c>
      <c r="B87" s="995">
        <v>235</v>
      </c>
      <c r="C87" s="995">
        <v>235</v>
      </c>
      <c r="D87" s="995">
        <v>140</v>
      </c>
      <c r="E87" s="995">
        <v>235</v>
      </c>
      <c r="F87"/>
      <c r="G87"/>
    </row>
    <row r="88" spans="1:7" hidden="1">
      <c r="A88" s="993" t="s">
        <v>232</v>
      </c>
      <c r="B88" s="995">
        <v>862</v>
      </c>
      <c r="C88" s="995">
        <v>0</v>
      </c>
      <c r="D88" s="995">
        <v>0</v>
      </c>
      <c r="E88" s="995">
        <v>0</v>
      </c>
      <c r="F88"/>
      <c r="G88"/>
    </row>
    <row r="89" spans="1:7" hidden="1">
      <c r="A89" s="993" t="s">
        <v>565</v>
      </c>
      <c r="B89" s="995">
        <v>1786</v>
      </c>
      <c r="C89" s="995">
        <v>0</v>
      </c>
      <c r="D89" s="995">
        <v>0</v>
      </c>
      <c r="E89" s="995">
        <v>500</v>
      </c>
      <c r="F89"/>
      <c r="G89"/>
    </row>
    <row r="90" spans="1:7" hidden="1">
      <c r="A90" s="993" t="s">
        <v>652</v>
      </c>
      <c r="B90" s="995">
        <v>91</v>
      </c>
      <c r="C90" s="995">
        <v>91</v>
      </c>
      <c r="D90" s="995">
        <v>91</v>
      </c>
      <c r="E90" s="995">
        <v>91</v>
      </c>
      <c r="F90"/>
      <c r="G90"/>
    </row>
    <row r="91" spans="1:7" hidden="1">
      <c r="A91" s="993" t="s">
        <v>1088</v>
      </c>
      <c r="B91" s="995">
        <v>56</v>
      </c>
      <c r="C91" s="995">
        <v>0</v>
      </c>
      <c r="D91" s="995">
        <v>0</v>
      </c>
      <c r="E91" s="995">
        <v>0</v>
      </c>
      <c r="F91"/>
      <c r="G91"/>
    </row>
    <row r="92" spans="1:7" hidden="1">
      <c r="A92" s="993" t="s">
        <v>169</v>
      </c>
      <c r="B92" s="995">
        <v>1050</v>
      </c>
      <c r="C92" s="995">
        <v>1050</v>
      </c>
      <c r="D92" s="995">
        <v>860</v>
      </c>
      <c r="E92" s="995">
        <v>1050</v>
      </c>
      <c r="F92"/>
      <c r="G92"/>
    </row>
    <row r="93" spans="1:7" hidden="1">
      <c r="A93" s="993" t="s">
        <v>241</v>
      </c>
      <c r="B93" s="995">
        <v>430</v>
      </c>
      <c r="C93" s="995">
        <v>430</v>
      </c>
      <c r="D93" s="995">
        <v>430</v>
      </c>
      <c r="E93" s="995">
        <v>400</v>
      </c>
      <c r="F93"/>
      <c r="G93"/>
    </row>
    <row r="94" spans="1:7" hidden="1">
      <c r="A94" s="993" t="s">
        <v>298</v>
      </c>
      <c r="B94" s="995">
        <v>8486</v>
      </c>
      <c r="C94" s="995">
        <v>1000</v>
      </c>
      <c r="D94" s="995">
        <v>440</v>
      </c>
      <c r="E94" s="995">
        <v>400</v>
      </c>
      <c r="F94"/>
      <c r="G94"/>
    </row>
    <row r="95" spans="1:7" hidden="1">
      <c r="A95" s="993" t="s">
        <v>658</v>
      </c>
      <c r="B95" s="995">
        <v>658</v>
      </c>
      <c r="C95" s="995">
        <v>658</v>
      </c>
      <c r="D95" s="995">
        <v>420</v>
      </c>
      <c r="E95" s="995">
        <v>500.00000000000006</v>
      </c>
      <c r="F95"/>
      <c r="G95"/>
    </row>
    <row r="96" spans="1:7" hidden="1">
      <c r="A96" s="993" t="s">
        <v>385</v>
      </c>
      <c r="B96" s="995">
        <v>2392</v>
      </c>
      <c r="C96" s="995">
        <v>2392</v>
      </c>
      <c r="D96" s="995">
        <v>0</v>
      </c>
      <c r="E96" s="995">
        <v>0</v>
      </c>
      <c r="F96"/>
      <c r="G96"/>
    </row>
    <row r="97" spans="1:7" hidden="1">
      <c r="A97" s="993" t="s">
        <v>215</v>
      </c>
      <c r="B97" s="995">
        <v>106</v>
      </c>
      <c r="C97" s="995">
        <v>0</v>
      </c>
      <c r="D97" s="995">
        <v>60</v>
      </c>
      <c r="E97" s="995">
        <v>106</v>
      </c>
      <c r="F97"/>
      <c r="G97"/>
    </row>
    <row r="98" spans="1:7" hidden="1">
      <c r="A98" s="993" t="s">
        <v>419</v>
      </c>
      <c r="B98" s="995">
        <v>217</v>
      </c>
      <c r="C98" s="995">
        <v>217</v>
      </c>
      <c r="D98" s="995">
        <v>0</v>
      </c>
      <c r="E98" s="995">
        <v>0</v>
      </c>
      <c r="F98"/>
      <c r="G98"/>
    </row>
    <row r="99" spans="1:7" hidden="1">
      <c r="A99" s="993" t="s">
        <v>217</v>
      </c>
      <c r="B99" s="995">
        <v>94</v>
      </c>
      <c r="C99" s="995">
        <v>0</v>
      </c>
      <c r="D99" s="995">
        <v>94</v>
      </c>
      <c r="E99" s="995">
        <v>94</v>
      </c>
      <c r="F99"/>
      <c r="G99"/>
    </row>
    <row r="100" spans="1:7" hidden="1">
      <c r="A100" s="993" t="s">
        <v>663</v>
      </c>
      <c r="B100" s="995">
        <v>557</v>
      </c>
      <c r="C100" s="995">
        <v>0</v>
      </c>
      <c r="D100" s="995">
        <v>0</v>
      </c>
      <c r="E100" s="995">
        <v>0</v>
      </c>
      <c r="F100"/>
      <c r="G100"/>
    </row>
    <row r="101" spans="1:7" hidden="1">
      <c r="A101" s="993" t="s">
        <v>1026</v>
      </c>
      <c r="B101" s="995">
        <v>18</v>
      </c>
      <c r="C101" s="995">
        <v>0</v>
      </c>
      <c r="D101" s="995">
        <v>0</v>
      </c>
      <c r="E101" s="995">
        <v>0</v>
      </c>
      <c r="F101"/>
      <c r="G101"/>
    </row>
    <row r="102" spans="1:7" hidden="1">
      <c r="A102" s="993" t="s">
        <v>627</v>
      </c>
      <c r="B102" s="995">
        <v>100</v>
      </c>
      <c r="C102" s="995">
        <v>100</v>
      </c>
      <c r="D102" s="995">
        <v>0</v>
      </c>
      <c r="E102" s="995">
        <v>0</v>
      </c>
      <c r="F102"/>
      <c r="G102"/>
    </row>
    <row r="103" spans="1:7" hidden="1">
      <c r="A103" s="993" t="s">
        <v>741</v>
      </c>
      <c r="B103" s="995">
        <v>442</v>
      </c>
      <c r="C103" s="995">
        <v>442</v>
      </c>
      <c r="D103" s="995">
        <v>442</v>
      </c>
      <c r="E103" s="995">
        <v>442</v>
      </c>
      <c r="F103"/>
      <c r="G103"/>
    </row>
    <row r="104" spans="1:7" hidden="1">
      <c r="A104" s="993" t="s">
        <v>742</v>
      </c>
      <c r="B104" s="995">
        <v>292</v>
      </c>
      <c r="C104" s="995">
        <v>292</v>
      </c>
      <c r="D104" s="995">
        <v>240</v>
      </c>
      <c r="E104" s="995">
        <v>292</v>
      </c>
      <c r="F104"/>
      <c r="G104"/>
    </row>
    <row r="105" spans="1:7" hidden="1">
      <c r="A105" s="993" t="s">
        <v>747</v>
      </c>
      <c r="B105" s="995">
        <v>156</v>
      </c>
      <c r="C105" s="995">
        <v>156</v>
      </c>
      <c r="D105" s="995">
        <v>156</v>
      </c>
      <c r="E105" s="995">
        <v>156</v>
      </c>
      <c r="F105"/>
      <c r="G105"/>
    </row>
    <row r="106" spans="1:7" hidden="1">
      <c r="A106" s="993" t="s">
        <v>721</v>
      </c>
      <c r="B106" s="995">
        <v>138</v>
      </c>
      <c r="C106" s="995">
        <v>0</v>
      </c>
      <c r="D106" s="995">
        <v>0</v>
      </c>
      <c r="E106" s="995">
        <v>0</v>
      </c>
      <c r="F106"/>
      <c r="G106"/>
    </row>
    <row r="107" spans="1:7" hidden="1">
      <c r="A107" s="993" t="s">
        <v>672</v>
      </c>
      <c r="B107" s="995">
        <v>207</v>
      </c>
      <c r="C107" s="995">
        <v>0</v>
      </c>
      <c r="D107" s="995">
        <v>0</v>
      </c>
      <c r="E107" s="995">
        <v>207</v>
      </c>
      <c r="F107"/>
      <c r="G107"/>
    </row>
    <row r="108" spans="1:7" hidden="1">
      <c r="A108" s="993" t="s">
        <v>631</v>
      </c>
      <c r="B108" s="995">
        <v>523</v>
      </c>
      <c r="C108" s="995">
        <v>523</v>
      </c>
      <c r="D108" s="995">
        <v>0</v>
      </c>
      <c r="E108" s="995">
        <v>523</v>
      </c>
      <c r="F108"/>
      <c r="G108"/>
    </row>
    <row r="109" spans="1:7" hidden="1">
      <c r="A109" s="993" t="s">
        <v>633</v>
      </c>
      <c r="B109" s="995">
        <v>184</v>
      </c>
      <c r="C109" s="995">
        <v>0</v>
      </c>
      <c r="D109" s="995">
        <v>0</v>
      </c>
      <c r="E109" s="995">
        <v>184</v>
      </c>
      <c r="F109"/>
      <c r="G109"/>
    </row>
    <row r="110" spans="1:7" hidden="1">
      <c r="A110" s="993" t="s">
        <v>386</v>
      </c>
      <c r="B110" s="995">
        <v>989</v>
      </c>
      <c r="C110" s="995">
        <v>989</v>
      </c>
      <c r="D110" s="995">
        <v>989</v>
      </c>
      <c r="E110" s="995">
        <v>989</v>
      </c>
      <c r="F110"/>
      <c r="G110"/>
    </row>
    <row r="111" spans="1:7" hidden="1">
      <c r="A111" s="993" t="s">
        <v>428</v>
      </c>
      <c r="B111" s="995">
        <v>6042</v>
      </c>
      <c r="C111" s="995">
        <v>6042</v>
      </c>
      <c r="D111" s="995">
        <v>2780</v>
      </c>
      <c r="E111" s="995">
        <v>6042</v>
      </c>
      <c r="F111"/>
      <c r="G111"/>
    </row>
    <row r="112" spans="1:7" hidden="1">
      <c r="A112" s="993" t="s">
        <v>468</v>
      </c>
      <c r="B112" s="995">
        <v>811</v>
      </c>
      <c r="C112" s="995">
        <v>0</v>
      </c>
      <c r="D112" s="995">
        <v>0</v>
      </c>
      <c r="E112" s="995">
        <v>0</v>
      </c>
      <c r="F112"/>
      <c r="G112"/>
    </row>
    <row r="113" spans="1:7" hidden="1">
      <c r="A113" s="993" t="s">
        <v>744</v>
      </c>
      <c r="B113" s="995">
        <v>290</v>
      </c>
      <c r="C113" s="995">
        <v>0</v>
      </c>
      <c r="D113" s="995">
        <v>0</v>
      </c>
      <c r="E113" s="995">
        <v>0</v>
      </c>
      <c r="F113"/>
      <c r="G113"/>
    </row>
    <row r="114" spans="1:7" hidden="1">
      <c r="A114" s="993" t="s">
        <v>170</v>
      </c>
      <c r="B114" s="995">
        <v>194</v>
      </c>
      <c r="C114" s="995">
        <v>194</v>
      </c>
      <c r="D114" s="995">
        <v>80</v>
      </c>
      <c r="E114" s="995">
        <v>194</v>
      </c>
      <c r="F114"/>
      <c r="G114"/>
    </row>
    <row r="115" spans="1:7" hidden="1">
      <c r="A115" s="993" t="s">
        <v>161</v>
      </c>
      <c r="B115" s="995">
        <v>66</v>
      </c>
      <c r="C115" s="995">
        <v>66</v>
      </c>
      <c r="D115" s="995">
        <v>66</v>
      </c>
      <c r="E115" s="995">
        <v>66</v>
      </c>
      <c r="F115"/>
      <c r="G115"/>
    </row>
    <row r="116" spans="1:7" hidden="1">
      <c r="A116" s="993" t="s">
        <v>297</v>
      </c>
      <c r="B116" s="995">
        <v>2199</v>
      </c>
      <c r="C116" s="995">
        <v>0</v>
      </c>
      <c r="D116" s="995">
        <v>320</v>
      </c>
      <c r="E116" s="995">
        <v>500</v>
      </c>
      <c r="F116"/>
      <c r="G116"/>
    </row>
    <row r="117" spans="1:7" hidden="1">
      <c r="A117" s="993" t="s">
        <v>302</v>
      </c>
      <c r="B117" s="995">
        <v>2581</v>
      </c>
      <c r="C117" s="995">
        <v>2380</v>
      </c>
      <c r="D117" s="995">
        <v>2080</v>
      </c>
      <c r="E117" s="995">
        <v>1450</v>
      </c>
      <c r="F117"/>
      <c r="G117"/>
    </row>
    <row r="118" spans="1:7" hidden="1">
      <c r="A118" s="993" t="s">
        <v>785</v>
      </c>
      <c r="B118" s="995">
        <v>1691</v>
      </c>
      <c r="C118" s="995">
        <v>0</v>
      </c>
      <c r="D118" s="995">
        <v>0</v>
      </c>
      <c r="E118" s="995">
        <v>0</v>
      </c>
      <c r="F118"/>
      <c r="G118"/>
    </row>
    <row r="119" spans="1:7" hidden="1">
      <c r="A119" s="993" t="s">
        <v>251</v>
      </c>
      <c r="B119" s="995">
        <v>672</v>
      </c>
      <c r="C119" s="995">
        <v>672</v>
      </c>
      <c r="D119" s="995">
        <v>360</v>
      </c>
      <c r="E119" s="995">
        <v>316.73333333333335</v>
      </c>
      <c r="F119"/>
      <c r="G119"/>
    </row>
    <row r="120" spans="1:7" hidden="1">
      <c r="A120" s="993" t="s">
        <v>171</v>
      </c>
      <c r="B120" s="995">
        <v>547</v>
      </c>
      <c r="C120" s="995">
        <v>500</v>
      </c>
      <c r="D120" s="995">
        <v>160</v>
      </c>
      <c r="E120" s="995">
        <v>400</v>
      </c>
      <c r="F120"/>
      <c r="G120"/>
    </row>
    <row r="121" spans="1:7" hidden="1">
      <c r="A121" s="993" t="s">
        <v>172</v>
      </c>
      <c r="B121" s="995">
        <v>676</v>
      </c>
      <c r="C121" s="995">
        <v>500</v>
      </c>
      <c r="D121" s="995">
        <v>640</v>
      </c>
      <c r="E121" s="995">
        <v>676</v>
      </c>
      <c r="F121"/>
      <c r="G121"/>
    </row>
    <row r="122" spans="1:7" hidden="1">
      <c r="A122" s="993" t="s">
        <v>628</v>
      </c>
      <c r="B122" s="995">
        <v>157</v>
      </c>
      <c r="C122" s="995">
        <v>0</v>
      </c>
      <c r="D122" s="995">
        <v>0</v>
      </c>
      <c r="E122" s="995">
        <v>0</v>
      </c>
      <c r="F122"/>
      <c r="G122"/>
    </row>
    <row r="123" spans="1:7" hidden="1">
      <c r="A123" s="993" t="s">
        <v>255</v>
      </c>
      <c r="B123" s="995">
        <v>856</v>
      </c>
      <c r="C123" s="995">
        <v>856</v>
      </c>
      <c r="D123" s="995">
        <v>856</v>
      </c>
      <c r="E123" s="995">
        <v>0</v>
      </c>
      <c r="F123"/>
      <c r="G123"/>
    </row>
    <row r="124" spans="1:7" hidden="1">
      <c r="A124" s="993" t="s">
        <v>1120</v>
      </c>
      <c r="B124" s="995">
        <v>257</v>
      </c>
      <c r="C124" s="995">
        <v>0</v>
      </c>
      <c r="D124" s="995">
        <v>0</v>
      </c>
      <c r="E124" s="995">
        <v>0</v>
      </c>
      <c r="F124"/>
      <c r="G124"/>
    </row>
    <row r="125" spans="1:7" hidden="1">
      <c r="A125" s="993" t="s">
        <v>263</v>
      </c>
      <c r="B125" s="995">
        <v>103</v>
      </c>
      <c r="C125" s="995">
        <v>103</v>
      </c>
      <c r="D125" s="995">
        <v>80</v>
      </c>
      <c r="E125" s="995">
        <v>103</v>
      </c>
      <c r="F125"/>
      <c r="G125"/>
    </row>
    <row r="126" spans="1:7" hidden="1">
      <c r="A126" s="993" t="s">
        <v>264</v>
      </c>
      <c r="B126" s="995">
        <v>60</v>
      </c>
      <c r="C126" s="995">
        <v>60</v>
      </c>
      <c r="D126" s="995">
        <v>40</v>
      </c>
      <c r="E126" s="995">
        <v>6.6666666666666666E-2</v>
      </c>
      <c r="F126"/>
      <c r="G126"/>
    </row>
    <row r="127" spans="1:7" hidden="1">
      <c r="A127" s="993" t="s">
        <v>208</v>
      </c>
      <c r="B127" s="995">
        <v>800</v>
      </c>
      <c r="C127" s="995">
        <v>800</v>
      </c>
      <c r="D127" s="995">
        <v>380</v>
      </c>
      <c r="E127" s="995">
        <v>800</v>
      </c>
      <c r="F127"/>
      <c r="G127"/>
    </row>
    <row r="128" spans="1:7" hidden="1">
      <c r="A128" s="993" t="s">
        <v>745</v>
      </c>
      <c r="B128" s="995">
        <v>182</v>
      </c>
      <c r="C128" s="995">
        <v>182</v>
      </c>
      <c r="D128" s="995">
        <v>160</v>
      </c>
      <c r="E128" s="995">
        <v>6.6666666666666666E-2</v>
      </c>
      <c r="F128"/>
      <c r="G128"/>
    </row>
    <row r="129" spans="1:7" hidden="1">
      <c r="A129" s="993" t="s">
        <v>289</v>
      </c>
      <c r="B129" s="995">
        <v>240</v>
      </c>
      <c r="C129" s="995">
        <v>240</v>
      </c>
      <c r="D129" s="995">
        <v>180</v>
      </c>
      <c r="E129" s="995">
        <v>240</v>
      </c>
      <c r="F129"/>
      <c r="G129"/>
    </row>
    <row r="130" spans="1:7" hidden="1">
      <c r="A130" s="993" t="s">
        <v>290</v>
      </c>
      <c r="B130" s="995">
        <v>405</v>
      </c>
      <c r="C130" s="995">
        <v>405</v>
      </c>
      <c r="D130" s="995">
        <v>360</v>
      </c>
      <c r="E130" s="995">
        <v>405</v>
      </c>
      <c r="F130"/>
      <c r="G130"/>
    </row>
    <row r="131" spans="1:7" hidden="1">
      <c r="A131" s="993" t="s">
        <v>291</v>
      </c>
      <c r="B131" s="995">
        <v>1138</v>
      </c>
      <c r="C131" s="995">
        <v>1138</v>
      </c>
      <c r="D131" s="995">
        <v>760</v>
      </c>
      <c r="E131" s="995">
        <v>1138</v>
      </c>
      <c r="F131"/>
      <c r="G131"/>
    </row>
    <row r="132" spans="1:7" hidden="1">
      <c r="A132" s="993" t="s">
        <v>182</v>
      </c>
      <c r="B132" s="995">
        <v>289</v>
      </c>
      <c r="C132" s="995">
        <v>289</v>
      </c>
      <c r="D132" s="995">
        <v>40</v>
      </c>
      <c r="E132" s="995">
        <v>289</v>
      </c>
      <c r="F132"/>
      <c r="G132"/>
    </row>
    <row r="133" spans="1:7" hidden="1">
      <c r="A133" s="993" t="s">
        <v>296</v>
      </c>
      <c r="B133" s="995">
        <v>2350</v>
      </c>
      <c r="C133" s="995">
        <v>0</v>
      </c>
      <c r="D133" s="995">
        <v>0</v>
      </c>
      <c r="E133" s="995">
        <v>0</v>
      </c>
      <c r="F133"/>
      <c r="G133"/>
    </row>
    <row r="134" spans="1:7" hidden="1">
      <c r="A134" s="993" t="s">
        <v>184</v>
      </c>
      <c r="B134" s="995">
        <v>159</v>
      </c>
      <c r="C134" s="995">
        <v>159</v>
      </c>
      <c r="D134" s="995">
        <v>120</v>
      </c>
      <c r="E134" s="995">
        <v>159</v>
      </c>
      <c r="F134"/>
      <c r="G134"/>
    </row>
    <row r="135" spans="1:7" hidden="1">
      <c r="A135" s="993" t="s">
        <v>185</v>
      </c>
      <c r="B135" s="995">
        <v>1801</v>
      </c>
      <c r="C135" s="995">
        <v>0</v>
      </c>
      <c r="D135" s="995">
        <v>1272</v>
      </c>
      <c r="E135" s="995">
        <v>400</v>
      </c>
      <c r="F135"/>
      <c r="G135"/>
    </row>
    <row r="136" spans="1:7" hidden="1">
      <c r="A136" s="993" t="s">
        <v>277</v>
      </c>
      <c r="B136" s="995">
        <v>2065</v>
      </c>
      <c r="C136" s="995">
        <v>0</v>
      </c>
      <c r="D136" s="995">
        <v>820</v>
      </c>
      <c r="E136" s="995">
        <v>2065</v>
      </c>
      <c r="F136"/>
      <c r="G136"/>
    </row>
    <row r="137" spans="1:7" hidden="1">
      <c r="A137" s="993" t="s">
        <v>245</v>
      </c>
      <c r="B137" s="995">
        <v>1481</v>
      </c>
      <c r="C137" s="995">
        <v>1481</v>
      </c>
      <c r="D137" s="995">
        <v>1481</v>
      </c>
      <c r="E137" s="995">
        <v>1481</v>
      </c>
      <c r="F137"/>
      <c r="G137"/>
    </row>
    <row r="138" spans="1:7" hidden="1">
      <c r="A138" s="993" t="s">
        <v>186</v>
      </c>
      <c r="B138" s="995">
        <v>2500</v>
      </c>
      <c r="C138" s="995">
        <v>2500</v>
      </c>
      <c r="D138" s="995">
        <v>520</v>
      </c>
      <c r="E138" s="995">
        <v>2500</v>
      </c>
      <c r="F138"/>
      <c r="G138"/>
    </row>
    <row r="139" spans="1:7" hidden="1">
      <c r="A139" s="993" t="s">
        <v>187</v>
      </c>
      <c r="B139" s="995">
        <v>191</v>
      </c>
      <c r="C139" s="995">
        <v>191</v>
      </c>
      <c r="D139" s="995">
        <v>191</v>
      </c>
      <c r="E139" s="995">
        <v>191</v>
      </c>
      <c r="F139"/>
      <c r="G139"/>
    </row>
    <row r="140" spans="1:7" hidden="1">
      <c r="A140" s="993" t="s">
        <v>191</v>
      </c>
      <c r="B140" s="995">
        <v>1855</v>
      </c>
      <c r="C140" s="995">
        <v>1500</v>
      </c>
      <c r="D140" s="995">
        <v>1855</v>
      </c>
      <c r="E140" s="995">
        <v>1855</v>
      </c>
      <c r="F140"/>
      <c r="G140"/>
    </row>
    <row r="141" spans="1:7" hidden="1">
      <c r="A141" s="993" t="s">
        <v>41</v>
      </c>
      <c r="B141" s="995">
        <v>694</v>
      </c>
      <c r="C141" s="995">
        <v>694</v>
      </c>
      <c r="D141" s="995">
        <v>694</v>
      </c>
      <c r="E141" s="995">
        <v>694</v>
      </c>
      <c r="F141"/>
      <c r="G141"/>
    </row>
    <row r="142" spans="1:7" hidden="1">
      <c r="A142" s="993" t="s">
        <v>173</v>
      </c>
      <c r="B142" s="995">
        <v>290</v>
      </c>
      <c r="C142" s="995">
        <v>290</v>
      </c>
      <c r="D142" s="995">
        <v>140</v>
      </c>
      <c r="E142" s="995">
        <v>290</v>
      </c>
      <c r="F142"/>
      <c r="G142"/>
    </row>
    <row r="143" spans="1:7" hidden="1">
      <c r="A143" s="993" t="s">
        <v>218</v>
      </c>
      <c r="B143" s="995">
        <v>1258</v>
      </c>
      <c r="C143" s="995">
        <v>1258</v>
      </c>
      <c r="D143" s="995">
        <v>760</v>
      </c>
      <c r="E143" s="995">
        <v>1258</v>
      </c>
      <c r="F143"/>
      <c r="G143"/>
    </row>
    <row r="144" spans="1:7" hidden="1">
      <c r="A144" s="993" t="s">
        <v>295</v>
      </c>
      <c r="B144" s="995">
        <v>650</v>
      </c>
      <c r="C144" s="995">
        <v>650</v>
      </c>
      <c r="D144" s="995">
        <v>560</v>
      </c>
      <c r="E144" s="995">
        <v>650</v>
      </c>
      <c r="F144"/>
      <c r="G144"/>
    </row>
    <row r="145" spans="1:7" hidden="1">
      <c r="A145" s="993" t="s">
        <v>174</v>
      </c>
      <c r="B145" s="995">
        <v>547</v>
      </c>
      <c r="C145" s="995">
        <v>547</v>
      </c>
      <c r="D145" s="995">
        <v>547</v>
      </c>
      <c r="E145" s="995">
        <v>547</v>
      </c>
      <c r="F145"/>
      <c r="G145"/>
    </row>
    <row r="146" spans="1:7" hidden="1">
      <c r="A146" s="993" t="s">
        <v>758</v>
      </c>
      <c r="B146" s="995">
        <v>120</v>
      </c>
      <c r="C146" s="995">
        <v>0</v>
      </c>
      <c r="D146" s="995">
        <v>0</v>
      </c>
      <c r="E146" s="995">
        <v>0</v>
      </c>
      <c r="F146"/>
      <c r="G146"/>
    </row>
    <row r="147" spans="1:7" hidden="1">
      <c r="A147" s="993" t="s">
        <v>755</v>
      </c>
      <c r="B147" s="995">
        <v>86</v>
      </c>
      <c r="C147" s="995">
        <v>0</v>
      </c>
      <c r="D147" s="995">
        <v>0</v>
      </c>
      <c r="E147" s="995">
        <v>0</v>
      </c>
      <c r="F147"/>
      <c r="G147"/>
    </row>
    <row r="148" spans="1:7" hidden="1">
      <c r="A148" s="993" t="s">
        <v>306</v>
      </c>
      <c r="B148" s="995">
        <v>647</v>
      </c>
      <c r="C148" s="995">
        <v>0</v>
      </c>
      <c r="D148" s="995">
        <v>0</v>
      </c>
      <c r="E148" s="995">
        <v>0</v>
      </c>
      <c r="F148"/>
      <c r="G148"/>
    </row>
    <row r="149" spans="1:7" hidden="1">
      <c r="A149" s="993" t="s">
        <v>308</v>
      </c>
      <c r="B149" s="995">
        <v>524</v>
      </c>
      <c r="C149" s="995">
        <v>0</v>
      </c>
      <c r="D149" s="995">
        <v>0</v>
      </c>
      <c r="E149" s="995">
        <v>0</v>
      </c>
      <c r="F149"/>
      <c r="G149"/>
    </row>
    <row r="150" spans="1:7" hidden="1">
      <c r="A150" s="993" t="s">
        <v>309</v>
      </c>
      <c r="B150" s="995">
        <v>2338</v>
      </c>
      <c r="C150" s="995">
        <v>0</v>
      </c>
      <c r="D150" s="995">
        <v>0</v>
      </c>
      <c r="E150" s="995">
        <v>0</v>
      </c>
      <c r="F150"/>
      <c r="G150"/>
    </row>
    <row r="151" spans="1:7" hidden="1">
      <c r="A151" s="993" t="s">
        <v>310</v>
      </c>
      <c r="B151" s="995">
        <v>637</v>
      </c>
      <c r="C151" s="995">
        <v>0</v>
      </c>
      <c r="D151" s="995">
        <v>0</v>
      </c>
      <c r="E151" s="995">
        <v>0</v>
      </c>
      <c r="F151"/>
      <c r="G151"/>
    </row>
    <row r="152" spans="1:7" hidden="1">
      <c r="A152" s="993" t="s">
        <v>991</v>
      </c>
      <c r="B152" s="995">
        <v>834</v>
      </c>
      <c r="C152" s="995">
        <v>0</v>
      </c>
      <c r="D152" s="995">
        <v>0</v>
      </c>
      <c r="E152" s="995">
        <v>0</v>
      </c>
      <c r="F152"/>
      <c r="G152"/>
    </row>
    <row r="153" spans="1:7" hidden="1">
      <c r="A153" s="993" t="s">
        <v>219</v>
      </c>
      <c r="B153" s="995">
        <v>13</v>
      </c>
      <c r="C153" s="995">
        <v>0</v>
      </c>
      <c r="D153" s="995">
        <v>13</v>
      </c>
      <c r="E153" s="995">
        <v>13</v>
      </c>
      <c r="F153"/>
      <c r="G153"/>
    </row>
    <row r="154" spans="1:7" hidden="1">
      <c r="A154" s="993" t="s">
        <v>749</v>
      </c>
      <c r="B154" s="995">
        <v>147</v>
      </c>
      <c r="C154" s="995">
        <v>147</v>
      </c>
      <c r="D154" s="995">
        <v>147</v>
      </c>
      <c r="E154" s="995">
        <v>147</v>
      </c>
      <c r="F154"/>
      <c r="G154"/>
    </row>
    <row r="155" spans="1:7" hidden="1">
      <c r="A155" s="993" t="s">
        <v>724</v>
      </c>
      <c r="B155" s="995">
        <v>170</v>
      </c>
      <c r="C155" s="995">
        <v>170</v>
      </c>
      <c r="D155" s="995">
        <v>160</v>
      </c>
      <c r="E155" s="995">
        <v>170</v>
      </c>
      <c r="F155"/>
      <c r="G155"/>
    </row>
    <row r="156" spans="1:7" hidden="1">
      <c r="A156" s="993" t="s">
        <v>201</v>
      </c>
      <c r="B156" s="995">
        <v>807</v>
      </c>
      <c r="C156" s="995">
        <v>807</v>
      </c>
      <c r="D156" s="995">
        <v>800</v>
      </c>
      <c r="E156" s="995">
        <v>807</v>
      </c>
      <c r="F156"/>
      <c r="G156"/>
    </row>
    <row r="157" spans="1:7" hidden="1">
      <c r="A157" s="993" t="s">
        <v>1009</v>
      </c>
      <c r="B157" s="995">
        <v>290</v>
      </c>
      <c r="C157" s="995">
        <v>0</v>
      </c>
      <c r="D157" s="995">
        <v>0</v>
      </c>
      <c r="E157" s="995">
        <v>0</v>
      </c>
      <c r="F157"/>
      <c r="G157"/>
    </row>
    <row r="158" spans="1:7" hidden="1">
      <c r="A158" s="993" t="s">
        <v>271</v>
      </c>
      <c r="B158" s="995">
        <v>92</v>
      </c>
      <c r="C158" s="995">
        <v>0</v>
      </c>
      <c r="D158" s="995">
        <v>92</v>
      </c>
      <c r="E158" s="995">
        <v>92</v>
      </c>
      <c r="F158"/>
      <c r="G158"/>
    </row>
    <row r="159" spans="1:7" hidden="1">
      <c r="A159" s="993" t="s">
        <v>272</v>
      </c>
      <c r="B159" s="995">
        <v>123</v>
      </c>
      <c r="C159" s="995">
        <v>123</v>
      </c>
      <c r="D159" s="995">
        <v>100</v>
      </c>
      <c r="E159" s="995">
        <v>123</v>
      </c>
      <c r="F159"/>
      <c r="G159"/>
    </row>
    <row r="160" spans="1:7" hidden="1">
      <c r="A160" s="993" t="s">
        <v>449</v>
      </c>
      <c r="B160" s="995">
        <v>3486</v>
      </c>
      <c r="C160" s="995">
        <v>3486</v>
      </c>
      <c r="D160" s="995">
        <v>3260</v>
      </c>
      <c r="E160" s="995">
        <v>3486</v>
      </c>
      <c r="F160"/>
      <c r="G160"/>
    </row>
    <row r="161" spans="1:7" hidden="1">
      <c r="A161" s="993" t="s">
        <v>265</v>
      </c>
      <c r="B161" s="995">
        <v>15</v>
      </c>
      <c r="C161" s="995">
        <v>0</v>
      </c>
      <c r="D161" s="995">
        <v>0</v>
      </c>
      <c r="E161" s="995">
        <v>15</v>
      </c>
      <c r="F161"/>
      <c r="G161"/>
    </row>
    <row r="162" spans="1:7" hidden="1">
      <c r="A162" s="993" t="s">
        <v>614</v>
      </c>
      <c r="B162" s="995">
        <v>486</v>
      </c>
      <c r="C162" s="995">
        <v>0</v>
      </c>
      <c r="D162" s="995">
        <v>0</v>
      </c>
      <c r="E162" s="995">
        <v>486</v>
      </c>
      <c r="F162"/>
      <c r="G162"/>
    </row>
    <row r="163" spans="1:7" hidden="1">
      <c r="A163" s="993" t="s">
        <v>1044</v>
      </c>
      <c r="B163" s="995">
        <v>63</v>
      </c>
      <c r="C163" s="995">
        <v>0</v>
      </c>
      <c r="D163" s="995">
        <v>0</v>
      </c>
      <c r="E163" s="995">
        <v>0</v>
      </c>
      <c r="F163"/>
      <c r="G163"/>
    </row>
    <row r="164" spans="1:7" hidden="1">
      <c r="A164" s="993" t="s">
        <v>221</v>
      </c>
      <c r="B164" s="995">
        <v>453</v>
      </c>
      <c r="C164" s="995">
        <v>0</v>
      </c>
      <c r="D164" s="995">
        <v>160</v>
      </c>
      <c r="E164" s="995">
        <v>453</v>
      </c>
      <c r="F164"/>
      <c r="G164"/>
    </row>
    <row r="165" spans="1:7" hidden="1">
      <c r="A165" s="993" t="s">
        <v>1018</v>
      </c>
      <c r="B165" s="995">
        <v>1067</v>
      </c>
      <c r="C165" s="995">
        <v>0</v>
      </c>
      <c r="D165" s="995">
        <v>0</v>
      </c>
      <c r="E165" s="995">
        <v>0</v>
      </c>
      <c r="F165"/>
      <c r="G165"/>
    </row>
    <row r="166" spans="1:7" hidden="1">
      <c r="A166" s="993" t="s">
        <v>762</v>
      </c>
      <c r="B166" s="995">
        <v>276</v>
      </c>
      <c r="C166" s="995">
        <v>276</v>
      </c>
      <c r="D166" s="995">
        <v>200</v>
      </c>
      <c r="E166" s="995">
        <v>276</v>
      </c>
      <c r="F166"/>
      <c r="G166"/>
    </row>
    <row r="167" spans="1:7" hidden="1">
      <c r="A167" s="993" t="s">
        <v>746</v>
      </c>
      <c r="B167" s="995">
        <v>180</v>
      </c>
      <c r="C167" s="995">
        <v>180</v>
      </c>
      <c r="D167" s="995">
        <v>180</v>
      </c>
      <c r="E167" s="995">
        <v>180</v>
      </c>
      <c r="F167"/>
      <c r="G167"/>
    </row>
    <row r="168" spans="1:7" hidden="1">
      <c r="A168" s="993" t="s">
        <v>729</v>
      </c>
      <c r="B168" s="995">
        <v>265</v>
      </c>
      <c r="C168" s="995">
        <v>0</v>
      </c>
      <c r="D168" s="995">
        <v>0</v>
      </c>
      <c r="E168" s="995">
        <v>0</v>
      </c>
      <c r="F168"/>
      <c r="G168"/>
    </row>
    <row r="169" spans="1:7" hidden="1">
      <c r="A169" s="993" t="s">
        <v>725</v>
      </c>
      <c r="B169" s="995">
        <v>138</v>
      </c>
      <c r="C169" s="995">
        <v>0</v>
      </c>
      <c r="D169" s="995">
        <v>138</v>
      </c>
      <c r="E169" s="995">
        <v>138</v>
      </c>
      <c r="F169"/>
      <c r="G169"/>
    </row>
    <row r="170" spans="1:7" hidden="1">
      <c r="A170" s="993" t="s">
        <v>751</v>
      </c>
      <c r="B170" s="995">
        <v>207</v>
      </c>
      <c r="C170" s="995">
        <v>0</v>
      </c>
      <c r="D170" s="995">
        <v>207</v>
      </c>
      <c r="E170" s="995">
        <v>0</v>
      </c>
      <c r="F170"/>
      <c r="G170"/>
    </row>
    <row r="171" spans="1:7" hidden="1">
      <c r="A171" s="993" t="s">
        <v>727</v>
      </c>
      <c r="B171" s="995">
        <v>114</v>
      </c>
      <c r="C171" s="995">
        <v>114</v>
      </c>
      <c r="D171" s="995">
        <v>114</v>
      </c>
      <c r="E171" s="995">
        <v>114</v>
      </c>
      <c r="F171"/>
      <c r="G171"/>
    </row>
    <row r="172" spans="1:7" hidden="1">
      <c r="A172" s="993" t="s">
        <v>209</v>
      </c>
      <c r="B172" s="995">
        <v>49</v>
      </c>
      <c r="C172" s="995">
        <v>49</v>
      </c>
      <c r="D172" s="995">
        <v>40</v>
      </c>
      <c r="E172" s="995">
        <v>49</v>
      </c>
    </row>
    <row r="173" spans="1:7" hidden="1">
      <c r="A173" s="993" t="s">
        <v>198</v>
      </c>
      <c r="B173" s="995">
        <v>18</v>
      </c>
      <c r="C173" s="995">
        <v>0</v>
      </c>
      <c r="D173" s="995">
        <v>0</v>
      </c>
      <c r="E173" s="995">
        <v>0</v>
      </c>
    </row>
    <row r="174" spans="1:7" hidden="1">
      <c r="A174" s="993" t="s">
        <v>1028</v>
      </c>
      <c r="B174" s="995">
        <v>153</v>
      </c>
      <c r="C174" s="995">
        <v>0</v>
      </c>
      <c r="D174" s="995">
        <v>0</v>
      </c>
      <c r="E174" s="995">
        <v>0</v>
      </c>
    </row>
    <row r="175" spans="1:7" hidden="1">
      <c r="A175" s="993" t="s">
        <v>728</v>
      </c>
      <c r="B175" s="995">
        <v>570</v>
      </c>
      <c r="C175" s="995">
        <v>570</v>
      </c>
      <c r="D175" s="995">
        <v>340</v>
      </c>
      <c r="E175" s="995">
        <v>500</v>
      </c>
    </row>
    <row r="176" spans="1:7" hidden="1">
      <c r="A176" s="993" t="s">
        <v>764</v>
      </c>
      <c r="B176" s="995">
        <v>350</v>
      </c>
      <c r="C176" s="995">
        <v>0</v>
      </c>
      <c r="D176" s="995">
        <v>0</v>
      </c>
      <c r="E176" s="995">
        <v>0</v>
      </c>
    </row>
    <row r="177" spans="1:5" hidden="1">
      <c r="A177" s="993" t="s">
        <v>752</v>
      </c>
      <c r="B177" s="995">
        <v>176</v>
      </c>
      <c r="C177" s="995">
        <v>0</v>
      </c>
      <c r="D177" s="995">
        <v>0</v>
      </c>
      <c r="E177" s="995">
        <v>0</v>
      </c>
    </row>
    <row r="178" spans="1:5" hidden="1">
      <c r="A178" s="993" t="s">
        <v>718</v>
      </c>
      <c r="B178" s="995">
        <v>209</v>
      </c>
      <c r="C178" s="995">
        <v>209</v>
      </c>
      <c r="D178" s="995">
        <v>209</v>
      </c>
      <c r="E178" s="995">
        <v>209</v>
      </c>
    </row>
    <row r="179" spans="1:5" hidden="1">
      <c r="A179" s="993" t="s">
        <v>732</v>
      </c>
      <c r="B179" s="995">
        <v>266</v>
      </c>
      <c r="C179" s="995">
        <v>266</v>
      </c>
      <c r="D179" s="995">
        <v>220</v>
      </c>
      <c r="E179" s="995">
        <v>266</v>
      </c>
    </row>
    <row r="180" spans="1:5" hidden="1">
      <c r="A180" s="993" t="s">
        <v>266</v>
      </c>
      <c r="B180" s="995">
        <v>42</v>
      </c>
      <c r="C180" s="995">
        <v>42</v>
      </c>
      <c r="D180" s="995">
        <v>42</v>
      </c>
      <c r="E180" s="995">
        <v>42</v>
      </c>
    </row>
    <row r="181" spans="1:5" hidden="1">
      <c r="A181" s="993" t="s">
        <v>736</v>
      </c>
      <c r="B181" s="995">
        <v>166</v>
      </c>
      <c r="C181" s="995">
        <v>166</v>
      </c>
      <c r="D181" s="995">
        <v>166</v>
      </c>
      <c r="E181" s="995">
        <v>166</v>
      </c>
    </row>
    <row r="182" spans="1:5" hidden="1">
      <c r="A182" s="993" t="s">
        <v>748</v>
      </c>
      <c r="B182" s="995">
        <v>263</v>
      </c>
      <c r="C182" s="995">
        <v>263</v>
      </c>
      <c r="D182" s="995">
        <v>160</v>
      </c>
      <c r="E182" s="995">
        <v>6.6666666666666666E-2</v>
      </c>
    </row>
    <row r="183" spans="1:5" hidden="1">
      <c r="A183" s="993" t="s">
        <v>754</v>
      </c>
      <c r="B183" s="995">
        <v>568</v>
      </c>
      <c r="C183" s="995">
        <v>0</v>
      </c>
      <c r="D183" s="995">
        <v>0</v>
      </c>
      <c r="E183" s="995">
        <v>0</v>
      </c>
    </row>
    <row r="184" spans="1:5" hidden="1">
      <c r="A184" s="993" t="s">
        <v>242</v>
      </c>
      <c r="B184" s="995">
        <v>309</v>
      </c>
      <c r="C184" s="995">
        <v>309</v>
      </c>
      <c r="D184" s="995">
        <v>309</v>
      </c>
      <c r="E184" s="995">
        <v>309</v>
      </c>
    </row>
    <row r="185" spans="1:5" hidden="1">
      <c r="A185" s="993" t="s">
        <v>664</v>
      </c>
      <c r="B185" s="995">
        <v>69</v>
      </c>
      <c r="C185" s="995">
        <v>69</v>
      </c>
      <c r="D185" s="995">
        <v>69</v>
      </c>
      <c r="E185" s="995">
        <v>69</v>
      </c>
    </row>
    <row r="186" spans="1:5" hidden="1">
      <c r="A186" s="993" t="s">
        <v>211</v>
      </c>
      <c r="B186" s="995">
        <v>76</v>
      </c>
      <c r="C186" s="995">
        <v>76</v>
      </c>
      <c r="D186" s="995">
        <v>76</v>
      </c>
      <c r="E186" s="995">
        <v>76</v>
      </c>
    </row>
    <row r="187" spans="1:5" hidden="1">
      <c r="A187" s="993" t="s">
        <v>239</v>
      </c>
      <c r="B187" s="995">
        <v>218</v>
      </c>
      <c r="C187" s="995">
        <v>218</v>
      </c>
      <c r="D187" s="995">
        <v>218</v>
      </c>
      <c r="E187" s="995">
        <v>218</v>
      </c>
    </row>
    <row r="188" spans="1:5" hidden="1">
      <c r="A188" s="993" t="s">
        <v>163</v>
      </c>
      <c r="B188" s="995">
        <v>41</v>
      </c>
      <c r="C188" s="995">
        <v>41</v>
      </c>
      <c r="D188" s="995">
        <v>41</v>
      </c>
      <c r="E188" s="995">
        <v>41</v>
      </c>
    </row>
    <row r="189" spans="1:5" hidden="1">
      <c r="A189" s="993" t="s">
        <v>278</v>
      </c>
      <c r="B189" s="995">
        <v>82</v>
      </c>
      <c r="C189" s="995">
        <v>0</v>
      </c>
      <c r="D189" s="995">
        <v>82</v>
      </c>
      <c r="E189" s="995">
        <v>82</v>
      </c>
    </row>
    <row r="190" spans="1:5" hidden="1">
      <c r="A190" s="993" t="s">
        <v>166</v>
      </c>
      <c r="B190" s="995">
        <v>113</v>
      </c>
      <c r="C190" s="995">
        <v>113</v>
      </c>
      <c r="D190" s="995">
        <v>100</v>
      </c>
      <c r="E190" s="995">
        <v>113</v>
      </c>
    </row>
    <row r="191" spans="1:5" hidden="1">
      <c r="A191" s="993" t="s">
        <v>573</v>
      </c>
      <c r="B191" s="995">
        <v>1503</v>
      </c>
      <c r="C191" s="995">
        <v>0</v>
      </c>
      <c r="D191" s="995">
        <v>0</v>
      </c>
      <c r="E191" s="995">
        <v>1000.0000000000001</v>
      </c>
    </row>
    <row r="192" spans="1:5" hidden="1">
      <c r="A192" s="993" t="s">
        <v>193</v>
      </c>
      <c r="B192" s="995">
        <v>547</v>
      </c>
      <c r="C192" s="995">
        <v>547</v>
      </c>
      <c r="D192" s="995">
        <v>547</v>
      </c>
      <c r="E192" s="995">
        <v>0</v>
      </c>
    </row>
    <row r="193" spans="1:5" hidden="1">
      <c r="A193" s="993" t="s">
        <v>743</v>
      </c>
      <c r="B193" s="995">
        <v>632</v>
      </c>
      <c r="C193" s="995">
        <v>632</v>
      </c>
      <c r="D193" s="995">
        <v>618</v>
      </c>
      <c r="E193" s="995">
        <v>632</v>
      </c>
    </row>
    <row r="194" spans="1:5" hidden="1">
      <c r="A194" s="993" t="s">
        <v>709</v>
      </c>
      <c r="B194" s="995">
        <v>915</v>
      </c>
      <c r="C194" s="995">
        <v>0</v>
      </c>
      <c r="D194" s="995">
        <v>0</v>
      </c>
      <c r="E194" s="995">
        <v>750</v>
      </c>
    </row>
    <row r="195" spans="1:5" hidden="1">
      <c r="A195" s="993" t="s">
        <v>634</v>
      </c>
      <c r="B195" s="995">
        <v>631</v>
      </c>
      <c r="C195" s="995">
        <v>0</v>
      </c>
      <c r="D195" s="995">
        <v>0</v>
      </c>
      <c r="E195" s="995">
        <v>250</v>
      </c>
    </row>
    <row r="196" spans="1:5" hidden="1">
      <c r="A196" s="993" t="s">
        <v>424</v>
      </c>
      <c r="B196" s="995">
        <v>4645</v>
      </c>
      <c r="C196" s="995">
        <v>4645</v>
      </c>
      <c r="D196" s="995">
        <v>1780</v>
      </c>
      <c r="E196" s="995">
        <v>250</v>
      </c>
    </row>
    <row r="197" spans="1:5" hidden="1">
      <c r="A197" s="993" t="s">
        <v>425</v>
      </c>
      <c r="B197" s="995">
        <v>4104</v>
      </c>
      <c r="C197" s="995">
        <v>4104</v>
      </c>
      <c r="D197" s="995">
        <v>2480</v>
      </c>
      <c r="E197" s="995">
        <v>4104</v>
      </c>
    </row>
    <row r="198" spans="1:5" hidden="1">
      <c r="A198" s="993" t="s">
        <v>535</v>
      </c>
      <c r="B198" s="995">
        <v>361</v>
      </c>
      <c r="C198" s="995">
        <v>361</v>
      </c>
      <c r="D198" s="995">
        <v>0</v>
      </c>
      <c r="E198" s="995">
        <v>361</v>
      </c>
    </row>
    <row r="199" spans="1:5" hidden="1">
      <c r="A199" s="993" t="s">
        <v>303</v>
      </c>
      <c r="B199" s="995">
        <v>1722</v>
      </c>
      <c r="C199" s="995">
        <v>1380</v>
      </c>
      <c r="D199" s="995">
        <v>1722</v>
      </c>
      <c r="E199" s="995">
        <v>1722</v>
      </c>
    </row>
    <row r="200" spans="1:5" hidden="1">
      <c r="A200" s="993" t="s">
        <v>3006</v>
      </c>
      <c r="B200" s="995">
        <v>581</v>
      </c>
      <c r="C200" s="995">
        <v>0</v>
      </c>
      <c r="D200" s="995">
        <v>260</v>
      </c>
      <c r="E200" s="995">
        <v>581</v>
      </c>
    </row>
    <row r="201" spans="1:5" hidden="1">
      <c r="A201" s="993" t="s">
        <v>175</v>
      </c>
      <c r="B201" s="995">
        <v>281</v>
      </c>
      <c r="C201" s="995">
        <v>281</v>
      </c>
      <c r="D201" s="995">
        <v>281</v>
      </c>
      <c r="E201" s="995">
        <v>281</v>
      </c>
    </row>
    <row r="202" spans="1:5" hidden="1">
      <c r="A202" s="993" t="s">
        <v>600</v>
      </c>
      <c r="B202" s="995">
        <v>854</v>
      </c>
      <c r="C202" s="995">
        <v>854</v>
      </c>
      <c r="D202" s="995">
        <v>0</v>
      </c>
      <c r="E202" s="995">
        <v>854</v>
      </c>
    </row>
    <row r="203" spans="1:5" hidden="1">
      <c r="A203" s="993" t="s">
        <v>562</v>
      </c>
      <c r="B203" s="995">
        <v>1089</v>
      </c>
      <c r="C203" s="995">
        <v>1089</v>
      </c>
      <c r="D203" s="995">
        <v>0</v>
      </c>
      <c r="E203" s="995">
        <v>0</v>
      </c>
    </row>
    <row r="204" spans="1:5" hidden="1">
      <c r="A204" s="993" t="s">
        <v>292</v>
      </c>
      <c r="B204" s="995">
        <v>300</v>
      </c>
      <c r="C204" s="995">
        <v>300</v>
      </c>
      <c r="D204" s="995">
        <v>300</v>
      </c>
      <c r="E204" s="995">
        <v>300</v>
      </c>
    </row>
    <row r="205" spans="1:5" hidden="1">
      <c r="A205" s="993" t="s">
        <v>475</v>
      </c>
      <c r="B205" s="995">
        <v>1751</v>
      </c>
      <c r="C205" s="995">
        <v>0</v>
      </c>
      <c r="D205" s="995">
        <v>0</v>
      </c>
      <c r="E205" s="995">
        <v>0</v>
      </c>
    </row>
    <row r="206" spans="1:5" hidden="1">
      <c r="A206" s="993" t="s">
        <v>459</v>
      </c>
      <c r="B206" s="995">
        <v>3095</v>
      </c>
      <c r="C206" s="995">
        <v>3095</v>
      </c>
      <c r="D206" s="995">
        <v>3095</v>
      </c>
      <c r="E206" s="995">
        <v>3095</v>
      </c>
    </row>
    <row r="207" spans="1:5" hidden="1">
      <c r="A207" s="993" t="s">
        <v>454</v>
      </c>
      <c r="B207" s="995">
        <v>1065</v>
      </c>
      <c r="C207" s="995">
        <v>0</v>
      </c>
      <c r="D207" s="995">
        <v>0</v>
      </c>
      <c r="E207" s="995">
        <v>1065</v>
      </c>
    </row>
    <row r="208" spans="1:5" hidden="1">
      <c r="A208" s="993" t="s">
        <v>450</v>
      </c>
      <c r="B208" s="995">
        <v>13302</v>
      </c>
      <c r="C208" s="995">
        <v>13302</v>
      </c>
      <c r="D208" s="995">
        <v>6940</v>
      </c>
      <c r="E208" s="995">
        <v>13302</v>
      </c>
    </row>
    <row r="209" spans="1:5" hidden="1">
      <c r="A209" s="993" t="s">
        <v>448</v>
      </c>
      <c r="B209" s="995">
        <v>11375</v>
      </c>
      <c r="C209" s="995">
        <v>11375</v>
      </c>
      <c r="D209" s="995">
        <v>11375</v>
      </c>
      <c r="E209" s="995">
        <v>11375</v>
      </c>
    </row>
    <row r="210" spans="1:5" hidden="1">
      <c r="A210" s="993" t="s">
        <v>561</v>
      </c>
      <c r="B210" s="995">
        <v>534</v>
      </c>
      <c r="C210" s="995">
        <v>0</v>
      </c>
      <c r="D210" s="995">
        <v>534</v>
      </c>
      <c r="E210" s="995">
        <v>0</v>
      </c>
    </row>
    <row r="211" spans="1:5" hidden="1">
      <c r="A211" s="993" t="s">
        <v>554</v>
      </c>
      <c r="B211" s="995">
        <v>394</v>
      </c>
      <c r="C211" s="995">
        <v>0</v>
      </c>
      <c r="D211" s="995">
        <v>0</v>
      </c>
      <c r="E211" s="995">
        <v>394</v>
      </c>
    </row>
    <row r="212" spans="1:5" hidden="1">
      <c r="A212" s="993" t="s">
        <v>243</v>
      </c>
      <c r="B212" s="995">
        <v>882</v>
      </c>
      <c r="C212" s="995">
        <v>882</v>
      </c>
      <c r="D212" s="995">
        <v>882</v>
      </c>
      <c r="E212" s="995">
        <v>882</v>
      </c>
    </row>
    <row r="213" spans="1:5" hidden="1">
      <c r="A213" s="993" t="s">
        <v>304</v>
      </c>
      <c r="B213" s="995">
        <v>3316</v>
      </c>
      <c r="C213" s="995">
        <v>2245</v>
      </c>
      <c r="D213" s="995">
        <v>3316</v>
      </c>
      <c r="E213" s="995">
        <v>1249.9999999999998</v>
      </c>
    </row>
    <row r="214" spans="1:5" hidden="1">
      <c r="A214" s="993" t="s">
        <v>188</v>
      </c>
      <c r="B214" s="995">
        <v>846</v>
      </c>
      <c r="C214" s="995">
        <v>846</v>
      </c>
      <c r="D214" s="995">
        <v>846</v>
      </c>
      <c r="E214" s="995">
        <v>200</v>
      </c>
    </row>
    <row r="215" spans="1:5" hidden="1">
      <c r="A215" s="993" t="s">
        <v>351</v>
      </c>
      <c r="B215" s="995">
        <v>203</v>
      </c>
      <c r="C215" s="995">
        <v>0</v>
      </c>
      <c r="D215" s="995">
        <v>0</v>
      </c>
      <c r="E215" s="995">
        <v>0</v>
      </c>
    </row>
    <row r="216" spans="1:5" hidden="1">
      <c r="A216" s="993" t="s">
        <v>676</v>
      </c>
      <c r="B216" s="995">
        <v>249</v>
      </c>
      <c r="C216" s="995">
        <v>0</v>
      </c>
      <c r="D216" s="995">
        <v>0</v>
      </c>
      <c r="E216" s="995">
        <v>0</v>
      </c>
    </row>
    <row r="217" spans="1:5" hidden="1">
      <c r="A217" s="993" t="s">
        <v>763</v>
      </c>
      <c r="B217" s="995">
        <v>191</v>
      </c>
      <c r="C217" s="995">
        <v>191</v>
      </c>
      <c r="D217" s="995">
        <v>191</v>
      </c>
      <c r="E217" s="995">
        <v>191</v>
      </c>
    </row>
    <row r="218" spans="1:5" hidden="1">
      <c r="A218" s="993" t="s">
        <v>738</v>
      </c>
      <c r="B218" s="995">
        <v>27</v>
      </c>
      <c r="C218" s="995">
        <v>0</v>
      </c>
      <c r="D218" s="995">
        <v>0</v>
      </c>
      <c r="E218" s="995">
        <v>0</v>
      </c>
    </row>
    <row r="219" spans="1:5" hidden="1">
      <c r="A219" s="993" t="s">
        <v>233</v>
      </c>
      <c r="B219" s="995">
        <v>264</v>
      </c>
      <c r="C219" s="995">
        <v>264</v>
      </c>
      <c r="D219" s="995">
        <v>264</v>
      </c>
      <c r="E219" s="995">
        <v>66.666666666666671</v>
      </c>
    </row>
    <row r="220" spans="1:5" hidden="1">
      <c r="A220" s="993" t="s">
        <v>1948</v>
      </c>
      <c r="B220" s="995">
        <v>1397</v>
      </c>
      <c r="C220" s="995">
        <v>1397</v>
      </c>
      <c r="D220" s="995">
        <v>0</v>
      </c>
      <c r="E220" s="995">
        <v>0</v>
      </c>
    </row>
    <row r="221" spans="1:5" hidden="1">
      <c r="A221" s="993" t="s">
        <v>552</v>
      </c>
      <c r="B221" s="995">
        <v>188</v>
      </c>
      <c r="C221" s="995">
        <v>0</v>
      </c>
      <c r="D221" s="995">
        <v>188</v>
      </c>
      <c r="E221" s="995">
        <v>0</v>
      </c>
    </row>
    <row r="222" spans="1:5" hidden="1">
      <c r="A222" s="993" t="s">
        <v>287</v>
      </c>
      <c r="B222" s="995">
        <v>778</v>
      </c>
      <c r="C222" s="995">
        <v>778</v>
      </c>
      <c r="D222" s="995">
        <v>778</v>
      </c>
      <c r="E222" s="995">
        <v>778</v>
      </c>
    </row>
    <row r="223" spans="1:5" hidden="1">
      <c r="A223" s="993" t="s">
        <v>354</v>
      </c>
      <c r="B223" s="995">
        <v>792</v>
      </c>
      <c r="C223" s="995">
        <v>0</v>
      </c>
      <c r="D223" s="995">
        <v>0</v>
      </c>
      <c r="E223" s="995">
        <v>0</v>
      </c>
    </row>
    <row r="224" spans="1:5" hidden="1">
      <c r="A224" s="993" t="s">
        <v>246</v>
      </c>
      <c r="B224" s="995">
        <v>612</v>
      </c>
      <c r="C224" s="995">
        <v>612</v>
      </c>
      <c r="D224" s="995">
        <v>612</v>
      </c>
      <c r="E224" s="995">
        <v>66.666666666666671</v>
      </c>
    </row>
    <row r="225" spans="1:5" hidden="1">
      <c r="A225" s="993" t="s">
        <v>671</v>
      </c>
      <c r="B225" s="995">
        <v>825</v>
      </c>
      <c r="C225" s="995">
        <v>0</v>
      </c>
      <c r="D225" s="995">
        <v>0</v>
      </c>
      <c r="E225" s="995">
        <v>250</v>
      </c>
    </row>
    <row r="226" spans="1:5" hidden="1">
      <c r="A226" s="993" t="s">
        <v>712</v>
      </c>
      <c r="B226" s="995">
        <v>609</v>
      </c>
      <c r="C226" s="995">
        <v>0</v>
      </c>
      <c r="D226" s="995">
        <v>0</v>
      </c>
      <c r="E226" s="995">
        <v>609</v>
      </c>
    </row>
    <row r="227" spans="1:5" hidden="1">
      <c r="A227" s="993" t="s">
        <v>279</v>
      </c>
      <c r="B227" s="995">
        <v>493</v>
      </c>
      <c r="C227" s="995">
        <v>0</v>
      </c>
      <c r="D227" s="995">
        <v>200</v>
      </c>
      <c r="E227" s="995">
        <v>493</v>
      </c>
    </row>
    <row r="228" spans="1:5" hidden="1">
      <c r="A228" s="993" t="s">
        <v>189</v>
      </c>
      <c r="B228" s="995">
        <v>307</v>
      </c>
      <c r="C228" s="995">
        <v>307</v>
      </c>
      <c r="D228" s="995">
        <v>200</v>
      </c>
      <c r="E228" s="995">
        <v>307</v>
      </c>
    </row>
    <row r="229" spans="1:5" hidden="1">
      <c r="A229" s="993" t="s">
        <v>280</v>
      </c>
      <c r="B229" s="995">
        <v>189</v>
      </c>
      <c r="C229" s="995">
        <v>0</v>
      </c>
      <c r="D229" s="995">
        <v>160</v>
      </c>
      <c r="E229" s="995">
        <v>189</v>
      </c>
    </row>
    <row r="230" spans="1:5" hidden="1">
      <c r="A230" s="993" t="s">
        <v>267</v>
      </c>
      <c r="B230" s="995">
        <v>38</v>
      </c>
      <c r="C230" s="995">
        <v>38</v>
      </c>
      <c r="D230" s="995">
        <v>38</v>
      </c>
      <c r="E230" s="995">
        <v>38</v>
      </c>
    </row>
    <row r="231" spans="1:5" hidden="1">
      <c r="A231" s="993" t="s">
        <v>288</v>
      </c>
      <c r="B231" s="995">
        <v>4010</v>
      </c>
      <c r="C231" s="995">
        <v>3475</v>
      </c>
      <c r="D231" s="995">
        <v>3000</v>
      </c>
      <c r="E231" s="995">
        <v>4010</v>
      </c>
    </row>
    <row r="232" spans="1:5" hidden="1">
      <c r="A232" s="993" t="s">
        <v>1685</v>
      </c>
      <c r="B232" s="995">
        <v>1409</v>
      </c>
      <c r="C232" s="995">
        <v>0</v>
      </c>
      <c r="D232" s="995">
        <v>0</v>
      </c>
      <c r="E232" s="995">
        <v>0</v>
      </c>
    </row>
    <row r="233" spans="1:5" hidden="1">
      <c r="A233" s="993" t="s">
        <v>195</v>
      </c>
      <c r="B233" s="995">
        <v>325</v>
      </c>
      <c r="C233" s="995">
        <v>325</v>
      </c>
      <c r="D233" s="995">
        <v>325</v>
      </c>
      <c r="E233" s="995">
        <v>0</v>
      </c>
    </row>
    <row r="234" spans="1:5" hidden="1">
      <c r="A234" s="993" t="s">
        <v>602</v>
      </c>
      <c r="B234" s="995">
        <v>233</v>
      </c>
      <c r="C234" s="995">
        <v>233</v>
      </c>
      <c r="D234" s="995">
        <v>233</v>
      </c>
      <c r="E234" s="995">
        <v>233</v>
      </c>
    </row>
    <row r="235" spans="1:5" hidden="1">
      <c r="A235" s="993" t="s">
        <v>483</v>
      </c>
      <c r="B235" s="995">
        <v>513</v>
      </c>
      <c r="C235" s="995">
        <v>0</v>
      </c>
      <c r="D235" s="995">
        <v>0</v>
      </c>
      <c r="E235" s="995">
        <v>0</v>
      </c>
    </row>
    <row r="236" spans="1:5" hidden="1">
      <c r="A236" s="993" t="s">
        <v>164</v>
      </c>
      <c r="B236" s="995">
        <v>136</v>
      </c>
      <c r="C236" s="995">
        <v>136</v>
      </c>
      <c r="D236" s="995">
        <v>136</v>
      </c>
      <c r="E236" s="995">
        <v>136</v>
      </c>
    </row>
    <row r="237" spans="1:5" hidden="1">
      <c r="A237" s="993" t="s">
        <v>436</v>
      </c>
      <c r="B237" s="995">
        <v>1362</v>
      </c>
      <c r="C237" s="995">
        <v>1000</v>
      </c>
      <c r="D237" s="995">
        <v>0</v>
      </c>
      <c r="E237" s="995">
        <v>1362</v>
      </c>
    </row>
    <row r="238" spans="1:5" hidden="1">
      <c r="A238" s="993" t="s">
        <v>437</v>
      </c>
      <c r="B238" s="995">
        <v>2179</v>
      </c>
      <c r="C238" s="995">
        <v>500</v>
      </c>
      <c r="D238" s="995">
        <v>0</v>
      </c>
      <c r="E238" s="995">
        <v>0</v>
      </c>
    </row>
    <row r="239" spans="1:5" hidden="1">
      <c r="A239" s="993" t="s">
        <v>235</v>
      </c>
      <c r="B239" s="995">
        <v>173</v>
      </c>
      <c r="C239" s="995">
        <v>173</v>
      </c>
      <c r="D239" s="995">
        <v>173</v>
      </c>
      <c r="E239" s="995">
        <v>0</v>
      </c>
    </row>
    <row r="240" spans="1:5" hidden="1">
      <c r="A240" s="993" t="s">
        <v>590</v>
      </c>
      <c r="B240" s="995">
        <v>256</v>
      </c>
      <c r="C240" s="995">
        <v>256</v>
      </c>
      <c r="D240" s="995">
        <v>0</v>
      </c>
      <c r="E240" s="995">
        <v>0</v>
      </c>
    </row>
    <row r="241" spans="1:5" hidden="1">
      <c r="A241" s="993" t="s">
        <v>457</v>
      </c>
      <c r="B241" s="995">
        <v>11564</v>
      </c>
      <c r="C241" s="995">
        <v>11564</v>
      </c>
      <c r="D241" s="995">
        <v>9160</v>
      </c>
      <c r="E241" s="995">
        <v>11564</v>
      </c>
    </row>
    <row r="242" spans="1:5" hidden="1">
      <c r="A242" s="993" t="s">
        <v>455</v>
      </c>
      <c r="B242" s="995">
        <v>1847</v>
      </c>
      <c r="C242" s="995">
        <v>0</v>
      </c>
      <c r="D242" s="995">
        <v>0</v>
      </c>
      <c r="E242" s="995">
        <v>695</v>
      </c>
    </row>
    <row r="243" spans="1:5" hidden="1">
      <c r="A243" s="993" t="s">
        <v>451</v>
      </c>
      <c r="B243" s="995">
        <v>1390</v>
      </c>
      <c r="C243" s="995">
        <v>0</v>
      </c>
      <c r="D243" s="995">
        <v>0</v>
      </c>
      <c r="E243" s="995">
        <v>1390</v>
      </c>
    </row>
    <row r="244" spans="1:5" hidden="1">
      <c r="A244" s="993" t="s">
        <v>294</v>
      </c>
      <c r="B244" s="995">
        <v>253</v>
      </c>
      <c r="C244" s="995">
        <v>253</v>
      </c>
      <c r="D244" s="995">
        <v>253</v>
      </c>
      <c r="E244" s="995">
        <v>253</v>
      </c>
    </row>
    <row r="245" spans="1:5" hidden="1">
      <c r="A245" s="993" t="s">
        <v>434</v>
      </c>
      <c r="B245" s="995">
        <v>442</v>
      </c>
      <c r="C245" s="995">
        <v>0</v>
      </c>
      <c r="D245" s="995">
        <v>0</v>
      </c>
      <c r="E245" s="995">
        <v>0</v>
      </c>
    </row>
    <row r="246" spans="1:5" hidden="1">
      <c r="A246" s="993" t="s">
        <v>1944</v>
      </c>
      <c r="B246" s="995">
        <v>625</v>
      </c>
      <c r="C246" s="995">
        <v>500</v>
      </c>
      <c r="D246" s="995">
        <v>0</v>
      </c>
      <c r="E246" s="995">
        <v>625</v>
      </c>
    </row>
    <row r="247" spans="1:5" hidden="1">
      <c r="A247" s="993" t="s">
        <v>151</v>
      </c>
      <c r="B247" s="995">
        <v>1775</v>
      </c>
      <c r="C247" s="995">
        <v>1775</v>
      </c>
      <c r="D247" s="995">
        <v>1775</v>
      </c>
      <c r="E247" s="995">
        <v>266.66666666666669</v>
      </c>
    </row>
    <row r="248" spans="1:5" hidden="1">
      <c r="A248" s="993" t="s">
        <v>196</v>
      </c>
      <c r="B248" s="995">
        <v>103</v>
      </c>
      <c r="C248" s="995">
        <v>103</v>
      </c>
      <c r="D248" s="995">
        <v>103</v>
      </c>
      <c r="E248" s="995">
        <v>103</v>
      </c>
    </row>
    <row r="249" spans="1:5" hidden="1">
      <c r="A249" s="993" t="s">
        <v>199</v>
      </c>
      <c r="B249" s="995">
        <v>80</v>
      </c>
      <c r="C249" s="995">
        <v>80</v>
      </c>
      <c r="D249" s="995">
        <v>80</v>
      </c>
      <c r="E249" s="995">
        <v>80</v>
      </c>
    </row>
    <row r="250" spans="1:5" hidden="1">
      <c r="A250" s="993" t="s">
        <v>604</v>
      </c>
      <c r="B250" s="995">
        <v>91</v>
      </c>
      <c r="C250" s="995">
        <v>91</v>
      </c>
      <c r="D250" s="995">
        <v>0</v>
      </c>
      <c r="E250" s="995">
        <v>0</v>
      </c>
    </row>
    <row r="251" spans="1:5" hidden="1">
      <c r="A251" s="993" t="s">
        <v>176</v>
      </c>
      <c r="B251" s="995">
        <v>534</v>
      </c>
      <c r="C251" s="995">
        <v>534</v>
      </c>
      <c r="D251" s="995">
        <v>260</v>
      </c>
      <c r="E251" s="995">
        <v>534</v>
      </c>
    </row>
    <row r="252" spans="1:5" hidden="1">
      <c r="A252" s="993" t="s">
        <v>273</v>
      </c>
      <c r="B252" s="995">
        <v>111</v>
      </c>
      <c r="C252" s="995">
        <v>0</v>
      </c>
      <c r="D252" s="995">
        <v>111</v>
      </c>
      <c r="E252" s="995">
        <v>111</v>
      </c>
    </row>
    <row r="253" spans="1:5" hidden="1">
      <c r="A253" s="993" t="s">
        <v>648</v>
      </c>
      <c r="B253" s="995">
        <v>418</v>
      </c>
      <c r="C253" s="995">
        <v>0</v>
      </c>
      <c r="D253" s="995">
        <v>0</v>
      </c>
      <c r="E253" s="995">
        <v>0</v>
      </c>
    </row>
    <row r="254" spans="1:5" hidden="1">
      <c r="A254" s="993" t="s">
        <v>190</v>
      </c>
      <c r="B254" s="995">
        <v>958</v>
      </c>
      <c r="C254" s="995">
        <v>958</v>
      </c>
      <c r="D254" s="995">
        <v>958</v>
      </c>
      <c r="E254" s="995">
        <v>0</v>
      </c>
    </row>
    <row r="255" spans="1:5" hidden="1">
      <c r="A255" s="993" t="s">
        <v>223</v>
      </c>
      <c r="B255" s="995">
        <v>259</v>
      </c>
      <c r="C255" s="995">
        <v>0</v>
      </c>
      <c r="D255" s="995">
        <v>180</v>
      </c>
      <c r="E255" s="995">
        <v>259</v>
      </c>
    </row>
    <row r="256" spans="1:5" hidden="1">
      <c r="A256" s="993" t="s">
        <v>224</v>
      </c>
      <c r="B256" s="995">
        <v>169</v>
      </c>
      <c r="C256" s="995">
        <v>0</v>
      </c>
      <c r="D256" s="995">
        <v>169</v>
      </c>
      <c r="E256" s="995">
        <v>169</v>
      </c>
    </row>
    <row r="257" spans="1:5" hidden="1">
      <c r="A257" s="993" t="s">
        <v>611</v>
      </c>
      <c r="B257" s="995">
        <v>1006</v>
      </c>
      <c r="C257" s="995">
        <v>0</v>
      </c>
      <c r="D257" s="995">
        <v>0</v>
      </c>
      <c r="E257" s="995">
        <v>0</v>
      </c>
    </row>
    <row r="258" spans="1:5" hidden="1">
      <c r="A258" s="993" t="s">
        <v>177</v>
      </c>
      <c r="B258" s="995">
        <v>499</v>
      </c>
      <c r="C258" s="995">
        <v>499</v>
      </c>
      <c r="D258" s="995">
        <v>340</v>
      </c>
      <c r="E258" s="995">
        <v>499</v>
      </c>
    </row>
    <row r="259" spans="1:5" hidden="1">
      <c r="A259" s="993" t="s">
        <v>481</v>
      </c>
      <c r="B259" s="995">
        <v>170</v>
      </c>
      <c r="C259" s="995">
        <v>0</v>
      </c>
      <c r="D259" s="995">
        <v>0</v>
      </c>
      <c r="E259" s="995">
        <v>0</v>
      </c>
    </row>
    <row r="260" spans="1:5" hidden="1">
      <c r="A260" s="993" t="s">
        <v>426</v>
      </c>
      <c r="B260" s="995">
        <v>1055</v>
      </c>
      <c r="C260" s="995">
        <v>1055</v>
      </c>
      <c r="D260" s="995">
        <v>474</v>
      </c>
      <c r="E260" s="995">
        <v>1000</v>
      </c>
    </row>
    <row r="261" spans="1:5" hidden="1">
      <c r="A261" s="993" t="s">
        <v>147</v>
      </c>
      <c r="B261" s="995">
        <v>122</v>
      </c>
      <c r="C261" s="995">
        <v>122</v>
      </c>
      <c r="D261" s="995">
        <v>120</v>
      </c>
      <c r="E261" s="995">
        <v>122</v>
      </c>
    </row>
    <row r="262" spans="1:5" hidden="1">
      <c r="A262" s="993" t="s">
        <v>423</v>
      </c>
      <c r="B262" s="995">
        <v>2810</v>
      </c>
      <c r="C262" s="995">
        <v>2810</v>
      </c>
      <c r="D262" s="995">
        <v>2810</v>
      </c>
      <c r="E262" s="995">
        <v>2810</v>
      </c>
    </row>
    <row r="263" spans="1:5" hidden="1">
      <c r="A263" s="993" t="s">
        <v>422</v>
      </c>
      <c r="B263" s="995">
        <v>3946</v>
      </c>
      <c r="C263" s="995">
        <v>3946</v>
      </c>
      <c r="D263" s="995">
        <v>2058</v>
      </c>
      <c r="E263" s="995">
        <v>3946</v>
      </c>
    </row>
    <row r="264" spans="1:5" hidden="1">
      <c r="A264" s="993" t="s">
        <v>421</v>
      </c>
      <c r="B264" s="995">
        <v>2034</v>
      </c>
      <c r="C264" s="995">
        <v>2000</v>
      </c>
      <c r="D264" s="995">
        <v>1200</v>
      </c>
      <c r="E264" s="995">
        <v>2034</v>
      </c>
    </row>
    <row r="265" spans="1:5" hidden="1">
      <c r="A265" s="993" t="s">
        <v>247</v>
      </c>
      <c r="B265" s="995">
        <v>52</v>
      </c>
      <c r="C265" s="995">
        <v>52</v>
      </c>
      <c r="D265" s="995">
        <v>52</v>
      </c>
      <c r="E265" s="995">
        <v>52</v>
      </c>
    </row>
    <row r="266" spans="1:5" hidden="1">
      <c r="A266" s="993" t="s">
        <v>192</v>
      </c>
      <c r="B266" s="995">
        <v>32</v>
      </c>
      <c r="C266" s="995">
        <v>0</v>
      </c>
      <c r="D266" s="995">
        <v>0</v>
      </c>
      <c r="E266" s="995">
        <v>0</v>
      </c>
    </row>
    <row r="267" spans="1:5" hidden="1">
      <c r="A267" s="993" t="s">
        <v>1155</v>
      </c>
      <c r="B267" s="995">
        <v>152</v>
      </c>
      <c r="C267" s="995">
        <v>0</v>
      </c>
      <c r="D267" s="995">
        <v>0</v>
      </c>
      <c r="E267" s="995">
        <v>0</v>
      </c>
    </row>
    <row r="268" spans="1:5" hidden="1">
      <c r="A268" s="993" t="s">
        <v>178</v>
      </c>
      <c r="B268" s="995">
        <v>351</v>
      </c>
      <c r="C268" s="995">
        <v>351</v>
      </c>
      <c r="D268" s="995">
        <v>220</v>
      </c>
      <c r="E268" s="995">
        <v>351</v>
      </c>
    </row>
    <row r="269" spans="1:5" hidden="1">
      <c r="A269" s="993" t="s">
        <v>274</v>
      </c>
      <c r="B269" s="995">
        <v>253</v>
      </c>
      <c r="C269" s="995">
        <v>253</v>
      </c>
      <c r="D269" s="995">
        <v>253</v>
      </c>
      <c r="E269" s="995">
        <v>253</v>
      </c>
    </row>
    <row r="270" spans="1:5" hidden="1">
      <c r="A270" s="993" t="s">
        <v>275</v>
      </c>
      <c r="B270" s="995">
        <v>77</v>
      </c>
      <c r="C270" s="995">
        <v>0</v>
      </c>
      <c r="D270" s="995">
        <v>77</v>
      </c>
      <c r="E270" s="995">
        <v>77</v>
      </c>
    </row>
    <row r="271" spans="1:5" hidden="1">
      <c r="A271" s="993" t="s">
        <v>179</v>
      </c>
      <c r="B271" s="995">
        <v>165</v>
      </c>
      <c r="C271" s="995">
        <v>165</v>
      </c>
      <c r="D271" s="995">
        <v>100</v>
      </c>
      <c r="E271" s="995">
        <v>165</v>
      </c>
    </row>
    <row r="272" spans="1:5" hidden="1">
      <c r="A272" s="993" t="s">
        <v>180</v>
      </c>
      <c r="B272" s="995">
        <v>219</v>
      </c>
      <c r="C272" s="995">
        <v>219</v>
      </c>
      <c r="D272" s="995">
        <v>219</v>
      </c>
      <c r="E272" s="995">
        <v>219</v>
      </c>
    </row>
    <row r="273" spans="1:5" hidden="1">
      <c r="A273" s="993" t="s">
        <v>708</v>
      </c>
      <c r="B273" s="995">
        <v>3020</v>
      </c>
      <c r="C273" s="995">
        <v>0</v>
      </c>
      <c r="D273" s="995">
        <v>0</v>
      </c>
      <c r="E273" s="995">
        <v>500.00000000000006</v>
      </c>
    </row>
    <row r="274" spans="1:5" hidden="1">
      <c r="A274" s="993" t="s">
        <v>656</v>
      </c>
      <c r="B274" s="995">
        <v>3224</v>
      </c>
      <c r="C274" s="995">
        <v>0</v>
      </c>
      <c r="D274" s="995">
        <v>0</v>
      </c>
      <c r="E274" s="995">
        <v>750</v>
      </c>
    </row>
    <row r="275" spans="1:5" hidden="1">
      <c r="A275" s="993" t="s">
        <v>418</v>
      </c>
      <c r="B275" s="995">
        <v>2920</v>
      </c>
      <c r="C275" s="995">
        <v>2920</v>
      </c>
      <c r="D275" s="995">
        <v>2920</v>
      </c>
      <c r="E275" s="995">
        <v>2920</v>
      </c>
    </row>
    <row r="276" spans="1:5" hidden="1">
      <c r="A276" s="993" t="s">
        <v>478</v>
      </c>
      <c r="B276" s="995">
        <v>1423</v>
      </c>
      <c r="C276" s="995">
        <v>0</v>
      </c>
      <c r="D276" s="995">
        <v>0</v>
      </c>
      <c r="E276" s="995">
        <v>0</v>
      </c>
    </row>
    <row r="277" spans="1:5" hidden="1">
      <c r="A277" s="993" t="s">
        <v>710</v>
      </c>
      <c r="B277" s="995">
        <v>375</v>
      </c>
      <c r="C277" s="995">
        <v>0</v>
      </c>
      <c r="D277" s="995">
        <v>0</v>
      </c>
      <c r="E277" s="995">
        <v>250</v>
      </c>
    </row>
    <row r="278" spans="1:5" hidden="1">
      <c r="A278" s="993" t="s">
        <v>953</v>
      </c>
      <c r="B278" s="995">
        <v>867</v>
      </c>
      <c r="C278" s="995">
        <v>0</v>
      </c>
      <c r="D278" s="995">
        <v>0</v>
      </c>
      <c r="E278" s="995">
        <v>500</v>
      </c>
    </row>
    <row r="279" spans="1:5" hidden="1">
      <c r="A279" s="993" t="s">
        <v>440</v>
      </c>
      <c r="B279" s="995">
        <v>6016</v>
      </c>
      <c r="C279" s="995">
        <v>6016</v>
      </c>
      <c r="D279" s="995">
        <v>3740</v>
      </c>
      <c r="E279" s="995">
        <v>6016</v>
      </c>
    </row>
    <row r="280" spans="1:5" hidden="1">
      <c r="A280" s="993" t="s">
        <v>707</v>
      </c>
      <c r="B280" s="995">
        <v>745</v>
      </c>
      <c r="C280" s="995">
        <v>745</v>
      </c>
      <c r="D280" s="995">
        <v>0</v>
      </c>
      <c r="E280" s="995">
        <v>745</v>
      </c>
    </row>
    <row r="281" spans="1:5" hidden="1">
      <c r="A281" s="993" t="s">
        <v>282</v>
      </c>
      <c r="B281" s="995">
        <v>186</v>
      </c>
      <c r="C281" s="995">
        <v>0</v>
      </c>
      <c r="D281" s="995">
        <v>140</v>
      </c>
      <c r="E281" s="995">
        <v>0</v>
      </c>
    </row>
    <row r="282" spans="1:5" hidden="1">
      <c r="A282" s="993" t="s">
        <v>439</v>
      </c>
      <c r="B282" s="995">
        <v>5579</v>
      </c>
      <c r="C282" s="995">
        <v>3785</v>
      </c>
      <c r="D282" s="995">
        <v>0</v>
      </c>
      <c r="E282" s="995">
        <v>3500.0000000000005</v>
      </c>
    </row>
    <row r="283" spans="1:5" hidden="1">
      <c r="A283" s="993" t="s">
        <v>435</v>
      </c>
      <c r="B283" s="995">
        <v>5985</v>
      </c>
      <c r="C283" s="995">
        <v>2115</v>
      </c>
      <c r="D283" s="995">
        <v>0</v>
      </c>
      <c r="E283" s="995">
        <v>2427</v>
      </c>
    </row>
    <row r="284" spans="1:5" hidden="1">
      <c r="A284" s="993" t="s">
        <v>464</v>
      </c>
      <c r="B284" s="995">
        <v>658</v>
      </c>
      <c r="C284" s="995">
        <v>0</v>
      </c>
      <c r="D284" s="995">
        <v>0</v>
      </c>
      <c r="E284" s="995">
        <v>0</v>
      </c>
    </row>
    <row r="285" spans="1:5" hidden="1">
      <c r="A285" s="993" t="s">
        <v>594</v>
      </c>
      <c r="B285" s="995">
        <v>300</v>
      </c>
      <c r="C285" s="995">
        <v>300</v>
      </c>
      <c r="D285" s="995">
        <v>300</v>
      </c>
      <c r="E285" s="995">
        <v>300</v>
      </c>
    </row>
    <row r="286" spans="1:5" hidden="1">
      <c r="A286" s="993" t="s">
        <v>444</v>
      </c>
      <c r="B286" s="995">
        <v>5950</v>
      </c>
      <c r="C286" s="995">
        <v>5950</v>
      </c>
      <c r="D286" s="995">
        <v>3940</v>
      </c>
      <c r="E286" s="995">
        <v>5950</v>
      </c>
    </row>
    <row r="287" spans="1:5" hidden="1">
      <c r="A287" s="993" t="s">
        <v>446</v>
      </c>
      <c r="B287" s="995">
        <v>1670</v>
      </c>
      <c r="C287" s="995">
        <v>1670</v>
      </c>
      <c r="D287" s="995">
        <v>0</v>
      </c>
      <c r="E287" s="995">
        <v>1670</v>
      </c>
    </row>
    <row r="288" spans="1:5" hidden="1">
      <c r="A288" s="993" t="s">
        <v>452</v>
      </c>
      <c r="B288" s="995">
        <v>74</v>
      </c>
      <c r="C288" s="995">
        <v>0</v>
      </c>
      <c r="D288" s="995">
        <v>0</v>
      </c>
      <c r="E288" s="995">
        <v>0</v>
      </c>
    </row>
    <row r="289" spans="1:5" hidden="1">
      <c r="A289" s="993" t="s">
        <v>367</v>
      </c>
      <c r="B289" s="995">
        <v>306</v>
      </c>
      <c r="C289" s="995">
        <v>0</v>
      </c>
      <c r="D289" s="995">
        <v>0</v>
      </c>
      <c r="E289" s="995">
        <v>0</v>
      </c>
    </row>
    <row r="290" spans="1:5" hidden="1">
      <c r="A290" s="993" t="s">
        <v>1094</v>
      </c>
      <c r="B290" s="995">
        <v>75</v>
      </c>
      <c r="C290" s="995">
        <v>0</v>
      </c>
      <c r="D290" s="995">
        <v>0</v>
      </c>
      <c r="E290" s="995">
        <v>0</v>
      </c>
    </row>
    <row r="291" spans="1:5" hidden="1">
      <c r="A291" s="993" t="s">
        <v>765</v>
      </c>
      <c r="B291" s="995">
        <v>175</v>
      </c>
      <c r="C291" s="995">
        <v>175</v>
      </c>
      <c r="D291" s="995">
        <v>175</v>
      </c>
      <c r="E291" s="995">
        <v>175</v>
      </c>
    </row>
    <row r="292" spans="1:5" hidden="1">
      <c r="A292" s="993" t="s">
        <v>283</v>
      </c>
      <c r="B292" s="995">
        <v>263</v>
      </c>
      <c r="C292" s="995">
        <v>0</v>
      </c>
      <c r="D292" s="995">
        <v>100</v>
      </c>
      <c r="E292" s="995">
        <v>263</v>
      </c>
    </row>
    <row r="293" spans="1:5" hidden="1">
      <c r="A293" s="993" t="s">
        <v>269</v>
      </c>
      <c r="B293" s="995">
        <v>172</v>
      </c>
      <c r="C293" s="995">
        <v>172</v>
      </c>
      <c r="D293" s="995">
        <v>172</v>
      </c>
      <c r="E293" s="995">
        <v>172</v>
      </c>
    </row>
    <row r="294" spans="1:5" hidden="1">
      <c r="A294" s="993" t="s">
        <v>229</v>
      </c>
      <c r="B294" s="995">
        <v>6992</v>
      </c>
      <c r="C294" s="995">
        <v>3500</v>
      </c>
      <c r="D294" s="995">
        <v>4500</v>
      </c>
      <c r="E294" s="995">
        <v>2700</v>
      </c>
    </row>
    <row r="295" spans="1:5" hidden="1">
      <c r="A295" s="993" t="s">
        <v>231</v>
      </c>
      <c r="B295" s="995">
        <v>709</v>
      </c>
      <c r="C295" s="995">
        <v>0</v>
      </c>
      <c r="D295" s="995">
        <v>0</v>
      </c>
      <c r="E295" s="995">
        <v>0</v>
      </c>
    </row>
    <row r="296" spans="1:5" hidden="1">
      <c r="A296" s="993" t="s">
        <v>230</v>
      </c>
      <c r="B296" s="995">
        <v>2550</v>
      </c>
      <c r="C296" s="995">
        <v>0</v>
      </c>
      <c r="D296" s="995">
        <v>0</v>
      </c>
      <c r="E296" s="995">
        <v>0</v>
      </c>
    </row>
    <row r="297" spans="1:5" hidden="1">
      <c r="A297" s="993" t="s">
        <v>541</v>
      </c>
      <c r="B297" s="995">
        <v>255</v>
      </c>
      <c r="C297" s="995">
        <v>0</v>
      </c>
      <c r="D297" s="995">
        <v>0</v>
      </c>
      <c r="E297" s="995">
        <v>0</v>
      </c>
    </row>
    <row r="298" spans="1:5" hidden="1">
      <c r="A298" s="993" t="s">
        <v>212</v>
      </c>
      <c r="B298" s="995">
        <v>59</v>
      </c>
      <c r="C298" s="995">
        <v>59</v>
      </c>
      <c r="D298" s="995">
        <v>59</v>
      </c>
      <c r="E298" s="995">
        <v>59</v>
      </c>
    </row>
    <row r="299" spans="1:5" hidden="1">
      <c r="A299" s="993" t="s">
        <v>270</v>
      </c>
      <c r="B299" s="995">
        <v>67</v>
      </c>
      <c r="C299" s="995">
        <v>67</v>
      </c>
      <c r="D299" s="995">
        <v>67</v>
      </c>
      <c r="E299" s="995">
        <v>0</v>
      </c>
    </row>
    <row r="300" spans="1:5" hidden="1">
      <c r="A300" s="993" t="s">
        <v>591</v>
      </c>
      <c r="B300" s="995">
        <v>1090</v>
      </c>
      <c r="C300" s="995">
        <v>0</v>
      </c>
      <c r="D300" s="995">
        <v>0</v>
      </c>
      <c r="E300" s="995">
        <v>0</v>
      </c>
    </row>
    <row r="301" spans="1:5" hidden="1">
      <c r="A301" s="993" t="s">
        <v>687</v>
      </c>
      <c r="B301" s="995">
        <v>1473</v>
      </c>
      <c r="C301" s="995">
        <v>0</v>
      </c>
      <c r="D301" s="995">
        <v>0</v>
      </c>
      <c r="E301" s="995">
        <v>0</v>
      </c>
    </row>
    <row r="302" spans="1:5" hidden="1">
      <c r="A302" s="993" t="s">
        <v>581</v>
      </c>
      <c r="B302" s="995">
        <v>523</v>
      </c>
      <c r="C302" s="995">
        <v>523</v>
      </c>
      <c r="D302" s="995">
        <v>0</v>
      </c>
      <c r="E302" s="995">
        <v>0</v>
      </c>
    </row>
    <row r="303" spans="1:5" hidden="1">
      <c r="A303" s="993" t="s">
        <v>456</v>
      </c>
      <c r="B303" s="995">
        <v>320</v>
      </c>
      <c r="C303" s="995">
        <v>0</v>
      </c>
      <c r="D303" s="995">
        <v>0</v>
      </c>
      <c r="E303" s="995">
        <v>0</v>
      </c>
    </row>
    <row r="304" spans="1:5" hidden="1">
      <c r="A304" s="993" t="s">
        <v>545</v>
      </c>
      <c r="B304" s="995">
        <v>347</v>
      </c>
      <c r="C304" s="995">
        <v>0</v>
      </c>
      <c r="D304" s="995">
        <v>0</v>
      </c>
      <c r="E304" s="995">
        <v>0</v>
      </c>
    </row>
    <row r="305" spans="1:5" hidden="1">
      <c r="A305" s="993" t="s">
        <v>739</v>
      </c>
      <c r="B305" s="995">
        <v>1077</v>
      </c>
      <c r="C305" s="995">
        <v>1077</v>
      </c>
      <c r="D305" s="995">
        <v>1077</v>
      </c>
      <c r="E305" s="995">
        <v>1077</v>
      </c>
    </row>
    <row r="306" spans="1:5" hidden="1">
      <c r="A306" s="993" t="s">
        <v>2015</v>
      </c>
      <c r="B306" s="995">
        <v>235</v>
      </c>
      <c r="C306" s="995">
        <v>235</v>
      </c>
      <c r="D306" s="995">
        <v>160</v>
      </c>
      <c r="E306" s="995">
        <v>235</v>
      </c>
    </row>
    <row r="307" spans="1:5" hidden="1">
      <c r="A307" s="993" t="s">
        <v>2016</v>
      </c>
      <c r="B307" s="995">
        <v>396</v>
      </c>
      <c r="C307" s="995">
        <v>396</v>
      </c>
      <c r="D307" s="995">
        <v>40</v>
      </c>
      <c r="E307" s="995">
        <v>396</v>
      </c>
    </row>
    <row r="308" spans="1:5" hidden="1">
      <c r="A308" s="993" t="s">
        <v>2017</v>
      </c>
      <c r="B308" s="995">
        <v>32</v>
      </c>
      <c r="C308" s="995">
        <v>0</v>
      </c>
      <c r="D308" s="995">
        <v>0</v>
      </c>
      <c r="E308" s="995">
        <v>0</v>
      </c>
    </row>
    <row r="309" spans="1:5" hidden="1">
      <c r="A309" s="993" t="s">
        <v>2019</v>
      </c>
      <c r="B309" s="995">
        <v>87</v>
      </c>
      <c r="C309" s="995">
        <v>87</v>
      </c>
      <c r="D309" s="995">
        <v>87</v>
      </c>
      <c r="E309" s="995">
        <v>66.666666666666671</v>
      </c>
    </row>
    <row r="310" spans="1:5" hidden="1">
      <c r="A310" s="993" t="s">
        <v>1064</v>
      </c>
      <c r="B310" s="995">
        <v>449</v>
      </c>
      <c r="C310" s="995">
        <v>0</v>
      </c>
      <c r="D310" s="995">
        <v>0</v>
      </c>
      <c r="E310" s="995">
        <v>0</v>
      </c>
    </row>
    <row r="311" spans="1:5" hidden="1">
      <c r="A311" s="993" t="s">
        <v>2032</v>
      </c>
      <c r="B311" s="995">
        <v>218</v>
      </c>
      <c r="C311" s="995">
        <v>218</v>
      </c>
      <c r="D311" s="995">
        <v>160</v>
      </c>
      <c r="E311" s="995">
        <v>66.666666666666671</v>
      </c>
    </row>
    <row r="312" spans="1:5" hidden="1">
      <c r="A312" s="993" t="s">
        <v>2034</v>
      </c>
      <c r="B312" s="995">
        <v>63</v>
      </c>
      <c r="C312" s="995">
        <v>63</v>
      </c>
      <c r="D312" s="995">
        <v>40</v>
      </c>
      <c r="E312" s="995">
        <v>63</v>
      </c>
    </row>
    <row r="313" spans="1:5" hidden="1">
      <c r="A313" s="993" t="s">
        <v>1116</v>
      </c>
      <c r="B313" s="995">
        <v>39</v>
      </c>
      <c r="C313" s="995">
        <v>39</v>
      </c>
      <c r="D313" s="995">
        <v>39</v>
      </c>
      <c r="E313" s="995">
        <v>39</v>
      </c>
    </row>
    <row r="314" spans="1:5" hidden="1">
      <c r="A314" s="993" t="s">
        <v>2061</v>
      </c>
      <c r="B314" s="995">
        <v>206</v>
      </c>
      <c r="C314" s="995">
        <v>0</v>
      </c>
      <c r="D314" s="995">
        <v>0</v>
      </c>
      <c r="E314" s="995">
        <v>206</v>
      </c>
    </row>
    <row r="315" spans="1:5" hidden="1">
      <c r="A315" s="993" t="s">
        <v>2064</v>
      </c>
      <c r="B315" s="995">
        <v>1002</v>
      </c>
      <c r="C315" s="995">
        <v>0</v>
      </c>
      <c r="D315" s="995">
        <v>0</v>
      </c>
      <c r="E315" s="995">
        <v>500</v>
      </c>
    </row>
    <row r="316" spans="1:5" hidden="1">
      <c r="A316" s="993" t="s">
        <v>2074</v>
      </c>
      <c r="B316" s="995">
        <v>412</v>
      </c>
      <c r="C316" s="995">
        <v>0</v>
      </c>
      <c r="D316" s="995">
        <v>0</v>
      </c>
      <c r="E316" s="995">
        <v>0</v>
      </c>
    </row>
    <row r="317" spans="1:5" hidden="1">
      <c r="A317" s="993" t="s">
        <v>2073</v>
      </c>
      <c r="B317" s="995">
        <v>694</v>
      </c>
      <c r="C317" s="995">
        <v>0</v>
      </c>
      <c r="D317" s="995">
        <v>0</v>
      </c>
      <c r="E317" s="995">
        <v>0</v>
      </c>
    </row>
    <row r="318" spans="1:5" hidden="1">
      <c r="A318" s="993" t="s">
        <v>2069</v>
      </c>
      <c r="B318" s="995">
        <v>742</v>
      </c>
      <c r="C318" s="995">
        <v>0</v>
      </c>
      <c r="D318" s="995">
        <v>0</v>
      </c>
      <c r="E318" s="995">
        <v>0</v>
      </c>
    </row>
    <row r="319" spans="1:5" hidden="1">
      <c r="A319" s="993" t="s">
        <v>2079</v>
      </c>
      <c r="B319" s="995">
        <v>1529</v>
      </c>
      <c r="C319" s="995">
        <v>0</v>
      </c>
      <c r="D319" s="995">
        <v>0</v>
      </c>
      <c r="E319" s="995">
        <v>0</v>
      </c>
    </row>
    <row r="320" spans="1:5" hidden="1">
      <c r="A320" s="993" t="s">
        <v>2076</v>
      </c>
      <c r="B320" s="995">
        <v>656</v>
      </c>
      <c r="C320" s="995">
        <v>0</v>
      </c>
      <c r="D320" s="995">
        <v>0</v>
      </c>
      <c r="E320" s="995">
        <v>0</v>
      </c>
    </row>
    <row r="321" spans="1:5" hidden="1">
      <c r="A321" s="993" t="s">
        <v>2087</v>
      </c>
      <c r="B321" s="995">
        <v>1015</v>
      </c>
      <c r="C321" s="995">
        <v>0</v>
      </c>
      <c r="D321" s="995">
        <v>320</v>
      </c>
      <c r="E321" s="995">
        <v>1015</v>
      </c>
    </row>
    <row r="322" spans="1:5" hidden="1">
      <c r="A322" s="993" t="s">
        <v>2088</v>
      </c>
      <c r="B322" s="995">
        <v>329</v>
      </c>
      <c r="C322" s="995">
        <v>329</v>
      </c>
      <c r="D322" s="995">
        <v>240</v>
      </c>
      <c r="E322" s="995">
        <v>329</v>
      </c>
    </row>
    <row r="323" spans="1:5" hidden="1">
      <c r="A323" s="993" t="s">
        <v>2092</v>
      </c>
      <c r="B323" s="995">
        <v>324</v>
      </c>
      <c r="C323" s="995">
        <v>0</v>
      </c>
      <c r="D323" s="995">
        <v>0</v>
      </c>
      <c r="E323" s="995">
        <v>0</v>
      </c>
    </row>
    <row r="324" spans="1:5" hidden="1">
      <c r="A324" s="993" t="s">
        <v>2097</v>
      </c>
      <c r="B324" s="995">
        <v>252</v>
      </c>
      <c r="C324" s="995">
        <v>0</v>
      </c>
      <c r="D324" s="995">
        <v>0</v>
      </c>
      <c r="E324" s="995">
        <v>0</v>
      </c>
    </row>
    <row r="325" spans="1:5" hidden="1">
      <c r="A325" s="993" t="s">
        <v>2093</v>
      </c>
      <c r="B325" s="995">
        <v>103</v>
      </c>
      <c r="C325" s="995">
        <v>0</v>
      </c>
      <c r="D325" s="995">
        <v>0</v>
      </c>
      <c r="E325" s="995">
        <v>0</v>
      </c>
    </row>
    <row r="326" spans="1:5" hidden="1">
      <c r="A326" s="993" t="s">
        <v>2094</v>
      </c>
      <c r="B326" s="995">
        <v>270</v>
      </c>
      <c r="C326" s="995">
        <v>0</v>
      </c>
      <c r="D326" s="995">
        <v>0</v>
      </c>
      <c r="E326" s="995">
        <v>0</v>
      </c>
    </row>
    <row r="327" spans="1:5" hidden="1">
      <c r="A327" s="993" t="s">
        <v>2095</v>
      </c>
      <c r="B327" s="995">
        <v>381</v>
      </c>
      <c r="C327" s="995">
        <v>0</v>
      </c>
      <c r="D327" s="995">
        <v>0</v>
      </c>
      <c r="E327" s="995">
        <v>0</v>
      </c>
    </row>
    <row r="328" spans="1:5" hidden="1">
      <c r="A328" s="993" t="s">
        <v>2096</v>
      </c>
      <c r="B328" s="995">
        <v>121</v>
      </c>
      <c r="C328" s="995">
        <v>0</v>
      </c>
      <c r="D328" s="995">
        <v>0</v>
      </c>
      <c r="E328" s="995">
        <v>0</v>
      </c>
    </row>
    <row r="329" spans="1:5" hidden="1">
      <c r="A329" s="993" t="s">
        <v>2090</v>
      </c>
      <c r="B329" s="995">
        <v>36</v>
      </c>
      <c r="C329" s="995">
        <v>36</v>
      </c>
      <c r="D329" s="995">
        <v>36</v>
      </c>
      <c r="E329" s="995">
        <v>36</v>
      </c>
    </row>
    <row r="330" spans="1:5" hidden="1">
      <c r="A330" s="993" t="s">
        <v>2089</v>
      </c>
      <c r="B330" s="995">
        <v>161</v>
      </c>
      <c r="C330" s="995">
        <v>161</v>
      </c>
      <c r="D330" s="995">
        <v>120</v>
      </c>
      <c r="E330" s="995">
        <v>161</v>
      </c>
    </row>
    <row r="331" spans="1:5" hidden="1">
      <c r="A331" s="993" t="s">
        <v>2117</v>
      </c>
      <c r="B331" s="995">
        <v>626</v>
      </c>
      <c r="C331" s="995">
        <v>626</v>
      </c>
      <c r="D331" s="995">
        <v>626</v>
      </c>
      <c r="E331" s="995">
        <v>626</v>
      </c>
    </row>
    <row r="332" spans="1:5" hidden="1">
      <c r="A332" s="993" t="s">
        <v>2118</v>
      </c>
      <c r="B332" s="995">
        <v>989</v>
      </c>
      <c r="C332" s="995">
        <v>989</v>
      </c>
      <c r="D332" s="995">
        <v>989</v>
      </c>
      <c r="E332" s="995">
        <v>989</v>
      </c>
    </row>
    <row r="333" spans="1:5" hidden="1">
      <c r="A333" s="993" t="s">
        <v>2124</v>
      </c>
      <c r="B333" s="995">
        <v>401</v>
      </c>
      <c r="C333" s="995">
        <v>401</v>
      </c>
      <c r="D333" s="995">
        <v>0</v>
      </c>
      <c r="E333" s="995">
        <v>0</v>
      </c>
    </row>
    <row r="334" spans="1:5" hidden="1">
      <c r="A334" s="993" t="s">
        <v>2138</v>
      </c>
      <c r="B334" s="995">
        <v>266</v>
      </c>
      <c r="C334" s="995">
        <v>266</v>
      </c>
      <c r="D334" s="995">
        <v>266</v>
      </c>
      <c r="E334" s="995">
        <v>266</v>
      </c>
    </row>
    <row r="335" spans="1:5" hidden="1">
      <c r="A335" s="993" t="s">
        <v>2139</v>
      </c>
      <c r="B335" s="995">
        <v>93</v>
      </c>
      <c r="C335" s="995">
        <v>93</v>
      </c>
      <c r="D335" s="995">
        <v>93</v>
      </c>
      <c r="E335" s="995">
        <v>93</v>
      </c>
    </row>
    <row r="336" spans="1:5" hidden="1">
      <c r="A336" s="993" t="s">
        <v>2199</v>
      </c>
      <c r="B336" s="995">
        <v>78</v>
      </c>
      <c r="C336" s="995">
        <v>78</v>
      </c>
      <c r="D336" s="995">
        <v>40</v>
      </c>
      <c r="E336" s="995">
        <v>78</v>
      </c>
    </row>
    <row r="337" spans="1:5" hidden="1">
      <c r="A337" s="993" t="s">
        <v>2201</v>
      </c>
      <c r="B337" s="995">
        <v>450</v>
      </c>
      <c r="C337" s="995">
        <v>0</v>
      </c>
      <c r="D337" s="995">
        <v>0</v>
      </c>
      <c r="E337" s="995">
        <v>0</v>
      </c>
    </row>
    <row r="338" spans="1:5" hidden="1">
      <c r="A338" s="993" t="s">
        <v>2204</v>
      </c>
      <c r="B338" s="995">
        <v>121</v>
      </c>
      <c r="C338" s="995">
        <v>121</v>
      </c>
      <c r="D338" s="995">
        <v>120</v>
      </c>
      <c r="E338" s="995">
        <v>121</v>
      </c>
    </row>
    <row r="339" spans="1:5" hidden="1">
      <c r="A339" s="993" t="s">
        <v>2202</v>
      </c>
      <c r="B339" s="995">
        <v>426</v>
      </c>
      <c r="C339" s="995">
        <v>426</v>
      </c>
      <c r="D339" s="995">
        <v>300</v>
      </c>
      <c r="E339" s="995">
        <v>426</v>
      </c>
    </row>
    <row r="340" spans="1:5" hidden="1">
      <c r="A340" s="993" t="s">
        <v>2203</v>
      </c>
      <c r="B340" s="995">
        <v>344</v>
      </c>
      <c r="C340" s="995">
        <v>344</v>
      </c>
      <c r="D340" s="995">
        <v>344</v>
      </c>
      <c r="E340" s="995">
        <v>344</v>
      </c>
    </row>
    <row r="341" spans="1:5" hidden="1">
      <c r="A341" s="993" t="s">
        <v>2198</v>
      </c>
      <c r="B341" s="995">
        <v>474</v>
      </c>
      <c r="C341" s="995">
        <v>474</v>
      </c>
      <c r="D341" s="995">
        <v>240</v>
      </c>
      <c r="E341" s="995">
        <v>400</v>
      </c>
    </row>
    <row r="342" spans="1:5" hidden="1">
      <c r="A342" s="993" t="s">
        <v>2200</v>
      </c>
      <c r="B342" s="995">
        <v>724</v>
      </c>
      <c r="C342" s="995">
        <v>724</v>
      </c>
      <c r="D342" s="995">
        <v>560</v>
      </c>
      <c r="E342" s="995">
        <v>724</v>
      </c>
    </row>
    <row r="343" spans="1:5" hidden="1">
      <c r="A343" s="993" t="s">
        <v>2190</v>
      </c>
      <c r="B343" s="995">
        <v>489</v>
      </c>
      <c r="C343" s="995">
        <v>489</v>
      </c>
      <c r="D343" s="995">
        <v>320</v>
      </c>
      <c r="E343" s="995">
        <v>489</v>
      </c>
    </row>
    <row r="344" spans="1:5" hidden="1">
      <c r="A344" s="993" t="s">
        <v>2197</v>
      </c>
      <c r="B344" s="995">
        <v>356</v>
      </c>
      <c r="C344" s="995">
        <v>356</v>
      </c>
      <c r="D344" s="995">
        <v>120</v>
      </c>
      <c r="E344" s="995">
        <v>356</v>
      </c>
    </row>
    <row r="345" spans="1:5" hidden="1">
      <c r="A345" s="993" t="s">
        <v>2191</v>
      </c>
      <c r="B345" s="995">
        <v>1374</v>
      </c>
      <c r="C345" s="995">
        <v>0</v>
      </c>
      <c r="D345" s="995">
        <v>0</v>
      </c>
      <c r="E345" s="995">
        <v>0</v>
      </c>
    </row>
    <row r="346" spans="1:5" hidden="1">
      <c r="A346" s="993" t="s">
        <v>2312</v>
      </c>
      <c r="B346" s="995">
        <v>531</v>
      </c>
      <c r="C346" s="995">
        <v>0</v>
      </c>
      <c r="D346" s="995">
        <v>0</v>
      </c>
      <c r="E346" s="995">
        <v>0</v>
      </c>
    </row>
    <row r="347" spans="1:5" hidden="1">
      <c r="A347" s="993" t="s">
        <v>2305</v>
      </c>
      <c r="B347" s="995">
        <v>667</v>
      </c>
      <c r="C347" s="995">
        <v>0</v>
      </c>
      <c r="D347" s="995">
        <v>0</v>
      </c>
      <c r="E347" s="995">
        <v>0</v>
      </c>
    </row>
    <row r="348" spans="1:5" hidden="1">
      <c r="A348" s="993" t="s">
        <v>2313</v>
      </c>
      <c r="B348" s="995">
        <v>770</v>
      </c>
      <c r="C348" s="995">
        <v>0</v>
      </c>
      <c r="D348" s="995">
        <v>0</v>
      </c>
      <c r="E348" s="995">
        <v>0</v>
      </c>
    </row>
    <row r="349" spans="1:5" hidden="1">
      <c r="A349" s="993" t="s">
        <v>2314</v>
      </c>
      <c r="B349" s="995">
        <v>665</v>
      </c>
      <c r="C349" s="995">
        <v>0</v>
      </c>
      <c r="D349" s="995">
        <v>0</v>
      </c>
      <c r="E349" s="995">
        <v>0</v>
      </c>
    </row>
    <row r="350" spans="1:5" hidden="1">
      <c r="A350" s="993" t="s">
        <v>2315</v>
      </c>
      <c r="B350" s="995">
        <v>292</v>
      </c>
      <c r="C350" s="995">
        <v>0</v>
      </c>
      <c r="D350" s="995">
        <v>0</v>
      </c>
      <c r="E350" s="995">
        <v>0</v>
      </c>
    </row>
    <row r="351" spans="1:5" hidden="1">
      <c r="A351" s="993" t="s">
        <v>2316</v>
      </c>
      <c r="B351" s="995">
        <v>304</v>
      </c>
      <c r="C351" s="995">
        <v>0</v>
      </c>
      <c r="D351" s="995">
        <v>0</v>
      </c>
      <c r="E351" s="995">
        <v>0</v>
      </c>
    </row>
    <row r="352" spans="1:5" hidden="1">
      <c r="A352" s="993" t="s">
        <v>2317</v>
      </c>
      <c r="B352" s="995">
        <v>2578</v>
      </c>
      <c r="C352" s="995">
        <v>0</v>
      </c>
      <c r="D352" s="995">
        <v>0</v>
      </c>
      <c r="E352" s="995">
        <v>0</v>
      </c>
    </row>
    <row r="353" spans="1:5" hidden="1">
      <c r="A353" s="993" t="s">
        <v>2318</v>
      </c>
      <c r="B353" s="995">
        <v>1372</v>
      </c>
      <c r="C353" s="995">
        <v>0</v>
      </c>
      <c r="D353" s="995">
        <v>0</v>
      </c>
      <c r="E353" s="995">
        <v>0</v>
      </c>
    </row>
    <row r="354" spans="1:5" hidden="1">
      <c r="A354" s="993" t="s">
        <v>2321</v>
      </c>
      <c r="B354" s="995">
        <v>129</v>
      </c>
      <c r="C354" s="995">
        <v>0</v>
      </c>
      <c r="D354" s="995">
        <v>0</v>
      </c>
      <c r="E354" s="995">
        <v>0</v>
      </c>
    </row>
    <row r="355" spans="1:5" hidden="1">
      <c r="A355" s="993" t="s">
        <v>2368</v>
      </c>
      <c r="B355" s="995">
        <v>314</v>
      </c>
      <c r="C355" s="995">
        <v>314</v>
      </c>
      <c r="D355" s="995">
        <v>0</v>
      </c>
      <c r="E355" s="995">
        <v>0</v>
      </c>
    </row>
    <row r="356" spans="1:5" hidden="1">
      <c r="A356" s="993" t="s">
        <v>2362</v>
      </c>
      <c r="B356" s="995">
        <v>323</v>
      </c>
      <c r="C356" s="995">
        <v>323</v>
      </c>
      <c r="D356" s="995">
        <v>323</v>
      </c>
      <c r="E356" s="995">
        <v>250.00000000000003</v>
      </c>
    </row>
    <row r="357" spans="1:5" hidden="1">
      <c r="A357" s="993" t="s">
        <v>2324</v>
      </c>
      <c r="B357" s="995">
        <v>496</v>
      </c>
      <c r="C357" s="995">
        <v>0</v>
      </c>
      <c r="D357" s="995">
        <v>0</v>
      </c>
      <c r="E357" s="995">
        <v>0</v>
      </c>
    </row>
    <row r="358" spans="1:5" hidden="1">
      <c r="A358" s="993" t="s">
        <v>2330</v>
      </c>
      <c r="B358" s="995">
        <v>154</v>
      </c>
      <c r="C358" s="995">
        <v>154</v>
      </c>
      <c r="D358" s="995">
        <v>154</v>
      </c>
      <c r="E358" s="995">
        <v>154</v>
      </c>
    </row>
    <row r="359" spans="1:5" hidden="1">
      <c r="A359" s="993" t="s">
        <v>2381</v>
      </c>
      <c r="B359" s="995">
        <v>2186</v>
      </c>
      <c r="C359" s="995">
        <v>2186</v>
      </c>
      <c r="D359" s="995">
        <v>1720</v>
      </c>
      <c r="E359" s="995">
        <v>2186</v>
      </c>
    </row>
    <row r="360" spans="1:5" hidden="1">
      <c r="A360" s="993" t="s">
        <v>2380</v>
      </c>
      <c r="B360" s="995">
        <v>2248</v>
      </c>
      <c r="C360" s="995">
        <v>2248</v>
      </c>
      <c r="D360" s="995">
        <v>2020</v>
      </c>
      <c r="E360" s="995">
        <v>2248</v>
      </c>
    </row>
    <row r="361" spans="1:5" hidden="1">
      <c r="A361" s="993" t="s">
        <v>2382</v>
      </c>
      <c r="B361" s="995">
        <v>2285</v>
      </c>
      <c r="C361" s="995">
        <v>2285</v>
      </c>
      <c r="D361" s="995">
        <v>840</v>
      </c>
      <c r="E361" s="995">
        <v>2285</v>
      </c>
    </row>
    <row r="362" spans="1:5" hidden="1">
      <c r="A362" s="993" t="s">
        <v>2804</v>
      </c>
      <c r="B362" s="995">
        <v>908</v>
      </c>
      <c r="C362" s="995">
        <v>908</v>
      </c>
      <c r="D362" s="995">
        <v>0</v>
      </c>
      <c r="E362" s="995">
        <v>0</v>
      </c>
    </row>
    <row r="363" spans="1:5" hidden="1">
      <c r="A363" s="993" t="s">
        <v>2805</v>
      </c>
      <c r="B363" s="995">
        <v>838</v>
      </c>
      <c r="C363" s="995">
        <v>838</v>
      </c>
      <c r="D363" s="995">
        <v>0</v>
      </c>
      <c r="E363" s="995">
        <v>0</v>
      </c>
    </row>
    <row r="364" spans="1:5" hidden="1">
      <c r="A364" s="993" t="s">
        <v>2806</v>
      </c>
      <c r="B364" s="995">
        <v>798</v>
      </c>
      <c r="C364" s="995">
        <v>798</v>
      </c>
      <c r="D364" s="995">
        <v>0</v>
      </c>
      <c r="E364" s="995">
        <v>0</v>
      </c>
    </row>
    <row r="365" spans="1:5" hidden="1">
      <c r="A365" s="993" t="s">
        <v>2807</v>
      </c>
      <c r="B365" s="995">
        <v>580</v>
      </c>
      <c r="C365" s="995">
        <v>580</v>
      </c>
      <c r="D365" s="995">
        <v>0</v>
      </c>
      <c r="E365" s="995">
        <v>0</v>
      </c>
    </row>
    <row r="366" spans="1:5" hidden="1">
      <c r="A366" s="993" t="s">
        <v>2808</v>
      </c>
      <c r="B366" s="995">
        <v>847</v>
      </c>
      <c r="C366" s="995">
        <v>847</v>
      </c>
      <c r="D366" s="995">
        <v>0</v>
      </c>
      <c r="E366" s="995">
        <v>0</v>
      </c>
    </row>
    <row r="367" spans="1:5" hidden="1">
      <c r="A367" s="993" t="s">
        <v>2809</v>
      </c>
      <c r="B367" s="995">
        <v>343</v>
      </c>
      <c r="C367" s="995">
        <v>343</v>
      </c>
      <c r="D367" s="995">
        <v>0</v>
      </c>
      <c r="E367" s="995">
        <v>0</v>
      </c>
    </row>
    <row r="368" spans="1:5" hidden="1">
      <c r="A368" s="993" t="s">
        <v>2810</v>
      </c>
      <c r="B368" s="995">
        <v>86</v>
      </c>
      <c r="C368" s="995">
        <v>86</v>
      </c>
      <c r="D368" s="995">
        <v>0</v>
      </c>
      <c r="E368" s="995">
        <v>0</v>
      </c>
    </row>
    <row r="369" spans="1:5" hidden="1">
      <c r="A369" s="993" t="s">
        <v>2811</v>
      </c>
      <c r="B369" s="995">
        <v>42</v>
      </c>
      <c r="C369" s="995">
        <v>42</v>
      </c>
      <c r="D369" s="995">
        <v>0</v>
      </c>
      <c r="E369" s="995">
        <v>0</v>
      </c>
    </row>
    <row r="370" spans="1:5" hidden="1">
      <c r="A370" s="993" t="s">
        <v>2812</v>
      </c>
      <c r="B370" s="995">
        <v>570</v>
      </c>
      <c r="C370" s="995">
        <v>570</v>
      </c>
      <c r="D370" s="995">
        <v>0</v>
      </c>
      <c r="E370" s="995">
        <v>0</v>
      </c>
    </row>
    <row r="371" spans="1:5" hidden="1">
      <c r="A371" s="993" t="s">
        <v>2813</v>
      </c>
      <c r="B371" s="995">
        <v>1155</v>
      </c>
      <c r="C371" s="995">
        <v>1155</v>
      </c>
      <c r="D371" s="995">
        <v>0</v>
      </c>
      <c r="E371" s="995">
        <v>0</v>
      </c>
    </row>
    <row r="372" spans="1:5" hidden="1">
      <c r="A372" s="993" t="s">
        <v>2814</v>
      </c>
      <c r="B372" s="995">
        <v>664</v>
      </c>
      <c r="C372" s="995">
        <v>664</v>
      </c>
      <c r="D372" s="995">
        <v>0</v>
      </c>
      <c r="E372" s="995">
        <v>0</v>
      </c>
    </row>
    <row r="373" spans="1:5" hidden="1">
      <c r="A373" s="993" t="s">
        <v>2815</v>
      </c>
      <c r="B373" s="995">
        <v>1207</v>
      </c>
      <c r="C373" s="995">
        <v>1207</v>
      </c>
      <c r="D373" s="995">
        <v>0</v>
      </c>
      <c r="E373" s="995">
        <v>0</v>
      </c>
    </row>
    <row r="374" spans="1:5" hidden="1">
      <c r="A374" s="993" t="s">
        <v>2816</v>
      </c>
      <c r="B374" s="995">
        <v>39</v>
      </c>
      <c r="C374" s="995">
        <v>39</v>
      </c>
      <c r="D374" s="995">
        <v>0</v>
      </c>
      <c r="E374" s="995">
        <v>0</v>
      </c>
    </row>
    <row r="375" spans="1:5" hidden="1">
      <c r="A375" s="993" t="s">
        <v>2817</v>
      </c>
      <c r="B375" s="995">
        <v>927</v>
      </c>
      <c r="C375" s="995">
        <v>927</v>
      </c>
      <c r="D375" s="995">
        <v>0</v>
      </c>
      <c r="E375" s="995">
        <v>0</v>
      </c>
    </row>
    <row r="376" spans="1:5" hidden="1">
      <c r="A376" s="993" t="s">
        <v>2818</v>
      </c>
      <c r="B376" s="995">
        <v>123</v>
      </c>
      <c r="C376" s="995">
        <v>123</v>
      </c>
      <c r="D376" s="995">
        <v>0</v>
      </c>
      <c r="E376" s="995">
        <v>0</v>
      </c>
    </row>
    <row r="377" spans="1:5" hidden="1">
      <c r="A377" s="993" t="s">
        <v>2819</v>
      </c>
      <c r="B377" s="995">
        <v>73</v>
      </c>
      <c r="C377" s="995">
        <v>73</v>
      </c>
      <c r="D377" s="995">
        <v>0</v>
      </c>
      <c r="E377" s="995">
        <v>0</v>
      </c>
    </row>
    <row r="378" spans="1:5" hidden="1">
      <c r="A378" s="993" t="s">
        <v>2820</v>
      </c>
      <c r="B378" s="995">
        <v>85</v>
      </c>
      <c r="C378" s="995">
        <v>85</v>
      </c>
      <c r="D378" s="995">
        <v>0</v>
      </c>
      <c r="E378" s="995">
        <v>0</v>
      </c>
    </row>
    <row r="379" spans="1:5" hidden="1">
      <c r="A379" s="993" t="s">
        <v>2821</v>
      </c>
      <c r="B379" s="995">
        <v>256</v>
      </c>
      <c r="C379" s="995">
        <v>256</v>
      </c>
      <c r="D379" s="995">
        <v>0</v>
      </c>
      <c r="E379" s="995">
        <v>0</v>
      </c>
    </row>
    <row r="380" spans="1:5" hidden="1">
      <c r="A380" s="993" t="s">
        <v>2822</v>
      </c>
      <c r="B380" s="995">
        <v>263</v>
      </c>
      <c r="C380" s="995">
        <v>263</v>
      </c>
      <c r="D380" s="995">
        <v>0</v>
      </c>
      <c r="E380" s="995">
        <v>0</v>
      </c>
    </row>
    <row r="381" spans="1:5" hidden="1">
      <c r="A381" s="993" t="s">
        <v>2823</v>
      </c>
      <c r="B381" s="995">
        <v>1698</v>
      </c>
      <c r="C381" s="995">
        <v>1698</v>
      </c>
      <c r="D381" s="995">
        <v>0</v>
      </c>
      <c r="E381" s="995">
        <v>0</v>
      </c>
    </row>
    <row r="382" spans="1:5" hidden="1">
      <c r="A382" s="993" t="s">
        <v>2824</v>
      </c>
      <c r="B382" s="995">
        <v>702</v>
      </c>
      <c r="C382" s="995">
        <v>702</v>
      </c>
      <c r="D382" s="995">
        <v>0</v>
      </c>
      <c r="E382" s="995">
        <v>0</v>
      </c>
    </row>
    <row r="383" spans="1:5" hidden="1">
      <c r="A383" s="993" t="s">
        <v>2826</v>
      </c>
      <c r="B383" s="995">
        <v>663</v>
      </c>
      <c r="C383" s="995">
        <v>0</v>
      </c>
      <c r="D383" s="995">
        <v>0</v>
      </c>
      <c r="E383" s="995">
        <v>0</v>
      </c>
    </row>
    <row r="384" spans="1:5" hidden="1">
      <c r="A384" s="993" t="s">
        <v>2827</v>
      </c>
      <c r="B384" s="995">
        <v>239</v>
      </c>
      <c r="C384" s="995">
        <v>0</v>
      </c>
      <c r="D384" s="995">
        <v>0</v>
      </c>
      <c r="E384" s="995">
        <v>0</v>
      </c>
    </row>
    <row r="385" spans="1:5" hidden="1">
      <c r="A385" s="993" t="s">
        <v>2828</v>
      </c>
      <c r="B385" s="995">
        <v>506</v>
      </c>
      <c r="C385" s="995">
        <v>0</v>
      </c>
      <c r="D385" s="995">
        <v>0</v>
      </c>
      <c r="E385" s="995">
        <v>0</v>
      </c>
    </row>
    <row r="386" spans="1:5" hidden="1">
      <c r="A386" s="993" t="s">
        <v>2829</v>
      </c>
      <c r="B386" s="995">
        <v>81</v>
      </c>
      <c r="C386" s="995">
        <v>0</v>
      </c>
      <c r="D386" s="995">
        <v>0</v>
      </c>
      <c r="E386" s="995">
        <v>0</v>
      </c>
    </row>
    <row r="387" spans="1:5" hidden="1">
      <c r="A387" s="993" t="s">
        <v>2830</v>
      </c>
      <c r="B387" s="995">
        <v>582</v>
      </c>
      <c r="C387" s="995">
        <v>0</v>
      </c>
      <c r="D387" s="995">
        <v>0</v>
      </c>
      <c r="E387" s="995">
        <v>0</v>
      </c>
    </row>
    <row r="388" spans="1:5" hidden="1">
      <c r="A388" s="993" t="s">
        <v>2831</v>
      </c>
      <c r="B388" s="995">
        <v>248</v>
      </c>
      <c r="C388" s="995">
        <v>0</v>
      </c>
      <c r="D388" s="995">
        <v>0</v>
      </c>
      <c r="E388" s="995">
        <v>0</v>
      </c>
    </row>
    <row r="389" spans="1:5" hidden="1">
      <c r="A389" s="993" t="s">
        <v>2832</v>
      </c>
      <c r="B389" s="995">
        <v>315</v>
      </c>
      <c r="C389" s="995">
        <v>0</v>
      </c>
      <c r="D389" s="995">
        <v>0</v>
      </c>
      <c r="E389" s="995">
        <v>0</v>
      </c>
    </row>
    <row r="390" spans="1:5" hidden="1">
      <c r="A390" s="993" t="s">
        <v>2834</v>
      </c>
      <c r="B390" s="995">
        <v>393</v>
      </c>
      <c r="C390" s="995">
        <v>0</v>
      </c>
      <c r="D390" s="995">
        <v>0</v>
      </c>
      <c r="E390" s="995">
        <v>0</v>
      </c>
    </row>
    <row r="391" spans="1:5" hidden="1">
      <c r="A391" s="993" t="s">
        <v>2835</v>
      </c>
      <c r="B391" s="995">
        <v>609</v>
      </c>
      <c r="C391" s="995">
        <v>609</v>
      </c>
      <c r="D391" s="995">
        <v>0</v>
      </c>
      <c r="E391" s="995">
        <v>0</v>
      </c>
    </row>
    <row r="392" spans="1:5" hidden="1">
      <c r="A392" s="993" t="s">
        <v>2837</v>
      </c>
      <c r="B392" s="995">
        <v>82</v>
      </c>
      <c r="C392" s="995">
        <v>82</v>
      </c>
      <c r="D392" s="995">
        <v>0</v>
      </c>
      <c r="E392" s="995">
        <v>0</v>
      </c>
    </row>
    <row r="393" spans="1:5" hidden="1">
      <c r="A393" s="993" t="s">
        <v>2838</v>
      </c>
      <c r="B393" s="995">
        <v>118</v>
      </c>
      <c r="C393" s="995">
        <v>118</v>
      </c>
      <c r="D393" s="995">
        <v>0</v>
      </c>
      <c r="E393" s="995">
        <v>0</v>
      </c>
    </row>
    <row r="394" spans="1:5" hidden="1">
      <c r="A394" s="993" t="s">
        <v>2839</v>
      </c>
      <c r="B394" s="995">
        <v>280</v>
      </c>
      <c r="C394" s="995">
        <v>280</v>
      </c>
      <c r="D394" s="995">
        <v>0</v>
      </c>
      <c r="E394" s="995">
        <v>0</v>
      </c>
    </row>
    <row r="395" spans="1:5" hidden="1">
      <c r="A395" s="993" t="s">
        <v>2840</v>
      </c>
      <c r="B395" s="995">
        <v>314</v>
      </c>
      <c r="C395" s="995">
        <v>314</v>
      </c>
      <c r="D395" s="995">
        <v>0</v>
      </c>
      <c r="E395" s="995">
        <v>0</v>
      </c>
    </row>
    <row r="396" spans="1:5" hidden="1">
      <c r="A396" s="993" t="s">
        <v>2842</v>
      </c>
      <c r="B396" s="995">
        <v>1018</v>
      </c>
      <c r="C396" s="995">
        <v>0</v>
      </c>
      <c r="D396" s="995">
        <v>0</v>
      </c>
      <c r="E396" s="995">
        <v>0</v>
      </c>
    </row>
    <row r="397" spans="1:5" hidden="1">
      <c r="A397" s="993" t="s">
        <v>2843</v>
      </c>
      <c r="B397" s="995">
        <v>276</v>
      </c>
      <c r="C397" s="995">
        <v>0</v>
      </c>
      <c r="D397" s="995">
        <v>0</v>
      </c>
      <c r="E397" s="995">
        <v>0</v>
      </c>
    </row>
    <row r="398" spans="1:5" hidden="1">
      <c r="A398" s="993" t="s">
        <v>2844</v>
      </c>
      <c r="B398" s="995">
        <v>970</v>
      </c>
      <c r="C398" s="995">
        <v>0</v>
      </c>
      <c r="D398" s="995">
        <v>0</v>
      </c>
      <c r="E398" s="995">
        <v>0</v>
      </c>
    </row>
    <row r="399" spans="1:5" hidden="1">
      <c r="A399" s="993" t="s">
        <v>2845</v>
      </c>
      <c r="B399" s="995">
        <v>864</v>
      </c>
      <c r="C399" s="995">
        <v>0</v>
      </c>
      <c r="D399" s="995">
        <v>0</v>
      </c>
      <c r="E399" s="995">
        <v>0</v>
      </c>
    </row>
    <row r="400" spans="1:5" hidden="1">
      <c r="A400" s="993" t="s">
        <v>2856</v>
      </c>
      <c r="B400" s="995">
        <v>1246</v>
      </c>
      <c r="C400" s="995">
        <v>0</v>
      </c>
      <c r="D400" s="995">
        <v>0</v>
      </c>
      <c r="E400" s="995">
        <v>0</v>
      </c>
    </row>
    <row r="401" spans="1:5" hidden="1">
      <c r="A401" s="993" t="s">
        <v>2857</v>
      </c>
      <c r="B401" s="995">
        <v>959</v>
      </c>
      <c r="C401" s="995">
        <v>0</v>
      </c>
      <c r="D401" s="995">
        <v>0</v>
      </c>
      <c r="E401" s="995">
        <v>0</v>
      </c>
    </row>
    <row r="402" spans="1:5" hidden="1">
      <c r="A402" s="993" t="s">
        <v>2858</v>
      </c>
      <c r="B402" s="995">
        <v>957</v>
      </c>
      <c r="C402" s="995">
        <v>0</v>
      </c>
      <c r="D402" s="995">
        <v>0</v>
      </c>
      <c r="E402" s="995">
        <v>0</v>
      </c>
    </row>
    <row r="403" spans="1:5" hidden="1">
      <c r="A403" s="993" t="s">
        <v>2859</v>
      </c>
      <c r="B403" s="995">
        <v>776</v>
      </c>
      <c r="C403" s="995">
        <v>0</v>
      </c>
      <c r="D403" s="995">
        <v>0</v>
      </c>
      <c r="E403" s="995">
        <v>0</v>
      </c>
    </row>
    <row r="404" spans="1:5" hidden="1">
      <c r="A404" s="993" t="s">
        <v>2860</v>
      </c>
      <c r="B404" s="995">
        <v>1006</v>
      </c>
      <c r="C404" s="995">
        <v>0</v>
      </c>
      <c r="D404" s="995">
        <v>0</v>
      </c>
      <c r="E404" s="995">
        <v>0</v>
      </c>
    </row>
    <row r="405" spans="1:5" hidden="1">
      <c r="A405" s="993" t="s">
        <v>2861</v>
      </c>
      <c r="B405" s="995">
        <v>601</v>
      </c>
      <c r="C405" s="995">
        <v>0</v>
      </c>
      <c r="D405" s="995">
        <v>0</v>
      </c>
      <c r="E405" s="995">
        <v>0</v>
      </c>
    </row>
    <row r="406" spans="1:5" hidden="1">
      <c r="A406" s="993" t="s">
        <v>2862</v>
      </c>
      <c r="B406" s="995">
        <v>1292</v>
      </c>
      <c r="C406" s="995">
        <v>0</v>
      </c>
      <c r="D406" s="995">
        <v>0</v>
      </c>
      <c r="E406" s="995">
        <v>0</v>
      </c>
    </row>
    <row r="407" spans="1:5" hidden="1">
      <c r="A407" s="993" t="s">
        <v>2863</v>
      </c>
      <c r="B407" s="995">
        <v>1614</v>
      </c>
      <c r="C407" s="995">
        <v>0</v>
      </c>
      <c r="D407" s="995">
        <v>0</v>
      </c>
      <c r="E407" s="995">
        <v>0</v>
      </c>
    </row>
    <row r="408" spans="1:5" hidden="1">
      <c r="A408" s="993" t="s">
        <v>2864</v>
      </c>
      <c r="B408" s="995">
        <v>1018</v>
      </c>
      <c r="C408" s="995">
        <v>0</v>
      </c>
      <c r="D408" s="995">
        <v>0</v>
      </c>
      <c r="E408" s="995">
        <v>0</v>
      </c>
    </row>
    <row r="409" spans="1:5" hidden="1">
      <c r="A409" s="993" t="s">
        <v>2865</v>
      </c>
      <c r="B409" s="995">
        <v>354</v>
      </c>
      <c r="C409" s="995">
        <v>0</v>
      </c>
      <c r="D409" s="995">
        <v>0</v>
      </c>
      <c r="E409" s="995">
        <v>0</v>
      </c>
    </row>
    <row r="410" spans="1:5" hidden="1">
      <c r="A410" s="993" t="s">
        <v>2866</v>
      </c>
      <c r="B410" s="995">
        <v>2287</v>
      </c>
      <c r="C410" s="995">
        <v>0</v>
      </c>
      <c r="D410" s="995">
        <v>0</v>
      </c>
      <c r="E410" s="995">
        <v>0</v>
      </c>
    </row>
    <row r="411" spans="1:5" hidden="1">
      <c r="A411" s="993" t="s">
        <v>2867</v>
      </c>
      <c r="B411" s="995">
        <v>1711</v>
      </c>
      <c r="C411" s="995">
        <v>0</v>
      </c>
      <c r="D411" s="995">
        <v>0</v>
      </c>
      <c r="E411" s="995">
        <v>0</v>
      </c>
    </row>
    <row r="412" spans="1:5" hidden="1">
      <c r="A412" s="993" t="s">
        <v>2868</v>
      </c>
      <c r="B412" s="995">
        <v>427</v>
      </c>
      <c r="C412" s="995">
        <v>0</v>
      </c>
      <c r="D412" s="995">
        <v>0</v>
      </c>
      <c r="E412" s="995">
        <v>0</v>
      </c>
    </row>
    <row r="413" spans="1:5" hidden="1">
      <c r="A413" s="993" t="s">
        <v>2869</v>
      </c>
      <c r="B413" s="995">
        <v>265</v>
      </c>
      <c r="C413" s="995">
        <v>0</v>
      </c>
      <c r="D413" s="995">
        <v>0</v>
      </c>
      <c r="E413" s="995">
        <v>0</v>
      </c>
    </row>
    <row r="414" spans="1:5" hidden="1">
      <c r="A414" s="993" t="s">
        <v>2870</v>
      </c>
      <c r="B414" s="995">
        <v>92</v>
      </c>
      <c r="C414" s="995">
        <v>0</v>
      </c>
      <c r="D414" s="995">
        <v>0</v>
      </c>
      <c r="E414" s="995">
        <v>0</v>
      </c>
    </row>
    <row r="415" spans="1:5" hidden="1">
      <c r="A415" s="993" t="s">
        <v>2873</v>
      </c>
      <c r="B415" s="995">
        <v>318</v>
      </c>
      <c r="C415" s="995">
        <v>318</v>
      </c>
      <c r="D415" s="995">
        <v>200</v>
      </c>
      <c r="E415" s="995">
        <v>0</v>
      </c>
    </row>
    <row r="416" spans="1:5" hidden="1">
      <c r="A416" s="993" t="s">
        <v>3232</v>
      </c>
      <c r="B416" s="995">
        <v>164</v>
      </c>
      <c r="C416" s="995">
        <v>125</v>
      </c>
      <c r="D416" s="995">
        <v>0</v>
      </c>
      <c r="E416" s="995">
        <v>0</v>
      </c>
    </row>
    <row r="417" spans="1:5" hidden="1">
      <c r="A417" s="993" t="s">
        <v>2875</v>
      </c>
      <c r="B417" s="995">
        <v>373</v>
      </c>
      <c r="C417" s="995">
        <v>373</v>
      </c>
      <c r="D417" s="995">
        <v>0</v>
      </c>
      <c r="E417" s="995">
        <v>0</v>
      </c>
    </row>
    <row r="418" spans="1:5" hidden="1">
      <c r="A418" s="993" t="s">
        <v>2876</v>
      </c>
      <c r="B418" s="995">
        <v>384</v>
      </c>
      <c r="C418" s="995">
        <v>384</v>
      </c>
      <c r="D418" s="995">
        <v>200</v>
      </c>
      <c r="E418" s="995">
        <v>0</v>
      </c>
    </row>
    <row r="419" spans="1:5" hidden="1">
      <c r="A419" s="993" t="s">
        <v>2877</v>
      </c>
      <c r="B419" s="995">
        <v>101</v>
      </c>
      <c r="C419" s="995">
        <v>101</v>
      </c>
      <c r="D419" s="995">
        <v>0</v>
      </c>
      <c r="E419" s="995">
        <v>0</v>
      </c>
    </row>
    <row r="420" spans="1:5" hidden="1">
      <c r="A420" s="993" t="s">
        <v>3233</v>
      </c>
      <c r="B420" s="995">
        <v>140</v>
      </c>
      <c r="C420" s="995">
        <v>140</v>
      </c>
      <c r="D420" s="995">
        <v>0</v>
      </c>
      <c r="E420" s="995">
        <v>0</v>
      </c>
    </row>
    <row r="421" spans="1:5" hidden="1">
      <c r="A421" s="993" t="s">
        <v>2880</v>
      </c>
      <c r="B421" s="995">
        <v>157</v>
      </c>
      <c r="C421" s="995">
        <v>157</v>
      </c>
      <c r="D421" s="995">
        <v>150</v>
      </c>
      <c r="E421" s="995">
        <v>0</v>
      </c>
    </row>
    <row r="422" spans="1:5" hidden="1">
      <c r="A422" s="993" t="s">
        <v>2881</v>
      </c>
      <c r="B422" s="995">
        <v>217</v>
      </c>
      <c r="C422" s="995">
        <v>217</v>
      </c>
      <c r="D422" s="995">
        <v>100</v>
      </c>
      <c r="E422" s="995">
        <v>0</v>
      </c>
    </row>
    <row r="423" spans="1:5" hidden="1">
      <c r="A423" s="993" t="s">
        <v>2883</v>
      </c>
      <c r="B423" s="995">
        <v>230</v>
      </c>
      <c r="C423" s="995">
        <v>230</v>
      </c>
      <c r="D423" s="995">
        <v>230</v>
      </c>
      <c r="E423" s="995">
        <v>0</v>
      </c>
    </row>
    <row r="424" spans="1:5" hidden="1">
      <c r="A424" s="993" t="s">
        <v>2884</v>
      </c>
      <c r="B424" s="995">
        <v>285</v>
      </c>
      <c r="C424" s="995">
        <v>285</v>
      </c>
      <c r="D424" s="995">
        <v>0</v>
      </c>
      <c r="E424" s="995">
        <v>0</v>
      </c>
    </row>
    <row r="425" spans="1:5" hidden="1">
      <c r="A425" s="993" t="s">
        <v>2885</v>
      </c>
      <c r="B425" s="995">
        <v>1169</v>
      </c>
      <c r="C425" s="995">
        <v>1169</v>
      </c>
      <c r="D425" s="995">
        <v>0</v>
      </c>
      <c r="E425" s="995">
        <v>0</v>
      </c>
    </row>
    <row r="426" spans="1:5" hidden="1">
      <c r="A426" s="993" t="s">
        <v>2886</v>
      </c>
      <c r="B426" s="995">
        <v>1083</v>
      </c>
      <c r="C426" s="995">
        <v>0</v>
      </c>
      <c r="D426" s="995">
        <v>0</v>
      </c>
      <c r="E426" s="995">
        <v>0</v>
      </c>
    </row>
    <row r="427" spans="1:5" hidden="1">
      <c r="A427" s="993" t="s">
        <v>2887</v>
      </c>
      <c r="B427" s="995">
        <v>373</v>
      </c>
      <c r="C427" s="995">
        <v>0</v>
      </c>
      <c r="D427" s="995">
        <v>0</v>
      </c>
      <c r="E427" s="995">
        <v>0</v>
      </c>
    </row>
    <row r="428" spans="1:5" hidden="1">
      <c r="A428" s="993" t="s">
        <v>2888</v>
      </c>
      <c r="B428" s="995">
        <v>481</v>
      </c>
      <c r="C428" s="995">
        <v>0</v>
      </c>
      <c r="D428" s="995">
        <v>0</v>
      </c>
      <c r="E428" s="995">
        <v>0</v>
      </c>
    </row>
    <row r="429" spans="1:5" hidden="1">
      <c r="A429" s="993" t="s">
        <v>2889</v>
      </c>
      <c r="B429" s="995">
        <v>454</v>
      </c>
      <c r="C429" s="995">
        <v>0</v>
      </c>
      <c r="D429" s="995">
        <v>0</v>
      </c>
      <c r="E429" s="995">
        <v>0</v>
      </c>
    </row>
    <row r="430" spans="1:5" hidden="1">
      <c r="A430" s="993" t="s">
        <v>2890</v>
      </c>
      <c r="B430" s="995">
        <v>978</v>
      </c>
      <c r="C430" s="995">
        <v>0</v>
      </c>
      <c r="D430" s="995">
        <v>0</v>
      </c>
      <c r="E430" s="995">
        <v>0</v>
      </c>
    </row>
    <row r="431" spans="1:5" hidden="1">
      <c r="A431" s="993" t="s">
        <v>2891</v>
      </c>
      <c r="B431" s="995">
        <v>741</v>
      </c>
      <c r="C431" s="995">
        <v>0</v>
      </c>
      <c r="D431" s="995">
        <v>0</v>
      </c>
      <c r="E431" s="995">
        <v>0</v>
      </c>
    </row>
    <row r="432" spans="1:5" hidden="1">
      <c r="A432" s="993" t="s">
        <v>2892</v>
      </c>
      <c r="B432" s="995">
        <v>1117</v>
      </c>
      <c r="C432" s="995">
        <v>0</v>
      </c>
      <c r="D432" s="995">
        <v>0</v>
      </c>
      <c r="E432" s="995">
        <v>0</v>
      </c>
    </row>
    <row r="433" spans="1:5" hidden="1">
      <c r="A433" s="993" t="s">
        <v>2893</v>
      </c>
      <c r="B433" s="995">
        <v>1416</v>
      </c>
      <c r="C433" s="995">
        <v>0</v>
      </c>
      <c r="D433" s="995">
        <v>0</v>
      </c>
      <c r="E433" s="995">
        <v>0</v>
      </c>
    </row>
    <row r="434" spans="1:5" hidden="1">
      <c r="A434" s="993" t="s">
        <v>2894</v>
      </c>
      <c r="B434" s="995">
        <v>853</v>
      </c>
      <c r="C434" s="995">
        <v>0</v>
      </c>
      <c r="D434" s="995">
        <v>0</v>
      </c>
      <c r="E434" s="995">
        <v>0</v>
      </c>
    </row>
    <row r="435" spans="1:5" hidden="1">
      <c r="A435" s="993" t="s">
        <v>2895</v>
      </c>
      <c r="B435" s="995">
        <v>1027</v>
      </c>
      <c r="C435" s="995">
        <v>0</v>
      </c>
      <c r="D435" s="995">
        <v>0</v>
      </c>
      <c r="E435" s="995">
        <v>0</v>
      </c>
    </row>
    <row r="436" spans="1:5" hidden="1">
      <c r="A436" s="993" t="s">
        <v>2896</v>
      </c>
      <c r="B436" s="995">
        <v>370</v>
      </c>
      <c r="C436" s="995">
        <v>0</v>
      </c>
      <c r="D436" s="995">
        <v>0</v>
      </c>
      <c r="E436" s="995">
        <v>0</v>
      </c>
    </row>
    <row r="437" spans="1:5" hidden="1">
      <c r="A437" s="993" t="s">
        <v>2897</v>
      </c>
      <c r="B437" s="995">
        <v>369</v>
      </c>
      <c r="C437" s="995">
        <v>0</v>
      </c>
      <c r="D437" s="995">
        <v>0</v>
      </c>
      <c r="E437" s="995">
        <v>0</v>
      </c>
    </row>
    <row r="438" spans="1:5" hidden="1">
      <c r="A438" s="993" t="s">
        <v>2898</v>
      </c>
      <c r="B438" s="995">
        <v>1369</v>
      </c>
      <c r="C438" s="995">
        <v>0</v>
      </c>
      <c r="D438" s="995">
        <v>0</v>
      </c>
      <c r="E438" s="995">
        <v>0</v>
      </c>
    </row>
    <row r="439" spans="1:5" hidden="1">
      <c r="A439" s="993" t="s">
        <v>2899</v>
      </c>
      <c r="B439" s="995">
        <v>4476</v>
      </c>
      <c r="C439" s="995">
        <v>0</v>
      </c>
      <c r="D439" s="995">
        <v>0</v>
      </c>
      <c r="E439" s="995">
        <v>0</v>
      </c>
    </row>
    <row r="440" spans="1:5" hidden="1">
      <c r="A440" s="993" t="s">
        <v>2900</v>
      </c>
      <c r="B440" s="995">
        <v>1867</v>
      </c>
      <c r="C440" s="995">
        <v>0</v>
      </c>
      <c r="D440" s="995">
        <v>0</v>
      </c>
      <c r="E440" s="995">
        <v>0</v>
      </c>
    </row>
    <row r="441" spans="1:5" hidden="1">
      <c r="A441" s="993" t="s">
        <v>1780</v>
      </c>
      <c r="B441" s="995">
        <v>3768</v>
      </c>
      <c r="C441" s="995">
        <v>0</v>
      </c>
      <c r="D441" s="995">
        <v>0</v>
      </c>
      <c r="E441" s="995">
        <v>0</v>
      </c>
    </row>
    <row r="442" spans="1:5" hidden="1">
      <c r="A442" s="993" t="s">
        <v>2901</v>
      </c>
      <c r="B442" s="995">
        <v>1750</v>
      </c>
      <c r="C442" s="995">
        <v>0</v>
      </c>
      <c r="D442" s="995">
        <v>0</v>
      </c>
      <c r="E442" s="995">
        <v>0</v>
      </c>
    </row>
    <row r="443" spans="1:5" hidden="1">
      <c r="A443" s="993" t="s">
        <v>2902</v>
      </c>
      <c r="B443" s="995">
        <v>715</v>
      </c>
      <c r="C443" s="995">
        <v>0</v>
      </c>
      <c r="D443" s="995">
        <v>0</v>
      </c>
      <c r="E443" s="995">
        <v>0</v>
      </c>
    </row>
    <row r="444" spans="1:5" hidden="1">
      <c r="A444" s="993" t="s">
        <v>2904</v>
      </c>
      <c r="B444" s="995">
        <v>12993</v>
      </c>
      <c r="C444" s="995">
        <v>0</v>
      </c>
      <c r="D444" s="995">
        <v>0</v>
      </c>
      <c r="E444" s="995">
        <v>0</v>
      </c>
    </row>
    <row r="445" spans="1:5" hidden="1">
      <c r="A445" s="993" t="s">
        <v>1151</v>
      </c>
      <c r="B445" s="995">
        <v>1923</v>
      </c>
      <c r="C445" s="995">
        <v>0</v>
      </c>
      <c r="D445" s="995">
        <v>0</v>
      </c>
      <c r="E445" s="995">
        <v>0</v>
      </c>
    </row>
    <row r="446" spans="1:5" hidden="1">
      <c r="A446" s="993" t="s">
        <v>2905</v>
      </c>
      <c r="B446" s="995">
        <v>801</v>
      </c>
      <c r="C446" s="995">
        <v>0</v>
      </c>
      <c r="D446" s="995">
        <v>0</v>
      </c>
      <c r="E446" s="995">
        <v>0</v>
      </c>
    </row>
    <row r="447" spans="1:5" hidden="1">
      <c r="A447" s="993" t="s">
        <v>2906</v>
      </c>
      <c r="B447" s="995">
        <v>156</v>
      </c>
      <c r="C447" s="995">
        <v>0</v>
      </c>
      <c r="D447" s="995">
        <v>0</v>
      </c>
      <c r="E447" s="995">
        <v>0</v>
      </c>
    </row>
    <row r="448" spans="1:5" hidden="1">
      <c r="A448" s="993" t="s">
        <v>2907</v>
      </c>
      <c r="B448" s="995">
        <v>329</v>
      </c>
      <c r="C448" s="995">
        <v>0</v>
      </c>
      <c r="D448" s="995">
        <v>0</v>
      </c>
      <c r="E448" s="995">
        <v>0</v>
      </c>
    </row>
    <row r="449" spans="1:5" hidden="1">
      <c r="A449" s="993" t="s">
        <v>2908</v>
      </c>
      <c r="B449" s="995">
        <v>119</v>
      </c>
      <c r="C449" s="995">
        <v>0</v>
      </c>
      <c r="D449" s="995">
        <v>0</v>
      </c>
      <c r="E449" s="995">
        <v>0</v>
      </c>
    </row>
    <row r="450" spans="1:5" hidden="1">
      <c r="A450" s="993" t="s">
        <v>2909</v>
      </c>
      <c r="B450" s="995">
        <v>1027</v>
      </c>
      <c r="C450" s="995">
        <v>0</v>
      </c>
      <c r="D450" s="995">
        <v>0</v>
      </c>
      <c r="E450" s="995">
        <v>0</v>
      </c>
    </row>
    <row r="451" spans="1:5" hidden="1">
      <c r="A451" s="993" t="s">
        <v>2910</v>
      </c>
      <c r="B451" s="995">
        <v>414</v>
      </c>
      <c r="C451" s="995">
        <v>0</v>
      </c>
      <c r="D451" s="995">
        <v>0</v>
      </c>
      <c r="E451" s="995">
        <v>0</v>
      </c>
    </row>
    <row r="452" spans="1:5" hidden="1">
      <c r="A452" s="993" t="s">
        <v>2911</v>
      </c>
      <c r="B452" s="995">
        <v>308</v>
      </c>
      <c r="C452" s="995">
        <v>0</v>
      </c>
      <c r="D452" s="995">
        <v>0</v>
      </c>
      <c r="E452" s="995">
        <v>0</v>
      </c>
    </row>
    <row r="453" spans="1:5" hidden="1">
      <c r="A453" s="993" t="s">
        <v>2912</v>
      </c>
      <c r="B453" s="995">
        <v>413</v>
      </c>
      <c r="C453" s="995">
        <v>0</v>
      </c>
      <c r="D453" s="995">
        <v>0</v>
      </c>
      <c r="E453" s="995">
        <v>0</v>
      </c>
    </row>
    <row r="454" spans="1:5" hidden="1">
      <c r="A454" s="993" t="s">
        <v>2913</v>
      </c>
      <c r="B454" s="995">
        <v>2111</v>
      </c>
      <c r="C454" s="995">
        <v>0</v>
      </c>
      <c r="D454" s="995">
        <v>0</v>
      </c>
      <c r="E454" s="995">
        <v>0</v>
      </c>
    </row>
    <row r="455" spans="1:5" hidden="1">
      <c r="A455" s="993" t="s">
        <v>2914</v>
      </c>
      <c r="B455" s="995">
        <v>1698</v>
      </c>
      <c r="C455" s="995">
        <v>0</v>
      </c>
      <c r="D455" s="995">
        <v>0</v>
      </c>
      <c r="E455" s="995">
        <v>0</v>
      </c>
    </row>
    <row r="456" spans="1:5" hidden="1">
      <c r="A456" s="993" t="s">
        <v>2915</v>
      </c>
      <c r="B456" s="995">
        <v>985</v>
      </c>
      <c r="C456" s="995">
        <v>0</v>
      </c>
      <c r="D456" s="995">
        <v>0</v>
      </c>
      <c r="E456" s="995">
        <v>0</v>
      </c>
    </row>
    <row r="457" spans="1:5" hidden="1">
      <c r="A457" s="993" t="s">
        <v>2916</v>
      </c>
      <c r="B457" s="995">
        <v>735</v>
      </c>
      <c r="C457" s="995">
        <v>0</v>
      </c>
      <c r="D457" s="995">
        <v>0</v>
      </c>
      <c r="E457" s="995">
        <v>0</v>
      </c>
    </row>
    <row r="458" spans="1:5" hidden="1">
      <c r="A458" s="993" t="s">
        <v>2917</v>
      </c>
      <c r="B458" s="995">
        <v>142</v>
      </c>
      <c r="C458" s="995">
        <v>0</v>
      </c>
      <c r="D458" s="995">
        <v>0</v>
      </c>
      <c r="E458" s="995">
        <v>0</v>
      </c>
    </row>
    <row r="459" spans="1:5" hidden="1">
      <c r="A459" s="993" t="s">
        <v>2918</v>
      </c>
      <c r="B459" s="995">
        <v>630</v>
      </c>
      <c r="C459" s="995">
        <v>0</v>
      </c>
      <c r="D459" s="995">
        <v>0</v>
      </c>
      <c r="E459" s="995">
        <v>0</v>
      </c>
    </row>
    <row r="460" spans="1:5" hidden="1">
      <c r="A460" s="993" t="s">
        <v>2919</v>
      </c>
      <c r="B460" s="995">
        <v>593</v>
      </c>
      <c r="C460" s="995">
        <v>0</v>
      </c>
      <c r="D460" s="995">
        <v>0</v>
      </c>
      <c r="E460" s="995">
        <v>0</v>
      </c>
    </row>
    <row r="461" spans="1:5" hidden="1">
      <c r="A461" s="993" t="s">
        <v>894</v>
      </c>
      <c r="B461" s="995">
        <v>585</v>
      </c>
      <c r="C461" s="995">
        <v>0</v>
      </c>
      <c r="D461" s="995">
        <v>0</v>
      </c>
      <c r="E461" s="995">
        <v>0</v>
      </c>
    </row>
    <row r="462" spans="1:5" hidden="1">
      <c r="A462" s="993" t="s">
        <v>913</v>
      </c>
      <c r="B462" s="995">
        <v>2009</v>
      </c>
      <c r="C462" s="995">
        <v>0</v>
      </c>
      <c r="D462" s="995">
        <v>0</v>
      </c>
      <c r="E462" s="995">
        <v>0</v>
      </c>
    </row>
    <row r="463" spans="1:5" hidden="1">
      <c r="A463" s="993" t="s">
        <v>2920</v>
      </c>
      <c r="B463" s="995">
        <v>190</v>
      </c>
      <c r="C463" s="995">
        <v>0</v>
      </c>
      <c r="D463" s="995">
        <v>0</v>
      </c>
      <c r="E463" s="995">
        <v>0</v>
      </c>
    </row>
    <row r="464" spans="1:5" hidden="1">
      <c r="A464" s="993" t="s">
        <v>2921</v>
      </c>
      <c r="B464" s="995">
        <v>532</v>
      </c>
      <c r="C464" s="995">
        <v>0</v>
      </c>
      <c r="D464" s="995">
        <v>0</v>
      </c>
      <c r="E464" s="995">
        <v>0</v>
      </c>
    </row>
    <row r="465" spans="1:5" hidden="1">
      <c r="A465" s="993" t="s">
        <v>2922</v>
      </c>
      <c r="B465" s="995">
        <v>542</v>
      </c>
      <c r="C465" s="995">
        <v>0</v>
      </c>
      <c r="D465" s="995">
        <v>0</v>
      </c>
      <c r="E465" s="995">
        <v>0</v>
      </c>
    </row>
    <row r="466" spans="1:5" hidden="1">
      <c r="A466" s="993" t="s">
        <v>2923</v>
      </c>
      <c r="B466" s="995">
        <v>1314</v>
      </c>
      <c r="C466" s="995">
        <v>0</v>
      </c>
      <c r="D466" s="995">
        <v>0</v>
      </c>
      <c r="E466" s="995">
        <v>0</v>
      </c>
    </row>
    <row r="467" spans="1:5" hidden="1">
      <c r="A467" s="993" t="s">
        <v>2924</v>
      </c>
      <c r="B467" s="995">
        <v>1125</v>
      </c>
      <c r="C467" s="995">
        <v>0</v>
      </c>
      <c r="D467" s="995">
        <v>0</v>
      </c>
      <c r="E467" s="995">
        <v>0</v>
      </c>
    </row>
    <row r="468" spans="1:5" hidden="1">
      <c r="A468" s="993" t="s">
        <v>2925</v>
      </c>
      <c r="B468" s="995">
        <v>940</v>
      </c>
      <c r="C468" s="995">
        <v>0</v>
      </c>
      <c r="D468" s="995">
        <v>0</v>
      </c>
      <c r="E468" s="995">
        <v>0</v>
      </c>
    </row>
    <row r="469" spans="1:5" hidden="1">
      <c r="A469" s="993" t="s">
        <v>2926</v>
      </c>
      <c r="B469" s="995">
        <v>743</v>
      </c>
      <c r="C469" s="995">
        <v>0</v>
      </c>
      <c r="D469" s="995">
        <v>0</v>
      </c>
      <c r="E469" s="995">
        <v>0</v>
      </c>
    </row>
    <row r="470" spans="1:5" hidden="1">
      <c r="A470" s="993" t="s">
        <v>1784</v>
      </c>
      <c r="B470" s="995">
        <v>1118</v>
      </c>
      <c r="C470" s="995">
        <v>0</v>
      </c>
      <c r="D470" s="995">
        <v>0</v>
      </c>
      <c r="E470" s="995">
        <v>0</v>
      </c>
    </row>
    <row r="471" spans="1:5" hidden="1">
      <c r="A471" s="993" t="s">
        <v>2927</v>
      </c>
      <c r="B471" s="995">
        <v>964</v>
      </c>
      <c r="C471" s="995">
        <v>0</v>
      </c>
      <c r="D471" s="995">
        <v>0</v>
      </c>
      <c r="E471" s="995">
        <v>0</v>
      </c>
    </row>
    <row r="472" spans="1:5" hidden="1">
      <c r="A472" s="993" t="s">
        <v>2928</v>
      </c>
      <c r="B472" s="995">
        <v>398</v>
      </c>
      <c r="C472" s="995">
        <v>0</v>
      </c>
      <c r="D472" s="995">
        <v>0</v>
      </c>
      <c r="E472" s="995">
        <v>0</v>
      </c>
    </row>
    <row r="473" spans="1:5" hidden="1">
      <c r="A473" s="993" t="s">
        <v>2929</v>
      </c>
      <c r="B473" s="995">
        <v>713</v>
      </c>
      <c r="C473" s="995">
        <v>0</v>
      </c>
      <c r="D473" s="995">
        <v>0</v>
      </c>
      <c r="E473" s="995">
        <v>0</v>
      </c>
    </row>
    <row r="474" spans="1:5" hidden="1">
      <c r="A474" s="993" t="s">
        <v>2930</v>
      </c>
      <c r="B474" s="995">
        <v>53</v>
      </c>
      <c r="C474" s="995">
        <v>0</v>
      </c>
      <c r="D474" s="995">
        <v>0</v>
      </c>
      <c r="E474" s="995">
        <v>0</v>
      </c>
    </row>
    <row r="475" spans="1:5" hidden="1">
      <c r="A475" s="993" t="s">
        <v>3002</v>
      </c>
      <c r="B475" s="995">
        <v>194</v>
      </c>
      <c r="C475" s="995">
        <v>194</v>
      </c>
      <c r="D475" s="995">
        <v>0</v>
      </c>
      <c r="E475" s="995">
        <v>0</v>
      </c>
    </row>
    <row r="476" spans="1:5" hidden="1">
      <c r="A476" s="993" t="s">
        <v>3000</v>
      </c>
      <c r="B476" s="995">
        <v>373</v>
      </c>
      <c r="C476" s="995">
        <v>0</v>
      </c>
      <c r="D476" s="995">
        <v>0</v>
      </c>
      <c r="E476" s="995">
        <v>0</v>
      </c>
    </row>
    <row r="477" spans="1:5" hidden="1">
      <c r="A477" s="993" t="s">
        <v>3001</v>
      </c>
      <c r="B477" s="995">
        <v>1360</v>
      </c>
      <c r="C477" s="995">
        <v>670</v>
      </c>
      <c r="D477" s="995">
        <v>1000</v>
      </c>
      <c r="E477" s="995">
        <v>0</v>
      </c>
    </row>
    <row r="478" spans="1:5" hidden="1">
      <c r="A478" s="993" t="s">
        <v>3004</v>
      </c>
      <c r="B478" s="995">
        <v>93</v>
      </c>
      <c r="C478" s="995">
        <v>0</v>
      </c>
      <c r="D478" s="995">
        <v>0</v>
      </c>
      <c r="E478" s="995">
        <v>0</v>
      </c>
    </row>
    <row r="479" spans="1:5" hidden="1">
      <c r="A479" s="993" t="s">
        <v>3045</v>
      </c>
      <c r="B479" s="995">
        <v>140</v>
      </c>
      <c r="C479" s="995">
        <v>0</v>
      </c>
      <c r="D479" s="995">
        <v>0</v>
      </c>
      <c r="E479" s="995">
        <v>0</v>
      </c>
    </row>
    <row r="480" spans="1:5" hidden="1">
      <c r="A480" s="993" t="s">
        <v>3072</v>
      </c>
      <c r="B480" s="995">
        <v>1690</v>
      </c>
      <c r="C480" s="995">
        <v>1500</v>
      </c>
      <c r="D480" s="995">
        <v>1128</v>
      </c>
      <c r="E480" s="995">
        <v>1690</v>
      </c>
    </row>
    <row r="481" spans="1:5" hidden="1">
      <c r="A481" s="993" t="s">
        <v>3074</v>
      </c>
      <c r="B481" s="995">
        <v>16050</v>
      </c>
      <c r="C481" s="995">
        <v>16050</v>
      </c>
      <c r="D481" s="995">
        <v>0</v>
      </c>
      <c r="E481" s="995">
        <v>0</v>
      </c>
    </row>
    <row r="482" spans="1:5" hidden="1">
      <c r="A482" s="993" t="s">
        <v>3075</v>
      </c>
      <c r="B482" s="995">
        <v>5240</v>
      </c>
      <c r="C482" s="995">
        <v>5240</v>
      </c>
      <c r="D482" s="995">
        <v>0</v>
      </c>
      <c r="E482" s="995">
        <v>0</v>
      </c>
    </row>
    <row r="483" spans="1:5" hidden="1">
      <c r="A483" s="993" t="s">
        <v>2948</v>
      </c>
      <c r="B483" s="995">
        <v>8172</v>
      </c>
      <c r="C483" s="995">
        <v>8172</v>
      </c>
      <c r="D483" s="995">
        <v>0</v>
      </c>
      <c r="E483" s="995">
        <v>0</v>
      </c>
    </row>
    <row r="484" spans="1:5" hidden="1">
      <c r="A484" s="993" t="s">
        <v>3069</v>
      </c>
      <c r="B484" s="995">
        <v>2015</v>
      </c>
      <c r="C484" s="995">
        <v>2015</v>
      </c>
      <c r="D484" s="995">
        <v>0</v>
      </c>
      <c r="E484" s="995">
        <v>0</v>
      </c>
    </row>
    <row r="485" spans="1:5" hidden="1">
      <c r="A485" s="993" t="s">
        <v>3078</v>
      </c>
      <c r="B485" s="995">
        <v>3368</v>
      </c>
      <c r="C485" s="995">
        <v>3368</v>
      </c>
      <c r="D485" s="995">
        <v>0</v>
      </c>
      <c r="E485" s="995">
        <v>0</v>
      </c>
    </row>
    <row r="486" spans="1:5" hidden="1">
      <c r="A486" s="993" t="s">
        <v>3080</v>
      </c>
      <c r="B486" s="995">
        <v>756</v>
      </c>
      <c r="C486" s="995">
        <v>756</v>
      </c>
      <c r="D486" s="995">
        <v>0</v>
      </c>
      <c r="E486" s="995">
        <v>0</v>
      </c>
    </row>
    <row r="487" spans="1:5" hidden="1">
      <c r="A487" s="993" t="s">
        <v>892</v>
      </c>
      <c r="B487" s="995">
        <v>1574</v>
      </c>
      <c r="C487" s="995">
        <v>0</v>
      </c>
      <c r="D487" s="995">
        <v>0</v>
      </c>
      <c r="E487" s="995">
        <v>0</v>
      </c>
    </row>
    <row r="488" spans="1:5" hidden="1">
      <c r="A488" s="993" t="s">
        <v>2080</v>
      </c>
      <c r="B488" s="995">
        <v>2168</v>
      </c>
      <c r="C488" s="995">
        <v>0</v>
      </c>
      <c r="D488" s="995">
        <v>0</v>
      </c>
      <c r="E488" s="995">
        <v>0</v>
      </c>
    </row>
    <row r="489" spans="1:5" hidden="1">
      <c r="A489" s="993" t="s">
        <v>3088</v>
      </c>
      <c r="B489" s="995">
        <v>163</v>
      </c>
      <c r="C489" s="995">
        <v>0</v>
      </c>
      <c r="D489" s="995">
        <v>0</v>
      </c>
      <c r="E489" s="995">
        <v>0</v>
      </c>
    </row>
    <row r="490" spans="1:5">
      <c r="A490" s="993" t="s">
        <v>2943</v>
      </c>
      <c r="B490" s="995">
        <v>127</v>
      </c>
      <c r="C490" s="995">
        <v>127</v>
      </c>
      <c r="D490" s="995">
        <v>0</v>
      </c>
      <c r="E490" s="995">
        <v>0</v>
      </c>
    </row>
    <row r="491" spans="1:5">
      <c r="A491" s="993" t="s">
        <v>3158</v>
      </c>
      <c r="B491" s="995">
        <v>1891</v>
      </c>
      <c r="C491" s="995">
        <v>410</v>
      </c>
      <c r="D491" s="995">
        <v>0</v>
      </c>
      <c r="E491" s="995">
        <v>0</v>
      </c>
    </row>
    <row r="492" spans="1:5">
      <c r="A492" s="993" t="s">
        <v>3159</v>
      </c>
      <c r="B492" s="995">
        <v>166</v>
      </c>
      <c r="C492" s="995">
        <v>0</v>
      </c>
      <c r="D492" s="995">
        <v>0</v>
      </c>
      <c r="E492" s="995">
        <v>0</v>
      </c>
    </row>
    <row r="493" spans="1:5">
      <c r="A493" s="993" t="s">
        <v>3160</v>
      </c>
      <c r="B493" s="995">
        <v>1995</v>
      </c>
      <c r="C493" s="995">
        <v>375</v>
      </c>
      <c r="D493" s="995">
        <v>0</v>
      </c>
      <c r="E493" s="995">
        <v>0</v>
      </c>
    </row>
    <row r="494" spans="1:5">
      <c r="A494" s="993" t="s">
        <v>3164</v>
      </c>
      <c r="B494" s="995">
        <v>487</v>
      </c>
      <c r="C494" s="995">
        <v>487</v>
      </c>
      <c r="D494" s="995">
        <v>0</v>
      </c>
      <c r="E494" s="995">
        <v>0</v>
      </c>
    </row>
    <row r="495" spans="1:5">
      <c r="A495" s="993" t="s">
        <v>3165</v>
      </c>
      <c r="B495" s="995">
        <v>1663</v>
      </c>
      <c r="C495" s="995">
        <v>1663</v>
      </c>
      <c r="D495" s="995">
        <v>0</v>
      </c>
      <c r="E495" s="995">
        <v>0</v>
      </c>
    </row>
    <row r="496" spans="1:5">
      <c r="A496" s="993" t="s">
        <v>3166</v>
      </c>
      <c r="B496" s="995">
        <v>144</v>
      </c>
      <c r="C496" s="995">
        <v>144</v>
      </c>
      <c r="D496" s="995">
        <v>0</v>
      </c>
      <c r="E496" s="995">
        <v>0</v>
      </c>
    </row>
    <row r="497" spans="1:5">
      <c r="A497" s="993" t="s">
        <v>3168</v>
      </c>
      <c r="B497" s="995">
        <v>46</v>
      </c>
      <c r="C497" s="995">
        <v>0</v>
      </c>
      <c r="D497" s="995">
        <v>0</v>
      </c>
      <c r="E497" s="995">
        <v>0</v>
      </c>
    </row>
    <row r="498" spans="1:5">
      <c r="A498" s="993" t="s">
        <v>3169</v>
      </c>
      <c r="B498" s="995">
        <v>62</v>
      </c>
      <c r="C498" s="995">
        <v>0</v>
      </c>
      <c r="D498" s="995">
        <v>50</v>
      </c>
      <c r="E498" s="995">
        <v>0</v>
      </c>
    </row>
    <row r="499" spans="1:5">
      <c r="A499" s="993" t="s">
        <v>3170</v>
      </c>
      <c r="B499" s="995">
        <v>492</v>
      </c>
      <c r="C499" s="995">
        <v>0</v>
      </c>
      <c r="D499" s="995">
        <v>0</v>
      </c>
      <c r="E499" s="995">
        <v>0</v>
      </c>
    </row>
    <row r="500" spans="1:5">
      <c r="A500" s="993" t="s">
        <v>3171</v>
      </c>
      <c r="B500" s="995">
        <v>798</v>
      </c>
      <c r="C500" s="995">
        <v>0</v>
      </c>
      <c r="D500" s="995">
        <v>0</v>
      </c>
      <c r="E500" s="995">
        <v>0</v>
      </c>
    </row>
    <row r="501" spans="1:5">
      <c r="A501" s="993" t="s">
        <v>3172</v>
      </c>
      <c r="B501" s="995">
        <v>151</v>
      </c>
      <c r="C501" s="995">
        <v>0</v>
      </c>
      <c r="D501" s="995">
        <v>0</v>
      </c>
      <c r="E501" s="995">
        <v>0</v>
      </c>
    </row>
    <row r="502" spans="1:5">
      <c r="A502" s="993" t="s">
        <v>3173</v>
      </c>
      <c r="B502" s="995">
        <v>472</v>
      </c>
      <c r="C502" s="995">
        <v>0</v>
      </c>
      <c r="D502" s="995">
        <v>0</v>
      </c>
      <c r="E502" s="995">
        <v>0</v>
      </c>
    </row>
    <row r="503" spans="1:5">
      <c r="A503" s="993" t="s">
        <v>3174</v>
      </c>
      <c r="B503" s="995">
        <v>154</v>
      </c>
      <c r="C503" s="995">
        <v>0</v>
      </c>
      <c r="D503" s="995">
        <v>0</v>
      </c>
      <c r="E503" s="995">
        <v>0</v>
      </c>
    </row>
    <row r="504" spans="1:5">
      <c r="A504" s="993" t="s">
        <v>3175</v>
      </c>
      <c r="B504" s="995">
        <v>455</v>
      </c>
      <c r="C504" s="995">
        <v>0</v>
      </c>
      <c r="D504" s="995">
        <v>0</v>
      </c>
      <c r="E504" s="995">
        <v>0</v>
      </c>
    </row>
    <row r="505" spans="1:5">
      <c r="A505" s="993" t="s">
        <v>3176</v>
      </c>
      <c r="B505" s="995">
        <v>330</v>
      </c>
      <c r="C505" s="995">
        <v>0</v>
      </c>
      <c r="D505" s="995">
        <v>0</v>
      </c>
      <c r="E505" s="995">
        <v>0</v>
      </c>
    </row>
    <row r="506" spans="1:5">
      <c r="A506" s="993" t="s">
        <v>3177</v>
      </c>
      <c r="B506" s="995">
        <v>272</v>
      </c>
      <c r="C506" s="995">
        <v>0</v>
      </c>
      <c r="D506" s="995">
        <v>200</v>
      </c>
      <c r="E506" s="995">
        <v>0</v>
      </c>
    </row>
    <row r="507" spans="1:5">
      <c r="A507" s="993" t="s">
        <v>3178</v>
      </c>
      <c r="B507" s="995">
        <v>119</v>
      </c>
      <c r="C507" s="995">
        <v>0</v>
      </c>
      <c r="D507" s="995">
        <v>0</v>
      </c>
      <c r="E507" s="995">
        <v>0</v>
      </c>
    </row>
    <row r="508" spans="1:5">
      <c r="A508" s="993" t="s">
        <v>3179</v>
      </c>
      <c r="B508" s="995">
        <v>549</v>
      </c>
      <c r="C508" s="995">
        <v>0</v>
      </c>
      <c r="D508" s="995">
        <v>0</v>
      </c>
      <c r="E508" s="995">
        <v>0</v>
      </c>
    </row>
    <row r="509" spans="1:5">
      <c r="A509" s="993" t="s">
        <v>3180</v>
      </c>
      <c r="B509" s="995">
        <v>139</v>
      </c>
      <c r="C509" s="995">
        <v>0</v>
      </c>
      <c r="D509" s="995">
        <v>0</v>
      </c>
      <c r="E509" s="995">
        <v>0</v>
      </c>
    </row>
    <row r="510" spans="1:5">
      <c r="A510" s="993" t="s">
        <v>3181</v>
      </c>
      <c r="B510" s="995">
        <v>176</v>
      </c>
      <c r="C510" s="995">
        <v>176</v>
      </c>
      <c r="D510" s="995">
        <v>0</v>
      </c>
      <c r="E510" s="995">
        <v>0</v>
      </c>
    </row>
    <row r="511" spans="1:5">
      <c r="A511" s="993" t="s">
        <v>3182</v>
      </c>
      <c r="B511" s="995">
        <v>981</v>
      </c>
      <c r="C511" s="995">
        <v>0</v>
      </c>
      <c r="D511" s="995">
        <v>250</v>
      </c>
      <c r="E511" s="995">
        <v>0</v>
      </c>
    </row>
    <row r="512" spans="1:5">
      <c r="A512" s="993" t="s">
        <v>3183</v>
      </c>
      <c r="B512" s="995">
        <v>61</v>
      </c>
      <c r="C512" s="995">
        <v>0</v>
      </c>
      <c r="D512" s="995">
        <v>0</v>
      </c>
      <c r="E512" s="995">
        <v>0</v>
      </c>
    </row>
    <row r="513" spans="1:5">
      <c r="A513" s="993" t="s">
        <v>3184</v>
      </c>
      <c r="B513" s="995">
        <v>103</v>
      </c>
      <c r="C513" s="995">
        <v>0</v>
      </c>
      <c r="D513" s="995">
        <v>0</v>
      </c>
      <c r="E513" s="995">
        <v>0</v>
      </c>
    </row>
    <row r="514" spans="1:5">
      <c r="A514" s="993" t="s">
        <v>3185</v>
      </c>
      <c r="B514" s="995">
        <v>200</v>
      </c>
      <c r="C514" s="995">
        <v>0</v>
      </c>
      <c r="D514" s="995">
        <v>0</v>
      </c>
      <c r="E514" s="995">
        <v>0</v>
      </c>
    </row>
    <row r="515" spans="1:5">
      <c r="A515" s="993" t="s">
        <v>3186</v>
      </c>
      <c r="B515" s="995">
        <v>929</v>
      </c>
      <c r="C515" s="995">
        <v>0</v>
      </c>
      <c r="D515" s="995">
        <v>0</v>
      </c>
      <c r="E515" s="995">
        <v>0</v>
      </c>
    </row>
    <row r="516" spans="1:5">
      <c r="A516" s="993" t="s">
        <v>3187</v>
      </c>
      <c r="B516" s="995">
        <v>207</v>
      </c>
      <c r="C516" s="995">
        <v>0</v>
      </c>
      <c r="D516" s="995">
        <v>0</v>
      </c>
      <c r="E516" s="995">
        <v>0</v>
      </c>
    </row>
    <row r="517" spans="1:5">
      <c r="A517" s="993" t="s">
        <v>3188</v>
      </c>
      <c r="B517" s="995">
        <v>30</v>
      </c>
      <c r="C517" s="995">
        <v>0</v>
      </c>
      <c r="D517" s="995">
        <v>0</v>
      </c>
      <c r="E517" s="995">
        <v>0</v>
      </c>
    </row>
    <row r="518" spans="1:5">
      <c r="A518" s="993" t="s">
        <v>3189</v>
      </c>
      <c r="B518" s="995">
        <v>45</v>
      </c>
      <c r="C518" s="995">
        <v>0</v>
      </c>
      <c r="D518" s="995">
        <v>0</v>
      </c>
      <c r="E518" s="995">
        <v>0</v>
      </c>
    </row>
    <row r="519" spans="1:5">
      <c r="A519" s="993" t="s">
        <v>1772</v>
      </c>
      <c r="B519" s="995">
        <v>45</v>
      </c>
      <c r="C519" s="995">
        <v>0</v>
      </c>
      <c r="D519" s="995">
        <v>0</v>
      </c>
      <c r="E519" s="995">
        <v>0</v>
      </c>
    </row>
    <row r="520" spans="1:5">
      <c r="A520" s="993" t="s">
        <v>3190</v>
      </c>
      <c r="B520" s="995">
        <v>65</v>
      </c>
      <c r="C520" s="995">
        <v>0</v>
      </c>
      <c r="D520" s="995">
        <v>0</v>
      </c>
      <c r="E520" s="995">
        <v>0</v>
      </c>
    </row>
    <row r="521" spans="1:5">
      <c r="A521" s="993" t="s">
        <v>3193</v>
      </c>
      <c r="B521" s="995">
        <v>124</v>
      </c>
      <c r="C521" s="995">
        <v>0</v>
      </c>
      <c r="D521" s="995">
        <v>0</v>
      </c>
      <c r="E521" s="995">
        <v>0</v>
      </c>
    </row>
    <row r="522" spans="1:5">
      <c r="A522" s="993" t="s">
        <v>3192</v>
      </c>
      <c r="B522" s="995">
        <v>143</v>
      </c>
      <c r="C522" s="995">
        <v>0</v>
      </c>
      <c r="D522" s="995">
        <v>0</v>
      </c>
      <c r="E522" s="995">
        <v>0</v>
      </c>
    </row>
    <row r="523" spans="1:5">
      <c r="A523" s="993" t="s">
        <v>3194</v>
      </c>
      <c r="B523" s="995">
        <v>80</v>
      </c>
      <c r="C523" s="995">
        <v>0</v>
      </c>
      <c r="D523" s="995">
        <v>0</v>
      </c>
      <c r="E523" s="995">
        <v>0</v>
      </c>
    </row>
    <row r="524" spans="1:5">
      <c r="A524" s="993" t="s">
        <v>3195</v>
      </c>
      <c r="B524" s="995">
        <v>42</v>
      </c>
      <c r="C524" s="995">
        <v>0</v>
      </c>
      <c r="D524" s="995">
        <v>0</v>
      </c>
      <c r="E524" s="995">
        <v>0</v>
      </c>
    </row>
    <row r="525" spans="1:5">
      <c r="A525" s="993" t="s">
        <v>3196</v>
      </c>
      <c r="B525" s="995">
        <v>16</v>
      </c>
      <c r="C525" s="995">
        <v>0</v>
      </c>
      <c r="D525" s="995">
        <v>0</v>
      </c>
      <c r="E525" s="995">
        <v>0</v>
      </c>
    </row>
    <row r="526" spans="1:5">
      <c r="A526" s="993" t="s">
        <v>3197</v>
      </c>
      <c r="B526" s="995">
        <v>116</v>
      </c>
      <c r="C526" s="995">
        <v>0</v>
      </c>
      <c r="D526" s="995">
        <v>0</v>
      </c>
      <c r="E526" s="995">
        <v>0</v>
      </c>
    </row>
    <row r="527" spans="1:5">
      <c r="A527" s="993" t="s">
        <v>3198</v>
      </c>
      <c r="B527" s="995">
        <v>137</v>
      </c>
      <c r="C527" s="995">
        <v>0</v>
      </c>
      <c r="D527" s="995">
        <v>0</v>
      </c>
      <c r="E527" s="995">
        <v>0</v>
      </c>
    </row>
    <row r="528" spans="1:5">
      <c r="A528" s="993" t="s">
        <v>3199</v>
      </c>
      <c r="B528" s="995">
        <v>148</v>
      </c>
      <c r="C528" s="995">
        <v>0</v>
      </c>
      <c r="D528" s="995">
        <v>0</v>
      </c>
      <c r="E528" s="995">
        <v>0</v>
      </c>
    </row>
    <row r="529" spans="1:5">
      <c r="A529" s="993" t="s">
        <v>3200</v>
      </c>
      <c r="B529" s="995">
        <v>372</v>
      </c>
      <c r="C529" s="995">
        <v>0</v>
      </c>
      <c r="D529" s="995">
        <v>0</v>
      </c>
      <c r="E529" s="995">
        <v>0</v>
      </c>
    </row>
    <row r="530" spans="1:5">
      <c r="A530" s="993" t="s">
        <v>3201</v>
      </c>
      <c r="B530" s="995">
        <v>281</v>
      </c>
      <c r="C530" s="995">
        <v>0</v>
      </c>
      <c r="D530" s="995">
        <v>0</v>
      </c>
      <c r="E530" s="995">
        <v>0</v>
      </c>
    </row>
    <row r="531" spans="1:5">
      <c r="A531" s="993" t="s">
        <v>3202</v>
      </c>
      <c r="B531" s="995">
        <v>169</v>
      </c>
      <c r="C531" s="995">
        <v>0</v>
      </c>
      <c r="D531" s="995">
        <v>0</v>
      </c>
      <c r="E531" s="995">
        <v>0</v>
      </c>
    </row>
    <row r="532" spans="1:5">
      <c r="A532" s="993" t="s">
        <v>3203</v>
      </c>
      <c r="B532" s="995">
        <v>20</v>
      </c>
      <c r="C532" s="995">
        <v>0</v>
      </c>
      <c r="D532" s="995">
        <v>0</v>
      </c>
      <c r="E532" s="995">
        <v>0</v>
      </c>
    </row>
    <row r="533" spans="1:5">
      <c r="A533" s="993" t="s">
        <v>3204</v>
      </c>
      <c r="B533" s="995">
        <v>100</v>
      </c>
      <c r="C533" s="995">
        <v>0</v>
      </c>
      <c r="D533" s="995">
        <v>0</v>
      </c>
      <c r="E533" s="995">
        <v>0</v>
      </c>
    </row>
    <row r="534" spans="1:5">
      <c r="A534" s="993" t="s">
        <v>3205</v>
      </c>
      <c r="B534" s="995">
        <v>302</v>
      </c>
      <c r="C534" s="995">
        <v>0</v>
      </c>
      <c r="D534" s="995">
        <v>0</v>
      </c>
      <c r="E534" s="995">
        <v>0</v>
      </c>
    </row>
    <row r="535" spans="1:5">
      <c r="A535" s="993" t="s">
        <v>3207</v>
      </c>
      <c r="B535" s="995">
        <v>54</v>
      </c>
      <c r="C535" s="995">
        <v>0</v>
      </c>
      <c r="D535" s="995">
        <v>0</v>
      </c>
      <c r="E535" s="995">
        <v>0</v>
      </c>
    </row>
    <row r="536" spans="1:5">
      <c r="A536" s="993" t="s">
        <v>3211</v>
      </c>
      <c r="B536" s="995">
        <v>423</v>
      </c>
      <c r="C536" s="995">
        <v>0</v>
      </c>
      <c r="D536" s="995">
        <v>0</v>
      </c>
      <c r="E536" s="995">
        <v>0</v>
      </c>
    </row>
    <row r="537" spans="1:5">
      <c r="A537" s="993" t="s">
        <v>3212</v>
      </c>
      <c r="B537" s="995">
        <v>113</v>
      </c>
      <c r="C537" s="995">
        <v>0</v>
      </c>
      <c r="D537" s="995">
        <v>0</v>
      </c>
      <c r="E537" s="995">
        <v>0</v>
      </c>
    </row>
    <row r="538" spans="1:5">
      <c r="A538" s="993" t="s">
        <v>3213</v>
      </c>
      <c r="B538" s="995">
        <v>1260</v>
      </c>
      <c r="C538" s="995">
        <v>0</v>
      </c>
      <c r="D538" s="995">
        <v>1000</v>
      </c>
      <c r="E538" s="995">
        <v>0</v>
      </c>
    </row>
    <row r="539" spans="1:5">
      <c r="A539" s="993" t="s">
        <v>3214</v>
      </c>
      <c r="B539" s="995">
        <v>25</v>
      </c>
      <c r="C539" s="995">
        <v>0</v>
      </c>
      <c r="D539" s="995">
        <v>0</v>
      </c>
      <c r="E539" s="995">
        <v>0</v>
      </c>
    </row>
    <row r="540" spans="1:5">
      <c r="A540" s="993" t="s">
        <v>3215</v>
      </c>
      <c r="B540" s="995">
        <v>45</v>
      </c>
      <c r="C540" s="995">
        <v>0</v>
      </c>
      <c r="D540" s="995">
        <v>0</v>
      </c>
      <c r="E540" s="995">
        <v>0</v>
      </c>
    </row>
    <row r="541" spans="1:5">
      <c r="A541" s="993" t="s">
        <v>3149</v>
      </c>
      <c r="B541" s="995">
        <v>332</v>
      </c>
      <c r="C541" s="995">
        <v>332</v>
      </c>
      <c r="D541" s="995">
        <v>332</v>
      </c>
      <c r="E541" s="995">
        <v>0</v>
      </c>
    </row>
    <row r="542" spans="1:5">
      <c r="A542" s="993" t="s">
        <v>3154</v>
      </c>
      <c r="B542" s="995">
        <v>586</v>
      </c>
      <c r="C542" s="995">
        <v>0</v>
      </c>
      <c r="D542" s="995">
        <v>586</v>
      </c>
      <c r="E542" s="995">
        <v>0</v>
      </c>
    </row>
    <row r="543" spans="1:5">
      <c r="A543" s="993" t="s">
        <v>3155</v>
      </c>
      <c r="B543" s="995">
        <v>637</v>
      </c>
      <c r="C543" s="995">
        <v>0</v>
      </c>
      <c r="D543" s="995">
        <v>637</v>
      </c>
      <c r="E543" s="995">
        <v>0</v>
      </c>
    </row>
    <row r="544" spans="1:5">
      <c r="A544" s="993" t="s">
        <v>3156</v>
      </c>
      <c r="B544" s="995">
        <v>1663</v>
      </c>
      <c r="C544" s="995">
        <v>1663</v>
      </c>
      <c r="D544" s="995">
        <v>0</v>
      </c>
      <c r="E544" s="995">
        <v>0</v>
      </c>
    </row>
    <row r="545" spans="1:5">
      <c r="A545" s="993" t="s">
        <v>3253</v>
      </c>
      <c r="B545" s="995">
        <v>97</v>
      </c>
      <c r="C545" s="995">
        <v>0</v>
      </c>
      <c r="D545" s="995">
        <v>0</v>
      </c>
      <c r="E545" s="995">
        <v>0</v>
      </c>
    </row>
    <row r="546" spans="1:5">
      <c r="A546" s="993" t="s">
        <v>3254</v>
      </c>
      <c r="B546" s="995">
        <v>193</v>
      </c>
      <c r="C546" s="995">
        <v>0</v>
      </c>
      <c r="D546" s="995">
        <v>0</v>
      </c>
      <c r="E546" s="995">
        <v>0</v>
      </c>
    </row>
    <row r="547" spans="1:5">
      <c r="A547" s="993" t="s">
        <v>3247</v>
      </c>
      <c r="B547" s="995">
        <v>128</v>
      </c>
      <c r="C547" s="995">
        <v>128</v>
      </c>
      <c r="D547" s="995">
        <v>128</v>
      </c>
      <c r="E547" s="995">
        <v>0</v>
      </c>
    </row>
    <row r="548" spans="1:5">
      <c r="A548" s="993" t="s">
        <v>3249</v>
      </c>
      <c r="B548" s="995">
        <v>69</v>
      </c>
      <c r="C548" s="995">
        <v>0</v>
      </c>
      <c r="D548" s="995">
        <v>0</v>
      </c>
      <c r="E548" s="995">
        <v>0</v>
      </c>
    </row>
    <row r="549" spans="1:5">
      <c r="A549" s="993" t="s">
        <v>3250</v>
      </c>
      <c r="B549" s="995">
        <v>191</v>
      </c>
      <c r="C549" s="995">
        <v>191</v>
      </c>
      <c r="D549" s="995">
        <v>191</v>
      </c>
      <c r="E549" s="995">
        <v>0</v>
      </c>
    </row>
    <row r="550" spans="1:5">
      <c r="A550" s="993" t="s">
        <v>3256</v>
      </c>
      <c r="B550" s="995">
        <v>508</v>
      </c>
      <c r="C550" s="995">
        <v>508</v>
      </c>
      <c r="D550" s="995">
        <v>500</v>
      </c>
      <c r="E550" s="995">
        <v>0</v>
      </c>
    </row>
    <row r="551" spans="1:5">
      <c r="A551" s="993" t="s">
        <v>3257</v>
      </c>
      <c r="B551" s="995">
        <v>376</v>
      </c>
      <c r="C551" s="995">
        <v>0</v>
      </c>
      <c r="D551" s="995">
        <v>376</v>
      </c>
      <c r="E551" s="995">
        <v>0</v>
      </c>
    </row>
    <row r="552" spans="1:5">
      <c r="A552" s="993" t="s">
        <v>3258</v>
      </c>
      <c r="B552" s="995">
        <v>245</v>
      </c>
      <c r="C552" s="995">
        <v>245</v>
      </c>
      <c r="D552" s="995">
        <v>0</v>
      </c>
      <c r="E552" s="995">
        <v>0</v>
      </c>
    </row>
    <row r="553" spans="1:5">
      <c r="A553" s="993" t="s">
        <v>3259</v>
      </c>
      <c r="B553" s="995">
        <v>117</v>
      </c>
      <c r="C553" s="995">
        <v>117</v>
      </c>
      <c r="D553" s="995">
        <v>117</v>
      </c>
      <c r="E553" s="995">
        <v>0</v>
      </c>
    </row>
    <row r="554" spans="1:5">
      <c r="A554" s="993" t="s">
        <v>3244</v>
      </c>
      <c r="B554" s="995">
        <v>1228</v>
      </c>
      <c r="C554" s="995">
        <v>1228</v>
      </c>
      <c r="D554" s="995">
        <v>0</v>
      </c>
      <c r="E554" s="995">
        <v>0</v>
      </c>
    </row>
    <row r="555" spans="1:5">
      <c r="A555" s="993" t="s">
        <v>3242</v>
      </c>
      <c r="B555" s="995">
        <v>61</v>
      </c>
      <c r="C555" s="995">
        <v>61</v>
      </c>
      <c r="D555" s="995">
        <v>0</v>
      </c>
      <c r="E555" s="995">
        <v>0</v>
      </c>
    </row>
    <row r="556" spans="1:5">
      <c r="A556" s="993" t="s">
        <v>3243</v>
      </c>
      <c r="B556" s="995">
        <v>100</v>
      </c>
      <c r="C556" s="995">
        <v>0</v>
      </c>
      <c r="D556" s="995">
        <v>0</v>
      </c>
      <c r="E556" s="995">
        <v>0</v>
      </c>
    </row>
    <row r="557" spans="1:5">
      <c r="A557" s="993" t="s">
        <v>3260</v>
      </c>
      <c r="B557" s="995">
        <v>16</v>
      </c>
      <c r="C557" s="995">
        <v>0</v>
      </c>
      <c r="D557" s="995">
        <v>0</v>
      </c>
      <c r="E557" s="995">
        <v>0</v>
      </c>
    </row>
    <row r="558" spans="1:5">
      <c r="A558" s="993" t="s">
        <v>3261</v>
      </c>
      <c r="B558" s="995">
        <v>56</v>
      </c>
      <c r="C558" s="995">
        <v>0</v>
      </c>
      <c r="D558" s="995">
        <v>0</v>
      </c>
      <c r="E558" s="995">
        <v>0</v>
      </c>
    </row>
    <row r="559" spans="1:5">
      <c r="A559" s="993" t="s">
        <v>3262</v>
      </c>
      <c r="B559" s="995">
        <v>624</v>
      </c>
      <c r="C559" s="995">
        <v>0</v>
      </c>
      <c r="D559" s="995">
        <v>624</v>
      </c>
      <c r="E559" s="995">
        <v>0</v>
      </c>
    </row>
    <row r="560" spans="1:5">
      <c r="A560" s="993" t="s">
        <v>3263</v>
      </c>
      <c r="B560" s="995">
        <v>193</v>
      </c>
      <c r="C560" s="995">
        <v>0</v>
      </c>
      <c r="D560" s="995">
        <v>0</v>
      </c>
      <c r="E560" s="995">
        <v>0</v>
      </c>
    </row>
    <row r="561" spans="1:5">
      <c r="A561" s="993" t="s">
        <v>3252</v>
      </c>
      <c r="B561" s="995">
        <v>2027</v>
      </c>
      <c r="C561" s="995">
        <v>610</v>
      </c>
      <c r="D561" s="995">
        <v>1500</v>
      </c>
      <c r="E561" s="995">
        <v>0</v>
      </c>
    </row>
    <row r="562" spans="1:5">
      <c r="A562" s="993" t="s">
        <v>3251</v>
      </c>
      <c r="B562" s="995">
        <v>2290</v>
      </c>
      <c r="C562" s="995">
        <v>500</v>
      </c>
      <c r="D562" s="995">
        <v>0</v>
      </c>
      <c r="E562" s="995">
        <v>0</v>
      </c>
    </row>
    <row r="563" spans="1:5">
      <c r="A563" s="993" t="s">
        <v>3265</v>
      </c>
      <c r="B563" s="995">
        <v>32</v>
      </c>
      <c r="C563" s="995">
        <v>0</v>
      </c>
      <c r="D563" s="995">
        <v>0</v>
      </c>
      <c r="E563" s="995">
        <v>0</v>
      </c>
    </row>
    <row r="564" spans="1:5">
      <c r="A564" s="993" t="s">
        <v>3073</v>
      </c>
      <c r="B564" s="995">
        <v>4679</v>
      </c>
      <c r="C564" s="995">
        <v>4679</v>
      </c>
      <c r="D564" s="995">
        <v>0</v>
      </c>
      <c r="E564" s="995">
        <v>0</v>
      </c>
    </row>
    <row r="565" spans="1:5">
      <c r="A565" s="993" t="s">
        <v>3274</v>
      </c>
      <c r="B565" s="995">
        <v>184</v>
      </c>
      <c r="C565" s="995">
        <v>184</v>
      </c>
      <c r="D565" s="995">
        <v>144</v>
      </c>
      <c r="E565" s="995">
        <v>184</v>
      </c>
    </row>
    <row r="566" spans="1:5">
      <c r="A566" s="993" t="s">
        <v>3267</v>
      </c>
      <c r="B566" s="995">
        <v>1713</v>
      </c>
      <c r="C566" s="995">
        <v>1713</v>
      </c>
      <c r="D566" s="995">
        <v>12</v>
      </c>
      <c r="E566" s="995">
        <v>1316.6666666666665</v>
      </c>
    </row>
    <row r="567" spans="1:5">
      <c r="A567" s="993" t="s">
        <v>956</v>
      </c>
      <c r="B567" s="995">
        <v>96</v>
      </c>
      <c r="C567" s="995">
        <v>96</v>
      </c>
      <c r="D567" s="995">
        <v>96</v>
      </c>
      <c r="E567" s="995">
        <v>96</v>
      </c>
    </row>
    <row r="568" spans="1:5">
      <c r="A568" s="993" t="s">
        <v>3273</v>
      </c>
      <c r="B568" s="995">
        <v>1012</v>
      </c>
      <c r="C568" s="995">
        <v>1000</v>
      </c>
      <c r="D568" s="995">
        <v>0</v>
      </c>
      <c r="E568" s="995">
        <v>1012</v>
      </c>
    </row>
    <row r="569" spans="1:5">
      <c r="A569" s="993" t="s">
        <v>3268</v>
      </c>
      <c r="B569" s="995">
        <v>2652</v>
      </c>
      <c r="C569" s="995">
        <v>2652</v>
      </c>
      <c r="D569" s="995">
        <v>0</v>
      </c>
      <c r="E569" s="995">
        <v>1383.3333333333333</v>
      </c>
    </row>
    <row r="570" spans="1:5">
      <c r="A570" s="993" t="s">
        <v>3269</v>
      </c>
      <c r="B570" s="995">
        <v>241</v>
      </c>
      <c r="C570" s="995">
        <v>241</v>
      </c>
      <c r="D570" s="995">
        <v>0</v>
      </c>
      <c r="E570" s="995">
        <v>241</v>
      </c>
    </row>
    <row r="571" spans="1:5">
      <c r="A571" s="993" t="s">
        <v>3270</v>
      </c>
      <c r="B571" s="995">
        <v>249</v>
      </c>
      <c r="C571" s="995">
        <v>249</v>
      </c>
      <c r="D571" s="995">
        <v>12</v>
      </c>
      <c r="E571" s="995">
        <v>249</v>
      </c>
    </row>
    <row r="572" spans="1:5">
      <c r="A572" s="993" t="s">
        <v>3271</v>
      </c>
      <c r="B572" s="995">
        <v>332</v>
      </c>
      <c r="C572" s="995">
        <v>332</v>
      </c>
      <c r="D572" s="995">
        <v>0</v>
      </c>
      <c r="E572" s="995">
        <v>332</v>
      </c>
    </row>
    <row r="573" spans="1:5">
      <c r="A573" s="993" t="s">
        <v>1669</v>
      </c>
      <c r="B573" s="995">
        <v>512782</v>
      </c>
      <c r="C573" s="995">
        <v>286938</v>
      </c>
      <c r="D573" s="995">
        <v>164416</v>
      </c>
      <c r="E573" s="995">
        <v>206208.93333333332</v>
      </c>
    </row>
  </sheetData>
  <mergeCells count="1">
    <mergeCell ref="A1:T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L2:P59"/>
  <sheetViews>
    <sheetView showGridLines="0" workbookViewId="0">
      <selection activeCell="Y16" sqref="Y16"/>
    </sheetView>
  </sheetViews>
  <sheetFormatPr defaultColWidth="14" defaultRowHeight="15.75"/>
  <cols>
    <col min="9" max="9" width="22.625" customWidth="1"/>
    <col min="10" max="10" width="24.75" customWidth="1"/>
    <col min="11" max="11" width="42.5" customWidth="1"/>
    <col min="12" max="12" width="14" hidden="1" customWidth="1"/>
    <col min="13" max="13" width="17.25" hidden="1" customWidth="1"/>
    <col min="14" max="14" width="57" hidden="1" customWidth="1"/>
    <col min="15" max="15" width="45.375" hidden="1" customWidth="1"/>
    <col min="16" max="16" width="71.75" hidden="1" customWidth="1"/>
  </cols>
  <sheetData>
    <row r="2" spans="12:16">
      <c r="L2" s="921" t="s">
        <v>35</v>
      </c>
      <c r="M2" s="909" t="s">
        <v>1924</v>
      </c>
    </row>
    <row r="3" spans="12:16">
      <c r="N3" s="661"/>
      <c r="O3" s="661"/>
      <c r="P3" s="661"/>
    </row>
    <row r="4" spans="12:16">
      <c r="L4" s="921" t="s">
        <v>24</v>
      </c>
      <c r="M4" s="921" t="s">
        <v>20</v>
      </c>
      <c r="N4" s="909" t="s">
        <v>3121</v>
      </c>
      <c r="O4" s="909" t="s">
        <v>3122</v>
      </c>
      <c r="P4" s="909" t="s">
        <v>3123</v>
      </c>
    </row>
    <row r="5" spans="12:16">
      <c r="L5" s="909" t="s">
        <v>214</v>
      </c>
      <c r="M5" s="909" t="s">
        <v>2525</v>
      </c>
      <c r="N5" s="900">
        <v>0</v>
      </c>
      <c r="O5" s="900">
        <v>560</v>
      </c>
      <c r="P5" s="900">
        <v>665</v>
      </c>
    </row>
    <row r="6" spans="12:16">
      <c r="L6" s="909" t="s">
        <v>2384</v>
      </c>
      <c r="M6" s="909"/>
      <c r="N6" s="900">
        <v>0</v>
      </c>
      <c r="O6" s="900">
        <v>560</v>
      </c>
      <c r="P6" s="900">
        <v>665</v>
      </c>
    </row>
    <row r="7" spans="12:16">
      <c r="L7" s="909" t="s">
        <v>204</v>
      </c>
      <c r="M7" s="909" t="s">
        <v>2525</v>
      </c>
      <c r="N7" s="900">
        <v>52</v>
      </c>
      <c r="O7" s="900">
        <v>40</v>
      </c>
      <c r="P7" s="900">
        <v>52</v>
      </c>
    </row>
    <row r="8" spans="12:16">
      <c r="L8" s="909" t="s">
        <v>2385</v>
      </c>
      <c r="M8" s="909"/>
      <c r="N8" s="900">
        <v>52</v>
      </c>
      <c r="O8" s="900">
        <v>40</v>
      </c>
      <c r="P8" s="900">
        <v>52</v>
      </c>
    </row>
    <row r="9" spans="12:16">
      <c r="L9" s="909" t="s">
        <v>760</v>
      </c>
      <c r="M9" s="909" t="s">
        <v>2525</v>
      </c>
      <c r="N9" s="900">
        <v>0</v>
      </c>
      <c r="O9" s="900">
        <v>779</v>
      </c>
      <c r="P9" s="900">
        <v>0</v>
      </c>
    </row>
    <row r="10" spans="12:16">
      <c r="L10" s="909" t="s">
        <v>2991</v>
      </c>
      <c r="M10" s="909"/>
      <c r="N10" s="900">
        <v>0</v>
      </c>
      <c r="O10" s="900">
        <v>779</v>
      </c>
      <c r="P10" s="900">
        <v>0</v>
      </c>
    </row>
    <row r="11" spans="12:16">
      <c r="L11" s="909" t="s">
        <v>206</v>
      </c>
      <c r="M11" s="909" t="s">
        <v>2525</v>
      </c>
      <c r="N11" s="900">
        <v>235</v>
      </c>
      <c r="O11" s="900">
        <v>140</v>
      </c>
      <c r="P11" s="900">
        <v>235</v>
      </c>
    </row>
    <row r="12" spans="12:16">
      <c r="L12" s="909" t="s">
        <v>2386</v>
      </c>
      <c r="M12" s="909"/>
      <c r="N12" s="900">
        <v>235</v>
      </c>
      <c r="O12" s="900">
        <v>140</v>
      </c>
      <c r="P12" s="900">
        <v>235</v>
      </c>
    </row>
    <row r="13" spans="12:16">
      <c r="L13" s="909" t="s">
        <v>232</v>
      </c>
      <c r="M13" s="909" t="s">
        <v>2525</v>
      </c>
      <c r="N13" s="900">
        <v>0</v>
      </c>
      <c r="O13" s="900">
        <v>0</v>
      </c>
      <c r="P13" s="900">
        <v>0</v>
      </c>
    </row>
    <row r="14" spans="12:16">
      <c r="L14" s="909" t="s">
        <v>2387</v>
      </c>
      <c r="M14" s="909"/>
      <c r="N14" s="900">
        <v>0</v>
      </c>
      <c r="O14" s="900">
        <v>0</v>
      </c>
      <c r="P14" s="900">
        <v>0</v>
      </c>
    </row>
    <row r="15" spans="12:16">
      <c r="L15" s="909" t="s">
        <v>215</v>
      </c>
      <c r="M15" s="909" t="s">
        <v>2525</v>
      </c>
      <c r="N15" s="900">
        <v>0</v>
      </c>
      <c r="O15" s="900">
        <v>60</v>
      </c>
      <c r="P15" s="900">
        <v>106</v>
      </c>
    </row>
    <row r="16" spans="12:16">
      <c r="L16" s="909" t="s">
        <v>2388</v>
      </c>
      <c r="M16" s="909"/>
      <c r="N16" s="900">
        <v>0</v>
      </c>
      <c r="O16" s="900">
        <v>60</v>
      </c>
      <c r="P16" s="900">
        <v>106</v>
      </c>
    </row>
    <row r="17" spans="12:16">
      <c r="L17" s="909" t="s">
        <v>217</v>
      </c>
      <c r="M17" s="909" t="s">
        <v>2525</v>
      </c>
      <c r="N17" s="900">
        <v>0</v>
      </c>
      <c r="O17" s="900">
        <v>94</v>
      </c>
      <c r="P17" s="900">
        <v>94</v>
      </c>
    </row>
    <row r="18" spans="12:16">
      <c r="L18" s="909" t="s">
        <v>2389</v>
      </c>
      <c r="M18" s="909"/>
      <c r="N18" s="900">
        <v>0</v>
      </c>
      <c r="O18" s="900">
        <v>94</v>
      </c>
      <c r="P18" s="900">
        <v>94</v>
      </c>
    </row>
    <row r="19" spans="12:16">
      <c r="L19" s="909" t="s">
        <v>742</v>
      </c>
      <c r="M19" s="909" t="s">
        <v>2525</v>
      </c>
      <c r="N19" s="900">
        <v>292</v>
      </c>
      <c r="O19" s="900">
        <v>240</v>
      </c>
      <c r="P19" s="900">
        <v>292</v>
      </c>
    </row>
    <row r="20" spans="12:16">
      <c r="L20" s="909" t="s">
        <v>2992</v>
      </c>
      <c r="M20" s="909"/>
      <c r="N20" s="900">
        <v>292</v>
      </c>
      <c r="O20" s="900">
        <v>240</v>
      </c>
      <c r="P20" s="900">
        <v>292</v>
      </c>
    </row>
    <row r="21" spans="12:16">
      <c r="L21" s="909" t="s">
        <v>721</v>
      </c>
      <c r="M21" s="909" t="s">
        <v>2525</v>
      </c>
      <c r="N21" s="900">
        <v>0</v>
      </c>
      <c r="O21" s="900">
        <v>0</v>
      </c>
      <c r="P21" s="900">
        <v>0</v>
      </c>
    </row>
    <row r="22" spans="12:16">
      <c r="L22" s="909" t="s">
        <v>2993</v>
      </c>
      <c r="M22" s="909"/>
      <c r="N22" s="900">
        <v>0</v>
      </c>
      <c r="O22" s="900">
        <v>0</v>
      </c>
      <c r="P22" s="900">
        <v>0</v>
      </c>
    </row>
    <row r="23" spans="12:16">
      <c r="L23" s="909" t="s">
        <v>208</v>
      </c>
      <c r="M23" s="909" t="s">
        <v>2525</v>
      </c>
      <c r="N23" s="900">
        <v>800</v>
      </c>
      <c r="O23" s="900">
        <v>380</v>
      </c>
      <c r="P23" s="900">
        <v>800</v>
      </c>
    </row>
    <row r="24" spans="12:16">
      <c r="L24" s="909" t="s">
        <v>2390</v>
      </c>
      <c r="M24" s="909"/>
      <c r="N24" s="900">
        <v>800</v>
      </c>
      <c r="O24" s="900">
        <v>380</v>
      </c>
      <c r="P24" s="900">
        <v>800</v>
      </c>
    </row>
    <row r="25" spans="12:16">
      <c r="L25" s="909" t="s">
        <v>745</v>
      </c>
      <c r="M25" s="909" t="s">
        <v>2525</v>
      </c>
      <c r="N25" s="900">
        <v>182</v>
      </c>
      <c r="O25" s="900">
        <v>160</v>
      </c>
      <c r="P25" s="900">
        <v>6.6666666666666666E-2</v>
      </c>
    </row>
    <row r="26" spans="12:16">
      <c r="L26" s="909" t="s">
        <v>2994</v>
      </c>
      <c r="M26" s="909"/>
      <c r="N26" s="900">
        <v>182</v>
      </c>
      <c r="O26" s="900">
        <v>160</v>
      </c>
      <c r="P26" s="900">
        <v>6.6666666666666666E-2</v>
      </c>
    </row>
    <row r="27" spans="12:16">
      <c r="L27" s="909" t="s">
        <v>218</v>
      </c>
      <c r="M27" s="909" t="s">
        <v>2525</v>
      </c>
      <c r="N27" s="900">
        <v>1258</v>
      </c>
      <c r="O27" s="900">
        <v>760</v>
      </c>
      <c r="P27" s="900">
        <v>1258</v>
      </c>
    </row>
    <row r="28" spans="12:16">
      <c r="L28" s="909" t="s">
        <v>2391</v>
      </c>
      <c r="M28" s="909"/>
      <c r="N28" s="900">
        <v>1258</v>
      </c>
      <c r="O28" s="900">
        <v>760</v>
      </c>
      <c r="P28" s="900">
        <v>1258</v>
      </c>
    </row>
    <row r="29" spans="12:16">
      <c r="L29" s="909" t="s">
        <v>219</v>
      </c>
      <c r="M29" s="909" t="s">
        <v>2525</v>
      </c>
      <c r="N29" s="900">
        <v>0</v>
      </c>
      <c r="O29" s="900">
        <v>13</v>
      </c>
      <c r="P29" s="900">
        <v>13</v>
      </c>
    </row>
    <row r="30" spans="12:16">
      <c r="L30" s="909" t="s">
        <v>2392</v>
      </c>
      <c r="M30" s="909"/>
      <c r="N30" s="900">
        <v>0</v>
      </c>
      <c r="O30" s="900">
        <v>13</v>
      </c>
      <c r="P30" s="900">
        <v>13</v>
      </c>
    </row>
    <row r="31" spans="12:16">
      <c r="L31" s="909" t="s">
        <v>749</v>
      </c>
      <c r="M31" s="909" t="s">
        <v>2525</v>
      </c>
      <c r="N31" s="900">
        <v>147</v>
      </c>
      <c r="O31" s="900">
        <v>147</v>
      </c>
      <c r="P31" s="900">
        <v>147</v>
      </c>
    </row>
    <row r="32" spans="12:16">
      <c r="L32" s="909" t="s">
        <v>2995</v>
      </c>
      <c r="M32" s="909"/>
      <c r="N32" s="900">
        <v>147</v>
      </c>
      <c r="O32" s="900">
        <v>147</v>
      </c>
      <c r="P32" s="900">
        <v>147</v>
      </c>
    </row>
    <row r="33" spans="12:16">
      <c r="L33" s="909" t="s">
        <v>201</v>
      </c>
      <c r="M33" s="909" t="s">
        <v>2525</v>
      </c>
      <c r="N33" s="900">
        <v>807</v>
      </c>
      <c r="O33" s="900">
        <v>800</v>
      </c>
      <c r="P33" s="900">
        <v>807</v>
      </c>
    </row>
    <row r="34" spans="12:16">
      <c r="L34" s="909" t="s">
        <v>2393</v>
      </c>
      <c r="M34" s="909"/>
      <c r="N34" s="900">
        <v>807</v>
      </c>
      <c r="O34" s="900">
        <v>800</v>
      </c>
      <c r="P34" s="900">
        <v>807</v>
      </c>
    </row>
    <row r="35" spans="12:16">
      <c r="L35" s="909" t="s">
        <v>221</v>
      </c>
      <c r="M35" s="909" t="s">
        <v>2525</v>
      </c>
      <c r="N35" s="900">
        <v>0</v>
      </c>
      <c r="O35" s="900">
        <v>160</v>
      </c>
      <c r="P35" s="900">
        <v>453</v>
      </c>
    </row>
    <row r="36" spans="12:16">
      <c r="L36" s="909" t="s">
        <v>2394</v>
      </c>
      <c r="M36" s="909"/>
      <c r="N36" s="900">
        <v>0</v>
      </c>
      <c r="O36" s="900">
        <v>160</v>
      </c>
      <c r="P36" s="900">
        <v>453</v>
      </c>
    </row>
    <row r="37" spans="12:16">
      <c r="L37" s="909" t="s">
        <v>751</v>
      </c>
      <c r="M37" s="909" t="s">
        <v>2525</v>
      </c>
      <c r="N37" s="900">
        <v>0</v>
      </c>
      <c r="O37" s="900">
        <v>207</v>
      </c>
      <c r="P37" s="900">
        <v>0</v>
      </c>
    </row>
    <row r="38" spans="12:16">
      <c r="L38" s="909" t="s">
        <v>2996</v>
      </c>
      <c r="M38" s="909"/>
      <c r="N38" s="900">
        <v>0</v>
      </c>
      <c r="O38" s="900">
        <v>207</v>
      </c>
      <c r="P38" s="900">
        <v>0</v>
      </c>
    </row>
    <row r="39" spans="12:16">
      <c r="L39" s="909" t="s">
        <v>209</v>
      </c>
      <c r="M39" s="909" t="s">
        <v>2525</v>
      </c>
      <c r="N39" s="900">
        <v>49</v>
      </c>
      <c r="O39" s="900">
        <v>40</v>
      </c>
      <c r="P39" s="900">
        <v>49</v>
      </c>
    </row>
    <row r="40" spans="12:16">
      <c r="L40" s="909" t="s">
        <v>2395</v>
      </c>
      <c r="M40" s="909"/>
      <c r="N40" s="900">
        <v>49</v>
      </c>
      <c r="O40" s="900">
        <v>40</v>
      </c>
      <c r="P40" s="900">
        <v>49</v>
      </c>
    </row>
    <row r="41" spans="12:16">
      <c r="L41" s="909" t="s">
        <v>736</v>
      </c>
      <c r="M41" s="909" t="s">
        <v>2525</v>
      </c>
      <c r="N41" s="900">
        <v>166</v>
      </c>
      <c r="O41" s="900">
        <v>166</v>
      </c>
      <c r="P41" s="900">
        <v>166</v>
      </c>
    </row>
    <row r="42" spans="12:16">
      <c r="L42" s="909" t="s">
        <v>2997</v>
      </c>
      <c r="M42" s="909"/>
      <c r="N42" s="900">
        <v>166</v>
      </c>
      <c r="O42" s="900">
        <v>166</v>
      </c>
      <c r="P42" s="900">
        <v>166</v>
      </c>
    </row>
    <row r="43" spans="12:16">
      <c r="L43" s="909" t="s">
        <v>748</v>
      </c>
      <c r="M43" s="909" t="s">
        <v>2525</v>
      </c>
      <c r="N43" s="900">
        <v>263</v>
      </c>
      <c r="O43" s="900">
        <v>160</v>
      </c>
      <c r="P43" s="900">
        <v>6.6666666666666666E-2</v>
      </c>
    </row>
    <row r="44" spans="12:16">
      <c r="L44" s="909" t="s">
        <v>2998</v>
      </c>
      <c r="M44" s="909"/>
      <c r="N44" s="900">
        <v>263</v>
      </c>
      <c r="O44" s="900">
        <v>160</v>
      </c>
      <c r="P44" s="900">
        <v>6.6666666666666666E-2</v>
      </c>
    </row>
    <row r="45" spans="12:16">
      <c r="L45" s="909" t="s">
        <v>211</v>
      </c>
      <c r="M45" s="909" t="s">
        <v>2525</v>
      </c>
      <c r="N45" s="900">
        <v>76</v>
      </c>
      <c r="O45" s="900">
        <v>76</v>
      </c>
      <c r="P45" s="900">
        <v>76</v>
      </c>
    </row>
    <row r="46" spans="12:16">
      <c r="L46" s="909" t="s">
        <v>2396</v>
      </c>
      <c r="M46" s="909"/>
      <c r="N46" s="900">
        <v>76</v>
      </c>
      <c r="O46" s="900">
        <v>76</v>
      </c>
      <c r="P46" s="900">
        <v>76</v>
      </c>
    </row>
    <row r="47" spans="12:16">
      <c r="L47" s="909" t="s">
        <v>738</v>
      </c>
      <c r="M47" s="909" t="s">
        <v>2525</v>
      </c>
      <c r="N47" s="900">
        <v>0</v>
      </c>
      <c r="O47" s="900">
        <v>0</v>
      </c>
      <c r="P47" s="900">
        <v>0</v>
      </c>
    </row>
    <row r="48" spans="12:16">
      <c r="L48" s="909" t="s">
        <v>2999</v>
      </c>
      <c r="M48" s="909"/>
      <c r="N48" s="900">
        <v>0</v>
      </c>
      <c r="O48" s="900">
        <v>0</v>
      </c>
      <c r="P48" s="900">
        <v>0</v>
      </c>
    </row>
    <row r="49" spans="12:16">
      <c r="L49" s="909" t="s">
        <v>223</v>
      </c>
      <c r="M49" s="909" t="s">
        <v>2525</v>
      </c>
      <c r="N49" s="900">
        <v>0</v>
      </c>
      <c r="O49" s="900">
        <v>180</v>
      </c>
      <c r="P49" s="900">
        <v>259</v>
      </c>
    </row>
    <row r="50" spans="12:16">
      <c r="L50" s="909" t="s">
        <v>2397</v>
      </c>
      <c r="M50" s="909"/>
      <c r="N50" s="900">
        <v>0</v>
      </c>
      <c r="O50" s="900">
        <v>180</v>
      </c>
      <c r="P50" s="900">
        <v>259</v>
      </c>
    </row>
    <row r="51" spans="12:16">
      <c r="L51" s="909" t="s">
        <v>224</v>
      </c>
      <c r="M51" s="909" t="s">
        <v>2525</v>
      </c>
      <c r="N51" s="900">
        <v>0</v>
      </c>
      <c r="O51" s="900">
        <v>169</v>
      </c>
      <c r="P51" s="900">
        <v>169</v>
      </c>
    </row>
    <row r="52" spans="12:16">
      <c r="L52" s="909" t="s">
        <v>2398</v>
      </c>
      <c r="M52" s="909"/>
      <c r="N52" s="900">
        <v>0</v>
      </c>
      <c r="O52" s="900">
        <v>169</v>
      </c>
      <c r="P52" s="900">
        <v>169</v>
      </c>
    </row>
    <row r="53" spans="12:16">
      <c r="L53" s="909" t="s">
        <v>231</v>
      </c>
      <c r="M53" s="909" t="s">
        <v>2525</v>
      </c>
      <c r="N53" s="900">
        <v>0</v>
      </c>
      <c r="O53" s="900">
        <v>0</v>
      </c>
      <c r="P53" s="900">
        <v>0</v>
      </c>
    </row>
    <row r="54" spans="12:16">
      <c r="L54" s="909" t="s">
        <v>2399</v>
      </c>
      <c r="M54" s="909"/>
      <c r="N54" s="900">
        <v>0</v>
      </c>
      <c r="O54" s="900">
        <v>0</v>
      </c>
      <c r="P54" s="900">
        <v>0</v>
      </c>
    </row>
    <row r="55" spans="12:16">
      <c r="L55" s="909" t="s">
        <v>230</v>
      </c>
      <c r="M55" s="909" t="s">
        <v>2525</v>
      </c>
      <c r="N55" s="900">
        <v>0</v>
      </c>
      <c r="O55" s="900">
        <v>0</v>
      </c>
      <c r="P55" s="900">
        <v>0</v>
      </c>
    </row>
    <row r="56" spans="12:16">
      <c r="L56" s="909" t="s">
        <v>2400</v>
      </c>
      <c r="M56" s="909"/>
      <c r="N56" s="900">
        <v>0</v>
      </c>
      <c r="O56" s="900">
        <v>0</v>
      </c>
      <c r="P56" s="900">
        <v>0</v>
      </c>
    </row>
    <row r="57" spans="12:16">
      <c r="L57" s="909" t="s">
        <v>212</v>
      </c>
      <c r="M57" s="909" t="s">
        <v>2525</v>
      </c>
      <c r="N57" s="900">
        <v>59</v>
      </c>
      <c r="O57" s="900">
        <v>59</v>
      </c>
      <c r="P57" s="900">
        <v>59</v>
      </c>
    </row>
    <row r="58" spans="12:16">
      <c r="L58" s="909" t="s">
        <v>2401</v>
      </c>
      <c r="M58" s="909"/>
      <c r="N58" s="900">
        <v>59</v>
      </c>
      <c r="O58" s="900">
        <v>59</v>
      </c>
      <c r="P58" s="900">
        <v>59</v>
      </c>
    </row>
    <row r="59" spans="12:16">
      <c r="L59" s="909" t="s">
        <v>1669</v>
      </c>
      <c r="N59" s="900">
        <v>4386</v>
      </c>
      <c r="O59" s="900">
        <v>5390</v>
      </c>
      <c r="P59" s="900">
        <v>5700.1333333333332</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330"/>
  <sheetViews>
    <sheetView topLeftCell="A25" workbookViewId="0">
      <selection activeCell="D60" sqref="D60"/>
    </sheetView>
  </sheetViews>
  <sheetFormatPr defaultColWidth="9" defaultRowHeight="12.75"/>
  <cols>
    <col min="1" max="3" width="9" style="18"/>
    <col min="4" max="4" width="9" style="70"/>
    <col min="5" max="5" width="15.875" style="69" customWidth="1"/>
    <col min="6" max="14" width="9" style="18"/>
    <col min="15" max="15" width="15.875" style="18" customWidth="1"/>
    <col min="16" max="27" width="9" style="18"/>
    <col min="28" max="28" width="13" style="65" customWidth="1"/>
    <col min="29" max="29" width="16.75" style="65" customWidth="1"/>
    <col min="30" max="16384" width="9" style="18"/>
  </cols>
  <sheetData>
    <row r="1" spans="1:29" ht="14.25" thickTop="1" thickBot="1">
      <c r="A1" s="1" t="s">
        <v>0</v>
      </c>
      <c r="B1" s="1" t="s">
        <v>1</v>
      </c>
      <c r="C1" s="1" t="s">
        <v>2</v>
      </c>
      <c r="D1" s="51" t="s">
        <v>3</v>
      </c>
      <c r="E1" s="51" t="s">
        <v>4</v>
      </c>
      <c r="F1" s="1" t="s">
        <v>1168</v>
      </c>
      <c r="G1" s="1" t="s">
        <v>5</v>
      </c>
      <c r="H1" s="1" t="s">
        <v>6</v>
      </c>
      <c r="I1" s="1" t="s">
        <v>52</v>
      </c>
      <c r="J1" s="1" t="s">
        <v>53</v>
      </c>
      <c r="K1" s="1" t="s">
        <v>56</v>
      </c>
      <c r="L1" s="2" t="s">
        <v>58</v>
      </c>
      <c r="M1" s="2" t="s">
        <v>60</v>
      </c>
      <c r="N1" s="2" t="s">
        <v>123</v>
      </c>
      <c r="O1" s="2" t="s">
        <v>124</v>
      </c>
      <c r="P1" s="2" t="s">
        <v>65</v>
      </c>
      <c r="Q1" s="2" t="s">
        <v>63</v>
      </c>
      <c r="R1" s="3" t="s">
        <v>67</v>
      </c>
      <c r="S1" s="3" t="s">
        <v>1169</v>
      </c>
      <c r="T1" s="4" t="s">
        <v>69</v>
      </c>
      <c r="U1" s="3" t="s">
        <v>70</v>
      </c>
      <c r="V1" s="3" t="s">
        <v>71</v>
      </c>
      <c r="W1" s="5" t="s">
        <v>73</v>
      </c>
      <c r="X1" s="5"/>
      <c r="Y1" s="5" t="s">
        <v>1170</v>
      </c>
      <c r="Z1" s="5" t="s">
        <v>74</v>
      </c>
      <c r="AA1" s="49" t="s">
        <v>75</v>
      </c>
      <c r="AB1" s="65" t="s">
        <v>1171</v>
      </c>
    </row>
    <row r="2" spans="1:29" ht="13.5" thickBot="1">
      <c r="A2" s="11" t="s">
        <v>16</v>
      </c>
      <c r="B2" s="12" t="s">
        <v>16</v>
      </c>
      <c r="C2" s="11" t="s">
        <v>16</v>
      </c>
      <c r="D2" s="55" t="s">
        <v>16</v>
      </c>
      <c r="E2" s="52" t="s">
        <v>16</v>
      </c>
      <c r="F2" s="12" t="s">
        <v>17</v>
      </c>
      <c r="G2" s="11" t="s">
        <v>17</v>
      </c>
      <c r="H2" s="12" t="s">
        <v>55</v>
      </c>
      <c r="I2" s="11" t="s">
        <v>16</v>
      </c>
      <c r="J2" s="12" t="s">
        <v>19</v>
      </c>
      <c r="K2" s="11" t="s">
        <v>57</v>
      </c>
      <c r="L2" s="12" t="s">
        <v>17</v>
      </c>
      <c r="M2" s="11" t="s">
        <v>17</v>
      </c>
      <c r="N2" s="12" t="s">
        <v>17</v>
      </c>
      <c r="O2" s="11" t="s">
        <v>17</v>
      </c>
      <c r="P2" s="12" t="s">
        <v>57</v>
      </c>
      <c r="Q2" s="11" t="s">
        <v>17</v>
      </c>
      <c r="R2" s="12" t="s">
        <v>17</v>
      </c>
      <c r="S2" s="11" t="s">
        <v>17</v>
      </c>
      <c r="T2" s="12" t="s">
        <v>17</v>
      </c>
      <c r="U2" s="11" t="s">
        <v>1172</v>
      </c>
      <c r="V2" s="12" t="s">
        <v>1172</v>
      </c>
      <c r="W2" s="11" t="s">
        <v>17</v>
      </c>
      <c r="X2" s="11"/>
      <c r="Y2" s="12" t="s">
        <v>17</v>
      </c>
      <c r="Z2" s="11" t="s">
        <v>17</v>
      </c>
      <c r="AA2" s="50" t="s">
        <v>17</v>
      </c>
    </row>
    <row r="3" spans="1:29" ht="129" thickTop="1" thickBot="1">
      <c r="A3" s="14" t="s">
        <v>20</v>
      </c>
      <c r="B3" s="13" t="s">
        <v>1173</v>
      </c>
      <c r="C3" s="14" t="s">
        <v>22</v>
      </c>
      <c r="D3" s="56" t="s">
        <v>23</v>
      </c>
      <c r="E3" s="53" t="s">
        <v>24</v>
      </c>
      <c r="F3" s="13" t="s">
        <v>26</v>
      </c>
      <c r="G3" s="14" t="s">
        <v>1174</v>
      </c>
      <c r="H3" s="13" t="s">
        <v>1175</v>
      </c>
      <c r="I3" s="14" t="s">
        <v>1176</v>
      </c>
      <c r="J3" s="13" t="s">
        <v>1177</v>
      </c>
      <c r="K3" s="14" t="s">
        <v>1178</v>
      </c>
      <c r="L3" s="13" t="s">
        <v>1179</v>
      </c>
      <c r="M3" s="14" t="s">
        <v>1180</v>
      </c>
      <c r="N3" s="13" t="s">
        <v>1181</v>
      </c>
      <c r="O3" s="14" t="s">
        <v>1182</v>
      </c>
      <c r="P3" s="13" t="s">
        <v>1183</v>
      </c>
      <c r="Q3" s="14" t="s">
        <v>1184</v>
      </c>
      <c r="R3" s="13" t="s">
        <v>1185</v>
      </c>
      <c r="S3" s="14" t="s">
        <v>1186</v>
      </c>
      <c r="T3" s="13" t="s">
        <v>1187</v>
      </c>
      <c r="U3" s="14" t="s">
        <v>1188</v>
      </c>
      <c r="V3" s="13" t="s">
        <v>1189</v>
      </c>
      <c r="W3" s="16" t="s">
        <v>1190</v>
      </c>
      <c r="X3" s="16" t="s">
        <v>1191</v>
      </c>
      <c r="Y3" s="13" t="s">
        <v>1192</v>
      </c>
      <c r="Z3" s="14" t="s">
        <v>1193</v>
      </c>
      <c r="AA3" s="59" t="s">
        <v>1194</v>
      </c>
      <c r="AB3" s="66" t="s">
        <v>1195</v>
      </c>
      <c r="AC3" s="66" t="s">
        <v>1196</v>
      </c>
    </row>
    <row r="4" spans="1:29" ht="14.25" thickTop="1" thickBot="1">
      <c r="A4" s="10" t="s">
        <v>1197</v>
      </c>
      <c r="B4" s="10" t="s">
        <v>1198</v>
      </c>
      <c r="C4" s="8" t="s">
        <v>39</v>
      </c>
      <c r="D4" s="54" t="s">
        <v>343</v>
      </c>
      <c r="E4" s="54" t="s">
        <v>645</v>
      </c>
      <c r="F4" s="7"/>
      <c r="G4" s="8"/>
      <c r="H4" s="7" t="s">
        <v>43</v>
      </c>
      <c r="I4" s="43" t="s">
        <v>328</v>
      </c>
      <c r="J4" s="7"/>
      <c r="K4" s="15">
        <v>0</v>
      </c>
      <c r="L4" s="7"/>
      <c r="M4" s="8"/>
      <c r="N4" s="7"/>
      <c r="O4" s="8"/>
      <c r="P4" s="7"/>
      <c r="Q4" s="7"/>
      <c r="R4" s="8"/>
      <c r="S4" s="7"/>
      <c r="T4" s="9"/>
      <c r="U4" s="7" t="s">
        <v>145</v>
      </c>
      <c r="V4" s="7" t="s">
        <v>145</v>
      </c>
      <c r="W4" s="7"/>
      <c r="X4" s="7" t="s">
        <v>146</v>
      </c>
      <c r="Y4" s="8"/>
      <c r="Z4" s="7"/>
      <c r="AA4" s="60"/>
      <c r="AB4" s="65" t="s">
        <v>3014</v>
      </c>
      <c r="AC4" s="65" t="s">
        <v>375</v>
      </c>
    </row>
    <row r="5" spans="1:29" ht="14.25" thickTop="1" thickBot="1">
      <c r="A5" s="10" t="s">
        <v>1199</v>
      </c>
      <c r="B5" s="10" t="s">
        <v>332</v>
      </c>
      <c r="C5" s="8" t="s">
        <v>312</v>
      </c>
      <c r="D5" s="54" t="s">
        <v>203</v>
      </c>
      <c r="E5" s="54" t="s">
        <v>558</v>
      </c>
      <c r="F5" s="7"/>
      <c r="G5" s="8"/>
      <c r="H5" s="7" t="s">
        <v>144</v>
      </c>
      <c r="I5" s="43" t="s">
        <v>158</v>
      </c>
      <c r="J5" s="7"/>
      <c r="K5" s="15">
        <v>0.1</v>
      </c>
      <c r="L5" s="7"/>
      <c r="M5" s="8"/>
      <c r="N5" s="7"/>
      <c r="O5" s="8"/>
      <c r="P5" s="7"/>
      <c r="Q5" s="7"/>
      <c r="R5" s="8"/>
      <c r="S5" s="7"/>
      <c r="T5" s="9"/>
      <c r="U5" s="7" t="s">
        <v>1200</v>
      </c>
      <c r="V5" s="7" t="s">
        <v>159</v>
      </c>
      <c r="W5" s="7"/>
      <c r="X5" s="7" t="s">
        <v>237</v>
      </c>
      <c r="Y5" s="8"/>
      <c r="Z5" s="7"/>
      <c r="AA5" s="60"/>
      <c r="AB5" s="65" t="s">
        <v>3014</v>
      </c>
      <c r="AC5" s="65" t="s">
        <v>320</v>
      </c>
    </row>
    <row r="6" spans="1:29" ht="14.25" thickTop="1" thickBot="1">
      <c r="A6" s="10" t="s">
        <v>1201</v>
      </c>
      <c r="B6" s="10" t="s">
        <v>1202</v>
      </c>
      <c r="C6" s="8" t="s">
        <v>716</v>
      </c>
      <c r="D6" s="54" t="s">
        <v>337</v>
      </c>
      <c r="E6" s="54" t="s">
        <v>679</v>
      </c>
      <c r="F6" s="7"/>
      <c r="G6" s="8"/>
      <c r="H6" s="7" t="s">
        <v>301</v>
      </c>
      <c r="I6" s="6" t="s">
        <v>1203</v>
      </c>
      <c r="J6" s="7"/>
      <c r="K6" s="15">
        <v>0.2</v>
      </c>
      <c r="L6" s="7"/>
      <c r="M6" s="8"/>
      <c r="N6" s="7"/>
      <c r="O6" s="8"/>
      <c r="P6" s="7"/>
      <c r="Q6" s="7"/>
      <c r="R6" s="8"/>
      <c r="S6" s="7"/>
      <c r="T6" s="9"/>
      <c r="U6" s="7" t="s">
        <v>194</v>
      </c>
      <c r="V6" s="7" t="s">
        <v>194</v>
      </c>
      <c r="W6" s="7"/>
      <c r="X6" s="7" t="s">
        <v>153</v>
      </c>
      <c r="Y6" s="8"/>
      <c r="Z6" s="7"/>
      <c r="AA6" s="60"/>
      <c r="AB6" s="65" t="s">
        <v>3014</v>
      </c>
      <c r="AC6" s="65" t="s">
        <v>330</v>
      </c>
    </row>
    <row r="7" spans="1:29" ht="14.25" thickTop="1" thickBot="1">
      <c r="A7" s="10" t="s">
        <v>1204</v>
      </c>
      <c r="B7" s="10" t="s">
        <v>1205</v>
      </c>
      <c r="D7" s="54" t="s">
        <v>154</v>
      </c>
      <c r="E7" s="54" t="s">
        <v>597</v>
      </c>
      <c r="F7" s="7"/>
      <c r="G7" s="8"/>
      <c r="H7" s="7"/>
      <c r="I7" s="43" t="s">
        <v>345</v>
      </c>
      <c r="J7" s="7"/>
      <c r="K7" s="15">
        <v>0.3</v>
      </c>
      <c r="L7" s="7"/>
      <c r="M7" s="8"/>
      <c r="N7" s="7"/>
      <c r="O7" s="8"/>
      <c r="P7" s="7"/>
      <c r="Q7" s="7"/>
      <c r="R7" s="8"/>
      <c r="S7" s="7"/>
      <c r="T7" s="9"/>
      <c r="U7" s="7" t="s">
        <v>148</v>
      </c>
      <c r="V7" s="7" t="s">
        <v>148</v>
      </c>
      <c r="W7" s="7"/>
      <c r="X7" s="7"/>
      <c r="Y7" s="8"/>
      <c r="Z7" s="7"/>
      <c r="AA7" s="60"/>
      <c r="AB7" s="65" t="s">
        <v>3014</v>
      </c>
      <c r="AC7" s="65" t="s">
        <v>489</v>
      </c>
    </row>
    <row r="8" spans="1:29" ht="14.25" thickTop="1" thickBot="1">
      <c r="A8" s="10" t="s">
        <v>1206</v>
      </c>
      <c r="B8" s="10" t="s">
        <v>1207</v>
      </c>
      <c r="D8" s="54" t="s">
        <v>156</v>
      </c>
      <c r="E8" s="54" t="s">
        <v>619</v>
      </c>
      <c r="F8" s="7"/>
      <c r="G8" s="8"/>
      <c r="H8" s="7"/>
      <c r="I8" s="57" t="s">
        <v>1208</v>
      </c>
      <c r="J8" s="7"/>
      <c r="K8" s="15">
        <v>0.4</v>
      </c>
      <c r="L8" s="7"/>
      <c r="M8" s="8"/>
      <c r="N8" s="7"/>
      <c r="O8" s="8"/>
      <c r="P8" s="7"/>
      <c r="Q8" s="7"/>
      <c r="R8" s="8"/>
      <c r="S8" s="7"/>
      <c r="T8" s="9"/>
      <c r="U8" s="68"/>
      <c r="V8" s="68"/>
      <c r="W8" s="7"/>
      <c r="X8" s="7"/>
      <c r="Y8" s="8"/>
      <c r="Z8" s="7"/>
      <c r="AA8" s="60"/>
      <c r="AB8" s="65" t="s">
        <v>3014</v>
      </c>
      <c r="AC8" s="65" t="s">
        <v>417</v>
      </c>
    </row>
    <row r="9" spans="1:29" ht="13.5" thickBot="1">
      <c r="A9" s="10" t="s">
        <v>1209</v>
      </c>
      <c r="B9" s="10" t="s">
        <v>2361</v>
      </c>
      <c r="D9" s="54" t="s">
        <v>735</v>
      </c>
      <c r="E9" s="54" t="s">
        <v>666</v>
      </c>
      <c r="F9" s="7"/>
      <c r="G9" s="8"/>
      <c r="H9" s="7"/>
      <c r="I9" s="42" t="s">
        <v>1210</v>
      </c>
      <c r="J9" s="7"/>
      <c r="K9" s="15">
        <v>0.5</v>
      </c>
      <c r="L9" s="7"/>
      <c r="M9" s="8"/>
      <c r="N9" s="7"/>
      <c r="O9" s="8"/>
      <c r="P9" s="7"/>
      <c r="Q9" s="7"/>
      <c r="R9" s="8"/>
      <c r="S9" s="7"/>
      <c r="T9" s="9"/>
      <c r="U9" s="7"/>
      <c r="V9" s="8"/>
      <c r="W9" s="7"/>
      <c r="X9" s="7"/>
      <c r="Y9" s="8"/>
      <c r="Z9" s="7"/>
      <c r="AA9" s="60"/>
      <c r="AB9" s="65" t="s">
        <v>3014</v>
      </c>
      <c r="AC9" s="65" t="s">
        <v>420</v>
      </c>
    </row>
    <row r="10" spans="1:29" ht="13.5" thickBot="1">
      <c r="A10" s="10" t="s">
        <v>1211</v>
      </c>
      <c r="B10" s="10" t="s">
        <v>322</v>
      </c>
      <c r="D10" s="54" t="s">
        <v>757</v>
      </c>
      <c r="E10" s="54" t="s">
        <v>954</v>
      </c>
      <c r="F10" s="7"/>
      <c r="G10" s="8"/>
      <c r="H10" s="7"/>
      <c r="I10" s="42" t="s">
        <v>1213</v>
      </c>
      <c r="J10" s="7"/>
      <c r="K10" s="15">
        <v>0.6</v>
      </c>
      <c r="L10" s="7"/>
      <c r="M10" s="8"/>
      <c r="N10" s="7"/>
      <c r="O10" s="8"/>
      <c r="P10" s="7"/>
      <c r="Q10" s="7"/>
      <c r="R10" s="8"/>
      <c r="S10" s="7"/>
      <c r="T10" s="9"/>
      <c r="U10" s="7"/>
      <c r="V10" s="8"/>
      <c r="W10" s="7"/>
      <c r="X10" s="7"/>
      <c r="Y10" s="8"/>
      <c r="Z10" s="7"/>
      <c r="AA10" s="60"/>
      <c r="AB10" s="65" t="s">
        <v>3014</v>
      </c>
      <c r="AC10" s="65" t="s">
        <v>470</v>
      </c>
    </row>
    <row r="11" spans="1:29" ht="13.5" thickBot="1">
      <c r="A11" s="10" t="s">
        <v>1211</v>
      </c>
      <c r="B11" s="10" t="s">
        <v>1212</v>
      </c>
      <c r="D11" s="54" t="s">
        <v>789</v>
      </c>
      <c r="E11" s="54" t="s">
        <v>556</v>
      </c>
      <c r="F11" s="7"/>
      <c r="G11" s="8"/>
      <c r="H11" s="7"/>
      <c r="I11" s="30" t="s">
        <v>315</v>
      </c>
      <c r="J11" s="7"/>
      <c r="K11" s="15">
        <v>0.7</v>
      </c>
      <c r="L11" s="7"/>
      <c r="M11" s="8"/>
      <c r="N11" s="7"/>
      <c r="O11" s="8"/>
      <c r="P11" s="7"/>
      <c r="Q11" s="7"/>
      <c r="R11" s="8"/>
      <c r="S11" s="7"/>
      <c r="T11" s="9"/>
      <c r="U11" s="7"/>
      <c r="V11" s="8"/>
      <c r="W11" s="7"/>
      <c r="X11" s="7"/>
      <c r="Y11" s="8"/>
      <c r="Z11" s="7"/>
      <c r="AA11" s="60"/>
      <c r="AB11" s="65" t="s">
        <v>3014</v>
      </c>
      <c r="AC11" s="65" t="s">
        <v>372</v>
      </c>
    </row>
    <row r="12" spans="1:29" ht="13.5" thickBot="1">
      <c r="A12" s="10" t="s">
        <v>1214</v>
      </c>
      <c r="B12" s="10" t="s">
        <v>336</v>
      </c>
      <c r="D12" s="54" t="s">
        <v>1087</v>
      </c>
      <c r="E12" s="54" t="s">
        <v>585</v>
      </c>
      <c r="F12" s="7"/>
      <c r="G12" s="8"/>
      <c r="H12" s="7"/>
      <c r="I12" s="30" t="s">
        <v>236</v>
      </c>
      <c r="J12" s="7"/>
      <c r="K12" s="15">
        <v>0.8</v>
      </c>
      <c r="L12" s="7"/>
      <c r="M12" s="8"/>
      <c r="N12" s="7"/>
      <c r="O12" s="8"/>
      <c r="P12" s="7"/>
      <c r="Q12" s="7"/>
      <c r="R12" s="8"/>
      <c r="S12" s="7"/>
      <c r="T12" s="9"/>
      <c r="U12" s="7"/>
      <c r="V12" s="8"/>
      <c r="W12" s="7"/>
      <c r="X12" s="7"/>
      <c r="Y12" s="8"/>
      <c r="Z12" s="7"/>
      <c r="AA12" s="60"/>
      <c r="AB12" s="65" t="s">
        <v>3014</v>
      </c>
      <c r="AC12" s="65" t="s">
        <v>313</v>
      </c>
    </row>
    <row r="13" spans="1:29" ht="13.5" thickBot="1">
      <c r="A13" s="10" t="s">
        <v>1216</v>
      </c>
      <c r="B13" s="10" t="s">
        <v>1215</v>
      </c>
      <c r="C13" s="68"/>
      <c r="D13" s="54" t="s">
        <v>720</v>
      </c>
      <c r="E13" s="54" t="s">
        <v>607</v>
      </c>
      <c r="F13" s="7"/>
      <c r="G13" s="8"/>
      <c r="H13" s="7"/>
      <c r="I13" s="30" t="s">
        <v>42</v>
      </c>
      <c r="J13" s="7"/>
      <c r="K13" s="15">
        <v>0.9</v>
      </c>
      <c r="L13" s="7"/>
      <c r="M13" s="8"/>
      <c r="N13" s="7"/>
      <c r="O13" s="8"/>
      <c r="P13" s="7"/>
      <c r="Q13" s="7"/>
      <c r="R13" s="8"/>
      <c r="S13" s="7"/>
      <c r="T13" s="9"/>
      <c r="U13" s="7"/>
      <c r="V13" s="8"/>
      <c r="W13" s="7"/>
      <c r="X13" s="7"/>
      <c r="Y13" s="8"/>
      <c r="Z13" s="7"/>
      <c r="AA13" s="60"/>
      <c r="AB13" s="65" t="s">
        <v>39</v>
      </c>
      <c r="AC13" s="65" t="s">
        <v>203</v>
      </c>
    </row>
    <row r="14" spans="1:29" ht="13.5" thickBot="1">
      <c r="A14" s="10" t="s">
        <v>1218</v>
      </c>
      <c r="B14" s="10" t="s">
        <v>1217</v>
      </c>
      <c r="D14" s="54" t="s">
        <v>375</v>
      </c>
      <c r="E14" s="54" t="s">
        <v>599</v>
      </c>
      <c r="F14" s="7"/>
      <c r="G14" s="8"/>
      <c r="H14" s="7"/>
      <c r="I14" s="48" t="s">
        <v>234</v>
      </c>
      <c r="J14" s="7"/>
      <c r="K14" s="15">
        <v>1</v>
      </c>
      <c r="L14" s="7"/>
      <c r="M14" s="8"/>
      <c r="N14" s="7"/>
      <c r="O14" s="8"/>
      <c r="P14" s="7"/>
      <c r="Q14" s="7"/>
      <c r="R14" s="8"/>
      <c r="S14" s="7"/>
      <c r="T14" s="9"/>
      <c r="U14" s="7"/>
      <c r="V14" s="8"/>
      <c r="W14" s="7"/>
      <c r="X14" s="7"/>
      <c r="Y14" s="8"/>
      <c r="Z14" s="7"/>
      <c r="AA14" s="60"/>
      <c r="AB14" s="65" t="s">
        <v>39</v>
      </c>
      <c r="AC14" s="65" t="s">
        <v>154</v>
      </c>
    </row>
    <row r="15" spans="1:29" ht="13.5" thickBot="1">
      <c r="A15" s="10" t="s">
        <v>1220</v>
      </c>
      <c r="B15" s="10" t="s">
        <v>1219</v>
      </c>
      <c r="D15" s="54" t="s">
        <v>320</v>
      </c>
      <c r="E15" s="54" t="s">
        <v>568</v>
      </c>
      <c r="F15" s="7"/>
      <c r="G15" s="8"/>
      <c r="H15" s="7"/>
      <c r="I15" s="30" t="s">
        <v>300</v>
      </c>
      <c r="J15" s="7"/>
      <c r="K15" s="8"/>
      <c r="L15" s="7"/>
      <c r="M15" s="8"/>
      <c r="N15" s="7"/>
      <c r="O15" s="8"/>
      <c r="P15" s="7"/>
      <c r="Q15" s="7"/>
      <c r="R15" s="8"/>
      <c r="S15" s="7"/>
      <c r="T15" s="9"/>
      <c r="U15" s="7"/>
      <c r="V15" s="8"/>
      <c r="W15" s="7"/>
      <c r="X15" s="7"/>
      <c r="Y15" s="8"/>
      <c r="Z15" s="7"/>
      <c r="AA15" s="60"/>
      <c r="AB15" s="65" t="s">
        <v>39</v>
      </c>
      <c r="AC15" s="65" t="s">
        <v>156</v>
      </c>
    </row>
    <row r="16" spans="1:29" ht="13.5" thickBot="1">
      <c r="A16" s="10" t="s">
        <v>1223</v>
      </c>
      <c r="B16" s="10" t="s">
        <v>1221</v>
      </c>
      <c r="D16" s="54" t="s">
        <v>1092</v>
      </c>
      <c r="E16" s="54" t="s">
        <v>569</v>
      </c>
      <c r="F16" s="7"/>
      <c r="G16" s="8"/>
      <c r="H16" s="7"/>
      <c r="I16" s="30" t="s">
        <v>719</v>
      </c>
      <c r="J16" s="7"/>
      <c r="K16" s="8"/>
      <c r="L16" s="7"/>
      <c r="M16" s="8"/>
      <c r="N16" s="7"/>
      <c r="O16" s="8"/>
      <c r="P16" s="7"/>
      <c r="Q16" s="7"/>
      <c r="R16" s="8"/>
      <c r="S16" s="7"/>
      <c r="T16" s="9"/>
      <c r="U16" s="7"/>
      <c r="V16" s="8"/>
      <c r="W16" s="7"/>
      <c r="X16" s="7"/>
      <c r="Y16" s="8"/>
      <c r="Z16" s="7"/>
      <c r="AA16" s="60"/>
      <c r="AB16" s="65" t="s">
        <v>39</v>
      </c>
      <c r="AC16" s="65" t="s">
        <v>789</v>
      </c>
    </row>
    <row r="17" spans="1:29" ht="13.5" thickBot="1">
      <c r="A17" s="10" t="s">
        <v>1224</v>
      </c>
      <c r="B17" s="10" t="s">
        <v>427</v>
      </c>
      <c r="D17" s="54" t="s">
        <v>40</v>
      </c>
      <c r="E17" s="54" t="s">
        <v>547</v>
      </c>
      <c r="F17" s="7"/>
      <c r="G17" s="8"/>
      <c r="H17" s="7"/>
      <c r="I17" s="30" t="s">
        <v>293</v>
      </c>
      <c r="J17" s="7"/>
      <c r="K17" s="8"/>
      <c r="L17" s="7"/>
      <c r="M17" s="8"/>
      <c r="N17" s="7"/>
      <c r="O17" s="8"/>
      <c r="P17" s="7"/>
      <c r="Q17" s="7"/>
      <c r="R17" s="8"/>
      <c r="S17" s="7"/>
      <c r="T17" s="9"/>
      <c r="U17" s="7"/>
      <c r="V17" s="8"/>
      <c r="W17" s="7"/>
      <c r="X17" s="7"/>
      <c r="Y17" s="8"/>
      <c r="Z17" s="7"/>
      <c r="AA17" s="60"/>
      <c r="AB17" s="65" t="s">
        <v>39</v>
      </c>
      <c r="AC17" s="65" t="s">
        <v>1087</v>
      </c>
    </row>
    <row r="18" spans="1:29" ht="13.5" thickBot="1">
      <c r="A18" s="44" t="s">
        <v>1226</v>
      </c>
      <c r="B18" s="10" t="s">
        <v>1225</v>
      </c>
      <c r="D18" s="54" t="s">
        <v>723</v>
      </c>
      <c r="E18" s="54" t="s">
        <v>682</v>
      </c>
      <c r="F18" s="7"/>
      <c r="G18" s="8"/>
      <c r="H18" s="7"/>
      <c r="I18" s="30" t="s">
        <v>286</v>
      </c>
      <c r="J18" s="7"/>
      <c r="K18" s="8"/>
      <c r="L18" s="7"/>
      <c r="M18" s="8"/>
      <c r="N18" s="7"/>
      <c r="O18" s="8"/>
      <c r="P18" s="7"/>
      <c r="Q18" s="7"/>
      <c r="R18" s="8"/>
      <c r="S18" s="7"/>
      <c r="T18" s="9"/>
      <c r="U18" s="7"/>
      <c r="V18" s="8"/>
      <c r="W18" s="7"/>
      <c r="X18" s="7"/>
      <c r="Y18" s="8"/>
      <c r="Z18" s="7"/>
      <c r="AA18" s="60"/>
      <c r="AB18" s="65" t="s">
        <v>39</v>
      </c>
      <c r="AC18" s="65" t="s">
        <v>1092</v>
      </c>
    </row>
    <row r="19" spans="1:29" ht="13.5" thickBot="1">
      <c r="A19" s="44" t="s">
        <v>1228</v>
      </c>
      <c r="B19" s="10" t="s">
        <v>1227</v>
      </c>
      <c r="D19" s="54" t="s">
        <v>323</v>
      </c>
      <c r="E19" s="54" t="s">
        <v>681</v>
      </c>
      <c r="F19" s="7"/>
      <c r="G19" s="8"/>
      <c r="H19" s="7"/>
      <c r="I19" s="30" t="s">
        <v>325</v>
      </c>
      <c r="J19" s="7"/>
      <c r="K19" s="8"/>
      <c r="L19" s="7"/>
      <c r="M19" s="8"/>
      <c r="N19" s="7"/>
      <c r="O19" s="8"/>
      <c r="P19" s="7"/>
      <c r="Q19" s="7"/>
      <c r="R19" s="8"/>
      <c r="S19" s="7"/>
      <c r="T19" s="9"/>
      <c r="U19" s="7"/>
      <c r="V19" s="8"/>
      <c r="W19" s="7"/>
      <c r="X19" s="7"/>
      <c r="Y19" s="8"/>
      <c r="Z19" s="7"/>
      <c r="AA19" s="60"/>
      <c r="AB19" s="65" t="s">
        <v>39</v>
      </c>
      <c r="AC19" s="65" t="s">
        <v>1336</v>
      </c>
    </row>
    <row r="20" spans="1:29" ht="13.5" thickBot="1">
      <c r="A20" s="44" t="s">
        <v>37</v>
      </c>
      <c r="B20" s="10" t="s">
        <v>149</v>
      </c>
      <c r="D20" s="54" t="s">
        <v>330</v>
      </c>
      <c r="E20" s="54" t="s">
        <v>658</v>
      </c>
      <c r="F20" s="7"/>
      <c r="G20" s="8"/>
      <c r="H20" s="7"/>
      <c r="I20" s="30" t="s">
        <v>334</v>
      </c>
      <c r="J20" s="7"/>
      <c r="K20" s="8"/>
      <c r="L20" s="7"/>
      <c r="M20" s="8"/>
      <c r="N20" s="7"/>
      <c r="O20" s="8"/>
      <c r="P20" s="7"/>
      <c r="Q20" s="7"/>
      <c r="R20" s="8"/>
      <c r="S20" s="7"/>
      <c r="T20" s="9"/>
      <c r="U20" s="7"/>
      <c r="V20" s="8"/>
      <c r="W20" s="7"/>
      <c r="X20" s="7"/>
      <c r="Y20" s="8"/>
      <c r="Z20" s="7"/>
      <c r="AA20" s="60"/>
      <c r="AB20" s="65" t="s">
        <v>39</v>
      </c>
      <c r="AC20" s="65" t="s">
        <v>40</v>
      </c>
    </row>
    <row r="21" spans="1:29" ht="13.5" thickBot="1">
      <c r="A21" s="44" t="s">
        <v>1230</v>
      </c>
      <c r="B21" s="10" t="s">
        <v>38</v>
      </c>
      <c r="D21" s="54" t="s">
        <v>160</v>
      </c>
      <c r="E21" s="54" t="s">
        <v>596</v>
      </c>
      <c r="F21" s="7"/>
      <c r="G21" s="8"/>
      <c r="H21" s="7"/>
      <c r="I21" s="42" t="s">
        <v>1232</v>
      </c>
      <c r="J21" s="7"/>
      <c r="K21" s="8"/>
      <c r="L21" s="7"/>
      <c r="M21" s="8"/>
      <c r="N21" s="7"/>
      <c r="O21" s="8"/>
      <c r="P21" s="7"/>
      <c r="Q21" s="7"/>
      <c r="R21" s="8"/>
      <c r="S21" s="7"/>
      <c r="T21" s="9"/>
      <c r="U21" s="7"/>
      <c r="V21" s="8"/>
      <c r="W21" s="7"/>
      <c r="X21" s="7"/>
      <c r="Y21" s="8"/>
      <c r="Z21" s="7"/>
      <c r="AA21" s="60"/>
      <c r="AB21" s="65" t="s">
        <v>39</v>
      </c>
      <c r="AC21" s="65" t="s">
        <v>160</v>
      </c>
    </row>
    <row r="22" spans="1:29" ht="13.5" thickBot="1">
      <c r="A22" s="44" t="s">
        <v>2039</v>
      </c>
      <c r="B22" s="10" t="s">
        <v>1231</v>
      </c>
      <c r="D22" s="54" t="s">
        <v>165</v>
      </c>
      <c r="E22" s="54" t="s">
        <v>559</v>
      </c>
      <c r="F22" s="7"/>
      <c r="G22" s="8"/>
      <c r="H22" s="7"/>
      <c r="I22" s="42" t="s">
        <v>1234</v>
      </c>
      <c r="J22" s="7"/>
      <c r="K22" s="8"/>
      <c r="L22" s="7"/>
      <c r="M22" s="8"/>
      <c r="N22" s="7"/>
      <c r="O22" s="8"/>
      <c r="P22" s="7"/>
      <c r="Q22" s="7"/>
      <c r="R22" s="8"/>
      <c r="S22" s="7"/>
      <c r="T22" s="9"/>
      <c r="U22" s="7"/>
      <c r="V22" s="8"/>
      <c r="W22" s="7"/>
      <c r="X22" s="7"/>
      <c r="Y22" s="8"/>
      <c r="Z22" s="7"/>
      <c r="AA22" s="60"/>
      <c r="AB22" s="65" t="s">
        <v>39</v>
      </c>
      <c r="AC22" s="65" t="s">
        <v>165</v>
      </c>
    </row>
    <row r="23" spans="1:29" ht="13.5" thickBot="1">
      <c r="A23" s="44" t="s">
        <v>2301</v>
      </c>
      <c r="B23" s="10" t="s">
        <v>1233</v>
      </c>
      <c r="D23" s="54" t="s">
        <v>213</v>
      </c>
      <c r="E23" s="54" t="s">
        <v>677</v>
      </c>
      <c r="F23" s="7"/>
      <c r="G23" s="8"/>
      <c r="H23" s="7"/>
      <c r="I23" s="30" t="s">
        <v>352</v>
      </c>
      <c r="J23" s="7"/>
      <c r="K23" s="8"/>
      <c r="L23" s="7"/>
      <c r="M23" s="8"/>
      <c r="N23" s="7"/>
      <c r="O23" s="8"/>
      <c r="P23" s="7"/>
      <c r="Q23" s="7"/>
      <c r="R23" s="8"/>
      <c r="S23" s="7"/>
      <c r="T23" s="9"/>
      <c r="U23" s="7"/>
      <c r="V23" s="8"/>
      <c r="W23" s="7"/>
      <c r="X23" s="7"/>
      <c r="Y23" s="8"/>
      <c r="Z23" s="7"/>
      <c r="AA23" s="60"/>
      <c r="AB23" s="65" t="s">
        <v>39</v>
      </c>
      <c r="AC23" s="65" t="s">
        <v>213</v>
      </c>
    </row>
    <row r="24" spans="1:29" ht="13.5" thickBot="1">
      <c r="A24" s="44" t="s">
        <v>2302</v>
      </c>
      <c r="B24" s="10" t="s">
        <v>1235</v>
      </c>
      <c r="D24" s="54" t="s">
        <v>489</v>
      </c>
      <c r="E24" s="54" t="s">
        <v>638</v>
      </c>
      <c r="F24" s="7"/>
      <c r="G24" s="8"/>
      <c r="H24" s="7"/>
      <c r="I24" s="30" t="s">
        <v>722</v>
      </c>
      <c r="J24" s="7"/>
      <c r="K24" s="8"/>
      <c r="L24" s="7"/>
      <c r="M24" s="8"/>
      <c r="N24" s="7"/>
      <c r="O24" s="8"/>
      <c r="P24" s="7"/>
      <c r="Q24" s="7"/>
      <c r="R24" s="8"/>
      <c r="S24" s="7"/>
      <c r="T24" s="9"/>
      <c r="U24" s="7"/>
      <c r="V24" s="8"/>
      <c r="W24" s="7"/>
      <c r="X24" s="7"/>
      <c r="Y24" s="8"/>
      <c r="Z24" s="7"/>
      <c r="AA24" s="60"/>
      <c r="AB24" s="65" t="s">
        <v>39</v>
      </c>
      <c r="AC24" s="65" t="s">
        <v>167</v>
      </c>
    </row>
    <row r="25" spans="1:29" ht="13.5" thickBot="1">
      <c r="A25" s="44" t="s">
        <v>2525</v>
      </c>
      <c r="B25" s="10" t="s">
        <v>1236</v>
      </c>
      <c r="D25" s="54" t="s">
        <v>726</v>
      </c>
      <c r="E25" s="54" t="s">
        <v>631</v>
      </c>
      <c r="F25" s="7"/>
      <c r="G25" s="8"/>
      <c r="H25" s="7"/>
      <c r="I25" s="42" t="s">
        <v>1238</v>
      </c>
      <c r="J25" s="7"/>
      <c r="K25" s="8"/>
      <c r="L25" s="7"/>
      <c r="M25" s="8"/>
      <c r="N25" s="7"/>
      <c r="O25" s="8"/>
      <c r="P25" s="7"/>
      <c r="Q25" s="7"/>
      <c r="R25" s="8"/>
      <c r="S25" s="7"/>
      <c r="T25" s="9"/>
      <c r="U25" s="7"/>
      <c r="V25" s="8"/>
      <c r="W25" s="7"/>
      <c r="X25" s="7"/>
      <c r="Y25" s="8"/>
      <c r="Z25" s="7"/>
      <c r="AA25" s="60"/>
      <c r="AB25" s="65" t="s">
        <v>39</v>
      </c>
      <c r="AC25" s="65" t="s">
        <v>1222</v>
      </c>
    </row>
    <row r="26" spans="1:29" ht="13.5" thickBot="1">
      <c r="A26" s="44" t="s">
        <v>2526</v>
      </c>
      <c r="B26" s="10" t="s">
        <v>311</v>
      </c>
      <c r="D26" s="54" t="s">
        <v>417</v>
      </c>
      <c r="E26" s="54" t="s">
        <v>622</v>
      </c>
      <c r="F26" s="7"/>
      <c r="G26" s="8"/>
      <c r="H26" s="7"/>
      <c r="I26" s="30" t="s">
        <v>479</v>
      </c>
      <c r="J26" s="7"/>
      <c r="K26" s="8"/>
      <c r="L26" s="7"/>
      <c r="M26" s="8"/>
      <c r="N26" s="7"/>
      <c r="O26" s="8"/>
      <c r="P26" s="7"/>
      <c r="Q26" s="7"/>
      <c r="R26" s="8"/>
      <c r="S26" s="7"/>
      <c r="T26" s="9"/>
      <c r="U26" s="7"/>
      <c r="V26" s="8"/>
      <c r="W26" s="7"/>
      <c r="X26" s="7"/>
      <c r="Y26" s="8"/>
      <c r="Z26" s="7"/>
      <c r="AA26" s="60"/>
      <c r="AB26" s="65" t="s">
        <v>39</v>
      </c>
      <c r="AC26" s="65" t="s">
        <v>181</v>
      </c>
    </row>
    <row r="27" spans="1:29" ht="13.5" thickBot="1">
      <c r="A27" s="44" t="s">
        <v>2527</v>
      </c>
      <c r="B27" s="10" t="s">
        <v>326</v>
      </c>
      <c r="D27" s="54" t="s">
        <v>167</v>
      </c>
      <c r="E27" s="54" t="s">
        <v>550</v>
      </c>
      <c r="F27" s="7"/>
      <c r="G27" s="8"/>
      <c r="H27" s="7"/>
      <c r="I27" s="30" t="s">
        <v>357</v>
      </c>
      <c r="J27" s="7"/>
      <c r="K27" s="8"/>
      <c r="L27" s="7"/>
      <c r="M27" s="8"/>
      <c r="N27" s="7"/>
      <c r="O27" s="8"/>
      <c r="P27" s="7"/>
      <c r="Q27" s="7"/>
      <c r="R27" s="8"/>
      <c r="S27" s="7"/>
      <c r="T27" s="9"/>
      <c r="U27" s="7"/>
      <c r="V27" s="8"/>
      <c r="W27" s="7"/>
      <c r="X27" s="7"/>
      <c r="Y27" s="8"/>
      <c r="Z27" s="7"/>
      <c r="AA27" s="60"/>
      <c r="AB27" s="65" t="s">
        <v>39</v>
      </c>
      <c r="AC27" s="65" t="s">
        <v>222</v>
      </c>
    </row>
    <row r="28" spans="1:29" ht="13.5" thickBot="1">
      <c r="A28" s="44" t="s">
        <v>2528</v>
      </c>
      <c r="B28" s="10" t="s">
        <v>1239</v>
      </c>
      <c r="D28" s="54" t="s">
        <v>717</v>
      </c>
      <c r="E28" s="54" t="s">
        <v>598</v>
      </c>
      <c r="F28" s="7"/>
      <c r="G28" s="8"/>
      <c r="H28" s="7"/>
      <c r="I28" s="30" t="s">
        <v>314</v>
      </c>
      <c r="J28" s="7"/>
      <c r="K28" s="8"/>
      <c r="L28" s="7"/>
      <c r="M28" s="8"/>
      <c r="N28" s="7"/>
      <c r="O28" s="8"/>
      <c r="P28" s="7"/>
      <c r="Q28" s="7"/>
      <c r="R28" s="8"/>
      <c r="S28" s="7"/>
      <c r="T28" s="9"/>
      <c r="U28" s="7"/>
      <c r="V28" s="8"/>
      <c r="W28" s="7"/>
      <c r="X28" s="7"/>
      <c r="Y28" s="8"/>
      <c r="Z28" s="7"/>
      <c r="AA28" s="60"/>
      <c r="AB28" s="65" t="s">
        <v>39</v>
      </c>
      <c r="AC28" s="65" t="s">
        <v>192</v>
      </c>
    </row>
    <row r="29" spans="1:29" ht="13.5" thickBot="1">
      <c r="A29" s="68"/>
      <c r="B29" s="10" t="s">
        <v>1240</v>
      </c>
      <c r="C29" s="68"/>
      <c r="D29" s="54" t="s">
        <v>737</v>
      </c>
      <c r="E29" s="54" t="s">
        <v>605</v>
      </c>
      <c r="F29" s="7"/>
      <c r="G29" s="8"/>
      <c r="H29" s="7"/>
      <c r="I29" s="30" t="s">
        <v>307</v>
      </c>
      <c r="J29" s="7"/>
      <c r="K29" s="8"/>
      <c r="L29" s="7"/>
      <c r="M29" s="8"/>
      <c r="N29" s="7"/>
      <c r="O29" s="8"/>
      <c r="P29" s="7"/>
      <c r="Q29" s="7"/>
      <c r="R29" s="8"/>
      <c r="S29" s="7"/>
      <c r="T29" s="9"/>
      <c r="U29" s="7"/>
      <c r="V29" s="8"/>
      <c r="W29" s="7"/>
      <c r="X29" s="7"/>
      <c r="Y29" s="8"/>
      <c r="Z29" s="7"/>
      <c r="AA29" s="60"/>
      <c r="AB29" s="65" t="s">
        <v>39</v>
      </c>
      <c r="AC29" s="65" t="s">
        <v>1153</v>
      </c>
    </row>
    <row r="30" spans="1:29" ht="13.5" thickBot="1">
      <c r="A30" s="68"/>
      <c r="B30" s="10" t="s">
        <v>200</v>
      </c>
      <c r="D30" s="54" t="s">
        <v>1141</v>
      </c>
      <c r="E30" s="54" t="s">
        <v>667</v>
      </c>
      <c r="F30" s="7"/>
      <c r="G30" s="8"/>
      <c r="H30" s="7"/>
      <c r="I30" s="42" t="s">
        <v>1242</v>
      </c>
      <c r="J30" s="7"/>
      <c r="K30" s="8"/>
      <c r="L30" s="7"/>
      <c r="M30" s="8"/>
      <c r="N30" s="7"/>
      <c r="O30" s="8"/>
      <c r="P30" s="7"/>
      <c r="Q30" s="7"/>
      <c r="R30" s="8"/>
      <c r="S30" s="7"/>
      <c r="T30" s="9"/>
      <c r="U30" s="7"/>
      <c r="V30" s="8"/>
      <c r="W30" s="7"/>
      <c r="X30" s="7"/>
      <c r="Y30" s="8"/>
      <c r="Z30" s="7"/>
      <c r="AA30" s="60"/>
      <c r="AB30" s="65" t="s">
        <v>39</v>
      </c>
      <c r="AC30" s="65" t="s">
        <v>1229</v>
      </c>
    </row>
    <row r="31" spans="1:29" ht="13.5" thickBot="1">
      <c r="B31" s="10" t="s">
        <v>1241</v>
      </c>
      <c r="D31" s="54" t="s">
        <v>420</v>
      </c>
      <c r="E31" s="54" t="s">
        <v>668</v>
      </c>
      <c r="F31" s="7"/>
      <c r="G31" s="8"/>
      <c r="H31" s="7"/>
      <c r="I31" s="30" t="s">
        <v>252</v>
      </c>
      <c r="J31" s="7"/>
      <c r="K31" s="8"/>
      <c r="L31" s="7"/>
      <c r="M31" s="8"/>
      <c r="N31" s="7"/>
      <c r="O31" s="8"/>
      <c r="P31" s="7"/>
      <c r="Q31" s="7"/>
      <c r="R31" s="8"/>
      <c r="S31" s="7"/>
      <c r="T31" s="9"/>
      <c r="U31" s="7"/>
      <c r="V31" s="8"/>
      <c r="W31" s="7"/>
      <c r="X31" s="7"/>
      <c r="Y31" s="8"/>
      <c r="Z31" s="7"/>
      <c r="AA31" s="60"/>
      <c r="AB31" s="65" t="s">
        <v>39</v>
      </c>
      <c r="AC31" s="65" t="s">
        <v>150</v>
      </c>
    </row>
    <row r="32" spans="1:29" ht="13.5" thickBot="1">
      <c r="B32" s="10" t="s">
        <v>1244</v>
      </c>
      <c r="D32" s="54" t="s">
        <v>470</v>
      </c>
      <c r="E32" s="54" t="s">
        <v>960</v>
      </c>
      <c r="F32" s="7"/>
      <c r="G32" s="8"/>
      <c r="H32" s="7"/>
      <c r="I32" s="30" t="s">
        <v>740</v>
      </c>
      <c r="J32" s="7"/>
      <c r="K32" s="8"/>
      <c r="L32" s="7"/>
      <c r="M32" s="8"/>
      <c r="N32" s="7"/>
      <c r="O32" s="8"/>
      <c r="P32" s="7"/>
      <c r="Q32" s="7"/>
      <c r="R32" s="8"/>
      <c r="S32" s="7"/>
      <c r="T32" s="9"/>
      <c r="U32" s="7"/>
      <c r="V32" s="8"/>
      <c r="W32" s="7"/>
      <c r="X32" s="7"/>
      <c r="Y32" s="8"/>
      <c r="Z32" s="7"/>
      <c r="AA32" s="60"/>
      <c r="AB32" s="65" t="s">
        <v>3013</v>
      </c>
      <c r="AC32" s="65" t="s">
        <v>337</v>
      </c>
    </row>
    <row r="33" spans="1:29" ht="13.5" thickBot="1">
      <c r="A33" s="68"/>
      <c r="B33" s="10" t="s">
        <v>1245</v>
      </c>
      <c r="D33" s="54" t="s">
        <v>181</v>
      </c>
      <c r="E33" s="54" t="s">
        <v>549</v>
      </c>
      <c r="F33" s="7"/>
      <c r="G33" s="8"/>
      <c r="H33" s="7"/>
      <c r="I33" s="18" t="s">
        <v>305</v>
      </c>
      <c r="J33" s="7"/>
      <c r="K33" s="8"/>
      <c r="L33" s="7"/>
      <c r="M33" s="8"/>
      <c r="N33" s="7"/>
      <c r="O33" s="8"/>
      <c r="P33" s="7"/>
      <c r="Q33" s="7"/>
      <c r="R33" s="8"/>
      <c r="S33" s="7"/>
      <c r="T33" s="9"/>
      <c r="U33" s="7"/>
      <c r="V33" s="8"/>
      <c r="W33" s="7"/>
      <c r="X33" s="7"/>
      <c r="Y33" s="8"/>
      <c r="Z33" s="7"/>
      <c r="AA33" s="60"/>
      <c r="AB33" s="65" t="s">
        <v>3013</v>
      </c>
      <c r="AC33" s="65" t="s">
        <v>323</v>
      </c>
    </row>
    <row r="34" spans="1:29" ht="13.5" thickBot="1">
      <c r="A34" s="68"/>
      <c r="B34" s="10" t="s">
        <v>1957</v>
      </c>
      <c r="D34" s="54" t="s">
        <v>372</v>
      </c>
      <c r="E34" s="54" t="s">
        <v>678</v>
      </c>
      <c r="F34" s="7"/>
      <c r="G34" s="8"/>
      <c r="H34" s="7"/>
      <c r="I34" s="18" t="s">
        <v>1687</v>
      </c>
      <c r="J34" s="7"/>
      <c r="K34" s="8"/>
      <c r="L34" s="7"/>
      <c r="M34" s="8"/>
      <c r="N34" s="7"/>
      <c r="O34" s="8"/>
      <c r="P34" s="7"/>
      <c r="Q34" s="7"/>
      <c r="R34" s="8"/>
      <c r="S34" s="7"/>
      <c r="T34" s="9"/>
      <c r="U34" s="7"/>
      <c r="V34" s="8"/>
      <c r="W34" s="7"/>
      <c r="X34" s="7"/>
      <c r="Y34" s="8"/>
      <c r="Z34" s="7"/>
      <c r="AA34" s="60"/>
      <c r="AB34" s="65" t="s">
        <v>3013</v>
      </c>
      <c r="AC34" s="65" t="s">
        <v>355</v>
      </c>
    </row>
    <row r="35" spans="1:29" ht="13.5" thickBot="1">
      <c r="A35" s="68"/>
      <c r="B35" s="10" t="s">
        <v>1246</v>
      </c>
      <c r="D35" s="54" t="s">
        <v>355</v>
      </c>
      <c r="E35" s="54" t="s">
        <v>636</v>
      </c>
      <c r="F35" s="7"/>
      <c r="G35" s="8"/>
      <c r="H35" s="7"/>
      <c r="I35" s="30" t="s">
        <v>1922</v>
      </c>
      <c r="J35" s="7"/>
      <c r="K35" s="8"/>
      <c r="L35" s="7"/>
      <c r="M35" s="8"/>
      <c r="N35" s="7"/>
      <c r="O35" s="8"/>
      <c r="P35" s="7"/>
      <c r="Q35" s="7"/>
      <c r="R35" s="8"/>
      <c r="S35" s="7"/>
      <c r="T35" s="9"/>
      <c r="U35" s="7"/>
      <c r="V35" s="8"/>
      <c r="W35" s="7"/>
      <c r="X35" s="7"/>
      <c r="Y35" s="8"/>
      <c r="Z35" s="7"/>
      <c r="AA35" s="60"/>
      <c r="AB35" s="65" t="s">
        <v>312</v>
      </c>
      <c r="AC35" s="65" t="s">
        <v>343</v>
      </c>
    </row>
    <row r="36" spans="1:29" ht="13.5" thickBot="1">
      <c r="A36" s="68"/>
      <c r="B36" s="10" t="s">
        <v>387</v>
      </c>
      <c r="D36" s="54" t="s">
        <v>222</v>
      </c>
      <c r="E36" s="54" t="s">
        <v>670</v>
      </c>
      <c r="F36" s="7"/>
      <c r="G36" s="8"/>
      <c r="H36" s="7"/>
      <c r="I36" s="30" t="s">
        <v>152</v>
      </c>
      <c r="J36" s="7"/>
      <c r="K36" s="8"/>
      <c r="L36" s="7"/>
      <c r="M36" s="8"/>
      <c r="N36" s="7"/>
      <c r="O36" s="8"/>
      <c r="P36" s="7"/>
      <c r="Q36" s="7"/>
      <c r="R36" s="8"/>
      <c r="S36" s="7"/>
      <c r="T36" s="9"/>
      <c r="U36" s="7"/>
      <c r="V36" s="8"/>
      <c r="W36" s="7"/>
      <c r="X36" s="7"/>
      <c r="Y36" s="8"/>
      <c r="Z36" s="7"/>
      <c r="AA36" s="60"/>
      <c r="AB36" s="65" t="s">
        <v>312</v>
      </c>
      <c r="AC36" s="65" t="s">
        <v>1237</v>
      </c>
    </row>
    <row r="37" spans="1:29" ht="13.5" thickBot="1">
      <c r="B37" s="10" t="s">
        <v>1247</v>
      </c>
      <c r="D37" s="54" t="s">
        <v>313</v>
      </c>
      <c r="E37" s="54" t="s">
        <v>586</v>
      </c>
      <c r="F37" s="7"/>
      <c r="G37" s="8"/>
      <c r="H37" s="7"/>
      <c r="I37" s="30" t="s">
        <v>1922</v>
      </c>
      <c r="J37" s="7"/>
      <c r="K37" s="8"/>
      <c r="L37" s="7"/>
      <c r="M37" s="8"/>
      <c r="N37" s="7"/>
      <c r="O37" s="8"/>
      <c r="P37" s="7"/>
      <c r="Q37" s="7"/>
      <c r="R37" s="8"/>
      <c r="S37" s="7"/>
      <c r="T37" s="9"/>
      <c r="U37" s="7"/>
      <c r="V37" s="8"/>
      <c r="W37" s="7"/>
      <c r="X37" s="7"/>
      <c r="Y37" s="8"/>
      <c r="Z37" s="7"/>
      <c r="AA37" s="60"/>
      <c r="AB37" s="65" t="s">
        <v>312</v>
      </c>
      <c r="AC37" s="65" t="s">
        <v>1243</v>
      </c>
    </row>
    <row r="38" spans="1:29" ht="13.5" thickBot="1">
      <c r="B38" s="10" t="s">
        <v>317</v>
      </c>
      <c r="D38" s="54" t="s">
        <v>192</v>
      </c>
      <c r="E38" s="54" t="s">
        <v>620</v>
      </c>
      <c r="F38" s="7"/>
      <c r="G38" s="8"/>
      <c r="H38" s="7"/>
      <c r="I38" s="42" t="s">
        <v>807</v>
      </c>
      <c r="J38" s="7"/>
      <c r="K38" s="8"/>
      <c r="L38" s="7"/>
      <c r="M38" s="8"/>
      <c r="N38" s="7"/>
      <c r="O38" s="8"/>
      <c r="P38" s="7"/>
      <c r="Q38" s="7"/>
      <c r="R38" s="8"/>
      <c r="S38" s="7"/>
      <c r="T38" s="9"/>
      <c r="U38" s="7"/>
      <c r="V38" s="8"/>
      <c r="W38" s="7"/>
      <c r="X38" s="7"/>
      <c r="Y38" s="8"/>
      <c r="Z38" s="7"/>
      <c r="AA38" s="60"/>
      <c r="AB38" s="65" t="s">
        <v>312</v>
      </c>
      <c r="AC38" s="65" t="s">
        <v>1248</v>
      </c>
    </row>
    <row r="39" spans="1:29" ht="13.5" thickBot="1">
      <c r="B39" s="10" t="s">
        <v>1249</v>
      </c>
      <c r="D39" s="54" t="s">
        <v>150</v>
      </c>
      <c r="E39" s="54" t="s">
        <v>1251</v>
      </c>
      <c r="F39" s="7"/>
      <c r="G39" s="8"/>
      <c r="H39" s="7"/>
      <c r="I39" s="30" t="s">
        <v>249</v>
      </c>
      <c r="J39" s="7"/>
      <c r="K39" s="8"/>
      <c r="L39" s="7"/>
      <c r="M39" s="8"/>
      <c r="N39" s="7"/>
      <c r="O39" s="8"/>
      <c r="P39" s="7"/>
      <c r="Q39" s="7"/>
      <c r="R39" s="8"/>
      <c r="S39" s="7"/>
      <c r="T39" s="9"/>
      <c r="U39" s="7"/>
      <c r="V39" s="8"/>
      <c r="W39" s="7"/>
      <c r="X39" s="7"/>
      <c r="Y39" s="8"/>
      <c r="Z39" s="7"/>
      <c r="AA39" s="60"/>
      <c r="AB39" s="65" t="s">
        <v>312</v>
      </c>
      <c r="AC39" s="65" t="s">
        <v>1250</v>
      </c>
    </row>
    <row r="40" spans="1:29" ht="13.5" thickBot="1">
      <c r="B40" s="10" t="s">
        <v>384</v>
      </c>
      <c r="D40" s="54"/>
      <c r="E40" s="54" t="s">
        <v>649</v>
      </c>
      <c r="F40" s="7"/>
      <c r="G40" s="8"/>
      <c r="H40" s="7"/>
      <c r="I40" s="30" t="s">
        <v>254</v>
      </c>
      <c r="J40" s="7"/>
      <c r="K40" s="8"/>
      <c r="L40" s="7"/>
      <c r="M40" s="8"/>
      <c r="N40" s="7"/>
      <c r="O40" s="8"/>
      <c r="P40" s="7"/>
      <c r="Q40" s="7"/>
      <c r="R40" s="8"/>
      <c r="S40" s="7"/>
      <c r="T40" s="9"/>
      <c r="U40" s="7"/>
      <c r="V40" s="8"/>
      <c r="W40" s="7"/>
      <c r="X40" s="7"/>
      <c r="Y40" s="8"/>
      <c r="Z40" s="7"/>
      <c r="AA40" s="60"/>
      <c r="AB40" s="65" t="s">
        <v>716</v>
      </c>
      <c r="AC40" s="65" t="s">
        <v>1252</v>
      </c>
    </row>
    <row r="41" spans="1:29" ht="13.5" thickBot="1">
      <c r="B41" s="10" t="s">
        <v>1253</v>
      </c>
      <c r="D41" s="54"/>
      <c r="E41" s="54" t="s">
        <v>664</v>
      </c>
      <c r="F41" s="7"/>
      <c r="G41" s="8"/>
      <c r="H41" s="7"/>
      <c r="I41" s="30" t="s">
        <v>202</v>
      </c>
      <c r="J41" s="7"/>
      <c r="K41" s="8"/>
      <c r="L41" s="7"/>
      <c r="M41" s="8"/>
      <c r="N41" s="7"/>
      <c r="O41" s="8"/>
      <c r="P41" s="7"/>
      <c r="Q41" s="7"/>
      <c r="R41" s="8"/>
      <c r="S41" s="7"/>
      <c r="T41" s="9"/>
      <c r="U41" s="7"/>
      <c r="V41" s="8"/>
      <c r="W41" s="7"/>
      <c r="X41" s="7"/>
      <c r="Y41" s="8"/>
      <c r="Z41" s="7"/>
      <c r="AA41" s="60"/>
      <c r="AB41" s="65" t="s">
        <v>716</v>
      </c>
      <c r="AC41" s="65" t="s">
        <v>1254</v>
      </c>
    </row>
    <row r="42" spans="1:29" ht="13.5" thickBot="1">
      <c r="B42" s="10" t="s">
        <v>1255</v>
      </c>
      <c r="D42" s="54"/>
      <c r="E42" s="54" t="s">
        <v>600</v>
      </c>
      <c r="F42" s="7"/>
      <c r="G42" s="8"/>
      <c r="H42" s="7"/>
      <c r="I42" s="30" t="s">
        <v>207</v>
      </c>
      <c r="J42" s="7"/>
      <c r="K42" s="8"/>
      <c r="L42" s="7"/>
      <c r="M42" s="8"/>
      <c r="N42" s="7"/>
      <c r="O42" s="8"/>
      <c r="P42" s="7"/>
      <c r="Q42" s="7"/>
      <c r="R42" s="8"/>
      <c r="S42" s="7"/>
      <c r="T42" s="9"/>
      <c r="U42" s="7"/>
      <c r="V42" s="8"/>
      <c r="W42" s="7"/>
      <c r="X42" s="7"/>
      <c r="Y42" s="8"/>
      <c r="Z42" s="7"/>
      <c r="AA42" s="60"/>
      <c r="AB42" s="65" t="s">
        <v>716</v>
      </c>
      <c r="AC42" s="65" t="s">
        <v>1256</v>
      </c>
    </row>
    <row r="43" spans="1:29" ht="13.5" thickBot="1">
      <c r="B43" s="662" t="s">
        <v>2376</v>
      </c>
      <c r="D43" s="54"/>
      <c r="E43" s="54" t="s">
        <v>562</v>
      </c>
      <c r="F43" s="7"/>
      <c r="G43" s="8"/>
      <c r="H43" s="7"/>
      <c r="I43" s="30" t="s">
        <v>216</v>
      </c>
      <c r="J43" s="7"/>
      <c r="K43" s="8"/>
      <c r="L43" s="7"/>
      <c r="M43" s="8"/>
      <c r="N43" s="7"/>
      <c r="O43" s="8"/>
      <c r="P43" s="7"/>
      <c r="Q43" s="7"/>
      <c r="R43" s="8"/>
      <c r="S43" s="7"/>
      <c r="T43" s="9"/>
      <c r="U43" s="7"/>
      <c r="V43" s="8"/>
      <c r="W43" s="7"/>
      <c r="X43" s="7"/>
      <c r="Y43" s="8"/>
      <c r="Z43" s="7"/>
      <c r="AA43" s="60"/>
      <c r="AB43" s="65" t="s">
        <v>716</v>
      </c>
      <c r="AC43" s="65" t="s">
        <v>1258</v>
      </c>
    </row>
    <row r="44" spans="1:29" ht="13.5" thickBot="1">
      <c r="B44" s="662" t="s">
        <v>3007</v>
      </c>
      <c r="D44" s="54"/>
      <c r="E44" s="54" t="s">
        <v>669</v>
      </c>
      <c r="F44" s="7"/>
      <c r="G44" s="8"/>
      <c r="H44" s="7"/>
      <c r="I44" s="30" t="s">
        <v>730</v>
      </c>
      <c r="J44" s="7"/>
      <c r="K44" s="8"/>
      <c r="L44" s="7"/>
      <c r="M44" s="8"/>
      <c r="N44" s="7"/>
      <c r="O44" s="8"/>
      <c r="P44" s="7"/>
      <c r="Q44" s="7"/>
      <c r="R44" s="8"/>
      <c r="S44" s="7"/>
      <c r="T44" s="9"/>
      <c r="U44" s="7"/>
      <c r="V44" s="8"/>
      <c r="W44" s="7"/>
      <c r="X44" s="7"/>
      <c r="Y44" s="8"/>
      <c r="Z44" s="7"/>
      <c r="AA44" s="60"/>
      <c r="AB44" s="65" t="s">
        <v>716</v>
      </c>
      <c r="AC44" s="65" t="s">
        <v>1259</v>
      </c>
    </row>
    <row r="45" spans="1:29" ht="13.5" thickBot="1">
      <c r="B45" s="662" t="s">
        <v>2802</v>
      </c>
      <c r="D45" s="54"/>
      <c r="E45" s="54" t="s">
        <v>563</v>
      </c>
      <c r="F45" s="7"/>
      <c r="G45" s="8"/>
      <c r="H45" s="7"/>
      <c r="I45" s="30" t="s">
        <v>205</v>
      </c>
      <c r="J45" s="7"/>
      <c r="K45" s="8"/>
      <c r="L45" s="7"/>
      <c r="M45" s="8"/>
      <c r="N45" s="7"/>
      <c r="O45" s="8"/>
      <c r="P45" s="7"/>
      <c r="Q45" s="7"/>
      <c r="R45" s="8"/>
      <c r="S45" s="7"/>
      <c r="T45" s="9"/>
      <c r="U45" s="7"/>
      <c r="V45" s="8"/>
      <c r="W45" s="7"/>
      <c r="X45" s="7"/>
      <c r="Y45" s="8"/>
      <c r="Z45" s="7"/>
      <c r="AA45" s="60"/>
      <c r="AB45" s="65" t="s">
        <v>716</v>
      </c>
      <c r="AC45" s="65" t="s">
        <v>735</v>
      </c>
    </row>
    <row r="46" spans="1:29" ht="13.5" thickBot="1">
      <c r="B46" s="10" t="s">
        <v>1257</v>
      </c>
      <c r="D46" s="54"/>
      <c r="E46" s="54" t="s">
        <v>959</v>
      </c>
      <c r="F46" s="7"/>
      <c r="G46" s="8"/>
      <c r="H46" s="7"/>
      <c r="I46" s="30" t="s">
        <v>220</v>
      </c>
      <c r="J46" s="7"/>
      <c r="K46" s="8"/>
      <c r="L46" s="7"/>
      <c r="M46" s="8"/>
      <c r="N46" s="7"/>
      <c r="O46" s="8"/>
      <c r="P46" s="7"/>
      <c r="Q46" s="7"/>
      <c r="R46" s="8"/>
      <c r="S46" s="7"/>
      <c r="T46" s="9"/>
      <c r="U46" s="7"/>
      <c r="V46" s="8"/>
      <c r="W46" s="7"/>
      <c r="X46" s="7"/>
      <c r="Y46" s="8"/>
      <c r="Z46" s="7"/>
      <c r="AA46" s="60"/>
      <c r="AB46" s="65" t="s">
        <v>716</v>
      </c>
      <c r="AC46" s="65" t="s">
        <v>757</v>
      </c>
    </row>
    <row r="47" spans="1:29" ht="13.5" thickBot="1">
      <c r="B47" s="10" t="s">
        <v>416</v>
      </c>
      <c r="D47" s="54"/>
      <c r="E47" s="54" t="s">
        <v>662</v>
      </c>
      <c r="F47" s="7"/>
      <c r="G47" s="8"/>
      <c r="H47" s="7"/>
      <c r="I47" s="30" t="s">
        <v>210</v>
      </c>
      <c r="J47" s="7"/>
      <c r="K47" s="8"/>
      <c r="L47" s="7"/>
      <c r="M47" s="8"/>
      <c r="N47" s="7"/>
      <c r="O47" s="8"/>
      <c r="P47" s="7"/>
      <c r="Q47" s="7"/>
      <c r="R47" s="8"/>
      <c r="S47" s="7"/>
      <c r="T47" s="9"/>
      <c r="U47" s="7"/>
      <c r="V47" s="8"/>
      <c r="W47" s="7"/>
      <c r="X47" s="7"/>
      <c r="Y47" s="8"/>
      <c r="Z47" s="7"/>
      <c r="AA47" s="60"/>
      <c r="AB47" s="65" t="s">
        <v>716</v>
      </c>
      <c r="AC47" s="65" t="s">
        <v>1262</v>
      </c>
    </row>
    <row r="48" spans="1:29" ht="13.5" thickBot="1">
      <c r="B48" s="10" t="s">
        <v>305</v>
      </c>
      <c r="D48" s="54"/>
      <c r="E48" s="54" t="s">
        <v>936</v>
      </c>
      <c r="F48" s="7"/>
      <c r="G48" s="8"/>
      <c r="H48" s="7"/>
      <c r="I48" s="30" t="s">
        <v>734</v>
      </c>
      <c r="J48" s="7"/>
      <c r="K48" s="8"/>
      <c r="L48" s="7"/>
      <c r="M48" s="8"/>
      <c r="N48" s="7"/>
      <c r="O48" s="8"/>
      <c r="P48" s="7"/>
      <c r="Q48" s="7"/>
      <c r="R48" s="8"/>
      <c r="S48" s="7"/>
      <c r="T48" s="9"/>
      <c r="U48" s="7"/>
      <c r="V48" s="8"/>
      <c r="W48" s="7"/>
      <c r="X48" s="7"/>
      <c r="Y48" s="8"/>
      <c r="Z48" s="7"/>
      <c r="AA48" s="60"/>
      <c r="AB48" s="65" t="s">
        <v>716</v>
      </c>
      <c r="AC48" s="65" t="s">
        <v>1264</v>
      </c>
    </row>
    <row r="49" spans="2:29" ht="13.5" thickBot="1">
      <c r="B49" s="10" t="s">
        <v>1260</v>
      </c>
      <c r="D49" s="54"/>
      <c r="E49" s="54" t="s">
        <v>602</v>
      </c>
      <c r="F49" s="7"/>
      <c r="G49" s="8"/>
      <c r="H49" s="7"/>
      <c r="I49" s="30" t="s">
        <v>753</v>
      </c>
      <c r="J49" s="7"/>
      <c r="K49" s="8"/>
      <c r="L49" s="7"/>
      <c r="M49" s="8"/>
      <c r="N49" s="7"/>
      <c r="O49" s="8"/>
      <c r="P49" s="7"/>
      <c r="Q49" s="7"/>
      <c r="R49" s="8"/>
      <c r="S49" s="7"/>
      <c r="T49" s="9"/>
      <c r="U49" s="7"/>
      <c r="V49" s="8"/>
      <c r="W49" s="7"/>
      <c r="X49" s="7"/>
      <c r="Y49" s="8"/>
      <c r="Z49" s="7"/>
      <c r="AA49" s="60"/>
      <c r="AB49" s="65" t="s">
        <v>716</v>
      </c>
      <c r="AC49" s="65" t="s">
        <v>1265</v>
      </c>
    </row>
    <row r="50" spans="2:29" ht="13.5" thickBot="1">
      <c r="B50" s="10" t="s">
        <v>1261</v>
      </c>
      <c r="D50" s="54"/>
      <c r="E50" s="54" t="s">
        <v>590</v>
      </c>
      <c r="F50" s="7"/>
      <c r="G50" s="8"/>
      <c r="H50" s="7"/>
      <c r="I50" s="30" t="s">
        <v>733</v>
      </c>
      <c r="J50" s="7"/>
      <c r="K50" s="8"/>
      <c r="L50" s="7"/>
      <c r="M50" s="8"/>
      <c r="N50" s="7"/>
      <c r="O50" s="8"/>
      <c r="P50" s="7"/>
      <c r="Q50" s="7"/>
      <c r="R50" s="8"/>
      <c r="S50" s="7"/>
      <c r="T50" s="9"/>
      <c r="U50" s="7"/>
      <c r="V50" s="8"/>
      <c r="W50" s="7"/>
      <c r="X50" s="7"/>
      <c r="Y50" s="8"/>
      <c r="Z50" s="7"/>
      <c r="AA50" s="60"/>
      <c r="AB50" s="65" t="s">
        <v>716</v>
      </c>
      <c r="AC50" s="65" t="s">
        <v>1266</v>
      </c>
    </row>
    <row r="51" spans="2:29" ht="13.5" thickBot="1">
      <c r="B51" s="10" t="s">
        <v>1263</v>
      </c>
      <c r="D51" s="54"/>
      <c r="E51" s="54" t="s">
        <v>551</v>
      </c>
      <c r="F51" s="7"/>
      <c r="G51" s="8"/>
      <c r="H51" s="7"/>
      <c r="I51" s="30" t="s">
        <v>226</v>
      </c>
      <c r="J51" s="7"/>
      <c r="K51" s="8"/>
      <c r="L51" s="7"/>
      <c r="M51" s="8"/>
      <c r="N51" s="7"/>
      <c r="O51" s="8"/>
      <c r="P51" s="7"/>
      <c r="Q51" s="7"/>
      <c r="R51" s="8"/>
      <c r="S51" s="7"/>
      <c r="T51" s="9"/>
      <c r="U51" s="7"/>
      <c r="V51" s="8"/>
      <c r="W51" s="7"/>
      <c r="X51" s="7"/>
      <c r="Y51" s="8"/>
      <c r="Z51" s="7"/>
      <c r="AA51" s="60"/>
      <c r="AB51" s="65" t="s">
        <v>716</v>
      </c>
      <c r="AC51" s="65" t="s">
        <v>1268</v>
      </c>
    </row>
    <row r="52" spans="2:29" ht="13.5" thickBot="1">
      <c r="B52" s="10" t="s">
        <v>250</v>
      </c>
      <c r="C52" s="68"/>
      <c r="D52" s="54"/>
      <c r="E52" s="54" t="s">
        <v>604</v>
      </c>
      <c r="F52" s="7"/>
      <c r="G52" s="8"/>
      <c r="H52" s="7"/>
      <c r="I52" s="30" t="s">
        <v>339</v>
      </c>
      <c r="J52" s="7"/>
      <c r="K52" s="8"/>
      <c r="L52" s="7"/>
      <c r="M52" s="8"/>
      <c r="N52" s="7"/>
      <c r="O52" s="8"/>
      <c r="P52" s="7"/>
      <c r="Q52" s="7"/>
      <c r="R52" s="8"/>
      <c r="S52" s="7"/>
      <c r="T52" s="9"/>
      <c r="U52" s="7"/>
      <c r="V52" s="8"/>
      <c r="W52" s="7"/>
      <c r="X52" s="7"/>
      <c r="Y52" s="8"/>
      <c r="Z52" s="7"/>
      <c r="AA52" s="60"/>
      <c r="AB52" s="65" t="s">
        <v>716</v>
      </c>
      <c r="AC52" s="65" t="s">
        <v>720</v>
      </c>
    </row>
    <row r="53" spans="2:29" ht="14.25" thickTop="1" thickBot="1">
      <c r="B53" s="10" t="s">
        <v>284</v>
      </c>
      <c r="D53" s="54"/>
      <c r="E53" s="54" t="s">
        <v>673</v>
      </c>
      <c r="F53" s="7"/>
      <c r="G53" s="8"/>
      <c r="H53" s="7"/>
      <c r="I53" s="6"/>
      <c r="J53" s="7"/>
      <c r="K53" s="8"/>
      <c r="L53" s="7"/>
      <c r="M53" s="8"/>
      <c r="N53" s="7"/>
      <c r="O53" s="8"/>
      <c r="P53" s="7"/>
      <c r="Q53" s="7"/>
      <c r="R53" s="8"/>
      <c r="S53" s="7"/>
      <c r="T53" s="9"/>
      <c r="U53" s="7"/>
      <c r="V53" s="8"/>
      <c r="W53" s="7"/>
      <c r="X53" s="7"/>
      <c r="Y53" s="8"/>
      <c r="Z53" s="7"/>
      <c r="AA53" s="60"/>
      <c r="AB53" s="65" t="s">
        <v>716</v>
      </c>
      <c r="AC53" s="65" t="s">
        <v>1271</v>
      </c>
    </row>
    <row r="54" spans="2:29" ht="14.25" thickTop="1" thickBot="1">
      <c r="B54" s="10" t="s">
        <v>1267</v>
      </c>
      <c r="D54" s="54"/>
      <c r="E54" s="54" t="s">
        <v>540</v>
      </c>
      <c r="F54" s="7"/>
      <c r="G54" s="8"/>
      <c r="H54" s="7"/>
      <c r="I54" s="6"/>
      <c r="J54" s="7"/>
      <c r="K54" s="8"/>
      <c r="L54" s="7"/>
      <c r="M54" s="8"/>
      <c r="N54" s="7"/>
      <c r="O54" s="8"/>
      <c r="P54" s="7"/>
      <c r="Q54" s="7"/>
      <c r="R54" s="8"/>
      <c r="S54" s="7"/>
      <c r="T54" s="9"/>
      <c r="U54" s="7"/>
      <c r="V54" s="8"/>
      <c r="W54" s="7"/>
      <c r="X54" s="7"/>
      <c r="Y54" s="8"/>
      <c r="Z54" s="7"/>
      <c r="AA54" s="60"/>
      <c r="AB54" s="65" t="s">
        <v>716</v>
      </c>
      <c r="AC54" s="65" t="s">
        <v>1272</v>
      </c>
    </row>
    <row r="55" spans="2:29" ht="14.25" thickTop="1" thickBot="1">
      <c r="B55" s="10" t="s">
        <v>1269</v>
      </c>
      <c r="D55" s="54"/>
      <c r="E55" s="54" t="s">
        <v>542</v>
      </c>
      <c r="F55" s="7"/>
      <c r="G55" s="8"/>
      <c r="H55" s="7"/>
      <c r="I55" s="6"/>
      <c r="J55" s="7"/>
      <c r="K55" s="8"/>
      <c r="L55" s="7"/>
      <c r="M55" s="8"/>
      <c r="N55" s="7"/>
      <c r="O55" s="8"/>
      <c r="P55" s="7"/>
      <c r="Q55" s="7"/>
      <c r="R55" s="8"/>
      <c r="S55" s="7"/>
      <c r="T55" s="9"/>
      <c r="U55" s="7"/>
      <c r="V55" s="8"/>
      <c r="W55" s="7"/>
      <c r="X55" s="7"/>
      <c r="Y55" s="8"/>
      <c r="Z55" s="7"/>
      <c r="AA55" s="60"/>
      <c r="AB55" s="65" t="s">
        <v>716</v>
      </c>
      <c r="AC55" s="65" t="s">
        <v>1273</v>
      </c>
    </row>
    <row r="56" spans="2:29" ht="14.25" thickTop="1" thickBot="1">
      <c r="B56" s="10" t="s">
        <v>249</v>
      </c>
      <c r="D56" s="54"/>
      <c r="E56" s="54" t="s">
        <v>616</v>
      </c>
      <c r="F56" s="7"/>
      <c r="G56" s="8"/>
      <c r="H56" s="7"/>
      <c r="I56" s="6"/>
      <c r="J56" s="7"/>
      <c r="K56" s="8"/>
      <c r="L56" s="7"/>
      <c r="M56" s="8"/>
      <c r="N56" s="7"/>
      <c r="O56" s="8"/>
      <c r="P56" s="7"/>
      <c r="Q56" s="7"/>
      <c r="R56" s="8"/>
      <c r="S56" s="7"/>
      <c r="T56" s="9"/>
      <c r="U56" s="7"/>
      <c r="V56" s="8"/>
      <c r="W56" s="7"/>
      <c r="X56" s="7"/>
      <c r="Y56" s="8"/>
      <c r="Z56" s="7"/>
      <c r="AA56" s="60"/>
      <c r="AB56" s="65" t="s">
        <v>716</v>
      </c>
      <c r="AC56" s="65" t="s">
        <v>1274</v>
      </c>
    </row>
    <row r="57" spans="2:29" ht="14.25" thickTop="1" thickBot="1">
      <c r="B57" s="910" t="s">
        <v>3272</v>
      </c>
      <c r="D57" s="54"/>
      <c r="E57" s="54" t="s">
        <v>618</v>
      </c>
      <c r="F57" s="7"/>
      <c r="G57" s="8"/>
      <c r="H57" s="7"/>
      <c r="I57" s="6"/>
      <c r="J57" s="7"/>
      <c r="K57" s="8"/>
      <c r="L57" s="7"/>
      <c r="M57" s="8"/>
      <c r="N57" s="7"/>
      <c r="O57" s="8"/>
      <c r="P57" s="7"/>
      <c r="Q57" s="7"/>
      <c r="R57" s="8"/>
      <c r="S57" s="7"/>
      <c r="T57" s="9"/>
      <c r="U57" s="7"/>
      <c r="V57" s="8"/>
      <c r="W57" s="7"/>
      <c r="X57" s="7"/>
      <c r="Y57" s="8"/>
      <c r="Z57" s="7"/>
      <c r="AA57" s="60"/>
      <c r="AB57" s="65" t="s">
        <v>716</v>
      </c>
      <c r="AC57" s="65" t="s">
        <v>1275</v>
      </c>
    </row>
    <row r="58" spans="2:29" ht="14.25" thickTop="1" thickBot="1">
      <c r="B58" s="10" t="s">
        <v>299</v>
      </c>
      <c r="D58" s="54"/>
      <c r="E58" s="54" t="s">
        <v>571</v>
      </c>
      <c r="F58" s="7"/>
      <c r="G58" s="8"/>
      <c r="H58" s="7"/>
      <c r="I58" s="6"/>
      <c r="J58" s="7"/>
      <c r="K58" s="8"/>
      <c r="L58" s="7"/>
      <c r="M58" s="8"/>
      <c r="N58" s="7"/>
      <c r="O58" s="8"/>
      <c r="P58" s="7"/>
      <c r="Q58" s="7"/>
      <c r="R58" s="8"/>
      <c r="S58" s="7"/>
      <c r="T58" s="9"/>
      <c r="U58" s="7"/>
      <c r="V58" s="8"/>
      <c r="W58" s="7"/>
      <c r="X58" s="7"/>
      <c r="Y58" s="8"/>
      <c r="Z58" s="7"/>
      <c r="AA58" s="60"/>
      <c r="AB58" s="65" t="s">
        <v>716</v>
      </c>
      <c r="AC58" s="65" t="s">
        <v>1276</v>
      </c>
    </row>
    <row r="59" spans="2:29" ht="14.25" thickTop="1" thickBot="1">
      <c r="B59" s="797" t="s">
        <v>3085</v>
      </c>
      <c r="D59" s="54"/>
      <c r="E59" s="54" t="s">
        <v>601</v>
      </c>
      <c r="F59" s="7"/>
      <c r="G59" s="8"/>
      <c r="H59" s="7"/>
      <c r="I59" s="6"/>
      <c r="J59" s="7"/>
      <c r="K59" s="8"/>
      <c r="L59" s="7"/>
      <c r="M59" s="8"/>
      <c r="N59" s="7"/>
      <c r="O59" s="8"/>
      <c r="P59" s="7"/>
      <c r="Q59" s="7"/>
      <c r="R59" s="8"/>
      <c r="S59" s="7"/>
      <c r="T59" s="9"/>
      <c r="U59" s="7"/>
      <c r="V59" s="8"/>
      <c r="W59" s="7"/>
      <c r="X59" s="7"/>
      <c r="Y59" s="8"/>
      <c r="Z59" s="7"/>
      <c r="AA59" s="60"/>
      <c r="AB59" s="65" t="s">
        <v>716</v>
      </c>
      <c r="AC59" s="65" t="s">
        <v>1277</v>
      </c>
    </row>
    <row r="60" spans="2:29" ht="14.25" thickTop="1" thickBot="1">
      <c r="B60" s="18" t="s">
        <v>1935</v>
      </c>
      <c r="D60" s="54"/>
      <c r="E60" s="54" t="s">
        <v>560</v>
      </c>
      <c r="F60" s="7"/>
      <c r="G60" s="8"/>
      <c r="H60" s="7"/>
      <c r="I60" s="6"/>
      <c r="J60" s="7"/>
      <c r="K60" s="8"/>
      <c r="L60" s="7"/>
      <c r="M60" s="8"/>
      <c r="N60" s="7"/>
      <c r="O60" s="8"/>
      <c r="P60" s="7"/>
      <c r="Q60" s="7"/>
      <c r="R60" s="8"/>
      <c r="S60" s="7"/>
      <c r="T60" s="9"/>
      <c r="U60" s="7"/>
      <c r="V60" s="8"/>
      <c r="W60" s="7"/>
      <c r="X60" s="7"/>
      <c r="Y60" s="8"/>
      <c r="Z60" s="7"/>
      <c r="AA60" s="60"/>
      <c r="AB60" s="65" t="s">
        <v>716</v>
      </c>
      <c r="AC60" s="65" t="s">
        <v>1278</v>
      </c>
    </row>
    <row r="61" spans="2:29" ht="14.25" thickTop="1" thickBot="1">
      <c r="B61" s="10"/>
      <c r="D61" s="54"/>
      <c r="E61" s="54" t="s">
        <v>961</v>
      </c>
      <c r="F61" s="7"/>
      <c r="G61" s="8"/>
      <c r="H61" s="7"/>
      <c r="I61" s="6"/>
      <c r="J61" s="7"/>
      <c r="K61" s="8"/>
      <c r="L61" s="7"/>
      <c r="M61" s="8"/>
      <c r="N61" s="7"/>
      <c r="O61" s="8"/>
      <c r="P61" s="7"/>
      <c r="Q61" s="7"/>
      <c r="R61" s="8"/>
      <c r="S61" s="7"/>
      <c r="T61" s="9"/>
      <c r="U61" s="7"/>
      <c r="V61" s="8"/>
      <c r="W61" s="7"/>
      <c r="X61" s="7"/>
      <c r="Y61" s="8"/>
      <c r="Z61" s="7"/>
      <c r="AA61" s="60"/>
      <c r="AB61" s="65" t="s">
        <v>716</v>
      </c>
      <c r="AC61" s="65" t="s">
        <v>1279</v>
      </c>
    </row>
    <row r="62" spans="2:29" ht="14.25" thickTop="1" thickBot="1">
      <c r="B62" s="10"/>
      <c r="D62" s="54"/>
      <c r="E62" s="54" t="s">
        <v>595</v>
      </c>
      <c r="F62" s="7"/>
      <c r="G62" s="8"/>
      <c r="H62" s="7"/>
      <c r="I62" s="6"/>
      <c r="J62" s="7"/>
      <c r="K62" s="8"/>
      <c r="L62" s="7"/>
      <c r="M62" s="8"/>
      <c r="N62" s="7"/>
      <c r="O62" s="8"/>
      <c r="P62" s="7"/>
      <c r="Q62" s="7"/>
      <c r="R62" s="8"/>
      <c r="S62" s="7"/>
      <c r="T62" s="9"/>
      <c r="U62" s="7"/>
      <c r="V62" s="8"/>
      <c r="W62" s="7"/>
      <c r="X62" s="7"/>
      <c r="Y62" s="8"/>
      <c r="Z62" s="7"/>
      <c r="AA62" s="60"/>
      <c r="AB62" s="65" t="s">
        <v>716</v>
      </c>
      <c r="AC62" s="65" t="s">
        <v>723</v>
      </c>
    </row>
    <row r="63" spans="2:29" ht="14.25" thickTop="1" thickBot="1">
      <c r="B63" s="10"/>
      <c r="D63" s="54"/>
      <c r="E63" s="54" t="s">
        <v>594</v>
      </c>
      <c r="F63" s="7"/>
      <c r="G63" s="8"/>
      <c r="H63" s="7"/>
      <c r="I63" s="6"/>
      <c r="J63" s="7"/>
      <c r="K63" s="8"/>
      <c r="L63" s="7"/>
      <c r="M63" s="8"/>
      <c r="N63" s="7"/>
      <c r="O63" s="8"/>
      <c r="P63" s="7"/>
      <c r="Q63" s="7"/>
      <c r="R63" s="8"/>
      <c r="S63" s="7"/>
      <c r="T63" s="9"/>
      <c r="U63" s="7"/>
      <c r="V63" s="8"/>
      <c r="W63" s="7"/>
      <c r="X63" s="7"/>
      <c r="Y63" s="8"/>
      <c r="Z63" s="7"/>
      <c r="AA63" s="60"/>
      <c r="AB63" s="65" t="s">
        <v>716</v>
      </c>
      <c r="AC63" s="65" t="s">
        <v>1280</v>
      </c>
    </row>
    <row r="64" spans="2:29" ht="14.25" thickTop="1" thickBot="1">
      <c r="B64" s="10"/>
      <c r="D64" s="54"/>
      <c r="E64" s="54" t="s">
        <v>543</v>
      </c>
      <c r="F64" s="7"/>
      <c r="G64" s="8"/>
      <c r="H64" s="7"/>
      <c r="I64" s="6"/>
      <c r="J64" s="7"/>
      <c r="K64" s="8"/>
      <c r="L64" s="7"/>
      <c r="M64" s="8"/>
      <c r="N64" s="7"/>
      <c r="O64" s="8"/>
      <c r="P64" s="7"/>
      <c r="Q64" s="7"/>
      <c r="R64" s="8"/>
      <c r="S64" s="7"/>
      <c r="T64" s="9"/>
      <c r="U64" s="7"/>
      <c r="V64" s="8"/>
      <c r="W64" s="7"/>
      <c r="X64" s="7"/>
      <c r="Y64" s="8"/>
      <c r="Z64" s="7"/>
      <c r="AA64" s="60"/>
      <c r="AB64" s="65" t="s">
        <v>716</v>
      </c>
      <c r="AC64" s="65" t="s">
        <v>1281</v>
      </c>
    </row>
    <row r="65" spans="2:29" ht="14.25" thickTop="1" thickBot="1">
      <c r="B65" s="10"/>
      <c r="D65" s="54"/>
      <c r="E65" s="54" t="s">
        <v>548</v>
      </c>
      <c r="F65" s="7"/>
      <c r="G65" s="8"/>
      <c r="H65" s="7"/>
      <c r="I65" s="6"/>
      <c r="J65" s="7"/>
      <c r="K65" s="8"/>
      <c r="L65" s="7"/>
      <c r="M65" s="8"/>
      <c r="N65" s="7"/>
      <c r="O65" s="8"/>
      <c r="P65" s="7"/>
      <c r="Q65" s="7"/>
      <c r="R65" s="8"/>
      <c r="S65" s="7"/>
      <c r="T65" s="9"/>
      <c r="U65" s="7"/>
      <c r="V65" s="8"/>
      <c r="W65" s="7"/>
      <c r="X65" s="7"/>
      <c r="Y65" s="8"/>
      <c r="Z65" s="7"/>
      <c r="AA65" s="60"/>
      <c r="AB65" s="65" t="s">
        <v>716</v>
      </c>
      <c r="AC65" s="65" t="s">
        <v>1282</v>
      </c>
    </row>
    <row r="66" spans="2:29" ht="14.25" thickTop="1" thickBot="1">
      <c r="B66" s="10"/>
      <c r="D66" s="54"/>
      <c r="E66" s="54" t="s">
        <v>606</v>
      </c>
      <c r="F66" s="7"/>
      <c r="G66" s="8"/>
      <c r="H66" s="7"/>
      <c r="I66" s="6"/>
      <c r="J66" s="7"/>
      <c r="K66" s="8"/>
      <c r="L66" s="7"/>
      <c r="M66" s="8"/>
      <c r="N66" s="7"/>
      <c r="O66" s="8"/>
      <c r="P66" s="7"/>
      <c r="Q66" s="7"/>
      <c r="R66" s="8"/>
      <c r="S66" s="7"/>
      <c r="T66" s="9"/>
      <c r="U66" s="7"/>
      <c r="V66" s="8"/>
      <c r="W66" s="7"/>
      <c r="X66" s="7"/>
      <c r="Y66" s="8"/>
      <c r="Z66" s="7"/>
      <c r="AA66" s="60"/>
      <c r="AB66" s="65" t="s">
        <v>716</v>
      </c>
      <c r="AC66" s="65" t="s">
        <v>1283</v>
      </c>
    </row>
    <row r="67" spans="2:29" ht="14.25" thickTop="1" thickBot="1">
      <c r="B67" s="10"/>
      <c r="D67" s="54"/>
      <c r="E67" s="54" t="s">
        <v>368</v>
      </c>
      <c r="F67" s="7"/>
      <c r="G67" s="8"/>
      <c r="H67" s="7"/>
      <c r="I67" s="6"/>
      <c r="J67" s="7"/>
      <c r="K67" s="8"/>
      <c r="L67" s="7"/>
      <c r="M67" s="8"/>
      <c r="N67" s="7"/>
      <c r="O67" s="8"/>
      <c r="P67" s="7"/>
      <c r="Q67" s="7"/>
      <c r="R67" s="8"/>
      <c r="S67" s="7"/>
      <c r="T67" s="9"/>
      <c r="U67" s="7"/>
      <c r="V67" s="8"/>
      <c r="W67" s="7"/>
      <c r="X67" s="7"/>
      <c r="Y67" s="8"/>
      <c r="Z67" s="7"/>
      <c r="AA67" s="60"/>
      <c r="AB67" s="65" t="s">
        <v>716</v>
      </c>
      <c r="AC67" s="65" t="s">
        <v>726</v>
      </c>
    </row>
    <row r="68" spans="2:29" ht="14.25" thickTop="1" thickBot="1">
      <c r="B68" s="10"/>
      <c r="D68" s="54"/>
      <c r="E68" s="54" t="s">
        <v>588</v>
      </c>
      <c r="F68" s="7"/>
      <c r="G68" s="8"/>
      <c r="H68" s="7"/>
      <c r="I68" s="6"/>
      <c r="J68" s="7"/>
      <c r="K68" s="8"/>
      <c r="L68" s="7"/>
      <c r="M68" s="8"/>
      <c r="N68" s="7"/>
      <c r="O68" s="8"/>
      <c r="P68" s="7"/>
      <c r="Q68" s="7"/>
      <c r="R68" s="8"/>
      <c r="S68" s="7"/>
      <c r="T68" s="9"/>
      <c r="U68" s="7"/>
      <c r="V68" s="8"/>
      <c r="W68" s="7"/>
      <c r="X68" s="7"/>
      <c r="Y68" s="8"/>
      <c r="Z68" s="7"/>
      <c r="AA68" s="60"/>
      <c r="AB68" s="65" t="s">
        <v>716</v>
      </c>
      <c r="AC68" s="65" t="s">
        <v>1284</v>
      </c>
    </row>
    <row r="69" spans="2:29" ht="14.25" thickTop="1" thickBot="1">
      <c r="B69" s="10"/>
      <c r="D69" s="69"/>
      <c r="E69" s="54" t="s">
        <v>657</v>
      </c>
      <c r="F69" s="7"/>
      <c r="G69" s="8"/>
      <c r="H69" s="7"/>
      <c r="I69" s="6"/>
      <c r="J69" s="7"/>
      <c r="K69" s="8"/>
      <c r="L69" s="7"/>
      <c r="M69" s="8"/>
      <c r="N69" s="7"/>
      <c r="O69" s="8"/>
      <c r="P69" s="7"/>
      <c r="Q69" s="7"/>
      <c r="R69" s="8"/>
      <c r="S69" s="7"/>
      <c r="T69" s="9"/>
      <c r="U69" s="7"/>
      <c r="V69" s="8"/>
      <c r="W69" s="7"/>
      <c r="X69" s="7"/>
      <c r="Y69" s="8"/>
      <c r="Z69" s="7"/>
      <c r="AA69" s="60"/>
      <c r="AB69" s="65" t="s">
        <v>716</v>
      </c>
      <c r="AC69" s="65" t="s">
        <v>717</v>
      </c>
    </row>
    <row r="70" spans="2:29" ht="14.25" thickTop="1" thickBot="1">
      <c r="B70" s="10"/>
      <c r="D70" s="69"/>
      <c r="E70" s="54" t="s">
        <v>935</v>
      </c>
      <c r="F70" s="7"/>
      <c r="G70" s="8"/>
      <c r="H70" s="7"/>
      <c r="I70" s="6"/>
      <c r="J70" s="7"/>
      <c r="K70" s="8"/>
      <c r="L70" s="7"/>
      <c r="M70" s="8"/>
      <c r="N70" s="7"/>
      <c r="O70" s="8"/>
      <c r="P70" s="7"/>
      <c r="Q70" s="7"/>
      <c r="R70" s="8"/>
      <c r="S70" s="7"/>
      <c r="T70" s="9"/>
      <c r="U70" s="7"/>
      <c r="V70" s="8"/>
      <c r="W70" s="7"/>
      <c r="X70" s="7"/>
      <c r="Y70" s="8"/>
      <c r="Z70" s="7"/>
      <c r="AA70" s="60"/>
      <c r="AB70" s="65" t="s">
        <v>716</v>
      </c>
      <c r="AC70" s="65" t="s">
        <v>1285</v>
      </c>
    </row>
    <row r="71" spans="2:29" ht="14.25" thickTop="1" thickBot="1">
      <c r="B71" s="10"/>
      <c r="D71" s="69"/>
      <c r="E71" s="54" t="s">
        <v>685</v>
      </c>
      <c r="F71" s="7"/>
      <c r="G71" s="8"/>
      <c r="H71" s="7"/>
      <c r="I71" s="6"/>
      <c r="J71" s="7"/>
      <c r="K71" s="8"/>
      <c r="L71" s="7"/>
      <c r="M71" s="8"/>
      <c r="N71" s="7"/>
      <c r="O71" s="8"/>
      <c r="P71" s="7"/>
      <c r="Q71" s="7"/>
      <c r="R71" s="8"/>
      <c r="S71" s="7"/>
      <c r="T71" s="9"/>
      <c r="U71" s="7"/>
      <c r="V71" s="8"/>
      <c r="W71" s="7"/>
      <c r="X71" s="7"/>
      <c r="Y71" s="8"/>
      <c r="Z71" s="7"/>
      <c r="AA71" s="60"/>
      <c r="AB71" s="65" t="s">
        <v>716</v>
      </c>
      <c r="AC71" s="65" t="s">
        <v>737</v>
      </c>
    </row>
    <row r="72" spans="2:29" ht="14.25" thickTop="1" thickBot="1">
      <c r="B72" s="10"/>
      <c r="D72" s="69"/>
      <c r="E72" s="54" t="s">
        <v>593</v>
      </c>
      <c r="F72" s="7"/>
      <c r="G72" s="8"/>
      <c r="H72" s="7"/>
      <c r="I72" s="6"/>
      <c r="J72" s="7"/>
      <c r="K72" s="8"/>
      <c r="L72" s="7"/>
      <c r="M72" s="8"/>
      <c r="N72" s="7"/>
      <c r="O72" s="8"/>
      <c r="P72" s="7"/>
      <c r="Q72" s="7"/>
      <c r="R72" s="8"/>
      <c r="S72" s="7"/>
      <c r="T72" s="9"/>
      <c r="U72" s="7"/>
      <c r="V72" s="8"/>
      <c r="W72" s="7"/>
      <c r="X72" s="7"/>
      <c r="Y72" s="8"/>
      <c r="Z72" s="7"/>
      <c r="AA72" s="60"/>
      <c r="AB72" s="65" t="s">
        <v>716</v>
      </c>
      <c r="AC72" s="65" t="s">
        <v>1286</v>
      </c>
    </row>
    <row r="73" spans="2:29" ht="14.25" thickTop="1" thickBot="1">
      <c r="B73" s="10"/>
      <c r="D73" s="69"/>
      <c r="E73" s="54" t="s">
        <v>378</v>
      </c>
      <c r="F73" s="7"/>
      <c r="G73" s="8"/>
      <c r="H73" s="7"/>
      <c r="I73" s="6"/>
      <c r="J73" s="7"/>
      <c r="K73" s="8"/>
      <c r="L73" s="7"/>
      <c r="M73" s="8"/>
      <c r="N73" s="7"/>
      <c r="O73" s="8"/>
      <c r="P73" s="7"/>
      <c r="Q73" s="7"/>
      <c r="R73" s="8"/>
      <c r="S73" s="7"/>
      <c r="T73" s="9"/>
      <c r="U73" s="7"/>
      <c r="V73" s="8"/>
      <c r="W73" s="7"/>
      <c r="X73" s="7"/>
      <c r="Y73" s="8"/>
      <c r="Z73" s="7"/>
      <c r="AA73" s="60"/>
      <c r="AB73" s="65" t="s">
        <v>716</v>
      </c>
      <c r="AC73" s="65" t="s">
        <v>1287</v>
      </c>
    </row>
    <row r="74" spans="2:29" ht="14.25" thickTop="1" thickBot="1">
      <c r="B74" s="10"/>
      <c r="D74" s="69"/>
      <c r="E74" s="54" t="s">
        <v>380</v>
      </c>
      <c r="F74" s="7"/>
      <c r="G74" s="8"/>
      <c r="H74" s="7"/>
      <c r="I74" s="6"/>
      <c r="J74" s="7"/>
      <c r="K74" s="8"/>
      <c r="L74" s="7"/>
      <c r="M74" s="8"/>
      <c r="N74" s="7"/>
      <c r="O74" s="8"/>
      <c r="P74" s="7"/>
      <c r="Q74" s="7"/>
      <c r="R74" s="8"/>
      <c r="S74" s="7"/>
      <c r="T74" s="9"/>
      <c r="U74" s="7"/>
      <c r="V74" s="8"/>
      <c r="W74" s="7"/>
      <c r="X74" s="7"/>
      <c r="Y74" s="8"/>
      <c r="Z74" s="7"/>
      <c r="AA74" s="60"/>
      <c r="AB74" s="65" t="s">
        <v>716</v>
      </c>
      <c r="AC74" s="65" t="s">
        <v>1288</v>
      </c>
    </row>
    <row r="75" spans="2:29" ht="14.25" thickTop="1" thickBot="1">
      <c r="B75" s="10"/>
      <c r="D75" s="69"/>
      <c r="E75" s="54" t="s">
        <v>385</v>
      </c>
      <c r="F75" s="7"/>
      <c r="G75" s="8"/>
      <c r="H75" s="7"/>
      <c r="I75" s="6"/>
      <c r="J75" s="7"/>
      <c r="K75" s="8"/>
      <c r="L75" s="7"/>
      <c r="M75" s="8"/>
      <c r="N75" s="7"/>
      <c r="O75" s="8"/>
      <c r="P75" s="7"/>
      <c r="Q75" s="7"/>
      <c r="R75" s="8"/>
      <c r="S75" s="7"/>
      <c r="T75" s="9"/>
      <c r="U75" s="7"/>
      <c r="V75" s="8"/>
      <c r="W75" s="7"/>
      <c r="X75" s="7"/>
      <c r="Y75" s="8"/>
      <c r="Z75" s="7"/>
      <c r="AA75" s="60"/>
      <c r="AB75" s="65" t="s">
        <v>716</v>
      </c>
      <c r="AC75" s="65" t="s">
        <v>1289</v>
      </c>
    </row>
    <row r="76" spans="2:29" ht="14.25" thickTop="1" thickBot="1">
      <c r="B76" s="10"/>
      <c r="D76" s="69"/>
      <c r="E76" s="54" t="s">
        <v>377</v>
      </c>
      <c r="F76" s="7"/>
      <c r="G76" s="8"/>
      <c r="H76" s="7"/>
      <c r="I76" s="6"/>
      <c r="J76" s="7"/>
      <c r="K76" s="8"/>
      <c r="L76" s="7"/>
      <c r="M76" s="8"/>
      <c r="N76" s="7"/>
      <c r="O76" s="8"/>
      <c r="P76" s="7"/>
      <c r="Q76" s="7"/>
      <c r="R76" s="8"/>
      <c r="S76" s="7"/>
      <c r="T76" s="9"/>
      <c r="U76" s="7"/>
      <c r="V76" s="8"/>
      <c r="W76" s="7"/>
      <c r="X76" s="7"/>
      <c r="Y76" s="8"/>
      <c r="Z76" s="7"/>
      <c r="AA76" s="60"/>
      <c r="AB76" s="65" t="s">
        <v>716</v>
      </c>
      <c r="AC76" s="65" t="s">
        <v>1290</v>
      </c>
    </row>
    <row r="77" spans="2:29" ht="14.25" thickTop="1" thickBot="1">
      <c r="B77" s="10"/>
      <c r="D77" s="69"/>
      <c r="E77" s="54" t="s">
        <v>815</v>
      </c>
      <c r="F77" s="7"/>
      <c r="G77" s="8"/>
      <c r="H77" s="7"/>
      <c r="I77" s="6"/>
      <c r="J77" s="7"/>
      <c r="K77" s="8"/>
      <c r="L77" s="7"/>
      <c r="M77" s="8"/>
      <c r="N77" s="7"/>
      <c r="O77" s="8"/>
      <c r="P77" s="7"/>
      <c r="Q77" s="7"/>
      <c r="R77" s="8"/>
      <c r="S77" s="7"/>
      <c r="T77" s="9"/>
      <c r="U77" s="7"/>
      <c r="V77" s="8"/>
      <c r="W77" s="7"/>
      <c r="X77" s="7"/>
      <c r="Y77" s="8"/>
      <c r="Z77" s="7"/>
      <c r="AA77" s="60"/>
      <c r="AB77" s="65" t="s">
        <v>716</v>
      </c>
      <c r="AC77" s="65" t="s">
        <v>1291</v>
      </c>
    </row>
    <row r="78" spans="2:29" ht="14.25" thickTop="1" thickBot="1">
      <c r="B78" s="10"/>
      <c r="D78" s="69"/>
      <c r="E78" s="54" t="s">
        <v>814</v>
      </c>
      <c r="F78" s="7"/>
      <c r="G78" s="8"/>
      <c r="H78" s="7"/>
      <c r="I78" s="6"/>
      <c r="J78" s="7"/>
      <c r="K78" s="8"/>
      <c r="L78" s="7"/>
      <c r="M78" s="8"/>
      <c r="N78" s="7"/>
      <c r="O78" s="8"/>
      <c r="P78" s="7"/>
      <c r="Q78" s="7"/>
      <c r="R78" s="8"/>
      <c r="S78" s="7"/>
      <c r="T78" s="9"/>
      <c r="U78" s="7"/>
      <c r="V78" s="8"/>
      <c r="W78" s="7"/>
      <c r="X78" s="7"/>
      <c r="Y78" s="8"/>
      <c r="Z78" s="7"/>
      <c r="AA78" s="60"/>
      <c r="AB78" s="65" t="s">
        <v>716</v>
      </c>
      <c r="AC78" s="65" t="s">
        <v>1292</v>
      </c>
    </row>
    <row r="79" spans="2:29" ht="14.25" thickTop="1" thickBot="1">
      <c r="B79" s="10"/>
      <c r="D79" s="69"/>
      <c r="E79" s="54" t="s">
        <v>382</v>
      </c>
      <c r="F79" s="7"/>
      <c r="G79" s="8"/>
      <c r="H79" s="7"/>
      <c r="I79" s="6"/>
      <c r="J79" s="7"/>
      <c r="K79" s="8"/>
      <c r="L79" s="7"/>
      <c r="M79" s="8"/>
      <c r="N79" s="7"/>
      <c r="O79" s="8"/>
      <c r="P79" s="7"/>
      <c r="Q79" s="7"/>
      <c r="R79" s="8"/>
      <c r="S79" s="7"/>
      <c r="T79" s="9"/>
      <c r="U79" s="7"/>
      <c r="V79" s="8"/>
      <c r="W79" s="7"/>
      <c r="X79" s="7"/>
      <c r="Y79" s="8"/>
      <c r="Z79" s="7"/>
      <c r="AA79" s="60"/>
      <c r="AB79" s="65" t="s">
        <v>716</v>
      </c>
      <c r="AC79" s="65" t="s">
        <v>1293</v>
      </c>
    </row>
    <row r="80" spans="2:29" ht="14.25" thickTop="1" thickBot="1">
      <c r="B80" s="10"/>
      <c r="D80" s="69"/>
      <c r="E80" s="54" t="s">
        <v>379</v>
      </c>
      <c r="F80" s="7"/>
      <c r="G80" s="8"/>
      <c r="H80" s="7"/>
      <c r="I80" s="6"/>
      <c r="J80" s="7"/>
      <c r="K80" s="8"/>
      <c r="L80" s="7"/>
      <c r="M80" s="8"/>
      <c r="N80" s="7"/>
      <c r="O80" s="8"/>
      <c r="P80" s="7"/>
      <c r="Q80" s="7"/>
      <c r="R80" s="8"/>
      <c r="S80" s="7"/>
      <c r="T80" s="9"/>
      <c r="U80" s="7"/>
      <c r="V80" s="8"/>
      <c r="W80" s="7"/>
      <c r="X80" s="7"/>
      <c r="Y80" s="8"/>
      <c r="Z80" s="7"/>
      <c r="AA80" s="60"/>
      <c r="AB80" s="65" t="s">
        <v>716</v>
      </c>
      <c r="AC80" s="65" t="s">
        <v>1294</v>
      </c>
    </row>
    <row r="81" spans="2:29" ht="14.25" thickTop="1" thickBot="1">
      <c r="B81" s="10"/>
      <c r="D81" s="69"/>
      <c r="E81" s="54" t="s">
        <v>381</v>
      </c>
      <c r="F81" s="7"/>
      <c r="G81" s="8"/>
      <c r="H81" s="7"/>
      <c r="I81" s="6"/>
      <c r="J81" s="7"/>
      <c r="K81" s="8"/>
      <c r="L81" s="7"/>
      <c r="M81" s="8"/>
      <c r="N81" s="7"/>
      <c r="O81" s="8"/>
      <c r="P81" s="7"/>
      <c r="Q81" s="7"/>
      <c r="R81" s="8"/>
      <c r="S81" s="7"/>
      <c r="T81" s="9"/>
      <c r="U81" s="7"/>
      <c r="V81" s="8"/>
      <c r="W81" s="7"/>
      <c r="X81" s="7"/>
      <c r="Y81" s="8"/>
      <c r="Z81" s="7"/>
      <c r="AA81" s="60"/>
      <c r="AB81" s="65" t="s">
        <v>716</v>
      </c>
      <c r="AC81" s="65" t="s">
        <v>1295</v>
      </c>
    </row>
    <row r="82" spans="2:29" ht="14.25" thickTop="1" thickBot="1">
      <c r="B82" s="10"/>
      <c r="D82" s="69"/>
      <c r="E82" s="54" t="s">
        <v>383</v>
      </c>
      <c r="F82" s="7"/>
      <c r="G82" s="8"/>
      <c r="H82" s="7"/>
      <c r="I82" s="6"/>
      <c r="J82" s="7"/>
      <c r="K82" s="8"/>
      <c r="L82" s="7"/>
      <c r="M82" s="8"/>
      <c r="N82" s="7"/>
      <c r="O82" s="8"/>
      <c r="P82" s="7"/>
      <c r="Q82" s="7"/>
      <c r="R82" s="8"/>
      <c r="S82" s="7"/>
      <c r="T82" s="9"/>
      <c r="U82" s="7"/>
      <c r="V82" s="8"/>
      <c r="W82" s="7"/>
      <c r="X82" s="7"/>
      <c r="Y82" s="8"/>
      <c r="Z82" s="7"/>
      <c r="AA82" s="60"/>
      <c r="AB82" s="65" t="s">
        <v>716</v>
      </c>
      <c r="AC82" s="65" t="s">
        <v>1296</v>
      </c>
    </row>
    <row r="83" spans="2:29" ht="14.25" thickTop="1" thickBot="1">
      <c r="B83" s="10"/>
      <c r="D83" s="69"/>
      <c r="E83" s="54" t="s">
        <v>376</v>
      </c>
      <c r="F83" s="7"/>
      <c r="G83" s="8"/>
      <c r="H83" s="7"/>
      <c r="I83" s="6"/>
      <c r="J83" s="7"/>
      <c r="K83" s="8"/>
      <c r="L83" s="7"/>
      <c r="M83" s="8"/>
      <c r="N83" s="7"/>
      <c r="O83" s="8"/>
      <c r="P83" s="7"/>
      <c r="Q83" s="7"/>
      <c r="R83" s="8"/>
      <c r="S83" s="7"/>
      <c r="T83" s="9"/>
      <c r="U83" s="7"/>
      <c r="V83" s="8"/>
      <c r="W83" s="7"/>
      <c r="X83" s="7"/>
      <c r="Y83" s="8"/>
      <c r="Z83" s="7"/>
      <c r="AA83" s="60"/>
      <c r="AB83" s="67" t="s">
        <v>716</v>
      </c>
      <c r="AC83" s="67" t="s">
        <v>1297</v>
      </c>
    </row>
    <row r="84" spans="2:29" ht="14.25" thickTop="1" thickBot="1">
      <c r="B84" s="10"/>
      <c r="D84" s="69"/>
      <c r="E84" s="54" t="s">
        <v>963</v>
      </c>
      <c r="F84" s="7"/>
      <c r="G84" s="8"/>
      <c r="H84" s="7"/>
      <c r="I84" s="6"/>
      <c r="J84" s="7"/>
      <c r="K84" s="8"/>
      <c r="L84" s="7"/>
      <c r="M84" s="8"/>
      <c r="N84" s="7"/>
      <c r="O84" s="8"/>
      <c r="P84" s="7"/>
      <c r="Q84" s="7"/>
      <c r="R84" s="8"/>
      <c r="S84" s="7"/>
      <c r="T84" s="9"/>
      <c r="U84" s="7"/>
      <c r="V84" s="8"/>
      <c r="W84" s="7"/>
      <c r="X84" s="7"/>
      <c r="Y84" s="8"/>
      <c r="Z84" s="7"/>
      <c r="AA84" s="8"/>
    </row>
    <row r="85" spans="2:29" ht="14.25" thickTop="1" thickBot="1">
      <c r="B85" s="10"/>
      <c r="D85" s="69"/>
      <c r="E85" s="54" t="s">
        <v>962</v>
      </c>
      <c r="F85" s="7"/>
      <c r="G85" s="8"/>
      <c r="H85" s="7"/>
      <c r="I85" s="6"/>
      <c r="J85" s="7"/>
      <c r="K85" s="8"/>
      <c r="L85" s="7"/>
      <c r="M85" s="8"/>
      <c r="N85" s="7"/>
      <c r="O85" s="8"/>
      <c r="P85" s="7"/>
      <c r="Q85" s="7"/>
      <c r="R85" s="8"/>
      <c r="S85" s="7"/>
      <c r="T85" s="9"/>
      <c r="U85" s="7"/>
      <c r="V85" s="8"/>
      <c r="W85" s="7"/>
      <c r="X85" s="7"/>
      <c r="Y85" s="8"/>
      <c r="Z85" s="7"/>
      <c r="AA85" s="8"/>
    </row>
    <row r="86" spans="2:29" ht="14.25" thickTop="1" thickBot="1">
      <c r="B86" s="10"/>
      <c r="D86" s="69"/>
      <c r="E86" s="54" t="s">
        <v>584</v>
      </c>
      <c r="F86" s="7"/>
      <c r="G86" s="8"/>
      <c r="H86" s="7"/>
      <c r="I86" s="6"/>
      <c r="J86" s="7"/>
      <c r="K86" s="8"/>
      <c r="L86" s="7"/>
      <c r="M86" s="8"/>
      <c r="N86" s="7"/>
      <c r="O86" s="8"/>
      <c r="P86" s="7"/>
      <c r="Q86" s="7"/>
      <c r="R86" s="8"/>
      <c r="S86" s="7"/>
      <c r="T86" s="9"/>
      <c r="U86" s="7"/>
      <c r="V86" s="8"/>
      <c r="W86" s="7"/>
      <c r="X86" s="7"/>
      <c r="Y86" s="8"/>
      <c r="Z86" s="7"/>
      <c r="AA86" s="8"/>
    </row>
    <row r="87" spans="2:29" ht="14.25" thickTop="1" thickBot="1">
      <c r="B87" s="10"/>
      <c r="D87" s="69"/>
      <c r="E87" s="54" t="s">
        <v>570</v>
      </c>
      <c r="F87" s="7"/>
      <c r="G87" s="8"/>
      <c r="H87" s="7"/>
      <c r="I87" s="6"/>
      <c r="J87" s="7"/>
      <c r="K87" s="8"/>
      <c r="L87" s="7"/>
      <c r="M87" s="8"/>
      <c r="N87" s="7"/>
      <c r="O87" s="8"/>
      <c r="P87" s="7"/>
      <c r="Q87" s="7"/>
      <c r="R87" s="8"/>
      <c r="S87" s="7"/>
      <c r="T87" s="9"/>
      <c r="U87" s="7"/>
      <c r="V87" s="8"/>
      <c r="W87" s="7"/>
      <c r="X87" s="7"/>
      <c r="Y87" s="8"/>
      <c r="Z87" s="7"/>
      <c r="AA87" s="8"/>
    </row>
    <row r="88" spans="2:29" ht="14.25" thickTop="1" thickBot="1">
      <c r="B88" s="10"/>
      <c r="D88" s="69"/>
      <c r="E88" s="54" t="s">
        <v>574</v>
      </c>
      <c r="F88" s="7"/>
      <c r="G88" s="8"/>
      <c r="H88" s="7"/>
      <c r="I88" s="6"/>
      <c r="J88" s="7"/>
      <c r="K88" s="8"/>
      <c r="L88" s="7"/>
      <c r="M88" s="8"/>
      <c r="N88" s="7"/>
      <c r="O88" s="8"/>
      <c r="P88" s="7"/>
      <c r="Q88" s="7"/>
      <c r="R88" s="8"/>
      <c r="S88" s="7"/>
      <c r="T88" s="9"/>
      <c r="U88" s="7"/>
      <c r="V88" s="8"/>
      <c r="W88" s="7"/>
      <c r="X88" s="7"/>
      <c r="Y88" s="8"/>
      <c r="Z88" s="7"/>
      <c r="AA88" s="8"/>
    </row>
    <row r="89" spans="2:29" ht="14.25" thickTop="1" thickBot="1">
      <c r="B89" s="10"/>
      <c r="D89" s="69"/>
      <c r="E89" s="54" t="s">
        <v>625</v>
      </c>
      <c r="F89" s="7"/>
      <c r="G89" s="8"/>
      <c r="H89" s="7"/>
      <c r="I89" s="6"/>
      <c r="J89" s="7"/>
      <c r="K89" s="8"/>
      <c r="L89" s="7"/>
      <c r="M89" s="8"/>
      <c r="N89" s="7"/>
      <c r="O89" s="8"/>
      <c r="P89" s="7"/>
      <c r="Q89" s="7"/>
      <c r="R89" s="8"/>
      <c r="S89" s="7"/>
      <c r="T89" s="9"/>
      <c r="U89" s="7"/>
      <c r="V89" s="8"/>
      <c r="W89" s="7"/>
      <c r="X89" s="7"/>
      <c r="Y89" s="8"/>
      <c r="Z89" s="7"/>
      <c r="AA89" s="8"/>
    </row>
    <row r="90" spans="2:29" ht="14.25" thickTop="1" thickBot="1">
      <c r="B90" s="10"/>
      <c r="D90" s="69"/>
      <c r="E90" s="54" t="s">
        <v>942</v>
      </c>
      <c r="F90" s="7"/>
      <c r="G90" s="8"/>
      <c r="H90" s="7"/>
      <c r="I90" s="6"/>
      <c r="J90" s="7"/>
      <c r="K90" s="8"/>
      <c r="L90" s="7"/>
      <c r="M90" s="8"/>
      <c r="N90" s="7"/>
      <c r="O90" s="8"/>
      <c r="P90" s="7"/>
      <c r="Q90" s="7"/>
      <c r="R90" s="8"/>
      <c r="S90" s="7"/>
      <c r="T90" s="9"/>
      <c r="U90" s="7"/>
      <c r="V90" s="8"/>
      <c r="W90" s="7"/>
      <c r="X90" s="7"/>
      <c r="Y90" s="8"/>
      <c r="Z90" s="7"/>
      <c r="AA90" s="8"/>
    </row>
    <row r="91" spans="2:29" ht="14.25" thickTop="1" thickBot="1">
      <c r="B91" s="10"/>
      <c r="D91" s="69"/>
      <c r="E91" s="54" t="s">
        <v>663</v>
      </c>
      <c r="F91" s="7"/>
      <c r="G91" s="8"/>
      <c r="H91" s="7"/>
      <c r="I91" s="6"/>
      <c r="J91" s="7"/>
      <c r="K91" s="8"/>
      <c r="L91" s="7"/>
      <c r="M91" s="8"/>
      <c r="N91" s="7"/>
      <c r="O91" s="8"/>
      <c r="P91" s="7"/>
      <c r="Q91" s="7"/>
      <c r="R91" s="8"/>
      <c r="S91" s="7"/>
      <c r="T91" s="9"/>
      <c r="U91" s="7"/>
      <c r="V91" s="8"/>
      <c r="W91" s="7"/>
      <c r="X91" s="7"/>
      <c r="Y91" s="8"/>
      <c r="Z91" s="7"/>
      <c r="AA91" s="8"/>
    </row>
    <row r="92" spans="2:29" ht="14.25" thickTop="1" thickBot="1">
      <c r="B92" s="10"/>
      <c r="D92" s="69"/>
      <c r="E92" s="54" t="s">
        <v>934</v>
      </c>
      <c r="F92" s="7"/>
      <c r="G92" s="8"/>
      <c r="H92" s="7"/>
      <c r="I92" s="6"/>
      <c r="J92" s="7"/>
      <c r="K92" s="8"/>
      <c r="L92" s="7"/>
      <c r="M92" s="8"/>
      <c r="N92" s="7"/>
      <c r="O92" s="8"/>
      <c r="P92" s="7"/>
      <c r="Q92" s="7"/>
      <c r="R92" s="8"/>
      <c r="S92" s="7"/>
      <c r="T92" s="9"/>
      <c r="U92" s="7"/>
      <c r="V92" s="8"/>
      <c r="W92" s="7"/>
      <c r="X92" s="7"/>
      <c r="Y92" s="8"/>
      <c r="Z92" s="7"/>
      <c r="AA92" s="8"/>
    </row>
    <row r="93" spans="2:29" ht="14.25" thickTop="1" thickBot="1">
      <c r="B93" s="10"/>
      <c r="D93" s="69"/>
      <c r="E93" s="54" t="s">
        <v>628</v>
      </c>
      <c r="F93" s="7"/>
      <c r="G93" s="8"/>
      <c r="H93" s="7"/>
      <c r="I93" s="6"/>
      <c r="J93" s="7"/>
      <c r="K93" s="8"/>
      <c r="L93" s="7"/>
      <c r="M93" s="8"/>
      <c r="N93" s="7"/>
      <c r="O93" s="8"/>
      <c r="P93" s="7"/>
      <c r="Q93" s="7"/>
      <c r="R93" s="8"/>
      <c r="S93" s="7"/>
      <c r="T93" s="9"/>
      <c r="U93" s="7"/>
      <c r="V93" s="8"/>
      <c r="W93" s="7"/>
      <c r="X93" s="7"/>
      <c r="Y93" s="8"/>
      <c r="Z93" s="7"/>
      <c r="AA93" s="8"/>
    </row>
    <row r="94" spans="2:29" ht="14.25" thickTop="1" thickBot="1">
      <c r="B94" s="10"/>
      <c r="D94" s="69"/>
      <c r="E94" s="54" t="s">
        <v>958</v>
      </c>
      <c r="F94" s="7"/>
      <c r="G94" s="8"/>
      <c r="H94" s="7"/>
      <c r="I94" s="6"/>
      <c r="J94" s="7"/>
      <c r="K94" s="8"/>
      <c r="L94" s="7"/>
      <c r="M94" s="8"/>
      <c r="N94" s="7"/>
      <c r="O94" s="8"/>
      <c r="P94" s="7"/>
      <c r="Q94" s="7"/>
      <c r="R94" s="8"/>
      <c r="S94" s="7"/>
      <c r="T94" s="9"/>
      <c r="U94" s="7"/>
      <c r="V94" s="8"/>
      <c r="W94" s="7"/>
      <c r="X94" s="7"/>
      <c r="Y94" s="8"/>
      <c r="Z94" s="7"/>
      <c r="AA94" s="8"/>
    </row>
    <row r="95" spans="2:29" ht="14.25" thickTop="1" thickBot="1">
      <c r="B95" s="10"/>
      <c r="D95" s="69"/>
      <c r="E95" s="54" t="s">
        <v>1148</v>
      </c>
      <c r="F95" s="7"/>
      <c r="G95" s="8"/>
      <c r="H95" s="7"/>
      <c r="I95" s="6"/>
      <c r="J95" s="7"/>
      <c r="K95" s="8"/>
      <c r="L95" s="7"/>
      <c r="M95" s="8"/>
      <c r="N95" s="7"/>
      <c r="O95" s="8"/>
      <c r="P95" s="7"/>
      <c r="Q95" s="7"/>
      <c r="R95" s="8"/>
      <c r="S95" s="7"/>
      <c r="T95" s="9"/>
      <c r="U95" s="7"/>
      <c r="V95" s="8"/>
      <c r="W95" s="7"/>
      <c r="X95" s="7"/>
      <c r="Y95" s="8"/>
      <c r="Z95" s="7"/>
      <c r="AA95" s="8"/>
    </row>
    <row r="96" spans="2:29" ht="14.25" thickTop="1" thickBot="1">
      <c r="B96" s="10"/>
      <c r="D96" s="69"/>
      <c r="E96" s="54" t="s">
        <v>611</v>
      </c>
      <c r="F96" s="7"/>
      <c r="G96" s="8"/>
      <c r="H96" s="7"/>
      <c r="I96" s="6"/>
      <c r="J96" s="7"/>
      <c r="K96" s="8"/>
      <c r="L96" s="7"/>
      <c r="M96" s="8"/>
      <c r="N96" s="7"/>
      <c r="O96" s="8"/>
      <c r="P96" s="7"/>
      <c r="Q96" s="7"/>
      <c r="R96" s="8"/>
      <c r="S96" s="7"/>
      <c r="T96" s="9"/>
      <c r="U96" s="7"/>
      <c r="V96" s="8"/>
      <c r="W96" s="7"/>
      <c r="X96" s="7"/>
      <c r="Y96" s="8"/>
      <c r="Z96" s="7"/>
      <c r="AA96" s="8"/>
    </row>
    <row r="97" spans="2:27" ht="14.25" thickTop="1" thickBot="1">
      <c r="B97" s="10"/>
      <c r="D97" s="69"/>
      <c r="E97" s="54" t="s">
        <v>613</v>
      </c>
      <c r="F97" s="7"/>
      <c r="G97" s="8"/>
      <c r="H97" s="7"/>
      <c r="I97" s="6"/>
      <c r="J97" s="7"/>
      <c r="K97" s="8"/>
      <c r="L97" s="7"/>
      <c r="M97" s="8"/>
      <c r="N97" s="7"/>
      <c r="O97" s="8"/>
      <c r="P97" s="7"/>
      <c r="Q97" s="7"/>
      <c r="R97" s="8"/>
      <c r="S97" s="7"/>
      <c r="T97" s="9"/>
      <c r="U97" s="7"/>
      <c r="V97" s="8"/>
      <c r="W97" s="7"/>
      <c r="X97" s="7"/>
      <c r="Y97" s="8"/>
      <c r="Z97" s="7"/>
      <c r="AA97" s="8"/>
    </row>
    <row r="98" spans="2:27" ht="14.25" thickTop="1" thickBot="1">
      <c r="B98" s="10"/>
      <c r="D98" s="69"/>
      <c r="E98" s="54" t="s">
        <v>964</v>
      </c>
      <c r="F98" s="7"/>
      <c r="G98" s="8"/>
      <c r="H98" s="7"/>
      <c r="I98" s="6"/>
      <c r="J98" s="7"/>
      <c r="K98" s="8"/>
      <c r="L98" s="7"/>
      <c r="M98" s="8"/>
      <c r="N98" s="7"/>
      <c r="O98" s="8"/>
      <c r="P98" s="7"/>
      <c r="Q98" s="7"/>
      <c r="R98" s="8"/>
      <c r="S98" s="7"/>
      <c r="T98" s="9"/>
      <c r="U98" s="7"/>
      <c r="V98" s="8"/>
      <c r="W98" s="7"/>
      <c r="X98" s="7"/>
      <c r="Y98" s="8"/>
      <c r="Z98" s="7"/>
      <c r="AA98" s="8"/>
    </row>
    <row r="99" spans="2:27" ht="14.25" thickTop="1" thickBot="1">
      <c r="B99" s="10"/>
      <c r="D99" s="69"/>
      <c r="E99" s="54" t="s">
        <v>632</v>
      </c>
      <c r="F99" s="7"/>
      <c r="G99" s="8"/>
      <c r="H99" s="7"/>
      <c r="I99" s="6"/>
      <c r="J99" s="7"/>
      <c r="K99" s="8"/>
      <c r="L99" s="7"/>
      <c r="M99" s="8"/>
      <c r="N99" s="7"/>
      <c r="O99" s="8"/>
      <c r="P99" s="7"/>
      <c r="Q99" s="7"/>
      <c r="R99" s="8"/>
      <c r="S99" s="7"/>
      <c r="T99" s="9"/>
      <c r="U99" s="7"/>
      <c r="V99" s="8"/>
      <c r="W99" s="7"/>
      <c r="X99" s="7"/>
      <c r="Y99" s="8"/>
      <c r="Z99" s="7"/>
      <c r="AA99" s="8"/>
    </row>
    <row r="100" spans="2:27" ht="14.25" thickTop="1" thickBot="1">
      <c r="B100" s="10"/>
      <c r="D100" s="69"/>
      <c r="E100" s="54" t="s">
        <v>968</v>
      </c>
      <c r="F100" s="7"/>
      <c r="G100" s="8"/>
      <c r="H100" s="7"/>
      <c r="I100" s="6"/>
      <c r="J100" s="7"/>
      <c r="K100" s="8"/>
      <c r="L100" s="7"/>
      <c r="M100" s="8"/>
      <c r="N100" s="7"/>
      <c r="O100" s="8"/>
      <c r="P100" s="7"/>
      <c r="Q100" s="7"/>
      <c r="R100" s="8"/>
      <c r="S100" s="7"/>
      <c r="T100" s="9"/>
      <c r="U100" s="7"/>
      <c r="V100" s="8"/>
      <c r="W100" s="7"/>
      <c r="X100" s="7"/>
      <c r="Y100" s="8"/>
      <c r="Z100" s="7"/>
      <c r="AA100" s="8"/>
    </row>
    <row r="101" spans="2:27" ht="14.25" thickTop="1" thickBot="1">
      <c r="B101" s="10"/>
      <c r="D101" s="69"/>
      <c r="E101" s="54" t="s">
        <v>946</v>
      </c>
      <c r="F101" s="7"/>
      <c r="G101" s="8"/>
      <c r="H101" s="7"/>
      <c r="I101" s="6"/>
      <c r="J101" s="7"/>
      <c r="K101" s="8"/>
      <c r="L101" s="7"/>
      <c r="M101" s="8"/>
      <c r="N101" s="7"/>
      <c r="O101" s="8"/>
      <c r="P101" s="7"/>
      <c r="Q101" s="7"/>
      <c r="R101" s="8"/>
      <c r="S101" s="7"/>
      <c r="T101" s="9"/>
      <c r="U101" s="7"/>
      <c r="V101" s="8"/>
      <c r="W101" s="7"/>
      <c r="X101" s="7"/>
      <c r="Y101" s="8"/>
      <c r="Z101" s="7"/>
      <c r="AA101" s="8"/>
    </row>
    <row r="102" spans="2:27" ht="14.25" thickTop="1" thickBot="1">
      <c r="B102" s="10"/>
      <c r="D102" s="69"/>
      <c r="E102" s="54" t="s">
        <v>810</v>
      </c>
      <c r="F102" s="7"/>
      <c r="G102" s="8"/>
      <c r="H102" s="7"/>
      <c r="I102" s="6"/>
      <c r="J102" s="7"/>
      <c r="K102" s="8"/>
      <c r="L102" s="7"/>
      <c r="M102" s="8"/>
      <c r="N102" s="7"/>
      <c r="O102" s="8"/>
      <c r="P102" s="7"/>
      <c r="Q102" s="7"/>
      <c r="R102" s="8"/>
      <c r="S102" s="7"/>
      <c r="T102" s="9"/>
      <c r="U102" s="7"/>
      <c r="V102" s="8"/>
      <c r="W102" s="7"/>
      <c r="X102" s="7"/>
      <c r="Y102" s="8"/>
      <c r="Z102" s="7"/>
      <c r="AA102" s="8"/>
    </row>
    <row r="103" spans="2:27" ht="14.25" thickTop="1" thickBot="1">
      <c r="B103" s="10"/>
      <c r="D103" s="69"/>
      <c r="E103" s="54" t="s">
        <v>591</v>
      </c>
      <c r="F103" s="7"/>
      <c r="G103" s="8"/>
      <c r="H103" s="7"/>
      <c r="I103" s="6"/>
      <c r="J103" s="7"/>
      <c r="K103" s="8"/>
      <c r="L103" s="7"/>
      <c r="M103" s="8"/>
      <c r="N103" s="7"/>
      <c r="O103" s="8"/>
      <c r="P103" s="7"/>
      <c r="Q103" s="7"/>
      <c r="R103" s="8"/>
      <c r="S103" s="7"/>
      <c r="T103" s="9"/>
      <c r="U103" s="7"/>
      <c r="V103" s="8"/>
      <c r="W103" s="7"/>
      <c r="X103" s="7"/>
      <c r="Y103" s="8"/>
      <c r="Z103" s="7"/>
      <c r="AA103" s="8"/>
    </row>
    <row r="104" spans="2:27" ht="14.25" thickTop="1" thickBot="1">
      <c r="B104" s="10"/>
      <c r="D104" s="69"/>
      <c r="E104" s="54" t="s">
        <v>587</v>
      </c>
      <c r="F104" s="7"/>
      <c r="G104" s="8"/>
      <c r="H104" s="7"/>
      <c r="I104" s="6"/>
      <c r="J104" s="7"/>
      <c r="K104" s="8"/>
      <c r="L104" s="7"/>
      <c r="M104" s="8"/>
      <c r="N104" s="7"/>
      <c r="O104" s="8"/>
      <c r="P104" s="7"/>
      <c r="Q104" s="7"/>
      <c r="R104" s="8"/>
      <c r="S104" s="7"/>
      <c r="T104" s="9"/>
      <c r="U104" s="7"/>
      <c r="V104" s="8"/>
      <c r="W104" s="7"/>
      <c r="X104" s="7"/>
      <c r="Y104" s="8"/>
      <c r="Z104" s="7"/>
      <c r="AA104" s="8"/>
    </row>
    <row r="105" spans="2:27" ht="14.25" thickTop="1" thickBot="1">
      <c r="B105" s="10"/>
      <c r="D105" s="69"/>
      <c r="E105" s="54" t="s">
        <v>950</v>
      </c>
      <c r="F105" s="7"/>
      <c r="G105" s="8"/>
      <c r="H105" s="7"/>
      <c r="I105" s="6"/>
      <c r="J105" s="7"/>
      <c r="K105" s="8"/>
      <c r="L105" s="7"/>
      <c r="M105" s="8"/>
      <c r="N105" s="7"/>
      <c r="O105" s="8"/>
      <c r="P105" s="7"/>
      <c r="Q105" s="7"/>
      <c r="R105" s="8"/>
      <c r="S105" s="7"/>
      <c r="T105" s="9"/>
      <c r="U105" s="7"/>
      <c r="V105" s="8"/>
      <c r="W105" s="7"/>
      <c r="X105" s="7"/>
      <c r="Y105" s="8"/>
      <c r="Z105" s="7"/>
      <c r="AA105" s="8"/>
    </row>
    <row r="106" spans="2:27" ht="14.25" thickTop="1" thickBot="1">
      <c r="B106" s="10"/>
      <c r="D106" s="69"/>
      <c r="E106" s="54" t="s">
        <v>324</v>
      </c>
      <c r="F106" s="7"/>
      <c r="G106" s="8"/>
      <c r="H106" s="7"/>
      <c r="I106" s="6"/>
      <c r="J106" s="7"/>
      <c r="K106" s="8"/>
      <c r="L106" s="7"/>
      <c r="M106" s="8"/>
      <c r="N106" s="7"/>
      <c r="O106" s="8"/>
      <c r="P106" s="7"/>
      <c r="Q106" s="7"/>
      <c r="R106" s="8"/>
      <c r="S106" s="7"/>
      <c r="T106" s="9"/>
      <c r="U106" s="7"/>
      <c r="V106" s="8"/>
      <c r="W106" s="7"/>
      <c r="X106" s="7"/>
      <c r="Y106" s="8"/>
      <c r="Z106" s="7"/>
      <c r="AA106" s="8"/>
    </row>
    <row r="107" spans="2:27" ht="14.25" thickTop="1" thickBot="1">
      <c r="B107" s="10"/>
      <c r="D107" s="69"/>
      <c r="E107" s="54" t="s">
        <v>1298</v>
      </c>
      <c r="F107" s="7"/>
      <c r="G107" s="8"/>
      <c r="H107" s="7"/>
      <c r="I107" s="6"/>
      <c r="J107" s="7"/>
      <c r="K107" s="8"/>
      <c r="L107" s="7"/>
      <c r="M107" s="8"/>
      <c r="N107" s="7"/>
      <c r="O107" s="8"/>
      <c r="P107" s="7"/>
      <c r="Q107" s="7"/>
      <c r="R107" s="8"/>
      <c r="S107" s="7"/>
      <c r="T107" s="9"/>
      <c r="U107" s="7"/>
      <c r="V107" s="8"/>
      <c r="W107" s="7"/>
      <c r="X107" s="7"/>
      <c r="Y107" s="8"/>
      <c r="Z107" s="7"/>
      <c r="AA107" s="8"/>
    </row>
    <row r="108" spans="2:27" ht="14.25" thickTop="1" thickBot="1">
      <c r="B108" s="10"/>
      <c r="D108" s="69"/>
      <c r="E108" s="54" t="s">
        <v>949</v>
      </c>
      <c r="F108" s="7"/>
      <c r="G108" s="8"/>
      <c r="H108" s="7"/>
      <c r="I108" s="6"/>
      <c r="J108" s="7"/>
      <c r="K108" s="8"/>
      <c r="L108" s="7"/>
      <c r="M108" s="8"/>
      <c r="N108" s="7"/>
      <c r="O108" s="8"/>
      <c r="P108" s="7"/>
      <c r="Q108" s="7"/>
      <c r="R108" s="8"/>
      <c r="S108" s="7"/>
      <c r="T108" s="9"/>
      <c r="U108" s="7"/>
      <c r="V108" s="8"/>
      <c r="W108" s="7"/>
      <c r="X108" s="7"/>
      <c r="Y108" s="8"/>
      <c r="Z108" s="7"/>
      <c r="AA108" s="8"/>
    </row>
    <row r="109" spans="2:27" ht="14.25" thickTop="1" thickBot="1">
      <c r="B109" s="10"/>
      <c r="D109" s="69"/>
      <c r="E109" s="54" t="s">
        <v>327</v>
      </c>
      <c r="F109" s="7"/>
      <c r="G109" s="8"/>
      <c r="H109" s="7"/>
      <c r="I109" s="6"/>
      <c r="J109" s="7"/>
      <c r="K109" s="8"/>
      <c r="L109" s="7"/>
      <c r="M109" s="8"/>
      <c r="N109" s="7"/>
      <c r="O109" s="8"/>
      <c r="P109" s="7"/>
      <c r="Q109" s="7"/>
      <c r="R109" s="8"/>
      <c r="S109" s="7"/>
      <c r="T109" s="9"/>
      <c r="U109" s="7"/>
      <c r="V109" s="8"/>
      <c r="W109" s="7"/>
      <c r="X109" s="7"/>
      <c r="Y109" s="8"/>
      <c r="Z109" s="7"/>
      <c r="AA109" s="8"/>
    </row>
    <row r="110" spans="2:27" ht="14.25" thickTop="1" thickBot="1">
      <c r="B110" s="10"/>
      <c r="D110" s="69"/>
      <c r="E110" s="54" t="s">
        <v>1105</v>
      </c>
      <c r="F110" s="7"/>
      <c r="G110" s="8"/>
      <c r="H110" s="7"/>
      <c r="I110" s="6"/>
      <c r="J110" s="7"/>
      <c r="K110" s="8"/>
      <c r="L110" s="7"/>
      <c r="M110" s="8"/>
      <c r="N110" s="7"/>
      <c r="O110" s="8"/>
      <c r="P110" s="7"/>
      <c r="Q110" s="7"/>
      <c r="R110" s="8"/>
      <c r="S110" s="7"/>
      <c r="T110" s="9"/>
      <c r="U110" s="7"/>
      <c r="V110" s="8"/>
      <c r="W110" s="7"/>
      <c r="X110" s="7"/>
      <c r="Y110" s="8"/>
      <c r="Z110" s="7"/>
      <c r="AA110" s="8"/>
    </row>
    <row r="111" spans="2:27" ht="14.25" thickTop="1" thickBot="1">
      <c r="B111" s="10"/>
      <c r="D111" s="69"/>
      <c r="E111" s="54" t="s">
        <v>970</v>
      </c>
      <c r="F111" s="7"/>
      <c r="G111" s="8"/>
      <c r="H111" s="7"/>
      <c r="I111" s="6"/>
      <c r="J111" s="7"/>
      <c r="K111" s="8"/>
      <c r="L111" s="7"/>
      <c r="M111" s="8"/>
      <c r="N111" s="7"/>
      <c r="O111" s="8"/>
      <c r="P111" s="7"/>
      <c r="Q111" s="7"/>
      <c r="R111" s="8"/>
      <c r="S111" s="7"/>
      <c r="T111" s="9"/>
      <c r="U111" s="7"/>
      <c r="V111" s="8"/>
      <c r="W111" s="7"/>
      <c r="X111" s="7"/>
      <c r="Y111" s="8"/>
      <c r="Z111" s="7"/>
      <c r="AA111" s="8"/>
    </row>
    <row r="112" spans="2:27" ht="14.25" thickTop="1" thickBot="1">
      <c r="B112" s="10"/>
      <c r="D112" s="69"/>
      <c r="E112" s="54" t="s">
        <v>686</v>
      </c>
      <c r="F112" s="7"/>
      <c r="G112" s="8"/>
      <c r="H112" s="7"/>
      <c r="I112" s="6"/>
      <c r="J112" s="7"/>
      <c r="K112" s="8"/>
      <c r="L112" s="7"/>
      <c r="M112" s="8"/>
      <c r="N112" s="7"/>
      <c r="O112" s="8"/>
      <c r="P112" s="7"/>
      <c r="Q112" s="7"/>
      <c r="R112" s="8"/>
      <c r="S112" s="7"/>
      <c r="T112" s="9"/>
      <c r="U112" s="7"/>
      <c r="V112" s="8"/>
      <c r="W112" s="7"/>
      <c r="X112" s="7"/>
      <c r="Y112" s="8"/>
      <c r="Z112" s="7"/>
      <c r="AA112" s="8"/>
    </row>
    <row r="113" spans="2:27" ht="14.25" thickTop="1" thickBot="1">
      <c r="B113" s="10"/>
      <c r="D113" s="69"/>
      <c r="E113" s="54" t="s">
        <v>583</v>
      </c>
      <c r="F113" s="7"/>
      <c r="G113" s="8"/>
      <c r="H113" s="7"/>
      <c r="I113" s="6"/>
      <c r="J113" s="7"/>
      <c r="K113" s="8"/>
      <c r="L113" s="7"/>
      <c r="M113" s="8"/>
      <c r="N113" s="7"/>
      <c r="O113" s="8"/>
      <c r="P113" s="7"/>
      <c r="Q113" s="7"/>
      <c r="R113" s="8"/>
      <c r="S113" s="7"/>
      <c r="T113" s="9"/>
      <c r="U113" s="7"/>
      <c r="V113" s="8"/>
      <c r="W113" s="7"/>
      <c r="X113" s="7"/>
      <c r="Y113" s="8"/>
      <c r="Z113" s="7"/>
      <c r="AA113" s="8"/>
    </row>
    <row r="114" spans="2:27" ht="14.25" thickTop="1" thickBot="1">
      <c r="B114" s="10"/>
      <c r="D114" s="69"/>
      <c r="E114" s="54" t="s">
        <v>333</v>
      </c>
      <c r="F114" s="7"/>
      <c r="G114" s="8"/>
      <c r="H114" s="7"/>
      <c r="I114" s="6"/>
      <c r="J114" s="7"/>
      <c r="K114" s="8"/>
      <c r="L114" s="7"/>
      <c r="M114" s="8"/>
      <c r="N114" s="7"/>
      <c r="O114" s="8"/>
      <c r="P114" s="7"/>
      <c r="Q114" s="7"/>
      <c r="R114" s="8"/>
      <c r="S114" s="7"/>
      <c r="T114" s="9"/>
      <c r="U114" s="7"/>
      <c r="V114" s="8"/>
      <c r="W114" s="7"/>
      <c r="X114" s="7"/>
      <c r="Y114" s="8"/>
      <c r="Z114" s="7"/>
      <c r="AA114" s="8"/>
    </row>
    <row r="115" spans="2:27" ht="14.25" thickTop="1" thickBot="1">
      <c r="B115" s="10"/>
      <c r="D115" s="69"/>
      <c r="E115" s="54" t="s">
        <v>335</v>
      </c>
      <c r="F115" s="7"/>
      <c r="G115" s="8"/>
      <c r="H115" s="7"/>
      <c r="I115" s="6"/>
      <c r="J115" s="7"/>
      <c r="K115" s="8"/>
      <c r="L115" s="7"/>
      <c r="M115" s="8"/>
      <c r="N115" s="7"/>
      <c r="O115" s="8"/>
      <c r="P115" s="7"/>
      <c r="Q115" s="7"/>
      <c r="R115" s="8"/>
      <c r="S115" s="7"/>
      <c r="T115" s="9"/>
      <c r="U115" s="7"/>
      <c r="V115" s="8"/>
      <c r="W115" s="7"/>
      <c r="X115" s="7"/>
      <c r="Y115" s="8"/>
      <c r="Z115" s="7"/>
      <c r="AA115" s="8"/>
    </row>
    <row r="116" spans="2:27" ht="14.25" thickTop="1" thickBot="1">
      <c r="B116" s="10"/>
      <c r="D116" s="69"/>
      <c r="E116" s="54" t="s">
        <v>576</v>
      </c>
      <c r="F116" s="7"/>
      <c r="G116" s="8"/>
      <c r="H116" s="7"/>
      <c r="I116" s="6"/>
      <c r="J116" s="7"/>
      <c r="K116" s="8"/>
      <c r="L116" s="7"/>
      <c r="M116" s="8"/>
      <c r="N116" s="7"/>
      <c r="O116" s="8"/>
      <c r="P116" s="7"/>
      <c r="Q116" s="7"/>
      <c r="R116" s="8"/>
      <c r="S116" s="7"/>
      <c r="T116" s="9"/>
      <c r="U116" s="7"/>
      <c r="V116" s="8"/>
      <c r="W116" s="7"/>
      <c r="X116" s="7"/>
      <c r="Y116" s="8"/>
      <c r="Z116" s="7"/>
      <c r="AA116" s="8"/>
    </row>
    <row r="117" spans="2:27" ht="14.25" thickTop="1" thickBot="1">
      <c r="B117" s="10"/>
      <c r="D117" s="69"/>
      <c r="E117" s="54" t="s">
        <v>697</v>
      </c>
      <c r="F117" s="7"/>
      <c r="G117" s="8"/>
      <c r="H117" s="7"/>
      <c r="I117" s="6"/>
      <c r="J117" s="7"/>
      <c r="K117" s="8"/>
      <c r="L117" s="7"/>
      <c r="M117" s="8"/>
      <c r="N117" s="7"/>
      <c r="O117" s="8"/>
      <c r="P117" s="7"/>
      <c r="Q117" s="7"/>
      <c r="R117" s="8"/>
      <c r="S117" s="7"/>
      <c r="T117" s="9"/>
      <c r="U117" s="7"/>
      <c r="V117" s="8"/>
      <c r="W117" s="7"/>
      <c r="X117" s="7"/>
      <c r="Y117" s="8"/>
      <c r="Z117" s="7"/>
      <c r="AA117" s="8"/>
    </row>
    <row r="118" spans="2:27" ht="14.25" thickTop="1" thickBot="1">
      <c r="B118" s="10"/>
      <c r="D118" s="69"/>
      <c r="E118" s="54" t="s">
        <v>944</v>
      </c>
      <c r="F118" s="7"/>
      <c r="G118" s="8"/>
      <c r="H118" s="7"/>
      <c r="I118" s="6"/>
      <c r="J118" s="7"/>
      <c r="K118" s="8"/>
      <c r="L118" s="7"/>
      <c r="M118" s="8"/>
      <c r="N118" s="7"/>
      <c r="O118" s="8"/>
      <c r="P118" s="7"/>
      <c r="Q118" s="7"/>
      <c r="R118" s="8"/>
      <c r="S118" s="7"/>
      <c r="T118" s="9"/>
      <c r="U118" s="7"/>
      <c r="V118" s="8"/>
      <c r="W118" s="7"/>
      <c r="X118" s="7"/>
      <c r="Y118" s="8"/>
      <c r="Z118" s="7"/>
      <c r="AA118" s="8"/>
    </row>
    <row r="119" spans="2:27" ht="14.25" thickTop="1" thickBot="1">
      <c r="B119" s="10"/>
      <c r="D119" s="69"/>
      <c r="E119" s="54" t="s">
        <v>647</v>
      </c>
      <c r="F119" s="7"/>
      <c r="G119" s="8"/>
      <c r="H119" s="7"/>
      <c r="I119" s="6"/>
      <c r="J119" s="7"/>
      <c r="K119" s="8"/>
      <c r="L119" s="7"/>
      <c r="M119" s="8"/>
      <c r="N119" s="7"/>
      <c r="O119" s="8"/>
      <c r="P119" s="7"/>
      <c r="Q119" s="7"/>
      <c r="R119" s="8"/>
      <c r="S119" s="7"/>
      <c r="T119" s="9"/>
      <c r="U119" s="7"/>
      <c r="V119" s="8"/>
      <c r="W119" s="7"/>
      <c r="X119" s="7"/>
      <c r="Y119" s="8"/>
      <c r="Z119" s="7"/>
      <c r="AA119" s="8"/>
    </row>
    <row r="120" spans="2:27" ht="14.25" thickTop="1" thickBot="1">
      <c r="B120" s="10"/>
      <c r="D120" s="69"/>
      <c r="E120" s="54" t="s">
        <v>643</v>
      </c>
      <c r="F120" s="7"/>
      <c r="G120" s="8"/>
      <c r="H120" s="7"/>
      <c r="I120" s="6"/>
      <c r="J120" s="7"/>
      <c r="K120" s="8"/>
      <c r="L120" s="7"/>
      <c r="M120" s="8"/>
      <c r="N120" s="7"/>
      <c r="O120" s="8"/>
      <c r="P120" s="7"/>
      <c r="Q120" s="7"/>
      <c r="R120" s="8"/>
      <c r="S120" s="7"/>
      <c r="T120" s="9"/>
      <c r="U120" s="7"/>
      <c r="V120" s="8"/>
      <c r="W120" s="7"/>
      <c r="X120" s="7"/>
      <c r="Y120" s="8"/>
      <c r="Z120" s="7"/>
      <c r="AA120" s="8"/>
    </row>
    <row r="121" spans="2:27" ht="14.25" thickTop="1" thickBot="1">
      <c r="B121" s="10"/>
      <c r="D121" s="69"/>
      <c r="E121" s="54" t="s">
        <v>639</v>
      </c>
      <c r="F121" s="7"/>
      <c r="G121" s="8"/>
      <c r="H121" s="7"/>
      <c r="I121" s="6"/>
      <c r="J121" s="7"/>
      <c r="K121" s="8"/>
      <c r="L121" s="7"/>
      <c r="M121" s="8"/>
      <c r="N121" s="7"/>
      <c r="O121" s="8"/>
      <c r="P121" s="7"/>
      <c r="Q121" s="7"/>
      <c r="R121" s="8"/>
      <c r="S121" s="7"/>
      <c r="T121" s="9"/>
      <c r="U121" s="7"/>
      <c r="V121" s="8"/>
      <c r="W121" s="7"/>
      <c r="X121" s="7"/>
      <c r="Y121" s="8"/>
      <c r="Z121" s="7"/>
      <c r="AA121" s="8"/>
    </row>
    <row r="122" spans="2:27" ht="14.25" thickTop="1" thickBot="1">
      <c r="B122" s="10"/>
      <c r="D122" s="69"/>
      <c r="E122" s="54" t="s">
        <v>621</v>
      </c>
      <c r="F122" s="7"/>
      <c r="G122" s="8"/>
      <c r="H122" s="7"/>
      <c r="I122" s="6"/>
      <c r="J122" s="7"/>
      <c r="K122" s="8"/>
      <c r="L122" s="7"/>
      <c r="M122" s="8"/>
      <c r="N122" s="7"/>
      <c r="O122" s="8"/>
      <c r="P122" s="7"/>
      <c r="Q122" s="7"/>
      <c r="R122" s="8"/>
      <c r="S122" s="7"/>
      <c r="T122" s="9"/>
      <c r="U122" s="7"/>
      <c r="V122" s="8"/>
      <c r="W122" s="7"/>
      <c r="X122" s="7"/>
      <c r="Y122" s="8"/>
      <c r="Z122" s="7"/>
      <c r="AA122" s="8"/>
    </row>
    <row r="123" spans="2:27" ht="14.25" thickTop="1" thickBot="1">
      <c r="B123" s="10"/>
      <c r="D123" s="69"/>
      <c r="E123" s="54" t="s">
        <v>948</v>
      </c>
      <c r="F123" s="7"/>
      <c r="G123" s="8"/>
      <c r="H123" s="7"/>
      <c r="I123" s="6"/>
      <c r="J123" s="7"/>
      <c r="K123" s="8"/>
      <c r="L123" s="7"/>
      <c r="M123" s="8"/>
      <c r="N123" s="7"/>
      <c r="O123" s="8"/>
      <c r="P123" s="7"/>
      <c r="Q123" s="7"/>
      <c r="R123" s="8"/>
      <c r="S123" s="7"/>
      <c r="T123" s="9"/>
      <c r="U123" s="7"/>
      <c r="V123" s="8"/>
      <c r="W123" s="7"/>
      <c r="X123" s="7"/>
      <c r="Y123" s="8"/>
      <c r="Z123" s="7"/>
      <c r="AA123" s="8"/>
    </row>
    <row r="124" spans="2:27" ht="14.25" thickTop="1" thickBot="1">
      <c r="B124" s="10"/>
      <c r="D124" s="69"/>
      <c r="E124" s="54" t="s">
        <v>692</v>
      </c>
      <c r="F124" s="7"/>
      <c r="G124" s="8"/>
      <c r="H124" s="7"/>
      <c r="I124" s="6"/>
      <c r="J124" s="7"/>
      <c r="K124" s="8"/>
      <c r="L124" s="7"/>
      <c r="M124" s="8"/>
      <c r="N124" s="7"/>
      <c r="O124" s="8"/>
      <c r="P124" s="7"/>
      <c r="Q124" s="7"/>
      <c r="R124" s="8"/>
      <c r="S124" s="7"/>
      <c r="T124" s="9"/>
      <c r="U124" s="7"/>
      <c r="V124" s="8"/>
      <c r="W124" s="7"/>
      <c r="X124" s="7"/>
      <c r="Y124" s="8"/>
      <c r="Z124" s="7"/>
      <c r="AA124" s="8"/>
    </row>
    <row r="125" spans="2:27" ht="14.25" thickTop="1" thickBot="1">
      <c r="B125" s="10"/>
      <c r="D125" s="69"/>
      <c r="E125" s="54" t="s">
        <v>698</v>
      </c>
      <c r="F125" s="7"/>
      <c r="G125" s="8"/>
      <c r="H125" s="7"/>
      <c r="I125" s="6"/>
      <c r="J125" s="7"/>
      <c r="K125" s="8"/>
      <c r="L125" s="7"/>
      <c r="M125" s="8"/>
      <c r="N125" s="7"/>
      <c r="O125" s="8"/>
      <c r="P125" s="7"/>
      <c r="Q125" s="7"/>
      <c r="R125" s="8"/>
      <c r="S125" s="7"/>
      <c r="T125" s="9"/>
      <c r="U125" s="7"/>
      <c r="V125" s="8"/>
      <c r="W125" s="7"/>
      <c r="X125" s="7"/>
      <c r="Y125" s="8"/>
      <c r="Z125" s="7"/>
      <c r="AA125" s="8"/>
    </row>
    <row r="126" spans="2:27" ht="14.25" thickTop="1" thickBot="1">
      <c r="B126" s="10"/>
      <c r="D126" s="69"/>
      <c r="E126" s="54" t="s">
        <v>510</v>
      </c>
      <c r="F126" s="7"/>
      <c r="G126" s="8"/>
      <c r="H126" s="7"/>
      <c r="I126" s="6"/>
      <c r="J126" s="7"/>
      <c r="K126" s="8"/>
      <c r="L126" s="7"/>
      <c r="M126" s="8"/>
      <c r="N126" s="7"/>
      <c r="O126" s="8"/>
      <c r="P126" s="7"/>
      <c r="Q126" s="7"/>
      <c r="R126" s="8"/>
      <c r="S126" s="7"/>
      <c r="T126" s="9"/>
      <c r="U126" s="7"/>
      <c r="V126" s="8"/>
      <c r="W126" s="7"/>
      <c r="X126" s="7"/>
      <c r="Y126" s="8"/>
      <c r="Z126" s="7"/>
      <c r="AA126" s="8"/>
    </row>
    <row r="127" spans="2:27" ht="14.25" thickTop="1" thickBot="1">
      <c r="B127" s="10"/>
      <c r="D127" s="69"/>
      <c r="E127" s="54" t="s">
        <v>534</v>
      </c>
      <c r="F127" s="7"/>
      <c r="G127" s="8"/>
      <c r="H127" s="7"/>
      <c r="I127" s="6"/>
      <c r="J127" s="7"/>
      <c r="K127" s="8"/>
      <c r="L127" s="7"/>
      <c r="M127" s="8"/>
      <c r="N127" s="7"/>
      <c r="O127" s="8"/>
      <c r="P127" s="7"/>
      <c r="Q127" s="7"/>
      <c r="R127" s="8"/>
      <c r="S127" s="7"/>
      <c r="T127" s="9"/>
      <c r="U127" s="7"/>
      <c r="V127" s="8"/>
      <c r="W127" s="7"/>
      <c r="X127" s="7"/>
      <c r="Y127" s="8"/>
      <c r="Z127" s="7"/>
      <c r="AA127" s="8"/>
    </row>
    <row r="128" spans="2:27" ht="14.25" thickTop="1" thickBot="1">
      <c r="B128" s="10"/>
      <c r="D128" s="69"/>
      <c r="E128" s="54" t="s">
        <v>694</v>
      </c>
      <c r="F128" s="7"/>
      <c r="G128" s="8"/>
      <c r="H128" s="7"/>
      <c r="I128" s="6"/>
      <c r="J128" s="7"/>
      <c r="K128" s="8"/>
      <c r="L128" s="7"/>
      <c r="M128" s="8"/>
      <c r="N128" s="7"/>
      <c r="O128" s="8"/>
      <c r="P128" s="7"/>
      <c r="Q128" s="7"/>
      <c r="R128" s="8"/>
      <c r="S128" s="7"/>
      <c r="T128" s="9"/>
      <c r="U128" s="7"/>
      <c r="V128" s="8"/>
      <c r="W128" s="7"/>
      <c r="X128" s="7"/>
      <c r="Y128" s="8"/>
      <c r="Z128" s="7"/>
      <c r="AA128" s="8"/>
    </row>
    <row r="129" spans="2:27" ht="14.25" thickTop="1" thickBot="1">
      <c r="B129" s="10"/>
      <c r="D129" s="69"/>
      <c r="E129" s="54" t="s">
        <v>582</v>
      </c>
      <c r="F129" s="7"/>
      <c r="G129" s="8"/>
      <c r="H129" s="7"/>
      <c r="I129" s="6"/>
      <c r="J129" s="7"/>
      <c r="K129" s="8"/>
      <c r="L129" s="7"/>
      <c r="M129" s="8"/>
      <c r="N129" s="7"/>
      <c r="O129" s="8"/>
      <c r="P129" s="7"/>
      <c r="Q129" s="7"/>
      <c r="R129" s="8"/>
      <c r="S129" s="7"/>
      <c r="T129" s="9"/>
      <c r="U129" s="7"/>
      <c r="V129" s="8"/>
      <c r="W129" s="7"/>
      <c r="X129" s="7"/>
      <c r="Y129" s="8"/>
      <c r="Z129" s="7"/>
      <c r="AA129" s="8"/>
    </row>
    <row r="130" spans="2:27" ht="14.25" thickTop="1" thickBot="1">
      <c r="B130" s="10"/>
      <c r="D130" s="69"/>
      <c r="E130" s="54" t="s">
        <v>693</v>
      </c>
      <c r="F130" s="7"/>
      <c r="G130" s="8"/>
      <c r="H130" s="7"/>
      <c r="I130" s="6"/>
      <c r="J130" s="7"/>
      <c r="K130" s="8"/>
      <c r="L130" s="7"/>
      <c r="M130" s="8"/>
      <c r="N130" s="7"/>
      <c r="O130" s="8"/>
      <c r="P130" s="7"/>
      <c r="Q130" s="7"/>
      <c r="R130" s="8"/>
      <c r="S130" s="7"/>
      <c r="T130" s="9"/>
      <c r="U130" s="7"/>
      <c r="V130" s="8"/>
      <c r="W130" s="7"/>
      <c r="X130" s="7"/>
      <c r="Y130" s="8"/>
      <c r="Z130" s="7"/>
      <c r="AA130" s="8"/>
    </row>
    <row r="131" spans="2:27" ht="14.25" thickTop="1" thickBot="1">
      <c r="B131" s="10"/>
      <c r="D131" s="69"/>
      <c r="E131" s="54" t="s">
        <v>341</v>
      </c>
      <c r="F131" s="7"/>
      <c r="G131" s="8"/>
      <c r="H131" s="7"/>
      <c r="I131" s="6"/>
      <c r="J131" s="7"/>
      <c r="K131" s="8"/>
      <c r="L131" s="7"/>
      <c r="M131" s="8"/>
      <c r="N131" s="7"/>
      <c r="O131" s="8"/>
      <c r="P131" s="7"/>
      <c r="Q131" s="7"/>
      <c r="R131" s="8"/>
      <c r="S131" s="7"/>
      <c r="T131" s="9"/>
      <c r="U131" s="7"/>
      <c r="V131" s="8"/>
      <c r="W131" s="7"/>
      <c r="X131" s="7"/>
      <c r="Y131" s="8"/>
      <c r="Z131" s="7"/>
      <c r="AA131" s="8"/>
    </row>
    <row r="132" spans="2:27" ht="14.25" thickTop="1" thickBot="1">
      <c r="B132" s="10"/>
      <c r="D132" s="69"/>
      <c r="E132" s="54" t="s">
        <v>615</v>
      </c>
      <c r="F132" s="7"/>
      <c r="G132" s="8"/>
      <c r="H132" s="7"/>
      <c r="I132" s="6"/>
      <c r="J132" s="7"/>
      <c r="K132" s="8"/>
      <c r="L132" s="7"/>
      <c r="M132" s="8"/>
      <c r="N132" s="7"/>
      <c r="O132" s="8"/>
      <c r="P132" s="7"/>
      <c r="Q132" s="7"/>
      <c r="R132" s="8"/>
      <c r="S132" s="7"/>
      <c r="T132" s="9"/>
      <c r="U132" s="7"/>
      <c r="V132" s="8"/>
      <c r="W132" s="7"/>
      <c r="X132" s="7"/>
      <c r="Y132" s="8"/>
      <c r="Z132" s="7"/>
      <c r="AA132" s="8"/>
    </row>
    <row r="133" spans="2:27" ht="14.25" thickTop="1" thickBot="1">
      <c r="B133" s="10"/>
      <c r="D133" s="69"/>
      <c r="E133" s="54" t="s">
        <v>952</v>
      </c>
      <c r="F133" s="7"/>
      <c r="G133" s="8"/>
      <c r="H133" s="7"/>
      <c r="I133" s="6"/>
      <c r="J133" s="7"/>
      <c r="K133" s="8"/>
      <c r="L133" s="7"/>
      <c r="M133" s="8"/>
      <c r="N133" s="7"/>
      <c r="O133" s="8"/>
      <c r="P133" s="7"/>
      <c r="Q133" s="7"/>
      <c r="R133" s="8"/>
      <c r="S133" s="7"/>
      <c r="T133" s="9"/>
      <c r="U133" s="7"/>
      <c r="V133" s="8"/>
      <c r="W133" s="7"/>
      <c r="X133" s="7"/>
      <c r="Y133" s="8"/>
      <c r="Z133" s="7"/>
      <c r="AA133" s="8"/>
    </row>
    <row r="134" spans="2:27" ht="14.25" thickTop="1" thickBot="1">
      <c r="B134" s="10"/>
      <c r="D134" s="69"/>
      <c r="E134" s="54" t="s">
        <v>1131</v>
      </c>
      <c r="F134" s="7"/>
      <c r="G134" s="8"/>
      <c r="H134" s="7"/>
      <c r="I134" s="6"/>
      <c r="J134" s="7"/>
      <c r="K134" s="8"/>
      <c r="L134" s="7"/>
      <c r="M134" s="8"/>
      <c r="N134" s="7"/>
      <c r="O134" s="8"/>
      <c r="P134" s="7"/>
      <c r="Q134" s="7"/>
      <c r="R134" s="8"/>
      <c r="S134" s="7"/>
      <c r="T134" s="9"/>
      <c r="U134" s="7"/>
      <c r="V134" s="8"/>
      <c r="W134" s="7"/>
      <c r="X134" s="7"/>
      <c r="Y134" s="8"/>
      <c r="Z134" s="7"/>
      <c r="AA134" s="8"/>
    </row>
    <row r="135" spans="2:27" ht="14.25" thickTop="1" thickBot="1">
      <c r="B135" s="10"/>
      <c r="D135" s="69"/>
      <c r="E135" s="54" t="s">
        <v>1133</v>
      </c>
      <c r="F135" s="7"/>
      <c r="G135" s="8"/>
      <c r="H135" s="7"/>
      <c r="I135" s="6"/>
      <c r="J135" s="7"/>
      <c r="K135" s="8"/>
      <c r="L135" s="7"/>
      <c r="M135" s="8"/>
      <c r="N135" s="7"/>
      <c r="O135" s="8"/>
      <c r="P135" s="7"/>
      <c r="Q135" s="7"/>
      <c r="R135" s="8"/>
      <c r="S135" s="7"/>
      <c r="T135" s="9"/>
      <c r="U135" s="7"/>
      <c r="V135" s="8"/>
      <c r="W135" s="7"/>
      <c r="X135" s="7"/>
      <c r="Y135" s="8"/>
      <c r="Z135" s="7"/>
      <c r="AA135" s="8"/>
    </row>
    <row r="136" spans="2:27" ht="14.25" thickTop="1" thickBot="1">
      <c r="B136" s="10"/>
      <c r="D136" s="69"/>
      <c r="E136" s="54" t="s">
        <v>1132</v>
      </c>
      <c r="F136" s="7"/>
      <c r="G136" s="8"/>
      <c r="H136" s="7"/>
      <c r="I136" s="6"/>
      <c r="J136" s="7"/>
      <c r="K136" s="8"/>
      <c r="L136" s="7"/>
      <c r="M136" s="8"/>
      <c r="N136" s="7"/>
      <c r="O136" s="8"/>
      <c r="P136" s="7"/>
      <c r="Q136" s="7"/>
      <c r="R136" s="8"/>
      <c r="S136" s="7"/>
      <c r="T136" s="9"/>
      <c r="U136" s="7"/>
      <c r="V136" s="8"/>
      <c r="W136" s="7"/>
      <c r="X136" s="7"/>
      <c r="Y136" s="8"/>
      <c r="Z136" s="7"/>
      <c r="AA136" s="8"/>
    </row>
    <row r="137" spans="2:27" ht="14.25" thickTop="1" thickBot="1">
      <c r="B137" s="10"/>
      <c r="D137" s="69"/>
      <c r="E137" s="54" t="s">
        <v>1299</v>
      </c>
      <c r="F137" s="7"/>
      <c r="G137" s="8"/>
      <c r="H137" s="7"/>
      <c r="I137" s="6"/>
      <c r="J137" s="7"/>
      <c r="K137" s="8"/>
      <c r="L137" s="7"/>
      <c r="M137" s="8"/>
      <c r="N137" s="7"/>
      <c r="O137" s="8"/>
      <c r="P137" s="7"/>
      <c r="Q137" s="7"/>
      <c r="R137" s="8"/>
      <c r="S137" s="7"/>
      <c r="T137" s="9"/>
      <c r="U137" s="7"/>
      <c r="V137" s="8"/>
      <c r="W137" s="7"/>
      <c r="X137" s="7"/>
      <c r="Y137" s="8"/>
      <c r="Z137" s="7"/>
      <c r="AA137" s="8"/>
    </row>
    <row r="138" spans="2:27" ht="14.25" thickTop="1" thickBot="1">
      <c r="B138" s="10"/>
      <c r="D138" s="69"/>
      <c r="E138" s="54" t="s">
        <v>349</v>
      </c>
      <c r="F138" s="7"/>
      <c r="G138" s="8"/>
      <c r="H138" s="7"/>
      <c r="I138" s="6"/>
      <c r="J138" s="7"/>
      <c r="K138" s="8"/>
      <c r="L138" s="7"/>
      <c r="M138" s="8"/>
      <c r="N138" s="7"/>
      <c r="O138" s="8"/>
      <c r="P138" s="7"/>
      <c r="Q138" s="7"/>
      <c r="R138" s="8"/>
      <c r="S138" s="7"/>
      <c r="T138" s="9"/>
      <c r="U138" s="7"/>
      <c r="V138" s="8"/>
      <c r="W138" s="7"/>
      <c r="X138" s="7"/>
      <c r="Y138" s="8"/>
      <c r="Z138" s="7"/>
      <c r="AA138" s="8"/>
    </row>
    <row r="139" spans="2:27" ht="14.25" thickTop="1" thickBot="1">
      <c r="B139" s="10"/>
      <c r="D139" s="69"/>
      <c r="E139" s="54" t="s">
        <v>350</v>
      </c>
      <c r="F139" s="7"/>
      <c r="G139" s="8"/>
      <c r="H139" s="7"/>
      <c r="I139" s="6"/>
      <c r="J139" s="7"/>
      <c r="K139" s="8"/>
      <c r="L139" s="7"/>
      <c r="M139" s="8"/>
      <c r="N139" s="7"/>
      <c r="O139" s="8"/>
      <c r="P139" s="7"/>
      <c r="Q139" s="7"/>
      <c r="R139" s="8"/>
      <c r="S139" s="7"/>
      <c r="T139" s="9"/>
      <c r="U139" s="7"/>
      <c r="V139" s="8"/>
      <c r="W139" s="7"/>
      <c r="X139" s="7"/>
      <c r="Y139" s="8"/>
      <c r="Z139" s="7"/>
      <c r="AA139" s="8"/>
    </row>
    <row r="140" spans="2:27" ht="14.25" thickTop="1" thickBot="1">
      <c r="B140" s="10"/>
      <c r="D140" s="69"/>
      <c r="E140" s="54" t="s">
        <v>535</v>
      </c>
      <c r="F140" s="7"/>
      <c r="G140" s="8"/>
      <c r="H140" s="7"/>
      <c r="I140" s="6"/>
      <c r="J140" s="7"/>
      <c r="K140" s="8"/>
      <c r="L140" s="7"/>
      <c r="M140" s="8"/>
      <c r="N140" s="7"/>
      <c r="O140" s="8"/>
      <c r="P140" s="7"/>
      <c r="Q140" s="7"/>
      <c r="R140" s="8"/>
      <c r="S140" s="7"/>
      <c r="T140" s="9"/>
      <c r="U140" s="7"/>
      <c r="V140" s="8"/>
      <c r="W140" s="7"/>
      <c r="X140" s="7"/>
      <c r="Y140" s="8"/>
      <c r="Z140" s="7"/>
      <c r="AA140" s="8"/>
    </row>
    <row r="141" spans="2:27" ht="14.25" thickTop="1" thickBot="1">
      <c r="B141" s="10"/>
      <c r="D141" s="69"/>
      <c r="E141" s="54" t="s">
        <v>612</v>
      </c>
      <c r="F141" s="7"/>
      <c r="G141" s="8"/>
      <c r="H141" s="7"/>
      <c r="I141" s="6"/>
      <c r="J141" s="7"/>
      <c r="K141" s="8"/>
      <c r="L141" s="7"/>
      <c r="M141" s="8"/>
      <c r="N141" s="7"/>
      <c r="O141" s="8"/>
      <c r="P141" s="7"/>
      <c r="Q141" s="7"/>
      <c r="R141" s="8"/>
      <c r="S141" s="7"/>
      <c r="T141" s="9"/>
      <c r="U141" s="7"/>
      <c r="V141" s="8"/>
      <c r="W141" s="7"/>
      <c r="X141" s="7"/>
      <c r="Y141" s="8"/>
      <c r="Z141" s="7"/>
      <c r="AA141" s="8"/>
    </row>
    <row r="142" spans="2:27" ht="14.25" thickTop="1" thickBot="1">
      <c r="B142" s="10"/>
      <c r="D142" s="69"/>
      <c r="E142" s="54" t="s">
        <v>353</v>
      </c>
      <c r="F142" s="7"/>
      <c r="G142" s="8"/>
      <c r="H142" s="7"/>
      <c r="I142" s="6"/>
      <c r="J142" s="7"/>
      <c r="K142" s="8"/>
      <c r="L142" s="7"/>
      <c r="M142" s="8"/>
      <c r="N142" s="7"/>
      <c r="O142" s="8"/>
      <c r="P142" s="7"/>
      <c r="Q142" s="7"/>
      <c r="R142" s="8"/>
      <c r="S142" s="7"/>
      <c r="T142" s="9"/>
      <c r="U142" s="7"/>
      <c r="V142" s="8"/>
      <c r="W142" s="7"/>
      <c r="X142" s="7"/>
      <c r="Y142" s="8"/>
      <c r="Z142" s="7"/>
      <c r="AA142" s="8"/>
    </row>
    <row r="143" spans="2:27" ht="14.25" thickTop="1" thickBot="1">
      <c r="B143" s="10"/>
      <c r="D143" s="69"/>
      <c r="E143" s="54" t="s">
        <v>617</v>
      </c>
      <c r="F143" s="7"/>
      <c r="G143" s="8"/>
      <c r="H143" s="7"/>
      <c r="I143" s="6"/>
      <c r="J143" s="7"/>
      <c r="K143" s="8"/>
      <c r="L143" s="7"/>
      <c r="M143" s="8"/>
      <c r="N143" s="7"/>
      <c r="O143" s="8"/>
      <c r="P143" s="7"/>
      <c r="Q143" s="7"/>
      <c r="R143" s="8"/>
      <c r="S143" s="7"/>
      <c r="T143" s="9"/>
      <c r="U143" s="7"/>
      <c r="V143" s="8"/>
      <c r="W143" s="7"/>
      <c r="X143" s="7"/>
      <c r="Y143" s="8"/>
      <c r="Z143" s="7"/>
      <c r="AA143" s="8"/>
    </row>
    <row r="144" spans="2:27" ht="14.25" thickTop="1" thickBot="1">
      <c r="B144" s="10"/>
      <c r="D144" s="69"/>
      <c r="E144" s="54" t="s">
        <v>312</v>
      </c>
      <c r="F144" s="7"/>
      <c r="G144" s="8"/>
      <c r="H144" s="7"/>
      <c r="I144" s="6"/>
      <c r="J144" s="7"/>
      <c r="K144" s="8"/>
      <c r="L144" s="7"/>
      <c r="M144" s="8"/>
      <c r="N144" s="7"/>
      <c r="O144" s="8"/>
      <c r="P144" s="7"/>
      <c r="Q144" s="7"/>
      <c r="R144" s="8"/>
      <c r="S144" s="7"/>
      <c r="T144" s="9"/>
      <c r="U144" s="7"/>
      <c r="V144" s="8"/>
      <c r="W144" s="7"/>
      <c r="X144" s="7"/>
      <c r="Y144" s="8"/>
      <c r="Z144" s="7"/>
      <c r="AA144" s="8"/>
    </row>
    <row r="145" spans="2:27" ht="14.25" thickTop="1" thickBot="1">
      <c r="B145" s="10"/>
      <c r="D145" s="69"/>
      <c r="E145" s="54" t="s">
        <v>358</v>
      </c>
      <c r="F145" s="7"/>
      <c r="G145" s="8"/>
      <c r="H145" s="7"/>
      <c r="I145" s="6"/>
      <c r="J145" s="7"/>
      <c r="K145" s="8"/>
      <c r="L145" s="7"/>
      <c r="M145" s="8"/>
      <c r="N145" s="7"/>
      <c r="O145" s="8"/>
      <c r="P145" s="7"/>
      <c r="Q145" s="7"/>
      <c r="R145" s="8"/>
      <c r="S145" s="7"/>
      <c r="T145" s="9"/>
      <c r="U145" s="7"/>
      <c r="V145" s="8"/>
      <c r="W145" s="7"/>
      <c r="X145" s="7"/>
      <c r="Y145" s="8"/>
      <c r="Z145" s="7"/>
      <c r="AA145" s="8"/>
    </row>
    <row r="146" spans="2:27" ht="14.25" thickTop="1" thickBot="1">
      <c r="B146" s="10"/>
      <c r="D146" s="69"/>
      <c r="E146" s="54" t="s">
        <v>360</v>
      </c>
      <c r="F146" s="7"/>
      <c r="G146" s="8"/>
      <c r="H146" s="7"/>
      <c r="I146" s="6"/>
      <c r="J146" s="7"/>
      <c r="K146" s="8"/>
      <c r="L146" s="7"/>
      <c r="M146" s="8"/>
      <c r="N146" s="7"/>
      <c r="O146" s="8"/>
      <c r="P146" s="7"/>
      <c r="Q146" s="7"/>
      <c r="R146" s="8"/>
      <c r="S146" s="7"/>
      <c r="T146" s="9"/>
      <c r="U146" s="7"/>
      <c r="V146" s="8"/>
      <c r="W146" s="7"/>
      <c r="X146" s="7"/>
      <c r="Y146" s="8"/>
      <c r="Z146" s="7"/>
      <c r="AA146" s="8"/>
    </row>
    <row r="147" spans="2:27" ht="14.25" thickTop="1" thickBot="1">
      <c r="B147" s="10"/>
      <c r="D147" s="69"/>
      <c r="E147" s="54" t="s">
        <v>689</v>
      </c>
      <c r="F147" s="7"/>
      <c r="G147" s="8"/>
      <c r="H147" s="7"/>
      <c r="I147" s="6"/>
      <c r="J147" s="7"/>
      <c r="K147" s="8"/>
      <c r="L147" s="7"/>
      <c r="M147" s="8"/>
      <c r="N147" s="7"/>
      <c r="O147" s="8"/>
      <c r="P147" s="7"/>
      <c r="Q147" s="7"/>
      <c r="R147" s="8"/>
      <c r="S147" s="7"/>
      <c r="T147" s="9"/>
      <c r="U147" s="7"/>
      <c r="V147" s="8"/>
      <c r="W147" s="7"/>
      <c r="X147" s="7"/>
      <c r="Y147" s="8"/>
      <c r="Z147" s="7"/>
      <c r="AA147" s="8"/>
    </row>
    <row r="148" spans="2:27" ht="14.25" thickTop="1" thickBot="1">
      <c r="B148" s="10"/>
      <c r="D148" s="69"/>
      <c r="E148" s="54" t="s">
        <v>580</v>
      </c>
      <c r="F148" s="7"/>
      <c r="G148" s="8"/>
      <c r="H148" s="7"/>
      <c r="I148" s="6"/>
      <c r="J148" s="7"/>
      <c r="K148" s="8"/>
      <c r="L148" s="7"/>
      <c r="M148" s="8"/>
      <c r="N148" s="7"/>
      <c r="O148" s="8"/>
      <c r="P148" s="7"/>
      <c r="Q148" s="7"/>
      <c r="R148" s="8"/>
      <c r="S148" s="7"/>
      <c r="T148" s="9"/>
      <c r="U148" s="7"/>
      <c r="V148" s="8"/>
      <c r="W148" s="7"/>
      <c r="X148" s="7"/>
      <c r="Y148" s="8"/>
      <c r="Z148" s="7"/>
      <c r="AA148" s="8"/>
    </row>
    <row r="149" spans="2:27" ht="14.25" thickTop="1" thickBot="1">
      <c r="B149" s="10"/>
      <c r="D149" s="69"/>
      <c r="E149" s="54" t="s">
        <v>362</v>
      </c>
      <c r="F149" s="7"/>
      <c r="G149" s="8"/>
      <c r="H149" s="7"/>
      <c r="I149" s="6"/>
      <c r="J149" s="7"/>
      <c r="K149" s="8"/>
      <c r="L149" s="7"/>
      <c r="M149" s="8"/>
      <c r="N149" s="7"/>
      <c r="O149" s="8"/>
      <c r="P149" s="7"/>
      <c r="Q149" s="7"/>
      <c r="R149" s="8"/>
      <c r="S149" s="7"/>
      <c r="T149" s="9"/>
      <c r="U149" s="7"/>
      <c r="V149" s="8"/>
      <c r="W149" s="7"/>
      <c r="X149" s="7"/>
      <c r="Y149" s="8"/>
      <c r="Z149" s="7"/>
      <c r="AA149" s="8"/>
    </row>
    <row r="150" spans="2:27" ht="14.25" thickTop="1" thickBot="1">
      <c r="B150" s="10"/>
      <c r="D150" s="69"/>
      <c r="E150" s="54" t="s">
        <v>608</v>
      </c>
      <c r="F150" s="7"/>
      <c r="G150" s="8"/>
      <c r="H150" s="7"/>
      <c r="I150" s="6"/>
      <c r="J150" s="7"/>
      <c r="K150" s="8"/>
      <c r="L150" s="7"/>
      <c r="M150" s="8"/>
      <c r="N150" s="7"/>
      <c r="O150" s="8"/>
      <c r="P150" s="7"/>
      <c r="Q150" s="7"/>
      <c r="R150" s="8"/>
      <c r="S150" s="7"/>
      <c r="T150" s="9"/>
      <c r="U150" s="7"/>
      <c r="V150" s="8"/>
      <c r="W150" s="7"/>
      <c r="X150" s="7"/>
      <c r="Y150" s="8"/>
      <c r="Z150" s="7"/>
      <c r="AA150" s="8"/>
    </row>
    <row r="151" spans="2:27" ht="14.25" thickTop="1" thickBot="1">
      <c r="B151" s="10"/>
      <c r="D151" s="69"/>
      <c r="E151" s="54" t="s">
        <v>955</v>
      </c>
      <c r="F151" s="7"/>
      <c r="G151" s="8"/>
      <c r="H151" s="7"/>
      <c r="I151" s="6"/>
      <c r="J151" s="7"/>
      <c r="K151" s="8"/>
      <c r="L151" s="7"/>
      <c r="M151" s="8"/>
      <c r="N151" s="7"/>
      <c r="O151" s="8"/>
      <c r="P151" s="7"/>
      <c r="Q151" s="7"/>
      <c r="R151" s="8"/>
      <c r="S151" s="7"/>
      <c r="T151" s="9"/>
      <c r="U151" s="7"/>
      <c r="V151" s="8"/>
      <c r="W151" s="7"/>
      <c r="X151" s="7"/>
      <c r="Y151" s="8"/>
      <c r="Z151" s="7"/>
      <c r="AA151" s="8"/>
    </row>
    <row r="152" spans="2:27" ht="14.25" thickTop="1" thickBot="1">
      <c r="B152" s="10"/>
      <c r="D152" s="69"/>
      <c r="E152" s="54" t="s">
        <v>971</v>
      </c>
      <c r="F152" s="7"/>
      <c r="G152" s="8"/>
      <c r="H152" s="7"/>
      <c r="I152" s="6"/>
      <c r="J152" s="7"/>
      <c r="K152" s="8"/>
      <c r="L152" s="7"/>
      <c r="M152" s="8"/>
      <c r="N152" s="7"/>
      <c r="O152" s="8"/>
      <c r="P152" s="7"/>
      <c r="Q152" s="7"/>
      <c r="R152" s="8"/>
      <c r="S152" s="7"/>
      <c r="T152" s="9"/>
      <c r="U152" s="7"/>
      <c r="V152" s="8"/>
      <c r="W152" s="7"/>
      <c r="X152" s="7"/>
      <c r="Y152" s="8"/>
      <c r="Z152" s="7"/>
      <c r="AA152" s="8"/>
    </row>
    <row r="153" spans="2:27" ht="14.25" thickTop="1" thickBot="1">
      <c r="B153" s="10"/>
      <c r="D153" s="69"/>
      <c r="E153" s="54" t="s">
        <v>972</v>
      </c>
      <c r="F153" s="7"/>
      <c r="G153" s="8"/>
      <c r="H153" s="7"/>
      <c r="I153" s="6"/>
      <c r="J153" s="7"/>
      <c r="K153" s="8"/>
      <c r="L153" s="7"/>
      <c r="M153" s="8"/>
      <c r="N153" s="7"/>
      <c r="O153" s="8"/>
      <c r="P153" s="7"/>
      <c r="Q153" s="7"/>
      <c r="R153" s="8"/>
      <c r="S153" s="7"/>
      <c r="T153" s="9"/>
      <c r="U153" s="7"/>
      <c r="V153" s="8"/>
      <c r="W153" s="7"/>
      <c r="X153" s="7"/>
      <c r="Y153" s="8"/>
      <c r="Z153" s="7"/>
      <c r="AA153" s="8"/>
    </row>
    <row r="154" spans="2:27" ht="14.25" thickTop="1" thickBot="1">
      <c r="B154" s="10"/>
      <c r="D154" s="69"/>
      <c r="E154" s="54" t="s">
        <v>973</v>
      </c>
      <c r="F154" s="7"/>
      <c r="G154" s="8"/>
      <c r="H154" s="7"/>
      <c r="I154" s="6"/>
      <c r="J154" s="7"/>
      <c r="K154" s="8"/>
      <c r="L154" s="7"/>
      <c r="M154" s="8"/>
      <c r="N154" s="7"/>
      <c r="O154" s="8"/>
      <c r="P154" s="7"/>
      <c r="Q154" s="7"/>
      <c r="R154" s="8"/>
      <c r="S154" s="7"/>
      <c r="T154" s="9"/>
      <c r="U154" s="7"/>
      <c r="V154" s="8"/>
      <c r="W154" s="7"/>
      <c r="X154" s="7"/>
      <c r="Y154" s="8"/>
      <c r="Z154" s="7"/>
      <c r="AA154" s="8"/>
    </row>
    <row r="155" spans="2:27" ht="14.25" thickTop="1" thickBot="1">
      <c r="B155" s="10"/>
      <c r="D155" s="69"/>
      <c r="E155" s="54" t="s">
        <v>363</v>
      </c>
      <c r="F155" s="7"/>
      <c r="G155" s="8"/>
      <c r="H155" s="7"/>
      <c r="I155" s="6"/>
      <c r="J155" s="7"/>
      <c r="K155" s="8"/>
      <c r="L155" s="7"/>
      <c r="M155" s="8"/>
      <c r="N155" s="7"/>
      <c r="O155" s="8"/>
      <c r="P155" s="7"/>
      <c r="Q155" s="7"/>
      <c r="R155" s="8"/>
      <c r="S155" s="7"/>
      <c r="T155" s="9"/>
      <c r="U155" s="7"/>
      <c r="V155" s="8"/>
      <c r="W155" s="7"/>
      <c r="X155" s="7"/>
      <c r="Y155" s="8"/>
      <c r="Z155" s="7"/>
      <c r="AA155" s="8"/>
    </row>
    <row r="156" spans="2:27" ht="14.25" thickTop="1" thickBot="1">
      <c r="B156" s="10"/>
      <c r="D156" s="69"/>
      <c r="E156" s="54" t="s">
        <v>365</v>
      </c>
      <c r="F156" s="7"/>
      <c r="G156" s="8"/>
      <c r="H156" s="7"/>
      <c r="I156" s="6"/>
      <c r="J156" s="7"/>
      <c r="K156" s="8"/>
      <c r="L156" s="7"/>
      <c r="M156" s="8"/>
      <c r="N156" s="7"/>
      <c r="O156" s="8"/>
      <c r="P156" s="7"/>
      <c r="Q156" s="7"/>
      <c r="R156" s="8"/>
      <c r="S156" s="7"/>
      <c r="T156" s="9"/>
      <c r="U156" s="7"/>
      <c r="V156" s="8"/>
      <c r="W156" s="7"/>
      <c r="X156" s="7"/>
      <c r="Y156" s="8"/>
      <c r="Z156" s="7"/>
      <c r="AA156" s="8"/>
    </row>
    <row r="157" spans="2:27" ht="14.25" thickTop="1" thickBot="1">
      <c r="B157" s="10"/>
      <c r="D157" s="69"/>
      <c r="E157" s="54" t="s">
        <v>369</v>
      </c>
      <c r="F157" s="7"/>
      <c r="G157" s="8"/>
      <c r="H157" s="7"/>
      <c r="I157" s="6"/>
      <c r="J157" s="7"/>
      <c r="K157" s="8"/>
      <c r="L157" s="7"/>
      <c r="M157" s="8"/>
      <c r="N157" s="7"/>
      <c r="O157" s="8"/>
      <c r="P157" s="7"/>
      <c r="Q157" s="7"/>
      <c r="R157" s="8"/>
      <c r="S157" s="7"/>
      <c r="T157" s="9"/>
      <c r="U157" s="7"/>
      <c r="V157" s="8"/>
      <c r="W157" s="7"/>
      <c r="X157" s="7"/>
      <c r="Y157" s="8"/>
      <c r="Z157" s="7"/>
      <c r="AA157" s="8"/>
    </row>
    <row r="158" spans="2:27" ht="14.25" thickTop="1" thickBot="1">
      <c r="B158" s="10"/>
      <c r="D158" s="69"/>
      <c r="E158" s="54" t="s">
        <v>1164</v>
      </c>
      <c r="F158" s="7"/>
      <c r="G158" s="8"/>
      <c r="H158" s="7"/>
      <c r="I158" s="6"/>
      <c r="J158" s="7"/>
      <c r="K158" s="8"/>
      <c r="L158" s="7"/>
      <c r="M158" s="8"/>
      <c r="N158" s="7"/>
      <c r="O158" s="8"/>
      <c r="P158" s="7"/>
      <c r="Q158" s="7"/>
      <c r="R158" s="8"/>
      <c r="S158" s="7"/>
      <c r="T158" s="9"/>
      <c r="U158" s="7"/>
      <c r="V158" s="8"/>
      <c r="W158" s="7"/>
      <c r="X158" s="7"/>
      <c r="Y158" s="8"/>
      <c r="Z158" s="7"/>
      <c r="AA158" s="8"/>
    </row>
    <row r="159" spans="2:27" ht="14.25" thickTop="1" thickBot="1">
      <c r="B159" s="10"/>
      <c r="D159" s="69"/>
      <c r="E159" s="54" t="s">
        <v>700</v>
      </c>
      <c r="F159" s="7"/>
      <c r="G159" s="8"/>
      <c r="H159" s="7"/>
      <c r="I159" s="6"/>
      <c r="J159" s="7"/>
      <c r="K159" s="8"/>
      <c r="L159" s="7"/>
      <c r="M159" s="8"/>
      <c r="N159" s="7"/>
      <c r="O159" s="8"/>
      <c r="P159" s="7"/>
      <c r="Q159" s="7"/>
      <c r="R159" s="8"/>
      <c r="S159" s="7"/>
      <c r="T159" s="9"/>
      <c r="U159" s="7"/>
      <c r="V159" s="8"/>
      <c r="W159" s="7"/>
      <c r="X159" s="7"/>
      <c r="Y159" s="8"/>
      <c r="Z159" s="7"/>
      <c r="AA159" s="8"/>
    </row>
    <row r="160" spans="2:27" ht="14.25" thickTop="1" thickBot="1">
      <c r="B160" s="10"/>
      <c r="D160" s="69"/>
      <c r="E160" s="54" t="s">
        <v>951</v>
      </c>
      <c r="F160" s="7"/>
      <c r="G160" s="8"/>
      <c r="H160" s="7"/>
      <c r="I160" s="6"/>
      <c r="J160" s="7"/>
      <c r="K160" s="8"/>
      <c r="L160" s="7"/>
      <c r="M160" s="8"/>
      <c r="N160" s="7"/>
      <c r="O160" s="8"/>
      <c r="P160" s="7"/>
      <c r="Q160" s="7"/>
      <c r="R160" s="8"/>
      <c r="S160" s="7"/>
      <c r="T160" s="9"/>
      <c r="U160" s="7"/>
      <c r="V160" s="8"/>
      <c r="W160" s="7"/>
      <c r="X160" s="7"/>
      <c r="Y160" s="8"/>
      <c r="Z160" s="7"/>
      <c r="AA160" s="8"/>
    </row>
    <row r="161" spans="2:27" ht="14.25" thickTop="1" thickBot="1">
      <c r="B161" s="10"/>
      <c r="D161" s="69"/>
      <c r="E161" s="54" t="s">
        <v>956</v>
      </c>
      <c r="F161" s="7"/>
      <c r="G161" s="8"/>
      <c r="H161" s="7"/>
      <c r="I161" s="6"/>
      <c r="J161" s="7"/>
      <c r="K161" s="8"/>
      <c r="L161" s="7"/>
      <c r="M161" s="8"/>
      <c r="N161" s="7"/>
      <c r="O161" s="8"/>
      <c r="P161" s="7"/>
      <c r="Q161" s="7"/>
      <c r="R161" s="8"/>
      <c r="S161" s="7"/>
      <c r="T161" s="9"/>
      <c r="U161" s="7"/>
      <c r="V161" s="8"/>
      <c r="W161" s="7"/>
      <c r="X161" s="7"/>
      <c r="Y161" s="8"/>
      <c r="Z161" s="7"/>
      <c r="AA161" s="8"/>
    </row>
    <row r="162" spans="2:27" ht="14.25" thickTop="1" thickBot="1">
      <c r="D162" s="69"/>
      <c r="E162" s="54" t="s">
        <v>370</v>
      </c>
      <c r="F162" s="7"/>
      <c r="G162" s="8"/>
      <c r="H162" s="7"/>
      <c r="I162" s="6"/>
      <c r="J162" s="7"/>
      <c r="K162" s="8"/>
      <c r="L162" s="7"/>
      <c r="M162" s="8"/>
      <c r="N162" s="7"/>
      <c r="O162" s="8"/>
      <c r="P162" s="7"/>
      <c r="Q162" s="7"/>
      <c r="R162" s="8"/>
      <c r="S162" s="7"/>
      <c r="T162" s="9"/>
      <c r="U162" s="7"/>
      <c r="V162" s="8"/>
      <c r="W162" s="7"/>
      <c r="X162" s="7"/>
      <c r="Y162" s="8"/>
      <c r="Z162" s="7"/>
      <c r="AA162" s="8"/>
    </row>
    <row r="163" spans="2:27" ht="14.25" thickTop="1" thickBot="1">
      <c r="D163" s="69"/>
      <c r="E163" s="54" t="s">
        <v>371</v>
      </c>
      <c r="F163" s="7"/>
      <c r="G163" s="8"/>
      <c r="H163" s="7"/>
      <c r="I163" s="6"/>
      <c r="J163" s="7"/>
      <c r="K163" s="8"/>
      <c r="L163" s="7"/>
      <c r="M163" s="8"/>
      <c r="N163" s="7"/>
      <c r="O163" s="8"/>
      <c r="P163" s="7"/>
      <c r="Q163" s="7"/>
      <c r="R163" s="8"/>
      <c r="S163" s="7"/>
      <c r="T163" s="9"/>
      <c r="U163" s="7"/>
      <c r="V163" s="8"/>
      <c r="W163" s="7"/>
      <c r="X163" s="7"/>
      <c r="Y163" s="8"/>
      <c r="Z163" s="7"/>
      <c r="AA163" s="8"/>
    </row>
    <row r="164" spans="2:27" ht="14.25" thickTop="1" thickBot="1">
      <c r="D164" s="69"/>
      <c r="E164" s="54" t="s">
        <v>581</v>
      </c>
      <c r="F164" s="7"/>
      <c r="G164" s="8"/>
      <c r="H164" s="7"/>
      <c r="I164" s="6"/>
      <c r="J164" s="7"/>
      <c r="K164" s="8"/>
      <c r="L164" s="7"/>
      <c r="M164" s="8"/>
      <c r="N164" s="7"/>
      <c r="O164" s="8"/>
      <c r="P164" s="7"/>
      <c r="Q164" s="7"/>
      <c r="R164" s="8"/>
      <c r="S164" s="7"/>
      <c r="T164" s="9"/>
      <c r="U164" s="7"/>
      <c r="V164" s="8"/>
      <c r="W164" s="7"/>
      <c r="X164" s="7"/>
      <c r="Y164" s="8"/>
      <c r="Z164" s="7"/>
      <c r="AA164" s="8"/>
    </row>
    <row r="165" spans="2:27" ht="14.25" thickTop="1" thickBot="1">
      <c r="D165" s="69"/>
      <c r="E165" s="54" t="s">
        <v>939</v>
      </c>
      <c r="F165" s="7"/>
      <c r="G165" s="8"/>
      <c r="H165" s="7"/>
      <c r="I165" s="6"/>
      <c r="J165" s="7"/>
      <c r="K165" s="8"/>
      <c r="L165" s="7"/>
      <c r="M165" s="8"/>
      <c r="N165" s="7"/>
      <c r="O165" s="8"/>
      <c r="P165" s="7"/>
      <c r="Q165" s="7"/>
      <c r="R165" s="8"/>
      <c r="S165" s="7"/>
      <c r="T165" s="9"/>
      <c r="U165" s="7"/>
      <c r="V165" s="8"/>
      <c r="W165" s="7"/>
      <c r="X165" s="7"/>
      <c r="Y165" s="8"/>
      <c r="Z165" s="7"/>
      <c r="AA165" s="8"/>
    </row>
    <row r="166" spans="2:27" ht="14.25" thickTop="1" thickBot="1">
      <c r="D166" s="69"/>
      <c r="E166" s="54" t="s">
        <v>926</v>
      </c>
      <c r="F166" s="7"/>
      <c r="G166" s="8"/>
      <c r="H166" s="7"/>
      <c r="I166" s="6"/>
      <c r="J166" s="7"/>
      <c r="K166" s="8"/>
      <c r="L166" s="7"/>
      <c r="M166" s="8"/>
      <c r="N166" s="7"/>
      <c r="O166" s="8"/>
      <c r="P166" s="7"/>
      <c r="Q166" s="7"/>
      <c r="R166" s="8"/>
      <c r="S166" s="7"/>
      <c r="T166" s="9"/>
      <c r="U166" s="7"/>
      <c r="V166" s="8"/>
      <c r="W166" s="7"/>
      <c r="X166" s="7"/>
      <c r="Y166" s="8"/>
      <c r="Z166" s="7"/>
      <c r="AA166" s="8"/>
    </row>
    <row r="167" spans="2:27" ht="14.25" thickTop="1" thickBot="1">
      <c r="D167" s="69"/>
      <c r="E167" s="54" t="s">
        <v>830</v>
      </c>
      <c r="F167" s="7"/>
      <c r="G167" s="8"/>
      <c r="H167" s="7"/>
      <c r="I167" s="6"/>
      <c r="J167" s="7"/>
      <c r="K167" s="8"/>
      <c r="L167" s="7"/>
      <c r="M167" s="8"/>
      <c r="N167" s="7"/>
      <c r="O167" s="8"/>
      <c r="P167" s="7"/>
      <c r="Q167" s="7"/>
      <c r="R167" s="8"/>
      <c r="S167" s="7"/>
      <c r="T167" s="9"/>
      <c r="U167" s="7"/>
      <c r="V167" s="8"/>
      <c r="W167" s="7"/>
      <c r="X167" s="7"/>
      <c r="Y167" s="8"/>
      <c r="Z167" s="7"/>
      <c r="AA167" s="8"/>
    </row>
    <row r="168" spans="2:27" ht="14.25" thickTop="1" thickBot="1">
      <c r="D168" s="69"/>
      <c r="E168" s="54" t="s">
        <v>831</v>
      </c>
      <c r="F168" s="7"/>
      <c r="G168" s="8"/>
      <c r="H168" s="7"/>
      <c r="I168" s="6"/>
      <c r="J168" s="7"/>
      <c r="K168" s="8"/>
      <c r="L168" s="7"/>
      <c r="M168" s="8"/>
      <c r="N168" s="7"/>
      <c r="O168" s="8"/>
      <c r="P168" s="7"/>
      <c r="Q168" s="7"/>
      <c r="R168" s="8"/>
      <c r="S168" s="7"/>
      <c r="T168" s="9"/>
      <c r="U168" s="7"/>
      <c r="V168" s="8"/>
      <c r="W168" s="7"/>
      <c r="X168" s="7"/>
      <c r="Y168" s="8"/>
      <c r="Z168" s="7"/>
      <c r="AA168" s="8"/>
    </row>
    <row r="169" spans="2:27" ht="14.25" thickTop="1" thickBot="1">
      <c r="D169" s="69"/>
      <c r="E169" s="54" t="s">
        <v>833</v>
      </c>
      <c r="F169" s="7"/>
      <c r="G169" s="8"/>
      <c r="H169" s="7"/>
      <c r="I169" s="6"/>
      <c r="J169" s="7"/>
      <c r="K169" s="8"/>
      <c r="L169" s="7"/>
      <c r="M169" s="8"/>
      <c r="N169" s="7"/>
      <c r="O169" s="8"/>
      <c r="P169" s="7"/>
      <c r="Q169" s="7"/>
      <c r="R169" s="8"/>
      <c r="S169" s="7"/>
      <c r="T169" s="9"/>
      <c r="U169" s="7"/>
      <c r="V169" s="8"/>
      <c r="W169" s="7"/>
      <c r="X169" s="7"/>
      <c r="Y169" s="8"/>
      <c r="Z169" s="7"/>
      <c r="AA169" s="8"/>
    </row>
    <row r="170" spans="2:27" ht="14.25" thickTop="1" thickBot="1">
      <c r="D170" s="69"/>
      <c r="E170" s="54" t="s">
        <v>848</v>
      </c>
      <c r="F170" s="7"/>
      <c r="G170" s="8"/>
      <c r="H170" s="7"/>
      <c r="I170" s="6"/>
      <c r="J170" s="7"/>
      <c r="K170" s="8"/>
      <c r="L170" s="7"/>
      <c r="M170" s="8"/>
      <c r="N170" s="7"/>
      <c r="O170" s="8"/>
      <c r="P170" s="7"/>
      <c r="Q170" s="7"/>
      <c r="R170" s="8"/>
      <c r="S170" s="7"/>
      <c r="T170" s="9"/>
      <c r="U170" s="7"/>
      <c r="V170" s="8"/>
      <c r="W170" s="7"/>
      <c r="X170" s="7"/>
      <c r="Y170" s="8"/>
      <c r="Z170" s="7"/>
      <c r="AA170" s="8"/>
    </row>
    <row r="171" spans="2:27" ht="14.25" thickTop="1" thickBot="1">
      <c r="D171" s="69"/>
      <c r="E171" s="54" t="s">
        <v>846</v>
      </c>
      <c r="F171" s="7"/>
      <c r="G171" s="8"/>
      <c r="H171" s="7"/>
      <c r="I171" s="6"/>
      <c r="J171" s="7"/>
      <c r="K171" s="8"/>
      <c r="L171" s="7"/>
      <c r="M171" s="8"/>
      <c r="N171" s="7"/>
      <c r="O171" s="8"/>
      <c r="P171" s="7"/>
      <c r="Q171" s="7"/>
      <c r="R171" s="8"/>
      <c r="S171" s="7"/>
      <c r="T171" s="9"/>
      <c r="U171" s="7"/>
      <c r="V171" s="8"/>
      <c r="W171" s="7"/>
      <c r="X171" s="7"/>
      <c r="Y171" s="8"/>
      <c r="Z171" s="7"/>
      <c r="AA171" s="8"/>
    </row>
    <row r="172" spans="2:27" ht="14.25" thickTop="1" thickBot="1">
      <c r="D172" s="69"/>
      <c r="E172" s="54" t="s">
        <v>419</v>
      </c>
      <c r="F172" s="7"/>
      <c r="G172" s="8"/>
      <c r="H172" s="7"/>
      <c r="I172" s="6"/>
      <c r="J172" s="7"/>
      <c r="K172" s="8"/>
      <c r="L172" s="7"/>
      <c r="M172" s="8"/>
      <c r="N172" s="7"/>
      <c r="O172" s="8"/>
      <c r="P172" s="7"/>
      <c r="Q172" s="7"/>
      <c r="R172" s="8"/>
      <c r="S172" s="7"/>
      <c r="T172" s="9"/>
      <c r="U172" s="7"/>
      <c r="V172" s="8"/>
      <c r="W172" s="7"/>
      <c r="X172" s="7"/>
      <c r="Y172" s="8"/>
      <c r="Z172" s="7"/>
      <c r="AA172" s="8"/>
    </row>
    <row r="173" spans="2:27" ht="14.25" thickTop="1" thickBot="1">
      <c r="D173" s="69"/>
      <c r="E173" s="54" t="s">
        <v>862</v>
      </c>
      <c r="F173" s="7"/>
      <c r="G173" s="8"/>
      <c r="H173" s="7"/>
      <c r="I173" s="6"/>
      <c r="J173" s="7"/>
      <c r="K173" s="8"/>
      <c r="L173" s="7"/>
      <c r="M173" s="8"/>
      <c r="N173" s="7"/>
      <c r="O173" s="8"/>
      <c r="P173" s="7"/>
      <c r="Q173" s="7"/>
      <c r="R173" s="8"/>
      <c r="S173" s="7"/>
      <c r="T173" s="9"/>
      <c r="U173" s="7"/>
      <c r="V173" s="8"/>
      <c r="W173" s="7"/>
      <c r="X173" s="7"/>
      <c r="Y173" s="8"/>
      <c r="Z173" s="7"/>
      <c r="AA173" s="8"/>
    </row>
    <row r="174" spans="2:27" ht="14.25" thickTop="1" thickBot="1">
      <c r="D174" s="69"/>
      <c r="E174" s="54" t="s">
        <v>829</v>
      </c>
      <c r="F174" s="7"/>
      <c r="G174" s="8"/>
      <c r="H174" s="7"/>
      <c r="I174" s="6"/>
      <c r="J174" s="7"/>
      <c r="K174" s="8"/>
      <c r="L174" s="7"/>
      <c r="M174" s="8"/>
      <c r="N174" s="7"/>
      <c r="O174" s="8"/>
      <c r="P174" s="7"/>
      <c r="Q174" s="7"/>
      <c r="R174" s="8"/>
      <c r="S174" s="7"/>
      <c r="T174" s="9"/>
      <c r="U174" s="7"/>
      <c r="V174" s="8"/>
      <c r="W174" s="7"/>
      <c r="X174" s="7"/>
      <c r="Y174" s="8"/>
      <c r="Z174" s="7"/>
      <c r="AA174" s="8"/>
    </row>
    <row r="175" spans="2:27" ht="14.25" thickTop="1" thickBot="1">
      <c r="D175" s="69"/>
      <c r="E175" s="54" t="s">
        <v>832</v>
      </c>
      <c r="F175" s="7"/>
      <c r="G175" s="8"/>
      <c r="H175" s="7"/>
      <c r="I175" s="6"/>
      <c r="J175" s="7"/>
      <c r="K175" s="8"/>
      <c r="L175" s="7"/>
      <c r="M175" s="8"/>
      <c r="N175" s="7"/>
      <c r="O175" s="8"/>
      <c r="P175" s="7"/>
      <c r="Q175" s="7"/>
      <c r="R175" s="8"/>
      <c r="S175" s="7"/>
      <c r="T175" s="9"/>
      <c r="U175" s="7"/>
      <c r="V175" s="8"/>
      <c r="W175" s="7"/>
      <c r="X175" s="7"/>
      <c r="Y175" s="8"/>
      <c r="Z175" s="7"/>
      <c r="AA175" s="8"/>
    </row>
    <row r="176" spans="2:27" ht="14.25" thickTop="1" thickBot="1">
      <c r="D176" s="69"/>
      <c r="E176" s="54" t="s">
        <v>834</v>
      </c>
      <c r="F176" s="7"/>
      <c r="G176" s="8"/>
      <c r="H176" s="7"/>
      <c r="I176" s="6"/>
      <c r="J176" s="7"/>
      <c r="K176" s="8"/>
      <c r="L176" s="7"/>
      <c r="M176" s="8"/>
      <c r="N176" s="7"/>
      <c r="O176" s="8"/>
      <c r="P176" s="7"/>
      <c r="Q176" s="7"/>
      <c r="R176" s="8"/>
      <c r="S176" s="7"/>
      <c r="T176" s="9"/>
      <c r="U176" s="7"/>
      <c r="V176" s="8"/>
      <c r="W176" s="7"/>
      <c r="X176" s="7"/>
      <c r="Y176" s="8"/>
      <c r="Z176" s="7"/>
      <c r="AA176" s="8"/>
    </row>
    <row r="177" spans="4:27" ht="14.25" thickTop="1" thickBot="1">
      <c r="D177" s="69"/>
      <c r="E177" s="54" t="s">
        <v>418</v>
      </c>
      <c r="F177" s="7"/>
      <c r="G177" s="8"/>
      <c r="H177" s="7"/>
      <c r="I177" s="6"/>
      <c r="J177" s="7"/>
      <c r="K177" s="8"/>
      <c r="L177" s="7"/>
      <c r="M177" s="8"/>
      <c r="N177" s="7"/>
      <c r="O177" s="8"/>
      <c r="P177" s="7"/>
      <c r="Q177" s="7"/>
      <c r="R177" s="8"/>
      <c r="S177" s="7"/>
      <c r="T177" s="9"/>
      <c r="U177" s="7"/>
      <c r="V177" s="8"/>
      <c r="W177" s="7"/>
      <c r="X177" s="7"/>
      <c r="Y177" s="8"/>
      <c r="Z177" s="7"/>
      <c r="AA177" s="8"/>
    </row>
    <row r="178" spans="4:27" ht="14.25" thickTop="1" thickBot="1">
      <c r="D178" s="69"/>
      <c r="E178" s="54" t="s">
        <v>839</v>
      </c>
      <c r="F178" s="7"/>
      <c r="G178" s="8"/>
      <c r="H178" s="7"/>
      <c r="I178" s="6"/>
      <c r="J178" s="7"/>
      <c r="K178" s="8"/>
      <c r="L178" s="7"/>
      <c r="M178" s="8"/>
      <c r="N178" s="7"/>
      <c r="O178" s="8"/>
      <c r="P178" s="7"/>
      <c r="Q178" s="7"/>
      <c r="R178" s="8"/>
      <c r="S178" s="7"/>
      <c r="T178" s="9"/>
      <c r="U178" s="7"/>
      <c r="V178" s="8"/>
      <c r="W178" s="7"/>
      <c r="X178" s="7"/>
      <c r="Y178" s="8"/>
      <c r="Z178" s="7"/>
      <c r="AA178" s="8"/>
    </row>
    <row r="179" spans="4:27" ht="14.25" thickTop="1" thickBot="1">
      <c r="D179" s="69"/>
      <c r="E179" s="54" t="s">
        <v>852</v>
      </c>
      <c r="F179" s="7"/>
      <c r="G179" s="8"/>
      <c r="H179" s="7"/>
      <c r="I179" s="6"/>
      <c r="J179" s="7"/>
      <c r="K179" s="8"/>
      <c r="L179" s="7"/>
      <c r="M179" s="8"/>
      <c r="N179" s="7"/>
      <c r="O179" s="8"/>
      <c r="P179" s="7"/>
      <c r="Q179" s="7"/>
      <c r="R179" s="8"/>
      <c r="S179" s="7"/>
      <c r="T179" s="9"/>
      <c r="U179" s="7"/>
      <c r="V179" s="8"/>
      <c r="W179" s="7"/>
      <c r="X179" s="7"/>
      <c r="Y179" s="8"/>
      <c r="Z179" s="7"/>
      <c r="AA179" s="8"/>
    </row>
    <row r="180" spans="4:27" ht="14.25" thickTop="1" thickBot="1">
      <c r="D180" s="69"/>
      <c r="E180" s="54" t="s">
        <v>847</v>
      </c>
      <c r="F180" s="7"/>
      <c r="G180" s="8"/>
      <c r="H180" s="7"/>
      <c r="I180" s="6"/>
      <c r="J180" s="7"/>
      <c r="K180" s="8"/>
      <c r="L180" s="7"/>
      <c r="M180" s="8"/>
      <c r="N180" s="7"/>
      <c r="O180" s="8"/>
      <c r="P180" s="7"/>
      <c r="Q180" s="7"/>
      <c r="R180" s="8"/>
      <c r="S180" s="7"/>
      <c r="T180" s="9"/>
      <c r="U180" s="7"/>
      <c r="V180" s="8"/>
      <c r="W180" s="7"/>
      <c r="X180" s="7"/>
      <c r="Y180" s="8"/>
      <c r="Z180" s="7"/>
      <c r="AA180" s="8"/>
    </row>
    <row r="181" spans="4:27" ht="14.25" thickTop="1" thickBot="1">
      <c r="D181" s="69"/>
      <c r="E181" s="54" t="s">
        <v>851</v>
      </c>
      <c r="F181" s="7"/>
      <c r="G181" s="8"/>
      <c r="H181" s="7"/>
      <c r="I181" s="6"/>
      <c r="J181" s="7"/>
      <c r="K181" s="8"/>
      <c r="L181" s="7"/>
      <c r="M181" s="8"/>
      <c r="N181" s="7"/>
      <c r="O181" s="8"/>
      <c r="P181" s="7"/>
      <c r="Q181" s="7"/>
      <c r="R181" s="8"/>
      <c r="S181" s="7"/>
      <c r="T181" s="9"/>
      <c r="U181" s="7"/>
      <c r="V181" s="8"/>
      <c r="W181" s="7"/>
      <c r="X181" s="7"/>
      <c r="Y181" s="8"/>
      <c r="Z181" s="7"/>
      <c r="AA181" s="8"/>
    </row>
    <row r="182" spans="4:27" ht="14.25" thickTop="1" thickBot="1">
      <c r="D182" s="69"/>
      <c r="E182" s="54" t="s">
        <v>875</v>
      </c>
      <c r="F182" s="7"/>
      <c r="G182" s="8"/>
      <c r="H182" s="7"/>
      <c r="I182" s="6"/>
      <c r="J182" s="7"/>
      <c r="K182" s="8"/>
      <c r="L182" s="7"/>
      <c r="M182" s="8"/>
      <c r="N182" s="7"/>
      <c r="O182" s="8"/>
      <c r="P182" s="7"/>
      <c r="Q182" s="7"/>
      <c r="R182" s="8"/>
      <c r="S182" s="7"/>
      <c r="T182" s="9"/>
      <c r="U182" s="7"/>
      <c r="V182" s="8"/>
      <c r="W182" s="7"/>
      <c r="X182" s="7"/>
      <c r="Y182" s="8"/>
      <c r="Z182" s="7"/>
      <c r="AA182" s="8"/>
    </row>
    <row r="183" spans="4:27" ht="14.25" thickTop="1" thickBot="1">
      <c r="D183" s="69"/>
      <c r="E183" s="54" t="s">
        <v>428</v>
      </c>
      <c r="F183" s="7"/>
      <c r="G183" s="8"/>
      <c r="H183" s="7"/>
      <c r="I183" s="6"/>
      <c r="J183" s="7"/>
      <c r="K183" s="8"/>
      <c r="L183" s="7"/>
      <c r="M183" s="8"/>
      <c r="N183" s="7"/>
      <c r="O183" s="8"/>
      <c r="P183" s="7"/>
      <c r="Q183" s="7"/>
      <c r="R183" s="8"/>
      <c r="S183" s="7"/>
      <c r="T183" s="9"/>
      <c r="U183" s="7"/>
      <c r="V183" s="8"/>
      <c r="W183" s="7"/>
      <c r="X183" s="7"/>
      <c r="Y183" s="8"/>
      <c r="Z183" s="7"/>
      <c r="AA183" s="8"/>
    </row>
    <row r="184" spans="4:27" ht="14.25" thickTop="1" thickBot="1">
      <c r="D184" s="69"/>
      <c r="E184" s="54" t="s">
        <v>424</v>
      </c>
      <c r="F184" s="7"/>
      <c r="G184" s="8"/>
      <c r="H184" s="7"/>
      <c r="I184" s="6"/>
      <c r="J184" s="7"/>
      <c r="K184" s="8"/>
      <c r="L184" s="7"/>
      <c r="M184" s="8"/>
      <c r="N184" s="7"/>
      <c r="O184" s="8"/>
      <c r="P184" s="7"/>
      <c r="Q184" s="7"/>
      <c r="R184" s="8"/>
      <c r="S184" s="7"/>
      <c r="T184" s="9"/>
      <c r="U184" s="7"/>
      <c r="V184" s="8"/>
      <c r="W184" s="7"/>
      <c r="X184" s="7"/>
      <c r="Y184" s="8"/>
      <c r="Z184" s="7"/>
      <c r="AA184" s="8"/>
    </row>
    <row r="185" spans="4:27" ht="14.25" thickTop="1" thickBot="1">
      <c r="D185" s="69"/>
      <c r="E185" s="54" t="s">
        <v>425</v>
      </c>
      <c r="F185" s="7"/>
      <c r="G185" s="8"/>
      <c r="H185" s="7"/>
      <c r="I185" s="6"/>
      <c r="J185" s="7"/>
      <c r="K185" s="8"/>
      <c r="L185" s="7"/>
      <c r="M185" s="8"/>
      <c r="N185" s="7"/>
      <c r="O185" s="8"/>
      <c r="P185" s="7"/>
      <c r="Q185" s="7"/>
      <c r="R185" s="8"/>
      <c r="S185" s="7"/>
      <c r="T185" s="9"/>
      <c r="U185" s="7"/>
      <c r="V185" s="8"/>
      <c r="W185" s="7"/>
      <c r="X185" s="7"/>
      <c r="Y185" s="8"/>
      <c r="Z185" s="7"/>
      <c r="AA185" s="8"/>
    </row>
    <row r="186" spans="4:27" ht="14.25" thickTop="1" thickBot="1">
      <c r="D186" s="69"/>
      <c r="E186" s="54" t="s">
        <v>842</v>
      </c>
      <c r="F186" s="7"/>
      <c r="G186" s="8"/>
      <c r="H186" s="7"/>
      <c r="I186" s="6"/>
      <c r="J186" s="7"/>
      <c r="K186" s="8"/>
      <c r="L186" s="7"/>
      <c r="M186" s="8"/>
      <c r="N186" s="7"/>
      <c r="O186" s="8"/>
      <c r="P186" s="7"/>
      <c r="Q186" s="7"/>
      <c r="R186" s="8"/>
      <c r="S186" s="7"/>
      <c r="T186" s="9"/>
      <c r="U186" s="7"/>
      <c r="V186" s="8"/>
      <c r="W186" s="7"/>
      <c r="X186" s="7"/>
      <c r="Y186" s="8"/>
      <c r="Z186" s="7"/>
      <c r="AA186" s="8"/>
    </row>
    <row r="187" spans="4:27" ht="14.25" thickTop="1" thickBot="1">
      <c r="D187" s="69"/>
      <c r="E187" s="54" t="s">
        <v>426</v>
      </c>
      <c r="F187" s="7"/>
      <c r="G187" s="8"/>
      <c r="H187" s="7"/>
      <c r="I187" s="6"/>
      <c r="J187" s="7"/>
      <c r="K187" s="8"/>
      <c r="L187" s="7"/>
      <c r="M187" s="8"/>
      <c r="N187" s="7"/>
      <c r="O187" s="8"/>
      <c r="P187" s="7"/>
      <c r="Q187" s="7"/>
      <c r="R187" s="8"/>
      <c r="S187" s="7"/>
      <c r="T187" s="9"/>
      <c r="U187" s="7"/>
      <c r="V187" s="8"/>
      <c r="W187" s="7"/>
      <c r="X187" s="7"/>
      <c r="Y187" s="8"/>
      <c r="Z187" s="7"/>
      <c r="AA187" s="8"/>
    </row>
    <row r="188" spans="4:27" ht="14.25" thickTop="1" thickBot="1">
      <c r="D188" s="69"/>
      <c r="E188" s="54" t="s">
        <v>423</v>
      </c>
      <c r="F188" s="7"/>
      <c r="G188" s="8"/>
      <c r="H188" s="7"/>
      <c r="I188" s="6"/>
      <c r="J188" s="7"/>
      <c r="K188" s="8"/>
      <c r="L188" s="7"/>
      <c r="M188" s="8"/>
      <c r="N188" s="7"/>
      <c r="O188" s="8"/>
      <c r="P188" s="7"/>
      <c r="Q188" s="7"/>
      <c r="R188" s="8"/>
      <c r="S188" s="7"/>
      <c r="T188" s="9"/>
      <c r="U188" s="7"/>
      <c r="V188" s="8"/>
      <c r="W188" s="7"/>
      <c r="X188" s="7"/>
      <c r="Y188" s="8"/>
      <c r="Z188" s="7"/>
      <c r="AA188" s="8"/>
    </row>
    <row r="189" spans="4:27" ht="14.25" thickTop="1" thickBot="1">
      <c r="D189" s="69"/>
      <c r="E189" s="54" t="s">
        <v>422</v>
      </c>
      <c r="F189" s="7"/>
      <c r="G189" s="8"/>
      <c r="H189" s="7"/>
      <c r="I189" s="6"/>
      <c r="J189" s="7"/>
      <c r="K189" s="8"/>
      <c r="L189" s="7"/>
      <c r="M189" s="8"/>
      <c r="N189" s="7"/>
      <c r="O189" s="8"/>
      <c r="P189" s="7"/>
      <c r="Q189" s="7"/>
      <c r="R189" s="8"/>
      <c r="S189" s="7"/>
      <c r="T189" s="9"/>
      <c r="U189" s="7"/>
      <c r="V189" s="8"/>
      <c r="W189" s="7"/>
      <c r="X189" s="7"/>
      <c r="Y189" s="8"/>
      <c r="Z189" s="7"/>
      <c r="AA189" s="8"/>
    </row>
    <row r="190" spans="4:27" ht="14.25" thickTop="1" thickBot="1">
      <c r="D190" s="69"/>
      <c r="E190" s="54" t="s">
        <v>421</v>
      </c>
      <c r="F190" s="7"/>
      <c r="G190" s="8"/>
      <c r="H190" s="7"/>
      <c r="I190" s="6"/>
      <c r="J190" s="7"/>
      <c r="K190" s="8"/>
      <c r="L190" s="7"/>
      <c r="M190" s="8"/>
      <c r="N190" s="7"/>
      <c r="O190" s="8"/>
      <c r="P190" s="7"/>
      <c r="Q190" s="7"/>
      <c r="R190" s="8"/>
      <c r="S190" s="7"/>
      <c r="T190" s="9"/>
      <c r="U190" s="7"/>
      <c r="V190" s="8"/>
      <c r="W190" s="7"/>
      <c r="X190" s="7"/>
      <c r="Y190" s="8"/>
      <c r="Z190" s="7"/>
      <c r="AA190" s="8"/>
    </row>
    <row r="191" spans="4:27" ht="14.25" thickTop="1" thickBot="1">
      <c r="D191" s="69"/>
      <c r="E191" s="54" t="s">
        <v>915</v>
      </c>
      <c r="F191" s="7"/>
      <c r="G191" s="8"/>
      <c r="H191" s="7"/>
      <c r="I191" s="6"/>
      <c r="J191" s="7"/>
      <c r="K191" s="8"/>
      <c r="L191" s="7"/>
      <c r="M191" s="8"/>
      <c r="N191" s="7"/>
      <c r="O191" s="8"/>
      <c r="P191" s="7"/>
      <c r="Q191" s="7"/>
      <c r="R191" s="8"/>
      <c r="S191" s="7"/>
      <c r="T191" s="9"/>
      <c r="U191" s="7"/>
      <c r="V191" s="8"/>
      <c r="W191" s="7"/>
      <c r="X191" s="7"/>
      <c r="Y191" s="8"/>
      <c r="Z191" s="7"/>
      <c r="AA191" s="8"/>
    </row>
    <row r="192" spans="4:27" ht="14.25" thickTop="1" thickBot="1">
      <c r="D192" s="69"/>
      <c r="E192" s="54" t="s">
        <v>930</v>
      </c>
      <c r="F192" s="7"/>
      <c r="G192" s="8"/>
      <c r="H192" s="7"/>
      <c r="I192" s="6"/>
      <c r="J192" s="7"/>
      <c r="K192" s="8"/>
      <c r="L192" s="7"/>
      <c r="M192" s="8"/>
      <c r="N192" s="7"/>
      <c r="O192" s="8"/>
      <c r="P192" s="7"/>
      <c r="Q192" s="7"/>
      <c r="R192" s="8"/>
      <c r="S192" s="7"/>
      <c r="T192" s="9"/>
      <c r="U192" s="7"/>
      <c r="V192" s="8"/>
      <c r="W192" s="7"/>
      <c r="X192" s="7"/>
      <c r="Y192" s="8"/>
      <c r="Z192" s="7"/>
      <c r="AA192" s="8"/>
    </row>
    <row r="193" spans="4:27" ht="14.25" thickTop="1" thickBot="1">
      <c r="D193" s="69"/>
      <c r="E193" s="54" t="s">
        <v>899</v>
      </c>
      <c r="F193" s="7"/>
      <c r="G193" s="8"/>
      <c r="H193" s="7"/>
      <c r="I193" s="6"/>
      <c r="J193" s="7"/>
      <c r="K193" s="8"/>
      <c r="L193" s="7"/>
      <c r="M193" s="8"/>
      <c r="N193" s="7"/>
      <c r="O193" s="8"/>
      <c r="P193" s="7"/>
      <c r="Q193" s="7"/>
      <c r="R193" s="8"/>
      <c r="S193" s="7"/>
      <c r="T193" s="9"/>
      <c r="U193" s="7"/>
      <c r="V193" s="8"/>
      <c r="W193" s="7"/>
      <c r="X193" s="7"/>
      <c r="Y193" s="8"/>
      <c r="Z193" s="7"/>
      <c r="AA193" s="8"/>
    </row>
    <row r="194" spans="4:27" ht="14.25" thickTop="1" thickBot="1">
      <c r="D194" s="69"/>
      <c r="E194" s="54" t="s">
        <v>932</v>
      </c>
      <c r="F194" s="7"/>
      <c r="G194" s="8"/>
      <c r="H194" s="7"/>
      <c r="I194" s="6"/>
      <c r="J194" s="7"/>
      <c r="K194" s="8"/>
      <c r="L194" s="7"/>
      <c r="M194" s="8"/>
      <c r="N194" s="7"/>
      <c r="O194" s="8"/>
      <c r="P194" s="7"/>
      <c r="Q194" s="7"/>
      <c r="R194" s="8"/>
      <c r="S194" s="7"/>
      <c r="T194" s="9"/>
      <c r="U194" s="7"/>
      <c r="V194" s="8"/>
      <c r="W194" s="7"/>
      <c r="X194" s="7"/>
      <c r="Y194" s="8"/>
      <c r="Z194" s="7"/>
      <c r="AA194" s="8"/>
    </row>
    <row r="195" spans="4:27" ht="14.25" thickTop="1" thickBot="1">
      <c r="D195" s="69"/>
      <c r="E195" s="54" t="s">
        <v>533</v>
      </c>
      <c r="F195" s="7"/>
      <c r="G195" s="8"/>
      <c r="H195" s="7"/>
      <c r="I195" s="6"/>
      <c r="J195" s="7"/>
      <c r="K195" s="8"/>
      <c r="L195" s="7"/>
      <c r="M195" s="8"/>
      <c r="N195" s="7"/>
      <c r="O195" s="8"/>
      <c r="P195" s="7"/>
      <c r="Q195" s="7"/>
      <c r="R195" s="8"/>
      <c r="S195" s="7"/>
      <c r="T195" s="9"/>
      <c r="U195" s="7"/>
      <c r="V195" s="8"/>
      <c r="W195" s="7"/>
      <c r="X195" s="7"/>
      <c r="Y195" s="8"/>
      <c r="Z195" s="7"/>
      <c r="AA195" s="8"/>
    </row>
    <row r="196" spans="4:27" ht="14.25" thickTop="1" thickBot="1">
      <c r="D196" s="69"/>
      <c r="E196" s="54" t="s">
        <v>896</v>
      </c>
      <c r="F196" s="7"/>
      <c r="G196" s="8"/>
      <c r="H196" s="7"/>
      <c r="I196" s="6"/>
      <c r="J196" s="7"/>
      <c r="K196" s="8"/>
      <c r="L196" s="7"/>
      <c r="M196" s="8"/>
      <c r="N196" s="7"/>
      <c r="O196" s="8"/>
      <c r="P196" s="7"/>
      <c r="Q196" s="7"/>
      <c r="R196" s="8"/>
      <c r="S196" s="7"/>
      <c r="T196" s="9"/>
      <c r="U196" s="7"/>
      <c r="V196" s="8"/>
      <c r="W196" s="7"/>
      <c r="X196" s="7"/>
      <c r="Y196" s="8"/>
      <c r="Z196" s="7"/>
      <c r="AA196" s="8"/>
    </row>
    <row r="197" spans="4:27" ht="14.25" thickTop="1" thickBot="1">
      <c r="D197" s="69"/>
      <c r="E197" s="54" t="s">
        <v>499</v>
      </c>
      <c r="F197" s="7"/>
      <c r="G197" s="8"/>
      <c r="H197" s="7"/>
      <c r="I197" s="6"/>
      <c r="J197" s="7"/>
      <c r="K197" s="8"/>
      <c r="L197" s="7"/>
      <c r="M197" s="8"/>
      <c r="N197" s="7"/>
      <c r="O197" s="8"/>
      <c r="P197" s="7"/>
      <c r="Q197" s="7"/>
      <c r="R197" s="8"/>
      <c r="S197" s="7"/>
      <c r="T197" s="9"/>
      <c r="U197" s="7"/>
      <c r="V197" s="8"/>
      <c r="W197" s="7"/>
      <c r="X197" s="7"/>
      <c r="Y197" s="8"/>
      <c r="Z197" s="7"/>
      <c r="AA197" s="8"/>
    </row>
    <row r="198" spans="4:27" ht="14.25" thickTop="1" thickBot="1">
      <c r="D198" s="69"/>
      <c r="E198" s="54" t="s">
        <v>895</v>
      </c>
      <c r="F198" s="7"/>
      <c r="G198" s="8"/>
      <c r="H198" s="7"/>
      <c r="I198" s="6"/>
      <c r="J198" s="7"/>
      <c r="K198" s="8"/>
      <c r="L198" s="7"/>
      <c r="M198" s="8"/>
      <c r="N198" s="7"/>
      <c r="O198" s="8"/>
      <c r="P198" s="7"/>
      <c r="Q198" s="7"/>
      <c r="R198" s="8"/>
      <c r="S198" s="7"/>
      <c r="T198" s="9"/>
      <c r="U198" s="7"/>
      <c r="V198" s="8"/>
      <c r="W198" s="7"/>
      <c r="X198" s="7"/>
      <c r="Y198" s="8"/>
      <c r="Z198" s="7"/>
      <c r="AA198" s="8"/>
    </row>
    <row r="199" spans="4:27" ht="14.25" thickTop="1" thickBot="1">
      <c r="D199" s="69"/>
      <c r="E199" s="54" t="s">
        <v>933</v>
      </c>
      <c r="F199" s="7"/>
      <c r="G199" s="8"/>
      <c r="H199" s="7"/>
      <c r="I199" s="6"/>
      <c r="J199" s="7"/>
      <c r="K199" s="8"/>
      <c r="L199" s="7"/>
      <c r="M199" s="8"/>
      <c r="N199" s="7"/>
      <c r="O199" s="8"/>
      <c r="P199" s="7"/>
      <c r="Q199" s="7"/>
      <c r="R199" s="8"/>
      <c r="S199" s="7"/>
      <c r="T199" s="9"/>
      <c r="U199" s="7"/>
      <c r="V199" s="8"/>
      <c r="W199" s="7"/>
      <c r="X199" s="7"/>
      <c r="Y199" s="8"/>
      <c r="Z199" s="7"/>
      <c r="AA199" s="8"/>
    </row>
    <row r="200" spans="4:27" ht="14.25" thickTop="1" thickBot="1">
      <c r="D200" s="69"/>
      <c r="E200" s="54" t="s">
        <v>525</v>
      </c>
      <c r="F200" s="7"/>
      <c r="G200" s="8"/>
      <c r="H200" s="7"/>
      <c r="I200" s="6"/>
      <c r="J200" s="7"/>
      <c r="K200" s="8"/>
      <c r="L200" s="7"/>
      <c r="M200" s="8"/>
      <c r="N200" s="7"/>
      <c r="O200" s="8"/>
      <c r="P200" s="7"/>
      <c r="Q200" s="7"/>
      <c r="R200" s="8"/>
      <c r="S200" s="7"/>
      <c r="T200" s="9"/>
      <c r="U200" s="7"/>
      <c r="V200" s="8"/>
      <c r="W200" s="7"/>
      <c r="X200" s="7"/>
      <c r="Y200" s="8"/>
      <c r="Z200" s="7"/>
      <c r="AA200" s="8"/>
    </row>
    <row r="201" spans="4:27" ht="14.25" thickTop="1" thickBot="1">
      <c r="D201" s="69"/>
      <c r="E201" s="54" t="s">
        <v>894</v>
      </c>
      <c r="F201" s="7"/>
      <c r="G201" s="8"/>
      <c r="H201" s="7"/>
      <c r="I201" s="6"/>
      <c r="J201" s="7"/>
      <c r="K201" s="8"/>
      <c r="L201" s="7"/>
      <c r="M201" s="8"/>
      <c r="N201" s="7"/>
      <c r="O201" s="8"/>
      <c r="P201" s="7"/>
      <c r="Q201" s="7"/>
      <c r="R201" s="8"/>
      <c r="S201" s="7"/>
      <c r="T201" s="9"/>
      <c r="U201" s="7"/>
      <c r="V201" s="8"/>
      <c r="W201" s="7"/>
      <c r="X201" s="7"/>
      <c r="Y201" s="8"/>
      <c r="Z201" s="7"/>
      <c r="AA201" s="8"/>
    </row>
    <row r="202" spans="4:27" ht="14.25" thickTop="1" thickBot="1">
      <c r="D202" s="69"/>
      <c r="E202" s="54" t="s">
        <v>471</v>
      </c>
      <c r="F202" s="7"/>
      <c r="G202" s="8"/>
      <c r="H202" s="7"/>
      <c r="I202" s="6"/>
      <c r="J202" s="7"/>
      <c r="K202" s="8"/>
      <c r="L202" s="7"/>
      <c r="M202" s="8"/>
      <c r="N202" s="7"/>
      <c r="O202" s="8"/>
      <c r="P202" s="7"/>
      <c r="Q202" s="7"/>
      <c r="R202" s="8"/>
      <c r="S202" s="7"/>
      <c r="T202" s="9"/>
      <c r="U202" s="7"/>
      <c r="V202" s="8"/>
      <c r="W202" s="7"/>
      <c r="X202" s="7"/>
      <c r="Y202" s="8"/>
      <c r="Z202" s="7"/>
      <c r="AA202" s="8"/>
    </row>
    <row r="203" spans="4:27" ht="14.25" thickTop="1" thickBot="1">
      <c r="D203" s="69"/>
      <c r="E203" s="54" t="s">
        <v>474</v>
      </c>
      <c r="F203" s="7"/>
      <c r="G203" s="8"/>
      <c r="H203" s="7"/>
      <c r="I203" s="6"/>
      <c r="J203" s="7"/>
      <c r="K203" s="8"/>
      <c r="L203" s="7"/>
      <c r="M203" s="8"/>
      <c r="N203" s="7"/>
      <c r="O203" s="8"/>
      <c r="P203" s="7"/>
      <c r="Q203" s="7"/>
      <c r="R203" s="8"/>
      <c r="S203" s="7"/>
      <c r="T203" s="9"/>
      <c r="U203" s="7"/>
      <c r="V203" s="8"/>
      <c r="W203" s="7"/>
      <c r="X203" s="7"/>
      <c r="Y203" s="8"/>
      <c r="Z203" s="7"/>
      <c r="AA203" s="8"/>
    </row>
    <row r="204" spans="4:27" ht="14.25" thickTop="1" thickBot="1">
      <c r="D204" s="69"/>
      <c r="E204" s="54" t="s">
        <v>505</v>
      </c>
      <c r="F204" s="7"/>
      <c r="G204" s="8"/>
      <c r="H204" s="7"/>
      <c r="I204" s="6"/>
      <c r="J204" s="7"/>
      <c r="K204" s="8"/>
      <c r="L204" s="7"/>
      <c r="M204" s="8"/>
      <c r="N204" s="7"/>
      <c r="O204" s="8"/>
      <c r="P204" s="7"/>
      <c r="Q204" s="7"/>
      <c r="R204" s="8"/>
      <c r="S204" s="7"/>
      <c r="T204" s="9"/>
      <c r="U204" s="7"/>
      <c r="V204" s="8"/>
      <c r="W204" s="7"/>
      <c r="X204" s="7"/>
      <c r="Y204" s="8"/>
      <c r="Z204" s="7"/>
      <c r="AA204" s="8"/>
    </row>
    <row r="205" spans="4:27" ht="14.25" thickTop="1" thickBot="1">
      <c r="D205" s="69"/>
      <c r="E205" s="54" t="s">
        <v>477</v>
      </c>
      <c r="F205" s="7"/>
      <c r="G205" s="8"/>
      <c r="H205" s="7"/>
      <c r="I205" s="6"/>
      <c r="J205" s="7"/>
      <c r="K205" s="8"/>
      <c r="L205" s="7"/>
      <c r="M205" s="8"/>
      <c r="N205" s="7"/>
      <c r="O205" s="8"/>
      <c r="P205" s="7"/>
      <c r="Q205" s="7"/>
      <c r="R205" s="8"/>
      <c r="S205" s="7"/>
      <c r="T205" s="9"/>
      <c r="U205" s="7"/>
      <c r="V205" s="8"/>
      <c r="W205" s="7"/>
      <c r="X205" s="7"/>
      <c r="Y205" s="8"/>
      <c r="Z205" s="7"/>
      <c r="AA205" s="8"/>
    </row>
    <row r="206" spans="4:27" ht="14.25" thickTop="1" thickBot="1">
      <c r="D206" s="69"/>
      <c r="E206" s="54" t="s">
        <v>504</v>
      </c>
      <c r="F206" s="7"/>
      <c r="G206" s="8"/>
      <c r="H206" s="7"/>
      <c r="I206" s="6"/>
      <c r="J206" s="7"/>
      <c r="K206" s="8"/>
      <c r="L206" s="7"/>
      <c r="M206" s="8"/>
      <c r="N206" s="7"/>
      <c r="O206" s="8"/>
      <c r="P206" s="7"/>
      <c r="Q206" s="7"/>
      <c r="R206" s="8"/>
      <c r="S206" s="7"/>
      <c r="T206" s="9"/>
      <c r="U206" s="7"/>
      <c r="V206" s="8"/>
      <c r="W206" s="7"/>
      <c r="X206" s="7"/>
      <c r="Y206" s="8"/>
      <c r="Z206" s="7"/>
      <c r="AA206" s="8"/>
    </row>
    <row r="207" spans="4:27" ht="14.25" thickTop="1" thickBot="1">
      <c r="D207" s="69"/>
      <c r="E207" s="54" t="s">
        <v>518</v>
      </c>
      <c r="F207" s="7"/>
      <c r="G207" s="8"/>
      <c r="H207" s="7"/>
      <c r="I207" s="6"/>
      <c r="J207" s="7"/>
      <c r="K207" s="8"/>
      <c r="L207" s="7"/>
      <c r="M207" s="8"/>
      <c r="N207" s="7"/>
      <c r="O207" s="8"/>
      <c r="P207" s="7"/>
      <c r="Q207" s="7"/>
      <c r="R207" s="8"/>
      <c r="S207" s="7"/>
      <c r="T207" s="9"/>
      <c r="U207" s="7"/>
      <c r="V207" s="8"/>
      <c r="W207" s="7"/>
      <c r="X207" s="7"/>
      <c r="Y207" s="8"/>
      <c r="Z207" s="7"/>
      <c r="AA207" s="8"/>
    </row>
    <row r="208" spans="4:27" ht="14.25" thickTop="1" thickBot="1">
      <c r="D208" s="69"/>
      <c r="E208" s="54" t="s">
        <v>486</v>
      </c>
      <c r="F208" s="7"/>
      <c r="G208" s="8"/>
      <c r="H208" s="7"/>
      <c r="I208" s="6"/>
      <c r="J208" s="7"/>
      <c r="K208" s="8"/>
      <c r="L208" s="7"/>
      <c r="M208" s="8"/>
      <c r="N208" s="7"/>
      <c r="O208" s="8"/>
      <c r="P208" s="7"/>
      <c r="Q208" s="7"/>
      <c r="R208" s="8"/>
      <c r="S208" s="7"/>
      <c r="T208" s="9"/>
      <c r="U208" s="7"/>
      <c r="V208" s="8"/>
      <c r="W208" s="7"/>
      <c r="X208" s="7"/>
      <c r="Y208" s="8"/>
      <c r="Z208" s="7"/>
      <c r="AA208" s="8"/>
    </row>
    <row r="209" spans="4:27" ht="14.25" thickTop="1" thickBot="1">
      <c r="D209" s="69"/>
      <c r="E209" s="54" t="s">
        <v>374</v>
      </c>
      <c r="F209" s="7"/>
      <c r="G209" s="8"/>
      <c r="H209" s="7"/>
      <c r="I209" s="6"/>
      <c r="J209" s="7"/>
      <c r="K209" s="8"/>
      <c r="L209" s="7"/>
      <c r="M209" s="8"/>
      <c r="N209" s="7"/>
      <c r="O209" s="8"/>
      <c r="P209" s="7"/>
      <c r="Q209" s="7"/>
      <c r="R209" s="8"/>
      <c r="S209" s="7"/>
      <c r="T209" s="9"/>
      <c r="U209" s="7"/>
      <c r="V209" s="8"/>
      <c r="W209" s="7"/>
      <c r="X209" s="7"/>
      <c r="Y209" s="8"/>
      <c r="Z209" s="7"/>
      <c r="AA209" s="8"/>
    </row>
    <row r="210" spans="4:27" ht="14.25" thickTop="1" thickBot="1">
      <c r="D210" s="69"/>
      <c r="E210" s="54" t="s">
        <v>513</v>
      </c>
      <c r="F210" s="7"/>
      <c r="G210" s="8"/>
      <c r="H210" s="7"/>
      <c r="I210" s="6"/>
      <c r="J210" s="7"/>
      <c r="K210" s="8"/>
      <c r="L210" s="7"/>
      <c r="M210" s="8"/>
      <c r="N210" s="7"/>
      <c r="O210" s="8"/>
      <c r="P210" s="7"/>
      <c r="Q210" s="7"/>
      <c r="R210" s="8"/>
      <c r="S210" s="7"/>
      <c r="T210" s="9"/>
      <c r="U210" s="7"/>
      <c r="V210" s="8"/>
      <c r="W210" s="7"/>
      <c r="X210" s="7"/>
      <c r="Y210" s="8"/>
      <c r="Z210" s="7"/>
      <c r="AA210" s="8"/>
    </row>
    <row r="211" spans="4:27" ht="14.25" thickTop="1" thickBot="1">
      <c r="D211" s="69"/>
      <c r="E211" s="54" t="s">
        <v>519</v>
      </c>
      <c r="F211" s="7"/>
      <c r="G211" s="8"/>
      <c r="H211" s="7"/>
      <c r="I211" s="6"/>
      <c r="J211" s="7"/>
      <c r="K211" s="8"/>
      <c r="L211" s="7"/>
      <c r="M211" s="8"/>
      <c r="N211" s="7"/>
      <c r="O211" s="8"/>
      <c r="P211" s="7"/>
      <c r="Q211" s="7"/>
      <c r="R211" s="8"/>
      <c r="S211" s="7"/>
      <c r="T211" s="9"/>
      <c r="U211" s="7"/>
      <c r="V211" s="8"/>
      <c r="W211" s="7"/>
      <c r="X211" s="7"/>
      <c r="Y211" s="8"/>
      <c r="Z211" s="7"/>
      <c r="AA211" s="8"/>
    </row>
    <row r="212" spans="4:27" ht="14.25" thickTop="1" thickBot="1">
      <c r="D212" s="69"/>
      <c r="E212" s="54" t="s">
        <v>484</v>
      </c>
      <c r="F212" s="7"/>
      <c r="G212" s="8"/>
      <c r="H212" s="7"/>
      <c r="I212" s="6"/>
      <c r="J212" s="7"/>
      <c r="K212" s="8"/>
      <c r="L212" s="7"/>
      <c r="M212" s="8"/>
      <c r="N212" s="7"/>
      <c r="O212" s="8"/>
      <c r="P212" s="7"/>
      <c r="Q212" s="7"/>
      <c r="R212" s="8"/>
      <c r="S212" s="7"/>
      <c r="T212" s="9"/>
      <c r="U212" s="7"/>
      <c r="V212" s="8"/>
      <c r="W212" s="7"/>
      <c r="X212" s="7"/>
      <c r="Y212" s="8"/>
      <c r="Z212" s="7"/>
      <c r="AA212" s="8"/>
    </row>
    <row r="213" spans="4:27" ht="14.25" thickTop="1" thickBot="1">
      <c r="D213" s="69"/>
      <c r="E213" s="54" t="s">
        <v>921</v>
      </c>
      <c r="F213" s="7"/>
      <c r="G213" s="8"/>
      <c r="H213" s="7"/>
      <c r="I213" s="6"/>
      <c r="J213" s="7"/>
      <c r="K213" s="8"/>
      <c r="L213" s="7"/>
      <c r="M213" s="8"/>
      <c r="N213" s="7"/>
      <c r="O213" s="8"/>
      <c r="P213" s="7"/>
      <c r="Q213" s="7"/>
      <c r="R213" s="8"/>
      <c r="S213" s="7"/>
      <c r="T213" s="9"/>
      <c r="U213" s="7"/>
      <c r="V213" s="8"/>
      <c r="W213" s="7"/>
      <c r="X213" s="7"/>
      <c r="Y213" s="8"/>
      <c r="Z213" s="7"/>
      <c r="AA213" s="8"/>
    </row>
    <row r="214" spans="4:27" ht="14.25" thickTop="1" thickBot="1">
      <c r="D214" s="69"/>
      <c r="E214" s="54" t="s">
        <v>1106</v>
      </c>
      <c r="F214" s="7"/>
      <c r="G214" s="8"/>
      <c r="H214" s="7"/>
      <c r="I214" s="6"/>
      <c r="J214" s="7"/>
      <c r="K214" s="8"/>
      <c r="L214" s="7"/>
      <c r="M214" s="8"/>
      <c r="N214" s="7"/>
      <c r="O214" s="8"/>
      <c r="P214" s="7"/>
      <c r="Q214" s="7"/>
      <c r="R214" s="8"/>
      <c r="S214" s="7"/>
      <c r="T214" s="9"/>
      <c r="U214" s="7"/>
      <c r="V214" s="8"/>
      <c r="W214" s="7"/>
      <c r="X214" s="7"/>
      <c r="Y214" s="8"/>
      <c r="Z214" s="7"/>
      <c r="AA214" s="8"/>
    </row>
    <row r="215" spans="4:27" ht="14.25" thickTop="1" thickBot="1">
      <c r="D215" s="69"/>
      <c r="E215" s="54" t="s">
        <v>512</v>
      </c>
      <c r="F215" s="7"/>
      <c r="G215" s="8"/>
      <c r="H215" s="7"/>
      <c r="I215" s="6"/>
      <c r="J215" s="7"/>
      <c r="K215" s="8"/>
      <c r="L215" s="7"/>
      <c r="M215" s="8"/>
      <c r="N215" s="7"/>
      <c r="O215" s="8"/>
      <c r="P215" s="7"/>
      <c r="Q215" s="7"/>
      <c r="R215" s="8"/>
      <c r="S215" s="7"/>
      <c r="T215" s="9"/>
      <c r="U215" s="7"/>
      <c r="V215" s="8"/>
      <c r="W215" s="7"/>
      <c r="X215" s="7"/>
      <c r="Y215" s="8"/>
      <c r="Z215" s="7"/>
      <c r="AA215" s="8"/>
    </row>
    <row r="216" spans="4:27" ht="14.25" thickTop="1" thickBot="1">
      <c r="D216" s="69"/>
      <c r="E216" s="54" t="s">
        <v>485</v>
      </c>
      <c r="F216" s="7"/>
      <c r="G216" s="8"/>
      <c r="H216" s="7"/>
      <c r="I216" s="6"/>
      <c r="J216" s="7"/>
      <c r="K216" s="8"/>
      <c r="L216" s="7"/>
      <c r="M216" s="8"/>
      <c r="N216" s="7"/>
      <c r="O216" s="8"/>
      <c r="P216" s="7"/>
      <c r="Q216" s="7"/>
      <c r="R216" s="8"/>
      <c r="S216" s="7"/>
      <c r="T216" s="9"/>
      <c r="U216" s="7"/>
      <c r="V216" s="8"/>
      <c r="W216" s="7"/>
      <c r="X216" s="7"/>
      <c r="Y216" s="8"/>
      <c r="Z216" s="7"/>
      <c r="AA216" s="8"/>
    </row>
    <row r="217" spans="4:27" ht="14.25" thickTop="1" thickBot="1">
      <c r="D217" s="69"/>
      <c r="E217" s="54" t="s">
        <v>521</v>
      </c>
      <c r="F217" s="7"/>
      <c r="G217" s="8"/>
      <c r="H217" s="7"/>
      <c r="I217" s="6"/>
      <c r="J217" s="7"/>
      <c r="K217" s="8"/>
      <c r="L217" s="7"/>
      <c r="M217" s="8"/>
      <c r="N217" s="7"/>
      <c r="O217" s="8"/>
      <c r="P217" s="7"/>
      <c r="Q217" s="7"/>
      <c r="R217" s="8"/>
      <c r="S217" s="7"/>
      <c r="T217" s="9"/>
      <c r="U217" s="7"/>
      <c r="V217" s="8"/>
      <c r="W217" s="7"/>
      <c r="X217" s="7"/>
      <c r="Y217" s="8"/>
      <c r="Z217" s="7"/>
      <c r="AA217" s="8"/>
    </row>
    <row r="218" spans="4:27" ht="14.25" thickTop="1" thickBot="1">
      <c r="D218" s="69"/>
      <c r="E218" s="54" t="s">
        <v>520</v>
      </c>
      <c r="F218" s="7"/>
      <c r="G218" s="8"/>
      <c r="H218" s="7"/>
      <c r="I218" s="6"/>
      <c r="J218" s="7"/>
      <c r="K218" s="8"/>
      <c r="L218" s="7"/>
      <c r="M218" s="8"/>
      <c r="N218" s="7"/>
      <c r="O218" s="8"/>
      <c r="P218" s="7"/>
      <c r="Q218" s="7"/>
      <c r="R218" s="8"/>
      <c r="S218" s="7"/>
      <c r="T218" s="9"/>
      <c r="U218" s="7"/>
      <c r="V218" s="8"/>
      <c r="W218" s="7"/>
      <c r="X218" s="7"/>
      <c r="Y218" s="8"/>
      <c r="Z218" s="7"/>
      <c r="AA218" s="8"/>
    </row>
    <row r="219" spans="4:27" ht="14.25" thickTop="1" thickBot="1">
      <c r="D219" s="69"/>
      <c r="E219" s="54" t="s">
        <v>927</v>
      </c>
      <c r="F219" s="7"/>
      <c r="G219" s="8"/>
      <c r="H219" s="7"/>
      <c r="I219" s="6"/>
      <c r="J219" s="7"/>
      <c r="K219" s="8"/>
      <c r="L219" s="7"/>
      <c r="M219" s="8"/>
      <c r="N219" s="7"/>
      <c r="O219" s="8"/>
      <c r="P219" s="7"/>
      <c r="Q219" s="7"/>
      <c r="R219" s="8"/>
      <c r="S219" s="7"/>
      <c r="T219" s="9"/>
      <c r="U219" s="7"/>
      <c r="V219" s="8"/>
      <c r="W219" s="7"/>
      <c r="X219" s="7"/>
      <c r="Y219" s="8"/>
      <c r="Z219" s="7"/>
      <c r="AA219" s="8"/>
    </row>
    <row r="220" spans="4:27" ht="14.25" thickTop="1" thickBot="1">
      <c r="D220" s="69"/>
      <c r="E220" s="54" t="s">
        <v>487</v>
      </c>
      <c r="F220" s="7"/>
      <c r="G220" s="8"/>
      <c r="H220" s="7"/>
      <c r="I220" s="6"/>
      <c r="J220" s="7"/>
      <c r="K220" s="8"/>
      <c r="L220" s="7"/>
      <c r="M220" s="8"/>
      <c r="N220" s="7"/>
      <c r="O220" s="8"/>
      <c r="P220" s="7"/>
      <c r="Q220" s="7"/>
      <c r="R220" s="8"/>
      <c r="S220" s="7"/>
      <c r="T220" s="9"/>
      <c r="U220" s="7"/>
      <c r="V220" s="8"/>
      <c r="W220" s="7"/>
      <c r="X220" s="7"/>
      <c r="Y220" s="8"/>
      <c r="Z220" s="7"/>
      <c r="AA220" s="8"/>
    </row>
    <row r="221" spans="4:27" ht="14.25" thickTop="1" thickBot="1">
      <c r="D221" s="69"/>
      <c r="E221" s="54" t="s">
        <v>920</v>
      </c>
      <c r="F221" s="7"/>
      <c r="G221" s="8"/>
      <c r="H221" s="7"/>
      <c r="I221" s="6"/>
      <c r="J221" s="7"/>
      <c r="K221" s="8"/>
      <c r="L221" s="7"/>
      <c r="M221" s="8"/>
      <c r="N221" s="7"/>
      <c r="O221" s="8"/>
      <c r="P221" s="7"/>
      <c r="Q221" s="7"/>
      <c r="R221" s="8"/>
      <c r="S221" s="7"/>
      <c r="T221" s="9"/>
      <c r="U221" s="7"/>
      <c r="V221" s="8"/>
      <c r="W221" s="7"/>
      <c r="X221" s="7"/>
      <c r="Y221" s="8"/>
      <c r="Z221" s="7"/>
      <c r="AA221" s="8"/>
    </row>
    <row r="222" spans="4:27" ht="14.25" thickTop="1" thickBot="1">
      <c r="D222" s="69"/>
      <c r="E222" s="54" t="s">
        <v>522</v>
      </c>
      <c r="F222" s="7"/>
      <c r="G222" s="8"/>
      <c r="H222" s="7"/>
      <c r="I222" s="6"/>
      <c r="J222" s="7"/>
      <c r="K222" s="8"/>
      <c r="L222" s="7"/>
      <c r="M222" s="8"/>
      <c r="N222" s="7"/>
      <c r="O222" s="8"/>
      <c r="P222" s="7"/>
      <c r="Q222" s="7"/>
      <c r="R222" s="8"/>
      <c r="S222" s="7"/>
      <c r="T222" s="9"/>
      <c r="U222" s="7"/>
      <c r="V222" s="8"/>
      <c r="W222" s="7"/>
      <c r="X222" s="7"/>
      <c r="Y222" s="8"/>
      <c r="Z222" s="7"/>
      <c r="AA222" s="8"/>
    </row>
    <row r="223" spans="4:27" ht="14.25" thickTop="1" thickBot="1">
      <c r="D223" s="69"/>
      <c r="E223" s="54" t="s">
        <v>506</v>
      </c>
      <c r="F223" s="7"/>
      <c r="G223" s="8"/>
      <c r="H223" s="7"/>
      <c r="I223" s="6"/>
      <c r="J223" s="7"/>
      <c r="K223" s="8"/>
      <c r="L223" s="7"/>
      <c r="M223" s="8"/>
      <c r="N223" s="7"/>
      <c r="O223" s="8"/>
      <c r="P223" s="7"/>
      <c r="Q223" s="7"/>
      <c r="R223" s="8"/>
      <c r="S223" s="7"/>
      <c r="T223" s="9"/>
      <c r="U223" s="7"/>
      <c r="V223" s="8"/>
      <c r="W223" s="7"/>
      <c r="X223" s="7"/>
      <c r="Y223" s="8"/>
      <c r="Z223" s="7"/>
      <c r="AA223" s="8"/>
    </row>
    <row r="224" spans="4:27" ht="14.25" thickTop="1" thickBot="1">
      <c r="D224" s="69"/>
      <c r="E224" s="54" t="s">
        <v>515</v>
      </c>
      <c r="F224" s="7"/>
      <c r="G224" s="8"/>
      <c r="H224" s="7"/>
      <c r="I224" s="6"/>
      <c r="J224" s="7"/>
      <c r="K224" s="8"/>
      <c r="L224" s="7"/>
      <c r="M224" s="8"/>
      <c r="N224" s="7"/>
      <c r="O224" s="8"/>
      <c r="P224" s="7"/>
      <c r="Q224" s="7"/>
      <c r="R224" s="8"/>
      <c r="S224" s="7"/>
      <c r="T224" s="9"/>
      <c r="U224" s="7"/>
      <c r="V224" s="8"/>
      <c r="W224" s="7"/>
      <c r="X224" s="7"/>
      <c r="Y224" s="8"/>
      <c r="Z224" s="7"/>
      <c r="AA224" s="8"/>
    </row>
    <row r="225" spans="4:27" ht="14.25" thickTop="1" thickBot="1">
      <c r="D225" s="69"/>
      <c r="E225" s="54" t="s">
        <v>898</v>
      </c>
      <c r="F225" s="7"/>
      <c r="G225" s="8"/>
      <c r="H225" s="7"/>
      <c r="I225" s="6"/>
      <c r="J225" s="7"/>
      <c r="K225" s="8"/>
      <c r="L225" s="7"/>
      <c r="M225" s="8"/>
      <c r="N225" s="7"/>
      <c r="O225" s="8"/>
      <c r="P225" s="7"/>
      <c r="Q225" s="7"/>
      <c r="R225" s="8"/>
      <c r="S225" s="7"/>
      <c r="T225" s="9"/>
      <c r="U225" s="7"/>
      <c r="V225" s="8"/>
      <c r="W225" s="7"/>
      <c r="X225" s="7"/>
      <c r="Y225" s="8"/>
      <c r="Z225" s="7"/>
      <c r="AA225" s="8"/>
    </row>
    <row r="226" spans="4:27" ht="14.25" thickTop="1" thickBot="1">
      <c r="D226" s="69"/>
      <c r="E226" s="54" t="s">
        <v>493</v>
      </c>
      <c r="F226" s="7"/>
      <c r="G226" s="8"/>
      <c r="H226" s="7"/>
      <c r="I226" s="6"/>
      <c r="J226" s="7"/>
      <c r="K226" s="8"/>
      <c r="L226" s="7"/>
      <c r="M226" s="8"/>
      <c r="N226" s="7"/>
      <c r="O226" s="8"/>
      <c r="P226" s="7"/>
      <c r="Q226" s="7"/>
      <c r="R226" s="8"/>
      <c r="S226" s="7"/>
      <c r="T226" s="9"/>
      <c r="U226" s="7"/>
      <c r="V226" s="8"/>
      <c r="W226" s="7"/>
      <c r="X226" s="7"/>
      <c r="Y226" s="8"/>
      <c r="Z226" s="7"/>
      <c r="AA226" s="8"/>
    </row>
    <row r="227" spans="4:27" ht="14.25" thickTop="1" thickBot="1">
      <c r="D227" s="69"/>
      <c r="E227" s="54" t="s">
        <v>925</v>
      </c>
      <c r="F227" s="7"/>
      <c r="G227" s="8"/>
      <c r="H227" s="7"/>
      <c r="I227" s="6"/>
      <c r="J227" s="7"/>
      <c r="K227" s="8"/>
      <c r="L227" s="7"/>
      <c r="M227" s="8"/>
      <c r="N227" s="7"/>
      <c r="O227" s="8"/>
      <c r="P227" s="7"/>
      <c r="Q227" s="7"/>
      <c r="R227" s="8"/>
      <c r="S227" s="7"/>
      <c r="T227" s="9"/>
      <c r="U227" s="7"/>
      <c r="V227" s="8"/>
      <c r="W227" s="7"/>
      <c r="X227" s="7"/>
      <c r="Y227" s="8"/>
      <c r="Z227" s="7"/>
      <c r="AA227" s="8"/>
    </row>
    <row r="228" spans="4:27" ht="14.25" thickTop="1" thickBot="1">
      <c r="D228" s="69"/>
      <c r="E228" s="54" t="s">
        <v>507</v>
      </c>
      <c r="F228" s="7"/>
      <c r="G228" s="8"/>
      <c r="H228" s="7"/>
      <c r="I228" s="6"/>
      <c r="J228" s="7"/>
      <c r="K228" s="8"/>
      <c r="L228" s="7"/>
      <c r="M228" s="8"/>
      <c r="N228" s="7"/>
      <c r="O228" s="8"/>
      <c r="P228" s="7"/>
      <c r="Q228" s="7"/>
      <c r="R228" s="8"/>
      <c r="S228" s="7"/>
      <c r="T228" s="9"/>
      <c r="U228" s="7"/>
      <c r="V228" s="8"/>
      <c r="W228" s="7"/>
      <c r="X228" s="7"/>
      <c r="Y228" s="8"/>
      <c r="Z228" s="7"/>
      <c r="AA228" s="8"/>
    </row>
    <row r="229" spans="4:27" ht="14.25" thickTop="1" thickBot="1">
      <c r="D229" s="69"/>
      <c r="E229" s="54" t="s">
        <v>511</v>
      </c>
      <c r="F229" s="7"/>
      <c r="G229" s="8"/>
      <c r="H229" s="7"/>
      <c r="I229" s="6"/>
      <c r="J229" s="7"/>
      <c r="K229" s="8"/>
      <c r="L229" s="7"/>
      <c r="M229" s="8"/>
      <c r="N229" s="7"/>
      <c r="O229" s="8"/>
      <c r="P229" s="7"/>
      <c r="Q229" s="7"/>
      <c r="R229" s="8"/>
      <c r="S229" s="7"/>
      <c r="T229" s="9"/>
      <c r="U229" s="7"/>
      <c r="V229" s="8"/>
      <c r="W229" s="7"/>
      <c r="X229" s="7"/>
      <c r="Y229" s="8"/>
      <c r="Z229" s="7"/>
      <c r="AA229" s="8"/>
    </row>
    <row r="230" spans="4:27" ht="14.25" thickTop="1" thickBot="1">
      <c r="D230" s="69"/>
      <c r="E230" s="54" t="s">
        <v>539</v>
      </c>
      <c r="F230" s="7"/>
      <c r="G230" s="8"/>
      <c r="H230" s="7"/>
      <c r="I230" s="6"/>
      <c r="J230" s="7"/>
      <c r="K230" s="8"/>
      <c r="L230" s="7"/>
      <c r="M230" s="8"/>
      <c r="N230" s="7"/>
      <c r="O230" s="8"/>
      <c r="P230" s="7"/>
      <c r="Q230" s="7"/>
      <c r="R230" s="8"/>
      <c r="S230" s="7"/>
      <c r="T230" s="9"/>
      <c r="U230" s="7"/>
      <c r="V230" s="8"/>
      <c r="W230" s="7"/>
      <c r="X230" s="7"/>
      <c r="Y230" s="8"/>
      <c r="Z230" s="7"/>
      <c r="AA230" s="8"/>
    </row>
    <row r="231" spans="4:27" ht="14.25" thickTop="1" thickBot="1">
      <c r="D231" s="69"/>
      <c r="E231" s="54" t="s">
        <v>524</v>
      </c>
      <c r="F231" s="7"/>
      <c r="G231" s="8"/>
      <c r="H231" s="7"/>
      <c r="I231" s="6"/>
      <c r="J231" s="7"/>
      <c r="K231" s="8"/>
      <c r="L231" s="7"/>
      <c r="M231" s="8"/>
      <c r="N231" s="7"/>
      <c r="O231" s="8"/>
      <c r="P231" s="7"/>
      <c r="Q231" s="7"/>
      <c r="R231" s="8"/>
      <c r="S231" s="7"/>
      <c r="T231" s="9"/>
      <c r="U231" s="7"/>
      <c r="V231" s="8"/>
      <c r="W231" s="7"/>
      <c r="X231" s="7"/>
      <c r="Y231" s="8"/>
      <c r="Z231" s="7"/>
      <c r="AA231" s="8"/>
    </row>
    <row r="232" spans="4:27" ht="14.25" thickTop="1" thickBot="1">
      <c r="D232" s="69"/>
      <c r="E232" s="54" t="s">
        <v>928</v>
      </c>
      <c r="F232" s="7"/>
      <c r="G232" s="8"/>
      <c r="H232" s="7"/>
      <c r="I232" s="6"/>
      <c r="J232" s="7"/>
      <c r="K232" s="8"/>
      <c r="L232" s="7"/>
      <c r="M232" s="8"/>
      <c r="N232" s="7"/>
      <c r="O232" s="8"/>
      <c r="P232" s="7"/>
      <c r="Q232" s="7"/>
      <c r="R232" s="8"/>
      <c r="S232" s="7"/>
      <c r="T232" s="9"/>
      <c r="U232" s="7"/>
      <c r="V232" s="8"/>
      <c r="W232" s="7"/>
      <c r="X232" s="7"/>
      <c r="Y232" s="8"/>
      <c r="Z232" s="7"/>
      <c r="AA232" s="8"/>
    </row>
    <row r="233" spans="4:27" ht="14.25" thickTop="1" thickBot="1">
      <c r="D233" s="69"/>
      <c r="E233" s="54" t="s">
        <v>901</v>
      </c>
      <c r="F233" s="7"/>
      <c r="G233" s="8"/>
      <c r="H233" s="7"/>
      <c r="I233" s="6"/>
      <c r="J233" s="7"/>
      <c r="K233" s="8"/>
      <c r="L233" s="7"/>
      <c r="M233" s="8"/>
      <c r="N233" s="7"/>
      <c r="O233" s="8"/>
      <c r="P233" s="7"/>
      <c r="Q233" s="7"/>
      <c r="R233" s="8"/>
      <c r="S233" s="7"/>
      <c r="T233" s="9"/>
      <c r="U233" s="7"/>
      <c r="V233" s="8"/>
      <c r="W233" s="7"/>
      <c r="X233" s="7"/>
      <c r="Y233" s="8"/>
      <c r="Z233" s="7"/>
      <c r="AA233" s="8"/>
    </row>
    <row r="234" spans="4:27" ht="14.25" thickTop="1" thickBot="1">
      <c r="D234" s="69"/>
      <c r="E234" s="54" t="s">
        <v>509</v>
      </c>
      <c r="F234" s="7"/>
      <c r="G234" s="8"/>
      <c r="H234" s="7"/>
      <c r="I234" s="6"/>
      <c r="J234" s="7"/>
      <c r="K234" s="8"/>
      <c r="L234" s="7"/>
      <c r="M234" s="8"/>
      <c r="N234" s="7"/>
      <c r="O234" s="8"/>
      <c r="P234" s="7"/>
      <c r="Q234" s="7"/>
      <c r="R234" s="8"/>
      <c r="S234" s="7"/>
      <c r="T234" s="9"/>
      <c r="U234" s="7"/>
      <c r="V234" s="8"/>
      <c r="W234" s="7"/>
      <c r="X234" s="7"/>
      <c r="Y234" s="8"/>
      <c r="Z234" s="7"/>
      <c r="AA234" s="8"/>
    </row>
    <row r="235" spans="4:27" ht="14.25" thickTop="1" thickBot="1">
      <c r="D235" s="69"/>
      <c r="E235" s="54" t="s">
        <v>514</v>
      </c>
      <c r="F235" s="7"/>
      <c r="G235" s="8"/>
      <c r="H235" s="7"/>
      <c r="I235" s="6"/>
      <c r="J235" s="7"/>
      <c r="K235" s="8"/>
      <c r="L235" s="7"/>
      <c r="M235" s="8"/>
      <c r="N235" s="7"/>
      <c r="O235" s="8"/>
      <c r="P235" s="7"/>
      <c r="Q235" s="7"/>
      <c r="R235" s="8"/>
      <c r="S235" s="7"/>
      <c r="T235" s="9"/>
      <c r="U235" s="7"/>
      <c r="V235" s="8"/>
      <c r="W235" s="7"/>
      <c r="X235" s="7"/>
      <c r="Y235" s="8"/>
      <c r="Z235" s="7"/>
      <c r="AA235" s="8"/>
    </row>
    <row r="236" spans="4:27" ht="14.25" thickTop="1" thickBot="1">
      <c r="D236" s="69"/>
      <c r="E236" s="54" t="s">
        <v>466</v>
      </c>
      <c r="F236" s="7"/>
      <c r="G236" s="8"/>
      <c r="H236" s="7"/>
      <c r="I236" s="6"/>
      <c r="J236" s="7"/>
      <c r="K236" s="8"/>
      <c r="L236" s="7"/>
      <c r="M236" s="8"/>
      <c r="N236" s="7"/>
      <c r="O236" s="8"/>
      <c r="P236" s="7"/>
      <c r="Q236" s="7"/>
      <c r="R236" s="8"/>
      <c r="S236" s="7"/>
      <c r="T236" s="9"/>
      <c r="U236" s="7"/>
      <c r="V236" s="8"/>
      <c r="W236" s="7"/>
      <c r="X236" s="7"/>
      <c r="Y236" s="8"/>
      <c r="Z236" s="7"/>
      <c r="AA236" s="8"/>
    </row>
    <row r="237" spans="4:27" ht="14.25" thickTop="1" thickBot="1">
      <c r="D237" s="69"/>
      <c r="E237" s="54" t="s">
        <v>467</v>
      </c>
      <c r="F237" s="7"/>
      <c r="G237" s="8"/>
      <c r="H237" s="7"/>
      <c r="I237" s="6"/>
      <c r="J237" s="7"/>
      <c r="K237" s="8"/>
      <c r="L237" s="7"/>
      <c r="M237" s="8"/>
      <c r="N237" s="7"/>
      <c r="O237" s="8"/>
      <c r="P237" s="7"/>
      <c r="Q237" s="7"/>
      <c r="R237" s="8"/>
      <c r="S237" s="7"/>
      <c r="T237" s="9"/>
      <c r="U237" s="7"/>
      <c r="V237" s="8"/>
      <c r="W237" s="7"/>
      <c r="X237" s="7"/>
      <c r="Y237" s="8"/>
      <c r="Z237" s="7"/>
      <c r="AA237" s="8"/>
    </row>
    <row r="238" spans="4:27" ht="14.25" thickTop="1" thickBot="1">
      <c r="D238" s="69"/>
      <c r="E238" s="54" t="s">
        <v>431</v>
      </c>
      <c r="F238" s="7"/>
      <c r="G238" s="8"/>
      <c r="H238" s="7"/>
      <c r="I238" s="6"/>
      <c r="J238" s="7"/>
      <c r="K238" s="8"/>
      <c r="L238" s="7"/>
      <c r="M238" s="8"/>
      <c r="N238" s="7"/>
      <c r="O238" s="8"/>
      <c r="P238" s="7"/>
      <c r="Q238" s="7"/>
      <c r="R238" s="8"/>
      <c r="S238" s="7"/>
      <c r="T238" s="9"/>
      <c r="U238" s="7"/>
      <c r="V238" s="8"/>
      <c r="W238" s="7"/>
      <c r="X238" s="7"/>
      <c r="Y238" s="8"/>
      <c r="Z238" s="7"/>
      <c r="AA238" s="8"/>
    </row>
    <row r="239" spans="4:27" ht="14.25" thickTop="1" thickBot="1">
      <c r="D239" s="69"/>
      <c r="E239" s="54" t="s">
        <v>854</v>
      </c>
      <c r="F239" s="7"/>
      <c r="G239" s="8"/>
      <c r="H239" s="7"/>
      <c r="I239" s="6"/>
      <c r="J239" s="7"/>
      <c r="K239" s="8"/>
      <c r="L239" s="7"/>
      <c r="M239" s="8"/>
      <c r="N239" s="7"/>
      <c r="O239" s="8"/>
      <c r="P239" s="7"/>
      <c r="Q239" s="7"/>
      <c r="R239" s="8"/>
      <c r="S239" s="7"/>
      <c r="T239" s="9"/>
      <c r="U239" s="7"/>
      <c r="V239" s="8"/>
      <c r="W239" s="7"/>
      <c r="X239" s="7"/>
      <c r="Y239" s="8"/>
      <c r="Z239" s="7"/>
      <c r="AA239" s="8"/>
    </row>
    <row r="240" spans="4:27" ht="14.25" thickTop="1" thickBot="1">
      <c r="D240" s="69"/>
      <c r="E240" s="54" t="s">
        <v>879</v>
      </c>
      <c r="F240" s="7"/>
      <c r="G240" s="8"/>
      <c r="H240" s="7"/>
      <c r="I240" s="6"/>
      <c r="J240" s="7"/>
      <c r="K240" s="8"/>
      <c r="L240" s="7"/>
      <c r="M240" s="8"/>
      <c r="N240" s="7"/>
      <c r="O240" s="8"/>
      <c r="P240" s="7"/>
      <c r="Q240" s="7"/>
      <c r="R240" s="8"/>
      <c r="S240" s="7"/>
      <c r="T240" s="9"/>
      <c r="U240" s="7"/>
      <c r="V240" s="8"/>
      <c r="W240" s="7"/>
      <c r="X240" s="7"/>
      <c r="Y240" s="8"/>
      <c r="Z240" s="7"/>
      <c r="AA240" s="8"/>
    </row>
    <row r="241" spans="4:27" ht="14.25" thickTop="1" thickBot="1">
      <c r="D241" s="69"/>
      <c r="E241" s="54" t="s">
        <v>1107</v>
      </c>
      <c r="F241" s="7"/>
      <c r="G241" s="8"/>
      <c r="H241" s="7"/>
      <c r="I241" s="6"/>
      <c r="J241" s="7"/>
      <c r="K241" s="8"/>
      <c r="L241" s="7"/>
      <c r="M241" s="8"/>
      <c r="N241" s="7"/>
      <c r="O241" s="8"/>
      <c r="P241" s="7"/>
      <c r="Q241" s="7"/>
      <c r="R241" s="8"/>
      <c r="S241" s="7"/>
      <c r="T241" s="9"/>
      <c r="U241" s="7"/>
      <c r="V241" s="8"/>
      <c r="W241" s="7"/>
      <c r="X241" s="7"/>
      <c r="Y241" s="8"/>
      <c r="Z241" s="7"/>
      <c r="AA241" s="8"/>
    </row>
    <row r="242" spans="4:27" ht="14.25" thickTop="1" thickBot="1">
      <c r="D242" s="69"/>
      <c r="E242" s="54" t="s">
        <v>442</v>
      </c>
      <c r="F242" s="7"/>
      <c r="G242" s="8"/>
      <c r="H242" s="7"/>
      <c r="I242" s="6"/>
      <c r="J242" s="7"/>
      <c r="K242" s="8"/>
      <c r="L242" s="7"/>
      <c r="M242" s="8"/>
      <c r="N242" s="7"/>
      <c r="O242" s="8"/>
      <c r="P242" s="7"/>
      <c r="Q242" s="7"/>
      <c r="R242" s="8"/>
      <c r="S242" s="7"/>
      <c r="T242" s="9"/>
      <c r="U242" s="7"/>
      <c r="V242" s="8"/>
      <c r="W242" s="7"/>
      <c r="X242" s="7"/>
      <c r="Y242" s="8"/>
      <c r="Z242" s="7"/>
      <c r="AA242" s="8"/>
    </row>
    <row r="243" spans="4:27" ht="14.25" thickTop="1" thickBot="1">
      <c r="D243" s="69"/>
      <c r="E243" s="54" t="s">
        <v>316</v>
      </c>
      <c r="F243" s="7"/>
      <c r="G243" s="8"/>
      <c r="H243" s="7"/>
      <c r="I243" s="6"/>
      <c r="J243" s="7"/>
      <c r="K243" s="8"/>
      <c r="L243" s="7"/>
      <c r="M243" s="8"/>
      <c r="N243" s="7"/>
      <c r="O243" s="8"/>
      <c r="P243" s="7"/>
      <c r="Q243" s="7"/>
      <c r="R243" s="8"/>
      <c r="S243" s="7"/>
      <c r="T243" s="9"/>
      <c r="U243" s="7"/>
      <c r="V243" s="8"/>
      <c r="W243" s="7"/>
      <c r="X243" s="7"/>
      <c r="Y243" s="8"/>
      <c r="Z243" s="7"/>
      <c r="AA243" s="8"/>
    </row>
    <row r="244" spans="4:27" ht="14.25" thickTop="1" thickBot="1">
      <c r="D244" s="69"/>
      <c r="E244" s="54" t="s">
        <v>461</v>
      </c>
      <c r="F244" s="7"/>
      <c r="G244" s="8"/>
      <c r="H244" s="7"/>
      <c r="I244" s="6"/>
      <c r="J244" s="7"/>
      <c r="K244" s="8"/>
      <c r="L244" s="7"/>
      <c r="M244" s="8"/>
      <c r="N244" s="7"/>
      <c r="O244" s="8"/>
      <c r="P244" s="7"/>
      <c r="Q244" s="7"/>
      <c r="R244" s="8"/>
      <c r="S244" s="7"/>
      <c r="T244" s="9"/>
      <c r="U244" s="7"/>
      <c r="V244" s="8"/>
      <c r="W244" s="7"/>
      <c r="X244" s="7"/>
      <c r="Y244" s="8"/>
      <c r="Z244" s="7"/>
      <c r="AA244" s="8"/>
    </row>
    <row r="245" spans="4:27" ht="14.25" thickTop="1" thickBot="1">
      <c r="D245" s="69"/>
      <c r="E245" s="54" t="s">
        <v>878</v>
      </c>
      <c r="F245" s="7"/>
      <c r="G245" s="8"/>
      <c r="H245" s="7"/>
      <c r="I245" s="6"/>
      <c r="J245" s="7"/>
      <c r="K245" s="8"/>
      <c r="L245" s="7"/>
      <c r="M245" s="8"/>
      <c r="N245" s="7"/>
      <c r="O245" s="8"/>
      <c r="P245" s="7"/>
      <c r="Q245" s="7"/>
      <c r="R245" s="8"/>
      <c r="S245" s="7"/>
      <c r="T245" s="9"/>
      <c r="U245" s="7"/>
      <c r="V245" s="8"/>
      <c r="W245" s="7"/>
      <c r="X245" s="7"/>
      <c r="Y245" s="8"/>
      <c r="Z245" s="7"/>
      <c r="AA245" s="8"/>
    </row>
    <row r="246" spans="4:27" ht="14.25" thickTop="1" thickBot="1">
      <c r="D246" s="69"/>
      <c r="E246" s="54" t="s">
        <v>880</v>
      </c>
      <c r="F246" s="7"/>
      <c r="G246" s="8"/>
      <c r="H246" s="7"/>
      <c r="I246" s="6"/>
      <c r="J246" s="7"/>
      <c r="K246" s="8"/>
      <c r="L246" s="7"/>
      <c r="M246" s="8"/>
      <c r="N246" s="7"/>
      <c r="O246" s="8"/>
      <c r="P246" s="7"/>
      <c r="Q246" s="7"/>
      <c r="R246" s="8"/>
      <c r="S246" s="7"/>
      <c r="T246" s="9"/>
      <c r="U246" s="7"/>
      <c r="V246" s="8"/>
      <c r="W246" s="7"/>
      <c r="X246" s="7"/>
      <c r="Y246" s="8"/>
      <c r="Z246" s="7"/>
      <c r="AA246" s="8"/>
    </row>
    <row r="247" spans="4:27" ht="14.25" thickTop="1" thickBot="1">
      <c r="D247" s="69"/>
      <c r="E247" s="54" t="s">
        <v>468</v>
      </c>
      <c r="F247" s="7"/>
      <c r="G247" s="8"/>
      <c r="H247" s="7"/>
      <c r="I247" s="6"/>
      <c r="J247" s="7"/>
      <c r="K247" s="8"/>
      <c r="L247" s="7"/>
      <c r="M247" s="8"/>
      <c r="N247" s="7"/>
      <c r="O247" s="8"/>
      <c r="P247" s="7"/>
      <c r="Q247" s="7"/>
      <c r="R247" s="8"/>
      <c r="S247" s="7"/>
      <c r="T247" s="9"/>
      <c r="U247" s="7"/>
      <c r="V247" s="8"/>
      <c r="W247" s="7"/>
      <c r="X247" s="7"/>
      <c r="Y247" s="8"/>
      <c r="Z247" s="7"/>
      <c r="AA247" s="8"/>
    </row>
    <row r="248" spans="4:27" ht="14.25" thickTop="1" thickBot="1">
      <c r="D248" s="69"/>
      <c r="E248" s="54" t="s">
        <v>883</v>
      </c>
      <c r="F248" s="7"/>
      <c r="G248" s="8"/>
      <c r="H248" s="7"/>
      <c r="I248" s="6"/>
      <c r="J248" s="7"/>
      <c r="K248" s="8"/>
      <c r="L248" s="7"/>
      <c r="M248" s="8"/>
      <c r="N248" s="7"/>
      <c r="O248" s="8"/>
      <c r="P248" s="7"/>
      <c r="Q248" s="7"/>
      <c r="R248" s="8"/>
      <c r="S248" s="7"/>
      <c r="T248" s="9"/>
      <c r="U248" s="7"/>
      <c r="V248" s="8"/>
      <c r="W248" s="7"/>
      <c r="X248" s="7"/>
      <c r="Y248" s="8"/>
      <c r="Z248" s="7"/>
      <c r="AA248" s="8"/>
    </row>
    <row r="249" spans="4:27" ht="14.25" thickTop="1" thickBot="1">
      <c r="D249" s="69"/>
      <c r="E249" s="54" t="s">
        <v>465</v>
      </c>
      <c r="F249" s="7"/>
      <c r="G249" s="8"/>
      <c r="H249" s="7"/>
      <c r="I249" s="6"/>
      <c r="J249" s="7"/>
      <c r="K249" s="8"/>
      <c r="L249" s="7"/>
      <c r="M249" s="8"/>
      <c r="N249" s="7"/>
      <c r="O249" s="8"/>
      <c r="P249" s="7"/>
      <c r="Q249" s="7"/>
      <c r="R249" s="8"/>
      <c r="S249" s="7"/>
      <c r="T249" s="9"/>
      <c r="U249" s="7"/>
      <c r="V249" s="8"/>
      <c r="W249" s="7"/>
      <c r="X249" s="7"/>
      <c r="Y249" s="8"/>
      <c r="Z249" s="7"/>
      <c r="AA249" s="8"/>
    </row>
    <row r="250" spans="4:27" ht="14.25" thickTop="1" thickBot="1">
      <c r="D250" s="69"/>
      <c r="E250" s="54" t="s">
        <v>463</v>
      </c>
      <c r="F250" s="7"/>
      <c r="G250" s="8"/>
      <c r="H250" s="7"/>
      <c r="I250" s="6"/>
      <c r="J250" s="7"/>
      <c r="K250" s="8"/>
      <c r="L250" s="7"/>
      <c r="M250" s="8"/>
      <c r="N250" s="7"/>
      <c r="O250" s="8"/>
      <c r="P250" s="7"/>
      <c r="Q250" s="7"/>
      <c r="R250" s="8"/>
      <c r="S250" s="7"/>
      <c r="T250" s="9"/>
      <c r="U250" s="7"/>
      <c r="V250" s="8"/>
      <c r="W250" s="7"/>
      <c r="X250" s="7"/>
      <c r="Y250" s="8"/>
      <c r="Z250" s="7"/>
      <c r="AA250" s="8"/>
    </row>
    <row r="251" spans="4:27" ht="14.25" thickTop="1" thickBot="1">
      <c r="D251" s="69"/>
      <c r="E251" s="54" t="s">
        <v>460</v>
      </c>
      <c r="F251" s="7"/>
      <c r="G251" s="8"/>
      <c r="H251" s="7"/>
      <c r="I251" s="6"/>
      <c r="J251" s="7"/>
      <c r="K251" s="8"/>
      <c r="L251" s="7"/>
      <c r="M251" s="8"/>
      <c r="N251" s="7"/>
      <c r="O251" s="8"/>
      <c r="P251" s="7"/>
      <c r="Q251" s="7"/>
      <c r="R251" s="8"/>
      <c r="S251" s="7"/>
      <c r="T251" s="9"/>
      <c r="U251" s="7"/>
      <c r="V251" s="8"/>
      <c r="W251" s="7"/>
      <c r="X251" s="7"/>
      <c r="Y251" s="8"/>
      <c r="Z251" s="7"/>
      <c r="AA251" s="8"/>
    </row>
    <row r="252" spans="4:27" ht="14.25" thickTop="1" thickBot="1">
      <c r="D252" s="69"/>
      <c r="E252" s="54" t="s">
        <v>459</v>
      </c>
      <c r="F252" s="7"/>
      <c r="G252" s="8"/>
      <c r="H252" s="7"/>
      <c r="I252" s="6"/>
      <c r="J252" s="7"/>
      <c r="K252" s="8"/>
      <c r="L252" s="7"/>
      <c r="M252" s="8"/>
      <c r="N252" s="7"/>
      <c r="O252" s="8"/>
      <c r="P252" s="7"/>
      <c r="Q252" s="7"/>
      <c r="R252" s="8"/>
      <c r="S252" s="7"/>
      <c r="T252" s="9"/>
      <c r="U252" s="7"/>
      <c r="V252" s="8"/>
      <c r="W252" s="7"/>
      <c r="X252" s="7"/>
      <c r="Y252" s="8"/>
      <c r="Z252" s="7"/>
      <c r="AA252" s="8"/>
    </row>
    <row r="253" spans="4:27" ht="14.25" thickTop="1" thickBot="1">
      <c r="D253" s="69"/>
      <c r="E253" s="54" t="s">
        <v>454</v>
      </c>
      <c r="F253" s="7"/>
      <c r="G253" s="8"/>
      <c r="H253" s="7"/>
      <c r="I253" s="6"/>
      <c r="J253" s="7"/>
      <c r="K253" s="8"/>
      <c r="L253" s="7"/>
      <c r="M253" s="8"/>
      <c r="N253" s="7"/>
      <c r="O253" s="8"/>
      <c r="P253" s="7"/>
      <c r="Q253" s="7"/>
      <c r="R253" s="8"/>
      <c r="S253" s="7"/>
      <c r="T253" s="9"/>
      <c r="U253" s="7"/>
      <c r="V253" s="8"/>
      <c r="W253" s="7"/>
      <c r="X253" s="7"/>
      <c r="Y253" s="8"/>
      <c r="Z253" s="7"/>
      <c r="AA253" s="8"/>
    </row>
    <row r="254" spans="4:27" ht="14.25" thickTop="1" thickBot="1">
      <c r="D254" s="69"/>
      <c r="E254" s="54" t="s">
        <v>884</v>
      </c>
      <c r="F254" s="7"/>
      <c r="G254" s="8"/>
      <c r="H254" s="7"/>
      <c r="I254" s="6"/>
      <c r="J254" s="7"/>
      <c r="K254" s="8"/>
      <c r="L254" s="7"/>
      <c r="M254" s="8"/>
      <c r="N254" s="7"/>
      <c r="O254" s="8"/>
      <c r="P254" s="7"/>
      <c r="Q254" s="7"/>
      <c r="R254" s="8"/>
      <c r="S254" s="7"/>
      <c r="T254" s="9"/>
      <c r="U254" s="7"/>
      <c r="V254" s="8"/>
      <c r="W254" s="7"/>
      <c r="X254" s="7"/>
      <c r="Y254" s="8"/>
      <c r="Z254" s="7"/>
      <c r="AA254" s="8"/>
    </row>
    <row r="255" spans="4:27" ht="14.25" thickTop="1" thickBot="1">
      <c r="D255" s="69"/>
      <c r="E255" s="54" t="s">
        <v>882</v>
      </c>
      <c r="F255" s="7"/>
      <c r="G255" s="8"/>
      <c r="H255" s="7"/>
      <c r="I255" s="6"/>
      <c r="J255" s="7"/>
      <c r="K255" s="8"/>
      <c r="L255" s="7"/>
      <c r="M255" s="8"/>
      <c r="N255" s="7"/>
      <c r="O255" s="8"/>
      <c r="P255" s="7"/>
      <c r="Q255" s="7"/>
      <c r="R255" s="8"/>
      <c r="S255" s="7"/>
      <c r="T255" s="9"/>
      <c r="U255" s="7"/>
      <c r="V255" s="8"/>
      <c r="W255" s="7"/>
      <c r="X255" s="7"/>
      <c r="Y255" s="8"/>
      <c r="Z255" s="7"/>
      <c r="AA255" s="8"/>
    </row>
    <row r="256" spans="4:27" ht="14.25" thickTop="1" thickBot="1">
      <c r="D256" s="69"/>
      <c r="E256" s="54" t="s">
        <v>859</v>
      </c>
      <c r="F256" s="7"/>
      <c r="G256" s="8"/>
      <c r="H256" s="7"/>
      <c r="I256" s="6"/>
      <c r="J256" s="7"/>
      <c r="K256" s="8"/>
      <c r="L256" s="7"/>
      <c r="M256" s="8"/>
      <c r="N256" s="7"/>
      <c r="O256" s="8"/>
      <c r="P256" s="7"/>
      <c r="Q256" s="7"/>
      <c r="R256" s="8"/>
      <c r="S256" s="7"/>
      <c r="T256" s="9"/>
      <c r="U256" s="7"/>
      <c r="V256" s="8"/>
      <c r="W256" s="7"/>
      <c r="X256" s="7"/>
      <c r="Y256" s="8"/>
      <c r="Z256" s="7"/>
      <c r="AA256" s="8"/>
    </row>
    <row r="257" spans="4:27" ht="14.25" thickTop="1" thickBot="1">
      <c r="D257" s="69"/>
      <c r="E257" s="54" t="s">
        <v>853</v>
      </c>
      <c r="F257" s="7"/>
      <c r="G257" s="8"/>
      <c r="H257" s="7"/>
      <c r="I257" s="6"/>
      <c r="J257" s="7"/>
      <c r="K257" s="8"/>
      <c r="L257" s="7"/>
      <c r="M257" s="8"/>
      <c r="N257" s="7"/>
      <c r="O257" s="8"/>
      <c r="P257" s="7"/>
      <c r="Q257" s="7"/>
      <c r="R257" s="8"/>
      <c r="S257" s="7"/>
      <c r="T257" s="9"/>
      <c r="U257" s="7"/>
      <c r="V257" s="8"/>
      <c r="W257" s="7"/>
      <c r="X257" s="7"/>
      <c r="Y257" s="8"/>
      <c r="Z257" s="7"/>
      <c r="AA257" s="8"/>
    </row>
    <row r="258" spans="4:27" ht="14.25" thickTop="1" thickBot="1">
      <c r="D258" s="69"/>
      <c r="E258" s="54" t="s">
        <v>855</v>
      </c>
      <c r="F258" s="7"/>
      <c r="G258" s="8"/>
      <c r="H258" s="7"/>
      <c r="I258" s="6"/>
      <c r="J258" s="7"/>
      <c r="K258" s="8"/>
      <c r="L258" s="7"/>
      <c r="M258" s="8"/>
      <c r="N258" s="7"/>
      <c r="O258" s="8"/>
      <c r="P258" s="7"/>
      <c r="Q258" s="7"/>
      <c r="R258" s="8"/>
      <c r="S258" s="7"/>
      <c r="T258" s="9"/>
      <c r="U258" s="7"/>
      <c r="V258" s="8"/>
      <c r="W258" s="7"/>
      <c r="X258" s="7"/>
      <c r="Y258" s="8"/>
      <c r="Z258" s="7"/>
      <c r="AA258" s="8"/>
    </row>
    <row r="259" spans="4:27" ht="14.25" thickTop="1" thickBot="1">
      <c r="D259" s="69"/>
      <c r="E259" s="54" t="s">
        <v>856</v>
      </c>
      <c r="F259" s="7"/>
      <c r="G259" s="8"/>
      <c r="H259" s="7"/>
      <c r="I259" s="6"/>
      <c r="J259" s="7"/>
      <c r="K259" s="8"/>
      <c r="L259" s="7"/>
      <c r="M259" s="8"/>
      <c r="N259" s="7"/>
      <c r="O259" s="8"/>
      <c r="P259" s="7"/>
      <c r="Q259" s="7"/>
      <c r="R259" s="8"/>
      <c r="S259" s="7"/>
      <c r="T259" s="9"/>
      <c r="U259" s="7"/>
      <c r="V259" s="8"/>
      <c r="W259" s="7"/>
      <c r="X259" s="7"/>
      <c r="Y259" s="8"/>
      <c r="Z259" s="7"/>
      <c r="AA259" s="8"/>
    </row>
    <row r="260" spans="4:27" ht="14.25" thickTop="1" thickBot="1">
      <c r="D260" s="69"/>
      <c r="E260" s="54" t="s">
        <v>887</v>
      </c>
      <c r="F260" s="7"/>
      <c r="G260" s="8"/>
      <c r="H260" s="7"/>
      <c r="I260" s="6"/>
      <c r="J260" s="7"/>
      <c r="K260" s="8"/>
      <c r="L260" s="7"/>
      <c r="M260" s="8"/>
      <c r="N260" s="7"/>
      <c r="O260" s="8"/>
      <c r="P260" s="7"/>
      <c r="Q260" s="7"/>
      <c r="R260" s="8"/>
      <c r="S260" s="7"/>
      <c r="T260" s="9"/>
      <c r="U260" s="7"/>
      <c r="V260" s="8"/>
      <c r="W260" s="7"/>
      <c r="X260" s="7"/>
      <c r="Y260" s="8"/>
      <c r="Z260" s="7"/>
      <c r="AA260" s="8"/>
    </row>
    <row r="261" spans="4:27" ht="14.25" thickTop="1" thickBot="1">
      <c r="D261" s="69"/>
      <c r="E261" s="54" t="s">
        <v>857</v>
      </c>
      <c r="F261" s="7"/>
      <c r="G261" s="8"/>
      <c r="H261" s="7"/>
      <c r="I261" s="6"/>
      <c r="J261" s="7"/>
      <c r="K261" s="8"/>
      <c r="L261" s="7"/>
      <c r="M261" s="8"/>
      <c r="N261" s="7"/>
      <c r="O261" s="8"/>
      <c r="P261" s="7"/>
      <c r="Q261" s="7"/>
      <c r="R261" s="8"/>
      <c r="S261" s="7"/>
      <c r="T261" s="9"/>
      <c r="U261" s="7"/>
      <c r="V261" s="8"/>
      <c r="W261" s="7"/>
      <c r="X261" s="7"/>
      <c r="Y261" s="8"/>
      <c r="Z261" s="7"/>
      <c r="AA261" s="8"/>
    </row>
    <row r="262" spans="4:27" ht="14.25" thickTop="1" thickBot="1">
      <c r="D262" s="69"/>
      <c r="E262" s="54" t="s">
        <v>858</v>
      </c>
      <c r="F262" s="7"/>
      <c r="G262" s="8"/>
      <c r="H262" s="7"/>
      <c r="I262" s="6"/>
      <c r="J262" s="7"/>
      <c r="K262" s="8"/>
      <c r="L262" s="7"/>
      <c r="M262" s="8"/>
      <c r="N262" s="7"/>
      <c r="O262" s="8"/>
      <c r="P262" s="7"/>
      <c r="Q262" s="7"/>
      <c r="R262" s="8"/>
      <c r="S262" s="7"/>
      <c r="T262" s="9"/>
      <c r="U262" s="7"/>
      <c r="V262" s="8"/>
      <c r="W262" s="7"/>
      <c r="X262" s="7"/>
      <c r="Y262" s="8"/>
      <c r="Z262" s="7"/>
      <c r="AA262" s="8"/>
    </row>
    <row r="263" spans="4:27" ht="14.25" thickTop="1" thickBot="1">
      <c r="D263" s="69"/>
      <c r="E263" s="54" t="s">
        <v>436</v>
      </c>
      <c r="F263" s="7"/>
      <c r="G263" s="8"/>
      <c r="H263" s="7"/>
      <c r="I263" s="6"/>
      <c r="J263" s="7"/>
      <c r="K263" s="8"/>
      <c r="L263" s="7"/>
      <c r="M263" s="8"/>
      <c r="N263" s="7"/>
      <c r="O263" s="8"/>
      <c r="P263" s="7"/>
      <c r="Q263" s="7"/>
      <c r="R263" s="8"/>
      <c r="S263" s="7"/>
      <c r="T263" s="9"/>
      <c r="U263" s="7"/>
      <c r="V263" s="8"/>
      <c r="W263" s="7"/>
      <c r="X263" s="7"/>
      <c r="Y263" s="8"/>
      <c r="Z263" s="7"/>
      <c r="AA263" s="8"/>
    </row>
    <row r="264" spans="4:27" ht="14.25" thickTop="1" thickBot="1">
      <c r="D264" s="69"/>
      <c r="E264" s="54" t="s">
        <v>457</v>
      </c>
      <c r="F264" s="7"/>
      <c r="G264" s="8"/>
      <c r="H264" s="7"/>
      <c r="I264" s="6"/>
      <c r="J264" s="7"/>
      <c r="K264" s="8"/>
      <c r="L264" s="7"/>
      <c r="M264" s="8"/>
      <c r="N264" s="7"/>
      <c r="O264" s="8"/>
      <c r="P264" s="7"/>
      <c r="Q264" s="7"/>
      <c r="R264" s="8"/>
      <c r="S264" s="7"/>
      <c r="T264" s="9"/>
      <c r="U264" s="7"/>
      <c r="V264" s="8"/>
      <c r="W264" s="7"/>
      <c r="X264" s="7"/>
      <c r="Y264" s="8"/>
      <c r="Z264" s="7"/>
      <c r="AA264" s="8"/>
    </row>
    <row r="265" spans="4:27" ht="14.25" thickTop="1" thickBot="1">
      <c r="D265" s="69"/>
      <c r="E265" s="54" t="s">
        <v>451</v>
      </c>
      <c r="F265" s="7"/>
      <c r="G265" s="8"/>
      <c r="H265" s="7"/>
      <c r="I265" s="6"/>
      <c r="J265" s="7"/>
      <c r="K265" s="8"/>
      <c r="L265" s="7"/>
      <c r="M265" s="8"/>
      <c r="N265" s="7"/>
      <c r="O265" s="8"/>
      <c r="P265" s="7"/>
      <c r="Q265" s="7"/>
      <c r="R265" s="8"/>
      <c r="S265" s="7"/>
      <c r="T265" s="9"/>
      <c r="U265" s="7"/>
      <c r="V265" s="8"/>
      <c r="W265" s="7"/>
      <c r="X265" s="7"/>
      <c r="Y265" s="8"/>
      <c r="Z265" s="7"/>
      <c r="AA265" s="8"/>
    </row>
    <row r="266" spans="4:27" ht="14.25" thickTop="1" thickBot="1">
      <c r="D266" s="69"/>
      <c r="E266" s="54" t="s">
        <v>434</v>
      </c>
      <c r="F266" s="7"/>
      <c r="G266" s="8"/>
      <c r="H266" s="7"/>
      <c r="I266" s="6"/>
      <c r="J266" s="7"/>
      <c r="K266" s="8"/>
      <c r="L266" s="7"/>
      <c r="M266" s="8"/>
      <c r="N266" s="7"/>
      <c r="O266" s="8"/>
      <c r="P266" s="7"/>
      <c r="Q266" s="7"/>
      <c r="R266" s="8"/>
      <c r="S266" s="7"/>
      <c r="T266" s="9"/>
      <c r="U266" s="7"/>
      <c r="V266" s="8"/>
      <c r="W266" s="7"/>
      <c r="X266" s="7"/>
      <c r="Y266" s="8"/>
      <c r="Z266" s="7"/>
      <c r="AA266" s="8"/>
    </row>
    <row r="267" spans="4:27" ht="14.25" thickTop="1" thickBot="1">
      <c r="D267" s="69"/>
      <c r="E267" s="54" t="s">
        <v>438</v>
      </c>
      <c r="F267" s="7"/>
      <c r="G267" s="8"/>
      <c r="H267" s="7"/>
      <c r="I267" s="6"/>
      <c r="J267" s="7"/>
      <c r="K267" s="8"/>
      <c r="L267" s="7"/>
      <c r="M267" s="8"/>
      <c r="N267" s="7"/>
      <c r="O267" s="8"/>
      <c r="P267" s="7"/>
      <c r="Q267" s="7"/>
      <c r="R267" s="8"/>
      <c r="S267" s="7"/>
      <c r="T267" s="9"/>
      <c r="U267" s="7"/>
      <c r="V267" s="8"/>
      <c r="W267" s="7"/>
      <c r="X267" s="7"/>
      <c r="Y267" s="8"/>
      <c r="Z267" s="7"/>
      <c r="AA267" s="8"/>
    </row>
    <row r="268" spans="4:27" ht="14.25" thickTop="1" thickBot="1">
      <c r="D268" s="69"/>
      <c r="E268" s="54" t="s">
        <v>870</v>
      </c>
      <c r="F268" s="7"/>
      <c r="G268" s="8"/>
      <c r="H268" s="7"/>
      <c r="I268" s="6"/>
      <c r="J268" s="7"/>
      <c r="K268" s="8"/>
      <c r="L268" s="7"/>
      <c r="M268" s="8"/>
      <c r="N268" s="7"/>
      <c r="O268" s="8"/>
      <c r="P268" s="7"/>
      <c r="Q268" s="7"/>
      <c r="R268" s="8"/>
      <c r="S268" s="7"/>
      <c r="T268" s="9"/>
      <c r="U268" s="7"/>
      <c r="V268" s="8"/>
      <c r="W268" s="7"/>
      <c r="X268" s="7"/>
      <c r="Y268" s="8"/>
      <c r="Z268" s="7"/>
      <c r="AA268" s="8"/>
    </row>
    <row r="269" spans="4:27" ht="14.25" thickTop="1" thickBot="1">
      <c r="D269" s="69"/>
      <c r="E269" s="54" t="s">
        <v>877</v>
      </c>
      <c r="F269" s="7"/>
      <c r="G269" s="8"/>
      <c r="H269" s="7"/>
      <c r="I269" s="6"/>
      <c r="J269" s="7"/>
      <c r="K269" s="8"/>
      <c r="L269" s="7"/>
      <c r="M269" s="8"/>
      <c r="N269" s="7"/>
      <c r="O269" s="8"/>
      <c r="P269" s="7"/>
      <c r="Q269" s="7"/>
      <c r="R269" s="8"/>
      <c r="S269" s="7"/>
      <c r="T269" s="9"/>
      <c r="U269" s="7"/>
      <c r="V269" s="8"/>
      <c r="W269" s="7"/>
      <c r="X269" s="7"/>
      <c r="Y269" s="8"/>
      <c r="Z269" s="7"/>
      <c r="AA269" s="8"/>
    </row>
    <row r="270" spans="4:27" ht="14.25" thickTop="1" thickBot="1">
      <c r="D270" s="69"/>
      <c r="E270" s="54" t="s">
        <v>1300</v>
      </c>
      <c r="F270" s="7"/>
      <c r="G270" s="8"/>
      <c r="H270" s="7"/>
      <c r="I270" s="6"/>
      <c r="J270" s="7"/>
      <c r="K270" s="8"/>
      <c r="L270" s="7"/>
      <c r="M270" s="8"/>
      <c r="N270" s="7"/>
      <c r="O270" s="8"/>
      <c r="P270" s="7"/>
      <c r="Q270" s="7"/>
      <c r="R270" s="8"/>
      <c r="S270" s="7"/>
      <c r="T270" s="9"/>
      <c r="U270" s="7"/>
      <c r="V270" s="8"/>
      <c r="W270" s="7"/>
      <c r="X270" s="7"/>
      <c r="Y270" s="8"/>
      <c r="Z270" s="7"/>
      <c r="AA270" s="8"/>
    </row>
    <row r="271" spans="4:27" ht="14.25" thickTop="1" thickBot="1">
      <c r="D271" s="69"/>
      <c r="E271" s="54" t="s">
        <v>456</v>
      </c>
      <c r="F271" s="7"/>
      <c r="G271" s="8"/>
      <c r="H271" s="7"/>
      <c r="I271" s="6"/>
      <c r="J271" s="7"/>
      <c r="K271" s="8"/>
      <c r="L271" s="7"/>
      <c r="M271" s="8"/>
      <c r="N271" s="7"/>
      <c r="O271" s="8"/>
      <c r="P271" s="7"/>
      <c r="Q271" s="7"/>
      <c r="R271" s="8"/>
      <c r="S271" s="7"/>
      <c r="T271" s="9"/>
      <c r="U271" s="7"/>
      <c r="V271" s="8"/>
      <c r="W271" s="7"/>
      <c r="X271" s="7"/>
      <c r="Y271" s="8"/>
      <c r="Z271" s="7"/>
      <c r="AA271" s="8"/>
    </row>
    <row r="272" spans="4:27" ht="14.25" thickTop="1" thickBot="1">
      <c r="D272" s="69"/>
      <c r="E272" s="54" t="s">
        <v>1100</v>
      </c>
      <c r="F272" s="7"/>
      <c r="G272" s="8"/>
      <c r="H272" s="7"/>
      <c r="I272" s="6"/>
      <c r="J272" s="7"/>
      <c r="K272" s="8"/>
      <c r="L272" s="7"/>
      <c r="M272" s="8"/>
      <c r="N272" s="7"/>
      <c r="O272" s="8"/>
      <c r="P272" s="7"/>
      <c r="Q272" s="7"/>
      <c r="R272" s="8"/>
      <c r="S272" s="7"/>
      <c r="T272" s="9"/>
      <c r="U272" s="7"/>
      <c r="V272" s="8"/>
      <c r="W272" s="7"/>
      <c r="X272" s="7"/>
      <c r="Y272" s="8"/>
      <c r="Z272" s="7"/>
      <c r="AA272" s="8"/>
    </row>
    <row r="273" spans="4:27" ht="14.25" thickTop="1" thickBot="1">
      <c r="D273" s="69"/>
      <c r="E273" s="54" t="s">
        <v>1301</v>
      </c>
      <c r="F273" s="7"/>
      <c r="G273" s="8"/>
      <c r="H273" s="7"/>
      <c r="I273" s="6"/>
      <c r="J273" s="7"/>
      <c r="K273" s="8"/>
      <c r="L273" s="7"/>
      <c r="M273" s="8"/>
      <c r="N273" s="7"/>
      <c r="O273" s="8"/>
      <c r="P273" s="7"/>
      <c r="Q273" s="7"/>
      <c r="R273" s="8"/>
      <c r="S273" s="7"/>
      <c r="T273" s="9"/>
      <c r="U273" s="7"/>
      <c r="V273" s="8"/>
      <c r="W273" s="7"/>
      <c r="X273" s="7"/>
      <c r="Y273" s="8"/>
      <c r="Z273" s="7"/>
      <c r="AA273" s="8"/>
    </row>
    <row r="274" spans="4:27" ht="14.25" thickTop="1" thickBot="1">
      <c r="D274" s="69"/>
      <c r="E274" s="54" t="s">
        <v>204</v>
      </c>
      <c r="F274" s="7"/>
      <c r="G274" s="8"/>
      <c r="H274" s="7"/>
      <c r="I274" s="6"/>
      <c r="J274" s="7"/>
      <c r="K274" s="8"/>
      <c r="L274" s="7"/>
      <c r="M274" s="8"/>
      <c r="N274" s="7"/>
      <c r="O274" s="8"/>
      <c r="P274" s="7"/>
      <c r="Q274" s="7"/>
      <c r="R274" s="8"/>
      <c r="S274" s="7"/>
      <c r="T274" s="9"/>
      <c r="U274" s="7"/>
      <c r="V274" s="8"/>
      <c r="W274" s="7"/>
      <c r="X274" s="7"/>
      <c r="Y274" s="8"/>
      <c r="Z274" s="7"/>
      <c r="AA274" s="8"/>
    </row>
    <row r="275" spans="4:27" ht="14.25" thickTop="1" thickBot="1">
      <c r="D275" s="69"/>
      <c r="E275" s="54" t="s">
        <v>1108</v>
      </c>
      <c r="F275" s="7"/>
      <c r="G275" s="8"/>
      <c r="H275" s="7"/>
      <c r="I275" s="6"/>
      <c r="J275" s="7"/>
      <c r="K275" s="8"/>
      <c r="L275" s="7"/>
      <c r="M275" s="8"/>
      <c r="N275" s="7"/>
      <c r="O275" s="8"/>
      <c r="P275" s="7"/>
      <c r="Q275" s="7"/>
      <c r="R275" s="8"/>
      <c r="S275" s="7"/>
      <c r="T275" s="9"/>
      <c r="U275" s="7"/>
      <c r="V275" s="8"/>
      <c r="W275" s="7"/>
      <c r="X275" s="7"/>
      <c r="Y275" s="8"/>
      <c r="Z275" s="7"/>
      <c r="AA275" s="8"/>
    </row>
    <row r="276" spans="4:27" ht="14.25" thickTop="1" thickBot="1">
      <c r="D276" s="69"/>
      <c r="E276" s="54" t="s">
        <v>208</v>
      </c>
      <c r="F276" s="7"/>
      <c r="G276" s="8"/>
      <c r="H276" s="7"/>
      <c r="I276" s="6"/>
      <c r="J276" s="7"/>
      <c r="K276" s="8"/>
      <c r="L276" s="7"/>
      <c r="M276" s="8"/>
      <c r="N276" s="7"/>
      <c r="O276" s="8"/>
      <c r="P276" s="7"/>
      <c r="Q276" s="7"/>
      <c r="R276" s="8"/>
      <c r="S276" s="7"/>
      <c r="T276" s="9"/>
      <c r="U276" s="7"/>
      <c r="V276" s="8"/>
      <c r="W276" s="7"/>
      <c r="X276" s="7"/>
      <c r="Y276" s="8"/>
      <c r="Z276" s="7"/>
      <c r="AA276" s="8"/>
    </row>
    <row r="277" spans="4:27" ht="14.25" thickTop="1" thickBot="1">
      <c r="D277" s="69"/>
      <c r="E277" s="54" t="s">
        <v>209</v>
      </c>
      <c r="F277" s="7"/>
      <c r="G277" s="8"/>
      <c r="H277" s="7"/>
      <c r="I277" s="6"/>
      <c r="J277" s="7"/>
      <c r="K277" s="8"/>
      <c r="L277" s="7"/>
      <c r="M277" s="8"/>
      <c r="N277" s="7"/>
      <c r="O277" s="8"/>
      <c r="P277" s="7"/>
      <c r="Q277" s="7"/>
      <c r="R277" s="8"/>
      <c r="S277" s="7"/>
      <c r="T277" s="9"/>
      <c r="U277" s="7"/>
      <c r="V277" s="8"/>
      <c r="W277" s="7"/>
      <c r="X277" s="7"/>
      <c r="Y277" s="8"/>
      <c r="Z277" s="7"/>
      <c r="AA277" s="8"/>
    </row>
    <row r="278" spans="4:27" ht="14.25" thickTop="1" thickBot="1">
      <c r="D278" s="69"/>
      <c r="E278" s="54" t="s">
        <v>211</v>
      </c>
      <c r="F278" s="7"/>
      <c r="G278" s="8"/>
      <c r="H278" s="7"/>
      <c r="I278" s="6"/>
      <c r="J278" s="7"/>
      <c r="K278" s="8"/>
      <c r="L278" s="7"/>
      <c r="M278" s="8"/>
      <c r="N278" s="7"/>
      <c r="O278" s="8"/>
      <c r="P278" s="7"/>
      <c r="Q278" s="7"/>
      <c r="R278" s="8"/>
      <c r="S278" s="7"/>
      <c r="T278" s="9"/>
      <c r="U278" s="7"/>
      <c r="V278" s="8"/>
      <c r="W278" s="7"/>
      <c r="X278" s="7"/>
      <c r="Y278" s="8"/>
      <c r="Z278" s="7"/>
      <c r="AA278" s="8"/>
    </row>
    <row r="279" spans="4:27" ht="14.25" thickTop="1" thickBot="1">
      <c r="D279" s="69"/>
      <c r="E279" s="54" t="s">
        <v>1302</v>
      </c>
      <c r="F279" s="7"/>
      <c r="G279" s="8"/>
      <c r="H279" s="7"/>
      <c r="I279" s="6"/>
      <c r="J279" s="7"/>
      <c r="K279" s="8"/>
      <c r="L279" s="7"/>
      <c r="M279" s="8"/>
      <c r="N279" s="7"/>
      <c r="O279" s="8"/>
      <c r="P279" s="7"/>
      <c r="Q279" s="7"/>
      <c r="R279" s="8"/>
      <c r="S279" s="7"/>
      <c r="T279" s="9"/>
      <c r="U279" s="7"/>
      <c r="V279" s="8"/>
      <c r="W279" s="7"/>
      <c r="X279" s="7"/>
      <c r="Y279" s="8"/>
      <c r="Z279" s="7"/>
      <c r="AA279" s="8"/>
    </row>
    <row r="280" spans="4:27" ht="14.25" thickTop="1" thickBot="1">
      <c r="D280" s="69"/>
      <c r="E280" s="54" t="s">
        <v>1303</v>
      </c>
      <c r="F280" s="7"/>
      <c r="G280" s="8"/>
      <c r="H280" s="7"/>
      <c r="I280" s="6"/>
      <c r="J280" s="7"/>
      <c r="K280" s="8"/>
      <c r="L280" s="7"/>
      <c r="M280" s="8"/>
      <c r="N280" s="7"/>
      <c r="O280" s="8"/>
      <c r="P280" s="7"/>
      <c r="Q280" s="7"/>
      <c r="R280" s="8"/>
      <c r="S280" s="7"/>
      <c r="T280" s="9"/>
      <c r="U280" s="7"/>
      <c r="V280" s="8"/>
      <c r="W280" s="7"/>
      <c r="X280" s="7"/>
      <c r="Y280" s="8"/>
      <c r="Z280" s="7"/>
      <c r="AA280" s="8"/>
    </row>
    <row r="281" spans="4:27" ht="14.25" thickTop="1" thickBot="1">
      <c r="D281" s="69"/>
      <c r="E281" s="54" t="s">
        <v>1025</v>
      </c>
      <c r="F281" s="7"/>
      <c r="G281" s="8"/>
      <c r="H281" s="7"/>
      <c r="I281" s="6"/>
      <c r="J281" s="7"/>
      <c r="K281" s="8"/>
      <c r="L281" s="7"/>
      <c r="M281" s="8"/>
      <c r="N281" s="7"/>
      <c r="O281" s="8"/>
      <c r="P281" s="7"/>
      <c r="Q281" s="7"/>
      <c r="R281" s="8"/>
      <c r="S281" s="7"/>
      <c r="T281" s="9"/>
      <c r="U281" s="7"/>
      <c r="V281" s="8"/>
      <c r="W281" s="7"/>
      <c r="X281" s="7"/>
      <c r="Y281" s="8"/>
      <c r="Z281" s="7"/>
      <c r="AA281" s="8"/>
    </row>
    <row r="282" spans="4:27" ht="14.25" thickTop="1" thickBot="1">
      <c r="D282" s="69"/>
      <c r="E282" s="54" t="s">
        <v>212</v>
      </c>
      <c r="F282" s="7"/>
      <c r="G282" s="8"/>
      <c r="H282" s="7"/>
      <c r="I282" s="6"/>
      <c r="J282" s="7"/>
      <c r="K282" s="8"/>
      <c r="L282" s="7"/>
      <c r="M282" s="8"/>
      <c r="N282" s="7"/>
      <c r="O282" s="8"/>
      <c r="P282" s="7"/>
      <c r="Q282" s="7"/>
      <c r="R282" s="8"/>
      <c r="S282" s="7"/>
      <c r="T282" s="9"/>
      <c r="U282" s="7"/>
      <c r="V282" s="8"/>
      <c r="W282" s="7"/>
      <c r="X282" s="7"/>
      <c r="Y282" s="8"/>
      <c r="Z282" s="7"/>
      <c r="AA282" s="8"/>
    </row>
    <row r="283" spans="4:27" ht="14.25" thickTop="1" thickBot="1">
      <c r="D283" s="69"/>
      <c r="E283" s="54" t="s">
        <v>1112</v>
      </c>
      <c r="F283" s="7"/>
      <c r="G283" s="8"/>
      <c r="H283" s="7"/>
      <c r="I283" s="6"/>
      <c r="J283" s="7"/>
      <c r="K283" s="8"/>
      <c r="L283" s="7"/>
      <c r="M283" s="8"/>
      <c r="N283" s="7"/>
      <c r="O283" s="8"/>
      <c r="P283" s="7"/>
      <c r="Q283" s="7"/>
      <c r="R283" s="8"/>
      <c r="S283" s="7"/>
      <c r="T283" s="9"/>
      <c r="U283" s="7"/>
      <c r="V283" s="8"/>
      <c r="W283" s="7"/>
      <c r="X283" s="7"/>
      <c r="Y283" s="8"/>
      <c r="Z283" s="7"/>
      <c r="AA283" s="8"/>
    </row>
    <row r="284" spans="4:27" ht="14.25" thickTop="1" thickBot="1">
      <c r="D284" s="69"/>
      <c r="E284" s="54" t="s">
        <v>253</v>
      </c>
      <c r="F284" s="7"/>
      <c r="G284" s="8"/>
      <c r="H284" s="7"/>
      <c r="I284" s="6"/>
      <c r="J284" s="7"/>
      <c r="K284" s="8"/>
      <c r="L284" s="7"/>
      <c r="M284" s="8"/>
      <c r="N284" s="7"/>
      <c r="O284" s="8"/>
      <c r="P284" s="7"/>
      <c r="Q284" s="7"/>
      <c r="R284" s="8"/>
      <c r="S284" s="7"/>
      <c r="T284" s="9"/>
      <c r="U284" s="7"/>
      <c r="V284" s="8"/>
      <c r="W284" s="7"/>
      <c r="X284" s="7"/>
      <c r="Y284" s="8"/>
      <c r="Z284" s="7"/>
      <c r="AA284" s="8"/>
    </row>
    <row r="285" spans="4:27" ht="14.25" thickTop="1" thickBot="1">
      <c r="D285" s="69"/>
      <c r="E285" s="54" t="s">
        <v>155</v>
      </c>
      <c r="F285" s="7"/>
      <c r="G285" s="8"/>
      <c r="H285" s="7"/>
      <c r="I285" s="6"/>
      <c r="J285" s="7"/>
      <c r="K285" s="8"/>
      <c r="L285" s="7"/>
      <c r="M285" s="8"/>
      <c r="N285" s="7"/>
      <c r="O285" s="8"/>
      <c r="P285" s="7"/>
      <c r="Q285" s="7"/>
      <c r="R285" s="8"/>
      <c r="S285" s="7"/>
      <c r="T285" s="9"/>
      <c r="U285" s="7"/>
      <c r="V285" s="8"/>
      <c r="W285" s="7"/>
      <c r="X285" s="7"/>
      <c r="Y285" s="8"/>
      <c r="Z285" s="7"/>
      <c r="AA285" s="8"/>
    </row>
    <row r="286" spans="4:27" ht="14.25" thickTop="1" thickBot="1">
      <c r="D286" s="69"/>
      <c r="E286" s="54" t="s">
        <v>255</v>
      </c>
      <c r="F286" s="7"/>
      <c r="G286" s="8"/>
      <c r="H286" s="7"/>
      <c r="I286" s="6"/>
      <c r="J286" s="7"/>
      <c r="K286" s="8"/>
      <c r="L286" s="7"/>
      <c r="M286" s="8"/>
      <c r="N286" s="7"/>
      <c r="O286" s="8"/>
      <c r="P286" s="7"/>
      <c r="Q286" s="7"/>
      <c r="R286" s="8"/>
      <c r="S286" s="7"/>
      <c r="T286" s="9"/>
      <c r="U286" s="7"/>
      <c r="V286" s="8"/>
      <c r="W286" s="7"/>
      <c r="X286" s="7"/>
      <c r="Y286" s="8"/>
      <c r="Z286" s="7"/>
      <c r="AA286" s="8"/>
    </row>
    <row r="287" spans="4:27" ht="14.25" thickTop="1" thickBot="1">
      <c r="D287" s="69"/>
      <c r="E287" s="54" t="s">
        <v>233</v>
      </c>
      <c r="F287" s="7"/>
      <c r="G287" s="8"/>
      <c r="H287" s="7"/>
      <c r="I287" s="6"/>
      <c r="J287" s="7"/>
      <c r="K287" s="8"/>
      <c r="L287" s="7"/>
      <c r="M287" s="8"/>
      <c r="N287" s="7"/>
      <c r="O287" s="8"/>
      <c r="P287" s="7"/>
      <c r="Q287" s="7"/>
      <c r="R287" s="8"/>
      <c r="S287" s="7"/>
      <c r="T287" s="9"/>
      <c r="U287" s="7"/>
      <c r="V287" s="8"/>
      <c r="W287" s="7"/>
      <c r="X287" s="7"/>
      <c r="Y287" s="8"/>
      <c r="Z287" s="7"/>
      <c r="AA287" s="8"/>
    </row>
    <row r="288" spans="4:27" ht="14.25" thickTop="1" thickBot="1">
      <c r="D288" s="69"/>
      <c r="E288" s="54" t="s">
        <v>1071</v>
      </c>
      <c r="F288" s="7"/>
      <c r="G288" s="8"/>
      <c r="H288" s="7"/>
      <c r="I288" s="6"/>
      <c r="J288" s="7"/>
      <c r="K288" s="8"/>
      <c r="L288" s="7"/>
      <c r="M288" s="8"/>
      <c r="N288" s="7"/>
      <c r="O288" s="8"/>
      <c r="P288" s="7"/>
      <c r="Q288" s="7"/>
      <c r="R288" s="8"/>
      <c r="S288" s="7"/>
      <c r="T288" s="9"/>
      <c r="U288" s="7"/>
      <c r="V288" s="8"/>
      <c r="W288" s="7"/>
      <c r="X288" s="7"/>
      <c r="Y288" s="8"/>
      <c r="Z288" s="7"/>
      <c r="AA288" s="8"/>
    </row>
    <row r="289" spans="4:27" ht="14.25" thickTop="1" thickBot="1">
      <c r="D289" s="69"/>
      <c r="E289" s="54" t="s">
        <v>1072</v>
      </c>
      <c r="F289" s="7"/>
      <c r="G289" s="8"/>
      <c r="H289" s="7"/>
      <c r="I289" s="6"/>
      <c r="J289" s="7"/>
      <c r="K289" s="8"/>
      <c r="L289" s="7"/>
      <c r="M289" s="8"/>
      <c r="N289" s="7"/>
      <c r="O289" s="8"/>
      <c r="P289" s="7"/>
      <c r="Q289" s="7"/>
      <c r="R289" s="8"/>
      <c r="S289" s="7"/>
      <c r="T289" s="9"/>
      <c r="U289" s="7"/>
      <c r="V289" s="8"/>
      <c r="W289" s="7"/>
      <c r="X289" s="7"/>
      <c r="Y289" s="8"/>
      <c r="Z289" s="7"/>
      <c r="AA289" s="8"/>
    </row>
    <row r="290" spans="4:27" ht="14.25" thickTop="1" thickBot="1">
      <c r="D290" s="69"/>
      <c r="E290" s="54" t="s">
        <v>238</v>
      </c>
      <c r="F290" s="7"/>
      <c r="G290" s="8"/>
      <c r="H290" s="7"/>
      <c r="I290" s="6"/>
      <c r="J290" s="7"/>
      <c r="K290" s="8"/>
      <c r="L290" s="7"/>
      <c r="M290" s="8"/>
      <c r="N290" s="7"/>
      <c r="O290" s="8"/>
      <c r="P290" s="7"/>
      <c r="Q290" s="7"/>
      <c r="R290" s="8"/>
      <c r="S290" s="7"/>
      <c r="T290" s="9"/>
      <c r="U290" s="7"/>
      <c r="V290" s="8"/>
      <c r="W290" s="7"/>
      <c r="X290" s="7"/>
      <c r="Y290" s="8"/>
      <c r="Z290" s="7"/>
      <c r="AA290" s="8"/>
    </row>
    <row r="291" spans="4:27" ht="14.25" thickTop="1" thickBot="1">
      <c r="D291" s="69"/>
      <c r="E291" s="54" t="s">
        <v>256</v>
      </c>
      <c r="F291" s="7"/>
      <c r="G291" s="8"/>
      <c r="H291" s="7"/>
      <c r="I291" s="6"/>
      <c r="J291" s="7"/>
      <c r="K291" s="8"/>
      <c r="L291" s="7"/>
      <c r="M291" s="8"/>
      <c r="N291" s="7"/>
      <c r="O291" s="8"/>
      <c r="P291" s="7"/>
      <c r="Q291" s="7"/>
      <c r="R291" s="8"/>
      <c r="S291" s="7"/>
      <c r="T291" s="9"/>
      <c r="U291" s="7"/>
      <c r="V291" s="8"/>
      <c r="W291" s="7"/>
      <c r="X291" s="7"/>
      <c r="Y291" s="8"/>
      <c r="Z291" s="7"/>
      <c r="AA291" s="8"/>
    </row>
    <row r="292" spans="4:27" ht="14.25" thickTop="1" thickBot="1">
      <c r="D292" s="69"/>
      <c r="E292" s="54" t="s">
        <v>257</v>
      </c>
      <c r="F292" s="7"/>
      <c r="G292" s="8"/>
      <c r="H292" s="7"/>
      <c r="I292" s="6"/>
      <c r="J292" s="7"/>
      <c r="K292" s="8"/>
      <c r="L292" s="7"/>
      <c r="M292" s="8"/>
      <c r="N292" s="7"/>
      <c r="O292" s="8"/>
      <c r="P292" s="7"/>
      <c r="Q292" s="7"/>
      <c r="R292" s="8"/>
      <c r="S292" s="7"/>
      <c r="T292" s="9"/>
      <c r="U292" s="7"/>
      <c r="V292" s="8"/>
      <c r="W292" s="7"/>
      <c r="X292" s="7"/>
      <c r="Y292" s="8"/>
      <c r="Z292" s="7"/>
      <c r="AA292" s="8"/>
    </row>
    <row r="293" spans="4:27" ht="14.25" thickTop="1" thickBot="1">
      <c r="D293" s="69"/>
      <c r="E293" s="54" t="s">
        <v>258</v>
      </c>
      <c r="F293" s="7"/>
      <c r="G293" s="8"/>
      <c r="H293" s="7"/>
      <c r="I293" s="6"/>
      <c r="J293" s="7"/>
      <c r="K293" s="8"/>
      <c r="L293" s="7"/>
      <c r="M293" s="8"/>
      <c r="N293" s="7"/>
      <c r="O293" s="8"/>
      <c r="P293" s="7"/>
      <c r="Q293" s="7"/>
      <c r="R293" s="8"/>
      <c r="S293" s="7"/>
      <c r="T293" s="9"/>
      <c r="U293" s="7"/>
      <c r="V293" s="8"/>
      <c r="W293" s="7"/>
      <c r="X293" s="7"/>
      <c r="Y293" s="8"/>
      <c r="Z293" s="7"/>
      <c r="AA293" s="8"/>
    </row>
    <row r="294" spans="4:27" ht="14.25" thickTop="1" thickBot="1">
      <c r="D294" s="69"/>
      <c r="E294" s="54" t="s">
        <v>1078</v>
      </c>
      <c r="F294" s="7"/>
      <c r="G294" s="8"/>
      <c r="H294" s="7"/>
      <c r="I294" s="6"/>
      <c r="J294" s="7"/>
      <c r="K294" s="8"/>
      <c r="L294" s="7"/>
      <c r="M294" s="8"/>
      <c r="N294" s="7"/>
      <c r="O294" s="8"/>
      <c r="P294" s="7"/>
      <c r="Q294" s="7"/>
      <c r="R294" s="8"/>
      <c r="S294" s="7"/>
      <c r="T294" s="9"/>
      <c r="U294" s="7"/>
      <c r="V294" s="8"/>
      <c r="W294" s="7"/>
      <c r="X294" s="7"/>
      <c r="Y294" s="8"/>
      <c r="Z294" s="7"/>
      <c r="AA294" s="8"/>
    </row>
    <row r="295" spans="4:27" ht="14.25" thickTop="1" thickBot="1">
      <c r="D295" s="69"/>
      <c r="E295" s="54" t="s">
        <v>259</v>
      </c>
      <c r="F295" s="7"/>
      <c r="G295" s="8"/>
      <c r="H295" s="7"/>
      <c r="I295" s="6"/>
      <c r="J295" s="7"/>
      <c r="K295" s="8"/>
      <c r="L295" s="7"/>
      <c r="M295" s="8"/>
      <c r="N295" s="7"/>
      <c r="O295" s="8"/>
      <c r="P295" s="7"/>
      <c r="Q295" s="7"/>
      <c r="R295" s="8"/>
      <c r="S295" s="7"/>
      <c r="T295" s="9"/>
      <c r="U295" s="7"/>
      <c r="V295" s="8"/>
      <c r="W295" s="7"/>
      <c r="X295" s="7"/>
      <c r="Y295" s="8"/>
      <c r="Z295" s="7"/>
      <c r="AA295" s="8"/>
    </row>
    <row r="296" spans="4:27" ht="14.25" thickTop="1" thickBot="1">
      <c r="D296" s="69"/>
      <c r="E296" s="54" t="s">
        <v>260</v>
      </c>
      <c r="F296" s="7"/>
      <c r="G296" s="8"/>
      <c r="H296" s="7"/>
      <c r="I296" s="6"/>
      <c r="J296" s="7"/>
      <c r="K296" s="8"/>
      <c r="L296" s="7"/>
      <c r="M296" s="8"/>
      <c r="N296" s="7"/>
      <c r="O296" s="8"/>
      <c r="P296" s="7"/>
      <c r="Q296" s="7"/>
      <c r="R296" s="8"/>
      <c r="S296" s="7"/>
      <c r="T296" s="9"/>
      <c r="U296" s="7"/>
      <c r="V296" s="8"/>
      <c r="W296" s="7"/>
      <c r="X296" s="7"/>
      <c r="Y296" s="8"/>
      <c r="Z296" s="7"/>
      <c r="AA296" s="8"/>
    </row>
    <row r="297" spans="4:27" ht="14.25" thickTop="1" thickBot="1">
      <c r="D297" s="69"/>
      <c r="E297" s="54" t="s">
        <v>157</v>
      </c>
      <c r="F297" s="7"/>
      <c r="G297" s="8"/>
      <c r="H297" s="7"/>
      <c r="I297" s="6"/>
      <c r="J297" s="7"/>
      <c r="K297" s="8"/>
      <c r="L297" s="7"/>
      <c r="M297" s="8"/>
      <c r="N297" s="7"/>
      <c r="O297" s="8"/>
      <c r="P297" s="7"/>
      <c r="Q297" s="7"/>
      <c r="R297" s="8"/>
      <c r="S297" s="7"/>
      <c r="T297" s="9"/>
      <c r="U297" s="7"/>
      <c r="V297" s="8"/>
      <c r="W297" s="7"/>
      <c r="X297" s="7"/>
      <c r="Y297" s="8"/>
      <c r="Z297" s="7"/>
      <c r="AA297" s="8"/>
    </row>
    <row r="298" spans="4:27" ht="14.25" thickTop="1" thickBot="1">
      <c r="D298" s="69"/>
      <c r="E298" s="54" t="s">
        <v>261</v>
      </c>
      <c r="F298" s="7"/>
      <c r="G298" s="8"/>
      <c r="H298" s="7"/>
      <c r="I298" s="6"/>
      <c r="J298" s="7"/>
      <c r="K298" s="8"/>
      <c r="L298" s="7"/>
      <c r="M298" s="8"/>
      <c r="N298" s="7"/>
      <c r="O298" s="8"/>
      <c r="P298" s="7"/>
      <c r="Q298" s="7"/>
      <c r="R298" s="8"/>
      <c r="S298" s="7"/>
      <c r="T298" s="9"/>
      <c r="U298" s="7"/>
      <c r="V298" s="8"/>
      <c r="W298" s="7"/>
      <c r="X298" s="7"/>
      <c r="Y298" s="8"/>
      <c r="Z298" s="7"/>
      <c r="AA298" s="8"/>
    </row>
    <row r="299" spans="4:27" ht="14.25" thickTop="1" thickBot="1">
      <c r="D299" s="69"/>
      <c r="E299" s="54" t="s">
        <v>262</v>
      </c>
      <c r="F299" s="7"/>
      <c r="G299" s="8"/>
      <c r="H299" s="7"/>
      <c r="I299" s="6"/>
      <c r="J299" s="7"/>
      <c r="K299" s="8"/>
      <c r="L299" s="7"/>
      <c r="M299" s="8"/>
      <c r="N299" s="7"/>
      <c r="O299" s="8"/>
      <c r="P299" s="7"/>
      <c r="Q299" s="7"/>
      <c r="R299" s="8"/>
      <c r="S299" s="7"/>
      <c r="T299" s="9"/>
      <c r="U299" s="7"/>
      <c r="V299" s="8"/>
      <c r="W299" s="7"/>
      <c r="X299" s="7"/>
      <c r="Y299" s="8"/>
      <c r="Z299" s="7"/>
      <c r="AA299" s="8"/>
    </row>
    <row r="300" spans="4:27" ht="14.25" thickTop="1" thickBot="1">
      <c r="D300" s="69"/>
      <c r="E300" s="54" t="s">
        <v>1079</v>
      </c>
      <c r="F300" s="7"/>
      <c r="G300" s="8"/>
      <c r="H300" s="7"/>
      <c r="I300" s="6"/>
      <c r="J300" s="7"/>
      <c r="K300" s="8"/>
      <c r="L300" s="7"/>
      <c r="M300" s="8"/>
      <c r="N300" s="7"/>
      <c r="O300" s="8"/>
      <c r="P300" s="7"/>
      <c r="Q300" s="7"/>
      <c r="R300" s="8"/>
      <c r="S300" s="7"/>
      <c r="T300" s="9"/>
      <c r="U300" s="7"/>
      <c r="V300" s="8"/>
      <c r="W300" s="7"/>
      <c r="X300" s="7"/>
      <c r="Y300" s="8"/>
      <c r="Z300" s="7"/>
      <c r="AA300" s="8"/>
    </row>
    <row r="301" spans="4:27" ht="14.25" thickTop="1" thickBot="1">
      <c r="D301" s="69"/>
      <c r="E301" s="54" t="s">
        <v>263</v>
      </c>
      <c r="F301" s="7"/>
      <c r="G301" s="8"/>
      <c r="H301" s="7"/>
      <c r="I301" s="6"/>
      <c r="J301" s="7"/>
      <c r="K301" s="8"/>
      <c r="L301" s="7"/>
      <c r="M301" s="8"/>
      <c r="N301" s="7"/>
      <c r="O301" s="8"/>
      <c r="P301" s="7"/>
      <c r="Q301" s="7"/>
      <c r="R301" s="8"/>
      <c r="S301" s="7"/>
      <c r="T301" s="9"/>
      <c r="U301" s="7"/>
      <c r="V301" s="8"/>
      <c r="W301" s="7"/>
      <c r="X301" s="7"/>
      <c r="Y301" s="8"/>
      <c r="Z301" s="7"/>
      <c r="AA301" s="8"/>
    </row>
    <row r="302" spans="4:27" ht="14.25" thickTop="1" thickBot="1">
      <c r="D302" s="69"/>
      <c r="E302" s="54" t="s">
        <v>264</v>
      </c>
      <c r="F302" s="7"/>
      <c r="G302" s="8"/>
      <c r="H302" s="7"/>
      <c r="I302" s="6"/>
      <c r="J302" s="7"/>
      <c r="K302" s="8"/>
      <c r="L302" s="7"/>
      <c r="M302" s="8"/>
      <c r="N302" s="7"/>
      <c r="O302" s="8"/>
      <c r="P302" s="7"/>
      <c r="Q302" s="7"/>
      <c r="R302" s="8"/>
      <c r="S302" s="7"/>
      <c r="T302" s="9"/>
      <c r="U302" s="7"/>
      <c r="V302" s="8"/>
      <c r="W302" s="7"/>
      <c r="X302" s="7"/>
      <c r="Y302" s="8"/>
      <c r="Z302" s="7"/>
      <c r="AA302" s="8"/>
    </row>
    <row r="303" spans="4:27" ht="14.25" thickTop="1" thickBot="1">
      <c r="D303" s="69"/>
      <c r="E303" s="54" t="s">
        <v>265</v>
      </c>
      <c r="F303" s="7"/>
      <c r="G303" s="8"/>
      <c r="H303" s="7"/>
      <c r="I303" s="6"/>
      <c r="J303" s="7"/>
      <c r="K303" s="8"/>
      <c r="L303" s="7"/>
      <c r="M303" s="8"/>
      <c r="N303" s="7"/>
      <c r="O303" s="8"/>
      <c r="P303" s="7"/>
      <c r="Q303" s="7"/>
      <c r="R303" s="8"/>
      <c r="S303" s="7"/>
      <c r="T303" s="9"/>
      <c r="U303" s="7"/>
      <c r="V303" s="8"/>
      <c r="W303" s="7"/>
      <c r="X303" s="7"/>
      <c r="Y303" s="8"/>
      <c r="Z303" s="7"/>
      <c r="AA303" s="8"/>
    </row>
    <row r="304" spans="4:27" ht="14.25" thickTop="1" thickBot="1">
      <c r="D304" s="69"/>
      <c r="E304" s="54" t="s">
        <v>266</v>
      </c>
      <c r="F304" s="7"/>
      <c r="G304" s="8"/>
      <c r="H304" s="7"/>
      <c r="I304" s="6"/>
      <c r="J304" s="7"/>
      <c r="K304" s="8"/>
      <c r="L304" s="7"/>
      <c r="M304" s="8"/>
      <c r="N304" s="7"/>
      <c r="O304" s="8"/>
      <c r="P304" s="7"/>
      <c r="Q304" s="7"/>
      <c r="R304" s="8"/>
      <c r="S304" s="7"/>
      <c r="T304" s="9"/>
      <c r="U304" s="7"/>
      <c r="V304" s="8"/>
      <c r="W304" s="7"/>
      <c r="X304" s="7"/>
      <c r="Y304" s="8"/>
      <c r="Z304" s="7"/>
      <c r="AA304" s="8"/>
    </row>
    <row r="305" spans="4:27" ht="14.25" thickTop="1" thickBot="1">
      <c r="D305" s="69"/>
      <c r="E305" s="54" t="s">
        <v>239</v>
      </c>
      <c r="F305" s="7"/>
      <c r="G305" s="8"/>
      <c r="H305" s="7"/>
      <c r="I305" s="6"/>
      <c r="J305" s="7"/>
      <c r="K305" s="8"/>
      <c r="L305" s="7"/>
      <c r="M305" s="8"/>
      <c r="N305" s="7"/>
      <c r="O305" s="8"/>
      <c r="P305" s="7"/>
      <c r="Q305" s="7"/>
      <c r="R305" s="8"/>
      <c r="S305" s="7"/>
      <c r="T305" s="9"/>
      <c r="U305" s="7"/>
      <c r="V305" s="8"/>
      <c r="W305" s="7"/>
      <c r="X305" s="7"/>
      <c r="Y305" s="8"/>
      <c r="Z305" s="7"/>
      <c r="AA305" s="8"/>
    </row>
    <row r="306" spans="4:27" ht="14.25" thickTop="1" thickBot="1">
      <c r="D306" s="69"/>
      <c r="E306" s="54" t="s">
        <v>267</v>
      </c>
      <c r="F306" s="7"/>
      <c r="G306" s="8"/>
      <c r="H306" s="7"/>
      <c r="I306" s="6"/>
      <c r="J306" s="7"/>
      <c r="K306" s="8"/>
      <c r="L306" s="7"/>
      <c r="M306" s="8"/>
      <c r="N306" s="7"/>
      <c r="O306" s="8"/>
      <c r="P306" s="7"/>
      <c r="Q306" s="7"/>
      <c r="R306" s="8"/>
      <c r="S306" s="7"/>
      <c r="T306" s="9"/>
      <c r="U306" s="7"/>
      <c r="V306" s="8"/>
      <c r="W306" s="7"/>
      <c r="X306" s="7"/>
      <c r="Y306" s="8"/>
      <c r="Z306" s="7"/>
      <c r="AA306" s="8"/>
    </row>
    <row r="307" spans="4:27" ht="14.25" thickTop="1" thickBot="1">
      <c r="D307" s="69"/>
      <c r="E307" s="54" t="s">
        <v>268</v>
      </c>
      <c r="F307" s="7"/>
      <c r="G307" s="8"/>
      <c r="H307" s="7"/>
      <c r="I307" s="6"/>
      <c r="J307" s="7"/>
      <c r="K307" s="8"/>
      <c r="L307" s="7"/>
      <c r="M307" s="8"/>
      <c r="N307" s="7"/>
      <c r="O307" s="8"/>
      <c r="P307" s="7"/>
      <c r="Q307" s="7"/>
      <c r="R307" s="8"/>
      <c r="S307" s="7"/>
      <c r="T307" s="9"/>
      <c r="U307" s="7"/>
      <c r="V307" s="8"/>
      <c r="W307" s="7"/>
      <c r="X307" s="7"/>
      <c r="Y307" s="8"/>
      <c r="Z307" s="7"/>
      <c r="AA307" s="8"/>
    </row>
    <row r="308" spans="4:27" ht="14.25" thickTop="1" thickBot="1">
      <c r="D308" s="69"/>
      <c r="E308" s="54" t="s">
        <v>269</v>
      </c>
      <c r="F308" s="7"/>
      <c r="G308" s="8"/>
      <c r="H308" s="7"/>
      <c r="I308" s="6"/>
      <c r="J308" s="7"/>
      <c r="K308" s="8"/>
      <c r="L308" s="7"/>
      <c r="M308" s="8"/>
      <c r="N308" s="7"/>
      <c r="O308" s="8"/>
      <c r="P308" s="7"/>
      <c r="Q308" s="7"/>
      <c r="R308" s="8"/>
      <c r="S308" s="7"/>
      <c r="T308" s="9"/>
      <c r="U308" s="7"/>
      <c r="V308" s="8"/>
      <c r="W308" s="7"/>
      <c r="X308" s="7"/>
      <c r="Y308" s="8"/>
      <c r="Z308" s="7"/>
      <c r="AA308" s="8"/>
    </row>
    <row r="309" spans="4:27" ht="14.25" thickTop="1" thickBot="1">
      <c r="D309" s="69"/>
      <c r="E309" s="54" t="s">
        <v>270</v>
      </c>
      <c r="F309" s="7"/>
      <c r="G309" s="8"/>
      <c r="H309" s="7"/>
      <c r="I309" s="6"/>
      <c r="J309" s="7"/>
      <c r="K309" s="8"/>
      <c r="L309" s="7"/>
      <c r="M309" s="8"/>
      <c r="N309" s="7"/>
      <c r="O309" s="8"/>
      <c r="P309" s="7"/>
      <c r="Q309" s="7"/>
      <c r="R309" s="8"/>
      <c r="S309" s="7"/>
      <c r="T309" s="9"/>
      <c r="U309" s="7"/>
      <c r="V309" s="8"/>
      <c r="W309" s="7"/>
      <c r="X309" s="7"/>
      <c r="Y309" s="8"/>
      <c r="Z309" s="7"/>
      <c r="AA309" s="8"/>
    </row>
    <row r="310" spans="4:27" ht="14.25" thickTop="1" thickBot="1">
      <c r="D310" s="69"/>
      <c r="E310" s="54" t="s">
        <v>736</v>
      </c>
      <c r="F310" s="7"/>
      <c r="G310" s="8"/>
      <c r="H310" s="7"/>
      <c r="I310" s="6"/>
      <c r="J310" s="7"/>
      <c r="K310" s="8"/>
      <c r="L310" s="7"/>
      <c r="M310" s="8"/>
      <c r="N310" s="7"/>
      <c r="O310" s="8"/>
      <c r="P310" s="7"/>
      <c r="Q310" s="7"/>
      <c r="R310" s="8"/>
      <c r="S310" s="7"/>
      <c r="T310" s="9"/>
      <c r="U310" s="7"/>
      <c r="V310" s="8"/>
      <c r="W310" s="7"/>
      <c r="X310" s="7"/>
      <c r="Y310" s="8"/>
      <c r="Z310" s="7"/>
      <c r="AA310" s="8"/>
    </row>
    <row r="311" spans="4:27" ht="14.25" thickTop="1" thickBot="1">
      <c r="D311" s="69"/>
      <c r="E311" s="54" t="s">
        <v>759</v>
      </c>
      <c r="F311" s="7"/>
      <c r="G311" s="8"/>
      <c r="H311" s="7"/>
      <c r="I311" s="6"/>
      <c r="J311" s="7"/>
      <c r="K311" s="8"/>
      <c r="L311" s="7"/>
      <c r="M311" s="8"/>
      <c r="N311" s="7"/>
      <c r="O311" s="8"/>
      <c r="P311" s="7"/>
      <c r="Q311" s="7"/>
      <c r="R311" s="8"/>
      <c r="S311" s="7"/>
      <c r="T311" s="9"/>
      <c r="U311" s="7"/>
      <c r="V311" s="8"/>
      <c r="W311" s="7"/>
      <c r="X311" s="7"/>
      <c r="Y311" s="8"/>
      <c r="Z311" s="7"/>
      <c r="AA311" s="8"/>
    </row>
    <row r="312" spans="4:27" ht="14.25" thickTop="1" thickBot="1">
      <c r="D312" s="69"/>
      <c r="E312" s="54" t="s">
        <v>1086</v>
      </c>
      <c r="F312" s="7"/>
      <c r="G312" s="8"/>
      <c r="H312" s="7"/>
      <c r="I312" s="6"/>
      <c r="J312" s="7"/>
      <c r="K312" s="8"/>
      <c r="L312" s="7"/>
      <c r="M312" s="8"/>
      <c r="N312" s="7"/>
      <c r="O312" s="8"/>
      <c r="P312" s="7"/>
      <c r="Q312" s="7"/>
      <c r="R312" s="8"/>
      <c r="S312" s="7"/>
      <c r="T312" s="9"/>
      <c r="U312" s="7"/>
      <c r="V312" s="8"/>
      <c r="W312" s="7"/>
      <c r="X312" s="7"/>
      <c r="Y312" s="8"/>
      <c r="Z312" s="7"/>
      <c r="AA312" s="8"/>
    </row>
    <row r="313" spans="4:27" ht="14.25" thickTop="1" thickBot="1">
      <c r="D313" s="69"/>
      <c r="E313" s="54" t="s">
        <v>741</v>
      </c>
      <c r="F313" s="7"/>
      <c r="G313" s="8"/>
      <c r="H313" s="7"/>
      <c r="I313" s="6"/>
      <c r="J313" s="7"/>
      <c r="K313" s="8"/>
      <c r="L313" s="7"/>
      <c r="M313" s="8"/>
      <c r="N313" s="7"/>
      <c r="O313" s="8"/>
      <c r="P313" s="7"/>
      <c r="Q313" s="7"/>
      <c r="R313" s="8"/>
      <c r="S313" s="7"/>
      <c r="T313" s="9"/>
      <c r="U313" s="7"/>
      <c r="V313" s="8"/>
      <c r="W313" s="7"/>
      <c r="X313" s="7"/>
      <c r="Y313" s="8"/>
      <c r="Z313" s="7"/>
      <c r="AA313" s="8"/>
    </row>
    <row r="314" spans="4:27" ht="14.25" thickTop="1" thickBot="1">
      <c r="D314" s="69"/>
      <c r="E314" s="54" t="s">
        <v>1118</v>
      </c>
      <c r="F314" s="7"/>
      <c r="G314" s="8"/>
      <c r="H314" s="7"/>
      <c r="I314" s="6"/>
      <c r="J314" s="7"/>
      <c r="K314" s="8"/>
      <c r="L314" s="7"/>
      <c r="M314" s="8"/>
      <c r="N314" s="7"/>
      <c r="O314" s="8"/>
      <c r="P314" s="7"/>
      <c r="Q314" s="7"/>
      <c r="R314" s="8"/>
      <c r="S314" s="7"/>
      <c r="T314" s="9"/>
      <c r="U314" s="7"/>
      <c r="V314" s="8"/>
      <c r="W314" s="7"/>
      <c r="X314" s="7"/>
      <c r="Y314" s="8"/>
      <c r="Z314" s="7"/>
      <c r="AA314" s="8"/>
    </row>
    <row r="315" spans="4:27" ht="14.25" thickTop="1" thickBot="1">
      <c r="D315" s="69"/>
      <c r="E315" s="54" t="s">
        <v>742</v>
      </c>
      <c r="F315" s="7"/>
      <c r="G315" s="8"/>
      <c r="H315" s="7"/>
      <c r="I315" s="6"/>
      <c r="J315" s="7"/>
      <c r="K315" s="8"/>
      <c r="L315" s="7"/>
      <c r="M315" s="8"/>
      <c r="N315" s="7"/>
      <c r="O315" s="8"/>
      <c r="P315" s="7"/>
      <c r="Q315" s="7"/>
      <c r="R315" s="8"/>
      <c r="S315" s="7"/>
      <c r="T315" s="9"/>
      <c r="U315" s="7"/>
      <c r="V315" s="8"/>
      <c r="W315" s="7"/>
      <c r="X315" s="7"/>
      <c r="Y315" s="8"/>
      <c r="Z315" s="7"/>
      <c r="AA315" s="8"/>
    </row>
    <row r="316" spans="4:27" ht="14.25" thickTop="1" thickBot="1">
      <c r="D316" s="69"/>
      <c r="E316" s="54" t="s">
        <v>721</v>
      </c>
      <c r="F316" s="7"/>
      <c r="G316" s="8"/>
      <c r="H316" s="7"/>
      <c r="I316" s="6"/>
      <c r="J316" s="7"/>
      <c r="K316" s="8"/>
      <c r="L316" s="7"/>
      <c r="M316" s="8"/>
      <c r="N316" s="7"/>
      <c r="O316" s="8"/>
      <c r="P316" s="7"/>
      <c r="Q316" s="7"/>
      <c r="R316" s="8"/>
      <c r="S316" s="7"/>
      <c r="T316" s="9"/>
      <c r="U316" s="7"/>
      <c r="V316" s="8"/>
      <c r="W316" s="7"/>
      <c r="X316" s="7"/>
      <c r="Y316" s="8"/>
      <c r="Z316" s="7"/>
      <c r="AA316" s="8"/>
    </row>
    <row r="317" spans="4:27" ht="14.25" thickTop="1" thickBot="1">
      <c r="D317" s="69"/>
      <c r="E317" s="54" t="s">
        <v>750</v>
      </c>
      <c r="F317" s="7"/>
      <c r="G317" s="8"/>
      <c r="H317" s="7"/>
      <c r="I317" s="6"/>
      <c r="J317" s="7"/>
      <c r="K317" s="8"/>
      <c r="L317" s="7"/>
      <c r="M317" s="8"/>
      <c r="N317" s="7"/>
      <c r="O317" s="8"/>
      <c r="P317" s="7"/>
      <c r="Q317" s="7"/>
      <c r="R317" s="8"/>
      <c r="S317" s="7"/>
      <c r="T317" s="9"/>
      <c r="U317" s="7"/>
      <c r="V317" s="8"/>
      <c r="W317" s="7"/>
      <c r="X317" s="7"/>
      <c r="Y317" s="8"/>
      <c r="Z317" s="7"/>
      <c r="AA317" s="8"/>
    </row>
    <row r="318" spans="4:27" ht="14.25" thickTop="1" thickBot="1">
      <c r="D318" s="69"/>
      <c r="E318" s="54" t="s">
        <v>983</v>
      </c>
      <c r="F318" s="7"/>
      <c r="G318" s="8"/>
      <c r="H318" s="7"/>
      <c r="I318" s="6"/>
      <c r="J318" s="7"/>
      <c r="K318" s="8"/>
      <c r="L318" s="7"/>
      <c r="M318" s="8"/>
      <c r="N318" s="7"/>
      <c r="O318" s="8"/>
      <c r="P318" s="7"/>
      <c r="Q318" s="7"/>
      <c r="R318" s="8"/>
      <c r="S318" s="7"/>
      <c r="T318" s="9"/>
      <c r="U318" s="7"/>
      <c r="V318" s="8"/>
      <c r="W318" s="7"/>
      <c r="X318" s="7"/>
      <c r="Y318" s="8"/>
      <c r="Z318" s="7"/>
      <c r="AA318" s="8"/>
    </row>
    <row r="319" spans="4:27" ht="14.25" thickTop="1" thickBot="1">
      <c r="D319" s="69"/>
      <c r="E319" s="54" t="s">
        <v>986</v>
      </c>
      <c r="F319" s="7"/>
      <c r="G319" s="8"/>
      <c r="H319" s="7"/>
      <c r="I319" s="6"/>
      <c r="J319" s="7"/>
      <c r="K319" s="8"/>
      <c r="L319" s="7"/>
      <c r="M319" s="8"/>
      <c r="N319" s="7"/>
      <c r="O319" s="8"/>
      <c r="P319" s="7"/>
      <c r="Q319" s="7"/>
      <c r="R319" s="8"/>
      <c r="S319" s="7"/>
      <c r="T319" s="9"/>
      <c r="U319" s="7"/>
      <c r="V319" s="8"/>
      <c r="W319" s="7"/>
      <c r="X319" s="7"/>
      <c r="Y319" s="8"/>
      <c r="Z319" s="7"/>
      <c r="AA319" s="8"/>
    </row>
    <row r="320" spans="4:27" ht="14.25" thickTop="1" thickBot="1">
      <c r="D320" s="69"/>
      <c r="E320" s="54" t="s">
        <v>732</v>
      </c>
      <c r="F320" s="7"/>
      <c r="G320" s="8"/>
      <c r="H320" s="7"/>
      <c r="I320" s="6"/>
      <c r="J320" s="7"/>
      <c r="K320" s="8"/>
      <c r="L320" s="7"/>
      <c r="M320" s="8"/>
      <c r="N320" s="7"/>
      <c r="O320" s="8"/>
      <c r="P320" s="7"/>
      <c r="Q320" s="7"/>
      <c r="R320" s="8"/>
      <c r="S320" s="7"/>
      <c r="T320" s="9"/>
      <c r="U320" s="7"/>
      <c r="V320" s="8"/>
      <c r="W320" s="7"/>
      <c r="X320" s="7"/>
      <c r="Y320" s="8"/>
      <c r="Z320" s="7"/>
      <c r="AA320" s="8"/>
    </row>
    <row r="321" spans="4:27" ht="14.25" thickTop="1" thickBot="1">
      <c r="D321" s="69"/>
      <c r="E321" s="54" t="s">
        <v>1135</v>
      </c>
      <c r="F321" s="7"/>
      <c r="G321" s="8"/>
      <c r="H321" s="7"/>
      <c r="I321" s="6"/>
      <c r="J321" s="7"/>
      <c r="K321" s="8"/>
      <c r="L321" s="7"/>
      <c r="M321" s="8"/>
      <c r="N321" s="7"/>
      <c r="O321" s="8"/>
      <c r="P321" s="7"/>
      <c r="Q321" s="7"/>
      <c r="R321" s="8"/>
      <c r="S321" s="7"/>
      <c r="T321" s="9"/>
      <c r="U321" s="7"/>
      <c r="V321" s="8"/>
      <c r="W321" s="7"/>
      <c r="X321" s="7"/>
      <c r="Y321" s="8"/>
      <c r="Z321" s="7"/>
      <c r="AA321" s="8"/>
    </row>
    <row r="322" spans="4:27" ht="14.25" thickTop="1" thickBot="1">
      <c r="D322" s="69"/>
      <c r="E322" s="54" t="s">
        <v>1304</v>
      </c>
      <c r="F322" s="7"/>
      <c r="G322" s="8"/>
      <c r="H322" s="7"/>
      <c r="I322" s="6"/>
      <c r="J322" s="7"/>
      <c r="K322" s="8"/>
      <c r="L322" s="7"/>
      <c r="M322" s="8"/>
      <c r="N322" s="7"/>
      <c r="O322" s="8"/>
      <c r="P322" s="7"/>
      <c r="Q322" s="7"/>
      <c r="R322" s="8"/>
      <c r="S322" s="7"/>
      <c r="T322" s="9"/>
      <c r="U322" s="7"/>
      <c r="V322" s="8"/>
      <c r="W322" s="7"/>
      <c r="X322" s="7"/>
      <c r="Y322" s="8"/>
      <c r="Z322" s="7"/>
      <c r="AA322" s="8"/>
    </row>
    <row r="323" spans="4:27" ht="14.25" thickTop="1" thickBot="1">
      <c r="D323" s="69"/>
      <c r="E323" s="54" t="s">
        <v>739</v>
      </c>
      <c r="F323" s="7"/>
      <c r="G323" s="8"/>
      <c r="H323" s="7"/>
      <c r="I323" s="6"/>
      <c r="J323" s="7"/>
      <c r="K323" s="8"/>
      <c r="L323" s="7"/>
      <c r="M323" s="8"/>
      <c r="N323" s="7"/>
      <c r="O323" s="8"/>
      <c r="P323" s="7"/>
      <c r="Q323" s="7"/>
      <c r="R323" s="8"/>
      <c r="S323" s="7"/>
      <c r="T323" s="9"/>
      <c r="U323" s="7"/>
      <c r="V323" s="8"/>
      <c r="W323" s="7"/>
      <c r="X323" s="7"/>
      <c r="Y323" s="8"/>
      <c r="Z323" s="7"/>
      <c r="AA323" s="8"/>
    </row>
    <row r="324" spans="4:27" ht="14.25" thickTop="1" thickBot="1">
      <c r="D324" s="69"/>
      <c r="E324" s="54" t="s">
        <v>1305</v>
      </c>
      <c r="F324" s="7"/>
      <c r="G324" s="8"/>
      <c r="H324" s="7"/>
      <c r="I324" s="6"/>
      <c r="J324" s="7"/>
      <c r="K324" s="8"/>
      <c r="L324" s="7"/>
      <c r="M324" s="8"/>
      <c r="N324" s="7"/>
      <c r="O324" s="8"/>
      <c r="P324" s="7"/>
      <c r="Q324" s="7"/>
      <c r="R324" s="8"/>
      <c r="S324" s="7"/>
      <c r="T324" s="9"/>
      <c r="U324" s="7"/>
      <c r="V324" s="8"/>
      <c r="W324" s="7"/>
      <c r="X324" s="7"/>
      <c r="Y324" s="8"/>
      <c r="Z324" s="7"/>
      <c r="AA324" s="8"/>
    </row>
    <row r="325" spans="4:27" ht="14.25" thickTop="1" thickBot="1">
      <c r="D325" s="69"/>
      <c r="E325" s="54" t="s">
        <v>1003</v>
      </c>
      <c r="F325" s="7"/>
      <c r="G325" s="8"/>
      <c r="H325" s="7"/>
      <c r="I325" s="6"/>
      <c r="J325" s="7"/>
      <c r="K325" s="8"/>
      <c r="L325" s="7"/>
      <c r="M325" s="8"/>
      <c r="N325" s="7"/>
      <c r="O325" s="8"/>
      <c r="P325" s="7"/>
      <c r="Q325" s="7"/>
      <c r="R325" s="8"/>
      <c r="S325" s="7"/>
      <c r="T325" s="9"/>
      <c r="U325" s="7"/>
      <c r="V325" s="8"/>
      <c r="W325" s="7"/>
      <c r="X325" s="7"/>
      <c r="Y325" s="8"/>
      <c r="Z325" s="7"/>
      <c r="AA325" s="8"/>
    </row>
    <row r="326" spans="4:27" ht="14.25" thickTop="1" thickBot="1">
      <c r="D326" s="69"/>
      <c r="E326" s="54" t="s">
        <v>1110</v>
      </c>
      <c r="F326" s="7"/>
      <c r="G326" s="8"/>
      <c r="H326" s="7"/>
      <c r="I326" s="6"/>
      <c r="J326" s="7"/>
      <c r="K326" s="8"/>
      <c r="L326" s="7"/>
      <c r="M326" s="8"/>
      <c r="N326" s="7"/>
      <c r="O326" s="8"/>
      <c r="P326" s="7"/>
      <c r="Q326" s="7"/>
      <c r="R326" s="8"/>
      <c r="S326" s="7"/>
      <c r="T326" s="9"/>
      <c r="U326" s="7"/>
      <c r="V326" s="8"/>
      <c r="W326" s="7"/>
      <c r="X326" s="7"/>
      <c r="Y326" s="8"/>
      <c r="Z326" s="7"/>
      <c r="AA326" s="8"/>
    </row>
    <row r="327" spans="4:27" ht="14.25" thickTop="1" thickBot="1">
      <c r="D327" s="69"/>
      <c r="E327" s="54" t="s">
        <v>992</v>
      </c>
      <c r="F327" s="7"/>
      <c r="G327" s="8"/>
      <c r="H327" s="7"/>
      <c r="I327" s="6"/>
      <c r="J327" s="7"/>
      <c r="K327" s="8"/>
      <c r="L327" s="7"/>
      <c r="M327" s="8"/>
      <c r="N327" s="7"/>
      <c r="O327" s="8"/>
      <c r="P327" s="7"/>
      <c r="Q327" s="7"/>
      <c r="R327" s="8"/>
      <c r="S327" s="7"/>
      <c r="T327" s="9"/>
      <c r="U327" s="7"/>
      <c r="V327" s="8"/>
      <c r="W327" s="7"/>
      <c r="X327" s="7"/>
      <c r="Y327" s="8"/>
      <c r="Z327" s="7"/>
      <c r="AA327" s="8"/>
    </row>
    <row r="328" spans="4:27" ht="14.25" thickTop="1" thickBot="1">
      <c r="D328" s="69"/>
      <c r="E328" s="54" t="s">
        <v>1306</v>
      </c>
      <c r="F328" s="7"/>
      <c r="G328" s="8"/>
      <c r="H328" s="7"/>
      <c r="I328" s="6"/>
      <c r="J328" s="7"/>
      <c r="K328" s="8"/>
      <c r="L328" s="7"/>
      <c r="M328" s="8"/>
      <c r="N328" s="7"/>
      <c r="O328" s="8"/>
      <c r="P328" s="7"/>
      <c r="Q328" s="7"/>
      <c r="R328" s="8"/>
      <c r="S328" s="7"/>
      <c r="T328" s="9"/>
      <c r="U328" s="7"/>
      <c r="V328" s="8"/>
      <c r="W328" s="7"/>
      <c r="X328" s="7"/>
      <c r="Y328" s="8"/>
      <c r="Z328" s="7"/>
      <c r="AA328" s="8"/>
    </row>
    <row r="329" spans="4:27" ht="14.25" thickTop="1" thickBot="1">
      <c r="D329" s="69"/>
      <c r="E329" s="54" t="s">
        <v>1307</v>
      </c>
      <c r="F329" s="7"/>
      <c r="G329" s="8"/>
      <c r="H329" s="7"/>
      <c r="I329" s="6"/>
      <c r="J329" s="7"/>
      <c r="K329" s="8"/>
      <c r="L329" s="7"/>
      <c r="M329" s="8"/>
      <c r="N329" s="7"/>
      <c r="O329" s="8"/>
      <c r="P329" s="7"/>
      <c r="Q329" s="7"/>
      <c r="R329" s="8"/>
      <c r="S329" s="7"/>
      <c r="T329" s="9"/>
      <c r="U329" s="7"/>
      <c r="V329" s="8"/>
      <c r="W329" s="7"/>
      <c r="X329" s="7"/>
      <c r="Y329" s="8"/>
      <c r="Z329" s="7"/>
      <c r="AA329" s="8"/>
    </row>
    <row r="330" spans="4:27" ht="14.25" thickTop="1" thickBot="1">
      <c r="D330" s="69"/>
      <c r="E330" s="54" t="s">
        <v>41</v>
      </c>
      <c r="F330" s="7"/>
      <c r="G330" s="8"/>
      <c r="H330" s="7"/>
      <c r="I330" s="6"/>
      <c r="J330" s="7"/>
      <c r="K330" s="8"/>
      <c r="L330" s="7"/>
      <c r="M330" s="8"/>
      <c r="N330" s="7"/>
      <c r="O330" s="8"/>
      <c r="P330" s="7"/>
      <c r="Q330" s="7"/>
      <c r="R330" s="8"/>
      <c r="S330" s="7"/>
      <c r="T330" s="9"/>
      <c r="U330" s="7"/>
      <c r="V330" s="8"/>
      <c r="W330" s="7"/>
      <c r="X330" s="7"/>
      <c r="Y330" s="8"/>
      <c r="Z330" s="7"/>
      <c r="AA330" s="8"/>
    </row>
    <row r="331" spans="4:27" ht="14.25" thickTop="1" thickBot="1">
      <c r="D331" s="69"/>
      <c r="E331" s="54" t="s">
        <v>1308</v>
      </c>
      <c r="F331" s="7"/>
      <c r="G331" s="8"/>
      <c r="H331" s="7"/>
      <c r="I331" s="6"/>
      <c r="J331" s="7"/>
      <c r="K331" s="8"/>
      <c r="L331" s="7"/>
      <c r="M331" s="8"/>
      <c r="N331" s="7"/>
      <c r="O331" s="8"/>
      <c r="P331" s="7"/>
      <c r="Q331" s="7"/>
      <c r="R331" s="8"/>
      <c r="S331" s="7"/>
      <c r="T331" s="9"/>
      <c r="U331" s="7"/>
      <c r="V331" s="8"/>
      <c r="W331" s="7"/>
      <c r="X331" s="7"/>
      <c r="Y331" s="8"/>
      <c r="Z331" s="7"/>
      <c r="AA331" s="8"/>
    </row>
    <row r="332" spans="4:27" ht="14.25" thickTop="1" thickBot="1">
      <c r="D332" s="69"/>
      <c r="E332" s="54" t="s">
        <v>1309</v>
      </c>
      <c r="F332" s="7"/>
      <c r="G332" s="8"/>
      <c r="H332" s="7"/>
      <c r="I332" s="6"/>
      <c r="J332" s="7"/>
      <c r="K332" s="8"/>
      <c r="L332" s="7"/>
      <c r="M332" s="8"/>
      <c r="N332" s="7"/>
      <c r="O332" s="8"/>
      <c r="P332" s="7"/>
      <c r="Q332" s="7"/>
      <c r="R332" s="8"/>
      <c r="S332" s="7"/>
      <c r="T332" s="9"/>
      <c r="U332" s="7"/>
      <c r="V332" s="8"/>
      <c r="W332" s="7"/>
      <c r="X332" s="7"/>
      <c r="Y332" s="8"/>
      <c r="Z332" s="7"/>
      <c r="AA332" s="8"/>
    </row>
    <row r="333" spans="4:27" ht="14.25" thickTop="1" thickBot="1">
      <c r="D333" s="69"/>
      <c r="E333" s="54" t="s">
        <v>1129</v>
      </c>
      <c r="F333" s="7"/>
      <c r="G333" s="8"/>
      <c r="H333" s="7"/>
      <c r="I333" s="6"/>
      <c r="J333" s="7"/>
      <c r="K333" s="8"/>
      <c r="L333" s="7"/>
      <c r="M333" s="8"/>
      <c r="N333" s="7"/>
      <c r="O333" s="8"/>
      <c r="P333" s="7"/>
      <c r="Q333" s="7"/>
      <c r="R333" s="8"/>
      <c r="S333" s="7"/>
      <c r="T333" s="9"/>
      <c r="U333" s="7"/>
      <c r="V333" s="8"/>
      <c r="W333" s="7"/>
      <c r="X333" s="7"/>
      <c r="Y333" s="8"/>
      <c r="Z333" s="7"/>
      <c r="AA333" s="8"/>
    </row>
    <row r="334" spans="4:27" ht="14.25" thickTop="1" thickBot="1">
      <c r="D334" s="69"/>
      <c r="E334" s="54" t="s">
        <v>991</v>
      </c>
      <c r="F334" s="7"/>
      <c r="G334" s="8"/>
      <c r="H334" s="7"/>
      <c r="I334" s="6"/>
      <c r="J334" s="7"/>
      <c r="K334" s="8"/>
      <c r="L334" s="7"/>
      <c r="M334" s="8"/>
      <c r="N334" s="7"/>
      <c r="O334" s="8"/>
      <c r="P334" s="7"/>
      <c r="Q334" s="7"/>
      <c r="R334" s="8"/>
      <c r="S334" s="7"/>
      <c r="T334" s="9"/>
      <c r="U334" s="7"/>
      <c r="V334" s="8"/>
      <c r="W334" s="7"/>
      <c r="X334" s="7"/>
      <c r="Y334" s="8"/>
      <c r="Z334" s="7"/>
      <c r="AA334" s="8"/>
    </row>
    <row r="335" spans="4:27" ht="14.25" thickTop="1" thickBot="1">
      <c r="D335" s="69"/>
      <c r="E335" s="54" t="s">
        <v>1310</v>
      </c>
      <c r="F335" s="7"/>
      <c r="G335" s="8"/>
      <c r="H335" s="7"/>
      <c r="I335" s="6"/>
      <c r="J335" s="7"/>
      <c r="K335" s="8"/>
      <c r="L335" s="7"/>
      <c r="M335" s="8"/>
      <c r="N335" s="7"/>
      <c r="O335" s="8"/>
      <c r="P335" s="7"/>
      <c r="Q335" s="7"/>
      <c r="R335" s="8"/>
      <c r="S335" s="7"/>
      <c r="T335" s="9"/>
      <c r="U335" s="7"/>
      <c r="V335" s="8"/>
      <c r="W335" s="7"/>
      <c r="X335" s="7"/>
      <c r="Y335" s="8"/>
      <c r="Z335" s="7"/>
      <c r="AA335" s="8"/>
    </row>
    <row r="336" spans="4:27" ht="14.25" thickTop="1" thickBot="1">
      <c r="D336" s="69"/>
      <c r="E336" s="54" t="s">
        <v>1011</v>
      </c>
      <c r="F336" s="7"/>
      <c r="G336" s="8"/>
      <c r="H336" s="7"/>
      <c r="I336" s="6"/>
      <c r="J336" s="7"/>
      <c r="K336" s="8"/>
      <c r="L336" s="7"/>
      <c r="M336" s="8"/>
      <c r="N336" s="7"/>
      <c r="O336" s="8"/>
      <c r="P336" s="7"/>
      <c r="Q336" s="7"/>
      <c r="R336" s="8"/>
      <c r="S336" s="7"/>
      <c r="T336" s="9"/>
      <c r="U336" s="7"/>
      <c r="V336" s="8"/>
      <c r="W336" s="7"/>
      <c r="X336" s="7"/>
      <c r="Y336" s="8"/>
      <c r="Z336" s="7"/>
      <c r="AA336" s="8"/>
    </row>
    <row r="337" spans="4:27" ht="14.25" thickTop="1" thickBot="1">
      <c r="D337" s="69"/>
      <c r="E337" s="54" t="s">
        <v>993</v>
      </c>
      <c r="F337" s="7"/>
      <c r="G337" s="8"/>
      <c r="H337" s="7"/>
      <c r="I337" s="6"/>
      <c r="J337" s="7"/>
      <c r="K337" s="8"/>
      <c r="L337" s="7"/>
      <c r="M337" s="8"/>
      <c r="N337" s="7"/>
      <c r="O337" s="8"/>
      <c r="P337" s="7"/>
      <c r="Q337" s="7"/>
      <c r="R337" s="8"/>
      <c r="S337" s="7"/>
      <c r="T337" s="9"/>
      <c r="U337" s="7"/>
      <c r="V337" s="8"/>
      <c r="W337" s="7"/>
      <c r="X337" s="7"/>
      <c r="Y337" s="8"/>
      <c r="Z337" s="7"/>
      <c r="AA337" s="8"/>
    </row>
    <row r="338" spans="4:27" ht="14.25" thickTop="1" thickBot="1">
      <c r="D338" s="69"/>
      <c r="E338" s="54" t="s">
        <v>749</v>
      </c>
      <c r="F338" s="7"/>
      <c r="G338" s="8"/>
      <c r="H338" s="7"/>
      <c r="I338" s="6"/>
      <c r="J338" s="7"/>
      <c r="K338" s="8"/>
      <c r="L338" s="7"/>
      <c r="M338" s="8"/>
      <c r="N338" s="7"/>
      <c r="O338" s="8"/>
      <c r="P338" s="7"/>
      <c r="Q338" s="7"/>
      <c r="R338" s="8"/>
      <c r="S338" s="7"/>
      <c r="T338" s="9"/>
      <c r="U338" s="7"/>
      <c r="V338" s="8"/>
      <c r="W338" s="7"/>
      <c r="X338" s="7"/>
      <c r="Y338" s="8"/>
      <c r="Z338" s="7"/>
      <c r="AA338" s="8"/>
    </row>
    <row r="339" spans="4:27" ht="14.25" thickTop="1" thickBot="1">
      <c r="D339" s="69"/>
      <c r="E339" s="54" t="s">
        <v>724</v>
      </c>
      <c r="F339" s="7"/>
      <c r="G339" s="8"/>
      <c r="H339" s="7"/>
      <c r="I339" s="6"/>
      <c r="J339" s="7"/>
      <c r="K339" s="8"/>
      <c r="L339" s="7"/>
      <c r="M339" s="8"/>
      <c r="N339" s="7"/>
      <c r="O339" s="8"/>
      <c r="P339" s="7"/>
      <c r="Q339" s="7"/>
      <c r="R339" s="8"/>
      <c r="S339" s="7"/>
      <c r="T339" s="9"/>
      <c r="U339" s="7"/>
      <c r="V339" s="8"/>
      <c r="W339" s="7"/>
      <c r="X339" s="7"/>
      <c r="Y339" s="8"/>
      <c r="Z339" s="7"/>
      <c r="AA339" s="8"/>
    </row>
    <row r="340" spans="4:27" ht="14.25" thickTop="1" thickBot="1">
      <c r="D340" s="69"/>
      <c r="E340" s="54" t="s">
        <v>161</v>
      </c>
      <c r="F340" s="7"/>
      <c r="G340" s="8"/>
      <c r="H340" s="7"/>
      <c r="I340" s="6"/>
      <c r="J340" s="7"/>
      <c r="K340" s="8"/>
      <c r="L340" s="7"/>
      <c r="M340" s="8"/>
      <c r="N340" s="7"/>
      <c r="O340" s="8"/>
      <c r="P340" s="7"/>
      <c r="Q340" s="7"/>
      <c r="R340" s="8"/>
      <c r="S340" s="7"/>
      <c r="T340" s="9"/>
      <c r="U340" s="7"/>
      <c r="V340" s="8"/>
      <c r="W340" s="7"/>
      <c r="X340" s="7"/>
      <c r="Y340" s="8"/>
      <c r="Z340" s="7"/>
      <c r="AA340" s="8"/>
    </row>
    <row r="341" spans="4:27" ht="14.25" thickTop="1" thickBot="1">
      <c r="D341" s="69"/>
      <c r="E341" s="54" t="s">
        <v>248</v>
      </c>
      <c r="F341" s="7"/>
      <c r="G341" s="8"/>
      <c r="H341" s="7"/>
      <c r="I341" s="6"/>
      <c r="J341" s="7"/>
      <c r="K341" s="8"/>
      <c r="L341" s="7"/>
      <c r="M341" s="8"/>
      <c r="N341" s="7"/>
      <c r="O341" s="8"/>
      <c r="P341" s="7"/>
      <c r="Q341" s="7"/>
      <c r="R341" s="8"/>
      <c r="S341" s="7"/>
      <c r="T341" s="9"/>
      <c r="U341" s="7"/>
      <c r="V341" s="8"/>
      <c r="W341" s="7"/>
      <c r="X341" s="7"/>
      <c r="Y341" s="8"/>
      <c r="Z341" s="7"/>
      <c r="AA341" s="8"/>
    </row>
    <row r="342" spans="4:27" ht="14.25" thickTop="1" thickBot="1">
      <c r="D342" s="69"/>
      <c r="E342" s="54" t="s">
        <v>162</v>
      </c>
      <c r="F342" s="7"/>
      <c r="G342" s="8"/>
      <c r="H342" s="7"/>
      <c r="I342" s="6"/>
      <c r="J342" s="7"/>
      <c r="K342" s="8"/>
      <c r="L342" s="7"/>
      <c r="M342" s="8"/>
      <c r="N342" s="7"/>
      <c r="O342" s="8"/>
      <c r="P342" s="7"/>
      <c r="Q342" s="7"/>
      <c r="R342" s="8"/>
      <c r="S342" s="7"/>
      <c r="T342" s="9"/>
      <c r="U342" s="7"/>
      <c r="V342" s="8"/>
      <c r="W342" s="7"/>
      <c r="X342" s="7"/>
      <c r="Y342" s="8"/>
      <c r="Z342" s="7"/>
      <c r="AA342" s="8"/>
    </row>
    <row r="343" spans="4:27" ht="14.25" thickTop="1" thickBot="1">
      <c r="D343" s="69"/>
      <c r="E343" s="54" t="s">
        <v>163</v>
      </c>
      <c r="F343" s="7"/>
      <c r="G343" s="8"/>
      <c r="H343" s="7"/>
      <c r="I343" s="6"/>
      <c r="J343" s="7"/>
      <c r="K343" s="8"/>
      <c r="L343" s="7"/>
      <c r="M343" s="8"/>
      <c r="N343" s="7"/>
      <c r="O343" s="8"/>
      <c r="P343" s="7"/>
      <c r="Q343" s="7"/>
      <c r="R343" s="8"/>
      <c r="S343" s="7"/>
      <c r="T343" s="9"/>
      <c r="U343" s="7"/>
      <c r="V343" s="8"/>
      <c r="W343" s="7"/>
      <c r="X343" s="7"/>
      <c r="Y343" s="8"/>
      <c r="Z343" s="7"/>
      <c r="AA343" s="8"/>
    </row>
    <row r="344" spans="4:27" ht="14.25" thickTop="1" thickBot="1">
      <c r="D344" s="69"/>
      <c r="E344" s="54" t="s">
        <v>164</v>
      </c>
      <c r="F344" s="7"/>
      <c r="G344" s="8"/>
      <c r="H344" s="7"/>
      <c r="I344" s="6"/>
      <c r="J344" s="7"/>
      <c r="K344" s="8"/>
      <c r="L344" s="7"/>
      <c r="M344" s="8"/>
      <c r="N344" s="7"/>
      <c r="O344" s="8"/>
      <c r="P344" s="7"/>
      <c r="Q344" s="7"/>
      <c r="R344" s="8"/>
      <c r="S344" s="7"/>
      <c r="T344" s="9"/>
      <c r="U344" s="7"/>
      <c r="V344" s="8"/>
      <c r="W344" s="7"/>
      <c r="X344" s="7"/>
      <c r="Y344" s="8"/>
      <c r="Z344" s="7"/>
      <c r="AA344" s="8"/>
    </row>
    <row r="345" spans="4:27" ht="14.25" thickTop="1" thickBot="1">
      <c r="D345" s="69"/>
      <c r="E345" s="54" t="s">
        <v>1056</v>
      </c>
      <c r="F345" s="7"/>
      <c r="G345" s="8"/>
      <c r="H345" s="7"/>
      <c r="I345" s="6"/>
      <c r="J345" s="7"/>
      <c r="K345" s="8"/>
      <c r="L345" s="7"/>
      <c r="M345" s="8"/>
      <c r="N345" s="7"/>
      <c r="O345" s="8"/>
      <c r="P345" s="7"/>
      <c r="Q345" s="7"/>
      <c r="R345" s="8"/>
      <c r="S345" s="7"/>
      <c r="T345" s="9"/>
      <c r="U345" s="7"/>
      <c r="V345" s="8"/>
      <c r="W345" s="7"/>
      <c r="X345" s="7"/>
      <c r="Y345" s="8"/>
      <c r="Z345" s="7"/>
      <c r="AA345" s="8"/>
    </row>
    <row r="346" spans="4:27" ht="14.25" thickTop="1" thickBot="1">
      <c r="D346" s="69"/>
      <c r="E346" s="54" t="s">
        <v>1048</v>
      </c>
      <c r="F346" s="7"/>
      <c r="G346" s="8"/>
      <c r="H346" s="7"/>
      <c r="I346" s="6"/>
      <c r="J346" s="7"/>
      <c r="K346" s="8"/>
      <c r="L346" s="7"/>
      <c r="M346" s="8"/>
      <c r="N346" s="7"/>
      <c r="O346" s="8"/>
      <c r="P346" s="7"/>
      <c r="Q346" s="7"/>
      <c r="R346" s="8"/>
      <c r="S346" s="7"/>
      <c r="T346" s="9"/>
      <c r="U346" s="7"/>
      <c r="V346" s="8"/>
      <c r="W346" s="7"/>
      <c r="X346" s="7"/>
      <c r="Y346" s="8"/>
      <c r="Z346" s="7"/>
      <c r="AA346" s="8"/>
    </row>
    <row r="347" spans="4:27" ht="14.25" thickTop="1" thickBot="1">
      <c r="D347" s="69"/>
      <c r="E347" s="54" t="s">
        <v>1044</v>
      </c>
      <c r="F347" s="7"/>
      <c r="G347" s="8"/>
      <c r="H347" s="7"/>
      <c r="I347" s="6"/>
      <c r="J347" s="7"/>
      <c r="K347" s="8"/>
      <c r="L347" s="7"/>
      <c r="M347" s="8"/>
      <c r="N347" s="7"/>
      <c r="O347" s="8"/>
      <c r="P347" s="7"/>
      <c r="Q347" s="7"/>
      <c r="R347" s="8"/>
      <c r="S347" s="7"/>
      <c r="T347" s="9"/>
      <c r="U347" s="7"/>
      <c r="V347" s="8"/>
      <c r="W347" s="7"/>
      <c r="X347" s="7"/>
      <c r="Y347" s="8"/>
      <c r="Z347" s="7"/>
      <c r="AA347" s="8"/>
    </row>
    <row r="348" spans="4:27" ht="14.25" thickTop="1" thickBot="1">
      <c r="D348" s="69"/>
      <c r="E348" s="54" t="s">
        <v>1311</v>
      </c>
      <c r="F348" s="7"/>
      <c r="G348" s="8"/>
      <c r="H348" s="7"/>
      <c r="I348" s="6"/>
      <c r="J348" s="7"/>
      <c r="K348" s="8"/>
      <c r="L348" s="7"/>
      <c r="M348" s="8"/>
      <c r="N348" s="7"/>
      <c r="O348" s="8"/>
      <c r="P348" s="7"/>
      <c r="Q348" s="7"/>
      <c r="R348" s="8"/>
      <c r="S348" s="7"/>
      <c r="T348" s="9"/>
      <c r="U348" s="7"/>
      <c r="V348" s="8"/>
      <c r="W348" s="7"/>
      <c r="X348" s="7"/>
      <c r="Y348" s="8"/>
      <c r="Z348" s="7"/>
      <c r="AA348" s="8"/>
    </row>
    <row r="349" spans="4:27" ht="14.25" thickTop="1" thickBot="1">
      <c r="D349" s="69"/>
      <c r="E349" s="54" t="s">
        <v>247</v>
      </c>
      <c r="F349" s="7"/>
      <c r="G349" s="8"/>
      <c r="H349" s="7"/>
      <c r="I349" s="6"/>
      <c r="J349" s="7"/>
      <c r="K349" s="8"/>
      <c r="L349" s="7"/>
      <c r="M349" s="8"/>
      <c r="N349" s="7"/>
      <c r="O349" s="8"/>
      <c r="P349" s="7"/>
      <c r="Q349" s="7"/>
      <c r="R349" s="8"/>
      <c r="S349" s="7"/>
      <c r="T349" s="9"/>
      <c r="U349" s="7"/>
      <c r="V349" s="8"/>
      <c r="W349" s="7"/>
      <c r="X349" s="7"/>
      <c r="Y349" s="8"/>
      <c r="Z349" s="7"/>
      <c r="AA349" s="8"/>
    </row>
    <row r="350" spans="4:27" ht="14.25" thickTop="1" thickBot="1">
      <c r="D350" s="69"/>
      <c r="E350" s="54" t="s">
        <v>214</v>
      </c>
      <c r="F350" s="7"/>
      <c r="G350" s="8"/>
      <c r="H350" s="7"/>
      <c r="I350" s="6"/>
      <c r="J350" s="7"/>
      <c r="K350" s="8"/>
      <c r="L350" s="7"/>
      <c r="M350" s="8"/>
      <c r="N350" s="7"/>
      <c r="O350" s="8"/>
      <c r="P350" s="7"/>
      <c r="Q350" s="7"/>
      <c r="R350" s="8"/>
      <c r="S350" s="7"/>
      <c r="T350" s="9"/>
      <c r="U350" s="7"/>
      <c r="V350" s="8"/>
      <c r="W350" s="7"/>
      <c r="X350" s="7"/>
      <c r="Y350" s="8"/>
      <c r="Z350" s="7"/>
      <c r="AA350" s="8"/>
    </row>
    <row r="351" spans="4:27" ht="14.25" thickTop="1" thickBot="1">
      <c r="D351" s="69"/>
      <c r="E351" s="54" t="s">
        <v>1035</v>
      </c>
      <c r="F351" s="7"/>
      <c r="G351" s="8"/>
      <c r="H351" s="7"/>
      <c r="I351" s="6"/>
      <c r="J351" s="7"/>
      <c r="K351" s="8"/>
      <c r="L351" s="7"/>
      <c r="M351" s="8"/>
      <c r="N351" s="7"/>
      <c r="O351" s="8"/>
      <c r="P351" s="7"/>
      <c r="Q351" s="7"/>
      <c r="R351" s="8"/>
      <c r="S351" s="7"/>
      <c r="T351" s="9"/>
      <c r="U351" s="7"/>
      <c r="V351" s="8"/>
      <c r="W351" s="7"/>
      <c r="X351" s="7"/>
      <c r="Y351" s="8"/>
      <c r="Z351" s="7"/>
      <c r="AA351" s="8"/>
    </row>
    <row r="352" spans="4:27" ht="14.25" thickTop="1" thickBot="1">
      <c r="D352" s="69"/>
      <c r="E352" s="54" t="s">
        <v>240</v>
      </c>
      <c r="F352" s="7"/>
      <c r="G352" s="8"/>
      <c r="H352" s="7"/>
      <c r="I352" s="6"/>
      <c r="J352" s="7"/>
      <c r="K352" s="8"/>
      <c r="L352" s="7"/>
      <c r="M352" s="8"/>
      <c r="N352" s="7"/>
      <c r="O352" s="8"/>
      <c r="P352" s="7"/>
      <c r="Q352" s="7"/>
      <c r="R352" s="8"/>
      <c r="S352" s="7"/>
      <c r="T352" s="9"/>
      <c r="U352" s="7"/>
      <c r="V352" s="8"/>
      <c r="W352" s="7"/>
      <c r="X352" s="7"/>
      <c r="Y352" s="8"/>
      <c r="Z352" s="7"/>
      <c r="AA352" s="8"/>
    </row>
    <row r="353" spans="4:27" ht="14.25" thickTop="1" thickBot="1">
      <c r="D353" s="69"/>
      <c r="E353" s="54" t="s">
        <v>225</v>
      </c>
      <c r="F353" s="7"/>
      <c r="G353" s="8"/>
      <c r="H353" s="7"/>
      <c r="I353" s="6"/>
      <c r="J353" s="7"/>
      <c r="K353" s="8"/>
      <c r="L353" s="7"/>
      <c r="M353" s="8"/>
      <c r="N353" s="7"/>
      <c r="O353" s="8"/>
      <c r="P353" s="7"/>
      <c r="Q353" s="7"/>
      <c r="R353" s="8"/>
      <c r="S353" s="7"/>
      <c r="T353" s="9"/>
      <c r="U353" s="7"/>
      <c r="V353" s="8"/>
      <c r="W353" s="7"/>
      <c r="X353" s="7"/>
      <c r="Y353" s="8"/>
      <c r="Z353" s="7"/>
      <c r="AA353" s="8"/>
    </row>
    <row r="354" spans="4:27" ht="14.25" thickTop="1" thickBot="1">
      <c r="D354" s="69"/>
      <c r="E354" s="54" t="s">
        <v>298</v>
      </c>
      <c r="F354" s="7"/>
      <c r="G354" s="8"/>
      <c r="H354" s="7"/>
      <c r="I354" s="6"/>
      <c r="J354" s="7"/>
      <c r="K354" s="8"/>
      <c r="L354" s="7"/>
      <c r="M354" s="8"/>
      <c r="N354" s="7"/>
      <c r="O354" s="8"/>
      <c r="P354" s="7"/>
      <c r="Q354" s="7"/>
      <c r="R354" s="8"/>
      <c r="S354" s="7"/>
      <c r="T354" s="9"/>
      <c r="U354" s="7"/>
      <c r="V354" s="8"/>
      <c r="W354" s="7"/>
      <c r="X354" s="7"/>
      <c r="Y354" s="8"/>
      <c r="Z354" s="7"/>
      <c r="AA354" s="8"/>
    </row>
    <row r="355" spans="4:27" ht="14.25" thickTop="1" thickBot="1">
      <c r="D355" s="69"/>
      <c r="E355" s="54" t="s">
        <v>215</v>
      </c>
      <c r="F355" s="7"/>
      <c r="G355" s="8"/>
      <c r="H355" s="7"/>
      <c r="I355" s="6"/>
      <c r="J355" s="7"/>
      <c r="K355" s="8"/>
      <c r="L355" s="7"/>
      <c r="M355" s="8"/>
      <c r="N355" s="7"/>
      <c r="O355" s="8"/>
      <c r="P355" s="7"/>
      <c r="Q355" s="7"/>
      <c r="R355" s="8"/>
      <c r="S355" s="7"/>
      <c r="T355" s="9"/>
      <c r="U355" s="7"/>
      <c r="V355" s="8"/>
      <c r="W355" s="7"/>
      <c r="X355" s="7"/>
      <c r="Y355" s="8"/>
      <c r="Z355" s="7"/>
      <c r="AA355" s="8"/>
    </row>
    <row r="356" spans="4:27" ht="14.25" thickTop="1" thickBot="1">
      <c r="D356" s="69"/>
      <c r="E356" s="54" t="s">
        <v>217</v>
      </c>
      <c r="F356" s="7"/>
      <c r="G356" s="8"/>
      <c r="H356" s="7"/>
      <c r="I356" s="6"/>
      <c r="J356" s="7"/>
      <c r="K356" s="8"/>
      <c r="L356" s="7"/>
      <c r="M356" s="8"/>
      <c r="N356" s="7"/>
      <c r="O356" s="8"/>
      <c r="P356" s="7"/>
      <c r="Q356" s="7"/>
      <c r="R356" s="8"/>
      <c r="S356" s="7"/>
      <c r="T356" s="9"/>
      <c r="U356" s="7"/>
      <c r="V356" s="8"/>
      <c r="W356" s="7"/>
      <c r="X356" s="7"/>
      <c r="Y356" s="8"/>
      <c r="Z356" s="7"/>
      <c r="AA356" s="8"/>
    </row>
    <row r="357" spans="4:27" ht="14.25" thickTop="1" thickBot="1">
      <c r="D357" s="69"/>
      <c r="E357" s="54" t="s">
        <v>1026</v>
      </c>
      <c r="F357" s="7"/>
      <c r="G357" s="8"/>
      <c r="H357" s="7"/>
      <c r="I357" s="6"/>
      <c r="J357" s="7"/>
      <c r="K357" s="8"/>
      <c r="L357" s="7"/>
      <c r="M357" s="8"/>
      <c r="N357" s="7"/>
      <c r="O357" s="8"/>
      <c r="P357" s="7"/>
      <c r="Q357" s="7"/>
      <c r="R357" s="8"/>
      <c r="S357" s="7"/>
      <c r="T357" s="9"/>
      <c r="U357" s="7"/>
      <c r="V357" s="8"/>
      <c r="W357" s="7"/>
      <c r="X357" s="7"/>
      <c r="Y357" s="8"/>
      <c r="Z357" s="7"/>
      <c r="AA357" s="8"/>
    </row>
    <row r="358" spans="4:27" ht="14.25" thickTop="1" thickBot="1">
      <c r="D358" s="69"/>
      <c r="E358" s="54" t="s">
        <v>289</v>
      </c>
      <c r="F358" s="7"/>
      <c r="G358" s="8"/>
      <c r="H358" s="7"/>
      <c r="I358" s="6"/>
      <c r="J358" s="7"/>
      <c r="K358" s="8"/>
      <c r="L358" s="7"/>
      <c r="M358" s="8"/>
      <c r="N358" s="7"/>
      <c r="O358" s="8"/>
      <c r="P358" s="7"/>
      <c r="Q358" s="7"/>
      <c r="R358" s="8"/>
      <c r="S358" s="7"/>
      <c r="T358" s="9"/>
      <c r="U358" s="7"/>
      <c r="V358" s="8"/>
      <c r="W358" s="7"/>
      <c r="X358" s="7"/>
      <c r="Y358" s="8"/>
      <c r="Z358" s="7"/>
      <c r="AA358" s="8"/>
    </row>
    <row r="359" spans="4:27" ht="14.25" thickTop="1" thickBot="1">
      <c r="D359" s="69"/>
      <c r="E359" s="54" t="s">
        <v>290</v>
      </c>
      <c r="F359" s="7"/>
      <c r="G359" s="8"/>
      <c r="H359" s="7"/>
      <c r="I359" s="6"/>
      <c r="J359" s="7"/>
      <c r="K359" s="8"/>
      <c r="L359" s="7"/>
      <c r="M359" s="8"/>
      <c r="N359" s="7"/>
      <c r="O359" s="8"/>
      <c r="P359" s="7"/>
      <c r="Q359" s="7"/>
      <c r="R359" s="8"/>
      <c r="S359" s="7"/>
      <c r="T359" s="9"/>
      <c r="U359" s="7"/>
      <c r="V359" s="8"/>
      <c r="W359" s="7"/>
      <c r="X359" s="7"/>
      <c r="Y359" s="8"/>
      <c r="Z359" s="7"/>
      <c r="AA359" s="8"/>
    </row>
    <row r="360" spans="4:27" ht="14.25" thickTop="1" thickBot="1">
      <c r="D360" s="69"/>
      <c r="E360" s="54" t="s">
        <v>1312</v>
      </c>
      <c r="F360" s="7"/>
      <c r="G360" s="8"/>
      <c r="H360" s="7"/>
      <c r="I360" s="6"/>
      <c r="J360" s="7"/>
      <c r="K360" s="8"/>
      <c r="L360" s="7"/>
      <c r="M360" s="8"/>
      <c r="N360" s="7"/>
      <c r="O360" s="8"/>
      <c r="P360" s="7"/>
      <c r="Q360" s="7"/>
      <c r="R360" s="8"/>
      <c r="S360" s="7"/>
      <c r="T360" s="9"/>
      <c r="U360" s="7"/>
      <c r="V360" s="8"/>
      <c r="W360" s="7"/>
      <c r="X360" s="7"/>
      <c r="Y360" s="8"/>
      <c r="Z360" s="7"/>
      <c r="AA360" s="8"/>
    </row>
    <row r="361" spans="4:27" ht="14.25" thickTop="1" thickBot="1">
      <c r="D361" s="69"/>
      <c r="E361" s="54" t="s">
        <v>1122</v>
      </c>
      <c r="F361" s="7"/>
      <c r="G361" s="8"/>
      <c r="H361" s="7"/>
      <c r="I361" s="6"/>
      <c r="J361" s="7"/>
      <c r="K361" s="8"/>
      <c r="L361" s="7"/>
      <c r="M361" s="8"/>
      <c r="N361" s="7"/>
      <c r="O361" s="8"/>
      <c r="P361" s="7"/>
      <c r="Q361" s="7"/>
      <c r="R361" s="8"/>
      <c r="S361" s="7"/>
      <c r="T361" s="9"/>
      <c r="U361" s="7"/>
      <c r="V361" s="8"/>
      <c r="W361" s="7"/>
      <c r="X361" s="7"/>
      <c r="Y361" s="8"/>
      <c r="Z361" s="7"/>
      <c r="AA361" s="8"/>
    </row>
    <row r="362" spans="4:27" ht="14.25" thickTop="1" thickBot="1">
      <c r="D362" s="69"/>
      <c r="E362" s="54" t="s">
        <v>1124</v>
      </c>
      <c r="F362" s="7"/>
      <c r="G362" s="8"/>
      <c r="H362" s="7"/>
      <c r="I362" s="6"/>
      <c r="J362" s="7"/>
      <c r="K362" s="8"/>
      <c r="L362" s="7"/>
      <c r="M362" s="8"/>
      <c r="N362" s="7"/>
      <c r="O362" s="8"/>
      <c r="P362" s="7"/>
      <c r="Q362" s="7"/>
      <c r="R362" s="8"/>
      <c r="S362" s="7"/>
      <c r="T362" s="9"/>
      <c r="U362" s="7"/>
      <c r="V362" s="8"/>
      <c r="W362" s="7"/>
      <c r="X362" s="7"/>
      <c r="Y362" s="8"/>
      <c r="Z362" s="7"/>
      <c r="AA362" s="8"/>
    </row>
    <row r="363" spans="4:27" ht="14.25" thickTop="1" thickBot="1">
      <c r="D363" s="69"/>
      <c r="E363" s="54" t="s">
        <v>1126</v>
      </c>
      <c r="F363" s="7"/>
      <c r="G363" s="8"/>
      <c r="H363" s="7"/>
      <c r="I363" s="6"/>
      <c r="J363" s="7"/>
      <c r="K363" s="8"/>
      <c r="L363" s="7"/>
      <c r="M363" s="8"/>
      <c r="N363" s="7"/>
      <c r="O363" s="8"/>
      <c r="P363" s="7"/>
      <c r="Q363" s="7"/>
      <c r="R363" s="8"/>
      <c r="S363" s="7"/>
      <c r="T363" s="9"/>
      <c r="U363" s="7"/>
      <c r="V363" s="8"/>
      <c r="W363" s="7"/>
      <c r="X363" s="7"/>
      <c r="Y363" s="8"/>
      <c r="Z363" s="7"/>
      <c r="AA363" s="8"/>
    </row>
    <row r="364" spans="4:27" ht="14.25" thickTop="1" thickBot="1">
      <c r="D364" s="69"/>
      <c r="E364" s="54" t="s">
        <v>1313</v>
      </c>
      <c r="F364" s="7"/>
      <c r="G364" s="8"/>
      <c r="H364" s="7"/>
      <c r="I364" s="6"/>
      <c r="J364" s="7"/>
      <c r="K364" s="8"/>
      <c r="L364" s="7"/>
      <c r="M364" s="8"/>
      <c r="N364" s="7"/>
      <c r="O364" s="8"/>
      <c r="P364" s="7"/>
      <c r="Q364" s="7"/>
      <c r="R364" s="8"/>
      <c r="S364" s="7"/>
      <c r="T364" s="9"/>
      <c r="U364" s="7"/>
      <c r="V364" s="8"/>
      <c r="W364" s="7"/>
      <c r="X364" s="7"/>
      <c r="Y364" s="8"/>
      <c r="Z364" s="7"/>
      <c r="AA364" s="8"/>
    </row>
    <row r="365" spans="4:27" ht="14.25" thickTop="1" thickBot="1">
      <c r="D365" s="69"/>
      <c r="E365" s="54" t="s">
        <v>1127</v>
      </c>
      <c r="F365" s="7"/>
      <c r="G365" s="8"/>
      <c r="H365" s="7"/>
      <c r="I365" s="6"/>
      <c r="J365" s="7"/>
      <c r="K365" s="8"/>
      <c r="L365" s="7"/>
      <c r="M365" s="8"/>
      <c r="N365" s="7"/>
      <c r="O365" s="8"/>
      <c r="P365" s="7"/>
      <c r="Q365" s="7"/>
      <c r="R365" s="8"/>
      <c r="S365" s="7"/>
      <c r="T365" s="9"/>
      <c r="U365" s="7"/>
      <c r="V365" s="8"/>
      <c r="W365" s="7"/>
      <c r="X365" s="7"/>
      <c r="Y365" s="8"/>
      <c r="Z365" s="7"/>
      <c r="AA365" s="8"/>
    </row>
    <row r="366" spans="4:27" ht="14.25" thickTop="1" thickBot="1">
      <c r="D366" s="69"/>
      <c r="E366" s="54" t="s">
        <v>1314</v>
      </c>
      <c r="F366" s="7"/>
      <c r="G366" s="8"/>
      <c r="H366" s="7"/>
      <c r="I366" s="6"/>
      <c r="J366" s="7"/>
      <c r="K366" s="8"/>
      <c r="L366" s="7"/>
      <c r="M366" s="8"/>
      <c r="N366" s="7"/>
      <c r="O366" s="8"/>
      <c r="P366" s="7"/>
      <c r="Q366" s="7"/>
      <c r="R366" s="8"/>
      <c r="S366" s="7"/>
      <c r="T366" s="9"/>
      <c r="U366" s="7"/>
      <c r="V366" s="8"/>
      <c r="W366" s="7"/>
      <c r="X366" s="7"/>
      <c r="Y366" s="8"/>
      <c r="Z366" s="7"/>
      <c r="AA366" s="8"/>
    </row>
    <row r="367" spans="4:27" ht="14.25" thickTop="1" thickBot="1">
      <c r="D367" s="69"/>
      <c r="E367" s="54" t="s">
        <v>1032</v>
      </c>
      <c r="F367" s="7"/>
      <c r="G367" s="8"/>
      <c r="H367" s="7"/>
      <c r="I367" s="6"/>
      <c r="J367" s="7"/>
      <c r="K367" s="8"/>
      <c r="L367" s="7"/>
      <c r="M367" s="8"/>
      <c r="N367" s="7"/>
      <c r="O367" s="8"/>
      <c r="P367" s="7"/>
      <c r="Q367" s="7"/>
      <c r="R367" s="8"/>
      <c r="S367" s="7"/>
      <c r="T367" s="9"/>
      <c r="U367" s="7"/>
      <c r="V367" s="8"/>
      <c r="W367" s="7"/>
      <c r="X367" s="7"/>
      <c r="Y367" s="8"/>
      <c r="Z367" s="7"/>
      <c r="AA367" s="8"/>
    </row>
    <row r="368" spans="4:27" ht="14.25" thickTop="1" thickBot="1">
      <c r="D368" s="69"/>
      <c r="E368" s="54" t="s">
        <v>218</v>
      </c>
      <c r="F368" s="7"/>
      <c r="G368" s="8"/>
      <c r="H368" s="7"/>
      <c r="I368" s="6"/>
      <c r="J368" s="7"/>
      <c r="K368" s="8"/>
      <c r="L368" s="7"/>
      <c r="M368" s="8"/>
      <c r="N368" s="7"/>
      <c r="O368" s="8"/>
      <c r="P368" s="7"/>
      <c r="Q368" s="7"/>
      <c r="R368" s="8"/>
      <c r="S368" s="7"/>
      <c r="T368" s="9"/>
      <c r="U368" s="7"/>
      <c r="V368" s="8"/>
      <c r="W368" s="7"/>
      <c r="X368" s="7"/>
      <c r="Y368" s="8"/>
      <c r="Z368" s="7"/>
      <c r="AA368" s="8"/>
    </row>
    <row r="369" spans="4:27" ht="14.25" thickTop="1" thickBot="1">
      <c r="D369" s="69"/>
      <c r="E369" s="54" t="s">
        <v>295</v>
      </c>
      <c r="F369" s="7"/>
      <c r="G369" s="8"/>
      <c r="H369" s="7"/>
      <c r="I369" s="6"/>
      <c r="J369" s="7"/>
      <c r="K369" s="8"/>
      <c r="L369" s="7"/>
      <c r="M369" s="8"/>
      <c r="N369" s="7"/>
      <c r="O369" s="8"/>
      <c r="P369" s="7"/>
      <c r="Q369" s="7"/>
      <c r="R369" s="8"/>
      <c r="S369" s="7"/>
      <c r="T369" s="9"/>
      <c r="U369" s="7"/>
      <c r="V369" s="8"/>
      <c r="W369" s="7"/>
      <c r="X369" s="7"/>
      <c r="Y369" s="8"/>
      <c r="Z369" s="7"/>
      <c r="AA369" s="8"/>
    </row>
    <row r="370" spans="4:27" ht="14.25" thickTop="1" thickBot="1">
      <c r="D370" s="69"/>
      <c r="E370" s="54" t="s">
        <v>1030</v>
      </c>
      <c r="F370" s="7"/>
      <c r="G370" s="8"/>
      <c r="H370" s="7"/>
      <c r="I370" s="6"/>
      <c r="J370" s="7"/>
      <c r="K370" s="8"/>
      <c r="L370" s="7"/>
      <c r="M370" s="8"/>
      <c r="N370" s="7"/>
      <c r="O370" s="8"/>
      <c r="P370" s="7"/>
      <c r="Q370" s="7"/>
      <c r="R370" s="8"/>
      <c r="S370" s="7"/>
      <c r="T370" s="9"/>
      <c r="U370" s="7"/>
      <c r="V370" s="8"/>
      <c r="W370" s="7"/>
      <c r="X370" s="7"/>
      <c r="Y370" s="8"/>
      <c r="Z370" s="7"/>
      <c r="AA370" s="8"/>
    </row>
    <row r="371" spans="4:27" ht="14.25" thickTop="1" thickBot="1">
      <c r="D371" s="69"/>
      <c r="E371" s="54" t="s">
        <v>219</v>
      </c>
      <c r="F371" s="7"/>
      <c r="G371" s="8"/>
      <c r="H371" s="7"/>
      <c r="I371" s="6"/>
      <c r="J371" s="7"/>
      <c r="K371" s="8"/>
      <c r="L371" s="7"/>
      <c r="M371" s="8"/>
      <c r="N371" s="7"/>
      <c r="O371" s="8"/>
      <c r="P371" s="7"/>
      <c r="Q371" s="7"/>
      <c r="R371" s="8"/>
      <c r="S371" s="7"/>
      <c r="T371" s="9"/>
      <c r="U371" s="7"/>
      <c r="V371" s="8"/>
      <c r="W371" s="7"/>
      <c r="X371" s="7"/>
      <c r="Y371" s="8"/>
      <c r="Z371" s="7"/>
      <c r="AA371" s="8"/>
    </row>
    <row r="372" spans="4:27" ht="14.25" thickTop="1" thickBot="1">
      <c r="D372" s="69"/>
      <c r="E372" s="54" t="s">
        <v>221</v>
      </c>
      <c r="F372" s="7"/>
      <c r="G372" s="8"/>
      <c r="H372" s="7"/>
      <c r="I372" s="6"/>
      <c r="J372" s="7"/>
      <c r="K372" s="8"/>
      <c r="L372" s="7"/>
      <c r="M372" s="8"/>
      <c r="N372" s="7"/>
      <c r="O372" s="8"/>
      <c r="P372" s="7"/>
      <c r="Q372" s="7"/>
      <c r="R372" s="8"/>
      <c r="S372" s="7"/>
      <c r="T372" s="9"/>
      <c r="U372" s="7"/>
      <c r="V372" s="8"/>
      <c r="W372" s="7"/>
      <c r="X372" s="7"/>
      <c r="Y372" s="8"/>
      <c r="Z372" s="7"/>
      <c r="AA372" s="8"/>
    </row>
    <row r="373" spans="4:27" ht="14.25" thickTop="1" thickBot="1">
      <c r="D373" s="69"/>
      <c r="E373" s="54" t="s">
        <v>1019</v>
      </c>
      <c r="F373" s="7"/>
      <c r="G373" s="8"/>
      <c r="H373" s="7"/>
      <c r="I373" s="6"/>
      <c r="J373" s="7"/>
      <c r="K373" s="8"/>
      <c r="L373" s="7"/>
      <c r="M373" s="8"/>
      <c r="N373" s="7"/>
      <c r="O373" s="8"/>
      <c r="P373" s="7"/>
      <c r="Q373" s="7"/>
      <c r="R373" s="8"/>
      <c r="S373" s="7"/>
      <c r="T373" s="9"/>
      <c r="U373" s="7"/>
      <c r="V373" s="8"/>
      <c r="W373" s="7"/>
      <c r="X373" s="7"/>
      <c r="Y373" s="8"/>
      <c r="Z373" s="7"/>
      <c r="AA373" s="8"/>
    </row>
    <row r="374" spans="4:27" ht="14.25" thickTop="1" thickBot="1">
      <c r="D374" s="69"/>
      <c r="E374" s="54" t="s">
        <v>1028</v>
      </c>
      <c r="F374" s="7"/>
      <c r="G374" s="8"/>
      <c r="H374" s="7"/>
      <c r="I374" s="6"/>
      <c r="J374" s="7"/>
      <c r="K374" s="8"/>
      <c r="L374" s="7"/>
      <c r="M374" s="8"/>
      <c r="N374" s="7"/>
      <c r="O374" s="8"/>
      <c r="P374" s="7"/>
      <c r="Q374" s="7"/>
      <c r="R374" s="8"/>
      <c r="S374" s="7"/>
      <c r="T374" s="9"/>
      <c r="U374" s="7"/>
      <c r="V374" s="8"/>
      <c r="W374" s="7"/>
      <c r="X374" s="7"/>
      <c r="Y374" s="8"/>
      <c r="Z374" s="7"/>
      <c r="AA374" s="8"/>
    </row>
    <row r="375" spans="4:27" ht="14.25" thickTop="1" thickBot="1">
      <c r="D375" s="69"/>
      <c r="E375" s="54" t="s">
        <v>303</v>
      </c>
      <c r="F375" s="7"/>
      <c r="G375" s="8"/>
      <c r="H375" s="7"/>
      <c r="I375" s="6"/>
      <c r="J375" s="7"/>
      <c r="K375" s="8"/>
      <c r="L375" s="7"/>
      <c r="M375" s="8"/>
      <c r="N375" s="7"/>
      <c r="O375" s="8"/>
      <c r="P375" s="7"/>
      <c r="Q375" s="7"/>
      <c r="R375" s="8"/>
      <c r="S375" s="7"/>
      <c r="T375" s="9"/>
      <c r="U375" s="7"/>
      <c r="V375" s="8"/>
      <c r="W375" s="7"/>
      <c r="X375" s="7"/>
      <c r="Y375" s="8"/>
      <c r="Z375" s="7"/>
      <c r="AA375" s="8"/>
    </row>
    <row r="376" spans="4:27" ht="14.25" thickTop="1" thickBot="1">
      <c r="D376" s="69"/>
      <c r="E376" s="54" t="s">
        <v>1021</v>
      </c>
      <c r="F376" s="7"/>
      <c r="G376" s="8"/>
      <c r="H376" s="7"/>
      <c r="I376" s="6"/>
      <c r="J376" s="7"/>
      <c r="K376" s="8"/>
      <c r="L376" s="7"/>
      <c r="M376" s="8"/>
      <c r="N376" s="7"/>
      <c r="O376" s="8"/>
      <c r="P376" s="7"/>
      <c r="Q376" s="7"/>
      <c r="R376" s="8"/>
      <c r="S376" s="7"/>
      <c r="T376" s="9"/>
      <c r="U376" s="7"/>
      <c r="V376" s="8"/>
      <c r="W376" s="7"/>
      <c r="X376" s="7"/>
      <c r="Y376" s="8"/>
      <c r="Z376" s="7"/>
      <c r="AA376" s="8"/>
    </row>
    <row r="377" spans="4:27" ht="14.25" thickTop="1" thickBot="1">
      <c r="D377" s="69"/>
      <c r="E377" s="54" t="s">
        <v>1315</v>
      </c>
      <c r="F377" s="7"/>
      <c r="G377" s="8"/>
      <c r="H377" s="7"/>
      <c r="I377" s="6"/>
      <c r="J377" s="7"/>
      <c r="K377" s="8"/>
      <c r="L377" s="7"/>
      <c r="M377" s="8"/>
      <c r="N377" s="7"/>
      <c r="O377" s="8"/>
      <c r="P377" s="7"/>
      <c r="Q377" s="7"/>
      <c r="R377" s="8"/>
      <c r="S377" s="7"/>
      <c r="T377" s="9"/>
      <c r="U377" s="7"/>
      <c r="V377" s="8"/>
      <c r="W377" s="7"/>
      <c r="X377" s="7"/>
      <c r="Y377" s="8"/>
      <c r="Z377" s="7"/>
      <c r="AA377" s="8"/>
    </row>
    <row r="378" spans="4:27" ht="14.25" thickTop="1" thickBot="1">
      <c r="D378" s="69"/>
      <c r="E378" s="54" t="s">
        <v>1142</v>
      </c>
      <c r="F378" s="7"/>
      <c r="G378" s="8"/>
      <c r="H378" s="7"/>
      <c r="I378" s="6"/>
      <c r="J378" s="7"/>
      <c r="K378" s="8"/>
      <c r="L378" s="7"/>
      <c r="M378" s="8"/>
      <c r="N378" s="7"/>
      <c r="O378" s="8"/>
      <c r="P378" s="7"/>
      <c r="Q378" s="7"/>
      <c r="R378" s="8"/>
      <c r="S378" s="7"/>
      <c r="T378" s="9"/>
      <c r="U378" s="7"/>
      <c r="V378" s="8"/>
      <c r="W378" s="7"/>
      <c r="X378" s="7"/>
      <c r="Y378" s="8"/>
      <c r="Z378" s="7"/>
      <c r="AA378" s="8"/>
    </row>
    <row r="379" spans="4:27" ht="14.25" thickTop="1" thickBot="1">
      <c r="D379" s="69"/>
      <c r="E379" s="54" t="s">
        <v>1143</v>
      </c>
      <c r="F379" s="7"/>
      <c r="G379" s="8"/>
      <c r="H379" s="7"/>
      <c r="I379" s="6"/>
      <c r="J379" s="7"/>
      <c r="K379" s="8"/>
      <c r="L379" s="7"/>
      <c r="M379" s="8"/>
      <c r="N379" s="7"/>
      <c r="O379" s="8"/>
      <c r="P379" s="7"/>
      <c r="Q379" s="7"/>
      <c r="R379" s="8"/>
      <c r="S379" s="7"/>
      <c r="T379" s="9"/>
      <c r="U379" s="7"/>
      <c r="V379" s="8"/>
      <c r="W379" s="7"/>
      <c r="X379" s="7"/>
      <c r="Y379" s="8"/>
      <c r="Z379" s="7"/>
      <c r="AA379" s="8"/>
    </row>
    <row r="380" spans="4:27" ht="14.25" thickTop="1" thickBot="1">
      <c r="D380" s="69"/>
      <c r="E380" s="54" t="s">
        <v>1144</v>
      </c>
      <c r="F380" s="7"/>
      <c r="G380" s="8"/>
      <c r="H380" s="7"/>
      <c r="I380" s="6"/>
      <c r="J380" s="7"/>
      <c r="K380" s="8"/>
      <c r="L380" s="7"/>
      <c r="M380" s="8"/>
      <c r="N380" s="7"/>
      <c r="O380" s="8"/>
      <c r="P380" s="7"/>
      <c r="Q380" s="7"/>
      <c r="R380" s="8"/>
      <c r="S380" s="7"/>
      <c r="T380" s="9"/>
      <c r="U380" s="7"/>
      <c r="V380" s="8"/>
      <c r="W380" s="7"/>
      <c r="X380" s="7"/>
      <c r="Y380" s="8"/>
      <c r="Z380" s="7"/>
      <c r="AA380" s="8"/>
    </row>
    <row r="381" spans="4:27" ht="14.25" thickTop="1" thickBot="1">
      <c r="D381" s="69"/>
      <c r="E381" s="54" t="s">
        <v>1145</v>
      </c>
      <c r="F381" s="7"/>
      <c r="G381" s="8"/>
      <c r="H381" s="7"/>
      <c r="I381" s="6"/>
      <c r="J381" s="7"/>
      <c r="K381" s="8"/>
      <c r="L381" s="7"/>
      <c r="M381" s="8"/>
      <c r="N381" s="7"/>
      <c r="O381" s="8"/>
      <c r="P381" s="7"/>
      <c r="Q381" s="7"/>
      <c r="R381" s="8"/>
      <c r="S381" s="7"/>
      <c r="T381" s="9"/>
      <c r="U381" s="7"/>
      <c r="V381" s="8"/>
      <c r="W381" s="7"/>
      <c r="X381" s="7"/>
      <c r="Y381" s="8"/>
      <c r="Z381" s="7"/>
      <c r="AA381" s="8"/>
    </row>
    <row r="382" spans="4:27" ht="14.25" thickTop="1" thickBot="1">
      <c r="D382" s="69"/>
      <c r="E382" s="54" t="s">
        <v>1146</v>
      </c>
      <c r="F382" s="7"/>
      <c r="G382" s="8"/>
      <c r="H382" s="7"/>
      <c r="I382" s="6"/>
      <c r="J382" s="7"/>
      <c r="K382" s="8"/>
      <c r="L382" s="7"/>
      <c r="M382" s="8"/>
      <c r="N382" s="7"/>
      <c r="O382" s="8"/>
      <c r="P382" s="7"/>
      <c r="Q382" s="7"/>
      <c r="R382" s="8"/>
      <c r="S382" s="7"/>
      <c r="T382" s="9"/>
      <c r="U382" s="7"/>
      <c r="V382" s="8"/>
      <c r="W382" s="7"/>
      <c r="X382" s="7"/>
      <c r="Y382" s="8"/>
      <c r="Z382" s="7"/>
      <c r="AA382" s="8"/>
    </row>
    <row r="383" spans="4:27" ht="14.25" thickTop="1" thickBot="1">
      <c r="D383" s="69"/>
      <c r="E383" s="54" t="s">
        <v>1147</v>
      </c>
      <c r="F383" s="7"/>
      <c r="G383" s="8"/>
      <c r="H383" s="7"/>
      <c r="I383" s="6"/>
      <c r="J383" s="7"/>
      <c r="K383" s="8"/>
      <c r="L383" s="7"/>
      <c r="M383" s="8"/>
      <c r="N383" s="7"/>
      <c r="O383" s="8"/>
      <c r="P383" s="7"/>
      <c r="Q383" s="7"/>
      <c r="R383" s="8"/>
      <c r="S383" s="7"/>
      <c r="T383" s="9"/>
      <c r="U383" s="7"/>
      <c r="V383" s="8"/>
      <c r="W383" s="7"/>
      <c r="X383" s="7"/>
      <c r="Y383" s="8"/>
      <c r="Z383" s="7"/>
      <c r="AA383" s="8"/>
    </row>
    <row r="384" spans="4:27" ht="14.25" thickTop="1" thickBot="1">
      <c r="D384" s="69"/>
      <c r="E384" s="54" t="s">
        <v>1037</v>
      </c>
      <c r="F384" s="7"/>
      <c r="G384" s="8"/>
      <c r="H384" s="7"/>
      <c r="I384" s="6"/>
      <c r="J384" s="7"/>
      <c r="K384" s="8"/>
      <c r="L384" s="7"/>
      <c r="M384" s="8"/>
      <c r="N384" s="7"/>
      <c r="O384" s="8"/>
      <c r="P384" s="7"/>
      <c r="Q384" s="7"/>
      <c r="R384" s="8"/>
      <c r="S384" s="7"/>
      <c r="T384" s="9"/>
      <c r="U384" s="7"/>
      <c r="V384" s="8"/>
      <c r="W384" s="7"/>
      <c r="X384" s="7"/>
      <c r="Y384" s="8"/>
      <c r="Z384" s="7"/>
      <c r="AA384" s="8"/>
    </row>
    <row r="385" spans="4:27" ht="14.25" thickTop="1" thickBot="1">
      <c r="D385" s="69"/>
      <c r="E385" s="54" t="s">
        <v>1034</v>
      </c>
      <c r="F385" s="7"/>
      <c r="G385" s="8"/>
      <c r="H385" s="7"/>
      <c r="I385" s="6"/>
      <c r="J385" s="7"/>
      <c r="K385" s="8"/>
      <c r="L385" s="7"/>
      <c r="M385" s="8"/>
      <c r="N385" s="7"/>
      <c r="O385" s="8"/>
      <c r="P385" s="7"/>
      <c r="Q385" s="7"/>
      <c r="R385" s="8"/>
      <c r="S385" s="7"/>
      <c r="T385" s="9"/>
      <c r="U385" s="7"/>
      <c r="V385" s="8"/>
      <c r="W385" s="7"/>
      <c r="X385" s="7"/>
      <c r="Y385" s="8"/>
      <c r="Z385" s="7"/>
      <c r="AA385" s="8"/>
    </row>
    <row r="386" spans="4:27" ht="14.25" thickTop="1" thickBot="1">
      <c r="D386" s="69"/>
      <c r="E386" s="54" t="s">
        <v>760</v>
      </c>
      <c r="F386" s="7"/>
      <c r="G386" s="8"/>
      <c r="H386" s="7"/>
      <c r="I386" s="6"/>
      <c r="J386" s="7"/>
      <c r="K386" s="8"/>
      <c r="L386" s="7"/>
      <c r="M386" s="8"/>
      <c r="N386" s="7"/>
      <c r="O386" s="8"/>
      <c r="P386" s="7"/>
      <c r="Q386" s="7"/>
      <c r="R386" s="8"/>
      <c r="S386" s="7"/>
      <c r="T386" s="9"/>
      <c r="U386" s="7"/>
      <c r="V386" s="8"/>
      <c r="W386" s="7"/>
      <c r="X386" s="7"/>
      <c r="Y386" s="8"/>
      <c r="Z386" s="7"/>
      <c r="AA386" s="8"/>
    </row>
    <row r="387" spans="4:27" ht="14.25" thickTop="1" thickBot="1">
      <c r="D387" s="69"/>
      <c r="E387" s="54" t="s">
        <v>1008</v>
      </c>
      <c r="F387" s="7"/>
      <c r="G387" s="8"/>
      <c r="H387" s="7"/>
      <c r="I387" s="6"/>
      <c r="J387" s="7"/>
      <c r="K387" s="8"/>
      <c r="L387" s="7"/>
      <c r="M387" s="8"/>
      <c r="N387" s="7"/>
      <c r="O387" s="8"/>
      <c r="P387" s="7"/>
      <c r="Q387" s="7"/>
      <c r="R387" s="8"/>
      <c r="S387" s="7"/>
      <c r="T387" s="9"/>
      <c r="U387" s="7"/>
      <c r="V387" s="8"/>
      <c r="W387" s="7"/>
      <c r="X387" s="7"/>
      <c r="Y387" s="8"/>
      <c r="Z387" s="7"/>
      <c r="AA387" s="8"/>
    </row>
    <row r="388" spans="4:27" ht="14.25" thickTop="1" thickBot="1">
      <c r="D388" s="69"/>
      <c r="E388" s="54" t="s">
        <v>1006</v>
      </c>
      <c r="F388" s="7"/>
      <c r="G388" s="8"/>
      <c r="H388" s="7"/>
      <c r="I388" s="6"/>
      <c r="J388" s="7"/>
      <c r="K388" s="8"/>
      <c r="L388" s="7"/>
      <c r="M388" s="8"/>
      <c r="N388" s="7"/>
      <c r="O388" s="8"/>
      <c r="P388" s="7"/>
      <c r="Q388" s="7"/>
      <c r="R388" s="8"/>
      <c r="S388" s="7"/>
      <c r="T388" s="9"/>
      <c r="U388" s="7"/>
      <c r="V388" s="8"/>
      <c r="W388" s="7"/>
      <c r="X388" s="7"/>
      <c r="Y388" s="8"/>
      <c r="Z388" s="7"/>
      <c r="AA388" s="8"/>
    </row>
    <row r="389" spans="4:27" ht="14.25" thickTop="1" thickBot="1">
      <c r="D389" s="69"/>
      <c r="E389" s="54" t="s">
        <v>1004</v>
      </c>
      <c r="F389" s="7"/>
      <c r="G389" s="8"/>
      <c r="H389" s="7"/>
      <c r="I389" s="6"/>
      <c r="J389" s="7"/>
      <c r="K389" s="8"/>
      <c r="L389" s="7"/>
      <c r="M389" s="8"/>
      <c r="N389" s="7"/>
      <c r="O389" s="8"/>
      <c r="P389" s="7"/>
      <c r="Q389" s="7"/>
      <c r="R389" s="8"/>
      <c r="S389" s="7"/>
      <c r="T389" s="9"/>
      <c r="U389" s="7"/>
      <c r="V389" s="8"/>
      <c r="W389" s="7"/>
      <c r="X389" s="7"/>
      <c r="Y389" s="8"/>
      <c r="Z389" s="7"/>
      <c r="AA389" s="8"/>
    </row>
    <row r="390" spans="4:27" ht="14.25" thickTop="1" thickBot="1">
      <c r="D390" s="69"/>
      <c r="E390" s="54" t="s">
        <v>1005</v>
      </c>
      <c r="F390" s="7"/>
      <c r="G390" s="8"/>
      <c r="H390" s="7"/>
      <c r="I390" s="6"/>
      <c r="J390" s="7"/>
      <c r="K390" s="8"/>
      <c r="L390" s="7"/>
      <c r="M390" s="8"/>
      <c r="N390" s="7"/>
      <c r="O390" s="8"/>
      <c r="P390" s="7"/>
      <c r="Q390" s="7"/>
      <c r="R390" s="8"/>
      <c r="S390" s="7"/>
      <c r="T390" s="9"/>
      <c r="U390" s="7"/>
      <c r="V390" s="8"/>
      <c r="W390" s="7"/>
      <c r="X390" s="7"/>
      <c r="Y390" s="8"/>
      <c r="Z390" s="7"/>
      <c r="AA390" s="8"/>
    </row>
    <row r="391" spans="4:27" ht="14.25" thickTop="1" thickBot="1">
      <c r="D391" s="69"/>
      <c r="E391" s="54" t="s">
        <v>1316</v>
      </c>
      <c r="F391" s="7"/>
      <c r="G391" s="8"/>
      <c r="H391" s="7"/>
      <c r="I391" s="6"/>
      <c r="J391" s="7"/>
      <c r="K391" s="8"/>
      <c r="L391" s="7"/>
      <c r="M391" s="8"/>
      <c r="N391" s="7"/>
      <c r="O391" s="8"/>
      <c r="P391" s="7"/>
      <c r="Q391" s="7"/>
      <c r="R391" s="8"/>
      <c r="S391" s="7"/>
      <c r="T391" s="9"/>
      <c r="U391" s="7"/>
      <c r="V391" s="8"/>
      <c r="W391" s="7"/>
      <c r="X391" s="7"/>
      <c r="Y391" s="8"/>
      <c r="Z391" s="7"/>
      <c r="AA391" s="8"/>
    </row>
    <row r="392" spans="4:27" ht="14.25" thickTop="1" thickBot="1">
      <c r="D392" s="69"/>
      <c r="E392" s="54" t="s">
        <v>1068</v>
      </c>
      <c r="F392" s="7"/>
      <c r="G392" s="8"/>
      <c r="H392" s="7"/>
      <c r="I392" s="6"/>
      <c r="J392" s="7"/>
      <c r="K392" s="8"/>
      <c r="L392" s="7"/>
      <c r="M392" s="8"/>
      <c r="N392" s="7"/>
      <c r="O392" s="8"/>
      <c r="P392" s="7"/>
      <c r="Q392" s="7"/>
      <c r="R392" s="8"/>
      <c r="S392" s="7"/>
      <c r="T392" s="9"/>
      <c r="U392" s="7"/>
      <c r="V392" s="8"/>
      <c r="W392" s="7"/>
      <c r="X392" s="7"/>
      <c r="Y392" s="8"/>
      <c r="Z392" s="7"/>
      <c r="AA392" s="8"/>
    </row>
    <row r="393" spans="4:27" ht="14.25" thickTop="1" thickBot="1">
      <c r="D393" s="69"/>
      <c r="E393" s="54" t="s">
        <v>1066</v>
      </c>
      <c r="F393" s="7"/>
      <c r="G393" s="8"/>
      <c r="H393" s="7"/>
      <c r="I393" s="6"/>
      <c r="J393" s="7"/>
      <c r="K393" s="8"/>
      <c r="L393" s="7"/>
      <c r="M393" s="8"/>
      <c r="N393" s="7"/>
      <c r="O393" s="8"/>
      <c r="P393" s="7"/>
      <c r="Q393" s="7"/>
      <c r="R393" s="8"/>
      <c r="S393" s="7"/>
      <c r="T393" s="9"/>
      <c r="U393" s="7"/>
      <c r="V393" s="8"/>
      <c r="W393" s="7"/>
      <c r="X393" s="7"/>
      <c r="Y393" s="8"/>
      <c r="Z393" s="7"/>
      <c r="AA393" s="8"/>
    </row>
    <row r="394" spans="4:27" ht="14.25" thickTop="1" thickBot="1">
      <c r="D394" s="69"/>
      <c r="E394" s="54" t="s">
        <v>1067</v>
      </c>
      <c r="F394" s="7"/>
      <c r="G394" s="8"/>
      <c r="H394" s="7"/>
      <c r="I394" s="6"/>
      <c r="J394" s="7"/>
      <c r="K394" s="8"/>
      <c r="L394" s="7"/>
      <c r="M394" s="8"/>
      <c r="N394" s="7"/>
      <c r="O394" s="8"/>
      <c r="P394" s="7"/>
      <c r="Q394" s="7"/>
      <c r="R394" s="8"/>
      <c r="S394" s="7"/>
      <c r="T394" s="9"/>
      <c r="U394" s="7"/>
      <c r="V394" s="8"/>
      <c r="W394" s="7"/>
      <c r="X394" s="7"/>
      <c r="Y394" s="8"/>
      <c r="Z394" s="7"/>
      <c r="AA394" s="8"/>
    </row>
    <row r="395" spans="4:27" ht="14.25" thickTop="1" thickBot="1">
      <c r="D395" s="69"/>
      <c r="E395" s="54" t="s">
        <v>169</v>
      </c>
      <c r="F395" s="7"/>
      <c r="G395" s="8"/>
      <c r="H395" s="7"/>
      <c r="I395" s="6"/>
      <c r="J395" s="7"/>
      <c r="K395" s="8"/>
      <c r="L395" s="7"/>
      <c r="M395" s="8"/>
      <c r="N395" s="7"/>
      <c r="O395" s="8"/>
      <c r="P395" s="7"/>
      <c r="Q395" s="7"/>
      <c r="R395" s="8"/>
      <c r="S395" s="7"/>
      <c r="T395" s="9"/>
      <c r="U395" s="7"/>
      <c r="V395" s="8"/>
      <c r="W395" s="7"/>
      <c r="X395" s="7"/>
      <c r="Y395" s="8"/>
      <c r="Z395" s="7"/>
      <c r="AA395" s="8"/>
    </row>
    <row r="396" spans="4:27" ht="14.25" thickTop="1" thickBot="1">
      <c r="D396" s="69"/>
      <c r="E396" s="54" t="s">
        <v>241</v>
      </c>
      <c r="F396" s="7"/>
      <c r="G396" s="8"/>
      <c r="H396" s="7"/>
      <c r="I396" s="6"/>
      <c r="J396" s="7"/>
      <c r="K396" s="8"/>
      <c r="L396" s="7"/>
      <c r="M396" s="8"/>
      <c r="N396" s="7"/>
      <c r="O396" s="8"/>
      <c r="P396" s="7"/>
      <c r="Q396" s="7"/>
      <c r="R396" s="8"/>
      <c r="S396" s="7"/>
      <c r="T396" s="9"/>
      <c r="U396" s="7"/>
      <c r="V396" s="8"/>
      <c r="W396" s="7"/>
      <c r="X396" s="7"/>
      <c r="Y396" s="8"/>
      <c r="Z396" s="7"/>
      <c r="AA396" s="8"/>
    </row>
    <row r="397" spans="4:27" ht="14.25" thickTop="1" thickBot="1">
      <c r="D397" s="69"/>
      <c r="E397" s="54" t="s">
        <v>170</v>
      </c>
      <c r="F397" s="7"/>
      <c r="G397" s="8"/>
      <c r="H397" s="7"/>
      <c r="I397" s="6"/>
      <c r="J397" s="7"/>
      <c r="K397" s="8"/>
      <c r="L397" s="7"/>
      <c r="M397" s="8"/>
      <c r="N397" s="7"/>
      <c r="O397" s="8"/>
      <c r="P397" s="7"/>
      <c r="Q397" s="7"/>
      <c r="R397" s="8"/>
      <c r="S397" s="7"/>
      <c r="T397" s="9"/>
      <c r="U397" s="7"/>
      <c r="V397" s="8"/>
      <c r="W397" s="7"/>
      <c r="X397" s="7"/>
      <c r="Y397" s="8"/>
      <c r="Z397" s="7"/>
      <c r="AA397" s="8"/>
    </row>
    <row r="398" spans="4:27" ht="14.25" thickTop="1" thickBot="1">
      <c r="D398" s="69"/>
      <c r="E398" s="54" t="s">
        <v>171</v>
      </c>
      <c r="F398" s="7"/>
      <c r="G398" s="8"/>
      <c r="H398" s="7"/>
      <c r="I398" s="6"/>
      <c r="J398" s="7"/>
      <c r="K398" s="8"/>
      <c r="L398" s="7"/>
      <c r="M398" s="8"/>
      <c r="N398" s="7"/>
      <c r="O398" s="8"/>
      <c r="P398" s="7"/>
      <c r="Q398" s="7"/>
      <c r="R398" s="8"/>
      <c r="S398" s="7"/>
      <c r="T398" s="9"/>
      <c r="U398" s="7"/>
      <c r="V398" s="8"/>
      <c r="W398" s="7"/>
      <c r="X398" s="7"/>
      <c r="Y398" s="8"/>
      <c r="Z398" s="7"/>
      <c r="AA398" s="8"/>
    </row>
    <row r="399" spans="4:27" ht="14.25" thickTop="1" thickBot="1">
      <c r="D399" s="69"/>
      <c r="E399" s="54" t="s">
        <v>172</v>
      </c>
      <c r="F399" s="7"/>
      <c r="G399" s="8"/>
      <c r="H399" s="7"/>
      <c r="I399" s="6"/>
      <c r="J399" s="7"/>
      <c r="K399" s="8"/>
      <c r="L399" s="7"/>
      <c r="M399" s="8"/>
      <c r="N399" s="7"/>
      <c r="O399" s="8"/>
      <c r="P399" s="7"/>
      <c r="Q399" s="7"/>
      <c r="R399" s="8"/>
      <c r="S399" s="7"/>
      <c r="T399" s="9"/>
      <c r="U399" s="7"/>
      <c r="V399" s="8"/>
      <c r="W399" s="7"/>
      <c r="X399" s="7"/>
      <c r="Y399" s="8"/>
      <c r="Z399" s="7"/>
      <c r="AA399" s="8"/>
    </row>
    <row r="400" spans="4:27" ht="14.25" thickTop="1" thickBot="1">
      <c r="D400" s="69"/>
      <c r="E400" s="54" t="s">
        <v>173</v>
      </c>
      <c r="F400" s="7"/>
      <c r="G400" s="8"/>
      <c r="H400" s="7"/>
      <c r="I400" s="6"/>
      <c r="J400" s="7"/>
      <c r="K400" s="8"/>
      <c r="L400" s="7"/>
      <c r="M400" s="8"/>
      <c r="N400" s="7"/>
      <c r="O400" s="8"/>
      <c r="P400" s="7"/>
      <c r="Q400" s="7"/>
      <c r="R400" s="8"/>
      <c r="S400" s="7"/>
      <c r="T400" s="9"/>
      <c r="U400" s="7"/>
      <c r="V400" s="8"/>
      <c r="W400" s="7"/>
      <c r="X400" s="7"/>
      <c r="Y400" s="8"/>
      <c r="Z400" s="7"/>
      <c r="AA400" s="8"/>
    </row>
    <row r="401" spans="4:27" ht="14.25" thickTop="1" thickBot="1">
      <c r="D401" s="69"/>
      <c r="E401" s="54" t="s">
        <v>174</v>
      </c>
      <c r="F401" s="7"/>
      <c r="G401" s="8"/>
      <c r="H401" s="7"/>
      <c r="I401" s="6"/>
      <c r="J401" s="7"/>
      <c r="K401" s="8"/>
      <c r="L401" s="7"/>
      <c r="M401" s="8"/>
      <c r="N401" s="7"/>
      <c r="O401" s="8"/>
      <c r="P401" s="7"/>
      <c r="Q401" s="7"/>
      <c r="R401" s="8"/>
      <c r="S401" s="7"/>
      <c r="T401" s="9"/>
      <c r="U401" s="7"/>
      <c r="V401" s="8"/>
      <c r="W401" s="7"/>
      <c r="X401" s="7"/>
      <c r="Y401" s="8"/>
      <c r="Z401" s="7"/>
      <c r="AA401" s="8"/>
    </row>
    <row r="402" spans="4:27" ht="14.25" thickTop="1" thickBot="1">
      <c r="D402" s="69"/>
      <c r="E402" s="54" t="s">
        <v>271</v>
      </c>
      <c r="F402" s="7"/>
      <c r="G402" s="8"/>
      <c r="H402" s="7"/>
      <c r="I402" s="6"/>
      <c r="J402" s="7"/>
      <c r="K402" s="8"/>
      <c r="L402" s="7"/>
      <c r="M402" s="8"/>
      <c r="N402" s="7"/>
      <c r="O402" s="8"/>
      <c r="P402" s="7"/>
      <c r="Q402" s="7"/>
      <c r="R402" s="8"/>
      <c r="S402" s="7"/>
      <c r="T402" s="9"/>
      <c r="U402" s="7"/>
      <c r="V402" s="8"/>
      <c r="W402" s="7"/>
      <c r="X402" s="7"/>
      <c r="Y402" s="8"/>
      <c r="Z402" s="7"/>
      <c r="AA402" s="8"/>
    </row>
    <row r="403" spans="4:27" ht="14.25" thickTop="1" thickBot="1">
      <c r="D403" s="69"/>
      <c r="E403" s="54" t="s">
        <v>272</v>
      </c>
      <c r="F403" s="7"/>
      <c r="G403" s="8"/>
      <c r="H403" s="7"/>
      <c r="I403" s="6"/>
      <c r="J403" s="7"/>
      <c r="K403" s="8"/>
      <c r="L403" s="7"/>
      <c r="M403" s="8"/>
      <c r="N403" s="7"/>
      <c r="O403" s="8"/>
      <c r="P403" s="7"/>
      <c r="Q403" s="7"/>
      <c r="R403" s="8"/>
      <c r="S403" s="7"/>
      <c r="T403" s="9"/>
      <c r="U403" s="7"/>
      <c r="V403" s="8"/>
      <c r="W403" s="7"/>
      <c r="X403" s="7"/>
      <c r="Y403" s="8"/>
      <c r="Z403" s="7"/>
      <c r="AA403" s="8"/>
    </row>
    <row r="404" spans="4:27" ht="14.25" thickTop="1" thickBot="1">
      <c r="D404" s="69"/>
      <c r="E404" s="54" t="s">
        <v>242</v>
      </c>
      <c r="F404" s="7"/>
      <c r="G404" s="8"/>
      <c r="H404" s="7"/>
      <c r="I404" s="6"/>
      <c r="J404" s="7"/>
      <c r="K404" s="8"/>
      <c r="L404" s="7"/>
      <c r="M404" s="8"/>
      <c r="N404" s="7"/>
      <c r="O404" s="8"/>
      <c r="P404" s="7"/>
      <c r="Q404" s="7"/>
      <c r="R404" s="8"/>
      <c r="S404" s="7"/>
      <c r="T404" s="9"/>
      <c r="U404" s="7"/>
      <c r="V404" s="8"/>
      <c r="W404" s="7"/>
      <c r="X404" s="7"/>
      <c r="Y404" s="8"/>
      <c r="Z404" s="7"/>
      <c r="AA404" s="8"/>
    </row>
    <row r="405" spans="4:27" ht="14.25" thickTop="1" thickBot="1">
      <c r="D405" s="69"/>
      <c r="E405" s="54" t="s">
        <v>175</v>
      </c>
      <c r="F405" s="7"/>
      <c r="G405" s="8"/>
      <c r="H405" s="7"/>
      <c r="I405" s="6"/>
      <c r="J405" s="7"/>
      <c r="K405" s="8"/>
      <c r="L405" s="7"/>
      <c r="M405" s="8"/>
      <c r="N405" s="7"/>
      <c r="O405" s="8"/>
      <c r="P405" s="7"/>
      <c r="Q405" s="7"/>
      <c r="R405" s="8"/>
      <c r="S405" s="7"/>
      <c r="T405" s="9"/>
      <c r="U405" s="7"/>
      <c r="V405" s="8"/>
      <c r="W405" s="7"/>
      <c r="X405" s="7"/>
      <c r="Y405" s="8"/>
      <c r="Z405" s="7"/>
      <c r="AA405" s="8"/>
    </row>
    <row r="406" spans="4:27" ht="14.25" thickTop="1" thickBot="1">
      <c r="D406" s="69"/>
      <c r="E406" s="54" t="s">
        <v>243</v>
      </c>
      <c r="F406" s="7"/>
      <c r="G406" s="8"/>
      <c r="H406" s="7"/>
      <c r="I406" s="6"/>
      <c r="J406" s="7"/>
      <c r="K406" s="8"/>
      <c r="L406" s="7"/>
      <c r="M406" s="8"/>
      <c r="N406" s="7"/>
      <c r="O406" s="8"/>
      <c r="P406" s="7"/>
      <c r="Q406" s="7"/>
      <c r="R406" s="8"/>
      <c r="S406" s="7"/>
      <c r="T406" s="9"/>
      <c r="U406" s="7"/>
      <c r="V406" s="8"/>
      <c r="W406" s="7"/>
      <c r="X406" s="7"/>
      <c r="Y406" s="8"/>
      <c r="Z406" s="7"/>
      <c r="AA406" s="8"/>
    </row>
    <row r="407" spans="4:27" ht="14.25" thickTop="1" thickBot="1">
      <c r="D407" s="69"/>
      <c r="E407" s="54" t="s">
        <v>176</v>
      </c>
      <c r="F407" s="7"/>
      <c r="G407" s="8"/>
      <c r="H407" s="7"/>
      <c r="I407" s="6"/>
      <c r="J407" s="7"/>
      <c r="K407" s="8"/>
      <c r="L407" s="7"/>
      <c r="M407" s="8"/>
      <c r="N407" s="7"/>
      <c r="O407" s="8"/>
      <c r="P407" s="7"/>
      <c r="Q407" s="7"/>
      <c r="R407" s="8"/>
      <c r="S407" s="7"/>
      <c r="T407" s="9"/>
      <c r="U407" s="7"/>
      <c r="V407" s="8"/>
      <c r="W407" s="7"/>
      <c r="X407" s="7"/>
      <c r="Y407" s="8"/>
      <c r="Z407" s="7"/>
      <c r="AA407" s="8"/>
    </row>
    <row r="408" spans="4:27" ht="14.25" thickTop="1" thickBot="1">
      <c r="D408" s="69"/>
      <c r="E408" s="54" t="s">
        <v>273</v>
      </c>
      <c r="F408" s="7"/>
      <c r="G408" s="8"/>
      <c r="H408" s="7"/>
      <c r="I408" s="6"/>
      <c r="J408" s="7"/>
      <c r="K408" s="8"/>
      <c r="L408" s="7"/>
      <c r="M408" s="8"/>
      <c r="N408" s="7"/>
      <c r="O408" s="8"/>
      <c r="P408" s="7"/>
      <c r="Q408" s="7"/>
      <c r="R408" s="8"/>
      <c r="S408" s="7"/>
      <c r="T408" s="9"/>
      <c r="U408" s="7"/>
      <c r="V408" s="8"/>
      <c r="W408" s="7"/>
      <c r="X408" s="7"/>
      <c r="Y408" s="8"/>
      <c r="Z408" s="7"/>
      <c r="AA408" s="8"/>
    </row>
    <row r="409" spans="4:27" ht="14.25" thickTop="1" thickBot="1">
      <c r="D409" s="69"/>
      <c r="E409" s="54" t="s">
        <v>177</v>
      </c>
      <c r="F409" s="7"/>
      <c r="G409" s="8"/>
      <c r="H409" s="7"/>
      <c r="I409" s="6"/>
      <c r="J409" s="7"/>
      <c r="K409" s="8"/>
      <c r="L409" s="7"/>
      <c r="M409" s="8"/>
      <c r="N409" s="7"/>
      <c r="O409" s="8"/>
      <c r="P409" s="7"/>
      <c r="Q409" s="7"/>
      <c r="R409" s="8"/>
      <c r="S409" s="7"/>
      <c r="T409" s="9"/>
      <c r="U409" s="7"/>
      <c r="V409" s="8"/>
      <c r="W409" s="7"/>
      <c r="X409" s="7"/>
      <c r="Y409" s="8"/>
      <c r="Z409" s="7"/>
      <c r="AA409" s="8"/>
    </row>
    <row r="410" spans="4:27" ht="14.25" thickTop="1" thickBot="1">
      <c r="D410" s="69"/>
      <c r="E410" s="54" t="s">
        <v>1158</v>
      </c>
      <c r="F410" s="7"/>
      <c r="G410" s="8"/>
      <c r="H410" s="7"/>
      <c r="I410" s="6"/>
      <c r="J410" s="7"/>
      <c r="K410" s="8"/>
      <c r="L410" s="7"/>
      <c r="M410" s="8"/>
      <c r="N410" s="7"/>
      <c r="O410" s="8"/>
      <c r="P410" s="7"/>
      <c r="Q410" s="7"/>
      <c r="R410" s="8"/>
      <c r="S410" s="7"/>
      <c r="T410" s="9"/>
      <c r="U410" s="7"/>
      <c r="V410" s="8"/>
      <c r="W410" s="7"/>
      <c r="X410" s="7"/>
      <c r="Y410" s="8"/>
      <c r="Z410" s="7"/>
      <c r="AA410" s="8"/>
    </row>
    <row r="411" spans="4:27" ht="14.25" thickTop="1" thickBot="1">
      <c r="D411" s="69"/>
      <c r="E411" s="54" t="s">
        <v>178</v>
      </c>
      <c r="F411" s="7"/>
      <c r="G411" s="8"/>
      <c r="H411" s="7"/>
      <c r="I411" s="6"/>
      <c r="J411" s="7"/>
      <c r="K411" s="8"/>
      <c r="L411" s="7"/>
      <c r="M411" s="8"/>
      <c r="N411" s="7"/>
      <c r="O411" s="8"/>
      <c r="P411" s="7"/>
      <c r="Q411" s="7"/>
      <c r="R411" s="8"/>
      <c r="S411" s="7"/>
      <c r="T411" s="9"/>
      <c r="U411" s="7"/>
      <c r="V411" s="8"/>
      <c r="W411" s="7"/>
      <c r="X411" s="7"/>
      <c r="Y411" s="8"/>
      <c r="Z411" s="7"/>
      <c r="AA411" s="8"/>
    </row>
    <row r="412" spans="4:27" ht="14.25" thickTop="1" thickBot="1">
      <c r="D412" s="69"/>
      <c r="E412" s="54" t="s">
        <v>275</v>
      </c>
      <c r="F412" s="7"/>
      <c r="G412" s="8"/>
      <c r="H412" s="7"/>
      <c r="I412" s="6"/>
      <c r="J412" s="7"/>
      <c r="K412" s="8"/>
      <c r="L412" s="7"/>
      <c r="M412" s="8"/>
      <c r="N412" s="7"/>
      <c r="O412" s="8"/>
      <c r="P412" s="7"/>
      <c r="Q412" s="7"/>
      <c r="R412" s="8"/>
      <c r="S412" s="7"/>
      <c r="T412" s="9"/>
      <c r="U412" s="7"/>
      <c r="V412" s="8"/>
      <c r="W412" s="7"/>
      <c r="X412" s="7"/>
      <c r="Y412" s="8"/>
      <c r="Z412" s="7"/>
      <c r="AA412" s="8"/>
    </row>
    <row r="413" spans="4:27" ht="14.25" thickTop="1" thickBot="1">
      <c r="D413" s="69"/>
      <c r="E413" s="54" t="s">
        <v>179</v>
      </c>
      <c r="F413" s="7"/>
      <c r="G413" s="8"/>
      <c r="H413" s="7"/>
      <c r="I413" s="6"/>
      <c r="J413" s="7"/>
      <c r="K413" s="8"/>
      <c r="L413" s="7"/>
      <c r="M413" s="8"/>
      <c r="N413" s="7"/>
      <c r="O413" s="8"/>
      <c r="P413" s="7"/>
      <c r="Q413" s="7"/>
      <c r="R413" s="8"/>
      <c r="S413" s="7"/>
      <c r="T413" s="9"/>
      <c r="U413" s="7"/>
      <c r="V413" s="8"/>
      <c r="W413" s="7"/>
      <c r="X413" s="7"/>
      <c r="Y413" s="8"/>
      <c r="Z413" s="7"/>
      <c r="AA413" s="8"/>
    </row>
    <row r="414" spans="4:27" ht="14.25" thickTop="1" thickBot="1">
      <c r="D414" s="69"/>
      <c r="E414" s="54" t="s">
        <v>180</v>
      </c>
      <c r="F414" s="7"/>
      <c r="G414" s="8"/>
      <c r="H414" s="7"/>
      <c r="I414" s="6"/>
      <c r="J414" s="7"/>
      <c r="K414" s="8"/>
      <c r="L414" s="7"/>
      <c r="M414" s="8"/>
      <c r="N414" s="7"/>
      <c r="O414" s="8"/>
      <c r="P414" s="7"/>
      <c r="Q414" s="7"/>
      <c r="R414" s="8"/>
      <c r="S414" s="7"/>
      <c r="T414" s="9"/>
      <c r="U414" s="7"/>
      <c r="V414" s="8"/>
      <c r="W414" s="7"/>
      <c r="X414" s="7"/>
      <c r="Y414" s="8"/>
      <c r="Z414" s="7"/>
      <c r="AA414" s="8"/>
    </row>
    <row r="415" spans="4:27" ht="14.25" thickTop="1" thickBot="1">
      <c r="D415" s="69"/>
      <c r="E415" s="54" t="s">
        <v>1061</v>
      </c>
      <c r="F415" s="7"/>
      <c r="G415" s="8"/>
      <c r="H415" s="7"/>
      <c r="I415" s="6"/>
      <c r="J415" s="7"/>
      <c r="K415" s="8"/>
      <c r="L415" s="7"/>
      <c r="M415" s="8"/>
      <c r="N415" s="7"/>
      <c r="O415" s="8"/>
      <c r="P415" s="7"/>
      <c r="Q415" s="7"/>
      <c r="R415" s="8"/>
      <c r="S415" s="7"/>
      <c r="T415" s="9"/>
      <c r="U415" s="7"/>
      <c r="V415" s="8"/>
      <c r="W415" s="7"/>
      <c r="X415" s="7"/>
      <c r="Y415" s="8"/>
      <c r="Z415" s="7"/>
      <c r="AA415" s="8"/>
    </row>
    <row r="416" spans="4:27" ht="14.25" thickTop="1" thickBot="1">
      <c r="D416" s="69"/>
      <c r="E416" s="54" t="s">
        <v>994</v>
      </c>
      <c r="F416" s="7"/>
      <c r="G416" s="8"/>
      <c r="H416" s="7"/>
      <c r="I416" s="6"/>
      <c r="J416" s="7"/>
      <c r="K416" s="8"/>
      <c r="L416" s="7"/>
      <c r="M416" s="8"/>
      <c r="N416" s="7"/>
      <c r="O416" s="8"/>
      <c r="P416" s="7"/>
      <c r="Q416" s="7"/>
      <c r="R416" s="8"/>
      <c r="S416" s="7"/>
      <c r="T416" s="9"/>
      <c r="U416" s="7"/>
      <c r="V416" s="8"/>
      <c r="W416" s="7"/>
      <c r="X416" s="7"/>
      <c r="Y416" s="8"/>
      <c r="Z416" s="7"/>
      <c r="AA416" s="8"/>
    </row>
    <row r="417" spans="4:27" ht="14.25" thickTop="1" thickBot="1">
      <c r="D417" s="69"/>
      <c r="E417" s="54" t="s">
        <v>995</v>
      </c>
      <c r="F417" s="7"/>
      <c r="G417" s="8"/>
      <c r="H417" s="7"/>
      <c r="I417" s="6"/>
      <c r="J417" s="7"/>
      <c r="K417" s="8"/>
      <c r="L417" s="7"/>
      <c r="M417" s="8"/>
      <c r="N417" s="7"/>
      <c r="O417" s="8"/>
      <c r="P417" s="7"/>
      <c r="Q417" s="7"/>
      <c r="R417" s="8"/>
      <c r="S417" s="7"/>
      <c r="T417" s="9"/>
      <c r="U417" s="7"/>
      <c r="V417" s="8"/>
      <c r="W417" s="7"/>
      <c r="X417" s="7"/>
      <c r="Y417" s="8"/>
      <c r="Z417" s="7"/>
      <c r="AA417" s="8"/>
    </row>
    <row r="418" spans="4:27" ht="14.25" thickTop="1" thickBot="1">
      <c r="D418" s="69"/>
      <c r="E418" s="54" t="s">
        <v>728</v>
      </c>
      <c r="F418" s="7"/>
      <c r="G418" s="8"/>
      <c r="H418" s="7"/>
      <c r="I418" s="6"/>
      <c r="J418" s="7"/>
      <c r="K418" s="8"/>
      <c r="L418" s="7"/>
      <c r="M418" s="8"/>
      <c r="N418" s="7"/>
      <c r="O418" s="8"/>
      <c r="P418" s="7"/>
      <c r="Q418" s="7"/>
      <c r="R418" s="8"/>
      <c r="S418" s="7"/>
      <c r="T418" s="9"/>
      <c r="U418" s="7"/>
      <c r="V418" s="8"/>
      <c r="W418" s="7"/>
      <c r="X418" s="7"/>
      <c r="Y418" s="8"/>
      <c r="Z418" s="7"/>
      <c r="AA418" s="8"/>
    </row>
    <row r="419" spans="4:27" ht="14.25" thickTop="1" thickBot="1">
      <c r="D419" s="69"/>
      <c r="E419" s="54" t="s">
        <v>764</v>
      </c>
      <c r="F419" s="7"/>
      <c r="G419" s="8"/>
      <c r="H419" s="7"/>
      <c r="I419" s="6"/>
      <c r="J419" s="7"/>
      <c r="K419" s="8"/>
      <c r="L419" s="7"/>
      <c r="M419" s="8"/>
      <c r="N419" s="7"/>
      <c r="O419" s="8"/>
      <c r="P419" s="7"/>
      <c r="Q419" s="7"/>
      <c r="R419" s="8"/>
      <c r="S419" s="7"/>
      <c r="T419" s="9"/>
      <c r="U419" s="7"/>
      <c r="V419" s="8"/>
      <c r="W419" s="7"/>
      <c r="X419" s="7"/>
      <c r="Y419" s="8"/>
      <c r="Z419" s="7"/>
      <c r="AA419" s="8"/>
    </row>
    <row r="420" spans="4:27" ht="14.25" thickTop="1" thickBot="1">
      <c r="D420" s="69"/>
      <c r="E420" s="54" t="s">
        <v>718</v>
      </c>
      <c r="F420" s="7"/>
      <c r="G420" s="8"/>
      <c r="H420" s="7"/>
      <c r="I420" s="6"/>
      <c r="J420" s="7"/>
      <c r="K420" s="8"/>
      <c r="L420" s="7"/>
      <c r="M420" s="8"/>
      <c r="N420" s="7"/>
      <c r="O420" s="8"/>
      <c r="P420" s="7"/>
      <c r="Q420" s="7"/>
      <c r="R420" s="8"/>
      <c r="S420" s="7"/>
      <c r="T420" s="9"/>
      <c r="U420" s="7"/>
      <c r="V420" s="8"/>
      <c r="W420" s="7"/>
      <c r="X420" s="7"/>
      <c r="Y420" s="8"/>
      <c r="Z420" s="7"/>
      <c r="AA420" s="8"/>
    </row>
    <row r="421" spans="4:27" ht="14.25" thickTop="1" thickBot="1">
      <c r="D421" s="69"/>
      <c r="E421" s="54" t="s">
        <v>979</v>
      </c>
      <c r="F421" s="7"/>
      <c r="G421" s="8"/>
      <c r="H421" s="7"/>
      <c r="I421" s="6"/>
      <c r="J421" s="7"/>
      <c r="K421" s="8"/>
      <c r="L421" s="7"/>
      <c r="M421" s="8"/>
      <c r="N421" s="7"/>
      <c r="O421" s="8"/>
      <c r="P421" s="7"/>
      <c r="Q421" s="7"/>
      <c r="R421" s="8"/>
      <c r="S421" s="7"/>
      <c r="T421" s="9"/>
      <c r="U421" s="7"/>
      <c r="V421" s="8"/>
      <c r="W421" s="7"/>
      <c r="X421" s="7"/>
      <c r="Y421" s="8"/>
      <c r="Z421" s="7"/>
      <c r="AA421" s="8"/>
    </row>
    <row r="422" spans="4:27" ht="14.25" thickTop="1" thickBot="1">
      <c r="D422" s="69"/>
      <c r="E422" s="54" t="s">
        <v>1317</v>
      </c>
      <c r="F422" s="7"/>
      <c r="G422" s="8"/>
      <c r="H422" s="7"/>
      <c r="I422" s="6"/>
      <c r="J422" s="7"/>
      <c r="K422" s="8"/>
      <c r="L422" s="7"/>
      <c r="M422" s="8"/>
      <c r="N422" s="7"/>
      <c r="O422" s="8"/>
      <c r="P422" s="7"/>
      <c r="Q422" s="7"/>
      <c r="R422" s="8"/>
      <c r="S422" s="7"/>
      <c r="T422" s="9"/>
      <c r="U422" s="7"/>
      <c r="V422" s="8"/>
      <c r="W422" s="7"/>
      <c r="X422" s="7"/>
      <c r="Y422" s="8"/>
      <c r="Z422" s="7"/>
      <c r="AA422" s="8"/>
    </row>
    <row r="423" spans="4:27" ht="14.25" thickTop="1" thickBot="1">
      <c r="D423" s="69"/>
      <c r="E423" s="54" t="s">
        <v>1114</v>
      </c>
      <c r="F423" s="7"/>
      <c r="G423" s="8"/>
      <c r="H423" s="7"/>
      <c r="I423" s="6"/>
      <c r="J423" s="7"/>
      <c r="K423" s="8"/>
      <c r="L423" s="7"/>
      <c r="M423" s="8"/>
      <c r="N423" s="7"/>
      <c r="O423" s="8"/>
      <c r="P423" s="7"/>
      <c r="Q423" s="7"/>
      <c r="R423" s="8"/>
      <c r="S423" s="7"/>
      <c r="T423" s="9"/>
      <c r="U423" s="7"/>
      <c r="V423" s="8"/>
      <c r="W423" s="7"/>
      <c r="X423" s="7"/>
      <c r="Y423" s="8"/>
      <c r="Z423" s="7"/>
      <c r="AA423" s="8"/>
    </row>
    <row r="424" spans="4:27" ht="14.25" thickTop="1" thickBot="1">
      <c r="D424" s="69"/>
      <c r="E424" s="54" t="s">
        <v>182</v>
      </c>
      <c r="F424" s="7"/>
      <c r="G424" s="8"/>
      <c r="H424" s="7"/>
      <c r="I424" s="6"/>
      <c r="J424" s="7"/>
      <c r="K424" s="8"/>
      <c r="L424" s="7"/>
      <c r="M424" s="8"/>
      <c r="N424" s="7"/>
      <c r="O424" s="8"/>
      <c r="P424" s="7"/>
      <c r="Q424" s="7"/>
      <c r="R424" s="8"/>
      <c r="S424" s="7"/>
      <c r="T424" s="9"/>
      <c r="U424" s="7"/>
      <c r="V424" s="8"/>
      <c r="W424" s="7"/>
      <c r="X424" s="7"/>
      <c r="Y424" s="8"/>
      <c r="Z424" s="7"/>
      <c r="AA424" s="8"/>
    </row>
    <row r="425" spans="4:27" ht="14.25" thickTop="1" thickBot="1">
      <c r="D425" s="69"/>
      <c r="E425" s="54" t="s">
        <v>1139</v>
      </c>
      <c r="F425" s="7"/>
      <c r="G425" s="8"/>
      <c r="H425" s="7"/>
      <c r="I425" s="6"/>
      <c r="J425" s="7"/>
      <c r="K425" s="8"/>
      <c r="L425" s="7"/>
      <c r="M425" s="8"/>
      <c r="N425" s="7"/>
      <c r="O425" s="8"/>
      <c r="P425" s="7"/>
      <c r="Q425" s="7"/>
      <c r="R425" s="8"/>
      <c r="S425" s="7"/>
      <c r="T425" s="9"/>
      <c r="U425" s="7"/>
      <c r="V425" s="8"/>
      <c r="W425" s="7"/>
      <c r="X425" s="7"/>
      <c r="Y425" s="8"/>
      <c r="Z425" s="7"/>
      <c r="AA425" s="8"/>
    </row>
    <row r="426" spans="4:27" ht="14.25" thickTop="1" thickBot="1">
      <c r="D426" s="69"/>
      <c r="E426" s="54" t="s">
        <v>785</v>
      </c>
      <c r="F426" s="7"/>
      <c r="G426" s="8"/>
      <c r="H426" s="7"/>
      <c r="I426" s="6"/>
      <c r="J426" s="7"/>
      <c r="K426" s="8"/>
      <c r="L426" s="7"/>
      <c r="M426" s="8"/>
      <c r="N426" s="7"/>
      <c r="O426" s="8"/>
      <c r="P426" s="7"/>
      <c r="Q426" s="7"/>
      <c r="R426" s="8"/>
      <c r="S426" s="7"/>
      <c r="T426" s="9"/>
      <c r="U426" s="7"/>
      <c r="V426" s="8"/>
      <c r="W426" s="7"/>
      <c r="X426" s="7"/>
      <c r="Y426" s="8"/>
      <c r="Z426" s="7"/>
      <c r="AA426" s="8"/>
    </row>
    <row r="427" spans="4:27" ht="14.25" thickTop="1" thickBot="1">
      <c r="D427" s="69"/>
      <c r="E427" s="54" t="s">
        <v>223</v>
      </c>
      <c r="F427" s="7"/>
      <c r="G427" s="8"/>
      <c r="H427" s="7"/>
      <c r="I427" s="6"/>
      <c r="J427" s="7"/>
      <c r="K427" s="8"/>
      <c r="L427" s="7"/>
      <c r="M427" s="8"/>
      <c r="N427" s="7"/>
      <c r="O427" s="8"/>
      <c r="P427" s="7"/>
      <c r="Q427" s="7"/>
      <c r="R427" s="8"/>
      <c r="S427" s="7"/>
      <c r="T427" s="9"/>
      <c r="U427" s="7"/>
      <c r="V427" s="8"/>
      <c r="W427" s="7"/>
      <c r="X427" s="7"/>
      <c r="Y427" s="8"/>
      <c r="Z427" s="7"/>
      <c r="AA427" s="8"/>
    </row>
    <row r="428" spans="4:27" ht="14.25" thickTop="1" thickBot="1">
      <c r="D428" s="69"/>
      <c r="E428" s="54" t="s">
        <v>224</v>
      </c>
      <c r="F428" s="7"/>
      <c r="G428" s="8"/>
      <c r="H428" s="7"/>
      <c r="I428" s="6"/>
      <c r="J428" s="7"/>
      <c r="K428" s="8"/>
      <c r="L428" s="7"/>
      <c r="M428" s="8"/>
      <c r="N428" s="7"/>
      <c r="O428" s="8"/>
      <c r="P428" s="7"/>
      <c r="Q428" s="7"/>
      <c r="R428" s="8"/>
      <c r="S428" s="7"/>
      <c r="T428" s="9"/>
      <c r="U428" s="7"/>
      <c r="V428" s="8"/>
      <c r="W428" s="7"/>
      <c r="X428" s="7"/>
      <c r="Y428" s="8"/>
      <c r="Z428" s="7"/>
      <c r="AA428" s="8"/>
    </row>
    <row r="429" spans="4:27" ht="14.25" thickTop="1" thickBot="1">
      <c r="D429" s="69"/>
      <c r="E429" s="54" t="s">
        <v>1152</v>
      </c>
      <c r="F429" s="7"/>
      <c r="G429" s="8"/>
      <c r="H429" s="7"/>
      <c r="I429" s="6"/>
      <c r="J429" s="7"/>
      <c r="K429" s="8"/>
      <c r="L429" s="7"/>
      <c r="M429" s="8"/>
      <c r="N429" s="7"/>
      <c r="O429" s="8"/>
      <c r="P429" s="7"/>
      <c r="Q429" s="7"/>
      <c r="R429" s="8"/>
      <c r="S429" s="7"/>
      <c r="T429" s="9"/>
      <c r="U429" s="7"/>
      <c r="V429" s="8"/>
      <c r="W429" s="7"/>
      <c r="X429" s="7"/>
      <c r="Y429" s="8"/>
      <c r="Z429" s="7"/>
      <c r="AA429" s="8"/>
    </row>
    <row r="430" spans="4:27" ht="14.25" thickTop="1" thickBot="1">
      <c r="D430" s="69"/>
      <c r="E430" s="54" t="s">
        <v>1085</v>
      </c>
      <c r="F430" s="7"/>
      <c r="G430" s="8"/>
      <c r="H430" s="7"/>
      <c r="I430" s="6"/>
      <c r="J430" s="7"/>
      <c r="K430" s="8"/>
      <c r="L430" s="7"/>
      <c r="M430" s="8"/>
      <c r="N430" s="7"/>
      <c r="O430" s="8"/>
      <c r="P430" s="7"/>
      <c r="Q430" s="7"/>
      <c r="R430" s="8"/>
      <c r="S430" s="7"/>
      <c r="T430" s="9"/>
      <c r="U430" s="7"/>
      <c r="V430" s="8"/>
      <c r="W430" s="7"/>
      <c r="X430" s="7"/>
      <c r="Y430" s="8"/>
      <c r="Z430" s="7"/>
      <c r="AA430" s="8"/>
    </row>
    <row r="431" spans="4:27" ht="14.25" thickTop="1" thickBot="1">
      <c r="D431" s="69"/>
      <c r="E431" s="54" t="s">
        <v>1138</v>
      </c>
      <c r="F431" s="7"/>
      <c r="G431" s="8"/>
      <c r="H431" s="7"/>
      <c r="I431" s="6"/>
      <c r="J431" s="7"/>
      <c r="K431" s="8"/>
      <c r="L431" s="7"/>
      <c r="M431" s="8"/>
      <c r="N431" s="7"/>
      <c r="O431" s="8"/>
      <c r="P431" s="7"/>
      <c r="Q431" s="7"/>
      <c r="R431" s="8"/>
      <c r="S431" s="7"/>
      <c r="T431" s="9"/>
      <c r="U431" s="7"/>
      <c r="V431" s="8"/>
      <c r="W431" s="7"/>
      <c r="X431" s="7"/>
      <c r="Y431" s="8"/>
      <c r="Z431" s="7"/>
      <c r="AA431" s="8"/>
    </row>
    <row r="432" spans="4:27" ht="14.25" thickTop="1" thickBot="1">
      <c r="D432" s="69"/>
      <c r="E432" s="54" t="s">
        <v>244</v>
      </c>
      <c r="F432" s="7"/>
      <c r="G432" s="8"/>
      <c r="H432" s="7"/>
      <c r="I432" s="6"/>
      <c r="J432" s="7"/>
      <c r="K432" s="8"/>
      <c r="L432" s="7"/>
      <c r="M432" s="8"/>
      <c r="N432" s="7"/>
      <c r="O432" s="8"/>
      <c r="P432" s="7"/>
      <c r="Q432" s="7"/>
      <c r="R432" s="8"/>
      <c r="S432" s="7"/>
      <c r="T432" s="9"/>
      <c r="U432" s="7"/>
      <c r="V432" s="8"/>
      <c r="W432" s="7"/>
      <c r="X432" s="7"/>
      <c r="Y432" s="8"/>
      <c r="Z432" s="7"/>
      <c r="AA432" s="8"/>
    </row>
    <row r="433" spans="4:27" ht="14.25" thickTop="1" thickBot="1">
      <c r="D433" s="69"/>
      <c r="E433" s="54" t="s">
        <v>227</v>
      </c>
      <c r="F433" s="7"/>
      <c r="G433" s="8"/>
      <c r="H433" s="7"/>
      <c r="I433" s="6"/>
      <c r="J433" s="7"/>
      <c r="K433" s="8"/>
      <c r="L433" s="7"/>
      <c r="M433" s="8"/>
      <c r="N433" s="7"/>
      <c r="O433" s="8"/>
      <c r="P433" s="7"/>
      <c r="Q433" s="7"/>
      <c r="R433" s="8"/>
      <c r="S433" s="7"/>
      <c r="T433" s="9"/>
      <c r="U433" s="7"/>
      <c r="V433" s="8"/>
      <c r="W433" s="7"/>
      <c r="X433" s="7"/>
      <c r="Y433" s="8"/>
      <c r="Z433" s="7"/>
      <c r="AA433" s="8"/>
    </row>
    <row r="434" spans="4:27" ht="14.25" thickTop="1" thickBot="1">
      <c r="D434" s="69"/>
      <c r="E434" s="54" t="s">
        <v>228</v>
      </c>
      <c r="F434" s="7"/>
      <c r="G434" s="8"/>
      <c r="H434" s="7"/>
      <c r="I434" s="6"/>
      <c r="J434" s="7"/>
      <c r="K434" s="8"/>
      <c r="L434" s="7"/>
      <c r="M434" s="8"/>
      <c r="N434" s="7"/>
      <c r="O434" s="8"/>
      <c r="P434" s="7"/>
      <c r="Q434" s="7"/>
      <c r="R434" s="8"/>
      <c r="S434" s="7"/>
      <c r="T434" s="9"/>
      <c r="U434" s="7"/>
      <c r="V434" s="8"/>
      <c r="W434" s="7"/>
      <c r="X434" s="7"/>
      <c r="Y434" s="8"/>
      <c r="Z434" s="7"/>
      <c r="AA434" s="8"/>
    </row>
    <row r="435" spans="4:27" ht="14.25" thickTop="1" thickBot="1">
      <c r="D435" s="69"/>
      <c r="E435" s="54" t="s">
        <v>276</v>
      </c>
      <c r="F435" s="7"/>
      <c r="G435" s="8"/>
      <c r="H435" s="7"/>
      <c r="I435" s="6"/>
      <c r="J435" s="7"/>
      <c r="K435" s="8"/>
      <c r="L435" s="7"/>
      <c r="M435" s="8"/>
      <c r="N435" s="7"/>
      <c r="O435" s="8"/>
      <c r="P435" s="7"/>
      <c r="Q435" s="7"/>
      <c r="R435" s="8"/>
      <c r="S435" s="7"/>
      <c r="T435" s="9"/>
      <c r="U435" s="7"/>
      <c r="V435" s="8"/>
      <c r="W435" s="7"/>
      <c r="X435" s="7"/>
      <c r="Y435" s="8"/>
      <c r="Z435" s="7"/>
      <c r="AA435" s="8"/>
    </row>
    <row r="436" spans="4:27" ht="14.25" thickTop="1" thickBot="1">
      <c r="D436" s="69"/>
      <c r="E436" s="54" t="s">
        <v>183</v>
      </c>
      <c r="F436" s="7"/>
      <c r="G436" s="8"/>
      <c r="H436" s="7"/>
      <c r="I436" s="6"/>
      <c r="J436" s="7"/>
      <c r="K436" s="8"/>
      <c r="L436" s="7"/>
      <c r="M436" s="8"/>
      <c r="N436" s="7"/>
      <c r="O436" s="8"/>
      <c r="P436" s="7"/>
      <c r="Q436" s="7"/>
      <c r="R436" s="8"/>
      <c r="S436" s="7"/>
      <c r="T436" s="9"/>
      <c r="U436" s="7"/>
      <c r="V436" s="8"/>
      <c r="W436" s="7"/>
      <c r="X436" s="7"/>
      <c r="Y436" s="8"/>
      <c r="Z436" s="7"/>
      <c r="AA436" s="8"/>
    </row>
    <row r="437" spans="4:27" ht="14.25" thickTop="1" thickBot="1">
      <c r="D437" s="69"/>
      <c r="E437" s="54" t="s">
        <v>184</v>
      </c>
      <c r="F437" s="7"/>
      <c r="G437" s="8"/>
      <c r="H437" s="7"/>
      <c r="I437" s="6"/>
      <c r="J437" s="7"/>
      <c r="K437" s="8"/>
      <c r="L437" s="7"/>
      <c r="M437" s="8"/>
      <c r="N437" s="7"/>
      <c r="O437" s="8"/>
      <c r="P437" s="7"/>
      <c r="Q437" s="7"/>
      <c r="R437" s="8"/>
      <c r="S437" s="7"/>
      <c r="T437" s="9"/>
      <c r="U437" s="7"/>
      <c r="V437" s="8"/>
      <c r="W437" s="7"/>
      <c r="X437" s="7"/>
      <c r="Y437" s="8"/>
      <c r="Z437" s="7"/>
      <c r="AA437" s="8"/>
    </row>
    <row r="438" spans="4:27" ht="14.25" thickTop="1" thickBot="1">
      <c r="D438" s="69"/>
      <c r="E438" s="54" t="s">
        <v>185</v>
      </c>
      <c r="F438" s="7"/>
      <c r="G438" s="8"/>
      <c r="H438" s="7"/>
      <c r="I438" s="6"/>
      <c r="J438" s="7"/>
      <c r="K438" s="8"/>
      <c r="L438" s="7"/>
      <c r="M438" s="8"/>
      <c r="N438" s="7"/>
      <c r="O438" s="8"/>
      <c r="P438" s="7"/>
      <c r="Q438" s="7"/>
      <c r="R438" s="8"/>
      <c r="S438" s="7"/>
      <c r="T438" s="9"/>
      <c r="U438" s="7"/>
      <c r="V438" s="8"/>
      <c r="W438" s="7"/>
      <c r="X438" s="7"/>
      <c r="Y438" s="8"/>
      <c r="Z438" s="7"/>
      <c r="AA438" s="8"/>
    </row>
    <row r="439" spans="4:27" ht="14.25" thickTop="1" thickBot="1">
      <c r="D439" s="69"/>
      <c r="E439" s="54" t="s">
        <v>277</v>
      </c>
      <c r="F439" s="7"/>
      <c r="G439" s="8"/>
      <c r="H439" s="7"/>
      <c r="I439" s="6"/>
      <c r="J439" s="7"/>
      <c r="K439" s="8"/>
      <c r="L439" s="7"/>
      <c r="M439" s="8"/>
      <c r="N439" s="7"/>
      <c r="O439" s="8"/>
      <c r="P439" s="7"/>
      <c r="Q439" s="7"/>
      <c r="R439" s="8"/>
      <c r="S439" s="7"/>
      <c r="T439" s="9"/>
      <c r="U439" s="7"/>
      <c r="V439" s="8"/>
      <c r="W439" s="7"/>
      <c r="X439" s="7"/>
      <c r="Y439" s="8"/>
      <c r="Z439" s="7"/>
      <c r="AA439" s="8"/>
    </row>
    <row r="440" spans="4:27" ht="14.25" thickTop="1" thickBot="1">
      <c r="D440" s="69"/>
      <c r="E440" s="54" t="s">
        <v>245</v>
      </c>
      <c r="F440" s="7"/>
      <c r="G440" s="8"/>
      <c r="H440" s="7"/>
      <c r="I440" s="6"/>
      <c r="J440" s="7"/>
      <c r="K440" s="8"/>
      <c r="L440" s="7"/>
      <c r="M440" s="8"/>
      <c r="N440" s="7"/>
      <c r="O440" s="8"/>
      <c r="P440" s="7"/>
      <c r="Q440" s="7"/>
      <c r="R440" s="8"/>
      <c r="S440" s="7"/>
      <c r="T440" s="9"/>
      <c r="U440" s="7"/>
      <c r="V440" s="8"/>
      <c r="W440" s="7"/>
      <c r="X440" s="7"/>
      <c r="Y440" s="8"/>
      <c r="Z440" s="7"/>
      <c r="AA440" s="8"/>
    </row>
    <row r="441" spans="4:27" ht="14.25" thickTop="1" thickBot="1">
      <c r="D441" s="69"/>
      <c r="E441" s="54" t="s">
        <v>186</v>
      </c>
      <c r="F441" s="7"/>
      <c r="G441" s="8"/>
      <c r="H441" s="7"/>
      <c r="I441" s="6"/>
      <c r="J441" s="7"/>
      <c r="K441" s="8"/>
      <c r="L441" s="7"/>
      <c r="M441" s="8"/>
      <c r="N441" s="7"/>
      <c r="O441" s="8"/>
      <c r="P441" s="7"/>
      <c r="Q441" s="7"/>
      <c r="R441" s="8"/>
      <c r="S441" s="7"/>
      <c r="T441" s="9"/>
      <c r="U441" s="7"/>
      <c r="V441" s="8"/>
      <c r="W441" s="7"/>
      <c r="X441" s="7"/>
      <c r="Y441" s="8"/>
      <c r="Z441" s="7"/>
      <c r="AA441" s="8"/>
    </row>
    <row r="442" spans="4:27" ht="14.25" thickTop="1" thickBot="1">
      <c r="D442" s="69"/>
      <c r="E442" s="54" t="s">
        <v>187</v>
      </c>
      <c r="F442" s="7"/>
      <c r="G442" s="8"/>
      <c r="H442" s="7"/>
      <c r="I442" s="6"/>
      <c r="J442" s="7"/>
      <c r="K442" s="8"/>
      <c r="L442" s="7"/>
      <c r="M442" s="8"/>
      <c r="N442" s="7"/>
      <c r="O442" s="8"/>
      <c r="P442" s="7"/>
      <c r="Q442" s="7"/>
      <c r="R442" s="8"/>
      <c r="S442" s="7"/>
      <c r="T442" s="9"/>
      <c r="U442" s="7"/>
      <c r="V442" s="8"/>
      <c r="W442" s="7"/>
      <c r="X442" s="7"/>
      <c r="Y442" s="8"/>
      <c r="Z442" s="7"/>
      <c r="AA442" s="8"/>
    </row>
    <row r="443" spans="4:27" ht="14.25" thickTop="1" thickBot="1">
      <c r="D443" s="69"/>
      <c r="E443" s="54" t="s">
        <v>278</v>
      </c>
      <c r="F443" s="7"/>
      <c r="G443" s="8"/>
      <c r="H443" s="7"/>
      <c r="I443" s="6"/>
      <c r="J443" s="7"/>
      <c r="K443" s="8"/>
      <c r="L443" s="7"/>
      <c r="M443" s="8"/>
      <c r="N443" s="7"/>
      <c r="O443" s="8"/>
      <c r="P443" s="7"/>
      <c r="Q443" s="7"/>
      <c r="R443" s="8"/>
      <c r="S443" s="7"/>
      <c r="T443" s="9"/>
      <c r="U443" s="7"/>
      <c r="V443" s="8"/>
      <c r="W443" s="7"/>
      <c r="X443" s="7"/>
      <c r="Y443" s="8"/>
      <c r="Z443" s="7"/>
      <c r="AA443" s="8"/>
    </row>
    <row r="444" spans="4:27" ht="14.25" thickTop="1" thickBot="1">
      <c r="D444" s="69"/>
      <c r="E444" s="54" t="s">
        <v>1047</v>
      </c>
      <c r="F444" s="7"/>
      <c r="G444" s="8"/>
      <c r="H444" s="7"/>
      <c r="I444" s="6"/>
      <c r="J444" s="7"/>
      <c r="K444" s="8"/>
      <c r="L444" s="7"/>
      <c r="M444" s="8"/>
      <c r="N444" s="7"/>
      <c r="O444" s="8"/>
      <c r="P444" s="7"/>
      <c r="Q444" s="7"/>
      <c r="R444" s="8"/>
      <c r="S444" s="7"/>
      <c r="T444" s="9"/>
      <c r="U444" s="7"/>
      <c r="V444" s="8"/>
      <c r="W444" s="7"/>
      <c r="X444" s="7"/>
      <c r="Y444" s="8"/>
      <c r="Z444" s="7"/>
      <c r="AA444" s="8"/>
    </row>
    <row r="445" spans="4:27" ht="14.25" thickTop="1" thickBot="1">
      <c r="D445" s="69"/>
      <c r="E445" s="54" t="s">
        <v>246</v>
      </c>
      <c r="F445" s="7"/>
      <c r="G445" s="8"/>
      <c r="H445" s="7"/>
      <c r="I445" s="6"/>
      <c r="J445" s="7"/>
      <c r="K445" s="8"/>
      <c r="L445" s="7"/>
      <c r="M445" s="8"/>
      <c r="N445" s="7"/>
      <c r="O445" s="8"/>
      <c r="P445" s="7"/>
      <c r="Q445" s="7"/>
      <c r="R445" s="8"/>
      <c r="S445" s="7"/>
      <c r="T445" s="9"/>
      <c r="U445" s="7"/>
      <c r="V445" s="8"/>
      <c r="W445" s="7"/>
      <c r="X445" s="7"/>
      <c r="Y445" s="8"/>
      <c r="Z445" s="7"/>
      <c r="AA445" s="8"/>
    </row>
    <row r="446" spans="4:27" ht="14.25" thickTop="1" thickBot="1">
      <c r="D446" s="69"/>
      <c r="E446" s="54" t="s">
        <v>279</v>
      </c>
      <c r="F446" s="7"/>
      <c r="G446" s="8"/>
      <c r="H446" s="7"/>
      <c r="I446" s="6"/>
      <c r="J446" s="7"/>
      <c r="K446" s="8"/>
      <c r="L446" s="7"/>
      <c r="M446" s="8"/>
      <c r="N446" s="7"/>
      <c r="O446" s="8"/>
      <c r="P446" s="7"/>
      <c r="Q446" s="7"/>
      <c r="R446" s="8"/>
      <c r="S446" s="7"/>
      <c r="T446" s="9"/>
      <c r="U446" s="7"/>
      <c r="V446" s="8"/>
      <c r="W446" s="7"/>
      <c r="X446" s="7"/>
      <c r="Y446" s="8"/>
      <c r="Z446" s="7"/>
      <c r="AA446" s="8"/>
    </row>
    <row r="447" spans="4:27" ht="14.25" thickTop="1" thickBot="1">
      <c r="D447" s="69"/>
      <c r="E447" s="54" t="s">
        <v>189</v>
      </c>
      <c r="F447" s="7"/>
      <c r="G447" s="8"/>
      <c r="H447" s="7"/>
      <c r="I447" s="6"/>
      <c r="J447" s="7"/>
      <c r="K447" s="8"/>
      <c r="L447" s="7"/>
      <c r="M447" s="8"/>
      <c r="N447" s="7"/>
      <c r="O447" s="8"/>
      <c r="P447" s="7"/>
      <c r="Q447" s="7"/>
      <c r="R447" s="8"/>
      <c r="S447" s="7"/>
      <c r="T447" s="9"/>
      <c r="U447" s="7"/>
      <c r="V447" s="8"/>
      <c r="W447" s="7"/>
      <c r="X447" s="7"/>
      <c r="Y447" s="8"/>
      <c r="Z447" s="7"/>
      <c r="AA447" s="8"/>
    </row>
    <row r="448" spans="4:27" ht="14.25" thickTop="1" thickBot="1">
      <c r="D448" s="69"/>
      <c r="E448" s="54" t="s">
        <v>280</v>
      </c>
      <c r="F448" s="7"/>
      <c r="G448" s="8"/>
      <c r="H448" s="7"/>
      <c r="I448" s="6"/>
      <c r="J448" s="7"/>
      <c r="K448" s="8"/>
      <c r="L448" s="7"/>
      <c r="M448" s="8"/>
      <c r="N448" s="7"/>
      <c r="O448" s="8"/>
      <c r="P448" s="7"/>
      <c r="Q448" s="7"/>
      <c r="R448" s="8"/>
      <c r="S448" s="7"/>
      <c r="T448" s="9"/>
      <c r="U448" s="7"/>
      <c r="V448" s="8"/>
      <c r="W448" s="7"/>
      <c r="X448" s="7"/>
      <c r="Y448" s="8"/>
      <c r="Z448" s="7"/>
      <c r="AA448" s="8"/>
    </row>
    <row r="449" spans="4:27" ht="14.25" thickTop="1" thickBot="1">
      <c r="D449" s="69"/>
      <c r="E449" s="54" t="s">
        <v>281</v>
      </c>
      <c r="F449" s="7"/>
      <c r="G449" s="8"/>
      <c r="H449" s="7"/>
      <c r="I449" s="6"/>
      <c r="J449" s="7"/>
      <c r="K449" s="8"/>
      <c r="L449" s="7"/>
      <c r="M449" s="8"/>
      <c r="N449" s="7"/>
      <c r="O449" s="8"/>
      <c r="P449" s="7"/>
      <c r="Q449" s="7"/>
      <c r="R449" s="8"/>
      <c r="S449" s="7"/>
      <c r="T449" s="9"/>
      <c r="U449" s="7"/>
      <c r="V449" s="8"/>
      <c r="W449" s="7"/>
      <c r="X449" s="7"/>
      <c r="Y449" s="8"/>
      <c r="Z449" s="7"/>
      <c r="AA449" s="8"/>
    </row>
    <row r="450" spans="4:27" ht="14.25" thickTop="1" thickBot="1">
      <c r="D450" s="69"/>
      <c r="E450" s="54" t="s">
        <v>190</v>
      </c>
      <c r="F450" s="7"/>
      <c r="G450" s="8"/>
      <c r="H450" s="7"/>
      <c r="I450" s="6"/>
      <c r="J450" s="7"/>
      <c r="K450" s="8"/>
      <c r="L450" s="7"/>
      <c r="M450" s="8"/>
      <c r="N450" s="7"/>
      <c r="O450" s="8"/>
      <c r="P450" s="7"/>
      <c r="Q450" s="7"/>
      <c r="R450" s="8"/>
      <c r="S450" s="7"/>
      <c r="T450" s="9"/>
      <c r="U450" s="7"/>
      <c r="V450" s="8"/>
      <c r="W450" s="7"/>
      <c r="X450" s="7"/>
      <c r="Y450" s="8"/>
      <c r="Z450" s="7"/>
      <c r="AA450" s="8"/>
    </row>
    <row r="451" spans="4:27" ht="14.25" thickTop="1" thickBot="1">
      <c r="D451" s="69"/>
      <c r="E451" s="54" t="s">
        <v>282</v>
      </c>
      <c r="F451" s="7"/>
      <c r="G451" s="8"/>
      <c r="H451" s="7"/>
      <c r="I451" s="6"/>
      <c r="J451" s="7"/>
      <c r="K451" s="8"/>
      <c r="L451" s="7"/>
      <c r="M451" s="8"/>
      <c r="N451" s="7"/>
      <c r="O451" s="8"/>
      <c r="P451" s="7"/>
      <c r="Q451" s="7"/>
      <c r="R451" s="8"/>
      <c r="S451" s="7"/>
      <c r="T451" s="9"/>
      <c r="U451" s="7"/>
      <c r="V451" s="8"/>
      <c r="W451" s="7"/>
      <c r="X451" s="7"/>
      <c r="Y451" s="8"/>
      <c r="Z451" s="7"/>
      <c r="AA451" s="8"/>
    </row>
    <row r="452" spans="4:27" ht="14.25" thickTop="1" thickBot="1">
      <c r="D452" s="69"/>
      <c r="E452" s="54" t="s">
        <v>283</v>
      </c>
      <c r="F452" s="7"/>
      <c r="G452" s="8"/>
      <c r="H452" s="7"/>
      <c r="I452" s="6"/>
      <c r="J452" s="7"/>
      <c r="K452" s="8"/>
      <c r="L452" s="7"/>
      <c r="M452" s="8"/>
      <c r="N452" s="7"/>
      <c r="O452" s="8"/>
      <c r="P452" s="7"/>
      <c r="Q452" s="7"/>
      <c r="R452" s="8"/>
      <c r="S452" s="7"/>
      <c r="T452" s="9"/>
      <c r="U452" s="7"/>
      <c r="V452" s="8"/>
      <c r="W452" s="7"/>
      <c r="X452" s="7"/>
      <c r="Y452" s="8"/>
      <c r="Z452" s="7"/>
      <c r="AA452" s="8"/>
    </row>
    <row r="453" spans="4:27" ht="14.25" thickTop="1" thickBot="1">
      <c r="D453" s="69"/>
      <c r="E453" s="54" t="s">
        <v>1059</v>
      </c>
      <c r="F453" s="7"/>
      <c r="G453" s="8"/>
      <c r="H453" s="7"/>
      <c r="I453" s="6"/>
      <c r="J453" s="7"/>
      <c r="K453" s="8"/>
      <c r="L453" s="7"/>
      <c r="M453" s="8"/>
      <c r="N453" s="7"/>
      <c r="O453" s="8"/>
      <c r="P453" s="7"/>
      <c r="Q453" s="7"/>
      <c r="R453" s="8"/>
      <c r="S453" s="7"/>
      <c r="T453" s="9"/>
      <c r="U453" s="7"/>
      <c r="V453" s="8"/>
      <c r="W453" s="7"/>
      <c r="X453" s="7"/>
      <c r="Y453" s="8"/>
      <c r="Z453" s="7"/>
      <c r="AA453" s="8"/>
    </row>
    <row r="454" spans="4:27" ht="14.25" thickTop="1" thickBot="1">
      <c r="D454" s="69"/>
      <c r="E454" s="54" t="s">
        <v>229</v>
      </c>
      <c r="F454" s="7"/>
      <c r="G454" s="8"/>
      <c r="H454" s="7"/>
      <c r="I454" s="6"/>
      <c r="J454" s="7"/>
      <c r="K454" s="8"/>
      <c r="L454" s="7"/>
      <c r="M454" s="8"/>
      <c r="N454" s="7"/>
      <c r="O454" s="8"/>
      <c r="P454" s="7"/>
      <c r="Q454" s="7"/>
      <c r="R454" s="8"/>
      <c r="S454" s="7"/>
      <c r="T454" s="9"/>
      <c r="U454" s="7"/>
      <c r="V454" s="8"/>
      <c r="W454" s="7"/>
      <c r="X454" s="7"/>
      <c r="Y454" s="8"/>
      <c r="Z454" s="7"/>
      <c r="AA454" s="8"/>
    </row>
    <row r="455" spans="4:27" ht="14.25" thickTop="1" thickBot="1">
      <c r="D455" s="69"/>
      <c r="E455" s="54" t="s">
        <v>1318</v>
      </c>
      <c r="F455" s="7"/>
      <c r="G455" s="8"/>
      <c r="H455" s="7"/>
      <c r="I455" s="6"/>
      <c r="J455" s="7"/>
      <c r="K455" s="8"/>
      <c r="L455" s="7"/>
      <c r="M455" s="8"/>
      <c r="N455" s="7"/>
      <c r="O455" s="8"/>
      <c r="P455" s="7"/>
      <c r="Q455" s="7"/>
      <c r="R455" s="8"/>
      <c r="S455" s="7"/>
      <c r="T455" s="9"/>
      <c r="U455" s="7"/>
      <c r="V455" s="8"/>
      <c r="W455" s="7"/>
      <c r="X455" s="7"/>
      <c r="Y455" s="8"/>
      <c r="Z455" s="7"/>
      <c r="AA455" s="8"/>
    </row>
    <row r="456" spans="4:27" ht="14.25" thickTop="1" thickBot="1">
      <c r="D456" s="69"/>
      <c r="E456" s="54" t="s">
        <v>231</v>
      </c>
      <c r="F456" s="7"/>
      <c r="G456" s="8"/>
      <c r="H456" s="7"/>
      <c r="I456" s="6"/>
      <c r="J456" s="7"/>
      <c r="K456" s="8"/>
      <c r="L456" s="7"/>
      <c r="M456" s="8"/>
      <c r="N456" s="7"/>
      <c r="O456" s="8"/>
      <c r="P456" s="7"/>
      <c r="Q456" s="7"/>
      <c r="R456" s="8"/>
      <c r="S456" s="7"/>
      <c r="T456" s="9"/>
      <c r="U456" s="7"/>
      <c r="V456" s="8"/>
      <c r="W456" s="7"/>
      <c r="X456" s="7"/>
      <c r="Y456" s="8"/>
      <c r="Z456" s="7"/>
      <c r="AA456" s="8"/>
    </row>
    <row r="457" spans="4:27" ht="14.25" thickTop="1" thickBot="1">
      <c r="D457" s="69"/>
      <c r="E457" s="54" t="s">
        <v>1052</v>
      </c>
      <c r="F457" s="7"/>
      <c r="G457" s="8"/>
      <c r="H457" s="7"/>
      <c r="I457" s="6"/>
      <c r="J457" s="7"/>
      <c r="K457" s="8"/>
      <c r="L457" s="7"/>
      <c r="M457" s="8"/>
      <c r="N457" s="7"/>
      <c r="O457" s="8"/>
      <c r="P457" s="7"/>
      <c r="Q457" s="7"/>
      <c r="R457" s="8"/>
      <c r="S457" s="7"/>
      <c r="T457" s="9"/>
      <c r="U457" s="7"/>
      <c r="V457" s="8"/>
      <c r="W457" s="7"/>
      <c r="X457" s="7"/>
      <c r="Y457" s="8"/>
      <c r="Z457" s="7"/>
      <c r="AA457" s="8"/>
    </row>
    <row r="458" spans="4:27" ht="14.25" thickTop="1" thickBot="1">
      <c r="D458" s="69"/>
      <c r="F458" s="7"/>
      <c r="G458" s="8"/>
      <c r="H458" s="7"/>
      <c r="I458" s="6"/>
      <c r="J458" s="7"/>
      <c r="K458" s="8"/>
      <c r="L458" s="7"/>
      <c r="M458" s="8"/>
      <c r="N458" s="7"/>
      <c r="O458" s="8"/>
      <c r="P458" s="7"/>
      <c r="Q458" s="7"/>
      <c r="R458" s="8"/>
      <c r="S458" s="7"/>
      <c r="T458" s="9"/>
      <c r="U458" s="7"/>
      <c r="V458" s="8"/>
      <c r="W458" s="7"/>
      <c r="X458" s="7"/>
      <c r="Y458" s="8"/>
      <c r="Z458" s="7"/>
      <c r="AA458" s="8"/>
    </row>
    <row r="459" spans="4:27" ht="14.25" thickTop="1" thickBot="1">
      <c r="D459" s="69"/>
      <c r="F459" s="7"/>
      <c r="G459" s="8"/>
      <c r="H459" s="7"/>
      <c r="I459" s="6"/>
      <c r="J459" s="7"/>
      <c r="K459" s="8"/>
      <c r="L459" s="7"/>
      <c r="M459" s="8"/>
      <c r="N459" s="7"/>
      <c r="O459" s="8"/>
      <c r="P459" s="7"/>
      <c r="Q459" s="7"/>
      <c r="R459" s="8"/>
      <c r="S459" s="7"/>
      <c r="T459" s="9"/>
      <c r="U459" s="7"/>
      <c r="V459" s="8"/>
      <c r="W459" s="7"/>
      <c r="X459" s="7"/>
      <c r="Y459" s="8"/>
      <c r="Z459" s="7"/>
      <c r="AA459" s="8"/>
    </row>
    <row r="460" spans="4:27" ht="14.25" thickTop="1" thickBot="1">
      <c r="D460" s="69"/>
      <c r="F460" s="7"/>
      <c r="G460" s="8"/>
      <c r="H460" s="7"/>
      <c r="I460" s="6"/>
      <c r="J460" s="7"/>
      <c r="K460" s="8"/>
      <c r="L460" s="7"/>
      <c r="M460" s="8"/>
      <c r="N460" s="7"/>
      <c r="O460" s="8"/>
      <c r="P460" s="7"/>
      <c r="Q460" s="7"/>
      <c r="R460" s="8"/>
      <c r="S460" s="7"/>
      <c r="T460" s="9"/>
      <c r="U460" s="7"/>
      <c r="V460" s="8"/>
      <c r="W460" s="7"/>
      <c r="X460" s="7"/>
      <c r="Y460" s="8"/>
      <c r="Z460" s="7"/>
      <c r="AA460" s="8"/>
    </row>
    <row r="461" spans="4:27" ht="14.25" thickTop="1" thickBot="1">
      <c r="D461" s="69"/>
      <c r="F461" s="7"/>
      <c r="G461" s="8"/>
      <c r="H461" s="7"/>
      <c r="I461" s="6"/>
      <c r="J461" s="7"/>
      <c r="K461" s="8"/>
      <c r="L461" s="7"/>
      <c r="M461" s="8"/>
      <c r="N461" s="7"/>
      <c r="O461" s="8"/>
      <c r="P461" s="7"/>
      <c r="Q461" s="7"/>
      <c r="R461" s="8"/>
      <c r="S461" s="7"/>
      <c r="T461" s="9"/>
      <c r="U461" s="7"/>
      <c r="V461" s="8"/>
      <c r="W461" s="7"/>
      <c r="X461" s="7"/>
      <c r="Y461" s="8"/>
      <c r="Z461" s="7"/>
      <c r="AA461" s="8"/>
    </row>
    <row r="462" spans="4:27" ht="14.25" thickTop="1" thickBot="1">
      <c r="D462" s="69"/>
      <c r="F462" s="7"/>
      <c r="G462" s="8"/>
      <c r="H462" s="7"/>
      <c r="I462" s="6"/>
      <c r="J462" s="7"/>
      <c r="K462" s="8"/>
      <c r="L462" s="7"/>
      <c r="M462" s="8"/>
      <c r="N462" s="7"/>
      <c r="O462" s="8"/>
      <c r="P462" s="7"/>
      <c r="Q462" s="7"/>
      <c r="R462" s="8"/>
      <c r="S462" s="7"/>
      <c r="T462" s="9"/>
      <c r="U462" s="7"/>
      <c r="V462" s="8"/>
      <c r="W462" s="7"/>
      <c r="X462" s="7"/>
      <c r="Y462" s="8"/>
      <c r="Z462" s="7"/>
      <c r="AA462" s="8"/>
    </row>
    <row r="463" spans="4:27" ht="14.25" thickTop="1" thickBot="1">
      <c r="D463" s="69"/>
      <c r="F463" s="7"/>
      <c r="G463" s="8"/>
      <c r="H463" s="7"/>
      <c r="I463" s="6"/>
      <c r="J463" s="7"/>
      <c r="K463" s="8"/>
      <c r="L463" s="7"/>
      <c r="M463" s="8"/>
      <c r="N463" s="7"/>
      <c r="O463" s="8"/>
      <c r="P463" s="7"/>
      <c r="Q463" s="7"/>
      <c r="R463" s="8"/>
      <c r="S463" s="7"/>
      <c r="T463" s="9"/>
      <c r="U463" s="7"/>
      <c r="V463" s="8"/>
      <c r="W463" s="7"/>
      <c r="X463" s="7"/>
      <c r="Y463" s="8"/>
      <c r="Z463" s="7"/>
      <c r="AA463" s="8"/>
    </row>
    <row r="464" spans="4:27" ht="14.25" thickTop="1" thickBot="1">
      <c r="D464" s="69"/>
      <c r="F464" s="7"/>
      <c r="G464" s="8"/>
      <c r="H464" s="7"/>
      <c r="I464" s="6"/>
      <c r="J464" s="7"/>
      <c r="K464" s="8"/>
      <c r="L464" s="7"/>
      <c r="M464" s="8"/>
      <c r="N464" s="7"/>
      <c r="O464" s="8"/>
      <c r="P464" s="7"/>
      <c r="Q464" s="7"/>
      <c r="R464" s="8"/>
      <c r="S464" s="7"/>
      <c r="T464" s="9"/>
      <c r="U464" s="7"/>
      <c r="V464" s="8"/>
      <c r="W464" s="7"/>
      <c r="X464" s="7"/>
      <c r="Y464" s="8"/>
      <c r="Z464" s="7"/>
      <c r="AA464" s="8"/>
    </row>
    <row r="465" spans="4:27" ht="14.25" thickTop="1" thickBot="1">
      <c r="D465" s="69"/>
      <c r="F465" s="7"/>
      <c r="G465" s="8"/>
      <c r="H465" s="7"/>
      <c r="I465" s="6"/>
      <c r="J465" s="7"/>
      <c r="K465" s="8"/>
      <c r="L465" s="7"/>
      <c r="M465" s="8"/>
      <c r="N465" s="7"/>
      <c r="O465" s="8"/>
      <c r="P465" s="7"/>
      <c r="Q465" s="7"/>
      <c r="R465" s="8"/>
      <c r="S465" s="7"/>
      <c r="T465" s="9"/>
      <c r="U465" s="7"/>
      <c r="V465" s="8"/>
      <c r="W465" s="7"/>
      <c r="X465" s="7"/>
      <c r="Y465" s="8"/>
      <c r="Z465" s="7"/>
      <c r="AA465" s="8"/>
    </row>
    <row r="466" spans="4:27" ht="14.25" thickTop="1" thickBot="1">
      <c r="D466" s="69"/>
      <c r="F466" s="7"/>
      <c r="G466" s="8"/>
      <c r="H466" s="7"/>
      <c r="I466" s="6"/>
      <c r="J466" s="7"/>
      <c r="K466" s="8"/>
      <c r="L466" s="7"/>
      <c r="M466" s="8"/>
      <c r="N466" s="7"/>
      <c r="O466" s="8"/>
      <c r="P466" s="7"/>
      <c r="Q466" s="7"/>
      <c r="R466" s="8"/>
      <c r="S466" s="7"/>
      <c r="T466" s="9"/>
      <c r="U466" s="7"/>
      <c r="V466" s="8"/>
      <c r="W466" s="7"/>
      <c r="X466" s="7"/>
      <c r="Y466" s="8"/>
      <c r="Z466" s="7"/>
      <c r="AA466" s="8"/>
    </row>
    <row r="467" spans="4:27" ht="14.25" thickTop="1" thickBot="1">
      <c r="D467" s="69"/>
      <c r="F467" s="7"/>
      <c r="G467" s="8"/>
      <c r="H467" s="7"/>
      <c r="I467" s="6"/>
      <c r="J467" s="7"/>
      <c r="K467" s="8"/>
      <c r="L467" s="7"/>
      <c r="M467" s="8"/>
      <c r="N467" s="7"/>
      <c r="O467" s="8"/>
      <c r="P467" s="7"/>
      <c r="Q467" s="7"/>
      <c r="R467" s="8"/>
      <c r="S467" s="7"/>
      <c r="T467" s="9"/>
      <c r="U467" s="7"/>
      <c r="V467" s="8"/>
      <c r="W467" s="7"/>
      <c r="X467" s="7"/>
      <c r="Y467" s="8"/>
      <c r="Z467" s="7"/>
      <c r="AA467" s="8"/>
    </row>
    <row r="468" spans="4:27" ht="14.25" thickTop="1" thickBot="1">
      <c r="D468" s="69"/>
      <c r="F468" s="7"/>
      <c r="G468" s="8"/>
      <c r="H468" s="7"/>
      <c r="I468" s="6"/>
      <c r="J468" s="7"/>
      <c r="K468" s="8"/>
      <c r="L468" s="7"/>
      <c r="M468" s="8"/>
      <c r="N468" s="7"/>
      <c r="O468" s="8"/>
      <c r="P468" s="7"/>
      <c r="Q468" s="7"/>
      <c r="R468" s="8"/>
      <c r="S468" s="7"/>
      <c r="T468" s="9"/>
      <c r="U468" s="7"/>
      <c r="V468" s="8"/>
      <c r="W468" s="7"/>
      <c r="X468" s="7"/>
      <c r="Y468" s="8"/>
      <c r="Z468" s="7"/>
      <c r="AA468" s="8"/>
    </row>
    <row r="469" spans="4:27" ht="14.25" thickTop="1" thickBot="1">
      <c r="D469" s="69"/>
      <c r="F469" s="7"/>
      <c r="G469" s="8"/>
      <c r="H469" s="7"/>
      <c r="I469" s="6"/>
      <c r="J469" s="7"/>
      <c r="K469" s="8"/>
      <c r="L469" s="7"/>
      <c r="M469" s="8"/>
      <c r="N469" s="7"/>
      <c r="O469" s="8"/>
      <c r="P469" s="7"/>
      <c r="Q469" s="7"/>
      <c r="R469" s="8"/>
      <c r="S469" s="7"/>
      <c r="T469" s="9"/>
      <c r="U469" s="7"/>
      <c r="V469" s="8"/>
      <c r="W469" s="7"/>
      <c r="X469" s="7"/>
      <c r="Y469" s="8"/>
      <c r="Z469" s="7"/>
      <c r="AA469" s="8"/>
    </row>
    <row r="470" spans="4:27" ht="14.25" thickTop="1" thickBot="1">
      <c r="D470" s="69"/>
      <c r="F470" s="7"/>
      <c r="G470" s="8"/>
      <c r="H470" s="7"/>
      <c r="I470" s="6"/>
      <c r="J470" s="7"/>
      <c r="K470" s="8"/>
      <c r="L470" s="7"/>
      <c r="M470" s="8"/>
      <c r="N470" s="7"/>
      <c r="O470" s="8"/>
      <c r="P470" s="7"/>
      <c r="Q470" s="7"/>
      <c r="R470" s="8"/>
      <c r="S470" s="7"/>
      <c r="T470" s="9"/>
      <c r="U470" s="7"/>
      <c r="V470" s="8"/>
      <c r="W470" s="7"/>
      <c r="X470" s="7"/>
      <c r="Y470" s="8"/>
      <c r="Z470" s="7"/>
      <c r="AA470" s="8"/>
    </row>
    <row r="471" spans="4:27" ht="14.25" thickTop="1" thickBot="1">
      <c r="D471" s="69"/>
      <c r="F471" s="7"/>
      <c r="G471" s="8"/>
      <c r="H471" s="7"/>
      <c r="I471" s="6"/>
      <c r="J471" s="7"/>
      <c r="K471" s="8"/>
      <c r="L471" s="7"/>
      <c r="M471" s="8"/>
      <c r="N471" s="7"/>
      <c r="O471" s="8"/>
      <c r="P471" s="7"/>
      <c r="Q471" s="7"/>
      <c r="R471" s="8"/>
      <c r="S471" s="7"/>
      <c r="T471" s="9"/>
      <c r="U471" s="7"/>
      <c r="V471" s="8"/>
      <c r="W471" s="7"/>
      <c r="X471" s="7"/>
      <c r="Y471" s="8"/>
      <c r="Z471" s="7"/>
      <c r="AA471" s="8"/>
    </row>
    <row r="472" spans="4:27" ht="14.25" thickTop="1" thickBot="1">
      <c r="D472" s="69"/>
      <c r="F472" s="7"/>
      <c r="G472" s="8"/>
      <c r="H472" s="7"/>
      <c r="I472" s="6"/>
      <c r="J472" s="7"/>
      <c r="K472" s="8"/>
      <c r="L472" s="7"/>
      <c r="M472" s="8"/>
      <c r="N472" s="7"/>
      <c r="O472" s="8"/>
      <c r="P472" s="7"/>
      <c r="Q472" s="7"/>
      <c r="R472" s="8"/>
      <c r="S472" s="7"/>
      <c r="T472" s="9"/>
      <c r="U472" s="7"/>
      <c r="V472" s="8"/>
      <c r="W472" s="7"/>
      <c r="X472" s="7"/>
      <c r="Y472" s="8"/>
      <c r="Z472" s="7"/>
      <c r="AA472" s="8"/>
    </row>
    <row r="473" spans="4:27" ht="14.25" thickTop="1" thickBot="1">
      <c r="D473" s="69"/>
      <c r="F473" s="7"/>
      <c r="G473" s="8"/>
      <c r="H473" s="7"/>
      <c r="I473" s="6"/>
      <c r="J473" s="7"/>
      <c r="K473" s="8"/>
      <c r="L473" s="7"/>
      <c r="M473" s="8"/>
      <c r="N473" s="7"/>
      <c r="O473" s="8"/>
      <c r="P473" s="7"/>
      <c r="Q473" s="7"/>
      <c r="R473" s="8"/>
      <c r="S473" s="7"/>
      <c r="T473" s="9"/>
      <c r="U473" s="7"/>
      <c r="V473" s="8"/>
      <c r="W473" s="7"/>
      <c r="X473" s="7"/>
      <c r="Y473" s="8"/>
      <c r="Z473" s="7"/>
      <c r="AA473" s="8"/>
    </row>
    <row r="474" spans="4:27" ht="14.25" thickTop="1" thickBot="1">
      <c r="D474" s="69"/>
      <c r="F474" s="7"/>
      <c r="G474" s="8"/>
      <c r="H474" s="7"/>
      <c r="I474" s="6"/>
      <c r="J474" s="7"/>
      <c r="K474" s="8"/>
      <c r="L474" s="7"/>
      <c r="M474" s="8"/>
      <c r="N474" s="7"/>
      <c r="O474" s="8"/>
      <c r="P474" s="7"/>
      <c r="Q474" s="7"/>
      <c r="R474" s="8"/>
      <c r="S474" s="7"/>
      <c r="T474" s="9"/>
      <c r="U474" s="7"/>
      <c r="V474" s="8"/>
      <c r="W474" s="7"/>
      <c r="X474" s="7"/>
      <c r="Y474" s="8"/>
      <c r="Z474" s="7"/>
      <c r="AA474" s="8"/>
    </row>
    <row r="475" spans="4:27" ht="14.25" thickTop="1" thickBot="1">
      <c r="D475" s="69"/>
      <c r="F475" s="7"/>
      <c r="G475" s="8"/>
      <c r="H475" s="7"/>
      <c r="I475" s="6"/>
      <c r="J475" s="7"/>
      <c r="K475" s="8"/>
      <c r="L475" s="7"/>
      <c r="M475" s="8"/>
      <c r="N475" s="7"/>
      <c r="O475" s="8"/>
      <c r="P475" s="7"/>
      <c r="Q475" s="7"/>
      <c r="R475" s="8"/>
      <c r="S475" s="7"/>
      <c r="T475" s="9"/>
      <c r="U475" s="7"/>
      <c r="V475" s="8"/>
      <c r="W475" s="7"/>
      <c r="X475" s="7"/>
      <c r="Y475" s="8"/>
      <c r="Z475" s="7"/>
      <c r="AA475" s="8"/>
    </row>
    <row r="476" spans="4:27" ht="14.25" thickTop="1" thickBot="1">
      <c r="D476" s="69"/>
      <c r="F476" s="7"/>
      <c r="G476" s="8"/>
      <c r="H476" s="7"/>
      <c r="I476" s="6"/>
      <c r="J476" s="7"/>
      <c r="K476" s="8"/>
      <c r="L476" s="7"/>
      <c r="M476" s="8"/>
      <c r="N476" s="7"/>
      <c r="O476" s="8"/>
      <c r="P476" s="7"/>
      <c r="Q476" s="7"/>
      <c r="R476" s="8"/>
      <c r="S476" s="7"/>
      <c r="T476" s="9"/>
      <c r="U476" s="7"/>
      <c r="V476" s="8"/>
      <c r="W476" s="7"/>
      <c r="X476" s="7"/>
      <c r="Y476" s="8"/>
      <c r="Z476" s="7"/>
      <c r="AA476" s="8"/>
    </row>
    <row r="477" spans="4:27" ht="14.25" thickTop="1" thickBot="1">
      <c r="D477" s="69"/>
      <c r="F477" s="7"/>
      <c r="G477" s="8"/>
      <c r="H477" s="7"/>
      <c r="I477" s="6"/>
      <c r="J477" s="7"/>
      <c r="K477" s="8"/>
      <c r="L477" s="7"/>
      <c r="M477" s="8"/>
      <c r="N477" s="7"/>
      <c r="O477" s="8"/>
      <c r="P477" s="7"/>
      <c r="Q477" s="7"/>
      <c r="R477" s="8"/>
      <c r="S477" s="7"/>
      <c r="T477" s="9"/>
      <c r="U477" s="7"/>
      <c r="V477" s="8"/>
      <c r="W477" s="7"/>
      <c r="X477" s="7"/>
      <c r="Y477" s="8"/>
      <c r="Z477" s="7"/>
      <c r="AA477" s="8"/>
    </row>
    <row r="478" spans="4:27" ht="14.25" thickTop="1" thickBot="1">
      <c r="D478" s="69"/>
      <c r="F478" s="7"/>
      <c r="G478" s="8"/>
      <c r="H478" s="7"/>
      <c r="I478" s="6"/>
      <c r="J478" s="7"/>
      <c r="K478" s="8"/>
      <c r="L478" s="7"/>
      <c r="M478" s="8"/>
      <c r="N478" s="7"/>
      <c r="O478" s="8"/>
      <c r="P478" s="7"/>
      <c r="Q478" s="7"/>
      <c r="R478" s="8"/>
      <c r="S478" s="7"/>
      <c r="T478" s="9"/>
      <c r="U478" s="7"/>
      <c r="V478" s="8"/>
      <c r="W478" s="7"/>
      <c r="X478" s="7"/>
      <c r="Y478" s="8"/>
      <c r="Z478" s="7"/>
      <c r="AA478" s="8"/>
    </row>
    <row r="479" spans="4:27" ht="14.25" thickTop="1" thickBot="1">
      <c r="D479" s="69"/>
      <c r="F479" s="7"/>
      <c r="G479" s="8"/>
      <c r="H479" s="7"/>
      <c r="I479" s="6"/>
      <c r="J479" s="7"/>
      <c r="K479" s="8"/>
      <c r="L479" s="7"/>
      <c r="M479" s="8"/>
      <c r="N479" s="7"/>
      <c r="O479" s="8"/>
      <c r="P479" s="7"/>
      <c r="Q479" s="7"/>
      <c r="R479" s="8"/>
      <c r="S479" s="7"/>
      <c r="T479" s="9"/>
      <c r="U479" s="7"/>
      <c r="V479" s="8"/>
      <c r="W479" s="7"/>
      <c r="X479" s="7"/>
      <c r="Y479" s="8"/>
      <c r="Z479" s="7"/>
      <c r="AA479" s="8"/>
    </row>
    <row r="480" spans="4:27" ht="14.25" thickTop="1" thickBot="1">
      <c r="D480" s="69"/>
      <c r="F480" s="7"/>
      <c r="G480" s="8"/>
      <c r="H480" s="7"/>
      <c r="I480" s="6"/>
      <c r="J480" s="7"/>
      <c r="K480" s="8"/>
      <c r="L480" s="7"/>
      <c r="M480" s="8"/>
      <c r="N480" s="7"/>
      <c r="O480" s="8"/>
      <c r="P480" s="7"/>
      <c r="Q480" s="7"/>
      <c r="R480" s="8"/>
      <c r="S480" s="7"/>
      <c r="T480" s="9"/>
      <c r="U480" s="7"/>
      <c r="V480" s="8"/>
      <c r="W480" s="7"/>
      <c r="X480" s="7"/>
      <c r="Y480" s="8"/>
      <c r="Z480" s="7"/>
      <c r="AA480" s="8"/>
    </row>
    <row r="481" spans="4:27" ht="14.25" thickTop="1" thickBot="1">
      <c r="D481" s="69"/>
      <c r="F481" s="7"/>
      <c r="G481" s="8"/>
      <c r="H481" s="7"/>
      <c r="I481" s="6"/>
      <c r="J481" s="7"/>
      <c r="K481" s="8"/>
      <c r="L481" s="7"/>
      <c r="M481" s="8"/>
      <c r="N481" s="7"/>
      <c r="O481" s="8"/>
      <c r="P481" s="7"/>
      <c r="Q481" s="7"/>
      <c r="R481" s="8"/>
      <c r="S481" s="7"/>
      <c r="T481" s="9"/>
      <c r="U481" s="7"/>
      <c r="V481" s="8"/>
      <c r="W481" s="7"/>
      <c r="X481" s="7"/>
      <c r="Y481" s="8"/>
      <c r="Z481" s="7"/>
      <c r="AA481" s="8"/>
    </row>
    <row r="482" spans="4:27" ht="14.25" thickTop="1" thickBot="1">
      <c r="D482" s="69"/>
      <c r="F482" s="7"/>
      <c r="G482" s="8"/>
      <c r="H482" s="7"/>
      <c r="I482" s="6"/>
      <c r="J482" s="7"/>
      <c r="K482" s="8"/>
      <c r="L482" s="7"/>
      <c r="M482" s="8"/>
      <c r="N482" s="7"/>
      <c r="O482" s="8"/>
      <c r="P482" s="7"/>
      <c r="Q482" s="7"/>
      <c r="R482" s="8"/>
      <c r="S482" s="7"/>
      <c r="T482" s="9"/>
      <c r="U482" s="7"/>
      <c r="V482" s="8"/>
      <c r="W482" s="7"/>
      <c r="X482" s="7"/>
      <c r="Y482" s="8"/>
      <c r="Z482" s="7"/>
      <c r="AA482" s="8"/>
    </row>
    <row r="483" spans="4:27" ht="14.25" thickTop="1" thickBot="1">
      <c r="D483" s="69"/>
      <c r="F483" s="7"/>
      <c r="G483" s="8"/>
      <c r="H483" s="7"/>
      <c r="I483" s="6"/>
      <c r="J483" s="7"/>
      <c r="K483" s="8"/>
      <c r="L483" s="7"/>
      <c r="M483" s="8"/>
      <c r="N483" s="7"/>
      <c r="O483" s="8"/>
      <c r="P483" s="7"/>
      <c r="Q483" s="7"/>
      <c r="R483" s="8"/>
      <c r="S483" s="7"/>
      <c r="T483" s="9"/>
      <c r="U483" s="7"/>
      <c r="V483" s="8"/>
      <c r="W483" s="7"/>
      <c r="X483" s="7"/>
      <c r="Y483" s="8"/>
      <c r="Z483" s="7"/>
      <c r="AA483" s="8"/>
    </row>
    <row r="484" spans="4:27" ht="13.5" thickBot="1">
      <c r="D484" s="69"/>
      <c r="U484" s="7"/>
      <c r="V484" s="8"/>
    </row>
    <row r="485" spans="4:27">
      <c r="D485" s="69"/>
    </row>
    <row r="486" spans="4:27">
      <c r="D486" s="69"/>
    </row>
    <row r="487" spans="4:27">
      <c r="D487" s="69"/>
    </row>
    <row r="488" spans="4:27">
      <c r="D488" s="69"/>
    </row>
    <row r="489" spans="4:27">
      <c r="D489" s="69"/>
    </row>
    <row r="490" spans="4:27">
      <c r="D490" s="69"/>
    </row>
    <row r="491" spans="4:27">
      <c r="D491" s="69"/>
    </row>
    <row r="492" spans="4:27">
      <c r="D492" s="69"/>
    </row>
    <row r="493" spans="4:27">
      <c r="D493" s="69"/>
    </row>
    <row r="494" spans="4:27">
      <c r="D494" s="69"/>
    </row>
    <row r="495" spans="4:27">
      <c r="D495" s="69"/>
    </row>
    <row r="496" spans="4:27">
      <c r="D496" s="69"/>
    </row>
    <row r="497" spans="4:4">
      <c r="D497" s="69"/>
    </row>
    <row r="498" spans="4:4">
      <c r="D498" s="69"/>
    </row>
    <row r="499" spans="4:4">
      <c r="D499" s="69"/>
    </row>
    <row r="500" spans="4:4">
      <c r="D500" s="69"/>
    </row>
    <row r="501" spans="4:4">
      <c r="D501" s="69"/>
    </row>
    <row r="502" spans="4:4">
      <c r="D502" s="69"/>
    </row>
    <row r="503" spans="4:4">
      <c r="D503" s="69"/>
    </row>
    <row r="504" spans="4:4">
      <c r="D504" s="69"/>
    </row>
    <row r="505" spans="4:4">
      <c r="D505" s="69"/>
    </row>
    <row r="506" spans="4:4">
      <c r="D506" s="69"/>
    </row>
    <row r="507" spans="4:4">
      <c r="D507" s="69"/>
    </row>
    <row r="508" spans="4:4">
      <c r="D508" s="69"/>
    </row>
    <row r="509" spans="4:4">
      <c r="D509" s="69"/>
    </row>
    <row r="510" spans="4:4">
      <c r="D510" s="69"/>
    </row>
    <row r="511" spans="4:4">
      <c r="D511" s="69"/>
    </row>
    <row r="512" spans="4:4">
      <c r="D512" s="69"/>
    </row>
    <row r="513" spans="4:4">
      <c r="D513" s="69"/>
    </row>
    <row r="514" spans="4:4">
      <c r="D514" s="69"/>
    </row>
    <row r="515" spans="4:4">
      <c r="D515" s="69"/>
    </row>
    <row r="516" spans="4:4">
      <c r="D516" s="69"/>
    </row>
    <row r="517" spans="4:4">
      <c r="D517" s="69"/>
    </row>
    <row r="518" spans="4:4">
      <c r="D518" s="69"/>
    </row>
    <row r="519" spans="4:4">
      <c r="D519" s="69"/>
    </row>
    <row r="520" spans="4:4">
      <c r="D520" s="69"/>
    </row>
    <row r="521" spans="4:4">
      <c r="D521" s="69"/>
    </row>
    <row r="522" spans="4:4">
      <c r="D522" s="69"/>
    </row>
    <row r="523" spans="4:4">
      <c r="D523" s="69"/>
    </row>
    <row r="524" spans="4:4">
      <c r="D524" s="69"/>
    </row>
    <row r="525" spans="4:4">
      <c r="D525" s="69"/>
    </row>
    <row r="526" spans="4:4">
      <c r="D526" s="69"/>
    </row>
    <row r="527" spans="4:4">
      <c r="D527" s="69"/>
    </row>
    <row r="528" spans="4:4">
      <c r="D528" s="69"/>
    </row>
    <row r="529" spans="4:4">
      <c r="D529" s="69"/>
    </row>
    <row r="530" spans="4:4">
      <c r="D530" s="69"/>
    </row>
    <row r="531" spans="4:4">
      <c r="D531" s="69"/>
    </row>
    <row r="532" spans="4:4">
      <c r="D532" s="69"/>
    </row>
    <row r="533" spans="4:4">
      <c r="D533" s="69"/>
    </row>
    <row r="534" spans="4:4">
      <c r="D534" s="69"/>
    </row>
    <row r="535" spans="4:4">
      <c r="D535" s="69"/>
    </row>
    <row r="536" spans="4:4">
      <c r="D536" s="69"/>
    </row>
    <row r="537" spans="4:4">
      <c r="D537" s="69"/>
    </row>
    <row r="538" spans="4:4">
      <c r="D538" s="69"/>
    </row>
    <row r="539" spans="4:4">
      <c r="D539" s="69"/>
    </row>
    <row r="540" spans="4:4">
      <c r="D540" s="69"/>
    </row>
    <row r="541" spans="4:4">
      <c r="D541" s="69"/>
    </row>
    <row r="542" spans="4:4">
      <c r="D542" s="69"/>
    </row>
    <row r="543" spans="4:4">
      <c r="D543" s="69"/>
    </row>
    <row r="544" spans="4:4">
      <c r="D544" s="69"/>
    </row>
    <row r="545" spans="4:4">
      <c r="D545" s="69"/>
    </row>
    <row r="546" spans="4:4">
      <c r="D546" s="69"/>
    </row>
    <row r="547" spans="4:4">
      <c r="D547" s="69"/>
    </row>
    <row r="548" spans="4:4">
      <c r="D548" s="69"/>
    </row>
    <row r="549" spans="4:4">
      <c r="D549" s="69"/>
    </row>
    <row r="550" spans="4:4">
      <c r="D550" s="69"/>
    </row>
    <row r="551" spans="4:4">
      <c r="D551" s="69"/>
    </row>
    <row r="552" spans="4:4">
      <c r="D552" s="69"/>
    </row>
    <row r="553" spans="4:4">
      <c r="D553" s="69"/>
    </row>
    <row r="554" spans="4:4">
      <c r="D554" s="69"/>
    </row>
    <row r="555" spans="4:4">
      <c r="D555" s="69"/>
    </row>
    <row r="556" spans="4:4">
      <c r="D556" s="69"/>
    </row>
    <row r="557" spans="4:4">
      <c r="D557" s="69"/>
    </row>
    <row r="558" spans="4:4">
      <c r="D558" s="69"/>
    </row>
    <row r="559" spans="4:4">
      <c r="D559" s="69"/>
    </row>
    <row r="560" spans="4:4">
      <c r="D560" s="69"/>
    </row>
    <row r="561" spans="4:4">
      <c r="D561" s="69"/>
    </row>
    <row r="562" spans="4:4">
      <c r="D562" s="69"/>
    </row>
    <row r="563" spans="4:4">
      <c r="D563" s="69"/>
    </row>
    <row r="564" spans="4:4">
      <c r="D564" s="69"/>
    </row>
    <row r="565" spans="4:4">
      <c r="D565" s="69"/>
    </row>
    <row r="566" spans="4:4">
      <c r="D566" s="69"/>
    </row>
    <row r="567" spans="4:4">
      <c r="D567" s="69"/>
    </row>
    <row r="568" spans="4:4">
      <c r="D568" s="69"/>
    </row>
    <row r="569" spans="4:4">
      <c r="D569" s="69"/>
    </row>
    <row r="570" spans="4:4">
      <c r="D570" s="69"/>
    </row>
    <row r="571" spans="4:4">
      <c r="D571" s="69"/>
    </row>
    <row r="572" spans="4:4">
      <c r="D572" s="69"/>
    </row>
    <row r="573" spans="4:4">
      <c r="D573" s="69"/>
    </row>
    <row r="574" spans="4:4">
      <c r="D574" s="69"/>
    </row>
    <row r="575" spans="4:4">
      <c r="D575" s="69"/>
    </row>
    <row r="576" spans="4:4">
      <c r="D576" s="69"/>
    </row>
    <row r="577" spans="4:4">
      <c r="D577" s="69"/>
    </row>
    <row r="578" spans="4:4">
      <c r="D578" s="69"/>
    </row>
    <row r="579" spans="4:4">
      <c r="D579" s="69"/>
    </row>
    <row r="580" spans="4:4">
      <c r="D580" s="69"/>
    </row>
    <row r="581" spans="4:4">
      <c r="D581" s="69"/>
    </row>
    <row r="582" spans="4:4">
      <c r="D582" s="69"/>
    </row>
    <row r="583" spans="4:4">
      <c r="D583" s="69"/>
    </row>
    <row r="584" spans="4:4">
      <c r="D584" s="69"/>
    </row>
    <row r="585" spans="4:4">
      <c r="D585" s="69"/>
    </row>
    <row r="586" spans="4:4">
      <c r="D586" s="69"/>
    </row>
    <row r="587" spans="4:4">
      <c r="D587" s="69"/>
    </row>
    <row r="588" spans="4:4">
      <c r="D588" s="69"/>
    </row>
    <row r="589" spans="4:4">
      <c r="D589" s="69"/>
    </row>
    <row r="590" spans="4:4">
      <c r="D590" s="69"/>
    </row>
    <row r="591" spans="4:4">
      <c r="D591" s="69"/>
    </row>
    <row r="592" spans="4:4">
      <c r="D592" s="69"/>
    </row>
    <row r="593" spans="4:4">
      <c r="D593" s="69"/>
    </row>
    <row r="594" spans="4:4">
      <c r="D594" s="69"/>
    </row>
    <row r="595" spans="4:4">
      <c r="D595" s="69"/>
    </row>
    <row r="596" spans="4:4">
      <c r="D596" s="69"/>
    </row>
    <row r="597" spans="4:4">
      <c r="D597" s="69"/>
    </row>
    <row r="598" spans="4:4">
      <c r="D598" s="69"/>
    </row>
    <row r="599" spans="4:4">
      <c r="D599" s="69"/>
    </row>
    <row r="600" spans="4:4">
      <c r="D600" s="69"/>
    </row>
    <row r="601" spans="4:4">
      <c r="D601" s="69"/>
    </row>
    <row r="602" spans="4:4">
      <c r="D602" s="69"/>
    </row>
    <row r="603" spans="4:4">
      <c r="D603" s="69"/>
    </row>
    <row r="604" spans="4:4">
      <c r="D604" s="69"/>
    </row>
    <row r="605" spans="4:4">
      <c r="D605" s="69"/>
    </row>
    <row r="606" spans="4:4">
      <c r="D606" s="69"/>
    </row>
    <row r="607" spans="4:4">
      <c r="D607" s="69"/>
    </row>
    <row r="608" spans="4:4">
      <c r="D608" s="69"/>
    </row>
    <row r="609" spans="4:4">
      <c r="D609" s="69"/>
    </row>
    <row r="610" spans="4:4">
      <c r="D610" s="69"/>
    </row>
    <row r="611" spans="4:4">
      <c r="D611" s="69"/>
    </row>
    <row r="612" spans="4:4">
      <c r="D612" s="69"/>
    </row>
    <row r="613" spans="4:4">
      <c r="D613" s="69"/>
    </row>
    <row r="614" spans="4:4">
      <c r="D614" s="69"/>
    </row>
    <row r="615" spans="4:4">
      <c r="D615" s="69"/>
    </row>
    <row r="616" spans="4:4">
      <c r="D616" s="69"/>
    </row>
    <row r="617" spans="4:4">
      <c r="D617" s="69"/>
    </row>
    <row r="618" spans="4:4">
      <c r="D618" s="69"/>
    </row>
    <row r="619" spans="4:4">
      <c r="D619" s="69"/>
    </row>
    <row r="620" spans="4:4">
      <c r="D620" s="69"/>
    </row>
    <row r="621" spans="4:4">
      <c r="D621" s="69"/>
    </row>
    <row r="622" spans="4:4">
      <c r="D622" s="69"/>
    </row>
    <row r="623" spans="4:4">
      <c r="D623" s="69"/>
    </row>
    <row r="624" spans="4:4">
      <c r="D624" s="69"/>
    </row>
    <row r="625" spans="4:4">
      <c r="D625" s="69"/>
    </row>
    <row r="626" spans="4:4">
      <c r="D626" s="69"/>
    </row>
    <row r="627" spans="4:4">
      <c r="D627" s="69"/>
    </row>
    <row r="628" spans="4:4">
      <c r="D628" s="69"/>
    </row>
    <row r="629" spans="4:4">
      <c r="D629" s="69"/>
    </row>
    <row r="630" spans="4:4">
      <c r="D630" s="69"/>
    </row>
    <row r="631" spans="4:4">
      <c r="D631" s="69"/>
    </row>
    <row r="632" spans="4:4">
      <c r="D632" s="69"/>
    </row>
    <row r="633" spans="4:4">
      <c r="D633" s="69"/>
    </row>
    <row r="634" spans="4:4">
      <c r="D634" s="69"/>
    </row>
    <row r="635" spans="4:4">
      <c r="D635" s="69"/>
    </row>
    <row r="636" spans="4:4">
      <c r="D636" s="69"/>
    </row>
    <row r="637" spans="4:4">
      <c r="D637" s="69"/>
    </row>
    <row r="638" spans="4:4">
      <c r="D638" s="69"/>
    </row>
    <row r="639" spans="4:4">
      <c r="D639" s="69"/>
    </row>
    <row r="640" spans="4:4">
      <c r="D640" s="69"/>
    </row>
    <row r="641" spans="4:4">
      <c r="D641" s="69"/>
    </row>
    <row r="642" spans="4:4">
      <c r="D642" s="69"/>
    </row>
    <row r="643" spans="4:4">
      <c r="D643" s="69"/>
    </row>
    <row r="644" spans="4:4">
      <c r="D644" s="69"/>
    </row>
    <row r="645" spans="4:4">
      <c r="D645" s="69"/>
    </row>
    <row r="646" spans="4:4">
      <c r="D646" s="69"/>
    </row>
    <row r="647" spans="4:4">
      <c r="D647" s="69"/>
    </row>
    <row r="648" spans="4:4">
      <c r="D648" s="69"/>
    </row>
    <row r="649" spans="4:4">
      <c r="D649" s="69"/>
    </row>
    <row r="650" spans="4:4">
      <c r="D650" s="69"/>
    </row>
    <row r="651" spans="4:4">
      <c r="D651" s="69"/>
    </row>
    <row r="652" spans="4:4">
      <c r="D652" s="69"/>
    </row>
    <row r="653" spans="4:4">
      <c r="D653" s="69"/>
    </row>
    <row r="654" spans="4:4">
      <c r="D654" s="69"/>
    </row>
    <row r="655" spans="4:4">
      <c r="D655" s="69"/>
    </row>
    <row r="656" spans="4:4">
      <c r="D656" s="69"/>
    </row>
    <row r="657" spans="4:4">
      <c r="D657" s="69"/>
    </row>
    <row r="658" spans="4:4">
      <c r="D658" s="69"/>
    </row>
    <row r="659" spans="4:4">
      <c r="D659" s="69"/>
    </row>
    <row r="660" spans="4:4">
      <c r="D660" s="69"/>
    </row>
    <row r="661" spans="4:4">
      <c r="D661" s="69"/>
    </row>
    <row r="662" spans="4:4">
      <c r="D662" s="69"/>
    </row>
    <row r="663" spans="4:4">
      <c r="D663" s="69"/>
    </row>
    <row r="664" spans="4:4">
      <c r="D664" s="69"/>
    </row>
    <row r="665" spans="4:4">
      <c r="D665" s="69"/>
    </row>
    <row r="666" spans="4:4">
      <c r="D666" s="69"/>
    </row>
    <row r="667" spans="4:4">
      <c r="D667" s="69"/>
    </row>
    <row r="668" spans="4:4">
      <c r="D668" s="69"/>
    </row>
    <row r="669" spans="4:4">
      <c r="D669" s="69"/>
    </row>
    <row r="670" spans="4:4">
      <c r="D670" s="69"/>
    </row>
    <row r="671" spans="4:4">
      <c r="D671" s="69"/>
    </row>
    <row r="672" spans="4:4">
      <c r="D672" s="69"/>
    </row>
    <row r="673" spans="4:4">
      <c r="D673" s="69"/>
    </row>
    <row r="674" spans="4:4">
      <c r="D674" s="69"/>
    </row>
    <row r="675" spans="4:4">
      <c r="D675" s="69"/>
    </row>
    <row r="676" spans="4:4">
      <c r="D676" s="69"/>
    </row>
    <row r="677" spans="4:4">
      <c r="D677" s="69"/>
    </row>
    <row r="678" spans="4:4">
      <c r="D678" s="69"/>
    </row>
    <row r="679" spans="4:4">
      <c r="D679" s="69"/>
    </row>
    <row r="680" spans="4:4">
      <c r="D680" s="69"/>
    </row>
    <row r="681" spans="4:4">
      <c r="D681" s="69"/>
    </row>
    <row r="682" spans="4:4">
      <c r="D682" s="69"/>
    </row>
    <row r="683" spans="4:4">
      <c r="D683" s="69"/>
    </row>
    <row r="684" spans="4:4">
      <c r="D684" s="69"/>
    </row>
    <row r="685" spans="4:4">
      <c r="D685" s="69"/>
    </row>
    <row r="686" spans="4:4">
      <c r="D686" s="69"/>
    </row>
    <row r="687" spans="4:4">
      <c r="D687" s="69"/>
    </row>
    <row r="688" spans="4:4">
      <c r="D688" s="69"/>
    </row>
    <row r="689" spans="4:4">
      <c r="D689" s="69"/>
    </row>
    <row r="690" spans="4:4">
      <c r="D690" s="69"/>
    </row>
    <row r="691" spans="4:4">
      <c r="D691" s="69"/>
    </row>
    <row r="692" spans="4:4">
      <c r="D692" s="69"/>
    </row>
    <row r="693" spans="4:4">
      <c r="D693" s="69"/>
    </row>
    <row r="694" spans="4:4">
      <c r="D694" s="69"/>
    </row>
    <row r="695" spans="4:4">
      <c r="D695" s="69"/>
    </row>
    <row r="696" spans="4:4">
      <c r="D696" s="69"/>
    </row>
    <row r="697" spans="4:4">
      <c r="D697" s="69"/>
    </row>
    <row r="698" spans="4:4">
      <c r="D698" s="69"/>
    </row>
    <row r="699" spans="4:4">
      <c r="D699" s="69"/>
    </row>
    <row r="700" spans="4:4">
      <c r="D700" s="69"/>
    </row>
    <row r="701" spans="4:4">
      <c r="D701" s="69"/>
    </row>
    <row r="702" spans="4:4">
      <c r="D702" s="69"/>
    </row>
    <row r="703" spans="4:4">
      <c r="D703" s="69"/>
    </row>
    <row r="704" spans="4:4">
      <c r="D704" s="69"/>
    </row>
    <row r="705" spans="4:4">
      <c r="D705" s="69"/>
    </row>
    <row r="706" spans="4:4">
      <c r="D706" s="69"/>
    </row>
    <row r="707" spans="4:4">
      <c r="D707" s="69"/>
    </row>
    <row r="708" spans="4:4">
      <c r="D708" s="69"/>
    </row>
    <row r="709" spans="4:4">
      <c r="D709" s="69"/>
    </row>
    <row r="710" spans="4:4">
      <c r="D710" s="69"/>
    </row>
    <row r="711" spans="4:4">
      <c r="D711" s="69"/>
    </row>
    <row r="712" spans="4:4">
      <c r="D712" s="69"/>
    </row>
    <row r="713" spans="4:4">
      <c r="D713" s="69"/>
    </row>
    <row r="714" spans="4:4">
      <c r="D714" s="69"/>
    </row>
    <row r="715" spans="4:4">
      <c r="D715" s="69"/>
    </row>
    <row r="716" spans="4:4">
      <c r="D716" s="69"/>
    </row>
    <row r="717" spans="4:4">
      <c r="D717" s="69"/>
    </row>
    <row r="718" spans="4:4">
      <c r="D718" s="69"/>
    </row>
    <row r="719" spans="4:4">
      <c r="D719" s="69"/>
    </row>
    <row r="720" spans="4:4">
      <c r="D720" s="69"/>
    </row>
    <row r="721" spans="4:4">
      <c r="D721" s="69"/>
    </row>
    <row r="722" spans="4:4">
      <c r="D722" s="69"/>
    </row>
    <row r="723" spans="4:4">
      <c r="D723" s="69"/>
    </row>
    <row r="724" spans="4:4">
      <c r="D724" s="69"/>
    </row>
    <row r="725" spans="4:4">
      <c r="D725" s="69"/>
    </row>
    <row r="726" spans="4:4">
      <c r="D726" s="69"/>
    </row>
    <row r="727" spans="4:4">
      <c r="D727" s="69"/>
    </row>
    <row r="728" spans="4:4">
      <c r="D728" s="69"/>
    </row>
    <row r="729" spans="4:4">
      <c r="D729" s="69"/>
    </row>
    <row r="730" spans="4:4">
      <c r="D730" s="69"/>
    </row>
    <row r="731" spans="4:4">
      <c r="D731" s="69"/>
    </row>
    <row r="732" spans="4:4">
      <c r="D732" s="69"/>
    </row>
    <row r="733" spans="4:4">
      <c r="D733" s="69"/>
    </row>
    <row r="734" spans="4:4">
      <c r="D734" s="69"/>
    </row>
    <row r="735" spans="4:4">
      <c r="D735" s="69"/>
    </row>
    <row r="736" spans="4:4">
      <c r="D736" s="69"/>
    </row>
    <row r="737" spans="4:4">
      <c r="D737" s="69"/>
    </row>
    <row r="738" spans="4:4">
      <c r="D738" s="69"/>
    </row>
    <row r="739" spans="4:4">
      <c r="D739" s="69"/>
    </row>
    <row r="740" spans="4:4">
      <c r="D740" s="69"/>
    </row>
    <row r="741" spans="4:4">
      <c r="D741" s="69"/>
    </row>
    <row r="742" spans="4:4">
      <c r="D742" s="69"/>
    </row>
    <row r="743" spans="4:4">
      <c r="D743" s="69"/>
    </row>
    <row r="744" spans="4:4">
      <c r="D744" s="69"/>
    </row>
    <row r="745" spans="4:4">
      <c r="D745" s="69"/>
    </row>
    <row r="746" spans="4:4">
      <c r="D746" s="69"/>
    </row>
    <row r="747" spans="4:4">
      <c r="D747" s="69"/>
    </row>
    <row r="748" spans="4:4">
      <c r="D748" s="69"/>
    </row>
    <row r="749" spans="4:4">
      <c r="D749" s="69"/>
    </row>
    <row r="750" spans="4:4">
      <c r="D750" s="69"/>
    </row>
    <row r="751" spans="4:4">
      <c r="D751" s="69"/>
    </row>
    <row r="752" spans="4:4">
      <c r="D752" s="69"/>
    </row>
    <row r="753" spans="4:4">
      <c r="D753" s="69"/>
    </row>
    <row r="754" spans="4:4">
      <c r="D754" s="69"/>
    </row>
    <row r="755" spans="4:4">
      <c r="D755" s="69"/>
    </row>
    <row r="756" spans="4:4">
      <c r="D756" s="69"/>
    </row>
    <row r="757" spans="4:4">
      <c r="D757" s="69"/>
    </row>
    <row r="758" spans="4:4">
      <c r="D758" s="69"/>
    </row>
    <row r="759" spans="4:4">
      <c r="D759" s="69"/>
    </row>
    <row r="760" spans="4:4">
      <c r="D760" s="69"/>
    </row>
    <row r="761" spans="4:4">
      <c r="D761" s="69"/>
    </row>
    <row r="762" spans="4:4">
      <c r="D762" s="69"/>
    </row>
    <row r="763" spans="4:4">
      <c r="D763" s="69"/>
    </row>
    <row r="764" spans="4:4">
      <c r="D764" s="69"/>
    </row>
    <row r="765" spans="4:4">
      <c r="D765" s="69"/>
    </row>
    <row r="766" spans="4:4">
      <c r="D766" s="69"/>
    </row>
    <row r="767" spans="4:4">
      <c r="D767" s="69"/>
    </row>
    <row r="768" spans="4:4">
      <c r="D768" s="69"/>
    </row>
    <row r="769" spans="4:4">
      <c r="D769" s="69"/>
    </row>
    <row r="770" spans="4:4">
      <c r="D770" s="69"/>
    </row>
    <row r="771" spans="4:4">
      <c r="D771" s="69"/>
    </row>
    <row r="772" spans="4:4">
      <c r="D772" s="69"/>
    </row>
    <row r="773" spans="4:4">
      <c r="D773" s="69"/>
    </row>
    <row r="774" spans="4:4">
      <c r="D774" s="69"/>
    </row>
    <row r="775" spans="4:4">
      <c r="D775" s="69"/>
    </row>
    <row r="776" spans="4:4">
      <c r="D776" s="69"/>
    </row>
    <row r="777" spans="4:4">
      <c r="D777" s="69"/>
    </row>
    <row r="778" spans="4:4">
      <c r="D778" s="69"/>
    </row>
    <row r="779" spans="4:4">
      <c r="D779" s="69"/>
    </row>
    <row r="780" spans="4:4">
      <c r="D780" s="69"/>
    </row>
    <row r="781" spans="4:4">
      <c r="D781" s="69"/>
    </row>
    <row r="782" spans="4:4">
      <c r="D782" s="69"/>
    </row>
    <row r="783" spans="4:4">
      <c r="D783" s="69"/>
    </row>
    <row r="784" spans="4:4">
      <c r="D784" s="69"/>
    </row>
    <row r="785" spans="4:4">
      <c r="D785" s="69"/>
    </row>
    <row r="786" spans="4:4">
      <c r="D786" s="69"/>
    </row>
    <row r="787" spans="4:4">
      <c r="D787" s="69"/>
    </row>
    <row r="788" spans="4:4">
      <c r="D788" s="69"/>
    </row>
    <row r="789" spans="4:4">
      <c r="D789" s="69"/>
    </row>
    <row r="790" spans="4:4">
      <c r="D790" s="69"/>
    </row>
    <row r="791" spans="4:4">
      <c r="D791" s="69"/>
    </row>
    <row r="792" spans="4:4">
      <c r="D792" s="69"/>
    </row>
    <row r="793" spans="4:4">
      <c r="D793" s="69"/>
    </row>
    <row r="794" spans="4:4">
      <c r="D794" s="69"/>
    </row>
    <row r="795" spans="4:4">
      <c r="D795" s="69"/>
    </row>
    <row r="796" spans="4:4">
      <c r="D796" s="69"/>
    </row>
    <row r="797" spans="4:4">
      <c r="D797" s="69"/>
    </row>
    <row r="798" spans="4:4">
      <c r="D798" s="69"/>
    </row>
    <row r="799" spans="4:4">
      <c r="D799" s="69"/>
    </row>
    <row r="800" spans="4:4">
      <c r="D800" s="69"/>
    </row>
    <row r="801" spans="4:4">
      <c r="D801" s="69"/>
    </row>
    <row r="802" spans="4:4">
      <c r="D802" s="69"/>
    </row>
    <row r="803" spans="4:4">
      <c r="D803" s="69"/>
    </row>
    <row r="804" spans="4:4">
      <c r="D804" s="69"/>
    </row>
    <row r="805" spans="4:4">
      <c r="D805" s="69"/>
    </row>
    <row r="806" spans="4:4">
      <c r="D806" s="69"/>
    </row>
    <row r="807" spans="4:4">
      <c r="D807" s="69"/>
    </row>
    <row r="808" spans="4:4">
      <c r="D808" s="69"/>
    </row>
    <row r="809" spans="4:4">
      <c r="D809" s="69"/>
    </row>
    <row r="810" spans="4:4">
      <c r="D810" s="69"/>
    </row>
    <row r="811" spans="4:4">
      <c r="D811" s="69"/>
    </row>
    <row r="812" spans="4:4">
      <c r="D812" s="69"/>
    </row>
    <row r="813" spans="4:4">
      <c r="D813" s="69"/>
    </row>
    <row r="814" spans="4:4">
      <c r="D814" s="69"/>
    </row>
    <row r="815" spans="4:4">
      <c r="D815" s="69"/>
    </row>
    <row r="816" spans="4:4">
      <c r="D816" s="69"/>
    </row>
    <row r="817" spans="4:4">
      <c r="D817" s="69"/>
    </row>
    <row r="818" spans="4:4">
      <c r="D818" s="69"/>
    </row>
    <row r="819" spans="4:4">
      <c r="D819" s="69"/>
    </row>
    <row r="820" spans="4:4">
      <c r="D820" s="69"/>
    </row>
    <row r="821" spans="4:4">
      <c r="D821" s="69"/>
    </row>
    <row r="822" spans="4:4">
      <c r="D822" s="69"/>
    </row>
    <row r="823" spans="4:4">
      <c r="D823" s="69"/>
    </row>
    <row r="824" spans="4:4">
      <c r="D824" s="69"/>
    </row>
    <row r="825" spans="4:4">
      <c r="D825" s="69"/>
    </row>
    <row r="826" spans="4:4">
      <c r="D826" s="69"/>
    </row>
    <row r="827" spans="4:4">
      <c r="D827" s="69"/>
    </row>
    <row r="828" spans="4:4">
      <c r="D828" s="69"/>
    </row>
    <row r="829" spans="4:4">
      <c r="D829" s="69"/>
    </row>
    <row r="830" spans="4:4">
      <c r="D830" s="69"/>
    </row>
    <row r="831" spans="4:4">
      <c r="D831" s="69"/>
    </row>
    <row r="832" spans="4:4">
      <c r="D832" s="69"/>
    </row>
    <row r="833" spans="4:4">
      <c r="D833" s="69"/>
    </row>
    <row r="834" spans="4:4">
      <c r="D834" s="69"/>
    </row>
    <row r="835" spans="4:4">
      <c r="D835" s="69"/>
    </row>
    <row r="836" spans="4:4">
      <c r="D836" s="69"/>
    </row>
    <row r="837" spans="4:4">
      <c r="D837" s="69"/>
    </row>
    <row r="838" spans="4:4">
      <c r="D838" s="69"/>
    </row>
    <row r="839" spans="4:4">
      <c r="D839" s="69"/>
    </row>
    <row r="840" spans="4:4">
      <c r="D840" s="69"/>
    </row>
    <row r="841" spans="4:4">
      <c r="D841" s="69"/>
    </row>
    <row r="842" spans="4:4">
      <c r="D842" s="69"/>
    </row>
    <row r="843" spans="4:4">
      <c r="D843" s="69"/>
    </row>
    <row r="844" spans="4:4">
      <c r="D844" s="69"/>
    </row>
    <row r="845" spans="4:4">
      <c r="D845" s="69"/>
    </row>
    <row r="846" spans="4:4">
      <c r="D846" s="69"/>
    </row>
    <row r="847" spans="4:4">
      <c r="D847" s="69"/>
    </row>
    <row r="848" spans="4:4">
      <c r="D848" s="69"/>
    </row>
    <row r="849" spans="4:4">
      <c r="D849" s="69"/>
    </row>
    <row r="850" spans="4:4">
      <c r="D850" s="69"/>
    </row>
    <row r="851" spans="4:4">
      <c r="D851" s="69"/>
    </row>
    <row r="852" spans="4:4">
      <c r="D852" s="69"/>
    </row>
    <row r="853" spans="4:4">
      <c r="D853" s="69"/>
    </row>
    <row r="854" spans="4:4">
      <c r="D854" s="69"/>
    </row>
    <row r="855" spans="4:4">
      <c r="D855" s="69"/>
    </row>
    <row r="856" spans="4:4">
      <c r="D856" s="69"/>
    </row>
    <row r="857" spans="4:4">
      <c r="D857" s="69"/>
    </row>
    <row r="858" spans="4:4">
      <c r="D858" s="69"/>
    </row>
    <row r="859" spans="4:4">
      <c r="D859" s="69"/>
    </row>
    <row r="860" spans="4:4">
      <c r="D860" s="69"/>
    </row>
    <row r="861" spans="4:4">
      <c r="D861" s="69"/>
    </row>
    <row r="862" spans="4:4">
      <c r="D862" s="69"/>
    </row>
    <row r="863" spans="4:4">
      <c r="D863" s="69"/>
    </row>
    <row r="864" spans="4:4">
      <c r="D864" s="69"/>
    </row>
    <row r="865" spans="4:4">
      <c r="D865" s="69"/>
    </row>
    <row r="866" spans="4:4">
      <c r="D866" s="69"/>
    </row>
    <row r="867" spans="4:4">
      <c r="D867" s="69"/>
    </row>
    <row r="868" spans="4:4">
      <c r="D868" s="69"/>
    </row>
    <row r="869" spans="4:4">
      <c r="D869" s="69"/>
    </row>
    <row r="870" spans="4:4">
      <c r="D870" s="69"/>
    </row>
    <row r="871" spans="4:4">
      <c r="D871" s="69"/>
    </row>
    <row r="872" spans="4:4">
      <c r="D872" s="69"/>
    </row>
    <row r="873" spans="4:4">
      <c r="D873" s="69"/>
    </row>
    <row r="874" spans="4:4">
      <c r="D874" s="69"/>
    </row>
    <row r="875" spans="4:4">
      <c r="D875" s="69"/>
    </row>
    <row r="876" spans="4:4">
      <c r="D876" s="69"/>
    </row>
    <row r="877" spans="4:4">
      <c r="D877" s="69"/>
    </row>
    <row r="878" spans="4:4">
      <c r="D878" s="69"/>
    </row>
    <row r="879" spans="4:4">
      <c r="D879" s="69"/>
    </row>
    <row r="880" spans="4:4">
      <c r="D880" s="69"/>
    </row>
    <row r="881" spans="4:4">
      <c r="D881" s="69"/>
    </row>
    <row r="882" spans="4:4">
      <c r="D882" s="69"/>
    </row>
    <row r="883" spans="4:4">
      <c r="D883" s="69"/>
    </row>
    <row r="884" spans="4:4">
      <c r="D884" s="69"/>
    </row>
    <row r="885" spans="4:4">
      <c r="D885" s="69"/>
    </row>
    <row r="886" spans="4:4">
      <c r="D886" s="69"/>
    </row>
    <row r="887" spans="4:4">
      <c r="D887" s="69"/>
    </row>
    <row r="888" spans="4:4">
      <c r="D888" s="69"/>
    </row>
    <row r="889" spans="4:4">
      <c r="D889" s="69"/>
    </row>
    <row r="890" spans="4:4">
      <c r="D890" s="69"/>
    </row>
    <row r="891" spans="4:4">
      <c r="D891" s="69"/>
    </row>
    <row r="892" spans="4:4">
      <c r="D892" s="69"/>
    </row>
    <row r="893" spans="4:4">
      <c r="D893" s="69"/>
    </row>
    <row r="894" spans="4:4">
      <c r="D894" s="69"/>
    </row>
    <row r="895" spans="4:4">
      <c r="D895" s="69"/>
    </row>
    <row r="896" spans="4:4">
      <c r="D896" s="69"/>
    </row>
    <row r="897" spans="4:4">
      <c r="D897" s="69"/>
    </row>
    <row r="898" spans="4:4">
      <c r="D898" s="69"/>
    </row>
    <row r="899" spans="4:4">
      <c r="D899" s="69"/>
    </row>
    <row r="900" spans="4:4">
      <c r="D900" s="69"/>
    </row>
    <row r="901" spans="4:4">
      <c r="D901" s="69"/>
    </row>
    <row r="902" spans="4:4">
      <c r="D902" s="69"/>
    </row>
    <row r="903" spans="4:4">
      <c r="D903" s="69"/>
    </row>
    <row r="904" spans="4:4">
      <c r="D904" s="69"/>
    </row>
    <row r="905" spans="4:4">
      <c r="D905" s="69"/>
    </row>
    <row r="906" spans="4:4">
      <c r="D906" s="69"/>
    </row>
    <row r="907" spans="4:4">
      <c r="D907" s="69"/>
    </row>
    <row r="908" spans="4:4">
      <c r="D908" s="69"/>
    </row>
    <row r="909" spans="4:4">
      <c r="D909" s="69"/>
    </row>
    <row r="910" spans="4:4">
      <c r="D910" s="69"/>
    </row>
    <row r="911" spans="4:4">
      <c r="D911" s="69"/>
    </row>
    <row r="912" spans="4:4">
      <c r="D912" s="69"/>
    </row>
    <row r="913" spans="4:4">
      <c r="D913" s="69"/>
    </row>
    <row r="914" spans="4:4">
      <c r="D914" s="69"/>
    </row>
    <row r="915" spans="4:4">
      <c r="D915" s="69"/>
    </row>
    <row r="916" spans="4:4">
      <c r="D916" s="69"/>
    </row>
    <row r="917" spans="4:4">
      <c r="D917" s="69"/>
    </row>
    <row r="918" spans="4:4">
      <c r="D918" s="69"/>
    </row>
    <row r="919" spans="4:4">
      <c r="D919" s="69"/>
    </row>
    <row r="920" spans="4:4">
      <c r="D920" s="69"/>
    </row>
    <row r="921" spans="4:4">
      <c r="D921" s="69"/>
    </row>
    <row r="922" spans="4:4">
      <c r="D922" s="69"/>
    </row>
    <row r="923" spans="4:4">
      <c r="D923" s="69"/>
    </row>
    <row r="924" spans="4:4">
      <c r="D924" s="69"/>
    </row>
    <row r="925" spans="4:4">
      <c r="D925" s="69"/>
    </row>
    <row r="926" spans="4:4">
      <c r="D926" s="69"/>
    </row>
    <row r="927" spans="4:4">
      <c r="D927" s="69"/>
    </row>
    <row r="928" spans="4:4">
      <c r="D928" s="69"/>
    </row>
    <row r="929" spans="4:4">
      <c r="D929" s="69"/>
    </row>
    <row r="930" spans="4:4">
      <c r="D930" s="69"/>
    </row>
    <row r="931" spans="4:4">
      <c r="D931" s="69"/>
    </row>
    <row r="932" spans="4:4">
      <c r="D932" s="69"/>
    </row>
    <row r="933" spans="4:4">
      <c r="D933" s="69"/>
    </row>
    <row r="934" spans="4:4">
      <c r="D934" s="69"/>
    </row>
    <row r="935" spans="4:4">
      <c r="D935" s="69"/>
    </row>
    <row r="936" spans="4:4">
      <c r="D936" s="69"/>
    </row>
    <row r="937" spans="4:4">
      <c r="D937" s="69"/>
    </row>
    <row r="938" spans="4:4">
      <c r="D938" s="69"/>
    </row>
    <row r="939" spans="4:4">
      <c r="D939" s="69"/>
    </row>
    <row r="940" spans="4:4">
      <c r="D940" s="69"/>
    </row>
    <row r="941" spans="4:4">
      <c r="D941" s="69"/>
    </row>
    <row r="942" spans="4:4">
      <c r="D942" s="69"/>
    </row>
    <row r="943" spans="4:4">
      <c r="D943" s="69"/>
    </row>
    <row r="944" spans="4:4">
      <c r="D944" s="69"/>
    </row>
    <row r="945" spans="4:4">
      <c r="D945" s="69"/>
    </row>
    <row r="946" spans="4:4">
      <c r="D946" s="69"/>
    </row>
    <row r="947" spans="4:4">
      <c r="D947" s="69"/>
    </row>
    <row r="948" spans="4:4">
      <c r="D948" s="69"/>
    </row>
    <row r="949" spans="4:4">
      <c r="D949" s="69"/>
    </row>
    <row r="950" spans="4:4">
      <c r="D950" s="69"/>
    </row>
    <row r="951" spans="4:4">
      <c r="D951" s="69"/>
    </row>
    <row r="952" spans="4:4">
      <c r="D952" s="69"/>
    </row>
    <row r="953" spans="4:4">
      <c r="D953" s="69"/>
    </row>
    <row r="954" spans="4:4">
      <c r="D954" s="69"/>
    </row>
    <row r="955" spans="4:4">
      <c r="D955" s="69"/>
    </row>
    <row r="956" spans="4:4">
      <c r="D956" s="69"/>
    </row>
    <row r="957" spans="4:4">
      <c r="D957" s="69"/>
    </row>
    <row r="958" spans="4:4">
      <c r="D958" s="69"/>
    </row>
    <row r="959" spans="4:4">
      <c r="D959" s="69"/>
    </row>
    <row r="960" spans="4:4">
      <c r="D960" s="69"/>
    </row>
    <row r="961" spans="4:4">
      <c r="D961" s="69"/>
    </row>
    <row r="962" spans="4:4">
      <c r="D962" s="69"/>
    </row>
    <row r="963" spans="4:4">
      <c r="D963" s="69"/>
    </row>
    <row r="964" spans="4:4">
      <c r="D964" s="69"/>
    </row>
    <row r="965" spans="4:4">
      <c r="D965" s="69"/>
    </row>
    <row r="966" spans="4:4">
      <c r="D966" s="69"/>
    </row>
    <row r="967" spans="4:4">
      <c r="D967" s="69"/>
    </row>
    <row r="968" spans="4:4">
      <c r="D968" s="69"/>
    </row>
    <row r="969" spans="4:4">
      <c r="D969" s="69"/>
    </row>
    <row r="970" spans="4:4">
      <c r="D970" s="69"/>
    </row>
    <row r="971" spans="4:4">
      <c r="D971" s="69"/>
    </row>
    <row r="972" spans="4:4">
      <c r="D972" s="69"/>
    </row>
    <row r="973" spans="4:4">
      <c r="D973" s="69"/>
    </row>
    <row r="974" spans="4:4">
      <c r="D974" s="69"/>
    </row>
    <row r="975" spans="4:4">
      <c r="D975" s="69"/>
    </row>
    <row r="976" spans="4:4">
      <c r="D976" s="69"/>
    </row>
    <row r="977" spans="4:4">
      <c r="D977" s="69"/>
    </row>
    <row r="978" spans="4:4">
      <c r="D978" s="69"/>
    </row>
    <row r="979" spans="4:4">
      <c r="D979" s="69"/>
    </row>
    <row r="980" spans="4:4">
      <c r="D980" s="69"/>
    </row>
    <row r="981" spans="4:4">
      <c r="D981" s="69"/>
    </row>
    <row r="982" spans="4:4">
      <c r="D982" s="69"/>
    </row>
    <row r="983" spans="4:4">
      <c r="D983" s="69"/>
    </row>
    <row r="984" spans="4:4">
      <c r="D984" s="69"/>
    </row>
    <row r="985" spans="4:4">
      <c r="D985" s="69"/>
    </row>
    <row r="986" spans="4:4">
      <c r="D986" s="69"/>
    </row>
    <row r="987" spans="4:4">
      <c r="D987" s="69"/>
    </row>
    <row r="988" spans="4:4">
      <c r="D988" s="69"/>
    </row>
    <row r="989" spans="4:4">
      <c r="D989" s="69"/>
    </row>
    <row r="990" spans="4:4">
      <c r="D990" s="69"/>
    </row>
    <row r="991" spans="4:4">
      <c r="D991" s="69"/>
    </row>
    <row r="992" spans="4:4">
      <c r="D992" s="69"/>
    </row>
    <row r="993" spans="4:4">
      <c r="D993" s="69"/>
    </row>
    <row r="994" spans="4:4">
      <c r="D994" s="69"/>
    </row>
    <row r="995" spans="4:4">
      <c r="D995" s="69"/>
    </row>
    <row r="996" spans="4:4">
      <c r="D996" s="69"/>
    </row>
    <row r="997" spans="4:4">
      <c r="D997" s="69"/>
    </row>
    <row r="998" spans="4:4">
      <c r="D998" s="69"/>
    </row>
    <row r="999" spans="4:4">
      <c r="D999" s="69"/>
    </row>
    <row r="1000" spans="4:4">
      <c r="D1000" s="69"/>
    </row>
    <row r="1001" spans="4:4">
      <c r="D1001" s="69"/>
    </row>
    <row r="1002" spans="4:4">
      <c r="D1002" s="69"/>
    </row>
    <row r="1003" spans="4:4">
      <c r="D1003" s="69"/>
    </row>
    <row r="1004" spans="4:4">
      <c r="D1004" s="69"/>
    </row>
    <row r="1005" spans="4:4">
      <c r="D1005" s="69"/>
    </row>
    <row r="1006" spans="4:4">
      <c r="D1006" s="69"/>
    </row>
    <row r="1007" spans="4:4">
      <c r="D1007" s="69"/>
    </row>
    <row r="1008" spans="4:4">
      <c r="D1008" s="69"/>
    </row>
    <row r="1009" spans="4:4">
      <c r="D1009" s="69"/>
    </row>
    <row r="1010" spans="4:4">
      <c r="D1010" s="69"/>
    </row>
    <row r="1011" spans="4:4">
      <c r="D1011" s="69"/>
    </row>
    <row r="1012" spans="4:4">
      <c r="D1012" s="69"/>
    </row>
    <row r="1013" spans="4:4">
      <c r="D1013" s="69"/>
    </row>
    <row r="1014" spans="4:4">
      <c r="D1014" s="69"/>
    </row>
    <row r="1015" spans="4:4">
      <c r="D1015" s="69"/>
    </row>
    <row r="1016" spans="4:4">
      <c r="D1016" s="69"/>
    </row>
    <row r="1017" spans="4:4">
      <c r="D1017" s="69"/>
    </row>
    <row r="1018" spans="4:4">
      <c r="D1018" s="69"/>
    </row>
    <row r="1019" spans="4:4">
      <c r="D1019" s="69"/>
    </row>
    <row r="1020" spans="4:4">
      <c r="D1020" s="69"/>
    </row>
    <row r="1021" spans="4:4">
      <c r="D1021" s="69"/>
    </row>
    <row r="1022" spans="4:4">
      <c r="D1022" s="69"/>
    </row>
    <row r="1023" spans="4:4">
      <c r="D1023" s="69"/>
    </row>
    <row r="1024" spans="4:4">
      <c r="D1024" s="69"/>
    </row>
    <row r="1025" spans="4:4">
      <c r="D1025" s="69"/>
    </row>
    <row r="1026" spans="4:4">
      <c r="D1026" s="69"/>
    </row>
    <row r="1027" spans="4:4">
      <c r="D1027" s="69"/>
    </row>
    <row r="1028" spans="4:4">
      <c r="D1028" s="69"/>
    </row>
    <row r="1029" spans="4:4">
      <c r="D1029" s="69"/>
    </row>
    <row r="1030" spans="4:4">
      <c r="D1030" s="69"/>
    </row>
    <row r="1031" spans="4:4">
      <c r="D1031" s="69"/>
    </row>
    <row r="1032" spans="4:4">
      <c r="D1032" s="69"/>
    </row>
    <row r="1033" spans="4:4">
      <c r="D1033" s="69"/>
    </row>
    <row r="1034" spans="4:4">
      <c r="D1034" s="69"/>
    </row>
    <row r="1035" spans="4:4">
      <c r="D1035" s="69"/>
    </row>
    <row r="1036" spans="4:4">
      <c r="D1036" s="69"/>
    </row>
    <row r="1037" spans="4:4">
      <c r="D1037" s="69"/>
    </row>
    <row r="1038" spans="4:4">
      <c r="D1038" s="69"/>
    </row>
    <row r="1039" spans="4:4">
      <c r="D1039" s="69"/>
    </row>
    <row r="1040" spans="4:4">
      <c r="D1040" s="69"/>
    </row>
    <row r="1041" spans="4:4">
      <c r="D1041" s="69"/>
    </row>
    <row r="1042" spans="4:4">
      <c r="D1042" s="69"/>
    </row>
    <row r="1043" spans="4:4">
      <c r="D1043" s="69"/>
    </row>
    <row r="1044" spans="4:4">
      <c r="D1044" s="69"/>
    </row>
    <row r="1045" spans="4:4">
      <c r="D1045" s="69"/>
    </row>
    <row r="1046" spans="4:4">
      <c r="D1046" s="69"/>
    </row>
    <row r="1047" spans="4:4">
      <c r="D1047" s="69"/>
    </row>
    <row r="1048" spans="4:4">
      <c r="D1048" s="69"/>
    </row>
    <row r="1049" spans="4:4">
      <c r="D1049" s="69"/>
    </row>
    <row r="1050" spans="4:4">
      <c r="D1050" s="69"/>
    </row>
    <row r="1051" spans="4:4">
      <c r="D1051" s="69"/>
    </row>
    <row r="1052" spans="4:4">
      <c r="D1052" s="69"/>
    </row>
    <row r="1053" spans="4:4">
      <c r="D1053" s="69"/>
    </row>
    <row r="1054" spans="4:4">
      <c r="D1054" s="69"/>
    </row>
    <row r="1055" spans="4:4">
      <c r="D1055" s="69"/>
    </row>
    <row r="1056" spans="4:4">
      <c r="D1056" s="69"/>
    </row>
    <row r="1057" spans="4:4">
      <c r="D1057" s="69"/>
    </row>
    <row r="1058" spans="4:4">
      <c r="D1058" s="69"/>
    </row>
    <row r="1059" spans="4:4">
      <c r="D1059" s="69"/>
    </row>
    <row r="1060" spans="4:4">
      <c r="D1060" s="69"/>
    </row>
    <row r="1061" spans="4:4">
      <c r="D1061" s="69"/>
    </row>
    <row r="1062" spans="4:4">
      <c r="D1062" s="69"/>
    </row>
    <row r="1063" spans="4:4">
      <c r="D1063" s="69"/>
    </row>
    <row r="1064" spans="4:4">
      <c r="D1064" s="69"/>
    </row>
    <row r="1065" spans="4:4">
      <c r="D1065" s="69"/>
    </row>
    <row r="1066" spans="4:4">
      <c r="D1066" s="69"/>
    </row>
    <row r="1067" spans="4:4">
      <c r="D1067" s="69"/>
    </row>
    <row r="1068" spans="4:4">
      <c r="D1068" s="69"/>
    </row>
    <row r="1069" spans="4:4">
      <c r="D1069" s="69"/>
    </row>
    <row r="1070" spans="4:4">
      <c r="D1070" s="69"/>
    </row>
    <row r="1071" spans="4:4">
      <c r="D1071" s="69"/>
    </row>
    <row r="1072" spans="4:4">
      <c r="D1072" s="69"/>
    </row>
    <row r="1073" spans="4:4">
      <c r="D1073" s="69"/>
    </row>
    <row r="1074" spans="4:4">
      <c r="D1074" s="69"/>
    </row>
    <row r="1075" spans="4:4">
      <c r="D1075" s="69"/>
    </row>
    <row r="1076" spans="4:4">
      <c r="D1076" s="69"/>
    </row>
    <row r="1077" spans="4:4">
      <c r="D1077" s="69"/>
    </row>
    <row r="1078" spans="4:4">
      <c r="D1078" s="69"/>
    </row>
    <row r="1079" spans="4:4">
      <c r="D1079" s="69"/>
    </row>
    <row r="1080" spans="4:4">
      <c r="D1080" s="69"/>
    </row>
    <row r="1081" spans="4:4">
      <c r="D1081" s="69"/>
    </row>
    <row r="1082" spans="4:4">
      <c r="D1082" s="69"/>
    </row>
    <row r="1083" spans="4:4">
      <c r="D1083" s="69"/>
    </row>
    <row r="1084" spans="4:4">
      <c r="D1084" s="69"/>
    </row>
    <row r="1085" spans="4:4">
      <c r="D1085" s="69"/>
    </row>
    <row r="1086" spans="4:4">
      <c r="D1086" s="69"/>
    </row>
    <row r="1087" spans="4:4">
      <c r="D1087" s="69"/>
    </row>
    <row r="1088" spans="4:4">
      <c r="D1088" s="69"/>
    </row>
    <row r="1089" spans="4:4">
      <c r="D1089" s="69"/>
    </row>
    <row r="1090" spans="4:4">
      <c r="D1090" s="69"/>
    </row>
    <row r="1091" spans="4:4">
      <c r="D1091" s="69"/>
    </row>
    <row r="1092" spans="4:4">
      <c r="D1092" s="69"/>
    </row>
    <row r="1093" spans="4:4">
      <c r="D1093" s="69"/>
    </row>
    <row r="1094" spans="4:4">
      <c r="D1094" s="69"/>
    </row>
    <row r="1095" spans="4:4">
      <c r="D1095" s="69"/>
    </row>
    <row r="1096" spans="4:4">
      <c r="D1096" s="69"/>
    </row>
    <row r="1097" spans="4:4">
      <c r="D1097" s="69"/>
    </row>
    <row r="1098" spans="4:4">
      <c r="D1098" s="69"/>
    </row>
    <row r="1099" spans="4:4">
      <c r="D1099" s="69"/>
    </row>
    <row r="1100" spans="4:4">
      <c r="D1100" s="69"/>
    </row>
    <row r="1101" spans="4:4">
      <c r="D1101" s="69"/>
    </row>
    <row r="1102" spans="4:4">
      <c r="D1102" s="69"/>
    </row>
    <row r="1103" spans="4:4">
      <c r="D1103" s="69"/>
    </row>
    <row r="1104" spans="4:4">
      <c r="D1104" s="69"/>
    </row>
    <row r="1105" spans="4:4">
      <c r="D1105" s="69"/>
    </row>
    <row r="1106" spans="4:4">
      <c r="D1106" s="69"/>
    </row>
    <row r="1107" spans="4:4">
      <c r="D1107" s="69"/>
    </row>
    <row r="1108" spans="4:4">
      <c r="D1108" s="69"/>
    </row>
    <row r="1109" spans="4:4">
      <c r="D1109" s="69"/>
    </row>
    <row r="1110" spans="4:4">
      <c r="D1110" s="69"/>
    </row>
    <row r="1111" spans="4:4">
      <c r="D1111" s="69"/>
    </row>
    <row r="1112" spans="4:4">
      <c r="D1112" s="69"/>
    </row>
    <row r="1113" spans="4:4">
      <c r="D1113" s="69"/>
    </row>
    <row r="1114" spans="4:4">
      <c r="D1114" s="69"/>
    </row>
    <row r="1115" spans="4:4">
      <c r="D1115" s="69"/>
    </row>
    <row r="1116" spans="4:4">
      <c r="D1116" s="69"/>
    </row>
    <row r="1117" spans="4:4">
      <c r="D1117" s="69"/>
    </row>
    <row r="1118" spans="4:4">
      <c r="D1118" s="69"/>
    </row>
    <row r="1119" spans="4:4">
      <c r="D1119" s="69"/>
    </row>
    <row r="1120" spans="4:4">
      <c r="D1120" s="69"/>
    </row>
    <row r="1121" spans="4:4">
      <c r="D1121" s="69"/>
    </row>
    <row r="1122" spans="4:4">
      <c r="D1122" s="69"/>
    </row>
    <row r="1123" spans="4:4">
      <c r="D1123" s="69"/>
    </row>
    <row r="1124" spans="4:4">
      <c r="D1124" s="69"/>
    </row>
    <row r="1125" spans="4:4">
      <c r="D1125" s="69"/>
    </row>
    <row r="1126" spans="4:4">
      <c r="D1126" s="69"/>
    </row>
    <row r="1127" spans="4:4">
      <c r="D1127" s="69"/>
    </row>
    <row r="1128" spans="4:4">
      <c r="D1128" s="69"/>
    </row>
    <row r="1129" spans="4:4">
      <c r="D1129" s="69"/>
    </row>
    <row r="1130" spans="4:4">
      <c r="D1130" s="69"/>
    </row>
    <row r="1131" spans="4:4">
      <c r="D1131" s="69"/>
    </row>
    <row r="1132" spans="4:4">
      <c r="D1132" s="69"/>
    </row>
    <row r="1133" spans="4:4">
      <c r="D1133" s="69"/>
    </row>
    <row r="1134" spans="4:4">
      <c r="D1134" s="69"/>
    </row>
    <row r="1135" spans="4:4">
      <c r="D1135" s="69"/>
    </row>
    <row r="1136" spans="4:4">
      <c r="D1136" s="69"/>
    </row>
    <row r="1137" spans="4:4">
      <c r="D1137" s="69"/>
    </row>
    <row r="1138" spans="4:4">
      <c r="D1138" s="69"/>
    </row>
    <row r="1139" spans="4:4">
      <c r="D1139" s="69"/>
    </row>
    <row r="1140" spans="4:4">
      <c r="D1140" s="69"/>
    </row>
    <row r="1141" spans="4:4">
      <c r="D1141" s="69"/>
    </row>
    <row r="1142" spans="4:4">
      <c r="D1142" s="69"/>
    </row>
    <row r="1143" spans="4:4">
      <c r="D1143" s="69"/>
    </row>
    <row r="1144" spans="4:4">
      <c r="D1144" s="69"/>
    </row>
    <row r="1145" spans="4:4">
      <c r="D1145" s="69"/>
    </row>
    <row r="1146" spans="4:4">
      <c r="D1146" s="69"/>
    </row>
    <row r="1147" spans="4:4">
      <c r="D1147" s="69"/>
    </row>
    <row r="1148" spans="4:4">
      <c r="D1148" s="69"/>
    </row>
    <row r="1149" spans="4:4">
      <c r="D1149" s="69"/>
    </row>
    <row r="1150" spans="4:4">
      <c r="D1150" s="69"/>
    </row>
    <row r="1151" spans="4:4">
      <c r="D1151" s="69"/>
    </row>
    <row r="1152" spans="4:4">
      <c r="D1152" s="69"/>
    </row>
    <row r="1153" spans="4:4">
      <c r="D1153" s="69"/>
    </row>
    <row r="1154" spans="4:4">
      <c r="D1154" s="69"/>
    </row>
    <row r="1155" spans="4:4">
      <c r="D1155" s="69"/>
    </row>
    <row r="1156" spans="4:4">
      <c r="D1156" s="69"/>
    </row>
    <row r="1157" spans="4:4">
      <c r="D1157" s="69"/>
    </row>
    <row r="1158" spans="4:4">
      <c r="D1158" s="69"/>
    </row>
    <row r="1159" spans="4:4">
      <c r="D1159" s="69"/>
    </row>
    <row r="1160" spans="4:4">
      <c r="D1160" s="69"/>
    </row>
    <row r="1161" spans="4:4">
      <c r="D1161" s="69"/>
    </row>
    <row r="1162" spans="4:4">
      <c r="D1162" s="69"/>
    </row>
    <row r="1163" spans="4:4">
      <c r="D1163" s="69"/>
    </row>
    <row r="1164" spans="4:4">
      <c r="D1164" s="69"/>
    </row>
    <row r="1165" spans="4:4">
      <c r="D1165" s="69"/>
    </row>
    <row r="1166" spans="4:4">
      <c r="D1166" s="69"/>
    </row>
    <row r="1167" spans="4:4">
      <c r="D1167" s="69"/>
    </row>
    <row r="1168" spans="4:4">
      <c r="D1168" s="69"/>
    </row>
    <row r="1169" spans="4:4">
      <c r="D1169" s="69"/>
    </row>
    <row r="1170" spans="4:4">
      <c r="D1170" s="69"/>
    </row>
    <row r="1171" spans="4:4">
      <c r="D1171" s="69"/>
    </row>
    <row r="1172" spans="4:4">
      <c r="D1172" s="69"/>
    </row>
    <row r="1173" spans="4:4">
      <c r="D1173" s="69"/>
    </row>
    <row r="1174" spans="4:4">
      <c r="D1174" s="69"/>
    </row>
    <row r="1175" spans="4:4">
      <c r="D1175" s="69"/>
    </row>
    <row r="1176" spans="4:4">
      <c r="D1176" s="69"/>
    </row>
    <row r="1177" spans="4:4">
      <c r="D1177" s="69"/>
    </row>
    <row r="1178" spans="4:4">
      <c r="D1178" s="69"/>
    </row>
    <row r="1179" spans="4:4">
      <c r="D1179" s="69"/>
    </row>
    <row r="1180" spans="4:4">
      <c r="D1180" s="69"/>
    </row>
    <row r="1181" spans="4:4">
      <c r="D1181" s="69"/>
    </row>
    <row r="1182" spans="4:4">
      <c r="D1182" s="69"/>
    </row>
    <row r="1183" spans="4:4">
      <c r="D1183" s="69"/>
    </row>
    <row r="1184" spans="4:4">
      <c r="D1184" s="69"/>
    </row>
    <row r="1185" spans="4:4">
      <c r="D1185" s="69"/>
    </row>
    <row r="1186" spans="4:4">
      <c r="D1186" s="69"/>
    </row>
    <row r="1187" spans="4:4">
      <c r="D1187" s="69"/>
    </row>
    <row r="1188" spans="4:4">
      <c r="D1188" s="69"/>
    </row>
    <row r="1189" spans="4:4">
      <c r="D1189" s="69"/>
    </row>
    <row r="1190" spans="4:4">
      <c r="D1190" s="69"/>
    </row>
    <row r="1191" spans="4:4">
      <c r="D1191" s="69"/>
    </row>
    <row r="1192" spans="4:4">
      <c r="D1192" s="69"/>
    </row>
    <row r="1193" spans="4:4">
      <c r="D1193" s="69"/>
    </row>
    <row r="1194" spans="4:4">
      <c r="D1194" s="69"/>
    </row>
    <row r="1195" spans="4:4">
      <c r="D1195" s="69"/>
    </row>
    <row r="1196" spans="4:4">
      <c r="D1196" s="69"/>
    </row>
    <row r="1197" spans="4:4">
      <c r="D1197" s="69"/>
    </row>
    <row r="1198" spans="4:4">
      <c r="D1198" s="69"/>
    </row>
    <row r="1199" spans="4:4">
      <c r="D1199" s="69"/>
    </row>
    <row r="1200" spans="4:4">
      <c r="D1200" s="69"/>
    </row>
    <row r="1201" spans="4:4">
      <c r="D1201" s="69"/>
    </row>
    <row r="1202" spans="4:4">
      <c r="D1202" s="69"/>
    </row>
    <row r="1203" spans="4:4">
      <c r="D1203" s="69"/>
    </row>
    <row r="1204" spans="4:4">
      <c r="D1204" s="69"/>
    </row>
    <row r="1205" spans="4:4">
      <c r="D1205" s="69"/>
    </row>
    <row r="1206" spans="4:4">
      <c r="D1206" s="69"/>
    </row>
    <row r="1207" spans="4:4">
      <c r="D1207" s="69"/>
    </row>
    <row r="1208" spans="4:4">
      <c r="D1208" s="69"/>
    </row>
    <row r="1209" spans="4:4">
      <c r="D1209" s="69"/>
    </row>
    <row r="1210" spans="4:4">
      <c r="D1210" s="69"/>
    </row>
    <row r="1211" spans="4:4">
      <c r="D1211" s="69"/>
    </row>
    <row r="1212" spans="4:4">
      <c r="D1212" s="69"/>
    </row>
    <row r="1213" spans="4:4">
      <c r="D1213" s="69"/>
    </row>
    <row r="1214" spans="4:4">
      <c r="D1214" s="69"/>
    </row>
    <row r="1215" spans="4:4">
      <c r="D1215" s="69"/>
    </row>
    <row r="1216" spans="4:4">
      <c r="D1216" s="69"/>
    </row>
    <row r="1217" spans="4:4">
      <c r="D1217" s="69"/>
    </row>
    <row r="1218" spans="4:4">
      <c r="D1218" s="69"/>
    </row>
    <row r="1219" spans="4:4">
      <c r="D1219" s="69"/>
    </row>
    <row r="1220" spans="4:4">
      <c r="D1220" s="69"/>
    </row>
    <row r="1221" spans="4:4">
      <c r="D1221" s="69"/>
    </row>
    <row r="1222" spans="4:4">
      <c r="D1222" s="69"/>
    </row>
    <row r="1223" spans="4:4">
      <c r="D1223" s="69"/>
    </row>
    <row r="1224" spans="4:4">
      <c r="D1224" s="69"/>
    </row>
    <row r="1225" spans="4:4">
      <c r="D1225" s="69"/>
    </row>
    <row r="1226" spans="4:4">
      <c r="D1226" s="69"/>
    </row>
    <row r="1227" spans="4:4">
      <c r="D1227" s="69"/>
    </row>
    <row r="1228" spans="4:4">
      <c r="D1228" s="69"/>
    </row>
    <row r="1229" spans="4:4">
      <c r="D1229" s="69"/>
    </row>
    <row r="1230" spans="4:4">
      <c r="D1230" s="69"/>
    </row>
    <row r="1231" spans="4:4">
      <c r="D1231" s="69"/>
    </row>
    <row r="1232" spans="4:4">
      <c r="D1232" s="69"/>
    </row>
    <row r="1233" spans="4:4">
      <c r="D1233" s="69"/>
    </row>
    <row r="1234" spans="4:4">
      <c r="D1234" s="69"/>
    </row>
    <row r="1235" spans="4:4">
      <c r="D1235" s="69"/>
    </row>
    <row r="1236" spans="4:4">
      <c r="D1236" s="69"/>
    </row>
    <row r="1237" spans="4:4">
      <c r="D1237" s="69"/>
    </row>
    <row r="1238" spans="4:4">
      <c r="D1238" s="69"/>
    </row>
    <row r="1239" spans="4:4">
      <c r="D1239" s="69"/>
    </row>
    <row r="1240" spans="4:4">
      <c r="D1240" s="69"/>
    </row>
    <row r="1241" spans="4:4">
      <c r="D1241" s="69"/>
    </row>
    <row r="1242" spans="4:4">
      <c r="D1242" s="69"/>
    </row>
    <row r="1243" spans="4:4">
      <c r="D1243" s="69"/>
    </row>
    <row r="1244" spans="4:4">
      <c r="D1244" s="69"/>
    </row>
    <row r="1245" spans="4:4">
      <c r="D1245" s="69"/>
    </row>
    <row r="1246" spans="4:4">
      <c r="D1246" s="69"/>
    </row>
    <row r="1247" spans="4:4">
      <c r="D1247" s="69"/>
    </row>
    <row r="1248" spans="4:4">
      <c r="D1248" s="69"/>
    </row>
    <row r="1249" spans="4:4">
      <c r="D1249" s="69"/>
    </row>
    <row r="1250" spans="4:4">
      <c r="D1250" s="69"/>
    </row>
    <row r="1251" spans="4:4">
      <c r="D1251" s="69"/>
    </row>
    <row r="1252" spans="4:4">
      <c r="D1252" s="69"/>
    </row>
    <row r="1253" spans="4:4">
      <c r="D1253" s="69"/>
    </row>
    <row r="1254" spans="4:4">
      <c r="D1254" s="69"/>
    </row>
    <row r="1255" spans="4:4">
      <c r="D1255" s="69"/>
    </row>
    <row r="1256" spans="4:4">
      <c r="D1256" s="69"/>
    </row>
    <row r="1257" spans="4:4">
      <c r="D1257" s="69"/>
    </row>
    <row r="1258" spans="4:4">
      <c r="D1258" s="69"/>
    </row>
    <row r="1259" spans="4:4">
      <c r="D1259" s="69"/>
    </row>
    <row r="1260" spans="4:4">
      <c r="D1260" s="69"/>
    </row>
    <row r="1261" spans="4:4">
      <c r="D1261" s="69"/>
    </row>
    <row r="1262" spans="4:4">
      <c r="D1262" s="69"/>
    </row>
    <row r="1263" spans="4:4">
      <c r="D1263" s="69"/>
    </row>
    <row r="1264" spans="4:4">
      <c r="D1264" s="69"/>
    </row>
    <row r="1265" spans="4:4">
      <c r="D1265" s="69"/>
    </row>
    <row r="1266" spans="4:4">
      <c r="D1266" s="69"/>
    </row>
    <row r="1267" spans="4:4">
      <c r="D1267" s="69"/>
    </row>
    <row r="1268" spans="4:4">
      <c r="D1268" s="69"/>
    </row>
    <row r="1269" spans="4:4">
      <c r="D1269" s="69"/>
    </row>
    <row r="1270" spans="4:4">
      <c r="D1270" s="69"/>
    </row>
    <row r="1271" spans="4:4">
      <c r="D1271" s="69"/>
    </row>
    <row r="1272" spans="4:4">
      <c r="D1272" s="69"/>
    </row>
    <row r="1273" spans="4:4">
      <c r="D1273" s="69"/>
    </row>
    <row r="1274" spans="4:4">
      <c r="D1274" s="69"/>
    </row>
    <row r="1275" spans="4:4">
      <c r="D1275" s="69"/>
    </row>
    <row r="1276" spans="4:4">
      <c r="D1276" s="69"/>
    </row>
    <row r="1277" spans="4:4">
      <c r="D1277" s="69"/>
    </row>
    <row r="1278" spans="4:4">
      <c r="D1278" s="69"/>
    </row>
    <row r="1279" spans="4:4">
      <c r="D1279" s="69"/>
    </row>
    <row r="1280" spans="4:4">
      <c r="D1280" s="69"/>
    </row>
    <row r="1281" spans="4:4">
      <c r="D1281" s="69"/>
    </row>
    <row r="1282" spans="4:4">
      <c r="D1282" s="69"/>
    </row>
    <row r="1283" spans="4:4">
      <c r="D1283" s="69"/>
    </row>
    <row r="1284" spans="4:4">
      <c r="D1284" s="69"/>
    </row>
    <row r="1285" spans="4:4">
      <c r="D1285" s="69"/>
    </row>
    <row r="1286" spans="4:4">
      <c r="D1286" s="69"/>
    </row>
    <row r="1287" spans="4:4">
      <c r="D1287" s="69"/>
    </row>
    <row r="1288" spans="4:4">
      <c r="D1288" s="69"/>
    </row>
    <row r="1289" spans="4:4">
      <c r="D1289" s="69"/>
    </row>
    <row r="1290" spans="4:4">
      <c r="D1290" s="69"/>
    </row>
    <row r="1291" spans="4:4">
      <c r="D1291" s="69"/>
    </row>
    <row r="1292" spans="4:4">
      <c r="D1292" s="69"/>
    </row>
    <row r="1293" spans="4:4">
      <c r="D1293" s="69"/>
    </row>
    <row r="1294" spans="4:4">
      <c r="D1294" s="69"/>
    </row>
    <row r="1295" spans="4:4">
      <c r="D1295" s="69"/>
    </row>
    <row r="1296" spans="4:4">
      <c r="D1296" s="69"/>
    </row>
    <row r="1297" spans="4:4">
      <c r="D1297" s="69"/>
    </row>
    <row r="1298" spans="4:4">
      <c r="D1298" s="69"/>
    </row>
    <row r="1299" spans="4:4">
      <c r="D1299" s="69"/>
    </row>
    <row r="1300" spans="4:4">
      <c r="D1300" s="69"/>
    </row>
    <row r="1301" spans="4:4">
      <c r="D1301" s="69"/>
    </row>
    <row r="1302" spans="4:4">
      <c r="D1302" s="69"/>
    </row>
    <row r="1303" spans="4:4">
      <c r="D1303" s="69"/>
    </row>
    <row r="1304" spans="4:4">
      <c r="D1304" s="69"/>
    </row>
    <row r="1305" spans="4:4">
      <c r="D1305" s="69"/>
    </row>
    <row r="1306" spans="4:4">
      <c r="D1306" s="69"/>
    </row>
    <row r="1307" spans="4:4">
      <c r="D1307" s="69"/>
    </row>
    <row r="1308" spans="4:4">
      <c r="D1308" s="69"/>
    </row>
    <row r="1309" spans="4:4">
      <c r="D1309" s="69"/>
    </row>
    <row r="1310" spans="4:4">
      <c r="D1310" s="69"/>
    </row>
    <row r="1311" spans="4:4">
      <c r="D1311" s="69"/>
    </row>
    <row r="1312" spans="4:4">
      <c r="D1312" s="69"/>
    </row>
    <row r="1313" spans="4:4">
      <c r="D1313" s="69"/>
    </row>
    <row r="1314" spans="4:4">
      <c r="D1314" s="69"/>
    </row>
    <row r="1315" spans="4:4">
      <c r="D1315" s="69"/>
    </row>
    <row r="1316" spans="4:4">
      <c r="D1316" s="69"/>
    </row>
    <row r="1317" spans="4:4">
      <c r="D1317" s="69"/>
    </row>
    <row r="1318" spans="4:4">
      <c r="D1318" s="69"/>
    </row>
    <row r="1319" spans="4:4">
      <c r="D1319" s="69"/>
    </row>
    <row r="1320" spans="4:4">
      <c r="D1320" s="69"/>
    </row>
    <row r="1321" spans="4:4">
      <c r="D1321" s="69"/>
    </row>
    <row r="1322" spans="4:4">
      <c r="D1322" s="69"/>
    </row>
    <row r="1323" spans="4:4">
      <c r="D1323" s="69"/>
    </row>
    <row r="1324" spans="4:4">
      <c r="D1324" s="69"/>
    </row>
    <row r="1325" spans="4:4">
      <c r="D1325" s="69"/>
    </row>
    <row r="1326" spans="4:4">
      <c r="D1326" s="69"/>
    </row>
    <row r="1327" spans="4:4">
      <c r="D1327" s="69"/>
    </row>
    <row r="1328" spans="4:4">
      <c r="D1328" s="69"/>
    </row>
    <row r="1329" spans="4:4">
      <c r="D1329" s="69"/>
    </row>
    <row r="1330" spans="4:4">
      <c r="D1330" s="69"/>
    </row>
    <row r="1331" spans="4:4">
      <c r="D1331" s="69"/>
    </row>
    <row r="1332" spans="4:4">
      <c r="D1332" s="69"/>
    </row>
    <row r="1333" spans="4:4">
      <c r="D1333" s="69"/>
    </row>
    <row r="1334" spans="4:4">
      <c r="D1334" s="69"/>
    </row>
    <row r="1335" spans="4:4">
      <c r="D1335" s="69"/>
    </row>
    <row r="1336" spans="4:4">
      <c r="D1336" s="69"/>
    </row>
    <row r="1337" spans="4:4">
      <c r="D1337" s="69"/>
    </row>
    <row r="1338" spans="4:4">
      <c r="D1338" s="69"/>
    </row>
    <row r="1339" spans="4:4">
      <c r="D1339" s="69"/>
    </row>
    <row r="1340" spans="4:4">
      <c r="D1340" s="69"/>
    </row>
    <row r="1341" spans="4:4">
      <c r="D1341" s="69"/>
    </row>
    <row r="1342" spans="4:4">
      <c r="D1342" s="69"/>
    </row>
    <row r="1343" spans="4:4">
      <c r="D1343" s="69"/>
    </row>
    <row r="1344" spans="4:4">
      <c r="D1344" s="69"/>
    </row>
    <row r="1345" spans="4:4">
      <c r="D1345" s="69"/>
    </row>
    <row r="1346" spans="4:4">
      <c r="D1346" s="69"/>
    </row>
    <row r="1347" spans="4:4">
      <c r="D1347" s="69"/>
    </row>
    <row r="1348" spans="4:4">
      <c r="D1348" s="69"/>
    </row>
    <row r="1349" spans="4:4">
      <c r="D1349" s="69"/>
    </row>
    <row r="1350" spans="4:4">
      <c r="D1350" s="69"/>
    </row>
    <row r="1351" spans="4:4">
      <c r="D1351" s="69"/>
    </row>
    <row r="1352" spans="4:4">
      <c r="D1352" s="69"/>
    </row>
    <row r="1353" spans="4:4">
      <c r="D1353" s="69"/>
    </row>
    <row r="1354" spans="4:4">
      <c r="D1354" s="69"/>
    </row>
    <row r="1355" spans="4:4">
      <c r="D1355" s="69"/>
    </row>
    <row r="1356" spans="4:4">
      <c r="D1356" s="69"/>
    </row>
    <row r="1357" spans="4:4">
      <c r="D1357" s="69"/>
    </row>
    <row r="1358" spans="4:4">
      <c r="D1358" s="69"/>
    </row>
    <row r="1359" spans="4:4">
      <c r="D1359" s="69"/>
    </row>
    <row r="1360" spans="4:4">
      <c r="D1360" s="69"/>
    </row>
    <row r="1361" spans="4:4">
      <c r="D1361" s="69"/>
    </row>
    <row r="1362" spans="4:4">
      <c r="D1362" s="69"/>
    </row>
    <row r="1363" spans="4:4">
      <c r="D1363" s="69"/>
    </row>
    <row r="1364" spans="4:4">
      <c r="D1364" s="69"/>
    </row>
    <row r="1365" spans="4:4">
      <c r="D1365" s="69"/>
    </row>
    <row r="1366" spans="4:4">
      <c r="D1366" s="69"/>
    </row>
    <row r="1367" spans="4:4">
      <c r="D1367" s="69"/>
    </row>
    <row r="1368" spans="4:4">
      <c r="D1368" s="69"/>
    </row>
    <row r="1369" spans="4:4">
      <c r="D1369" s="69"/>
    </row>
    <row r="1370" spans="4:4">
      <c r="D1370" s="69"/>
    </row>
    <row r="1371" spans="4:4">
      <c r="D1371" s="69"/>
    </row>
    <row r="1372" spans="4:4">
      <c r="D1372" s="69"/>
    </row>
    <row r="1373" spans="4:4">
      <c r="D1373" s="69"/>
    </row>
    <row r="1374" spans="4:4">
      <c r="D1374" s="69"/>
    </row>
    <row r="1375" spans="4:4">
      <c r="D1375" s="69"/>
    </row>
    <row r="1376" spans="4:4">
      <c r="D1376" s="69"/>
    </row>
    <row r="1377" spans="4:4">
      <c r="D1377" s="69"/>
    </row>
    <row r="1378" spans="4:4">
      <c r="D1378" s="69"/>
    </row>
    <row r="1379" spans="4:4">
      <c r="D1379" s="69"/>
    </row>
    <row r="1380" spans="4:4">
      <c r="D1380" s="69"/>
    </row>
    <row r="1381" spans="4:4">
      <c r="D1381" s="69"/>
    </row>
    <row r="1382" spans="4:4">
      <c r="D1382" s="69"/>
    </row>
    <row r="1383" spans="4:4">
      <c r="D1383" s="69"/>
    </row>
    <row r="1384" spans="4:4">
      <c r="D1384" s="69"/>
    </row>
    <row r="1385" spans="4:4">
      <c r="D1385" s="69"/>
    </row>
    <row r="1386" spans="4:4">
      <c r="D1386" s="69"/>
    </row>
    <row r="1387" spans="4:4">
      <c r="D1387" s="69"/>
    </row>
    <row r="1388" spans="4:4">
      <c r="D1388" s="69"/>
    </row>
    <row r="1389" spans="4:4">
      <c r="D1389" s="69"/>
    </row>
    <row r="1390" spans="4:4">
      <c r="D1390" s="69"/>
    </row>
    <row r="1391" spans="4:4">
      <c r="D1391" s="69"/>
    </row>
    <row r="1392" spans="4:4">
      <c r="D1392" s="69"/>
    </row>
    <row r="1393" spans="4:4">
      <c r="D1393" s="69"/>
    </row>
    <row r="1394" spans="4:4">
      <c r="D1394" s="69"/>
    </row>
    <row r="1395" spans="4:4">
      <c r="D1395" s="69"/>
    </row>
    <row r="1396" spans="4:4">
      <c r="D1396" s="69"/>
    </row>
    <row r="1397" spans="4:4">
      <c r="D1397" s="69"/>
    </row>
    <row r="1398" spans="4:4">
      <c r="D1398" s="69"/>
    </row>
    <row r="1399" spans="4:4">
      <c r="D1399" s="69"/>
    </row>
    <row r="1400" spans="4:4">
      <c r="D1400" s="69"/>
    </row>
    <row r="1401" spans="4:4">
      <c r="D1401" s="69"/>
    </row>
    <row r="1402" spans="4:4">
      <c r="D1402" s="69"/>
    </row>
    <row r="1403" spans="4:4">
      <c r="D1403" s="69"/>
    </row>
    <row r="1404" spans="4:4">
      <c r="D1404" s="69"/>
    </row>
    <row r="1405" spans="4:4">
      <c r="D1405" s="69"/>
    </row>
    <row r="1406" spans="4:4">
      <c r="D1406" s="69"/>
    </row>
    <row r="1407" spans="4:4">
      <c r="D1407" s="69"/>
    </row>
    <row r="1408" spans="4:4">
      <c r="D1408" s="69"/>
    </row>
    <row r="1409" spans="4:4">
      <c r="D1409" s="69"/>
    </row>
    <row r="1410" spans="4:4">
      <c r="D1410" s="69"/>
    </row>
    <row r="1411" spans="4:4">
      <c r="D1411" s="69"/>
    </row>
    <row r="1412" spans="4:4">
      <c r="D1412" s="69"/>
    </row>
    <row r="1413" spans="4:4">
      <c r="D1413" s="69"/>
    </row>
    <row r="1414" spans="4:4">
      <c r="D1414" s="69"/>
    </row>
    <row r="1415" spans="4:4">
      <c r="D1415" s="69"/>
    </row>
    <row r="1416" spans="4:4">
      <c r="D1416" s="69"/>
    </row>
    <row r="1417" spans="4:4">
      <c r="D1417" s="69"/>
    </row>
    <row r="1418" spans="4:4">
      <c r="D1418" s="69"/>
    </row>
    <row r="1419" spans="4:4">
      <c r="D1419" s="69"/>
    </row>
    <row r="1420" spans="4:4">
      <c r="D1420" s="69"/>
    </row>
    <row r="1421" spans="4:4">
      <c r="D1421" s="69"/>
    </row>
    <row r="1422" spans="4:4">
      <c r="D1422" s="69"/>
    </row>
    <row r="1423" spans="4:4">
      <c r="D1423" s="69"/>
    </row>
    <row r="1424" spans="4:4">
      <c r="D1424" s="69"/>
    </row>
    <row r="1425" spans="4:4">
      <c r="D1425" s="69"/>
    </row>
    <row r="1426" spans="4:4">
      <c r="D1426" s="69"/>
    </row>
    <row r="1427" spans="4:4">
      <c r="D1427" s="69"/>
    </row>
    <row r="1428" spans="4:4">
      <c r="D1428" s="69"/>
    </row>
    <row r="1429" spans="4:4">
      <c r="D1429" s="69"/>
    </row>
    <row r="1430" spans="4:4">
      <c r="D1430" s="69"/>
    </row>
    <row r="1431" spans="4:4">
      <c r="D1431" s="69"/>
    </row>
    <row r="1432" spans="4:4">
      <c r="D1432" s="69"/>
    </row>
    <row r="1433" spans="4:4">
      <c r="D1433" s="69"/>
    </row>
    <row r="1434" spans="4:4">
      <c r="D1434" s="69"/>
    </row>
    <row r="1435" spans="4:4">
      <c r="D1435" s="69"/>
    </row>
    <row r="1436" spans="4:4">
      <c r="D1436" s="69"/>
    </row>
    <row r="1437" spans="4:4">
      <c r="D1437" s="69"/>
    </row>
    <row r="1438" spans="4:4">
      <c r="D1438" s="69"/>
    </row>
    <row r="1439" spans="4:4">
      <c r="D1439" s="69"/>
    </row>
    <row r="1440" spans="4:4">
      <c r="D1440" s="69"/>
    </row>
    <row r="1441" spans="4:4">
      <c r="D1441" s="69"/>
    </row>
    <row r="1442" spans="4:4">
      <c r="D1442" s="69"/>
    </row>
    <row r="1443" spans="4:4">
      <c r="D1443" s="69"/>
    </row>
    <row r="1444" spans="4:4">
      <c r="D1444" s="69"/>
    </row>
    <row r="1445" spans="4:4">
      <c r="D1445" s="69"/>
    </row>
    <row r="1446" spans="4:4">
      <c r="D1446" s="69"/>
    </row>
    <row r="1447" spans="4:4">
      <c r="D1447" s="69"/>
    </row>
    <row r="1448" spans="4:4">
      <c r="D1448" s="69"/>
    </row>
    <row r="1449" spans="4:4">
      <c r="D1449" s="69"/>
    </row>
    <row r="1450" spans="4:4">
      <c r="D1450" s="69"/>
    </row>
    <row r="1451" spans="4:4">
      <c r="D1451" s="69"/>
    </row>
    <row r="1452" spans="4:4">
      <c r="D1452" s="69"/>
    </row>
    <row r="1453" spans="4:4">
      <c r="D1453" s="69"/>
    </row>
    <row r="1454" spans="4:4">
      <c r="D1454" s="69"/>
    </row>
    <row r="1455" spans="4:4">
      <c r="D1455" s="69"/>
    </row>
    <row r="1456" spans="4:4">
      <c r="D1456" s="69"/>
    </row>
    <row r="1457" spans="4:4">
      <c r="D1457" s="69"/>
    </row>
    <row r="1458" spans="4:4">
      <c r="D1458" s="69"/>
    </row>
    <row r="1459" spans="4:4">
      <c r="D1459" s="69"/>
    </row>
    <row r="1460" spans="4:4">
      <c r="D1460" s="69"/>
    </row>
    <row r="1461" spans="4:4">
      <c r="D1461" s="69"/>
    </row>
    <row r="1462" spans="4:4">
      <c r="D1462" s="69"/>
    </row>
    <row r="1463" spans="4:4">
      <c r="D1463" s="69"/>
    </row>
    <row r="1464" spans="4:4">
      <c r="D1464" s="69"/>
    </row>
    <row r="1465" spans="4:4">
      <c r="D1465" s="69"/>
    </row>
    <row r="1466" spans="4:4">
      <c r="D1466" s="69"/>
    </row>
    <row r="1467" spans="4:4">
      <c r="D1467" s="69"/>
    </row>
    <row r="1468" spans="4:4">
      <c r="D1468" s="69"/>
    </row>
    <row r="1469" spans="4:4">
      <c r="D1469" s="69"/>
    </row>
    <row r="1470" spans="4:4">
      <c r="D1470" s="69"/>
    </row>
    <row r="1471" spans="4:4">
      <c r="D1471" s="69"/>
    </row>
    <row r="1472" spans="4:4">
      <c r="D1472" s="69"/>
    </row>
    <row r="1473" spans="4:4">
      <c r="D1473" s="69"/>
    </row>
    <row r="1474" spans="4:4">
      <c r="D1474" s="69"/>
    </row>
    <row r="1475" spans="4:4">
      <c r="D1475" s="69"/>
    </row>
    <row r="1476" spans="4:4">
      <c r="D1476" s="69"/>
    </row>
    <row r="1477" spans="4:4">
      <c r="D1477" s="69"/>
    </row>
    <row r="1478" spans="4:4">
      <c r="D1478" s="69"/>
    </row>
    <row r="1479" spans="4:4">
      <c r="D1479" s="69"/>
    </row>
    <row r="1480" spans="4:4">
      <c r="D1480" s="69"/>
    </row>
    <row r="1481" spans="4:4">
      <c r="D1481" s="69"/>
    </row>
    <row r="1482" spans="4:4">
      <c r="D1482" s="69"/>
    </row>
    <row r="1483" spans="4:4">
      <c r="D1483" s="69"/>
    </row>
    <row r="1484" spans="4:4">
      <c r="D1484" s="69"/>
    </row>
    <row r="1485" spans="4:4">
      <c r="D1485" s="69"/>
    </row>
    <row r="1486" spans="4:4">
      <c r="D1486" s="69"/>
    </row>
    <row r="1487" spans="4:4">
      <c r="D1487" s="69"/>
    </row>
    <row r="1488" spans="4:4">
      <c r="D1488" s="69"/>
    </row>
    <row r="1489" spans="4:4">
      <c r="D1489" s="69"/>
    </row>
    <row r="1490" spans="4:4">
      <c r="D1490" s="69"/>
    </row>
    <row r="1491" spans="4:4">
      <c r="D1491" s="69"/>
    </row>
    <row r="1492" spans="4:4">
      <c r="D1492" s="69"/>
    </row>
    <row r="1493" spans="4:4">
      <c r="D1493" s="69"/>
    </row>
    <row r="1494" spans="4:4">
      <c r="D1494" s="69"/>
    </row>
    <row r="1495" spans="4:4">
      <c r="D1495" s="69"/>
    </row>
    <row r="1496" spans="4:4">
      <c r="D1496" s="69"/>
    </row>
    <row r="1497" spans="4:4">
      <c r="D1497" s="69"/>
    </row>
    <row r="1498" spans="4:4">
      <c r="D1498" s="69"/>
    </row>
    <row r="1499" spans="4:4">
      <c r="D1499" s="69"/>
    </row>
    <row r="1500" spans="4:4">
      <c r="D1500" s="69"/>
    </row>
    <row r="1501" spans="4:4">
      <c r="D1501" s="69"/>
    </row>
    <row r="1502" spans="4:4">
      <c r="D1502" s="69"/>
    </row>
    <row r="1503" spans="4:4">
      <c r="D1503" s="69"/>
    </row>
    <row r="1504" spans="4:4">
      <c r="D1504" s="69"/>
    </row>
    <row r="1505" spans="4:4">
      <c r="D1505" s="69"/>
    </row>
    <row r="1506" spans="4:4">
      <c r="D1506" s="69"/>
    </row>
    <row r="1507" spans="4:4">
      <c r="D1507" s="69"/>
    </row>
    <row r="1508" spans="4:4">
      <c r="D1508" s="69"/>
    </row>
    <row r="1509" spans="4:4">
      <c r="D1509" s="69"/>
    </row>
    <row r="1510" spans="4:4">
      <c r="D1510" s="69"/>
    </row>
    <row r="1511" spans="4:4">
      <c r="D1511" s="69"/>
    </row>
    <row r="1512" spans="4:4">
      <c r="D1512" s="69"/>
    </row>
    <row r="1513" spans="4:4">
      <c r="D1513" s="69"/>
    </row>
    <row r="1514" spans="4:4">
      <c r="D1514" s="69"/>
    </row>
    <row r="1515" spans="4:4">
      <c r="D1515" s="69"/>
    </row>
    <row r="1516" spans="4:4">
      <c r="D1516" s="69"/>
    </row>
    <row r="1517" spans="4:4">
      <c r="D1517" s="69"/>
    </row>
    <row r="1518" spans="4:4">
      <c r="D1518" s="69"/>
    </row>
    <row r="1519" spans="4:4">
      <c r="D1519" s="69"/>
    </row>
    <row r="1520" spans="4:4">
      <c r="D1520" s="69"/>
    </row>
    <row r="1521" spans="4:4">
      <c r="D1521" s="69"/>
    </row>
    <row r="1522" spans="4:4">
      <c r="D1522" s="69"/>
    </row>
    <row r="1523" spans="4:4">
      <c r="D1523" s="69"/>
    </row>
    <row r="1524" spans="4:4">
      <c r="D1524" s="69"/>
    </row>
    <row r="1525" spans="4:4">
      <c r="D1525" s="69"/>
    </row>
    <row r="1526" spans="4:4">
      <c r="D1526" s="69"/>
    </row>
    <row r="1527" spans="4:4">
      <c r="D1527" s="69"/>
    </row>
    <row r="1528" spans="4:4">
      <c r="D1528" s="69"/>
    </row>
    <row r="1529" spans="4:4">
      <c r="D1529" s="69"/>
    </row>
    <row r="1530" spans="4:4">
      <c r="D1530" s="69"/>
    </row>
    <row r="1531" spans="4:4">
      <c r="D1531" s="69"/>
    </row>
    <row r="1532" spans="4:4">
      <c r="D1532" s="69"/>
    </row>
    <row r="1533" spans="4:4">
      <c r="D1533" s="69"/>
    </row>
    <row r="1534" spans="4:4">
      <c r="D1534" s="69"/>
    </row>
    <row r="1535" spans="4:4">
      <c r="D1535" s="69"/>
    </row>
    <row r="1536" spans="4:4">
      <c r="D1536" s="69"/>
    </row>
    <row r="1537" spans="4:4">
      <c r="D1537" s="69"/>
    </row>
    <row r="1538" spans="4:4">
      <c r="D1538" s="69"/>
    </row>
    <row r="1539" spans="4:4">
      <c r="D1539" s="69"/>
    </row>
    <row r="1540" spans="4:4">
      <c r="D1540" s="69"/>
    </row>
    <row r="1541" spans="4:4">
      <c r="D1541" s="69"/>
    </row>
    <row r="1542" spans="4:4">
      <c r="D1542" s="69"/>
    </row>
    <row r="1543" spans="4:4">
      <c r="D1543" s="69"/>
    </row>
    <row r="1544" spans="4:4">
      <c r="D1544" s="69"/>
    </row>
    <row r="1545" spans="4:4">
      <c r="D1545" s="69"/>
    </row>
    <row r="1546" spans="4:4">
      <c r="D1546" s="69"/>
    </row>
    <row r="1547" spans="4:4">
      <c r="D1547" s="69"/>
    </row>
    <row r="1548" spans="4:4">
      <c r="D1548" s="69"/>
    </row>
    <row r="1549" spans="4:4">
      <c r="D1549" s="69"/>
    </row>
    <row r="1550" spans="4:4">
      <c r="D1550" s="69"/>
    </row>
    <row r="1551" spans="4:4">
      <c r="D1551" s="69"/>
    </row>
    <row r="1552" spans="4:4">
      <c r="D1552" s="69"/>
    </row>
    <row r="1553" spans="4:4">
      <c r="D1553" s="69"/>
    </row>
    <row r="1554" spans="4:4">
      <c r="D1554" s="69"/>
    </row>
    <row r="1555" spans="4:4">
      <c r="D1555" s="69"/>
    </row>
    <row r="1556" spans="4:4">
      <c r="D1556" s="69"/>
    </row>
    <row r="1557" spans="4:4">
      <c r="D1557" s="69"/>
    </row>
    <row r="1558" spans="4:4">
      <c r="D1558" s="69"/>
    </row>
    <row r="1559" spans="4:4">
      <c r="D1559" s="69"/>
    </row>
    <row r="1560" spans="4:4">
      <c r="D1560" s="69"/>
    </row>
    <row r="1561" spans="4:4">
      <c r="D1561" s="69"/>
    </row>
    <row r="1562" spans="4:4">
      <c r="D1562" s="69"/>
    </row>
    <row r="1563" spans="4:4">
      <c r="D1563" s="69"/>
    </row>
    <row r="1564" spans="4:4">
      <c r="D1564" s="69"/>
    </row>
    <row r="1565" spans="4:4">
      <c r="D1565" s="69"/>
    </row>
    <row r="1566" spans="4:4">
      <c r="D1566" s="69"/>
    </row>
    <row r="1567" spans="4:4">
      <c r="D1567" s="69"/>
    </row>
    <row r="1568" spans="4:4">
      <c r="D1568" s="69"/>
    </row>
    <row r="1569" spans="4:4">
      <c r="D1569" s="69"/>
    </row>
    <row r="1570" spans="4:4">
      <c r="D1570" s="69"/>
    </row>
    <row r="1571" spans="4:4">
      <c r="D1571" s="69"/>
    </row>
    <row r="1572" spans="4:4">
      <c r="D1572" s="69"/>
    </row>
    <row r="1573" spans="4:4">
      <c r="D1573" s="69"/>
    </row>
    <row r="1574" spans="4:4">
      <c r="D1574" s="69"/>
    </row>
    <row r="1575" spans="4:4">
      <c r="D1575" s="69"/>
    </row>
    <row r="1576" spans="4:4">
      <c r="D1576" s="69"/>
    </row>
    <row r="1577" spans="4:4">
      <c r="D1577" s="69"/>
    </row>
    <row r="1578" spans="4:4">
      <c r="D1578" s="69"/>
    </row>
    <row r="1579" spans="4:4">
      <c r="D1579" s="69"/>
    </row>
    <row r="1580" spans="4:4">
      <c r="D1580" s="69"/>
    </row>
    <row r="1581" spans="4:4">
      <c r="D1581" s="69"/>
    </row>
    <row r="1582" spans="4:4">
      <c r="D1582" s="69"/>
    </row>
    <row r="1583" spans="4:4">
      <c r="D1583" s="69"/>
    </row>
    <row r="1584" spans="4:4">
      <c r="D1584" s="69"/>
    </row>
    <row r="1585" spans="4:4">
      <c r="D1585" s="69"/>
    </row>
    <row r="1586" spans="4:4">
      <c r="D1586" s="69"/>
    </row>
    <row r="1587" spans="4:4">
      <c r="D1587" s="69"/>
    </row>
    <row r="1588" spans="4:4">
      <c r="D1588" s="69"/>
    </row>
    <row r="1589" spans="4:4">
      <c r="D1589" s="69"/>
    </row>
    <row r="1590" spans="4:4">
      <c r="D1590" s="69"/>
    </row>
    <row r="1591" spans="4:4">
      <c r="D1591" s="69"/>
    </row>
    <row r="1592" spans="4:4">
      <c r="D1592" s="69"/>
    </row>
    <row r="1593" spans="4:4">
      <c r="D1593" s="69"/>
    </row>
    <row r="1594" spans="4:4">
      <c r="D1594" s="69"/>
    </row>
    <row r="1595" spans="4:4">
      <c r="D1595" s="69"/>
    </row>
    <row r="1596" spans="4:4">
      <c r="D1596" s="69"/>
    </row>
    <row r="1597" spans="4:4">
      <c r="D1597" s="69"/>
    </row>
    <row r="1598" spans="4:4">
      <c r="D1598" s="69"/>
    </row>
    <row r="1599" spans="4:4">
      <c r="D1599" s="69"/>
    </row>
    <row r="1600" spans="4:4">
      <c r="D1600" s="69"/>
    </row>
    <row r="1601" spans="4:4">
      <c r="D1601" s="69"/>
    </row>
    <row r="1602" spans="4:4">
      <c r="D1602" s="69"/>
    </row>
    <row r="1603" spans="4:4">
      <c r="D1603" s="69"/>
    </row>
    <row r="1604" spans="4:4">
      <c r="D1604" s="69"/>
    </row>
    <row r="1605" spans="4:4">
      <c r="D1605" s="69"/>
    </row>
    <row r="1606" spans="4:4">
      <c r="D1606" s="69"/>
    </row>
    <row r="1607" spans="4:4">
      <c r="D1607" s="69"/>
    </row>
    <row r="1608" spans="4:4">
      <c r="D1608" s="69"/>
    </row>
    <row r="1609" spans="4:4">
      <c r="D1609" s="69"/>
    </row>
    <row r="1610" spans="4:4">
      <c r="D1610" s="69"/>
    </row>
    <row r="1611" spans="4:4">
      <c r="D1611" s="69"/>
    </row>
    <row r="1612" spans="4:4">
      <c r="D1612" s="69"/>
    </row>
    <row r="1613" spans="4:4">
      <c r="D1613" s="69"/>
    </row>
    <row r="1614" spans="4:4">
      <c r="D1614" s="69"/>
    </row>
    <row r="1615" spans="4:4">
      <c r="D1615" s="69"/>
    </row>
    <row r="1616" spans="4:4">
      <c r="D1616" s="69"/>
    </row>
    <row r="1617" spans="4:4">
      <c r="D1617" s="69"/>
    </row>
    <row r="1618" spans="4:4">
      <c r="D1618" s="69"/>
    </row>
    <row r="1619" spans="4:4">
      <c r="D1619" s="69"/>
    </row>
    <row r="1620" spans="4:4">
      <c r="D1620" s="69"/>
    </row>
    <row r="1621" spans="4:4">
      <c r="D1621" s="69"/>
    </row>
    <row r="1622" spans="4:4">
      <c r="D1622" s="69"/>
    </row>
    <row r="1623" spans="4:4">
      <c r="D1623" s="69"/>
    </row>
    <row r="1624" spans="4:4">
      <c r="D1624" s="69"/>
    </row>
    <row r="1625" spans="4:4">
      <c r="D1625" s="69"/>
    </row>
    <row r="1626" spans="4:4">
      <c r="D1626" s="69"/>
    </row>
    <row r="1627" spans="4:4">
      <c r="D1627" s="69"/>
    </row>
    <row r="1628" spans="4:4">
      <c r="D1628" s="69"/>
    </row>
    <row r="1629" spans="4:4">
      <c r="D1629" s="69"/>
    </row>
    <row r="1630" spans="4:4">
      <c r="D1630" s="69"/>
    </row>
    <row r="1631" spans="4:4">
      <c r="D1631" s="69"/>
    </row>
    <row r="1632" spans="4:4">
      <c r="D1632" s="69"/>
    </row>
    <row r="1633" spans="4:4">
      <c r="D1633" s="69"/>
    </row>
    <row r="1634" spans="4:4">
      <c r="D1634" s="69"/>
    </row>
    <row r="1635" spans="4:4">
      <c r="D1635" s="69"/>
    </row>
    <row r="1636" spans="4:4">
      <c r="D1636" s="69"/>
    </row>
    <row r="1637" spans="4:4">
      <c r="D1637" s="69"/>
    </row>
    <row r="1638" spans="4:4">
      <c r="D1638" s="69"/>
    </row>
    <row r="1639" spans="4:4">
      <c r="D1639" s="69"/>
    </row>
    <row r="1640" spans="4:4">
      <c r="D1640" s="69"/>
    </row>
    <row r="1641" spans="4:4">
      <c r="D1641" s="69"/>
    </row>
    <row r="1642" spans="4:4">
      <c r="D1642" s="69"/>
    </row>
    <row r="1643" spans="4:4">
      <c r="D1643" s="69"/>
    </row>
    <row r="1644" spans="4:4">
      <c r="D1644" s="69"/>
    </row>
    <row r="1645" spans="4:4">
      <c r="D1645" s="69"/>
    </row>
    <row r="1646" spans="4:4">
      <c r="D1646" s="69"/>
    </row>
    <row r="1647" spans="4:4">
      <c r="D1647" s="69"/>
    </row>
    <row r="1648" spans="4:4">
      <c r="D1648" s="69"/>
    </row>
    <row r="1649" spans="4:4">
      <c r="D1649" s="69"/>
    </row>
    <row r="1650" spans="4:4">
      <c r="D1650" s="69"/>
    </row>
    <row r="1651" spans="4:4">
      <c r="D1651" s="69"/>
    </row>
    <row r="1652" spans="4:4">
      <c r="D1652" s="69"/>
    </row>
    <row r="1653" spans="4:4">
      <c r="D1653" s="69"/>
    </row>
    <row r="1654" spans="4:4">
      <c r="D1654" s="69"/>
    </row>
    <row r="1655" spans="4:4">
      <c r="D1655" s="69"/>
    </row>
    <row r="1656" spans="4:4">
      <c r="D1656" s="69"/>
    </row>
    <row r="1657" spans="4:4">
      <c r="D1657" s="69"/>
    </row>
    <row r="1658" spans="4:4">
      <c r="D1658" s="69"/>
    </row>
    <row r="1659" spans="4:4">
      <c r="D1659" s="69"/>
    </row>
    <row r="1660" spans="4:4">
      <c r="D1660" s="69"/>
    </row>
    <row r="1661" spans="4:4">
      <c r="D1661" s="69"/>
    </row>
    <row r="1662" spans="4:4">
      <c r="D1662" s="69"/>
    </row>
    <row r="1663" spans="4:4">
      <c r="D1663" s="69"/>
    </row>
    <row r="1664" spans="4:4">
      <c r="D1664" s="69"/>
    </row>
    <row r="1665" spans="4:4">
      <c r="D1665" s="69"/>
    </row>
    <row r="1666" spans="4:4">
      <c r="D1666" s="69"/>
    </row>
    <row r="1667" spans="4:4">
      <c r="D1667" s="69"/>
    </row>
    <row r="1668" spans="4:4">
      <c r="D1668" s="69"/>
    </row>
    <row r="1669" spans="4:4">
      <c r="D1669" s="69"/>
    </row>
    <row r="1670" spans="4:4">
      <c r="D1670" s="69"/>
    </row>
    <row r="1671" spans="4:4">
      <c r="D1671" s="69"/>
    </row>
    <row r="1672" spans="4:4">
      <c r="D1672" s="69"/>
    </row>
    <row r="1673" spans="4:4">
      <c r="D1673" s="69"/>
    </row>
    <row r="1674" spans="4:4">
      <c r="D1674" s="69"/>
    </row>
    <row r="1675" spans="4:4">
      <c r="D1675" s="69"/>
    </row>
    <row r="1676" spans="4:4">
      <c r="D1676" s="69"/>
    </row>
    <row r="1677" spans="4:4">
      <c r="D1677" s="69"/>
    </row>
    <row r="1678" spans="4:4">
      <c r="D1678" s="69"/>
    </row>
    <row r="1679" spans="4:4">
      <c r="D1679" s="69"/>
    </row>
    <row r="1680" spans="4:4">
      <c r="D1680" s="69"/>
    </row>
    <row r="1681" spans="4:4">
      <c r="D1681" s="69"/>
    </row>
    <row r="1682" spans="4:4">
      <c r="D1682" s="69"/>
    </row>
    <row r="1683" spans="4:4">
      <c r="D1683" s="69"/>
    </row>
    <row r="1684" spans="4:4">
      <c r="D1684" s="69"/>
    </row>
    <row r="1685" spans="4:4">
      <c r="D1685" s="69"/>
    </row>
    <row r="1686" spans="4:4">
      <c r="D1686" s="69"/>
    </row>
    <row r="1687" spans="4:4">
      <c r="D1687" s="69"/>
    </row>
    <row r="1688" spans="4:4">
      <c r="D1688" s="69"/>
    </row>
    <row r="1689" spans="4:4">
      <c r="D1689" s="69"/>
    </row>
    <row r="1690" spans="4:4">
      <c r="D1690" s="69"/>
    </row>
    <row r="1691" spans="4:4">
      <c r="D1691" s="69"/>
    </row>
    <row r="1692" spans="4:4">
      <c r="D1692" s="69"/>
    </row>
    <row r="1693" spans="4:4">
      <c r="D1693" s="69"/>
    </row>
    <row r="1694" spans="4:4">
      <c r="D1694" s="69"/>
    </row>
    <row r="1695" spans="4:4">
      <c r="D1695" s="69"/>
    </row>
    <row r="1696" spans="4:4">
      <c r="D1696" s="69"/>
    </row>
    <row r="1697" spans="4:4">
      <c r="D1697" s="69"/>
    </row>
    <row r="1698" spans="4:4">
      <c r="D1698" s="69"/>
    </row>
    <row r="1699" spans="4:4">
      <c r="D1699" s="69"/>
    </row>
    <row r="1700" spans="4:4">
      <c r="D1700" s="69"/>
    </row>
    <row r="1701" spans="4:4">
      <c r="D1701" s="69"/>
    </row>
    <row r="1702" spans="4:4">
      <c r="D1702" s="69"/>
    </row>
    <row r="1703" spans="4:4">
      <c r="D1703" s="69"/>
    </row>
    <row r="1704" spans="4:4">
      <c r="D1704" s="69"/>
    </row>
    <row r="1705" spans="4:4">
      <c r="D1705" s="69"/>
    </row>
    <row r="1706" spans="4:4">
      <c r="D1706" s="69"/>
    </row>
    <row r="1707" spans="4:4">
      <c r="D1707" s="69"/>
    </row>
    <row r="1708" spans="4:4">
      <c r="D1708" s="69"/>
    </row>
    <row r="1709" spans="4:4">
      <c r="D1709" s="69"/>
    </row>
    <row r="1710" spans="4:4">
      <c r="D1710" s="69"/>
    </row>
    <row r="1711" spans="4:4">
      <c r="D1711" s="69"/>
    </row>
    <row r="1712" spans="4:4">
      <c r="D1712" s="69"/>
    </row>
    <row r="1713" spans="4:4">
      <c r="D1713" s="69"/>
    </row>
    <row r="1714" spans="4:4">
      <c r="D1714" s="69"/>
    </row>
    <row r="1715" spans="4:4">
      <c r="D1715" s="69"/>
    </row>
    <row r="1716" spans="4:4">
      <c r="D1716" s="69"/>
    </row>
    <row r="1717" spans="4:4">
      <c r="D1717" s="69"/>
    </row>
    <row r="1718" spans="4:4">
      <c r="D1718" s="69"/>
    </row>
    <row r="1719" spans="4:4">
      <c r="D1719" s="69"/>
    </row>
    <row r="1720" spans="4:4">
      <c r="D1720" s="69"/>
    </row>
    <row r="1721" spans="4:4">
      <c r="D1721" s="69"/>
    </row>
    <row r="1722" spans="4:4">
      <c r="D1722" s="69"/>
    </row>
    <row r="1723" spans="4:4">
      <c r="D1723" s="69"/>
    </row>
    <row r="1724" spans="4:4">
      <c r="D1724" s="69"/>
    </row>
    <row r="1725" spans="4:4">
      <c r="D1725" s="69"/>
    </row>
    <row r="1726" spans="4:4">
      <c r="D1726" s="69"/>
    </row>
    <row r="1727" spans="4:4">
      <c r="D1727" s="69"/>
    </row>
    <row r="1728" spans="4:4">
      <c r="D1728" s="69"/>
    </row>
    <row r="1729" spans="4:4">
      <c r="D1729" s="69"/>
    </row>
    <row r="1730" spans="4:4">
      <c r="D1730" s="69"/>
    </row>
    <row r="1731" spans="4:4">
      <c r="D1731" s="69"/>
    </row>
    <row r="1732" spans="4:4">
      <c r="D1732" s="69"/>
    </row>
    <row r="1733" spans="4:4">
      <c r="D1733" s="69"/>
    </row>
    <row r="1734" spans="4:4">
      <c r="D1734" s="69"/>
    </row>
    <row r="1735" spans="4:4">
      <c r="D1735" s="69"/>
    </row>
    <row r="1736" spans="4:4">
      <c r="D1736" s="69"/>
    </row>
    <row r="1737" spans="4:4">
      <c r="D1737" s="69"/>
    </row>
    <row r="1738" spans="4:4">
      <c r="D1738" s="69"/>
    </row>
    <row r="1739" spans="4:4">
      <c r="D1739" s="69"/>
    </row>
    <row r="1740" spans="4:4">
      <c r="D1740" s="69"/>
    </row>
    <row r="1741" spans="4:4">
      <c r="D1741" s="69"/>
    </row>
    <row r="1742" spans="4:4">
      <c r="D1742" s="69"/>
    </row>
    <row r="1743" spans="4:4">
      <c r="D1743" s="69"/>
    </row>
    <row r="1744" spans="4:4">
      <c r="D1744" s="69"/>
    </row>
    <row r="1745" spans="4:4">
      <c r="D1745" s="69"/>
    </row>
    <row r="1746" spans="4:4">
      <c r="D1746" s="69"/>
    </row>
    <row r="1747" spans="4:4">
      <c r="D1747" s="69"/>
    </row>
    <row r="1748" spans="4:4">
      <c r="D1748" s="69"/>
    </row>
    <row r="1749" spans="4:4">
      <c r="D1749" s="69"/>
    </row>
    <row r="1750" spans="4:4">
      <c r="D1750" s="69"/>
    </row>
    <row r="1751" spans="4:4">
      <c r="D1751" s="69"/>
    </row>
    <row r="1752" spans="4:4">
      <c r="D1752" s="69"/>
    </row>
    <row r="1753" spans="4:4">
      <c r="D1753" s="69"/>
    </row>
    <row r="1754" spans="4:4">
      <c r="D1754" s="69"/>
    </row>
    <row r="1755" spans="4:4">
      <c r="D1755" s="69"/>
    </row>
    <row r="1756" spans="4:4">
      <c r="D1756" s="69"/>
    </row>
    <row r="1757" spans="4:4">
      <c r="D1757" s="69"/>
    </row>
    <row r="1758" spans="4:4">
      <c r="D1758" s="69"/>
    </row>
    <row r="1759" spans="4:4">
      <c r="D1759" s="69"/>
    </row>
    <row r="1760" spans="4:4">
      <c r="D1760" s="69"/>
    </row>
    <row r="1761" spans="4:4">
      <c r="D1761" s="69"/>
    </row>
    <row r="1762" spans="4:4">
      <c r="D1762" s="69"/>
    </row>
    <row r="1763" spans="4:4">
      <c r="D1763" s="69"/>
    </row>
    <row r="1764" spans="4:4">
      <c r="D1764" s="69"/>
    </row>
    <row r="1765" spans="4:4">
      <c r="D1765" s="69"/>
    </row>
    <row r="1766" spans="4:4">
      <c r="D1766" s="69"/>
    </row>
    <row r="1767" spans="4:4">
      <c r="D1767" s="69"/>
    </row>
    <row r="1768" spans="4:4">
      <c r="D1768" s="69"/>
    </row>
    <row r="1769" spans="4:4">
      <c r="D1769" s="69"/>
    </row>
    <row r="1770" spans="4:4">
      <c r="D1770" s="69"/>
    </row>
    <row r="1771" spans="4:4">
      <c r="D1771" s="69"/>
    </row>
    <row r="1772" spans="4:4">
      <c r="D1772" s="69"/>
    </row>
    <row r="1773" spans="4:4">
      <c r="D1773" s="69"/>
    </row>
    <row r="1774" spans="4:4">
      <c r="D1774" s="69"/>
    </row>
    <row r="1775" spans="4:4">
      <c r="D1775" s="69"/>
    </row>
    <row r="1776" spans="4:4">
      <c r="D1776" s="69"/>
    </row>
    <row r="1777" spans="4:4">
      <c r="D1777" s="69"/>
    </row>
    <row r="1778" spans="4:4">
      <c r="D1778" s="69"/>
    </row>
    <row r="1779" spans="4:4">
      <c r="D1779" s="69"/>
    </row>
    <row r="1780" spans="4:4">
      <c r="D1780" s="69"/>
    </row>
    <row r="1781" spans="4:4">
      <c r="D1781" s="69"/>
    </row>
    <row r="1782" spans="4:4">
      <c r="D1782" s="69"/>
    </row>
    <row r="1783" spans="4:4">
      <c r="D1783" s="69"/>
    </row>
    <row r="1784" spans="4:4">
      <c r="D1784" s="69"/>
    </row>
    <row r="1785" spans="4:4">
      <c r="D1785" s="69"/>
    </row>
    <row r="1786" spans="4:4">
      <c r="D1786" s="69"/>
    </row>
    <row r="1787" spans="4:4">
      <c r="D1787" s="69"/>
    </row>
    <row r="1788" spans="4:4">
      <c r="D1788" s="69"/>
    </row>
    <row r="1789" spans="4:4">
      <c r="D1789" s="69"/>
    </row>
    <row r="1790" spans="4:4">
      <c r="D1790" s="69"/>
    </row>
    <row r="1791" spans="4:4">
      <c r="D1791" s="69"/>
    </row>
    <row r="1792" spans="4:4">
      <c r="D1792" s="69"/>
    </row>
    <row r="1793" spans="4:4">
      <c r="D1793" s="69"/>
    </row>
    <row r="1794" spans="4:4">
      <c r="D1794" s="69"/>
    </row>
    <row r="1795" spans="4:4">
      <c r="D1795" s="69"/>
    </row>
    <row r="1796" spans="4:4">
      <c r="D1796" s="69"/>
    </row>
    <row r="1797" spans="4:4">
      <c r="D1797" s="69"/>
    </row>
    <row r="1798" spans="4:4">
      <c r="D1798" s="69"/>
    </row>
    <row r="1799" spans="4:4">
      <c r="D1799" s="69"/>
    </row>
    <row r="1800" spans="4:4">
      <c r="D1800" s="69"/>
    </row>
    <row r="1801" spans="4:4">
      <c r="D1801" s="69"/>
    </row>
    <row r="1802" spans="4:4">
      <c r="D1802" s="69"/>
    </row>
    <row r="1803" spans="4:4">
      <c r="D1803" s="69"/>
    </row>
    <row r="1804" spans="4:4">
      <c r="D1804" s="69"/>
    </row>
    <row r="1805" spans="4:4">
      <c r="D1805" s="69"/>
    </row>
    <row r="1806" spans="4:4">
      <c r="D1806" s="69"/>
    </row>
    <row r="1807" spans="4:4">
      <c r="D1807" s="69"/>
    </row>
    <row r="1808" spans="4:4">
      <c r="D1808" s="69"/>
    </row>
    <row r="1809" spans="4:4">
      <c r="D1809" s="69"/>
    </row>
    <row r="1810" spans="4:4">
      <c r="D1810" s="69"/>
    </row>
    <row r="1811" spans="4:4">
      <c r="D1811" s="69"/>
    </row>
    <row r="1812" spans="4:4">
      <c r="D1812" s="69"/>
    </row>
    <row r="1813" spans="4:4">
      <c r="D1813" s="69"/>
    </row>
    <row r="1814" spans="4:4">
      <c r="D1814" s="69"/>
    </row>
    <row r="1815" spans="4:4">
      <c r="D1815" s="69"/>
    </row>
    <row r="1816" spans="4:4">
      <c r="D1816" s="69"/>
    </row>
    <row r="1817" spans="4:4">
      <c r="D1817" s="69"/>
    </row>
    <row r="1818" spans="4:4">
      <c r="D1818" s="69"/>
    </row>
    <row r="1819" spans="4:4">
      <c r="D1819" s="69"/>
    </row>
    <row r="1820" spans="4:4">
      <c r="D1820" s="69"/>
    </row>
    <row r="1821" spans="4:4">
      <c r="D1821" s="69"/>
    </row>
    <row r="1822" spans="4:4">
      <c r="D1822" s="69"/>
    </row>
    <row r="1823" spans="4:4">
      <c r="D1823" s="69"/>
    </row>
    <row r="1824" spans="4:4">
      <c r="D1824" s="69"/>
    </row>
    <row r="1825" spans="4:4">
      <c r="D1825" s="69"/>
    </row>
    <row r="1826" spans="4:4">
      <c r="D1826" s="69"/>
    </row>
    <row r="1827" spans="4:4">
      <c r="D1827" s="69"/>
    </row>
    <row r="1828" spans="4:4">
      <c r="D1828" s="69"/>
    </row>
    <row r="1829" spans="4:4">
      <c r="D1829" s="69"/>
    </row>
    <row r="1830" spans="4:4">
      <c r="D1830" s="69"/>
    </row>
    <row r="1831" spans="4:4">
      <c r="D1831" s="69"/>
    </row>
    <row r="1832" spans="4:4">
      <c r="D1832" s="69"/>
    </row>
    <row r="1833" spans="4:4">
      <c r="D1833" s="69"/>
    </row>
    <row r="1834" spans="4:4">
      <c r="D1834" s="69"/>
    </row>
    <row r="1835" spans="4:4">
      <c r="D1835" s="69"/>
    </row>
    <row r="1836" spans="4:4">
      <c r="D1836" s="69"/>
    </row>
    <row r="1837" spans="4:4">
      <c r="D1837" s="69"/>
    </row>
    <row r="1838" spans="4:4">
      <c r="D1838" s="69"/>
    </row>
    <row r="1839" spans="4:4">
      <c r="D1839" s="69"/>
    </row>
    <row r="1840" spans="4:4">
      <c r="D1840" s="69"/>
    </row>
    <row r="1841" spans="4:4">
      <c r="D1841" s="69"/>
    </row>
    <row r="1842" spans="4:4">
      <c r="D1842" s="69"/>
    </row>
    <row r="1843" spans="4:4">
      <c r="D1843" s="69"/>
    </row>
    <row r="1844" spans="4:4">
      <c r="D1844" s="69"/>
    </row>
    <row r="1845" spans="4:4">
      <c r="D1845" s="69"/>
    </row>
    <row r="1846" spans="4:4">
      <c r="D1846" s="69"/>
    </row>
    <row r="1847" spans="4:4">
      <c r="D1847" s="69"/>
    </row>
    <row r="1848" spans="4:4">
      <c r="D1848" s="69"/>
    </row>
    <row r="1849" spans="4:4">
      <c r="D1849" s="69"/>
    </row>
    <row r="1850" spans="4:4">
      <c r="D1850" s="69"/>
    </row>
    <row r="1851" spans="4:4">
      <c r="D1851" s="69"/>
    </row>
    <row r="1852" spans="4:4">
      <c r="D1852" s="69"/>
    </row>
    <row r="1853" spans="4:4">
      <c r="D1853" s="69"/>
    </row>
    <row r="1854" spans="4:4">
      <c r="D1854" s="69"/>
    </row>
    <row r="1855" spans="4:4">
      <c r="D1855" s="69"/>
    </row>
    <row r="1856" spans="4:4">
      <c r="D1856" s="69"/>
    </row>
    <row r="1857" spans="4:4">
      <c r="D1857" s="69"/>
    </row>
    <row r="1858" spans="4:4">
      <c r="D1858" s="69"/>
    </row>
    <row r="1859" spans="4:4">
      <c r="D1859" s="69"/>
    </row>
    <row r="1860" spans="4:4">
      <c r="D1860" s="69"/>
    </row>
    <row r="1861" spans="4:4">
      <c r="D1861" s="69"/>
    </row>
    <row r="1862" spans="4:4">
      <c r="D1862" s="69"/>
    </row>
    <row r="1863" spans="4:4">
      <c r="D1863" s="69"/>
    </row>
    <row r="1864" spans="4:4">
      <c r="D1864" s="69"/>
    </row>
    <row r="1865" spans="4:4">
      <c r="D1865" s="69"/>
    </row>
    <row r="1866" spans="4:4">
      <c r="D1866" s="69"/>
    </row>
    <row r="1867" spans="4:4">
      <c r="D1867" s="69"/>
    </row>
    <row r="1868" spans="4:4">
      <c r="D1868" s="69"/>
    </row>
    <row r="1869" spans="4:4">
      <c r="D1869" s="69"/>
    </row>
    <row r="1870" spans="4:4">
      <c r="D1870" s="69"/>
    </row>
    <row r="1871" spans="4:4">
      <c r="D1871" s="69"/>
    </row>
    <row r="1872" spans="4:4">
      <c r="D1872" s="69"/>
    </row>
    <row r="1873" spans="4:4">
      <c r="D1873" s="69"/>
    </row>
    <row r="1874" spans="4:4">
      <c r="D1874" s="69"/>
    </row>
    <row r="1875" spans="4:4">
      <c r="D1875" s="69"/>
    </row>
    <row r="1876" spans="4:4">
      <c r="D1876" s="69"/>
    </row>
    <row r="1877" spans="4:4">
      <c r="D1877" s="69"/>
    </row>
    <row r="1878" spans="4:4">
      <c r="D1878" s="69"/>
    </row>
    <row r="1879" spans="4:4">
      <c r="D1879" s="69"/>
    </row>
    <row r="1880" spans="4:4">
      <c r="D1880" s="69"/>
    </row>
    <row r="1881" spans="4:4">
      <c r="D1881" s="69"/>
    </row>
    <row r="1882" spans="4:4">
      <c r="D1882" s="69"/>
    </row>
    <row r="1883" spans="4:4">
      <c r="D1883" s="69"/>
    </row>
    <row r="1884" spans="4:4">
      <c r="D1884" s="69"/>
    </row>
    <row r="1885" spans="4:4">
      <c r="D1885" s="69"/>
    </row>
    <row r="1886" spans="4:4">
      <c r="D1886" s="69"/>
    </row>
    <row r="1887" spans="4:4">
      <c r="D1887" s="69"/>
    </row>
    <row r="1888" spans="4:4">
      <c r="D1888" s="69"/>
    </row>
    <row r="1889" spans="4:4">
      <c r="D1889" s="69"/>
    </row>
    <row r="1890" spans="4:4">
      <c r="D1890" s="69"/>
    </row>
    <row r="1891" spans="4:4">
      <c r="D1891" s="69"/>
    </row>
    <row r="1892" spans="4:4">
      <c r="D1892" s="69"/>
    </row>
    <row r="1893" spans="4:4">
      <c r="D1893" s="69"/>
    </row>
    <row r="1894" spans="4:4">
      <c r="D1894" s="69"/>
    </row>
    <row r="1895" spans="4:4">
      <c r="D1895" s="69"/>
    </row>
    <row r="1896" spans="4:4">
      <c r="D1896" s="69"/>
    </row>
    <row r="1897" spans="4:4">
      <c r="D1897" s="69"/>
    </row>
    <row r="1898" spans="4:4">
      <c r="D1898" s="69"/>
    </row>
    <row r="1899" spans="4:4">
      <c r="D1899" s="69"/>
    </row>
    <row r="1900" spans="4:4">
      <c r="D1900" s="69"/>
    </row>
    <row r="1901" spans="4:4">
      <c r="D1901" s="69"/>
    </row>
    <row r="1902" spans="4:4">
      <c r="D1902" s="69"/>
    </row>
    <row r="1903" spans="4:4">
      <c r="D1903" s="69"/>
    </row>
    <row r="1904" spans="4:4">
      <c r="D1904" s="69"/>
    </row>
    <row r="1905" spans="4:4">
      <c r="D1905" s="69"/>
    </row>
    <row r="1906" spans="4:4">
      <c r="D1906" s="69"/>
    </row>
    <row r="1907" spans="4:4">
      <c r="D1907" s="69"/>
    </row>
    <row r="1908" spans="4:4">
      <c r="D1908" s="69"/>
    </row>
    <row r="1909" spans="4:4">
      <c r="D1909" s="69"/>
    </row>
    <row r="1910" spans="4:4">
      <c r="D1910" s="69"/>
    </row>
    <row r="1911" spans="4:4">
      <c r="D1911" s="69"/>
    </row>
    <row r="1912" spans="4:4">
      <c r="D1912" s="69"/>
    </row>
    <row r="1913" spans="4:4">
      <c r="D1913" s="69"/>
    </row>
    <row r="1914" spans="4:4">
      <c r="D1914" s="69"/>
    </row>
    <row r="1915" spans="4:4">
      <c r="D1915" s="69"/>
    </row>
    <row r="1916" spans="4:4">
      <c r="D1916" s="69"/>
    </row>
    <row r="1917" spans="4:4">
      <c r="D1917" s="69"/>
    </row>
    <row r="1918" spans="4:4">
      <c r="D1918" s="69"/>
    </row>
    <row r="1919" spans="4:4">
      <c r="D1919" s="69"/>
    </row>
    <row r="1920" spans="4:4">
      <c r="D1920" s="69"/>
    </row>
    <row r="1921" spans="4:4">
      <c r="D1921" s="69"/>
    </row>
    <row r="1922" spans="4:4">
      <c r="D1922" s="69"/>
    </row>
    <row r="1923" spans="4:4">
      <c r="D1923" s="69"/>
    </row>
    <row r="1924" spans="4:4">
      <c r="D1924" s="69"/>
    </row>
    <row r="1925" spans="4:4">
      <c r="D1925" s="69"/>
    </row>
    <row r="1926" spans="4:4">
      <c r="D1926" s="69"/>
    </row>
    <row r="1927" spans="4:4">
      <c r="D1927" s="69"/>
    </row>
    <row r="1928" spans="4:4">
      <c r="D1928" s="69"/>
    </row>
    <row r="1929" spans="4:4">
      <c r="D1929" s="69"/>
    </row>
    <row r="1930" spans="4:4">
      <c r="D1930" s="69"/>
    </row>
    <row r="1931" spans="4:4">
      <c r="D1931" s="69"/>
    </row>
    <row r="1932" spans="4:4">
      <c r="D1932" s="69"/>
    </row>
    <row r="1933" spans="4:4">
      <c r="D1933" s="69"/>
    </row>
    <row r="1934" spans="4:4">
      <c r="D1934" s="69"/>
    </row>
    <row r="1935" spans="4:4">
      <c r="D1935" s="69"/>
    </row>
    <row r="1936" spans="4:4">
      <c r="D1936" s="69"/>
    </row>
    <row r="1937" spans="4:4">
      <c r="D1937" s="69"/>
    </row>
    <row r="1938" spans="4:4">
      <c r="D1938" s="69"/>
    </row>
    <row r="1939" spans="4:4">
      <c r="D1939" s="69"/>
    </row>
    <row r="1940" spans="4:4">
      <c r="D1940" s="69"/>
    </row>
    <row r="1941" spans="4:4">
      <c r="D1941" s="69"/>
    </row>
    <row r="1942" spans="4:4">
      <c r="D1942" s="69"/>
    </row>
    <row r="1943" spans="4:4">
      <c r="D1943" s="69"/>
    </row>
    <row r="1944" spans="4:4">
      <c r="D1944" s="69"/>
    </row>
    <row r="1945" spans="4:4">
      <c r="D1945" s="69"/>
    </row>
    <row r="1946" spans="4:4">
      <c r="D1946" s="69"/>
    </row>
    <row r="1947" spans="4:4">
      <c r="D1947" s="69"/>
    </row>
    <row r="1948" spans="4:4">
      <c r="D1948" s="69"/>
    </row>
    <row r="1949" spans="4:4">
      <c r="D1949" s="69"/>
    </row>
    <row r="1950" spans="4:4">
      <c r="D1950" s="69"/>
    </row>
    <row r="1951" spans="4:4">
      <c r="D1951" s="69"/>
    </row>
    <row r="1952" spans="4:4">
      <c r="D1952" s="69"/>
    </row>
    <row r="1953" spans="4:4">
      <c r="D1953" s="69"/>
    </row>
    <row r="1954" spans="4:4">
      <c r="D1954" s="69"/>
    </row>
    <row r="1955" spans="4:4">
      <c r="D1955" s="69"/>
    </row>
    <row r="1956" spans="4:4">
      <c r="D1956" s="69"/>
    </row>
    <row r="1957" spans="4:4">
      <c r="D1957" s="69"/>
    </row>
    <row r="1958" spans="4:4">
      <c r="D1958" s="69"/>
    </row>
    <row r="1959" spans="4:4">
      <c r="D1959" s="69"/>
    </row>
    <row r="1960" spans="4:4">
      <c r="D1960" s="69"/>
    </row>
    <row r="1961" spans="4:4">
      <c r="D1961" s="69"/>
    </row>
    <row r="1962" spans="4:4">
      <c r="D1962" s="69"/>
    </row>
    <row r="1963" spans="4:4">
      <c r="D1963" s="69"/>
    </row>
    <row r="1964" spans="4:4">
      <c r="D1964" s="69"/>
    </row>
    <row r="1965" spans="4:4">
      <c r="D1965" s="69"/>
    </row>
    <row r="1966" spans="4:4">
      <c r="D1966" s="69"/>
    </row>
    <row r="1967" spans="4:4">
      <c r="D1967" s="69"/>
    </row>
    <row r="1968" spans="4:4">
      <c r="D1968" s="69"/>
    </row>
    <row r="1969" spans="4:4">
      <c r="D1969" s="69"/>
    </row>
    <row r="1970" spans="4:4">
      <c r="D1970" s="69"/>
    </row>
    <row r="1971" spans="4:4">
      <c r="D1971" s="69"/>
    </row>
    <row r="1972" spans="4:4">
      <c r="D1972" s="69"/>
    </row>
    <row r="1973" spans="4:4">
      <c r="D1973" s="69"/>
    </row>
    <row r="1974" spans="4:4">
      <c r="D1974" s="69"/>
    </row>
    <row r="1975" spans="4:4">
      <c r="D1975" s="69"/>
    </row>
    <row r="1976" spans="4:4">
      <c r="D1976" s="69"/>
    </row>
    <row r="1977" spans="4:4">
      <c r="D1977" s="69"/>
    </row>
    <row r="1978" spans="4:4">
      <c r="D1978" s="69"/>
    </row>
    <row r="1979" spans="4:4">
      <c r="D1979" s="69"/>
    </row>
    <row r="1980" spans="4:4">
      <c r="D1980" s="69"/>
    </row>
    <row r="1981" spans="4:4">
      <c r="D1981" s="69"/>
    </row>
    <row r="1982" spans="4:4">
      <c r="D1982" s="69"/>
    </row>
    <row r="1983" spans="4:4">
      <c r="D1983" s="69"/>
    </row>
    <row r="1984" spans="4:4">
      <c r="D1984" s="69"/>
    </row>
    <row r="1985" spans="4:4">
      <c r="D1985" s="69"/>
    </row>
    <row r="1986" spans="4:4">
      <c r="D1986" s="69"/>
    </row>
    <row r="1987" spans="4:4">
      <c r="D1987" s="69"/>
    </row>
    <row r="1988" spans="4:4">
      <c r="D1988" s="69"/>
    </row>
    <row r="1989" spans="4:4">
      <c r="D1989" s="69"/>
    </row>
    <row r="1990" spans="4:4">
      <c r="D1990" s="69"/>
    </row>
    <row r="1991" spans="4:4">
      <c r="D1991" s="69"/>
    </row>
    <row r="1992" spans="4:4">
      <c r="D1992" s="69"/>
    </row>
    <row r="1993" spans="4:4">
      <c r="D1993" s="69"/>
    </row>
    <row r="1994" spans="4:4">
      <c r="D1994" s="69"/>
    </row>
    <row r="1995" spans="4:4">
      <c r="D1995" s="69"/>
    </row>
    <row r="1996" spans="4:4">
      <c r="D1996" s="69"/>
    </row>
    <row r="1997" spans="4:4">
      <c r="D1997" s="69"/>
    </row>
    <row r="1998" spans="4:4">
      <c r="D1998" s="69"/>
    </row>
    <row r="1999" spans="4:4">
      <c r="D1999" s="69"/>
    </row>
    <row r="2000" spans="4:4">
      <c r="D2000" s="69"/>
    </row>
    <row r="2001" spans="4:4">
      <c r="D2001" s="69"/>
    </row>
    <row r="2002" spans="4:4">
      <c r="D2002" s="69"/>
    </row>
    <row r="2003" spans="4:4">
      <c r="D2003" s="69"/>
    </row>
    <row r="2004" spans="4:4">
      <c r="D2004" s="69"/>
    </row>
    <row r="2005" spans="4:4">
      <c r="D2005" s="69"/>
    </row>
    <row r="2006" spans="4:4">
      <c r="D2006" s="69"/>
    </row>
    <row r="2007" spans="4:4">
      <c r="D2007" s="69"/>
    </row>
    <row r="2008" spans="4:4">
      <c r="D2008" s="69"/>
    </row>
    <row r="2009" spans="4:4">
      <c r="D2009" s="69"/>
    </row>
    <row r="2010" spans="4:4">
      <c r="D2010" s="69"/>
    </row>
    <row r="2011" spans="4:4">
      <c r="D2011" s="69"/>
    </row>
    <row r="2012" spans="4:4">
      <c r="D2012" s="69"/>
    </row>
    <row r="2013" spans="4:4">
      <c r="D2013" s="69"/>
    </row>
    <row r="2014" spans="4:4">
      <c r="D2014" s="69"/>
    </row>
    <row r="2015" spans="4:4">
      <c r="D2015" s="69"/>
    </row>
    <row r="2016" spans="4:4">
      <c r="D2016" s="69"/>
    </row>
    <row r="2017" spans="4:4">
      <c r="D2017" s="69"/>
    </row>
    <row r="2018" spans="4:4">
      <c r="D2018" s="69"/>
    </row>
    <row r="2019" spans="4:4">
      <c r="D2019" s="69"/>
    </row>
    <row r="2020" spans="4:4">
      <c r="D2020" s="69"/>
    </row>
    <row r="2021" spans="4:4">
      <c r="D2021" s="69"/>
    </row>
    <row r="2022" spans="4:4">
      <c r="D2022" s="69"/>
    </row>
    <row r="2023" spans="4:4">
      <c r="D2023" s="69"/>
    </row>
    <row r="2024" spans="4:4">
      <c r="D2024" s="69"/>
    </row>
    <row r="2025" spans="4:4">
      <c r="D2025" s="69"/>
    </row>
    <row r="2026" spans="4:4">
      <c r="D2026" s="69"/>
    </row>
    <row r="2027" spans="4:4">
      <c r="D2027" s="69"/>
    </row>
    <row r="2028" spans="4:4">
      <c r="D2028" s="69"/>
    </row>
    <row r="2029" spans="4:4">
      <c r="D2029" s="69"/>
    </row>
    <row r="2030" spans="4:4">
      <c r="D2030" s="69"/>
    </row>
    <row r="2031" spans="4:4">
      <c r="D2031" s="69"/>
    </row>
    <row r="2032" spans="4:4">
      <c r="D2032" s="69"/>
    </row>
    <row r="2033" spans="4:4">
      <c r="D2033" s="69"/>
    </row>
    <row r="2034" spans="4:4">
      <c r="D2034" s="69"/>
    </row>
    <row r="2035" spans="4:4">
      <c r="D2035" s="69"/>
    </row>
    <row r="2036" spans="4:4">
      <c r="D2036" s="69"/>
    </row>
    <row r="2037" spans="4:4">
      <c r="D2037" s="69"/>
    </row>
    <row r="2038" spans="4:4">
      <c r="D2038" s="69"/>
    </row>
    <row r="2039" spans="4:4">
      <c r="D2039" s="69"/>
    </row>
    <row r="2040" spans="4:4">
      <c r="D2040" s="69"/>
    </row>
    <row r="2041" spans="4:4">
      <c r="D2041" s="69"/>
    </row>
    <row r="2042" spans="4:4">
      <c r="D2042" s="69"/>
    </row>
    <row r="2043" spans="4:4">
      <c r="D2043" s="69"/>
    </row>
    <row r="2044" spans="4:4">
      <c r="D2044" s="69"/>
    </row>
    <row r="2045" spans="4:4">
      <c r="D2045" s="69"/>
    </row>
    <row r="2046" spans="4:4">
      <c r="D2046" s="69"/>
    </row>
    <row r="2047" spans="4:4">
      <c r="D2047" s="69"/>
    </row>
    <row r="2048" spans="4:4">
      <c r="D2048" s="69"/>
    </row>
    <row r="2049" spans="4:4">
      <c r="D2049" s="69"/>
    </row>
    <row r="2050" spans="4:4">
      <c r="D2050" s="69"/>
    </row>
    <row r="2051" spans="4:4">
      <c r="D2051" s="69"/>
    </row>
    <row r="2052" spans="4:4">
      <c r="D2052" s="69"/>
    </row>
    <row r="2053" spans="4:4">
      <c r="D2053" s="69"/>
    </row>
    <row r="2054" spans="4:4">
      <c r="D2054" s="69"/>
    </row>
    <row r="2055" spans="4:4">
      <c r="D2055" s="69"/>
    </row>
    <row r="2056" spans="4:4">
      <c r="D2056" s="69"/>
    </row>
    <row r="2057" spans="4:4">
      <c r="D2057" s="69"/>
    </row>
    <row r="2058" spans="4:4">
      <c r="D2058" s="69"/>
    </row>
    <row r="2059" spans="4:4">
      <c r="D2059" s="69"/>
    </row>
    <row r="2060" spans="4:4">
      <c r="D2060" s="69"/>
    </row>
    <row r="2061" spans="4:4">
      <c r="D2061" s="69"/>
    </row>
    <row r="2062" spans="4:4">
      <c r="D2062" s="69"/>
    </row>
    <row r="2063" spans="4:4">
      <c r="D2063" s="69"/>
    </row>
    <row r="2064" spans="4:4">
      <c r="D2064" s="69"/>
    </row>
    <row r="2065" spans="4:4">
      <c r="D2065" s="69"/>
    </row>
    <row r="2066" spans="4:4">
      <c r="D2066" s="69"/>
    </row>
    <row r="2067" spans="4:4">
      <c r="D2067" s="69"/>
    </row>
    <row r="2068" spans="4:4">
      <c r="D2068" s="69"/>
    </row>
    <row r="2069" spans="4:4">
      <c r="D2069" s="69"/>
    </row>
    <row r="2070" spans="4:4">
      <c r="D2070" s="69"/>
    </row>
    <row r="2071" spans="4:4">
      <c r="D2071" s="69"/>
    </row>
    <row r="2072" spans="4:4">
      <c r="D2072" s="69"/>
    </row>
    <row r="2073" spans="4:4">
      <c r="D2073" s="69"/>
    </row>
    <row r="2074" spans="4:4">
      <c r="D2074" s="69"/>
    </row>
    <row r="2075" spans="4:4">
      <c r="D2075" s="69"/>
    </row>
    <row r="2076" spans="4:4">
      <c r="D2076" s="69"/>
    </row>
    <row r="2077" spans="4:4">
      <c r="D2077" s="69"/>
    </row>
    <row r="2078" spans="4:4">
      <c r="D2078" s="69"/>
    </row>
    <row r="2079" spans="4:4">
      <c r="D2079" s="69"/>
    </row>
    <row r="2080" spans="4:4">
      <c r="D2080" s="69"/>
    </row>
    <row r="2081" spans="4:4">
      <c r="D2081" s="69"/>
    </row>
    <row r="2082" spans="4:4">
      <c r="D2082" s="69"/>
    </row>
    <row r="2083" spans="4:4">
      <c r="D2083" s="69"/>
    </row>
    <row r="2084" spans="4:4">
      <c r="D2084" s="69"/>
    </row>
    <row r="2085" spans="4:4">
      <c r="D2085" s="69"/>
    </row>
    <row r="2086" spans="4:4">
      <c r="D2086" s="69"/>
    </row>
    <row r="2087" spans="4:4">
      <c r="D2087" s="69"/>
    </row>
    <row r="2088" spans="4:4">
      <c r="D2088" s="69"/>
    </row>
    <row r="2089" spans="4:4">
      <c r="D2089" s="69"/>
    </row>
    <row r="2090" spans="4:4">
      <c r="D2090" s="69"/>
    </row>
    <row r="2091" spans="4:4">
      <c r="D2091" s="69"/>
    </row>
    <row r="2092" spans="4:4">
      <c r="D2092" s="69"/>
    </row>
    <row r="2093" spans="4:4">
      <c r="D2093" s="69"/>
    </row>
    <row r="2094" spans="4:4">
      <c r="D2094" s="69"/>
    </row>
    <row r="2095" spans="4:4">
      <c r="D2095" s="69"/>
    </row>
    <row r="2096" spans="4:4">
      <c r="D2096" s="69"/>
    </row>
    <row r="2097" spans="4:4">
      <c r="D2097" s="69"/>
    </row>
    <row r="2098" spans="4:4">
      <c r="D2098" s="69"/>
    </row>
    <row r="2099" spans="4:4">
      <c r="D2099" s="69"/>
    </row>
    <row r="2100" spans="4:4">
      <c r="D2100" s="69"/>
    </row>
    <row r="2101" spans="4:4">
      <c r="D2101" s="69"/>
    </row>
    <row r="2102" spans="4:4">
      <c r="D2102" s="69"/>
    </row>
    <row r="2103" spans="4:4">
      <c r="D2103" s="69"/>
    </row>
    <row r="2104" spans="4:4">
      <c r="D2104" s="69"/>
    </row>
    <row r="2105" spans="4:4">
      <c r="D2105" s="69"/>
    </row>
    <row r="2106" spans="4:4">
      <c r="D2106" s="69"/>
    </row>
    <row r="2107" spans="4:4">
      <c r="D2107" s="69"/>
    </row>
    <row r="2108" spans="4:4">
      <c r="D2108" s="69"/>
    </row>
    <row r="2109" spans="4:4">
      <c r="D2109" s="69"/>
    </row>
    <row r="2110" spans="4:4">
      <c r="D2110" s="69"/>
    </row>
    <row r="2111" spans="4:4">
      <c r="D2111" s="69"/>
    </row>
    <row r="2112" spans="4:4">
      <c r="D2112" s="69"/>
    </row>
    <row r="2113" spans="4:4">
      <c r="D2113" s="69"/>
    </row>
    <row r="2114" spans="4:4">
      <c r="D2114" s="69"/>
    </row>
    <row r="2115" spans="4:4">
      <c r="D2115" s="69"/>
    </row>
    <row r="2116" spans="4:4">
      <c r="D2116" s="69"/>
    </row>
    <row r="2117" spans="4:4">
      <c r="D2117" s="69"/>
    </row>
    <row r="2118" spans="4:4">
      <c r="D2118" s="69"/>
    </row>
    <row r="2119" spans="4:4">
      <c r="D2119" s="69"/>
    </row>
    <row r="2120" spans="4:4">
      <c r="D2120" s="69"/>
    </row>
    <row r="2121" spans="4:4">
      <c r="D2121" s="69"/>
    </row>
    <row r="2122" spans="4:4">
      <c r="D2122" s="69"/>
    </row>
    <row r="2123" spans="4:4">
      <c r="D2123" s="69"/>
    </row>
    <row r="2124" spans="4:4">
      <c r="D2124" s="69"/>
    </row>
    <row r="2125" spans="4:4">
      <c r="D2125" s="69"/>
    </row>
    <row r="2126" spans="4:4">
      <c r="D2126" s="69"/>
    </row>
    <row r="2127" spans="4:4">
      <c r="D2127" s="69"/>
    </row>
    <row r="2128" spans="4:4">
      <c r="D2128" s="69"/>
    </row>
    <row r="2129" spans="4:4">
      <c r="D2129" s="69"/>
    </row>
    <row r="2130" spans="4:4">
      <c r="D2130" s="69"/>
    </row>
    <row r="2131" spans="4:4">
      <c r="D2131" s="69"/>
    </row>
    <row r="2132" spans="4:4">
      <c r="D2132" s="69"/>
    </row>
    <row r="2133" spans="4:4">
      <c r="D2133" s="69"/>
    </row>
    <row r="2134" spans="4:4">
      <c r="D2134" s="69"/>
    </row>
    <row r="2135" spans="4:4">
      <c r="D2135" s="69"/>
    </row>
    <row r="2136" spans="4:4">
      <c r="D2136" s="69"/>
    </row>
    <row r="2137" spans="4:4">
      <c r="D2137" s="69"/>
    </row>
    <row r="2138" spans="4:4">
      <c r="D2138" s="69"/>
    </row>
    <row r="2139" spans="4:4">
      <c r="D2139" s="69"/>
    </row>
    <row r="2140" spans="4:4">
      <c r="D2140" s="69"/>
    </row>
    <row r="2141" spans="4:4">
      <c r="D2141" s="69"/>
    </row>
    <row r="2142" spans="4:4">
      <c r="D2142" s="69"/>
    </row>
    <row r="2143" spans="4:4">
      <c r="D2143" s="69"/>
    </row>
    <row r="2144" spans="4:4">
      <c r="D2144" s="69"/>
    </row>
    <row r="2145" spans="4:4">
      <c r="D2145" s="69"/>
    </row>
    <row r="2146" spans="4:4">
      <c r="D2146" s="69"/>
    </row>
    <row r="2147" spans="4:4">
      <c r="D2147" s="69"/>
    </row>
    <row r="2148" spans="4:4">
      <c r="D2148" s="69"/>
    </row>
    <row r="2149" spans="4:4">
      <c r="D2149" s="69"/>
    </row>
    <row r="2150" spans="4:4">
      <c r="D2150" s="69"/>
    </row>
    <row r="2151" spans="4:4">
      <c r="D2151" s="69"/>
    </row>
    <row r="2152" spans="4:4">
      <c r="D2152" s="69"/>
    </row>
    <row r="2153" spans="4:4">
      <c r="D2153" s="69"/>
    </row>
    <row r="2154" spans="4:4">
      <c r="D2154" s="69"/>
    </row>
    <row r="2155" spans="4:4">
      <c r="D2155" s="69"/>
    </row>
    <row r="2156" spans="4:4">
      <c r="D2156" s="69"/>
    </row>
    <row r="2157" spans="4:4">
      <c r="D2157" s="69"/>
    </row>
    <row r="2158" spans="4:4">
      <c r="D2158" s="69"/>
    </row>
    <row r="2159" spans="4:4">
      <c r="D2159" s="69"/>
    </row>
    <row r="2160" spans="4:4">
      <c r="D2160" s="69"/>
    </row>
    <row r="2161" spans="4:4">
      <c r="D2161" s="69"/>
    </row>
    <row r="2162" spans="4:4">
      <c r="D2162" s="69"/>
    </row>
    <row r="2163" spans="4:4">
      <c r="D2163" s="69"/>
    </row>
    <row r="2164" spans="4:4">
      <c r="D2164" s="69"/>
    </row>
    <row r="2165" spans="4:4">
      <c r="D2165" s="69"/>
    </row>
    <row r="2166" spans="4:4">
      <c r="D2166" s="69"/>
    </row>
    <row r="2167" spans="4:4">
      <c r="D2167" s="69"/>
    </row>
    <row r="2168" spans="4:4">
      <c r="D2168" s="69"/>
    </row>
    <row r="2169" spans="4:4">
      <c r="D2169" s="69"/>
    </row>
    <row r="2170" spans="4:4">
      <c r="D2170" s="69"/>
    </row>
    <row r="2171" spans="4:4">
      <c r="D2171" s="69"/>
    </row>
    <row r="2172" spans="4:4">
      <c r="D2172" s="69"/>
    </row>
    <row r="2173" spans="4:4">
      <c r="D2173" s="69"/>
    </row>
    <row r="2174" spans="4:4">
      <c r="D2174" s="69"/>
    </row>
    <row r="2175" spans="4:4">
      <c r="D2175" s="69"/>
    </row>
    <row r="2176" spans="4:4">
      <c r="D2176" s="69"/>
    </row>
    <row r="2177" spans="4:4">
      <c r="D2177" s="69"/>
    </row>
    <row r="2178" spans="4:4">
      <c r="D2178" s="69"/>
    </row>
    <row r="2179" spans="4:4">
      <c r="D2179" s="69"/>
    </row>
    <row r="2180" spans="4:4">
      <c r="D2180" s="69"/>
    </row>
    <row r="2181" spans="4:4">
      <c r="D2181" s="69"/>
    </row>
    <row r="2182" spans="4:4">
      <c r="D2182" s="69"/>
    </row>
    <row r="2183" spans="4:4">
      <c r="D2183" s="69"/>
    </row>
    <row r="2184" spans="4:4">
      <c r="D2184" s="69"/>
    </row>
    <row r="2185" spans="4:4">
      <c r="D2185" s="69"/>
    </row>
    <row r="2186" spans="4:4">
      <c r="D2186" s="69"/>
    </row>
    <row r="2187" spans="4:4">
      <c r="D2187" s="69"/>
    </row>
    <row r="2188" spans="4:4">
      <c r="D2188" s="69"/>
    </row>
    <row r="2189" spans="4:4">
      <c r="D2189" s="69"/>
    </row>
    <row r="2190" spans="4:4">
      <c r="D2190" s="69"/>
    </row>
    <row r="2191" spans="4:4">
      <c r="D2191" s="69"/>
    </row>
    <row r="2192" spans="4:4">
      <c r="D2192" s="69"/>
    </row>
    <row r="2193" spans="4:4">
      <c r="D2193" s="69"/>
    </row>
    <row r="2194" spans="4:4">
      <c r="D2194" s="69"/>
    </row>
    <row r="2195" spans="4:4">
      <c r="D2195" s="69"/>
    </row>
    <row r="2196" spans="4:4">
      <c r="D2196" s="69"/>
    </row>
    <row r="2197" spans="4:4">
      <c r="D2197" s="69"/>
    </row>
    <row r="2198" spans="4:4">
      <c r="D2198" s="69"/>
    </row>
    <row r="2199" spans="4:4">
      <c r="D2199" s="69"/>
    </row>
    <row r="2200" spans="4:4">
      <c r="D2200" s="69"/>
    </row>
    <row r="2201" spans="4:4">
      <c r="D2201" s="69"/>
    </row>
    <row r="2202" spans="4:4">
      <c r="D2202" s="69"/>
    </row>
    <row r="2203" spans="4:4">
      <c r="D2203" s="69"/>
    </row>
    <row r="2204" spans="4:4">
      <c r="D2204" s="69"/>
    </row>
    <row r="2205" spans="4:4">
      <c r="D2205" s="69"/>
    </row>
    <row r="2206" spans="4:4">
      <c r="D2206" s="69"/>
    </row>
    <row r="2207" spans="4:4">
      <c r="D2207" s="69"/>
    </row>
    <row r="2208" spans="4:4">
      <c r="D2208" s="69"/>
    </row>
    <row r="2209" spans="4:4">
      <c r="D2209" s="69"/>
    </row>
    <row r="2210" spans="4:4">
      <c r="D2210" s="69"/>
    </row>
    <row r="2211" spans="4:4">
      <c r="D2211" s="69"/>
    </row>
    <row r="2212" spans="4:4">
      <c r="D2212" s="69"/>
    </row>
    <row r="2213" spans="4:4">
      <c r="D2213" s="69"/>
    </row>
    <row r="2214" spans="4:4">
      <c r="D2214" s="69"/>
    </row>
    <row r="2215" spans="4:4">
      <c r="D2215" s="69"/>
    </row>
    <row r="2216" spans="4:4">
      <c r="D2216" s="69"/>
    </row>
    <row r="2217" spans="4:4">
      <c r="D2217" s="69"/>
    </row>
    <row r="2218" spans="4:4">
      <c r="D2218" s="69"/>
    </row>
    <row r="2219" spans="4:4">
      <c r="D2219" s="69"/>
    </row>
    <row r="2220" spans="4:4">
      <c r="D2220" s="69"/>
    </row>
    <row r="2221" spans="4:4">
      <c r="D2221" s="69"/>
    </row>
    <row r="2222" spans="4:4">
      <c r="D2222" s="69"/>
    </row>
    <row r="2223" spans="4:4">
      <c r="D2223" s="69"/>
    </row>
    <row r="2224" spans="4:4">
      <c r="D2224" s="69"/>
    </row>
    <row r="2225" spans="4:4">
      <c r="D2225" s="69"/>
    </row>
    <row r="2226" spans="4:4">
      <c r="D2226" s="69"/>
    </row>
    <row r="2227" spans="4:4">
      <c r="D2227" s="69"/>
    </row>
    <row r="2228" spans="4:4">
      <c r="D2228" s="69"/>
    </row>
    <row r="2229" spans="4:4">
      <c r="D2229" s="69"/>
    </row>
    <row r="2230" spans="4:4">
      <c r="D2230" s="69"/>
    </row>
    <row r="2231" spans="4:4">
      <c r="D2231" s="69"/>
    </row>
    <row r="2232" spans="4:4">
      <c r="D2232" s="69"/>
    </row>
    <row r="2233" spans="4:4">
      <c r="D2233" s="69"/>
    </row>
    <row r="2234" spans="4:4">
      <c r="D2234" s="69"/>
    </row>
    <row r="2235" spans="4:4">
      <c r="D2235" s="69"/>
    </row>
    <row r="2236" spans="4:4">
      <c r="D2236" s="69"/>
    </row>
    <row r="2237" spans="4:4">
      <c r="D2237" s="69"/>
    </row>
    <row r="2238" spans="4:4">
      <c r="D2238" s="69"/>
    </row>
    <row r="2239" spans="4:4">
      <c r="D2239" s="69"/>
    </row>
    <row r="2240" spans="4:4">
      <c r="D2240" s="69"/>
    </row>
    <row r="2241" spans="4:4">
      <c r="D2241" s="69"/>
    </row>
    <row r="2242" spans="4:4">
      <c r="D2242" s="69"/>
    </row>
    <row r="2243" spans="4:4">
      <c r="D2243" s="69"/>
    </row>
    <row r="2244" spans="4:4">
      <c r="D2244" s="69"/>
    </row>
    <row r="2245" spans="4:4">
      <c r="D2245" s="69"/>
    </row>
    <row r="2246" spans="4:4">
      <c r="D2246" s="69"/>
    </row>
    <row r="2247" spans="4:4">
      <c r="D2247" s="69"/>
    </row>
    <row r="2248" spans="4:4">
      <c r="D2248" s="69"/>
    </row>
    <row r="2249" spans="4:4">
      <c r="D2249" s="69"/>
    </row>
    <row r="2250" spans="4:4">
      <c r="D2250" s="69"/>
    </row>
    <row r="2251" spans="4:4">
      <c r="D2251" s="69"/>
    </row>
    <row r="2252" spans="4:4">
      <c r="D2252" s="69"/>
    </row>
    <row r="2253" spans="4:4">
      <c r="D2253" s="69"/>
    </row>
    <row r="2254" spans="4:4">
      <c r="D2254" s="69"/>
    </row>
    <row r="2255" spans="4:4">
      <c r="D2255" s="69"/>
    </row>
    <row r="2256" spans="4:4">
      <c r="D2256" s="69"/>
    </row>
    <row r="2257" spans="4:4">
      <c r="D2257" s="69"/>
    </row>
    <row r="2258" spans="4:4">
      <c r="D2258" s="69"/>
    </row>
    <row r="2259" spans="4:4">
      <c r="D2259" s="69"/>
    </row>
    <row r="2260" spans="4:4">
      <c r="D2260" s="69"/>
    </row>
    <row r="2261" spans="4:4">
      <c r="D2261" s="69"/>
    </row>
    <row r="2262" spans="4:4">
      <c r="D2262" s="69"/>
    </row>
    <row r="2263" spans="4:4">
      <c r="D2263" s="69"/>
    </row>
    <row r="2264" spans="4:4">
      <c r="D2264" s="69"/>
    </row>
    <row r="2265" spans="4:4">
      <c r="D2265" s="69"/>
    </row>
    <row r="2266" spans="4:4">
      <c r="D2266" s="69"/>
    </row>
    <row r="2267" spans="4:4">
      <c r="D2267" s="69"/>
    </row>
    <row r="2268" spans="4:4">
      <c r="D2268" s="69"/>
    </row>
    <row r="2269" spans="4:4">
      <c r="D2269" s="69"/>
    </row>
    <row r="2270" spans="4:4">
      <c r="D2270" s="69"/>
    </row>
    <row r="2271" spans="4:4">
      <c r="D2271" s="69"/>
    </row>
    <row r="2272" spans="4:4">
      <c r="D2272" s="69"/>
    </row>
    <row r="2273" spans="4:4">
      <c r="D2273" s="69"/>
    </row>
    <row r="2274" spans="4:4">
      <c r="D2274" s="69"/>
    </row>
    <row r="2275" spans="4:4">
      <c r="D2275" s="69"/>
    </row>
    <row r="2276" spans="4:4">
      <c r="D2276" s="69"/>
    </row>
    <row r="2277" spans="4:4">
      <c r="D2277" s="69"/>
    </row>
    <row r="2278" spans="4:4">
      <c r="D2278" s="69"/>
    </row>
    <row r="2279" spans="4:4">
      <c r="D2279" s="69"/>
    </row>
    <row r="2280" spans="4:4">
      <c r="D2280" s="69"/>
    </row>
    <row r="2281" spans="4:4">
      <c r="D2281" s="69"/>
    </row>
    <row r="2282" spans="4:4">
      <c r="D2282" s="69"/>
    </row>
    <row r="2283" spans="4:4">
      <c r="D2283" s="69"/>
    </row>
    <row r="2284" spans="4:4">
      <c r="D2284" s="69"/>
    </row>
    <row r="2285" spans="4:4">
      <c r="D2285" s="69"/>
    </row>
    <row r="2286" spans="4:4">
      <c r="D2286" s="69"/>
    </row>
    <row r="2287" spans="4:4">
      <c r="D2287" s="69"/>
    </row>
    <row r="2288" spans="4:4">
      <c r="D2288" s="69"/>
    </row>
    <row r="2289" spans="4:4">
      <c r="D2289" s="69"/>
    </row>
    <row r="2290" spans="4:4">
      <c r="D2290" s="69"/>
    </row>
    <row r="2291" spans="4:4">
      <c r="D2291" s="69"/>
    </row>
    <row r="2292" spans="4:4">
      <c r="D2292" s="69"/>
    </row>
    <row r="2293" spans="4:4">
      <c r="D2293" s="69"/>
    </row>
    <row r="2294" spans="4:4">
      <c r="D2294" s="69"/>
    </row>
    <row r="2295" spans="4:4">
      <c r="D2295" s="69"/>
    </row>
    <row r="2296" spans="4:4">
      <c r="D2296" s="69"/>
    </row>
    <row r="2297" spans="4:4">
      <c r="D2297" s="69"/>
    </row>
    <row r="2298" spans="4:4">
      <c r="D2298" s="69"/>
    </row>
    <row r="2299" spans="4:4">
      <c r="D2299" s="69"/>
    </row>
    <row r="2300" spans="4:4">
      <c r="D2300" s="69"/>
    </row>
    <row r="2301" spans="4:4">
      <c r="D2301" s="69"/>
    </row>
    <row r="2302" spans="4:4">
      <c r="D2302" s="69"/>
    </row>
    <row r="2303" spans="4:4">
      <c r="D2303" s="69"/>
    </row>
    <row r="2304" spans="4:4">
      <c r="D2304" s="69"/>
    </row>
    <row r="2305" spans="4:4">
      <c r="D2305" s="69"/>
    </row>
    <row r="2306" spans="4:4">
      <c r="D2306" s="69"/>
    </row>
    <row r="2307" spans="4:4">
      <c r="D2307" s="69"/>
    </row>
    <row r="2308" spans="4:4">
      <c r="D2308" s="69"/>
    </row>
    <row r="2309" spans="4:4">
      <c r="D2309" s="69"/>
    </row>
    <row r="2310" spans="4:4">
      <c r="D2310" s="69"/>
    </row>
    <row r="2311" spans="4:4">
      <c r="D2311" s="69"/>
    </row>
    <row r="2312" spans="4:4">
      <c r="D2312" s="69"/>
    </row>
    <row r="2313" spans="4:4">
      <c r="D2313" s="69"/>
    </row>
    <row r="2314" spans="4:4">
      <c r="D2314" s="69"/>
    </row>
    <row r="2315" spans="4:4">
      <c r="D2315" s="69"/>
    </row>
    <row r="2316" spans="4:4">
      <c r="D2316" s="69"/>
    </row>
    <row r="2317" spans="4:4">
      <c r="D2317" s="69"/>
    </row>
    <row r="2318" spans="4:4">
      <c r="D2318" s="69"/>
    </row>
    <row r="2319" spans="4:4">
      <c r="D2319" s="69"/>
    </row>
    <row r="2320" spans="4:4">
      <c r="D2320" s="69"/>
    </row>
    <row r="2321" spans="4:4">
      <c r="D2321" s="69"/>
    </row>
    <row r="2322" spans="4:4">
      <c r="D2322" s="69"/>
    </row>
    <row r="2323" spans="4:4">
      <c r="D2323" s="69"/>
    </row>
    <row r="2324" spans="4:4">
      <c r="D2324" s="69"/>
    </row>
    <row r="2325" spans="4:4">
      <c r="D2325" s="69"/>
    </row>
    <row r="2326" spans="4:4">
      <c r="D2326" s="69"/>
    </row>
    <row r="2327" spans="4:4">
      <c r="D2327" s="69"/>
    </row>
    <row r="2328" spans="4:4">
      <c r="D2328" s="69"/>
    </row>
    <row r="2329" spans="4:4">
      <c r="D2329" s="69"/>
    </row>
    <row r="2330" spans="4:4">
      <c r="D2330" s="69"/>
    </row>
    <row r="2331" spans="4:4">
      <c r="D2331" s="69"/>
    </row>
    <row r="2332" spans="4:4">
      <c r="D2332" s="69"/>
    </row>
    <row r="2333" spans="4:4">
      <c r="D2333" s="69"/>
    </row>
    <row r="2334" spans="4:4">
      <c r="D2334" s="69"/>
    </row>
    <row r="2335" spans="4:4">
      <c r="D2335" s="69"/>
    </row>
    <row r="2336" spans="4:4">
      <c r="D2336" s="69"/>
    </row>
    <row r="2337" spans="4:4">
      <c r="D2337" s="69"/>
    </row>
    <row r="2338" spans="4:4">
      <c r="D2338" s="69"/>
    </row>
    <row r="2339" spans="4:4">
      <c r="D2339" s="69"/>
    </row>
    <row r="2340" spans="4:4">
      <c r="D2340" s="69"/>
    </row>
    <row r="2341" spans="4:4">
      <c r="D2341" s="69"/>
    </row>
    <row r="2342" spans="4:4">
      <c r="D2342" s="69"/>
    </row>
    <row r="2343" spans="4:4">
      <c r="D2343" s="69"/>
    </row>
    <row r="2344" spans="4:4">
      <c r="D2344" s="69"/>
    </row>
    <row r="2345" spans="4:4">
      <c r="D2345" s="69"/>
    </row>
    <row r="2346" spans="4:4">
      <c r="D2346" s="69"/>
    </row>
    <row r="2347" spans="4:4">
      <c r="D2347" s="69"/>
    </row>
    <row r="2348" spans="4:4">
      <c r="D2348" s="69"/>
    </row>
    <row r="2349" spans="4:4">
      <c r="D2349" s="69"/>
    </row>
    <row r="2350" spans="4:4">
      <c r="D2350" s="69"/>
    </row>
    <row r="2351" spans="4:4">
      <c r="D2351" s="69"/>
    </row>
    <row r="2352" spans="4:4">
      <c r="D2352" s="69"/>
    </row>
    <row r="2353" spans="4:4">
      <c r="D2353" s="69"/>
    </row>
    <row r="2354" spans="4:4">
      <c r="D2354" s="69"/>
    </row>
    <row r="2355" spans="4:4">
      <c r="D2355" s="69"/>
    </row>
    <row r="2356" spans="4:4">
      <c r="D2356" s="69"/>
    </row>
    <row r="2357" spans="4:4">
      <c r="D2357" s="69"/>
    </row>
    <row r="2358" spans="4:4">
      <c r="D2358" s="69"/>
    </row>
    <row r="2359" spans="4:4">
      <c r="D2359" s="69"/>
    </row>
    <row r="2360" spans="4:4">
      <c r="D2360" s="69"/>
    </row>
    <row r="2361" spans="4:4">
      <c r="D2361" s="69"/>
    </row>
    <row r="2362" spans="4:4">
      <c r="D2362" s="69"/>
    </row>
    <row r="2363" spans="4:4">
      <c r="D2363" s="69"/>
    </row>
    <row r="2364" spans="4:4">
      <c r="D2364" s="69"/>
    </row>
    <row r="2365" spans="4:4">
      <c r="D2365" s="69"/>
    </row>
    <row r="2366" spans="4:4">
      <c r="D2366" s="69"/>
    </row>
    <row r="2367" spans="4:4">
      <c r="D2367" s="69"/>
    </row>
    <row r="2368" spans="4:4">
      <c r="D2368" s="69"/>
    </row>
    <row r="2369" spans="4:4">
      <c r="D2369" s="69"/>
    </row>
    <row r="2370" spans="4:4">
      <c r="D2370" s="69"/>
    </row>
    <row r="2371" spans="4:4">
      <c r="D2371" s="69"/>
    </row>
    <row r="2372" spans="4:4">
      <c r="D2372" s="69"/>
    </row>
    <row r="2373" spans="4:4">
      <c r="D2373" s="69"/>
    </row>
    <row r="2374" spans="4:4">
      <c r="D2374" s="69"/>
    </row>
    <row r="2375" spans="4:4">
      <c r="D2375" s="69"/>
    </row>
    <row r="2376" spans="4:4">
      <c r="D2376" s="69"/>
    </row>
    <row r="2377" spans="4:4">
      <c r="D2377" s="69"/>
    </row>
    <row r="2378" spans="4:4">
      <c r="D2378" s="69"/>
    </row>
    <row r="2379" spans="4:4">
      <c r="D2379" s="69"/>
    </row>
    <row r="2380" spans="4:4">
      <c r="D2380" s="69"/>
    </row>
    <row r="2381" spans="4:4">
      <c r="D2381" s="69"/>
    </row>
    <row r="2382" spans="4:4">
      <c r="D2382" s="69"/>
    </row>
    <row r="2383" spans="4:4">
      <c r="D2383" s="69"/>
    </row>
    <row r="2384" spans="4:4">
      <c r="D2384" s="69"/>
    </row>
    <row r="2385" spans="4:4">
      <c r="D2385" s="69"/>
    </row>
    <row r="2386" spans="4:4">
      <c r="D2386" s="69"/>
    </row>
    <row r="2387" spans="4:4">
      <c r="D2387" s="69"/>
    </row>
    <row r="2388" spans="4:4">
      <c r="D2388" s="69"/>
    </row>
    <row r="2389" spans="4:4">
      <c r="D2389" s="69"/>
    </row>
    <row r="2390" spans="4:4">
      <c r="D2390" s="69"/>
    </row>
    <row r="2391" spans="4:4">
      <c r="D2391" s="69"/>
    </row>
    <row r="2392" spans="4:4">
      <c r="D2392" s="69"/>
    </row>
    <row r="2393" spans="4:4">
      <c r="D2393" s="69"/>
    </row>
    <row r="2394" spans="4:4">
      <c r="D2394" s="69"/>
    </row>
    <row r="2395" spans="4:4">
      <c r="D2395" s="69"/>
    </row>
    <row r="2396" spans="4:4">
      <c r="D2396" s="69"/>
    </row>
    <row r="2397" spans="4:4">
      <c r="D2397" s="69"/>
    </row>
    <row r="2398" spans="4:4">
      <c r="D2398" s="69"/>
    </row>
    <row r="2399" spans="4:4">
      <c r="D2399" s="69"/>
    </row>
    <row r="2400" spans="4:4">
      <c r="D2400" s="69"/>
    </row>
    <row r="2401" spans="4:4">
      <c r="D2401" s="69"/>
    </row>
    <row r="2402" spans="4:4">
      <c r="D2402" s="69"/>
    </row>
    <row r="2403" spans="4:4">
      <c r="D2403" s="69"/>
    </row>
    <row r="2404" spans="4:4">
      <c r="D2404" s="69"/>
    </row>
    <row r="2405" spans="4:4">
      <c r="D2405" s="69"/>
    </row>
    <row r="2406" spans="4:4">
      <c r="D2406" s="69"/>
    </row>
    <row r="2407" spans="4:4">
      <c r="D2407" s="69"/>
    </row>
    <row r="2408" spans="4:4">
      <c r="D2408" s="69"/>
    </row>
    <row r="2409" spans="4:4">
      <c r="D2409" s="69"/>
    </row>
    <row r="2410" spans="4:4">
      <c r="D2410" s="69"/>
    </row>
    <row r="2411" spans="4:4">
      <c r="D2411" s="69"/>
    </row>
    <row r="2412" spans="4:4">
      <c r="D2412" s="69"/>
    </row>
    <row r="2413" spans="4:4">
      <c r="D2413" s="69"/>
    </row>
    <row r="2414" spans="4:4">
      <c r="D2414" s="69"/>
    </row>
    <row r="2415" spans="4:4">
      <c r="D2415" s="69"/>
    </row>
    <row r="2416" spans="4:4">
      <c r="D2416" s="69"/>
    </row>
    <row r="2417" spans="4:4">
      <c r="D2417" s="69"/>
    </row>
    <row r="2418" spans="4:4">
      <c r="D2418" s="69"/>
    </row>
    <row r="2419" spans="4:4">
      <c r="D2419" s="69"/>
    </row>
    <row r="2420" spans="4:4">
      <c r="D2420" s="69"/>
    </row>
    <row r="2421" spans="4:4">
      <c r="D2421" s="69"/>
    </row>
    <row r="2422" spans="4:4">
      <c r="D2422" s="69"/>
    </row>
    <row r="2423" spans="4:4">
      <c r="D2423" s="69"/>
    </row>
    <row r="2424" spans="4:4">
      <c r="D2424" s="69"/>
    </row>
    <row r="2425" spans="4:4">
      <c r="D2425" s="69"/>
    </row>
    <row r="2426" spans="4:4">
      <c r="D2426" s="69"/>
    </row>
    <row r="2427" spans="4:4">
      <c r="D2427" s="69"/>
    </row>
    <row r="2428" spans="4:4">
      <c r="D2428" s="69"/>
    </row>
    <row r="2429" spans="4:4">
      <c r="D2429" s="69"/>
    </row>
    <row r="2430" spans="4:4">
      <c r="D2430" s="69"/>
    </row>
    <row r="2431" spans="4:4">
      <c r="D2431" s="69"/>
    </row>
    <row r="2432" spans="4:4">
      <c r="D2432" s="69"/>
    </row>
    <row r="2433" spans="4:4">
      <c r="D2433" s="69"/>
    </row>
    <row r="2434" spans="4:4">
      <c r="D2434" s="69"/>
    </row>
    <row r="2435" spans="4:4">
      <c r="D2435" s="69"/>
    </row>
    <row r="2436" spans="4:4">
      <c r="D2436" s="69"/>
    </row>
    <row r="2437" spans="4:4">
      <c r="D2437" s="69"/>
    </row>
    <row r="2438" spans="4:4">
      <c r="D2438" s="69"/>
    </row>
    <row r="2439" spans="4:4">
      <c r="D2439" s="69"/>
    </row>
    <row r="2440" spans="4:4">
      <c r="D2440" s="69"/>
    </row>
    <row r="2441" spans="4:4">
      <c r="D2441" s="69"/>
    </row>
    <row r="2442" spans="4:4">
      <c r="D2442" s="69"/>
    </row>
    <row r="2443" spans="4:4">
      <c r="D2443" s="69"/>
    </row>
    <row r="2444" spans="4:4">
      <c r="D2444" s="69"/>
    </row>
    <row r="2445" spans="4:4">
      <c r="D2445" s="69"/>
    </row>
    <row r="2446" spans="4:4">
      <c r="D2446" s="69"/>
    </row>
    <row r="2447" spans="4:4">
      <c r="D2447" s="69"/>
    </row>
    <row r="2448" spans="4:4">
      <c r="D2448" s="69"/>
    </row>
    <row r="2449" spans="4:4">
      <c r="D2449" s="69"/>
    </row>
    <row r="2450" spans="4:4">
      <c r="D2450" s="69"/>
    </row>
    <row r="2451" spans="4:4">
      <c r="D2451" s="69"/>
    </row>
    <row r="2452" spans="4:4">
      <c r="D2452" s="69"/>
    </row>
    <row r="2453" spans="4:4">
      <c r="D2453" s="69"/>
    </row>
    <row r="2454" spans="4:4">
      <c r="D2454" s="69"/>
    </row>
    <row r="2455" spans="4:4">
      <c r="D2455" s="69"/>
    </row>
    <row r="2456" spans="4:4">
      <c r="D2456" s="69"/>
    </row>
    <row r="2457" spans="4:4">
      <c r="D2457" s="69"/>
    </row>
    <row r="2458" spans="4:4">
      <c r="D2458" s="69"/>
    </row>
    <row r="2459" spans="4:4">
      <c r="D2459" s="69"/>
    </row>
    <row r="2460" spans="4:4">
      <c r="D2460" s="69"/>
    </row>
    <row r="2461" spans="4:4">
      <c r="D2461" s="69"/>
    </row>
    <row r="2462" spans="4:4">
      <c r="D2462" s="69"/>
    </row>
    <row r="2463" spans="4:4">
      <c r="D2463" s="69"/>
    </row>
    <row r="2464" spans="4:4">
      <c r="D2464" s="69"/>
    </row>
    <row r="2465" spans="4:4">
      <c r="D2465" s="69"/>
    </row>
    <row r="2466" spans="4:4">
      <c r="D2466" s="69"/>
    </row>
    <row r="2467" spans="4:4">
      <c r="D2467" s="69"/>
    </row>
    <row r="2468" spans="4:4">
      <c r="D2468" s="69"/>
    </row>
    <row r="2469" spans="4:4">
      <c r="D2469" s="69"/>
    </row>
    <row r="2470" spans="4:4">
      <c r="D2470" s="69"/>
    </row>
    <row r="2471" spans="4:4">
      <c r="D2471" s="69"/>
    </row>
    <row r="2472" spans="4:4">
      <c r="D2472" s="69"/>
    </row>
    <row r="2473" spans="4:4">
      <c r="D2473" s="69"/>
    </row>
    <row r="2474" spans="4:4">
      <c r="D2474" s="69"/>
    </row>
    <row r="2475" spans="4:4">
      <c r="D2475" s="69"/>
    </row>
    <row r="2476" spans="4:4">
      <c r="D2476" s="69"/>
    </row>
    <row r="2477" spans="4:4">
      <c r="D2477" s="69"/>
    </row>
    <row r="2478" spans="4:4">
      <c r="D2478" s="69"/>
    </row>
    <row r="2479" spans="4:4">
      <c r="D2479" s="69"/>
    </row>
    <row r="2480" spans="4:4">
      <c r="D2480" s="69"/>
    </row>
    <row r="2481" spans="4:4">
      <c r="D2481" s="69"/>
    </row>
    <row r="2482" spans="4:4">
      <c r="D2482" s="69"/>
    </row>
    <row r="2483" spans="4:4">
      <c r="D2483" s="69"/>
    </row>
    <row r="2484" spans="4:4">
      <c r="D2484" s="69"/>
    </row>
    <row r="2485" spans="4:4">
      <c r="D2485" s="69"/>
    </row>
    <row r="2486" spans="4:4">
      <c r="D2486" s="69"/>
    </row>
    <row r="2487" spans="4:4">
      <c r="D2487" s="69"/>
    </row>
    <row r="2488" spans="4:4">
      <c r="D2488" s="69"/>
    </row>
    <row r="2489" spans="4:4">
      <c r="D2489" s="69"/>
    </row>
    <row r="2490" spans="4:4">
      <c r="D2490" s="69"/>
    </row>
    <row r="2491" spans="4:4">
      <c r="D2491" s="69"/>
    </row>
    <row r="2492" spans="4:4">
      <c r="D2492" s="69"/>
    </row>
    <row r="2493" spans="4:4">
      <c r="D2493" s="69"/>
    </row>
    <row r="2494" spans="4:4">
      <c r="D2494" s="69"/>
    </row>
    <row r="2495" spans="4:4">
      <c r="D2495" s="69"/>
    </row>
    <row r="2496" spans="4:4">
      <c r="D2496" s="69"/>
    </row>
    <row r="2497" spans="4:4">
      <c r="D2497" s="69"/>
    </row>
    <row r="2498" spans="4:4">
      <c r="D2498" s="69"/>
    </row>
    <row r="2499" spans="4:4">
      <c r="D2499" s="69"/>
    </row>
    <row r="2500" spans="4:4">
      <c r="D2500" s="69"/>
    </row>
    <row r="2501" spans="4:4">
      <c r="D2501" s="69"/>
    </row>
    <row r="2502" spans="4:4">
      <c r="D2502" s="69"/>
    </row>
    <row r="2503" spans="4:4">
      <c r="D2503" s="69"/>
    </row>
    <row r="2504" spans="4:4">
      <c r="D2504" s="69"/>
    </row>
    <row r="2505" spans="4:4">
      <c r="D2505" s="69"/>
    </row>
    <row r="2506" spans="4:4">
      <c r="D2506" s="69"/>
    </row>
    <row r="2507" spans="4:4">
      <c r="D2507" s="69"/>
    </row>
    <row r="2508" spans="4:4">
      <c r="D2508" s="69"/>
    </row>
    <row r="2509" spans="4:4">
      <c r="D2509" s="69"/>
    </row>
    <row r="2510" spans="4:4">
      <c r="D2510" s="69"/>
    </row>
    <row r="2511" spans="4:4">
      <c r="D2511" s="69"/>
    </row>
    <row r="2512" spans="4:4">
      <c r="D2512" s="69"/>
    </row>
    <row r="2513" spans="4:4">
      <c r="D2513" s="69"/>
    </row>
    <row r="2514" spans="4:4">
      <c r="D2514" s="69"/>
    </row>
    <row r="2515" spans="4:4">
      <c r="D2515" s="69"/>
    </row>
    <row r="2516" spans="4:4">
      <c r="D2516" s="69"/>
    </row>
    <row r="2517" spans="4:4">
      <c r="D2517" s="69"/>
    </row>
    <row r="2518" spans="4:4">
      <c r="D2518" s="69"/>
    </row>
    <row r="2519" spans="4:4">
      <c r="D2519" s="69"/>
    </row>
    <row r="2520" spans="4:4">
      <c r="D2520" s="69"/>
    </row>
    <row r="2521" spans="4:4">
      <c r="D2521" s="69"/>
    </row>
    <row r="2522" spans="4:4">
      <c r="D2522" s="69"/>
    </row>
    <row r="2523" spans="4:4">
      <c r="D2523" s="69"/>
    </row>
    <row r="2524" spans="4:4">
      <c r="D2524" s="69"/>
    </row>
    <row r="2525" spans="4:4">
      <c r="D2525" s="69"/>
    </row>
    <row r="2526" spans="4:4">
      <c r="D2526" s="69"/>
    </row>
    <row r="2527" spans="4:4">
      <c r="D2527" s="69"/>
    </row>
    <row r="2528" spans="4:4">
      <c r="D2528" s="69"/>
    </row>
    <row r="2529" spans="4:4">
      <c r="D2529" s="69"/>
    </row>
    <row r="2530" spans="4:4">
      <c r="D2530" s="69"/>
    </row>
    <row r="2531" spans="4:4">
      <c r="D2531" s="69"/>
    </row>
    <row r="2532" spans="4:4">
      <c r="D2532" s="69"/>
    </row>
    <row r="2533" spans="4:4">
      <c r="D2533" s="69"/>
    </row>
    <row r="2534" spans="4:4">
      <c r="D2534" s="69"/>
    </row>
    <row r="2535" spans="4:4">
      <c r="D2535" s="69"/>
    </row>
    <row r="2536" spans="4:4">
      <c r="D2536" s="69"/>
    </row>
    <row r="2537" spans="4:4">
      <c r="D2537" s="69"/>
    </row>
    <row r="2538" spans="4:4">
      <c r="D2538" s="69"/>
    </row>
    <row r="2539" spans="4:4">
      <c r="D2539" s="69"/>
    </row>
    <row r="2540" spans="4:4">
      <c r="D2540" s="69"/>
    </row>
    <row r="2541" spans="4:4">
      <c r="D2541" s="69"/>
    </row>
    <row r="2542" spans="4:4">
      <c r="D2542" s="69"/>
    </row>
    <row r="2543" spans="4:4">
      <c r="D2543" s="69"/>
    </row>
    <row r="2544" spans="4:4">
      <c r="D2544" s="69"/>
    </row>
    <row r="2545" spans="4:4">
      <c r="D2545" s="69"/>
    </row>
    <row r="2546" spans="4:4">
      <c r="D2546" s="69"/>
    </row>
    <row r="2547" spans="4:4">
      <c r="D2547" s="69"/>
    </row>
    <row r="2548" spans="4:4">
      <c r="D2548" s="69"/>
    </row>
    <row r="2549" spans="4:4">
      <c r="D2549" s="69"/>
    </row>
    <row r="2550" spans="4:4">
      <c r="D2550" s="69"/>
    </row>
    <row r="2551" spans="4:4">
      <c r="D2551" s="69"/>
    </row>
    <row r="2552" spans="4:4">
      <c r="D2552" s="69"/>
    </row>
    <row r="2553" spans="4:4">
      <c r="D2553" s="69"/>
    </row>
    <row r="2554" spans="4:4">
      <c r="D2554" s="69"/>
    </row>
    <row r="2555" spans="4:4">
      <c r="D2555" s="69"/>
    </row>
    <row r="2556" spans="4:4">
      <c r="D2556" s="69"/>
    </row>
    <row r="2557" spans="4:4">
      <c r="D2557" s="69"/>
    </row>
    <row r="2558" spans="4:4">
      <c r="D2558" s="69"/>
    </row>
    <row r="2559" spans="4:4">
      <c r="D2559" s="69"/>
    </row>
    <row r="2560" spans="4:4">
      <c r="D2560" s="69"/>
    </row>
    <row r="2561" spans="4:4">
      <c r="D2561" s="69"/>
    </row>
    <row r="2562" spans="4:4">
      <c r="D2562" s="69"/>
    </row>
    <row r="2563" spans="4:4">
      <c r="D2563" s="69"/>
    </row>
    <row r="2564" spans="4:4">
      <c r="D2564" s="69"/>
    </row>
    <row r="2565" spans="4:4">
      <c r="D2565" s="69"/>
    </row>
    <row r="2566" spans="4:4">
      <c r="D2566" s="69"/>
    </row>
    <row r="2567" spans="4:4">
      <c r="D2567" s="69"/>
    </row>
    <row r="2568" spans="4:4">
      <c r="D2568" s="69"/>
    </row>
    <row r="2569" spans="4:4">
      <c r="D2569" s="69"/>
    </row>
    <row r="2570" spans="4:4">
      <c r="D2570" s="69"/>
    </row>
    <row r="2571" spans="4:4">
      <c r="D2571" s="69"/>
    </row>
    <row r="2572" spans="4:4">
      <c r="D2572" s="69"/>
    </row>
    <row r="2573" spans="4:4">
      <c r="D2573" s="69"/>
    </row>
    <row r="2574" spans="4:4">
      <c r="D2574" s="69"/>
    </row>
    <row r="2575" spans="4:4">
      <c r="D2575" s="69"/>
    </row>
    <row r="2576" spans="4:4">
      <c r="D2576" s="69"/>
    </row>
    <row r="2577" spans="4:4">
      <c r="D2577" s="69"/>
    </row>
    <row r="2578" spans="4:4">
      <c r="D2578" s="69"/>
    </row>
    <row r="2579" spans="4:4">
      <c r="D2579" s="69"/>
    </row>
    <row r="2580" spans="4:4">
      <c r="D2580" s="69"/>
    </row>
    <row r="2581" spans="4:4">
      <c r="D2581" s="69"/>
    </row>
    <row r="2582" spans="4:4">
      <c r="D2582" s="69"/>
    </row>
    <row r="2583" spans="4:4">
      <c r="D2583" s="69"/>
    </row>
    <row r="2584" spans="4:4">
      <c r="D2584" s="69"/>
    </row>
    <row r="2585" spans="4:4">
      <c r="D2585" s="69"/>
    </row>
    <row r="2586" spans="4:4">
      <c r="D2586" s="69"/>
    </row>
    <row r="2587" spans="4:4">
      <c r="D2587" s="69"/>
    </row>
    <row r="2588" spans="4:4">
      <c r="D2588" s="69"/>
    </row>
    <row r="2589" spans="4:4">
      <c r="D2589" s="69"/>
    </row>
    <row r="2590" spans="4:4">
      <c r="D2590" s="69"/>
    </row>
    <row r="2591" spans="4:4">
      <c r="D2591" s="69"/>
    </row>
    <row r="2592" spans="4:4">
      <c r="D2592" s="69"/>
    </row>
    <row r="2593" spans="4:4">
      <c r="D2593" s="69"/>
    </row>
    <row r="2594" spans="4:4">
      <c r="D2594" s="69"/>
    </row>
    <row r="2595" spans="4:4">
      <c r="D2595" s="69"/>
    </row>
    <row r="2596" spans="4:4">
      <c r="D2596" s="69"/>
    </row>
    <row r="2597" spans="4:4">
      <c r="D2597" s="69"/>
    </row>
    <row r="2598" spans="4:4">
      <c r="D2598" s="69"/>
    </row>
    <row r="2599" spans="4:4">
      <c r="D2599" s="69"/>
    </row>
    <row r="2600" spans="4:4">
      <c r="D2600" s="69"/>
    </row>
    <row r="2601" spans="4:4">
      <c r="D2601" s="69"/>
    </row>
    <row r="2602" spans="4:4">
      <c r="D2602" s="69"/>
    </row>
    <row r="2603" spans="4:4">
      <c r="D2603" s="69"/>
    </row>
    <row r="2604" spans="4:4">
      <c r="D2604" s="69"/>
    </row>
    <row r="2605" spans="4:4">
      <c r="D2605" s="69"/>
    </row>
    <row r="2606" spans="4:4">
      <c r="D2606" s="69"/>
    </row>
    <row r="2607" spans="4:4">
      <c r="D2607" s="69"/>
    </row>
    <row r="2608" spans="4:4">
      <c r="D2608" s="69"/>
    </row>
    <row r="2609" spans="4:4">
      <c r="D2609" s="69"/>
    </row>
    <row r="2610" spans="4:4">
      <c r="D2610" s="69"/>
    </row>
    <row r="2611" spans="4:4">
      <c r="D2611" s="69"/>
    </row>
    <row r="2612" spans="4:4">
      <c r="D2612" s="69"/>
    </row>
    <row r="2613" spans="4:4">
      <c r="D2613" s="69"/>
    </row>
    <row r="2614" spans="4:4">
      <c r="D2614" s="69"/>
    </row>
    <row r="2615" spans="4:4">
      <c r="D2615" s="69"/>
    </row>
    <row r="2616" spans="4:4">
      <c r="D2616" s="69"/>
    </row>
    <row r="2617" spans="4:4">
      <c r="D2617" s="69"/>
    </row>
    <row r="2618" spans="4:4">
      <c r="D2618" s="69"/>
    </row>
    <row r="2619" spans="4:4">
      <c r="D2619" s="69"/>
    </row>
    <row r="2620" spans="4:4">
      <c r="D2620" s="69"/>
    </row>
    <row r="2621" spans="4:4">
      <c r="D2621" s="69"/>
    </row>
    <row r="2622" spans="4:4">
      <c r="D2622" s="69"/>
    </row>
    <row r="2623" spans="4:4">
      <c r="D2623" s="69"/>
    </row>
    <row r="2624" spans="4:4">
      <c r="D2624" s="69"/>
    </row>
    <row r="2625" spans="4:4">
      <c r="D2625" s="69"/>
    </row>
    <row r="2626" spans="4:4">
      <c r="D2626" s="69"/>
    </row>
    <row r="2627" spans="4:4">
      <c r="D2627" s="69"/>
    </row>
    <row r="2628" spans="4:4">
      <c r="D2628" s="69"/>
    </row>
    <row r="2629" spans="4:4">
      <c r="D2629" s="69"/>
    </row>
    <row r="2630" spans="4:4">
      <c r="D2630" s="69"/>
    </row>
    <row r="2631" spans="4:4">
      <c r="D2631" s="69"/>
    </row>
    <row r="2632" spans="4:4">
      <c r="D2632" s="69"/>
    </row>
    <row r="2633" spans="4:4">
      <c r="D2633" s="69"/>
    </row>
    <row r="2634" spans="4:4">
      <c r="D2634" s="69"/>
    </row>
    <row r="2635" spans="4:4">
      <c r="D2635" s="69"/>
    </row>
    <row r="2636" spans="4:4">
      <c r="D2636" s="69"/>
    </row>
    <row r="2637" spans="4:4">
      <c r="D2637" s="69"/>
    </row>
    <row r="2638" spans="4:4">
      <c r="D2638" s="69"/>
    </row>
    <row r="2639" spans="4:4">
      <c r="D2639" s="69"/>
    </row>
    <row r="2640" spans="4:4">
      <c r="D2640" s="69"/>
    </row>
    <row r="2641" spans="4:4">
      <c r="D2641" s="69"/>
    </row>
    <row r="2642" spans="4:4">
      <c r="D2642" s="69"/>
    </row>
    <row r="2643" spans="4:4">
      <c r="D2643" s="69"/>
    </row>
    <row r="2644" spans="4:4">
      <c r="D2644" s="69"/>
    </row>
    <row r="2645" spans="4:4">
      <c r="D2645" s="69"/>
    </row>
    <row r="2646" spans="4:4">
      <c r="D2646" s="69"/>
    </row>
    <row r="2647" spans="4:4">
      <c r="D2647" s="69"/>
    </row>
    <row r="2648" spans="4:4">
      <c r="D2648" s="69"/>
    </row>
    <row r="2649" spans="4:4">
      <c r="D2649" s="69"/>
    </row>
    <row r="2650" spans="4:4">
      <c r="D2650" s="69"/>
    </row>
    <row r="2651" spans="4:4">
      <c r="D2651" s="69"/>
    </row>
    <row r="2652" spans="4:4">
      <c r="D2652" s="69"/>
    </row>
    <row r="2653" spans="4:4">
      <c r="D2653" s="69"/>
    </row>
    <row r="2654" spans="4:4">
      <c r="D2654" s="69"/>
    </row>
    <row r="2655" spans="4:4">
      <c r="D2655" s="69"/>
    </row>
    <row r="2656" spans="4:4">
      <c r="D2656" s="69"/>
    </row>
    <row r="2657" spans="4:4">
      <c r="D2657" s="69"/>
    </row>
    <row r="2658" spans="4:4">
      <c r="D2658" s="69"/>
    </row>
    <row r="2659" spans="4:4">
      <c r="D2659" s="69"/>
    </row>
    <row r="2660" spans="4:4">
      <c r="D2660" s="69"/>
    </row>
    <row r="2661" spans="4:4">
      <c r="D2661" s="69"/>
    </row>
    <row r="2662" spans="4:4">
      <c r="D2662" s="69"/>
    </row>
    <row r="2663" spans="4:4">
      <c r="D2663" s="69"/>
    </row>
    <row r="2664" spans="4:4">
      <c r="D2664" s="69"/>
    </row>
    <row r="2665" spans="4:4">
      <c r="D2665" s="69"/>
    </row>
    <row r="2666" spans="4:4">
      <c r="D2666" s="69"/>
    </row>
    <row r="2667" spans="4:4">
      <c r="D2667" s="69"/>
    </row>
    <row r="2668" spans="4:4">
      <c r="D2668" s="69"/>
    </row>
    <row r="2669" spans="4:4">
      <c r="D2669" s="69"/>
    </row>
    <row r="2670" spans="4:4">
      <c r="D2670" s="69"/>
    </row>
    <row r="2671" spans="4:4">
      <c r="D2671" s="69"/>
    </row>
    <row r="2672" spans="4:4">
      <c r="D2672" s="69"/>
    </row>
    <row r="2673" spans="4:4">
      <c r="D2673" s="69"/>
    </row>
    <row r="2674" spans="4:4">
      <c r="D2674" s="69"/>
    </row>
    <row r="2675" spans="4:4">
      <c r="D2675" s="69"/>
    </row>
    <row r="2676" spans="4:4">
      <c r="D2676" s="69"/>
    </row>
    <row r="2677" spans="4:4">
      <c r="D2677" s="69"/>
    </row>
    <row r="2678" spans="4:4">
      <c r="D2678" s="69"/>
    </row>
    <row r="2679" spans="4:4">
      <c r="D2679" s="69"/>
    </row>
    <row r="2680" spans="4:4">
      <c r="D2680" s="69"/>
    </row>
    <row r="2681" spans="4:4">
      <c r="D2681" s="69"/>
    </row>
    <row r="2682" spans="4:4">
      <c r="D2682" s="69"/>
    </row>
    <row r="2683" spans="4:4">
      <c r="D2683" s="69"/>
    </row>
    <row r="2684" spans="4:4">
      <c r="D2684" s="69"/>
    </row>
    <row r="2685" spans="4:4">
      <c r="D2685" s="69"/>
    </row>
    <row r="2686" spans="4:4">
      <c r="D2686" s="69"/>
    </row>
    <row r="2687" spans="4:4">
      <c r="D2687" s="69"/>
    </row>
    <row r="2688" spans="4:4">
      <c r="D2688" s="69"/>
    </row>
    <row r="2689" spans="4:4">
      <c r="D2689" s="69"/>
    </row>
    <row r="2690" spans="4:4">
      <c r="D2690" s="69"/>
    </row>
    <row r="2691" spans="4:4">
      <c r="D2691" s="69"/>
    </row>
    <row r="2692" spans="4:4">
      <c r="D2692" s="69"/>
    </row>
    <row r="2693" spans="4:4">
      <c r="D2693" s="69"/>
    </row>
    <row r="2694" spans="4:4">
      <c r="D2694" s="69"/>
    </row>
    <row r="2695" spans="4:4">
      <c r="D2695" s="69"/>
    </row>
    <row r="2696" spans="4:4">
      <c r="D2696" s="69"/>
    </row>
    <row r="2697" spans="4:4">
      <c r="D2697" s="69"/>
    </row>
    <row r="2698" spans="4:4">
      <c r="D2698" s="69"/>
    </row>
    <row r="2699" spans="4:4">
      <c r="D2699" s="69"/>
    </row>
    <row r="2700" spans="4:4">
      <c r="D2700" s="69"/>
    </row>
    <row r="2701" spans="4:4">
      <c r="D2701" s="69"/>
    </row>
    <row r="2702" spans="4:4">
      <c r="D2702" s="69"/>
    </row>
    <row r="2703" spans="4:4">
      <c r="D2703" s="69"/>
    </row>
    <row r="2704" spans="4:4">
      <c r="D2704" s="69"/>
    </row>
    <row r="2705" spans="4:4">
      <c r="D2705" s="69"/>
    </row>
    <row r="2706" spans="4:4">
      <c r="D2706" s="69"/>
    </row>
    <row r="2707" spans="4:4">
      <c r="D2707" s="69"/>
    </row>
    <row r="2708" spans="4:4">
      <c r="D2708" s="69"/>
    </row>
    <row r="2709" spans="4:4">
      <c r="D2709" s="69"/>
    </row>
    <row r="2710" spans="4:4">
      <c r="D2710" s="69"/>
    </row>
    <row r="2711" spans="4:4">
      <c r="D2711" s="69"/>
    </row>
    <row r="2712" spans="4:4">
      <c r="D2712" s="69"/>
    </row>
    <row r="2713" spans="4:4">
      <c r="D2713" s="69"/>
    </row>
    <row r="2714" spans="4:4">
      <c r="D2714" s="69"/>
    </row>
    <row r="2715" spans="4:4">
      <c r="D2715" s="69"/>
    </row>
    <row r="2716" spans="4:4">
      <c r="D2716" s="69"/>
    </row>
    <row r="2717" spans="4:4">
      <c r="D2717" s="69"/>
    </row>
    <row r="2718" spans="4:4">
      <c r="D2718" s="69"/>
    </row>
    <row r="2719" spans="4:4">
      <c r="D2719" s="69"/>
    </row>
    <row r="2720" spans="4:4">
      <c r="D2720" s="69"/>
    </row>
    <row r="2721" spans="4:4">
      <c r="D2721" s="69"/>
    </row>
    <row r="2722" spans="4:4">
      <c r="D2722" s="69"/>
    </row>
    <row r="2723" spans="4:4">
      <c r="D2723" s="69"/>
    </row>
    <row r="2724" spans="4:4">
      <c r="D2724" s="69"/>
    </row>
    <row r="2725" spans="4:4">
      <c r="D2725" s="69"/>
    </row>
    <row r="2726" spans="4:4">
      <c r="D2726" s="69"/>
    </row>
    <row r="2727" spans="4:4">
      <c r="D2727" s="69"/>
    </row>
    <row r="2728" spans="4:4">
      <c r="D2728" s="69"/>
    </row>
    <row r="2729" spans="4:4">
      <c r="D2729" s="69"/>
    </row>
    <row r="2730" spans="4:4">
      <c r="D2730" s="69"/>
    </row>
    <row r="2731" spans="4:4">
      <c r="D2731" s="69"/>
    </row>
    <row r="2732" spans="4:4">
      <c r="D2732" s="69"/>
    </row>
    <row r="2733" spans="4:4">
      <c r="D2733" s="69"/>
    </row>
    <row r="2734" spans="4:4">
      <c r="D2734" s="69"/>
    </row>
    <row r="2735" spans="4:4">
      <c r="D2735" s="69"/>
    </row>
    <row r="2736" spans="4:4">
      <c r="D2736" s="69"/>
    </row>
    <row r="2737" spans="4:4">
      <c r="D2737" s="69"/>
    </row>
    <row r="2738" spans="4:4">
      <c r="D2738" s="69"/>
    </row>
    <row r="2739" spans="4:4">
      <c r="D2739" s="69"/>
    </row>
    <row r="2740" spans="4:4">
      <c r="D2740" s="69"/>
    </row>
    <row r="2741" spans="4:4">
      <c r="D2741" s="69"/>
    </row>
    <row r="2742" spans="4:4">
      <c r="D2742" s="69"/>
    </row>
    <row r="2743" spans="4:4">
      <c r="D2743" s="69"/>
    </row>
    <row r="2744" spans="4:4">
      <c r="D2744" s="69"/>
    </row>
    <row r="2745" spans="4:4">
      <c r="D2745" s="69"/>
    </row>
    <row r="2746" spans="4:4">
      <c r="D2746" s="69"/>
    </row>
    <row r="2747" spans="4:4">
      <c r="D2747" s="69"/>
    </row>
    <row r="2748" spans="4:4">
      <c r="D2748" s="69"/>
    </row>
    <row r="2749" spans="4:4">
      <c r="D2749" s="69"/>
    </row>
    <row r="2750" spans="4:4">
      <c r="D2750" s="69"/>
    </row>
    <row r="2751" spans="4:4">
      <c r="D2751" s="69"/>
    </row>
    <row r="2752" spans="4:4">
      <c r="D2752" s="69"/>
    </row>
    <row r="2753" spans="4:4">
      <c r="D2753" s="69"/>
    </row>
    <row r="2754" spans="4:4">
      <c r="D2754" s="69"/>
    </row>
    <row r="2755" spans="4:4">
      <c r="D2755" s="69"/>
    </row>
    <row r="2756" spans="4:4">
      <c r="D2756" s="69"/>
    </row>
    <row r="2757" spans="4:4">
      <c r="D2757" s="69"/>
    </row>
    <row r="2758" spans="4:4">
      <c r="D2758" s="69"/>
    </row>
    <row r="2759" spans="4:4">
      <c r="D2759" s="69"/>
    </row>
    <row r="2760" spans="4:4">
      <c r="D2760" s="69"/>
    </row>
    <row r="2761" spans="4:4">
      <c r="D2761" s="69"/>
    </row>
    <row r="2762" spans="4:4">
      <c r="D2762" s="69"/>
    </row>
    <row r="2763" spans="4:4">
      <c r="D2763" s="69"/>
    </row>
    <row r="2764" spans="4:4">
      <c r="D2764" s="69"/>
    </row>
    <row r="2765" spans="4:4">
      <c r="D2765" s="69"/>
    </row>
    <row r="2766" spans="4:4">
      <c r="D2766" s="69"/>
    </row>
    <row r="2767" spans="4:4">
      <c r="D2767" s="69"/>
    </row>
    <row r="2768" spans="4:4">
      <c r="D2768" s="69"/>
    </row>
    <row r="2769" spans="4:4">
      <c r="D2769" s="69"/>
    </row>
    <row r="2770" spans="4:4">
      <c r="D2770" s="69"/>
    </row>
    <row r="2771" spans="4:4">
      <c r="D2771" s="69"/>
    </row>
    <row r="2772" spans="4:4">
      <c r="D2772" s="69"/>
    </row>
    <row r="2773" spans="4:4">
      <c r="D2773" s="69"/>
    </row>
    <row r="2774" spans="4:4">
      <c r="D2774" s="69"/>
    </row>
    <row r="2775" spans="4:4">
      <c r="D2775" s="69"/>
    </row>
    <row r="2776" spans="4:4">
      <c r="D2776" s="69"/>
    </row>
    <row r="2777" spans="4:4">
      <c r="D2777" s="69"/>
    </row>
    <row r="2778" spans="4:4">
      <c r="D2778" s="69"/>
    </row>
    <row r="2779" spans="4:4">
      <c r="D2779" s="69"/>
    </row>
    <row r="2780" spans="4:4">
      <c r="D2780" s="69"/>
    </row>
    <row r="2781" spans="4:4">
      <c r="D2781" s="69"/>
    </row>
    <row r="2782" spans="4:4">
      <c r="D2782" s="69"/>
    </row>
    <row r="2783" spans="4:4">
      <c r="D2783" s="69"/>
    </row>
    <row r="2784" spans="4:4">
      <c r="D2784" s="69"/>
    </row>
    <row r="2785" spans="4:4">
      <c r="D2785" s="69"/>
    </row>
    <row r="2786" spans="4:4">
      <c r="D2786" s="69"/>
    </row>
    <row r="2787" spans="4:4">
      <c r="D2787" s="69"/>
    </row>
    <row r="2788" spans="4:4">
      <c r="D2788" s="69"/>
    </row>
    <row r="2789" spans="4:4">
      <c r="D2789" s="69"/>
    </row>
    <row r="2790" spans="4:4">
      <c r="D2790" s="69"/>
    </row>
    <row r="2791" spans="4:4">
      <c r="D2791" s="69"/>
    </row>
    <row r="2792" spans="4:4">
      <c r="D2792" s="69"/>
    </row>
    <row r="2793" spans="4:4">
      <c r="D2793" s="69"/>
    </row>
    <row r="2794" spans="4:4">
      <c r="D2794" s="69"/>
    </row>
    <row r="2795" spans="4:4">
      <c r="D2795" s="69"/>
    </row>
    <row r="2796" spans="4:4">
      <c r="D2796" s="69"/>
    </row>
    <row r="2797" spans="4:4">
      <c r="D2797" s="69"/>
    </row>
    <row r="2798" spans="4:4">
      <c r="D2798" s="69"/>
    </row>
    <row r="2799" spans="4:4">
      <c r="D2799" s="69"/>
    </row>
    <row r="2800" spans="4:4">
      <c r="D2800" s="69"/>
    </row>
    <row r="2801" spans="4:4">
      <c r="D2801" s="69"/>
    </row>
    <row r="2802" spans="4:4">
      <c r="D2802" s="69"/>
    </row>
    <row r="2803" spans="4:4">
      <c r="D2803" s="69"/>
    </row>
    <row r="2804" spans="4:4">
      <c r="D2804" s="69"/>
    </row>
    <row r="2805" spans="4:4">
      <c r="D2805" s="69"/>
    </row>
    <row r="2806" spans="4:4">
      <c r="D2806" s="69"/>
    </row>
    <row r="2807" spans="4:4">
      <c r="D2807" s="69"/>
    </row>
    <row r="2808" spans="4:4">
      <c r="D2808" s="69"/>
    </row>
    <row r="2809" spans="4:4">
      <c r="D2809" s="69"/>
    </row>
    <row r="2810" spans="4:4">
      <c r="D2810" s="69"/>
    </row>
    <row r="2811" spans="4:4">
      <c r="D2811" s="69"/>
    </row>
    <row r="2812" spans="4:4">
      <c r="D2812" s="69"/>
    </row>
    <row r="2813" spans="4:4">
      <c r="D2813" s="69"/>
    </row>
    <row r="2814" spans="4:4">
      <c r="D2814" s="69"/>
    </row>
    <row r="2815" spans="4:4">
      <c r="D2815" s="69"/>
    </row>
    <row r="2816" spans="4:4">
      <c r="D2816" s="69"/>
    </row>
    <row r="2817" spans="4:4">
      <c r="D2817" s="69"/>
    </row>
    <row r="2818" spans="4:4">
      <c r="D2818" s="69"/>
    </row>
    <row r="2819" spans="4:4">
      <c r="D2819" s="69"/>
    </row>
    <row r="2820" spans="4:4">
      <c r="D2820" s="69"/>
    </row>
    <row r="2821" spans="4:4">
      <c r="D2821" s="69"/>
    </row>
    <row r="2822" spans="4:4">
      <c r="D2822" s="69"/>
    </row>
    <row r="2823" spans="4:4">
      <c r="D2823" s="69"/>
    </row>
    <row r="2824" spans="4:4">
      <c r="D2824" s="69"/>
    </row>
    <row r="2825" spans="4:4">
      <c r="D2825" s="69"/>
    </row>
    <row r="2826" spans="4:4">
      <c r="D2826" s="69"/>
    </row>
    <row r="2827" spans="4:4">
      <c r="D2827" s="69"/>
    </row>
    <row r="2828" spans="4:4">
      <c r="D2828" s="69"/>
    </row>
    <row r="2829" spans="4:4">
      <c r="D2829" s="69"/>
    </row>
    <row r="2830" spans="4:4">
      <c r="D2830" s="69"/>
    </row>
    <row r="2831" spans="4:4">
      <c r="D2831" s="69"/>
    </row>
    <row r="2832" spans="4:4">
      <c r="D2832" s="69"/>
    </row>
    <row r="2833" spans="4:4">
      <c r="D2833" s="69"/>
    </row>
    <row r="2834" spans="4:4">
      <c r="D2834" s="69"/>
    </row>
    <row r="2835" spans="4:4">
      <c r="D2835" s="69"/>
    </row>
    <row r="2836" spans="4:4">
      <c r="D2836" s="69"/>
    </row>
    <row r="2837" spans="4:4">
      <c r="D2837" s="69"/>
    </row>
    <row r="2838" spans="4:4">
      <c r="D2838" s="69"/>
    </row>
    <row r="2839" spans="4:4">
      <c r="D2839" s="69"/>
    </row>
    <row r="2840" spans="4:4">
      <c r="D2840" s="69"/>
    </row>
    <row r="2841" spans="4:4">
      <c r="D2841" s="69"/>
    </row>
    <row r="2842" spans="4:4">
      <c r="D2842" s="69"/>
    </row>
    <row r="2843" spans="4:4">
      <c r="D2843" s="69"/>
    </row>
    <row r="2844" spans="4:4">
      <c r="D2844" s="69"/>
    </row>
    <row r="2845" spans="4:4">
      <c r="D2845" s="69"/>
    </row>
    <row r="2846" spans="4:4">
      <c r="D2846" s="69"/>
    </row>
    <row r="2847" spans="4:4">
      <c r="D2847" s="69"/>
    </row>
    <row r="2848" spans="4:4">
      <c r="D2848" s="69"/>
    </row>
    <row r="2849" spans="4:4">
      <c r="D2849" s="69"/>
    </row>
    <row r="2850" spans="4:4">
      <c r="D2850" s="69"/>
    </row>
    <row r="2851" spans="4:4">
      <c r="D2851" s="69"/>
    </row>
    <row r="2852" spans="4:4">
      <c r="D2852" s="69"/>
    </row>
    <row r="2853" spans="4:4">
      <c r="D2853" s="69"/>
    </row>
    <row r="2854" spans="4:4">
      <c r="D2854" s="69"/>
    </row>
    <row r="2855" spans="4:4">
      <c r="D2855" s="69"/>
    </row>
    <row r="2856" spans="4:4">
      <c r="D2856" s="69"/>
    </row>
    <row r="2857" spans="4:4">
      <c r="D2857" s="69"/>
    </row>
    <row r="2858" spans="4:4">
      <c r="D2858" s="69"/>
    </row>
    <row r="2859" spans="4:4">
      <c r="D2859" s="69"/>
    </row>
    <row r="2860" spans="4:4">
      <c r="D2860" s="69"/>
    </row>
    <row r="2861" spans="4:4">
      <c r="D2861" s="69"/>
    </row>
    <row r="2862" spans="4:4">
      <c r="D2862" s="69"/>
    </row>
    <row r="2863" spans="4:4">
      <c r="D2863" s="69"/>
    </row>
    <row r="2864" spans="4:4">
      <c r="D2864" s="69"/>
    </row>
    <row r="2865" spans="4:4">
      <c r="D2865" s="69"/>
    </row>
    <row r="2866" spans="4:4">
      <c r="D2866" s="69"/>
    </row>
    <row r="2867" spans="4:4">
      <c r="D2867" s="69"/>
    </row>
    <row r="2868" spans="4:4">
      <c r="D2868" s="69"/>
    </row>
    <row r="2869" spans="4:4">
      <c r="D2869" s="69"/>
    </row>
    <row r="2870" spans="4:4">
      <c r="D2870" s="69"/>
    </row>
    <row r="2871" spans="4:4">
      <c r="D2871" s="69"/>
    </row>
    <row r="2872" spans="4:4">
      <c r="D2872" s="69"/>
    </row>
    <row r="2873" spans="4:4">
      <c r="D2873" s="69"/>
    </row>
    <row r="2874" spans="4:4">
      <c r="D2874" s="69"/>
    </row>
    <row r="2875" spans="4:4">
      <c r="D2875" s="69"/>
    </row>
    <row r="2876" spans="4:4">
      <c r="D2876" s="69"/>
    </row>
    <row r="2877" spans="4:4">
      <c r="D2877" s="69"/>
    </row>
    <row r="2878" spans="4:4">
      <c r="D2878" s="69"/>
    </row>
    <row r="2879" spans="4:4">
      <c r="D2879" s="69"/>
    </row>
    <row r="2880" spans="4:4">
      <c r="D2880" s="69"/>
    </row>
    <row r="2881" spans="4:4">
      <c r="D2881" s="69"/>
    </row>
    <row r="2882" spans="4:4">
      <c r="D2882" s="69"/>
    </row>
    <row r="2883" spans="4:4">
      <c r="D2883" s="69"/>
    </row>
    <row r="2884" spans="4:4">
      <c r="D2884" s="69"/>
    </row>
    <row r="2885" spans="4:4">
      <c r="D2885" s="69"/>
    </row>
    <row r="2886" spans="4:4">
      <c r="D2886" s="69"/>
    </row>
    <row r="2887" spans="4:4">
      <c r="D2887" s="69"/>
    </row>
    <row r="2888" spans="4:4">
      <c r="D2888" s="69"/>
    </row>
    <row r="2889" spans="4:4">
      <c r="D2889" s="69"/>
    </row>
    <row r="2890" spans="4:4">
      <c r="D2890" s="69"/>
    </row>
    <row r="2891" spans="4:4">
      <c r="D2891" s="69"/>
    </row>
    <row r="2892" spans="4:4">
      <c r="D2892" s="69"/>
    </row>
    <row r="2893" spans="4:4">
      <c r="D2893" s="69"/>
    </row>
    <row r="2894" spans="4:4">
      <c r="D2894" s="69"/>
    </row>
    <row r="2895" spans="4:4">
      <c r="D2895" s="69"/>
    </row>
    <row r="2896" spans="4:4">
      <c r="D2896" s="69"/>
    </row>
    <row r="2897" spans="4:4">
      <c r="D2897" s="69"/>
    </row>
    <row r="2898" spans="4:4">
      <c r="D2898" s="69"/>
    </row>
    <row r="2899" spans="4:4">
      <c r="D2899" s="69"/>
    </row>
    <row r="2900" spans="4:4">
      <c r="D2900" s="69"/>
    </row>
    <row r="2901" spans="4:4">
      <c r="D2901" s="69"/>
    </row>
    <row r="2902" spans="4:4">
      <c r="D2902" s="69"/>
    </row>
    <row r="2903" spans="4:4">
      <c r="D2903" s="69"/>
    </row>
    <row r="2904" spans="4:4">
      <c r="D2904" s="69"/>
    </row>
    <row r="2905" spans="4:4">
      <c r="D2905" s="69"/>
    </row>
    <row r="2906" spans="4:4">
      <c r="D2906" s="69"/>
    </row>
    <row r="2907" spans="4:4">
      <c r="D2907" s="69"/>
    </row>
    <row r="2908" spans="4:4">
      <c r="D2908" s="69"/>
    </row>
    <row r="2909" spans="4:4">
      <c r="D2909" s="69"/>
    </row>
    <row r="2910" spans="4:4">
      <c r="D2910" s="69"/>
    </row>
    <row r="2911" spans="4:4">
      <c r="D2911" s="69"/>
    </row>
    <row r="2912" spans="4:4">
      <c r="D2912" s="69"/>
    </row>
    <row r="2913" spans="4:4">
      <c r="D2913" s="69"/>
    </row>
    <row r="2914" spans="4:4">
      <c r="D2914" s="69"/>
    </row>
    <row r="2915" spans="4:4">
      <c r="D2915" s="69"/>
    </row>
    <row r="2916" spans="4:4">
      <c r="D2916" s="69"/>
    </row>
    <row r="2917" spans="4:4">
      <c r="D2917" s="69"/>
    </row>
    <row r="2918" spans="4:4">
      <c r="D2918" s="69"/>
    </row>
    <row r="2919" spans="4:4">
      <c r="D2919" s="69"/>
    </row>
    <row r="2920" spans="4:4">
      <c r="D2920" s="69"/>
    </row>
    <row r="2921" spans="4:4">
      <c r="D2921" s="69"/>
    </row>
    <row r="2922" spans="4:4">
      <c r="D2922" s="69"/>
    </row>
    <row r="2923" spans="4:4">
      <c r="D2923" s="69"/>
    </row>
    <row r="2924" spans="4:4">
      <c r="D2924" s="69"/>
    </row>
    <row r="2925" spans="4:4">
      <c r="D2925" s="69"/>
    </row>
    <row r="2926" spans="4:4">
      <c r="D2926" s="69"/>
    </row>
    <row r="2927" spans="4:4">
      <c r="D2927" s="69"/>
    </row>
    <row r="2928" spans="4:4">
      <c r="D2928" s="69"/>
    </row>
    <row r="2929" spans="4:4">
      <c r="D2929" s="69"/>
    </row>
    <row r="2930" spans="4:4">
      <c r="D2930" s="69"/>
    </row>
    <row r="2931" spans="4:4">
      <c r="D2931" s="69"/>
    </row>
    <row r="2932" spans="4:4">
      <c r="D2932" s="69"/>
    </row>
    <row r="2933" spans="4:4">
      <c r="D2933" s="69"/>
    </row>
    <row r="2934" spans="4:4">
      <c r="D2934" s="69"/>
    </row>
    <row r="2935" spans="4:4">
      <c r="D2935" s="69"/>
    </row>
    <row r="2936" spans="4:4">
      <c r="D2936" s="69"/>
    </row>
    <row r="2937" spans="4:4">
      <c r="D2937" s="69"/>
    </row>
    <row r="2938" spans="4:4">
      <c r="D2938" s="69"/>
    </row>
    <row r="2939" spans="4:4">
      <c r="D2939" s="69"/>
    </row>
    <row r="2940" spans="4:4">
      <c r="D2940" s="69"/>
    </row>
    <row r="2941" spans="4:4">
      <c r="D2941" s="69"/>
    </row>
    <row r="2942" spans="4:4">
      <c r="D2942" s="69"/>
    </row>
    <row r="2943" spans="4:4">
      <c r="D2943" s="69"/>
    </row>
    <row r="2944" spans="4:4">
      <c r="D2944" s="69"/>
    </row>
    <row r="2945" spans="4:4">
      <c r="D2945" s="69"/>
    </row>
    <row r="2946" spans="4:4">
      <c r="D2946" s="69"/>
    </row>
    <row r="2947" spans="4:4">
      <c r="D2947" s="69"/>
    </row>
    <row r="2948" spans="4:4">
      <c r="D2948" s="69"/>
    </row>
    <row r="2949" spans="4:4">
      <c r="D2949" s="69"/>
    </row>
    <row r="2950" spans="4:4">
      <c r="D2950" s="69"/>
    </row>
    <row r="2951" spans="4:4">
      <c r="D2951" s="69"/>
    </row>
    <row r="2952" spans="4:4">
      <c r="D2952" s="69"/>
    </row>
    <row r="2953" spans="4:4">
      <c r="D2953" s="69"/>
    </row>
    <row r="2954" spans="4:4">
      <c r="D2954" s="69"/>
    </row>
    <row r="2955" spans="4:4">
      <c r="D2955" s="69"/>
    </row>
    <row r="2956" spans="4:4">
      <c r="D2956" s="69"/>
    </row>
    <row r="2957" spans="4:4">
      <c r="D2957" s="69"/>
    </row>
    <row r="2958" spans="4:4">
      <c r="D2958" s="69"/>
    </row>
    <row r="2959" spans="4:4">
      <c r="D2959" s="69"/>
    </row>
    <row r="2960" spans="4:4">
      <c r="D2960" s="69"/>
    </row>
    <row r="2961" spans="4:4">
      <c r="D2961" s="69"/>
    </row>
    <row r="2962" spans="4:4">
      <c r="D2962" s="69"/>
    </row>
    <row r="2963" spans="4:4">
      <c r="D2963" s="69"/>
    </row>
    <row r="2964" spans="4:4">
      <c r="D2964" s="69"/>
    </row>
    <row r="2965" spans="4:4">
      <c r="D2965" s="69"/>
    </row>
    <row r="2966" spans="4:4">
      <c r="D2966" s="69"/>
    </row>
    <row r="2967" spans="4:4">
      <c r="D2967" s="69"/>
    </row>
    <row r="2968" spans="4:4">
      <c r="D2968" s="69"/>
    </row>
    <row r="2969" spans="4:4">
      <c r="D2969" s="69"/>
    </row>
    <row r="2970" spans="4:4">
      <c r="D2970" s="69"/>
    </row>
    <row r="2971" spans="4:4">
      <c r="D2971" s="69"/>
    </row>
    <row r="2972" spans="4:4">
      <c r="D2972" s="69"/>
    </row>
    <row r="2973" spans="4:4">
      <c r="D2973" s="69"/>
    </row>
    <row r="2974" spans="4:4">
      <c r="D2974" s="69"/>
    </row>
    <row r="2975" spans="4:4">
      <c r="D2975" s="69"/>
    </row>
    <row r="2976" spans="4:4">
      <c r="D2976" s="69"/>
    </row>
    <row r="2977" spans="4:4">
      <c r="D2977" s="69"/>
    </row>
    <row r="2978" spans="4:4">
      <c r="D2978" s="69"/>
    </row>
    <row r="2979" spans="4:4">
      <c r="D2979" s="69"/>
    </row>
    <row r="2980" spans="4:4">
      <c r="D2980" s="69"/>
    </row>
    <row r="2981" spans="4:4">
      <c r="D2981" s="69"/>
    </row>
    <row r="2982" spans="4:4">
      <c r="D2982" s="69"/>
    </row>
    <row r="2983" spans="4:4">
      <c r="D2983" s="69"/>
    </row>
    <row r="2984" spans="4:4">
      <c r="D2984" s="69"/>
    </row>
    <row r="2985" spans="4:4">
      <c r="D2985" s="69"/>
    </row>
    <row r="2986" spans="4:4">
      <c r="D2986" s="69"/>
    </row>
    <row r="2987" spans="4:4">
      <c r="D2987" s="69"/>
    </row>
    <row r="2988" spans="4:4">
      <c r="D2988" s="69"/>
    </row>
    <row r="2989" spans="4:4">
      <c r="D2989" s="69"/>
    </row>
    <row r="2990" spans="4:4">
      <c r="D2990" s="69"/>
    </row>
    <row r="2991" spans="4:4">
      <c r="D2991" s="69"/>
    </row>
    <row r="2992" spans="4:4">
      <c r="D2992" s="69"/>
    </row>
    <row r="2993" spans="4:4">
      <c r="D2993" s="69"/>
    </row>
    <row r="2994" spans="4:4">
      <c r="D2994" s="69"/>
    </row>
    <row r="2995" spans="4:4">
      <c r="D2995" s="69"/>
    </row>
    <row r="2996" spans="4:4">
      <c r="D2996" s="69"/>
    </row>
    <row r="2997" spans="4:4">
      <c r="D2997" s="69"/>
    </row>
    <row r="2998" spans="4:4">
      <c r="D2998" s="69"/>
    </row>
    <row r="2999" spans="4:4">
      <c r="D2999" s="69"/>
    </row>
    <row r="3000" spans="4:4">
      <c r="D3000" s="69"/>
    </row>
    <row r="3001" spans="4:4">
      <c r="D3001" s="69"/>
    </row>
    <row r="3002" spans="4:4">
      <c r="D3002" s="69"/>
    </row>
    <row r="3003" spans="4:4">
      <c r="D3003" s="69"/>
    </row>
    <row r="3004" spans="4:4">
      <c r="D3004" s="69"/>
    </row>
    <row r="3005" spans="4:4">
      <c r="D3005" s="69"/>
    </row>
    <row r="3006" spans="4:4">
      <c r="D3006" s="69"/>
    </row>
    <row r="3007" spans="4:4">
      <c r="D3007" s="69"/>
    </row>
    <row r="3008" spans="4:4">
      <c r="D3008" s="69"/>
    </row>
    <row r="3009" spans="4:4">
      <c r="D3009" s="69"/>
    </row>
    <row r="3010" spans="4:4">
      <c r="D3010" s="69"/>
    </row>
    <row r="3011" spans="4:4">
      <c r="D3011" s="69"/>
    </row>
    <row r="3012" spans="4:4">
      <c r="D3012" s="69"/>
    </row>
    <row r="3013" spans="4:4">
      <c r="D3013" s="69"/>
    </row>
    <row r="3014" spans="4:4">
      <c r="D3014" s="69"/>
    </row>
    <row r="3015" spans="4:4">
      <c r="D3015" s="69"/>
    </row>
    <row r="3016" spans="4:4">
      <c r="D3016" s="69"/>
    </row>
    <row r="3017" spans="4:4">
      <c r="D3017" s="69"/>
    </row>
    <row r="3018" spans="4:4">
      <c r="D3018" s="69"/>
    </row>
    <row r="3019" spans="4:4">
      <c r="D3019" s="69"/>
    </row>
    <row r="3020" spans="4:4">
      <c r="D3020" s="69"/>
    </row>
    <row r="3021" spans="4:4">
      <c r="D3021" s="69"/>
    </row>
    <row r="3022" spans="4:4">
      <c r="D3022" s="69"/>
    </row>
    <row r="3023" spans="4:4">
      <c r="D3023" s="69"/>
    </row>
    <row r="3024" spans="4:4">
      <c r="D3024" s="69"/>
    </row>
    <row r="3025" spans="4:4">
      <c r="D3025" s="69"/>
    </row>
    <row r="3026" spans="4:4">
      <c r="D3026" s="69"/>
    </row>
    <row r="3027" spans="4:4">
      <c r="D3027" s="69"/>
    </row>
    <row r="3028" spans="4:4">
      <c r="D3028" s="69"/>
    </row>
    <row r="3029" spans="4:4">
      <c r="D3029" s="69"/>
    </row>
    <row r="3030" spans="4:4">
      <c r="D3030" s="69"/>
    </row>
    <row r="3031" spans="4:4">
      <c r="D3031" s="69"/>
    </row>
    <row r="3032" spans="4:4">
      <c r="D3032" s="69"/>
    </row>
    <row r="3033" spans="4:4">
      <c r="D3033" s="69"/>
    </row>
    <row r="3034" spans="4:4">
      <c r="D3034" s="69"/>
    </row>
    <row r="3035" spans="4:4">
      <c r="D3035" s="69"/>
    </row>
    <row r="3036" spans="4:4">
      <c r="D3036" s="69"/>
    </row>
    <row r="3037" spans="4:4">
      <c r="D3037" s="69"/>
    </row>
    <row r="3038" spans="4:4">
      <c r="D3038" s="69"/>
    </row>
    <row r="3039" spans="4:4">
      <c r="D3039" s="69"/>
    </row>
    <row r="3040" spans="4:4">
      <c r="D3040" s="69"/>
    </row>
    <row r="3041" spans="4:4">
      <c r="D3041" s="69"/>
    </row>
    <row r="3042" spans="4:4">
      <c r="D3042" s="69"/>
    </row>
    <row r="3043" spans="4:4">
      <c r="D3043" s="69"/>
    </row>
    <row r="3044" spans="4:4">
      <c r="D3044" s="69"/>
    </row>
    <row r="3045" spans="4:4">
      <c r="D3045" s="69"/>
    </row>
    <row r="3046" spans="4:4">
      <c r="D3046" s="69"/>
    </row>
    <row r="3047" spans="4:4">
      <c r="D3047" s="69"/>
    </row>
    <row r="3048" spans="4:4">
      <c r="D3048" s="69"/>
    </row>
    <row r="3049" spans="4:4">
      <c r="D3049" s="69"/>
    </row>
    <row r="3050" spans="4:4">
      <c r="D3050" s="69"/>
    </row>
    <row r="3051" spans="4:4">
      <c r="D3051" s="69"/>
    </row>
    <row r="3052" spans="4:4">
      <c r="D3052" s="69"/>
    </row>
    <row r="3053" spans="4:4">
      <c r="D3053" s="69"/>
    </row>
    <row r="3054" spans="4:4">
      <c r="D3054" s="69"/>
    </row>
    <row r="3055" spans="4:4">
      <c r="D3055" s="69"/>
    </row>
    <row r="3056" spans="4:4">
      <c r="D3056" s="69"/>
    </row>
    <row r="3057" spans="4:4">
      <c r="D3057" s="69"/>
    </row>
    <row r="3058" spans="4:4">
      <c r="D3058" s="69"/>
    </row>
    <row r="3059" spans="4:4">
      <c r="D3059" s="69"/>
    </row>
    <row r="3060" spans="4:4">
      <c r="D3060" s="69"/>
    </row>
    <row r="3061" spans="4:4">
      <c r="D3061" s="69"/>
    </row>
    <row r="3062" spans="4:4">
      <c r="D3062" s="69"/>
    </row>
    <row r="3063" spans="4:4">
      <c r="D3063" s="69"/>
    </row>
    <row r="3064" spans="4:4">
      <c r="D3064" s="69"/>
    </row>
    <row r="3065" spans="4:4">
      <c r="D3065" s="69"/>
    </row>
    <row r="3066" spans="4:4">
      <c r="D3066" s="69"/>
    </row>
    <row r="3067" spans="4:4">
      <c r="D3067" s="69"/>
    </row>
    <row r="3068" spans="4:4">
      <c r="D3068" s="69"/>
    </row>
    <row r="3069" spans="4:4">
      <c r="D3069" s="69"/>
    </row>
    <row r="3070" spans="4:4">
      <c r="D3070" s="69"/>
    </row>
    <row r="3071" spans="4:4">
      <c r="D3071" s="69"/>
    </row>
    <row r="3072" spans="4:4">
      <c r="D3072" s="69"/>
    </row>
    <row r="3073" spans="4:4">
      <c r="D3073" s="69"/>
    </row>
    <row r="3074" spans="4:4">
      <c r="D3074" s="69"/>
    </row>
    <row r="3075" spans="4:4">
      <c r="D3075" s="69"/>
    </row>
    <row r="3076" spans="4:4">
      <c r="D3076" s="69"/>
    </row>
    <row r="3077" spans="4:4">
      <c r="D3077" s="69"/>
    </row>
    <row r="3078" spans="4:4">
      <c r="D3078" s="69"/>
    </row>
    <row r="3079" spans="4:4">
      <c r="D3079" s="69"/>
    </row>
    <row r="3080" spans="4:4">
      <c r="D3080" s="69"/>
    </row>
    <row r="3081" spans="4:4">
      <c r="D3081" s="69"/>
    </row>
    <row r="3082" spans="4:4">
      <c r="D3082" s="69"/>
    </row>
    <row r="3083" spans="4:4">
      <c r="D3083" s="69"/>
    </row>
    <row r="3084" spans="4:4">
      <c r="D3084" s="69"/>
    </row>
    <row r="3085" spans="4:4">
      <c r="D3085" s="69"/>
    </row>
    <row r="3086" spans="4:4">
      <c r="D3086" s="69"/>
    </row>
    <row r="3087" spans="4:4">
      <c r="D3087" s="69"/>
    </row>
    <row r="3088" spans="4:4">
      <c r="D3088" s="69"/>
    </row>
    <row r="3089" spans="4:4">
      <c r="D3089" s="69"/>
    </row>
    <row r="3090" spans="4:4">
      <c r="D3090" s="69"/>
    </row>
    <row r="3091" spans="4:4">
      <c r="D3091" s="69"/>
    </row>
    <row r="3092" spans="4:4">
      <c r="D3092" s="69"/>
    </row>
    <row r="3093" spans="4:4">
      <c r="D3093" s="69"/>
    </row>
    <row r="3094" spans="4:4">
      <c r="D3094" s="69"/>
    </row>
    <row r="3095" spans="4:4">
      <c r="D3095" s="69"/>
    </row>
    <row r="3096" spans="4:4">
      <c r="D3096" s="69"/>
    </row>
    <row r="3097" spans="4:4">
      <c r="D3097" s="69"/>
    </row>
    <row r="3098" spans="4:4">
      <c r="D3098" s="69"/>
    </row>
    <row r="3099" spans="4:4">
      <c r="D3099" s="69"/>
    </row>
    <row r="3100" spans="4:4">
      <c r="D3100" s="69"/>
    </row>
    <row r="3101" spans="4:4">
      <c r="D3101" s="69"/>
    </row>
    <row r="3102" spans="4:4">
      <c r="D3102" s="69"/>
    </row>
    <row r="3103" spans="4:4">
      <c r="D3103" s="69"/>
    </row>
    <row r="3104" spans="4:4">
      <c r="D3104" s="69"/>
    </row>
    <row r="3105" spans="4:4">
      <c r="D3105" s="69"/>
    </row>
    <row r="3106" spans="4:4">
      <c r="D3106" s="69"/>
    </row>
    <row r="3107" spans="4:4">
      <c r="D3107" s="69"/>
    </row>
    <row r="3108" spans="4:4">
      <c r="D3108" s="69"/>
    </row>
    <row r="3109" spans="4:4">
      <c r="D3109" s="69"/>
    </row>
    <row r="3110" spans="4:4">
      <c r="D3110" s="69"/>
    </row>
    <row r="3111" spans="4:4">
      <c r="D3111" s="69"/>
    </row>
    <row r="3112" spans="4:4">
      <c r="D3112" s="69"/>
    </row>
    <row r="3113" spans="4:4">
      <c r="D3113" s="69"/>
    </row>
    <row r="3114" spans="4:4">
      <c r="D3114" s="69"/>
    </row>
    <row r="3115" spans="4:4">
      <c r="D3115" s="69"/>
    </row>
    <row r="3116" spans="4:4">
      <c r="D3116" s="69"/>
    </row>
    <row r="3117" spans="4:4">
      <c r="D3117" s="69"/>
    </row>
    <row r="3118" spans="4:4">
      <c r="D3118" s="69"/>
    </row>
    <row r="3119" spans="4:4">
      <c r="D3119" s="69"/>
    </row>
    <row r="3120" spans="4:4">
      <c r="D3120" s="69"/>
    </row>
    <row r="3121" spans="4:4">
      <c r="D3121" s="69"/>
    </row>
    <row r="3122" spans="4:4">
      <c r="D3122" s="69"/>
    </row>
    <row r="3123" spans="4:4">
      <c r="D3123" s="69"/>
    </row>
    <row r="3124" spans="4:4">
      <c r="D3124" s="69"/>
    </row>
    <row r="3125" spans="4:4">
      <c r="D3125" s="69"/>
    </row>
    <row r="3126" spans="4:4">
      <c r="D3126" s="69"/>
    </row>
    <row r="3127" spans="4:4">
      <c r="D3127" s="69"/>
    </row>
    <row r="3128" spans="4:4">
      <c r="D3128" s="69"/>
    </row>
    <row r="3129" spans="4:4">
      <c r="D3129" s="69"/>
    </row>
    <row r="3130" spans="4:4">
      <c r="D3130" s="69"/>
    </row>
    <row r="3131" spans="4:4">
      <c r="D3131" s="69"/>
    </row>
    <row r="3132" spans="4:4">
      <c r="D3132" s="69"/>
    </row>
    <row r="3133" spans="4:4">
      <c r="D3133" s="69"/>
    </row>
    <row r="3134" spans="4:4">
      <c r="D3134" s="69"/>
    </row>
    <row r="3135" spans="4:4">
      <c r="D3135" s="69"/>
    </row>
    <row r="3136" spans="4:4">
      <c r="D3136" s="69"/>
    </row>
    <row r="3137" spans="4:4">
      <c r="D3137" s="69"/>
    </row>
    <row r="3138" spans="4:4">
      <c r="D3138" s="69"/>
    </row>
    <row r="3139" spans="4:4">
      <c r="D3139" s="69"/>
    </row>
    <row r="3140" spans="4:4">
      <c r="D3140" s="69"/>
    </row>
    <row r="3141" spans="4:4">
      <c r="D3141" s="69"/>
    </row>
    <row r="3142" spans="4:4">
      <c r="D3142" s="69"/>
    </row>
    <row r="3143" spans="4:4">
      <c r="D3143" s="69"/>
    </row>
    <row r="3144" spans="4:4">
      <c r="D3144" s="69"/>
    </row>
    <row r="3145" spans="4:4">
      <c r="D3145" s="69"/>
    </row>
    <row r="3146" spans="4:4">
      <c r="D3146" s="69"/>
    </row>
    <row r="3147" spans="4:4">
      <c r="D3147" s="69"/>
    </row>
    <row r="3148" spans="4:4">
      <c r="D3148" s="69"/>
    </row>
    <row r="3149" spans="4:4">
      <c r="D3149" s="69"/>
    </row>
    <row r="3150" spans="4:4">
      <c r="D3150" s="69"/>
    </row>
    <row r="3151" spans="4:4">
      <c r="D3151" s="69"/>
    </row>
    <row r="3152" spans="4:4">
      <c r="D3152" s="69"/>
    </row>
    <row r="3153" spans="4:4">
      <c r="D3153" s="69"/>
    </row>
    <row r="3154" spans="4:4">
      <c r="D3154" s="69"/>
    </row>
    <row r="3155" spans="4:4">
      <c r="D3155" s="69"/>
    </row>
    <row r="3156" spans="4:4">
      <c r="D3156" s="69"/>
    </row>
    <row r="3157" spans="4:4">
      <c r="D3157" s="69"/>
    </row>
    <row r="3158" spans="4:4">
      <c r="D3158" s="69"/>
    </row>
    <row r="3159" spans="4:4">
      <c r="D3159" s="69"/>
    </row>
    <row r="3160" spans="4:4">
      <c r="D3160" s="69"/>
    </row>
    <row r="3161" spans="4:4">
      <c r="D3161" s="69"/>
    </row>
    <row r="3162" spans="4:4">
      <c r="D3162" s="69"/>
    </row>
    <row r="3163" spans="4:4">
      <c r="D3163" s="69"/>
    </row>
    <row r="3164" spans="4:4">
      <c r="D3164" s="69"/>
    </row>
    <row r="3165" spans="4:4">
      <c r="D3165" s="69"/>
    </row>
    <row r="3166" spans="4:4">
      <c r="D3166" s="69"/>
    </row>
    <row r="3167" spans="4:4">
      <c r="D3167" s="69"/>
    </row>
    <row r="3168" spans="4:4">
      <c r="D3168" s="69"/>
    </row>
    <row r="3169" spans="4:4">
      <c r="D3169" s="69"/>
    </row>
    <row r="3170" spans="4:4">
      <c r="D3170" s="69"/>
    </row>
    <row r="3171" spans="4:4">
      <c r="D3171" s="69"/>
    </row>
    <row r="3172" spans="4:4">
      <c r="D3172" s="69"/>
    </row>
    <row r="3173" spans="4:4">
      <c r="D3173" s="69"/>
    </row>
    <row r="3174" spans="4:4">
      <c r="D3174" s="69"/>
    </row>
    <row r="3175" spans="4:4">
      <c r="D3175" s="69"/>
    </row>
    <row r="3176" spans="4:4">
      <c r="D3176" s="69"/>
    </row>
    <row r="3177" spans="4:4">
      <c r="D3177" s="69"/>
    </row>
    <row r="3178" spans="4:4">
      <c r="D3178" s="69"/>
    </row>
    <row r="3179" spans="4:4">
      <c r="D3179" s="69"/>
    </row>
    <row r="3180" spans="4:4">
      <c r="D3180" s="69"/>
    </row>
    <row r="3181" spans="4:4">
      <c r="D3181" s="69"/>
    </row>
    <row r="3182" spans="4:4">
      <c r="D3182" s="69"/>
    </row>
    <row r="3183" spans="4:4">
      <c r="D3183" s="69"/>
    </row>
    <row r="3184" spans="4:4">
      <c r="D3184" s="69"/>
    </row>
    <row r="3185" spans="4:4">
      <c r="D3185" s="69"/>
    </row>
    <row r="3186" spans="4:4">
      <c r="D3186" s="69"/>
    </row>
    <row r="3187" spans="4:4">
      <c r="D3187" s="69"/>
    </row>
    <row r="3188" spans="4:4">
      <c r="D3188" s="69"/>
    </row>
    <row r="3189" spans="4:4">
      <c r="D3189" s="69"/>
    </row>
    <row r="3190" spans="4:4">
      <c r="D3190" s="69"/>
    </row>
    <row r="3191" spans="4:4">
      <c r="D3191" s="69"/>
    </row>
    <row r="3192" spans="4:4">
      <c r="D3192" s="69"/>
    </row>
    <row r="3193" spans="4:4">
      <c r="D3193" s="69"/>
    </row>
    <row r="3194" spans="4:4">
      <c r="D3194" s="69"/>
    </row>
    <row r="3195" spans="4:4">
      <c r="D3195" s="69"/>
    </row>
    <row r="3196" spans="4:4">
      <c r="D3196" s="69"/>
    </row>
    <row r="3197" spans="4:4">
      <c r="D3197" s="69"/>
    </row>
    <row r="3198" spans="4:4">
      <c r="D3198" s="69"/>
    </row>
    <row r="3199" spans="4:4">
      <c r="D3199" s="69"/>
    </row>
    <row r="3200" spans="4:4">
      <c r="D3200" s="69"/>
    </row>
    <row r="3201" spans="4:4">
      <c r="D3201" s="69"/>
    </row>
    <row r="3202" spans="4:4">
      <c r="D3202" s="69"/>
    </row>
    <row r="3203" spans="4:4">
      <c r="D3203" s="69"/>
    </row>
    <row r="3204" spans="4:4">
      <c r="D3204" s="69"/>
    </row>
    <row r="3205" spans="4:4">
      <c r="D3205" s="69"/>
    </row>
    <row r="3206" spans="4:4">
      <c r="D3206" s="69"/>
    </row>
    <row r="3207" spans="4:4">
      <c r="D3207" s="69"/>
    </row>
    <row r="3208" spans="4:4">
      <c r="D3208" s="69"/>
    </row>
    <row r="3209" spans="4:4">
      <c r="D3209" s="69"/>
    </row>
    <row r="3210" spans="4:4">
      <c r="D3210" s="69"/>
    </row>
    <row r="3211" spans="4:4">
      <c r="D3211" s="69"/>
    </row>
    <row r="3212" spans="4:4">
      <c r="D3212" s="69"/>
    </row>
    <row r="3213" spans="4:4">
      <c r="D3213" s="69"/>
    </row>
    <row r="3214" spans="4:4">
      <c r="D3214" s="69"/>
    </row>
    <row r="3215" spans="4:4">
      <c r="D3215" s="69"/>
    </row>
    <row r="3216" spans="4:4">
      <c r="D3216" s="69"/>
    </row>
    <row r="3217" spans="4:4">
      <c r="D3217" s="69"/>
    </row>
    <row r="3218" spans="4:4">
      <c r="D3218" s="69"/>
    </row>
    <row r="3219" spans="4:4">
      <c r="D3219" s="69"/>
    </row>
    <row r="3220" spans="4:4">
      <c r="D3220" s="69"/>
    </row>
    <row r="3221" spans="4:4">
      <c r="D3221" s="69"/>
    </row>
    <row r="3222" spans="4:4">
      <c r="D3222" s="69"/>
    </row>
    <row r="3223" spans="4:4">
      <c r="D3223" s="69"/>
    </row>
    <row r="3224" spans="4:4">
      <c r="D3224" s="69"/>
    </row>
    <row r="3225" spans="4:4">
      <c r="D3225" s="69"/>
    </row>
    <row r="3226" spans="4:4">
      <c r="D3226" s="69"/>
    </row>
    <row r="3227" spans="4:4">
      <c r="D3227" s="69"/>
    </row>
    <row r="3228" spans="4:4">
      <c r="D3228" s="69"/>
    </row>
    <row r="3229" spans="4:4">
      <c r="D3229" s="69"/>
    </row>
    <row r="3230" spans="4:4">
      <c r="D3230" s="69"/>
    </row>
    <row r="3231" spans="4:4">
      <c r="D3231" s="69"/>
    </row>
    <row r="3232" spans="4:4">
      <c r="D3232" s="69"/>
    </row>
    <row r="3233" spans="4:4">
      <c r="D3233" s="69"/>
    </row>
    <row r="3234" spans="4:4">
      <c r="D3234" s="69"/>
    </row>
    <row r="3235" spans="4:4">
      <c r="D3235" s="69"/>
    </row>
    <row r="3236" spans="4:4">
      <c r="D3236" s="69"/>
    </row>
    <row r="3237" spans="4:4">
      <c r="D3237" s="69"/>
    </row>
    <row r="3238" spans="4:4">
      <c r="D3238" s="69"/>
    </row>
    <row r="3239" spans="4:4">
      <c r="D3239" s="69"/>
    </row>
    <row r="3240" spans="4:4">
      <c r="D3240" s="69"/>
    </row>
    <row r="3241" spans="4:4">
      <c r="D3241" s="69"/>
    </row>
    <row r="3242" spans="4:4">
      <c r="D3242" s="69"/>
    </row>
    <row r="3243" spans="4:4">
      <c r="D3243" s="69"/>
    </row>
    <row r="3244" spans="4:4">
      <c r="D3244" s="69"/>
    </row>
    <row r="3245" spans="4:4">
      <c r="D3245" s="69"/>
    </row>
    <row r="3246" spans="4:4">
      <c r="D3246" s="69"/>
    </row>
    <row r="3247" spans="4:4">
      <c r="D3247" s="69"/>
    </row>
    <row r="3248" spans="4:4">
      <c r="D3248" s="69"/>
    </row>
    <row r="3249" spans="4:4">
      <c r="D3249" s="69"/>
    </row>
    <row r="3250" spans="4:4">
      <c r="D3250" s="69"/>
    </row>
    <row r="3251" spans="4:4">
      <c r="D3251" s="69"/>
    </row>
    <row r="3252" spans="4:4">
      <c r="D3252" s="69"/>
    </row>
    <row r="3253" spans="4:4">
      <c r="D3253" s="69"/>
    </row>
    <row r="3254" spans="4:4">
      <c r="D3254" s="69"/>
    </row>
    <row r="3255" spans="4:4">
      <c r="D3255" s="69"/>
    </row>
    <row r="3256" spans="4:4">
      <c r="D3256" s="69"/>
    </row>
    <row r="3257" spans="4:4">
      <c r="D3257" s="69"/>
    </row>
    <row r="3258" spans="4:4">
      <c r="D3258" s="69"/>
    </row>
    <row r="3259" spans="4:4">
      <c r="D3259" s="69"/>
    </row>
    <row r="3260" spans="4:4">
      <c r="D3260" s="69"/>
    </row>
    <row r="3261" spans="4:4">
      <c r="D3261" s="69"/>
    </row>
    <row r="3262" spans="4:4">
      <c r="D3262" s="69"/>
    </row>
    <row r="3263" spans="4:4">
      <c r="D3263" s="69"/>
    </row>
    <row r="3264" spans="4:4">
      <c r="D3264" s="69"/>
    </row>
    <row r="3265" spans="4:4">
      <c r="D3265" s="69"/>
    </row>
    <row r="3266" spans="4:4">
      <c r="D3266" s="69"/>
    </row>
    <row r="3267" spans="4:4">
      <c r="D3267" s="69"/>
    </row>
    <row r="3268" spans="4:4">
      <c r="D3268" s="69"/>
    </row>
    <row r="3269" spans="4:4">
      <c r="D3269" s="69"/>
    </row>
    <row r="3270" spans="4:4">
      <c r="D3270" s="69"/>
    </row>
    <row r="3271" spans="4:4">
      <c r="D3271" s="69"/>
    </row>
    <row r="3272" spans="4:4">
      <c r="D3272" s="69"/>
    </row>
    <row r="3273" spans="4:4">
      <c r="D3273" s="69"/>
    </row>
    <row r="3274" spans="4:4">
      <c r="D3274" s="69"/>
    </row>
    <row r="3275" spans="4:4">
      <c r="D3275" s="69"/>
    </row>
    <row r="3276" spans="4:4">
      <c r="D3276" s="69"/>
    </row>
    <row r="3277" spans="4:4">
      <c r="D3277" s="69"/>
    </row>
    <row r="3278" spans="4:4">
      <c r="D3278" s="69"/>
    </row>
    <row r="3279" spans="4:4">
      <c r="D3279" s="69"/>
    </row>
    <row r="3280" spans="4:4">
      <c r="D3280" s="69"/>
    </row>
    <row r="3281" spans="4:4">
      <c r="D3281" s="69"/>
    </row>
    <row r="3282" spans="4:4">
      <c r="D3282" s="69"/>
    </row>
    <row r="3283" spans="4:4">
      <c r="D3283" s="69"/>
    </row>
    <row r="3284" spans="4:4">
      <c r="D3284" s="69"/>
    </row>
    <row r="3285" spans="4:4">
      <c r="D3285" s="69"/>
    </row>
    <row r="3286" spans="4:4">
      <c r="D3286" s="69"/>
    </row>
    <row r="3287" spans="4:4">
      <c r="D3287" s="69"/>
    </row>
    <row r="3288" spans="4:4">
      <c r="D3288" s="69"/>
    </row>
    <row r="3289" spans="4:4">
      <c r="D3289" s="69"/>
    </row>
    <row r="3290" spans="4:4">
      <c r="D3290" s="69"/>
    </row>
    <row r="3291" spans="4:4">
      <c r="D3291" s="69"/>
    </row>
    <row r="3292" spans="4:4">
      <c r="D3292" s="69"/>
    </row>
    <row r="3293" spans="4:4">
      <c r="D3293" s="69"/>
    </row>
    <row r="3294" spans="4:4">
      <c r="D3294" s="69"/>
    </row>
    <row r="3295" spans="4:4">
      <c r="D3295" s="69"/>
    </row>
    <row r="3296" spans="4:4">
      <c r="D3296" s="69"/>
    </row>
    <row r="3297" spans="4:4">
      <c r="D3297" s="69"/>
    </row>
    <row r="3298" spans="4:4">
      <c r="D3298" s="69"/>
    </row>
    <row r="3299" spans="4:4">
      <c r="D3299" s="69"/>
    </row>
    <row r="3300" spans="4:4">
      <c r="D3300" s="69"/>
    </row>
    <row r="3301" spans="4:4">
      <c r="D3301" s="69"/>
    </row>
    <row r="3302" spans="4:4">
      <c r="D3302" s="69"/>
    </row>
    <row r="3303" spans="4:4">
      <c r="D3303" s="69"/>
    </row>
    <row r="3304" spans="4:4">
      <c r="D3304" s="69"/>
    </row>
    <row r="3305" spans="4:4">
      <c r="D3305" s="69"/>
    </row>
    <row r="3306" spans="4:4">
      <c r="D3306" s="69"/>
    </row>
    <row r="3307" spans="4:4">
      <c r="D3307" s="69"/>
    </row>
    <row r="3308" spans="4:4">
      <c r="D3308" s="69"/>
    </row>
    <row r="3309" spans="4:4">
      <c r="D3309" s="69"/>
    </row>
    <row r="3310" spans="4:4">
      <c r="D3310" s="69"/>
    </row>
    <row r="3311" spans="4:4">
      <c r="D3311" s="69"/>
    </row>
    <row r="3312" spans="4:4">
      <c r="D3312" s="69"/>
    </row>
    <row r="3313" spans="4:4">
      <c r="D3313" s="69"/>
    </row>
    <row r="3314" spans="4:4">
      <c r="D3314" s="69"/>
    </row>
    <row r="3315" spans="4:4">
      <c r="D3315" s="69"/>
    </row>
    <row r="3316" spans="4:4">
      <c r="D3316" s="69"/>
    </row>
    <row r="3317" spans="4:4">
      <c r="D3317" s="69"/>
    </row>
    <row r="3318" spans="4:4">
      <c r="D3318" s="69"/>
    </row>
    <row r="3319" spans="4:4">
      <c r="D3319" s="69"/>
    </row>
    <row r="3320" spans="4:4">
      <c r="D3320" s="69"/>
    </row>
    <row r="3321" spans="4:4">
      <c r="D3321" s="69"/>
    </row>
    <row r="3322" spans="4:4">
      <c r="D3322" s="69"/>
    </row>
    <row r="3323" spans="4:4">
      <c r="D3323" s="69"/>
    </row>
    <row r="3324" spans="4:4">
      <c r="D3324" s="69"/>
    </row>
    <row r="3325" spans="4:4">
      <c r="D3325" s="69"/>
    </row>
    <row r="3326" spans="4:4">
      <c r="D3326" s="69"/>
    </row>
    <row r="3327" spans="4:4">
      <c r="D3327" s="69"/>
    </row>
    <row r="3328" spans="4:4">
      <c r="D3328" s="69"/>
    </row>
    <row r="3329" spans="4:4">
      <c r="D3329" s="69"/>
    </row>
    <row r="3330" spans="4:4">
      <c r="D3330" s="69"/>
    </row>
  </sheetData>
  <autoFilter ref="A3:AA457" xr:uid="{00000000-0009-0000-0000-00000F000000}"/>
  <sortState ref="B4:B55">
    <sortCondition ref="B3"/>
  </sortState>
  <pageMargins left="0.7" right="0.7" top="0.75" bottom="0.75" header="0.3" footer="0.3"/>
  <pageSetup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19</vt:i4>
      </vt:variant>
    </vt:vector>
  </HeadingPairs>
  <TitlesOfParts>
    <vt:vector size="36" baseType="lpstr">
      <vt:lpstr>Guide</vt:lpstr>
      <vt:lpstr>Sheet2</vt:lpstr>
      <vt:lpstr>DATABASE</vt:lpstr>
      <vt:lpstr>Site_DB</vt:lpstr>
      <vt:lpstr>Indicator Summary  Eng</vt:lpstr>
      <vt:lpstr>Indicator Summary  MM</vt:lpstr>
      <vt:lpstr>HRP Calculations</vt:lpstr>
      <vt:lpstr>HRP</vt:lpstr>
      <vt:lpstr>Sheet1</vt:lpstr>
      <vt:lpstr>Analysis</vt:lpstr>
      <vt:lpstr>Quarterly Dashboard</vt:lpstr>
      <vt:lpstr>Kachin</vt:lpstr>
      <vt:lpstr>Rakhine</vt:lpstr>
      <vt:lpstr>Shan(n)</vt:lpstr>
      <vt:lpstr>By Camps</vt:lpstr>
      <vt:lpstr>Tracking Dashboard</vt:lpstr>
      <vt:lpstr>Lookup</vt:lpstr>
      <vt:lpstr>'HRP Calculations'!Print_Area</vt:lpstr>
      <vt:lpstr>'Indicator Summary  Eng'!Print_Area</vt:lpstr>
      <vt:lpstr>'Indicator Summary  MM'!Print_Area</vt:lpstr>
      <vt:lpstr>Kachin!Print_Area</vt:lpstr>
      <vt:lpstr>Rakhine!Print_Area</vt:lpstr>
      <vt:lpstr>'Shan(n)'!Print_Area</vt:lpstr>
      <vt:lpstr>'Indicator Summary  Eng'!Print_Titles</vt:lpstr>
      <vt:lpstr>'Indicator Summary  MM'!Print_Titles</vt:lpstr>
      <vt:lpstr>State_list</vt:lpstr>
      <vt:lpstr>Statestart_1</vt:lpstr>
      <vt:lpstr>Kachin!Township_list</vt:lpstr>
      <vt:lpstr>Rakhine!Township_list</vt:lpstr>
      <vt:lpstr>'Shan(n)'!Township_list</vt:lpstr>
      <vt:lpstr>Township_list</vt:lpstr>
      <vt:lpstr>Kachin!Township_start</vt:lpstr>
      <vt:lpstr>Rakhine!Township_start</vt:lpstr>
      <vt:lpstr>'Shan(n)'!Township_start</vt:lpstr>
      <vt:lpstr>Township_start</vt:lpstr>
      <vt:lpstr>TSps</vt:lpstr>
    </vt:vector>
  </TitlesOfParts>
  <Manager/>
  <Company>UNICEF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Robertson</dc:creator>
  <cp:keywords/>
  <dc:description/>
  <cp:lastModifiedBy>Administrator</cp:lastModifiedBy>
  <cp:revision/>
  <cp:lastPrinted>2019-05-15T09:58:15Z</cp:lastPrinted>
  <dcterms:created xsi:type="dcterms:W3CDTF">2016-05-30T15:30:45Z</dcterms:created>
  <dcterms:modified xsi:type="dcterms:W3CDTF">2019-06-14T10:17:35Z</dcterms:modified>
  <cp:category/>
  <cp:contentStatus/>
</cp:coreProperties>
</file>